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Settings" sheetId="2" r:id="rId2"/>
    <sheet name="Dashboard" sheetId="3" r:id="rId3"/>
    <sheet name="Products" sheetId="4" r:id="rId4"/>
    <sheet name="Materials" sheetId="5" r:id="rId5"/>
    <sheet name="Material Usage" sheetId="6" r:id="rId6"/>
    <sheet name="Labor" sheetId="7" r:id="rId7"/>
    <sheet name="Packaging" sheetId="8" r:id="rId8"/>
    <sheet name="Shipping" sheetId="9" r:id="rId9"/>
    <sheet name="Overhead" sheetId="10" r:id="rId10"/>
    <sheet name="Channels" sheetId="11" r:id="rId11"/>
    <sheet name="Retail Calculator" sheetId="12" r:id="rId12"/>
    <sheet name="Wholesale Calculator" sheetId="13" r:id="rId13"/>
    <sheet name="Profit &amp; Break-Even" sheetId="14" r:id="rId14"/>
    <sheet name="Crochet" sheetId="15" r:id="rId15"/>
    <sheet name="Jewelry" sheetId="16" r:id="rId16"/>
    <sheet name="Candles" sheetId="17" r:id="rId17"/>
    <sheet name="Clothing" sheetId="18" r:id="rId18"/>
    <sheet name="Woodworking" sheetId="19" r:id="rId19"/>
    <sheet name="Digital" sheetId="20" r:id="rId20"/>
    <sheet name="Bundles" sheetId="21" r:id="rId21"/>
    <sheet name="Bundle Lines" sheetId="22" r:id="rId22"/>
    <sheet name="Variations" sheetId="23" r:id="rId23"/>
    <sheet name="Batches" sheetId="24" r:id="rId24"/>
    <sheet name="Sales" sheetId="25" r:id="rId25"/>
    <sheet name="Promotions" sheetId="26" r:id="rId26"/>
    <sheet name="Price History" sheetId="27" r:id="rId27"/>
    <sheet name="Competitors" sheetId="28" r:id="rId28"/>
    <sheet name="Waste Log" sheetId="29" r:id="rId29"/>
    <sheet name="Development" sheetId="30" r:id="rId30"/>
    <sheet name="Events" sheetId="31" r:id="rId31"/>
    <sheet name="Wholesale Customers" sheetId="32" r:id="rId32"/>
    <sheet name="Wholesale Orders" sheetId="33" r:id="rId33"/>
    <sheet name="Scenarios" sheetId="34" r:id="rId34"/>
    <sheet name="Reports" sheetId="35" r:id="rId35"/>
    <sheet name="Print Costing" sheetId="36" r:id="rId36"/>
    <sheet name="Print Quote" sheetId="37" r:id="rId37"/>
    <sheet name="Print Order" sheetId="38" r:id="rId38"/>
    <sheet name="Lists" sheetId="39" r:id="rId39"/>
    <sheet name="Help" sheetId="40" r:id="rId40"/>
  </sheets>
  <definedNames>
    <definedName name="_xlnm._FilterDatabase" localSheetId="23" hidden="1">'Batches'!$A$4:$AE$204</definedName>
    <definedName name="_xlnm._FilterDatabase" localSheetId="21" hidden="1">'Bundle Lines'!$A$4:$N$204</definedName>
    <definedName name="_xlnm._FilterDatabase" localSheetId="20" hidden="1">'Bundles'!$A$4:$AH$64</definedName>
    <definedName name="_xlnm._FilterDatabase" localSheetId="16" hidden="1">'Candles'!$A$4:$AX$84</definedName>
    <definedName name="_xlnm._FilterDatabase" localSheetId="10" hidden="1">'Channels'!$A$4:$AC$18</definedName>
    <definedName name="_xlnm._FilterDatabase" localSheetId="17" hidden="1">'Clothing'!$A$4:$AS$84</definedName>
    <definedName name="_xlnm._FilterDatabase" localSheetId="27" hidden="1">'Competitors'!$A$4:$V$154</definedName>
    <definedName name="_xlnm._FilterDatabase" localSheetId="14" hidden="1">'Crochet'!$A$4:$AU$84</definedName>
    <definedName name="_xlnm._FilterDatabase" localSheetId="29" hidden="1">'Development'!$A$4:$V$84</definedName>
    <definedName name="_xlnm._FilterDatabase" localSheetId="19" hidden="1">'Digital'!$A$4:$AP$84</definedName>
    <definedName name="_xlnm._FilterDatabase" localSheetId="30" hidden="1">'Events'!$A$4:$AB$44</definedName>
    <definedName name="_xlnm._FilterDatabase" localSheetId="15" hidden="1">'Jewelry'!$A$4:$AW$84</definedName>
    <definedName name="_xlnm._FilterDatabase" localSheetId="6" hidden="1">'Labor'!$A$4:$V$304</definedName>
    <definedName name="_xlnm._FilterDatabase" localSheetId="5" hidden="1">'Material Usage'!$A$4:$R$904</definedName>
    <definedName name="_xlnm._FilterDatabase" localSheetId="4" hidden="1">'Materials'!$A$4:$AG$254</definedName>
    <definedName name="_xlnm._FilterDatabase" localSheetId="9" hidden="1">'Overhead'!$A$4:$R$44</definedName>
    <definedName name="_xlnm._FilterDatabase" localSheetId="7" hidden="1">'Packaging'!$A$4:$Z$84</definedName>
    <definedName name="_xlnm._FilterDatabase" localSheetId="26" hidden="1">'Price History'!$A$4:$W$304</definedName>
    <definedName name="_xlnm._FilterDatabase" localSheetId="3" hidden="1">'Products'!$A$4:$BS$304</definedName>
    <definedName name="_xlnm._FilterDatabase" localSheetId="25" hidden="1">'Promotions'!$A$4:$X$44</definedName>
    <definedName name="_xlnm._FilterDatabase" localSheetId="24" hidden="1">'Sales'!$A$4:$AM$804</definedName>
    <definedName name="_xlnm._FilterDatabase" localSheetId="8" hidden="1">'Shipping'!$A$4:$R$64</definedName>
    <definedName name="_xlnm._FilterDatabase" localSheetId="22" hidden="1">'Variations'!$A$4:$AL$304</definedName>
    <definedName name="_xlnm._FilterDatabase" localSheetId="28" hidden="1">'Waste Log'!$A$4:$N$204</definedName>
    <definedName name="_xlnm._FilterDatabase" localSheetId="31" hidden="1">'Wholesale Customers'!$A$4:$AA$64</definedName>
    <definedName name="_xlnm._FilterDatabase" localSheetId="32" hidden="1">'Wholesale Orders'!$A$4:$AD$204</definedName>
    <definedName name="_xlnm._FilterDatabase" localSheetId="18" hidden="1">'Woodworking'!$A$4:$AU$84</definedName>
    <definedName name="AllocationList">Lists!$C$122:$C$134</definedName>
    <definedName name="BatchIDs">OFFSET(Batches!$A$5,0,0,MAX(1,COUNTIF(Batches!$A$5:$A$204,"?*")),1)</definedName>
    <definedName name="BatchPrefix">Settings!$D$98</definedName>
    <definedName name="BatchStatusList">Lists!$A$146:$A$162</definedName>
    <definedName name="BeCm">'Profit &amp; Break-Even'!$C$21</definedName>
    <definedName name="BeContribution">'Profit &amp; Break-Even'!$C$20</definedName>
    <definedName name="BeFeeFixed">'Profit &amp; Break-Even'!$D$12</definedName>
    <definedName name="BeFeePct">'Profit &amp; Break-Even'!$D$11</definedName>
    <definedName name="BeFees">'Profit &amp; Break-Even'!$C$18</definedName>
    <definedName name="BeFixed">'Profit &amp; Break-Even'!$D$7</definedName>
    <definedName name="BeFixedTotal">'Profit &amp; Break-Even'!$C$16</definedName>
    <definedName name="BeP">'Profit &amp; Break-Even'!$C$17</definedName>
    <definedName name="BePrice">'Profit &amp; Break-Even'!$D$9</definedName>
    <definedName name="BeProduct">'Profit &amp; Break-Even'!$D$6</definedName>
    <definedName name="BeVar">'Profit &amp; Break-Even'!$C$19</definedName>
    <definedName name="BeVariable">'Profit &amp; Break-Even'!$D$10</definedName>
    <definedName name="BeWage">'Profit &amp; Break-Even'!$D$8</definedName>
    <definedName name="BundleIDs">OFFSET(Bundles!$A$5,0,0,MAX(1,COUNTIF(Bundles!$A$5:$A$64,"?*")),1)</definedName>
    <definedName name="BundlePrefix">Settings!$D$96</definedName>
    <definedName name="BundleTypeList">Lists!$C$265:$C$280</definedName>
    <definedName name="CandlePrefix">Settings!$D$107</definedName>
    <definedName name="CategoryList">Lists!$E$9:$E$31</definedName>
    <definedName name="ChannelList">Lists!$I$9:$I$23</definedName>
    <definedName name="ChannelNames">OFFSET(Channels!$A$5,0,0,MAX(1,COUNTIF(Channels!$A$5:$A$18,"?*")),1)</definedName>
    <definedName name="ClothingPrefix">Settings!$D$108</definedName>
    <definedName name="ContractorRate">Settings!$D$30</definedName>
    <definedName name="CrochetPrefix">Settings!$D$105</definedName>
    <definedName name="CurrencyFee">Settings!$D$65</definedName>
    <definedName name="CustomerIDs">OFFSET('Wholesale Customers'!$A$5,0,0,MAX(1,COUNTIF('Wholesale Customers'!$A$5:$A$64,"?*")),1)</definedName>
    <definedName name="CustomerNames">OFFSET('Wholesale Customers'!$B$5,0,0,MAX(1,COUNTIF('Wholesale Customers'!$B$5:$B$64,"?*")),1)</definedName>
    <definedName name="CustomerPrefix">Settings!$D$100</definedName>
    <definedName name="CustomerTypeList">Lists!$I$146:$I$164</definedName>
    <definedName name="DashKey">Dashboard!$H$5</definedName>
    <definedName name="DefaultBatchSize">Settings!$D$35</definedName>
    <definedName name="DefaultChannel">Settings!$D$71</definedName>
    <definedName name="DefaultDefect">Settings!$D$41</definedName>
    <definedName name="DefaultDiscount">Settings!$D$80</definedName>
    <definedName name="DefaultMarkup">Settings!$D$76</definedName>
    <definedName name="DefaultPackaging">Settings!$D$45</definedName>
    <definedName name="DefaultShipping">Settings!$D$46</definedName>
    <definedName name="DefaultWaste">Settings!$D$40</definedName>
    <definedName name="DevPrefix">Settings!$D$102</definedName>
    <definedName name="DevStageList">Lists!$A$192:$A$207</definedName>
    <definedName name="DifficultyList">Lists!$A$65:$A$77</definedName>
    <definedName name="DiffNames">Lists!$A$320:$A$328</definedName>
    <definedName name="DiffPriceFactors">Lists!$C$320:$C$328</definedName>
    <definedName name="DiffTimeFactors">Lists!$B$320:$B$328</definedName>
    <definedName name="DigitalPrefix">Settings!$D$110</definedName>
    <definedName name="DigitalTypeList">Lists!$G$241:$G$260</definedName>
    <definedName name="EmployeeRate">Settings!$D$29</definedName>
    <definedName name="EventNames">OFFSET(Events!$A$5,0,0,MAX(1,COUNTIF(Events!$A$5:$A$44,"?*")),1)</definedName>
    <definedName name="EventPrefix">Settings!$D$103</definedName>
    <definedName name="EventTypeList">Lists!$G$146:$G$163</definedName>
    <definedName name="FabricList">Lists!$I$215:$I$238</definedName>
    <definedName name="FeeReviewDays">Settings!$D$69</definedName>
    <definedName name="FeesOnShipping">Settings!$D$66</definedName>
    <definedName name="FeesOnTax">Settings!$D$67</definedName>
    <definedName name="FeesReviewed">Settings!$D$68</definedName>
    <definedName name="FeesStale">Settings!$D$70</definedName>
    <definedName name="FeeTypeList">Lists!$E$122:$E$136</definedName>
    <definedName name="FileFormatList">Lists!$I$241:$I$258</definedName>
    <definedName name="FinishList">Lists!$E$241:$E$259</definedName>
    <definedName name="FreeShipThreshold">Settings!$D$47</definedName>
    <definedName name="FrequencyList">Lists!$A$122:$A$135</definedName>
    <definedName name="GarmentSizeList">Lists!$A$241:$A$260</definedName>
    <definedName name="HookSizeList">Lists!$G$192:$G$212</definedName>
    <definedName name="HourlyRate">Settings!$D$27</definedName>
    <definedName name="JewelryPrefix">Settings!$D$106</definedName>
    <definedName name="LaborCostHour">Settings!$D$32</definedName>
    <definedName name="LaborStageList">Lists!$C$65:$C$90</definedName>
    <definedName name="LaborWhoList">Lists!$E$65:$E$79</definedName>
    <definedName name="LicenceList">Lists!$A$265:$A$278</definedName>
    <definedName name="ListingFee">Settings!$D$58</definedName>
    <definedName name="LowStockDays">Settings!$D$42</definedName>
    <definedName name="MarginWarning">Settings!$D$78</definedName>
    <definedName name="MaterialIDs">OFFSET(Materials!$A$5,0,0,MAX(1,COUNTIF(Materials!$A$5:$A$254,"?*")),1)</definedName>
    <definedName name="MaterialNames">OFFSET(Materials!$B$5,0,0,MAX(1,COUNTIF(Materials!$B$5:$B$254,"?*")),1)</definedName>
    <definedName name="MaterialPrefix">Settings!$D$95</definedName>
    <definedName name="MaterialTypeList">Lists!$E$34:$E$62</definedName>
    <definedName name="MeasureSystem">Settings!$D$39</definedName>
    <definedName name="MetalList">Lists!$I$192:$I$212</definedName>
    <definedName name="MinimumWage">Settings!$D$28</definedName>
    <definedName name="MinOrderQty">Settings!$D$82</definedName>
    <definedName name="MinOrderValue">Settings!$D$83</definedName>
    <definedName name="MonthEnd">Settings!$D$22</definedName>
    <definedName name="MonthList">Lists!$E$265:$E$284</definedName>
    <definedName name="MonthStart">Settings!$D$21</definedName>
    <definedName name="OffsiteAdsFee">Settings!$D$62</definedName>
    <definedName name="OffsiteAdsShare">Settings!$D$63</definedName>
    <definedName name="OrderIDs">OFFSET('Wholesale Orders'!$A$5,0,0,MAX(1,COUNTIF('Wholesale Orders'!$A$5:$A$204,"?*")),1)</definedName>
    <definedName name="OrderPrefix">Settings!$D$101</definedName>
    <definedName name="OrderStatusList">Lists!$C$170:$C$187</definedName>
    <definedName name="OverheadMethod">Settings!$D$51</definedName>
    <definedName name="OverheadMonthly">Settings!$D$52</definedName>
    <definedName name="OverheadPerHour">Settings!$D$53</definedName>
    <definedName name="OverheadPerUnit">Settings!$D$54</definedName>
    <definedName name="OverheadTypeList">Lists!$I$93:$I$119</definedName>
    <definedName name="PackBudget">Packaging!$C$90</definedName>
    <definedName name="PackComponents">OFFSET(Packaging!$A$5,0,0,MAX(1,COUNTIF(Packaging!$A$5:$A$84,"?*")),1)</definedName>
    <definedName name="PackGift">Packaging!$C$92</definedName>
    <definedName name="PackPremium">Packaging!$C$93</definedName>
    <definedName name="PackProfileList">Lists!$I$65:$I$76</definedName>
    <definedName name="PackStandard">Packaging!$C$91</definedName>
    <definedName name="PackTypeList">Lists!$A$93:$A$112</definedName>
    <definedName name="PackWeightBudget">Packaging!$D$90</definedName>
    <definedName name="PackWeightGift">Packaging!$D$92</definedName>
    <definedName name="PackWeightPremium">Packaging!$D$93</definedName>
    <definedName name="PackWeightStandard">Packaging!$D$91</definedName>
    <definedName name="PayrollBurden">Settings!$D$31</definedName>
    <definedName name="PerBasisList">Lists!$G$65:$G$74</definedName>
    <definedName name="PlanYear">Settings!$D$19</definedName>
    <definedName name="PriceReasonList">Lists!$G$170:$G$189</definedName>
    <definedName name="PriceReviewDays">Settings!$D$84</definedName>
    <definedName name="PricingMethodList">Lists!$A$34:$A$49</definedName>
    <definedName name="_xlnm.Print_Area" localSheetId="23">'Batches'!$A$1:$AE$204</definedName>
    <definedName name="_xlnm.Print_Area" localSheetId="21">'Bundle Lines'!$A$1:$N$204</definedName>
    <definedName name="_xlnm.Print_Area" localSheetId="20">'Bundles'!$A$1:$AH$64</definedName>
    <definedName name="_xlnm.Print_Area" localSheetId="16">'Candles'!$A$1:$AX$84</definedName>
    <definedName name="_xlnm.Print_Area" localSheetId="10">'Channels'!$A$1:$AC$18</definedName>
    <definedName name="_xlnm.Print_Area" localSheetId="17">'Clothing'!$A$1:$AS$84</definedName>
    <definedName name="_xlnm.Print_Area" localSheetId="27">'Competitors'!$A$1:$V$154</definedName>
    <definedName name="_xlnm.Print_Area" localSheetId="14">'Crochet'!$A$1:$AU$84</definedName>
    <definedName name="_xlnm.Print_Area" localSheetId="29">'Development'!$A$1:$V$84</definedName>
    <definedName name="_xlnm.Print_Area" localSheetId="19">'Digital'!$A$1:$AP$84</definedName>
    <definedName name="_xlnm.Print_Area" localSheetId="30">'Events'!$A$1:$AB$44</definedName>
    <definedName name="_xlnm.Print_Area" localSheetId="15">'Jewelry'!$A$1:$AW$84</definedName>
    <definedName name="_xlnm.Print_Area" localSheetId="6">'Labor'!$A$1:$V$304</definedName>
    <definedName name="_xlnm.Print_Area" localSheetId="5">'Material Usage'!$A$1:$R$904</definedName>
    <definedName name="_xlnm.Print_Area" localSheetId="4">'Materials'!$A$1:$AG$254</definedName>
    <definedName name="_xlnm.Print_Area" localSheetId="9">'Overhead'!$A$1:$R$44</definedName>
    <definedName name="_xlnm.Print_Area" localSheetId="7">'Packaging'!$A$1:$Z$84</definedName>
    <definedName name="_xlnm.Print_Area" localSheetId="26">'Price History'!$A$1:$W$304</definedName>
    <definedName name="_xlnm.Print_Area" localSheetId="35">'Print Costing'!$A$1:$H$64</definedName>
    <definedName name="_xlnm.Print_Area" localSheetId="37">'Print Order'!$A$1:$H$42</definedName>
    <definedName name="_xlnm.Print_Area" localSheetId="36">'Print Quote'!$A$1:$H$39</definedName>
    <definedName name="_xlnm.Print_Area" localSheetId="3">'Products'!$A$1:$BS$304</definedName>
    <definedName name="_xlnm.Print_Area" localSheetId="25">'Promotions'!$A$1:$X$44</definedName>
    <definedName name="_xlnm.Print_Area" localSheetId="24">'Sales'!$A$1:$AM$804</definedName>
    <definedName name="_xlnm.Print_Area" localSheetId="8">'Shipping'!$A$1:$R$64</definedName>
    <definedName name="_xlnm.Print_Area" localSheetId="22">'Variations'!$A$1:$AL$304</definedName>
    <definedName name="_xlnm.Print_Area" localSheetId="28">'Waste Log'!$A$1:$N$204</definedName>
    <definedName name="_xlnm.Print_Area" localSheetId="31">'Wholesale Customers'!$A$1:$AA$64</definedName>
    <definedName name="_xlnm.Print_Area" localSheetId="32">'Wholesale Orders'!$A$1:$AD$204</definedName>
    <definedName name="_xlnm.Print_Area" localSheetId="18">'Woodworking'!$A$1:$AU$84</definedName>
    <definedName name="_xlnm.Print_Titles" localSheetId="23">'Batches'!$1:$4</definedName>
    <definedName name="_xlnm.Print_Titles" localSheetId="21">'Bundle Lines'!$1:$4</definedName>
    <definedName name="_xlnm.Print_Titles" localSheetId="20">'Bundles'!$1:$4</definedName>
    <definedName name="_xlnm.Print_Titles" localSheetId="16">'Candles'!$1:$4</definedName>
    <definedName name="_xlnm.Print_Titles" localSheetId="10">'Channels'!$1:$4</definedName>
    <definedName name="_xlnm.Print_Titles" localSheetId="17">'Clothing'!$1:$4</definedName>
    <definedName name="_xlnm.Print_Titles" localSheetId="27">'Competitors'!$1:$4</definedName>
    <definedName name="_xlnm.Print_Titles" localSheetId="14">'Crochet'!$1:$4</definedName>
    <definedName name="_xlnm.Print_Titles" localSheetId="29">'Development'!$1:$4</definedName>
    <definedName name="_xlnm.Print_Titles" localSheetId="19">'Digital'!$1:$4</definedName>
    <definedName name="_xlnm.Print_Titles" localSheetId="30">'Events'!$1:$4</definedName>
    <definedName name="_xlnm.Print_Titles" localSheetId="15">'Jewelry'!$1:$4</definedName>
    <definedName name="_xlnm.Print_Titles" localSheetId="6">'Labor'!$1:$4</definedName>
    <definedName name="_xlnm.Print_Titles" localSheetId="5">'Material Usage'!$1:$4</definedName>
    <definedName name="_xlnm.Print_Titles" localSheetId="4">'Materials'!$1:$4</definedName>
    <definedName name="_xlnm.Print_Titles" localSheetId="9">'Overhead'!$1:$4</definedName>
    <definedName name="_xlnm.Print_Titles" localSheetId="7">'Packaging'!$1:$4</definedName>
    <definedName name="_xlnm.Print_Titles" localSheetId="26">'Price History'!$1:$4</definedName>
    <definedName name="_xlnm.Print_Titles" localSheetId="3">'Products'!$1:$4</definedName>
    <definedName name="_xlnm.Print_Titles" localSheetId="25">'Promotions'!$1:$4</definedName>
    <definedName name="_xlnm.Print_Titles" localSheetId="24">'Sales'!$1:$4</definedName>
    <definedName name="_xlnm.Print_Titles" localSheetId="8">'Shipping'!$1:$4</definedName>
    <definedName name="_xlnm.Print_Titles" localSheetId="22">'Variations'!$1:$4</definedName>
    <definedName name="_xlnm.Print_Titles" localSheetId="28">'Waste Log'!$1:$4</definedName>
    <definedName name="_xlnm.Print_Titles" localSheetId="31">'Wholesale Customers'!$1:$4</definedName>
    <definedName name="_xlnm.Print_Titles" localSheetId="32">'Wholesale Orders'!$1:$4</definedName>
    <definedName name="_xlnm.Print_Titles" localSheetId="18">'Woodworking'!$1:$4</definedName>
    <definedName name="PrintCustomer">'Print Order'!$B$5</definedName>
    <definedName name="PrintProduct">'Print Costing'!$B$5</definedName>
    <definedName name="ProcessingFixed">Settings!$D$61</definedName>
    <definedName name="ProcessingPercent">Settings!$D$60</definedName>
    <definedName name="ProductCategories">OFFSET(Products!$D$5,0,0,MAX(1,COUNTIF(Products!$D$5:$D$304,"?*")),1)</definedName>
    <definedName name="ProductIDs">OFFSET(Products!$A$5,0,0,MAX(1,COUNTIF(Products!$A$5:$A$304,"?*")),1)</definedName>
    <definedName name="ProductiveHours">Settings!$D$33</definedName>
    <definedName name="ProductMargins">OFFSET(Products!$AW$5,0,0,MAX(1,COUNTIF(Products!$AW$5:$AW$304,"?*")),1)</definedName>
    <definedName name="ProductNames">OFFSET(Products!$B$5,0,0,MAX(1,COUNTIF(Products!$B$5:$B$304,"?*")),1)</definedName>
    <definedName name="ProductPrefix">Settings!$D$94</definedName>
    <definedName name="ProductSKUs">OFFSET(Products!$S$5,0,0,MAX(1,COUNTIF(Products!$S$5:$S$304,"?*")),1)</definedName>
    <definedName name="ProfitTargetMonth">Settings!$D$89</definedName>
    <definedName name="PromoCodes">OFFSET(Promotions!$A$5,0,0,MAX(1,COUNTIF(Promotions!$A$5:$A$44,"?*")),1)</definedName>
    <definedName name="PromoTypeList">Lists!$G$122:$G$139</definedName>
    <definedName name="QualityList">Lists!$I$170:$I$183</definedName>
    <definedName name="QuoteCustomer">'Print Quote'!$B$10</definedName>
    <definedName name="RatingList">Lists!$C$192:$C$204</definedName>
    <definedName name="RcBatch">'Retail Calculator'!$D$10</definedName>
    <definedName name="RcChannel">'Retail Calculator'!$D$8</definedName>
    <definedName name="RcCons">'Retail Calculator'!$D$17</definedName>
    <definedName name="RcConsUsed">'Retail Calculator'!$E$17</definedName>
    <definedName name="RcCost">'Retail Calculator'!$D$27</definedName>
    <definedName name="RcDenom">'Retail Calculator'!$D$36</definedName>
    <definedName name="RcDirect">'Retail Calculator'!$E$21</definedName>
    <definedName name="RcFeeFixed">'Retail Calculator'!$D$32</definedName>
    <definedName name="RcFeePct">'Retail Calculator'!$D$31</definedName>
    <definedName name="RcLab">'Retail Calculator'!$D$16</definedName>
    <definedName name="RcLabUsed">'Retail Calculator'!$E$16</definedName>
    <definedName name="RcMat">'Retail Calculator'!$D$15</definedName>
    <definedName name="RcMatUsed">'Retail Calculator'!$E$15</definedName>
    <definedName name="RcOhRate">'Retail Calculator'!$D$33</definedName>
    <definedName name="RcOther">'Retail Calculator'!$D$20</definedName>
    <definedName name="RcOtherUsed">'Retail Calculator'!$E$20</definedName>
    <definedName name="RcOverhead">'Retail Calculator'!$D$26</definedName>
    <definedName name="RcPack">'Retail Calculator'!$D$18</definedName>
    <definedName name="RcPackUsed">'Retail Calculator'!$E$18</definedName>
    <definedName name="RcPrice">'Retail Calculator'!$D$38</definedName>
    <definedName name="RcProduct">'Retail Calculator'!$D$7</definedName>
    <definedName name="RcRaw">'Retail Calculator'!$D$37</definedName>
    <definedName name="RcShip">'Retail Calculator'!$D$19</definedName>
    <definedName name="RcShipUsed">'Retail Calculator'!$E$19</definedName>
    <definedName name="RcTarget">'Retail Calculator'!$D$9</definedName>
    <definedName name="RegulatoryFee">Settings!$D$64</definedName>
    <definedName name="RevenueTargetMonth">Settings!$D$87</definedName>
    <definedName name="RevenueTargetYear">Settings!$D$88</definedName>
    <definedName name="RoundingList">Lists!$E$170:$E$185</definedName>
    <definedName name="RoundingRule">Settings!$D$79</definedName>
    <definedName name="RushFactors">Lists!$B$335:$B$342</definedName>
    <definedName name="RushNames">Lists!$A$335:$A$342</definedName>
    <definedName name="SaleChannels">OFFSET(Sales!$E$5,0,0,MAX(1,COUNTIF(Sales!$E$5:$E$804,"?*")),1)</definedName>
    <definedName name="SaleDates">OFFSET(Sales!$B$5,0,0,MAX(1,COUNTIF(Sales!$B$5:$B$804,"?*")),1)</definedName>
    <definedName name="SaleMonths">OFFSET(Sales!$R$5,0,0,MAX(1,COUNTIF(Sales!$R$5:$R$804,"?*")),1)</definedName>
    <definedName name="SalePrefix">Settings!$D$99</definedName>
    <definedName name="SaleProducts">OFFSET(Sales!$C$5,0,0,MAX(1,COUNTIF(Sales!$C$5:$C$804,"?*")),1)</definedName>
    <definedName name="SaleStatusList">Lists!$C$146:$C$163</definedName>
    <definedName name="ScenarioMargins">Lists!$B$349:$B$353</definedName>
    <definedName name="ScenarioNames">Lists!$A$349:$A$353</definedName>
    <definedName name="ScProduct">Scenarios!$D$27</definedName>
    <definedName name="ScTarget">Scenarios!$D$28</definedName>
    <definedName name="SeasonList">Lists!$I$34:$I$52</definedName>
    <definedName name="ShipOptions">OFFSET(Shipping!$L$5,0,0,MAX(1,COUNTIF(Shipping!$L$5:$L$64,"?*")),1)</definedName>
    <definedName name="ShipPayerList">Lists!$G$93:$G$106</definedName>
    <definedName name="ShipServiceList">Lists!$C$93:$C$112</definedName>
    <definedName name="ShipZoneList">Lists!$E$93:$E$106</definedName>
    <definedName name="ShopAddress">Settings!$D$11</definedName>
    <definedName name="ShopBrand">Settings!$D$8</definedName>
    <definedName name="ShopEmail">Settings!$D$9</definedName>
    <definedName name="ShopEtsy">Settings!$D$13</definedName>
    <definedName name="ShopName">Settings!$D$6</definedName>
    <definedName name="ShopOwner">Settings!$D$7</definedName>
    <definedName name="ShopPhone">Settings!$D$10</definedName>
    <definedName name="ShopSocial">Settings!$D$14</definedName>
    <definedName name="ShopTagline">Settings!$D$15</definedName>
    <definedName name="ShopTaxId">Settings!$D$16</definedName>
    <definedName name="ShopWebsite">Settings!$D$12</definedName>
    <definedName name="SizeMaterialFactors">Lists!$B$360:$B$369</definedName>
    <definedName name="SizeNames">Lists!$A$360:$A$369</definedName>
    <definedName name="SizeTimeFactors">Lists!$C$360:$C$369</definedName>
    <definedName name="StatusList">Lists!$G$9:$G$24</definedName>
    <definedName name="StockStatusList">Lists!$G$34:$G$47</definedName>
    <definedName name="StoneList">Lists!$A$215:$A$236</definedName>
    <definedName name="SuppliesPerHour">Settings!$D$36</definedName>
    <definedName name="TargetHourly">Settings!$D$90</definedName>
    <definedName name="TargetRetailMargin">Settings!$D$74</definedName>
    <definedName name="TargetWholesaleMargin">Settings!$D$75</definedName>
    <definedName name="TaxRate">Settings!$D$81</definedName>
    <definedName name="TermsList">Lists!$A$170:$A$185</definedName>
    <definedName name="TodayDate">Settings!$D$20</definedName>
    <definedName name="TransactionFee">Settings!$D$59</definedName>
    <definedName name="UnitBases">Lists!$B$291:$B$313</definedName>
    <definedName name="UnitFactors">Lists!$C$291:$C$313</definedName>
    <definedName name="UnitList">Lists!$C$34:$C$58</definedName>
    <definedName name="UnitNames">Lists!$A$291:$A$313</definedName>
    <definedName name="UnitsPerMonth">Settings!$D$34</definedName>
    <definedName name="VariationPrefix">Settings!$D$97</definedName>
    <definedName name="VariationTypeList">Lists!$I$122:$I$143</definedName>
    <definedName name="VesselList">Lists!$G$215:$G$232</definedName>
    <definedName name="WastePrefix">Settings!$D$104</definedName>
    <definedName name="WasteReasonList">Lists!$E$146:$E$167</definedName>
    <definedName name="WaxList">Lists!$C$215:$C$231</definedName>
    <definedName name="WcCarriage">'Wholesale Calculator'!$D$9</definedName>
    <definedName name="WcCons">'Wholesale Calculator'!$D$17</definedName>
    <definedName name="WcConsUsed">'Wholesale Calculator'!$E$17</definedName>
    <definedName name="WcCost">'Wholesale Calculator'!$E$20</definedName>
    <definedName name="WcDiscount">'Wholesale Calculator'!$D$7</definedName>
    <definedName name="WcGap">'Wholesale Calculator'!$D$33</definedName>
    <definedName name="WcKeystone">'Wholesale Calculator'!$D$34</definedName>
    <definedName name="WcLab">'Wholesale Calculator'!$D$16</definedName>
    <definedName name="WcLabUsed">'Wholesale Calculator'!$E$16</definedName>
    <definedName name="WcMargin">'Wholesale Calculator'!$D$27</definedName>
    <definedName name="WcMat">'Wholesale Calculator'!$D$15</definedName>
    <definedName name="WcMatUsed">'Wholesale Calculator'!$E$15</definedName>
    <definedName name="WcNeedRetail">'Wholesale Calculator'!$D$32</definedName>
    <definedName name="WcNeedWholesale">'Wholesale Calculator'!$D$31</definedName>
    <definedName name="WcOh">'Wholesale Calculator'!$D$19</definedName>
    <definedName name="WcOhUsed">'Wholesale Calculator'!$E$19</definedName>
    <definedName name="WcPack">'Wholesale Calculator'!$D$18</definedName>
    <definedName name="WcPackUsed">'Wholesale Calculator'!$E$18</definedName>
    <definedName name="WcPrice">'Wholesale Calculator'!$D$25</definedName>
    <definedName name="WcProduct">'Wholesale Calculator'!$D$6</definedName>
    <definedName name="WcProfit">'Wholesale Calculator'!$D$26</definedName>
    <definedName name="WcQty">'Wholesale Calculator'!$D$8</definedName>
    <definedName name="WcRetail">'Wholesale Calculator'!$D$24</definedName>
    <definedName name="WcTarget">'Wholesale Calculator'!$D$10</definedName>
    <definedName name="WcWage">'Wholesale Calculator'!$D$28</definedName>
    <definedName name="WholesaleDiscount">Settings!$D$77</definedName>
    <definedName name="WickList">Lists!$E$215:$E$229</definedName>
    <definedName name="WoodList">Lists!$C$241:$C$262</definedName>
    <definedName name="WoodPrefix">Settings!$D$109</definedName>
    <definedName name="YarnWeightList">Lists!$E$192:$E$209</definedName>
    <definedName name="YearStart">Settings!$D$23</definedName>
    <definedName name="YesNoList">Lists!$A$9:$A$18</definedName>
    <definedName name="YesNoNAList">Lists!$C$9:$C$19</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Every other tab refers to a product by this ID, so filter the catalog rather than re-sorting it.</t>
        </r>
      </text>
    </comment>
    <comment ref="B4" authorId="0">
      <text>
        <r>
          <rPr>
            <sz val="8"/>
            <color indexed="81"/>
            <rFont val="Tahoma"/>
            <family val="2"/>
          </rPr>
          <t>The name a buyer would recognise. 'Cream cable beanie' beats 'Hat 3'.</t>
        </r>
      </text>
    </comment>
    <comment ref="C4" authorId="0">
      <text>
        <r>
          <rPr>
            <sz val="8"/>
            <color indexed="81"/>
            <rFont val="Tahoma"/>
            <family val="2"/>
          </rPr>
          <t>Leave blank and the workbook builds one from the category and the row number.</t>
        </r>
      </text>
    </comment>
    <comment ref="G4" authorId="0">
      <text>
        <r>
          <rPr>
            <sz val="8"/>
            <color indexed="81"/>
            <rFont val="Tahoma"/>
            <family val="2"/>
          </rPr>
          <t>Feeds the time factor on the Lists tab, which stretches your estimated minutes.</t>
        </r>
      </text>
    </comment>
    <comment ref="H4" authorId="0">
      <text>
        <r>
          <rPr>
            <sz val="8"/>
            <color indexed="81"/>
            <rFont val="Tahoma"/>
            <family val="2"/>
          </rPr>
          <t>Which fee schedule this product is priced for. Change it and watch the suggested price move.</t>
        </r>
      </text>
    </comment>
    <comment ref="I4" authorId="0">
      <text>
        <r>
          <rPr>
            <sz val="8"/>
            <color indexed="81"/>
            <rFont val="Tahoma"/>
            <family val="2"/>
          </rPr>
          <t>Picks up the cost and the weight of that profile from the Packaging tab.</t>
        </r>
      </text>
    </comment>
    <comment ref="J4" authorId="0">
      <text>
        <r>
          <rPr>
            <sz val="8"/>
            <color indexed="81"/>
            <rFont val="Tahoma"/>
            <family val="2"/>
          </rPr>
          <t>From the Shipping rate card. Only the part you absorb becomes a cost of this product.</t>
        </r>
      </text>
    </comment>
    <comment ref="K4" authorId="0">
      <text>
        <r>
          <rPr>
            <sz val="8"/>
            <color indexed="81"/>
            <rFont val="Tahoma"/>
            <family val="2"/>
          </rPr>
          <t>The finished piece, before packaging. The workbook warns you when item plus packaging goes over the weight band you chose.</t>
        </r>
      </text>
    </comment>
    <comment ref="M4" authorId="0">
      <text>
        <r>
          <rPr>
            <sz val="8"/>
            <color indexed="81"/>
            <rFont val="Tahoma"/>
            <family val="2"/>
          </rPr>
          <t>What you actually charge. Leave it blank to use the suggested price.</t>
        </r>
      </text>
    </comment>
    <comment ref="N4" authorId="0">
      <text>
        <r>
          <rPr>
            <sz val="8"/>
            <color indexed="81"/>
            <rFont val="Tahoma"/>
            <family val="2"/>
          </rPr>
          <t>Per product override. Blank uses the target on the Settings tab.</t>
        </r>
      </text>
    </comment>
    <comment ref="O4" authorId="0">
      <text>
        <r>
          <rPr>
            <sz val="8"/>
            <color indexed="81"/>
            <rFont val="Tahoma"/>
            <family val="2"/>
          </rPr>
          <t>Lifetime units made, for your own reference - the sales figures come from the Sales tab.</t>
        </r>
      </text>
    </comment>
    <comment ref="S4" authorId="0">
      <text>
        <r>
          <rPr>
            <sz val="8"/>
            <color indexed="81"/>
            <rFont val="Tahoma"/>
            <family val="2"/>
          </rPr>
          <t>Automatic unless you override it. Printed on the costing sheet and the order forms.</t>
        </r>
      </text>
    </comment>
    <comment ref="T4" authorId="0">
      <text>
        <r>
          <rPr>
            <sz val="8"/>
            <color indexed="81"/>
            <rFont val="Tahoma"/>
            <family val="2"/>
          </rPr>
          <t>The bill of materials plus anything costed on a specialist calculator tab. Use one or the other for a given product, never both.</t>
        </r>
      </text>
    </comment>
    <comment ref="X4" authorId="0">
      <text>
        <r>
          <rPr>
            <sz val="8"/>
            <color indexed="81"/>
            <rFont val="Tahoma"/>
            <family val="2"/>
          </rPr>
          <t>Your logged minutes, stretched by the difficulty factor on the Lists tab.</t>
        </r>
      </text>
    </comment>
    <comment ref="Z4" authorId="0">
      <text>
        <r>
          <rPr>
            <sz val="8"/>
            <color indexed="81"/>
            <rFont val="Tahoma"/>
            <family val="2"/>
          </rPr>
          <t>The labour cost after the difficulty factor. This is the figure the price is built on.</t>
        </r>
      </text>
    </comment>
    <comment ref="AA4" authorId="0">
      <text>
        <r>
          <rPr>
            <sz val="8"/>
            <color indexed="81"/>
            <rFont val="Tahoma"/>
            <family val="2"/>
          </rPr>
          <t>Thread, glue, sandpaper - charged per hour worked - plus anything a specialist tab calls an extra.</t>
        </r>
      </text>
    </comment>
    <comment ref="AG4" authorId="0">
      <text>
        <r>
          <rPr>
            <sz val="8"/>
            <color indexed="81"/>
            <rFont val="Tahoma"/>
            <family val="2"/>
          </rPr>
          <t>What the label costs less what the buyer pays. Free shipping lands here in full.</t>
        </r>
      </text>
    </comment>
    <comment ref="AH4" authorId="0">
      <text>
        <r>
          <rPr>
            <sz val="8"/>
            <color indexed="81"/>
            <rFont val="Tahoma"/>
            <family val="2"/>
          </rPr>
          <t>Materials + labour + consumables + packaging + the postage you absorb.</t>
        </r>
      </text>
    </comment>
    <comment ref="AI4" authorId="0">
      <text>
        <r>
          <rPr>
            <sz val="8"/>
            <color indexed="81"/>
            <rFont val="Tahoma"/>
            <family val="2"/>
          </rPr>
          <t>Every percentage fee that channel charges, added up. The 'f' in the pricing formula.</t>
        </r>
      </text>
    </comment>
    <comment ref="AK4" authorId="0">
      <text>
        <r>
          <rPr>
            <sz val="8"/>
            <color indexed="81"/>
            <rFont val="Tahoma"/>
            <family val="2"/>
          </rPr>
          <t>Listing and payment fees per order, plus the fee the channel charges on the postage the buyer paid.</t>
        </r>
      </text>
    </comment>
    <comment ref="AQ4" authorId="0">
      <text>
        <r>
          <rPr>
            <sz val="8"/>
            <color indexed="81"/>
            <rFont val="Tahoma"/>
            <family val="2"/>
          </rPr>
          <t>(Cost + fixed fees) / (1 - target margin - fee rate), rounded by the rule on Settings. The one number this whole workbook exists to produce.</t>
        </r>
      </text>
    </comment>
    <comment ref="AR4" authorId="0">
      <text>
        <r>
          <rPr>
            <sz val="8"/>
            <color indexed="81"/>
            <rFont val="Tahoma"/>
            <family val="2"/>
          </rPr>
          <t>Your price if you typed one, otherwise the suggested price. Everything below uses this.</t>
        </r>
      </text>
    </comment>
    <comment ref="AT4" authorId="0">
      <text>
        <r>
          <rPr>
            <sz val="8"/>
            <color indexed="81"/>
            <rFont val="Tahoma"/>
            <family val="2"/>
          </rPr>
          <t>C = materials + labour + packaging + shipping + overhead. Fees are not a cost of making it, so they are shown separately.</t>
        </r>
      </text>
    </comment>
    <comment ref="AV4" authorId="0">
      <text>
        <r>
          <rPr>
            <sz val="8"/>
            <color indexed="81"/>
            <rFont val="Tahoma"/>
            <family val="2"/>
          </rPr>
          <t>What is left after everything - including paying yourself for the hours. A small number here is still a wage; a negative one is a hobby.</t>
        </r>
      </text>
    </comment>
    <comment ref="AW4" authorId="0">
      <text>
        <r>
          <rPr>
            <sz val="8"/>
            <color indexed="81"/>
            <rFont val="Tahoma"/>
            <family val="2"/>
          </rPr>
          <t>Profit / price. The share of every dollar you keep.</t>
        </r>
      </text>
    </comment>
    <comment ref="AX4" authorId="0">
      <text>
        <r>
          <rPr>
            <sz val="8"/>
            <color indexed="81"/>
            <rFont val="Tahoma"/>
            <family val="2"/>
          </rPr>
          <t>Profit / cost. The same product, a bigger looking number - 100% markup is a 50% margin. Never confuse the two again.</t>
        </r>
      </text>
    </comment>
    <comment ref="AY4" authorId="0">
      <text>
        <r>
          <rPr>
            <sz val="8"/>
            <color indexed="81"/>
            <rFont val="Tahoma"/>
            <family val="2"/>
          </rPr>
          <t>On top of the wage already inside the labour cost. This is what the business earns over and above paying you.</t>
        </r>
      </text>
    </comment>
    <comment ref="AZ4" authorId="0">
      <text>
        <r>
          <rPr>
            <sz val="8"/>
            <color indexed="81"/>
            <rFont val="Tahoma"/>
            <family val="2"/>
          </rPr>
          <t>Wage plus profit, divided by the hours. If this is under your local minimum wage, the price is wrong - not your speed.</t>
        </r>
      </text>
    </comment>
    <comment ref="BA4" authorId="0">
      <text>
        <r>
          <rPr>
            <sz val="8"/>
            <color indexed="81"/>
            <rFont val="Tahoma"/>
            <family val="2"/>
          </rPr>
          <t>The price at which this product makes exactly nothing. Sale prices below this are costing you money to give away.</t>
        </r>
      </text>
    </comment>
    <comment ref="BB4" authorId="0">
      <text>
        <r>
          <rPr>
            <sz val="8"/>
            <color indexed="81"/>
            <rFont val="Tahoma"/>
            <family val="2"/>
          </rPr>
          <t>The old craft fair rule of thumb, for comparison only. It ignores fees entirely, which is why it leaves makers short.</t>
        </r>
      </text>
    </comment>
    <comment ref="BC4" authorId="0">
      <text>
        <r>
          <rPr>
            <sz val="8"/>
            <color indexed="81"/>
            <rFont val="Tahoma"/>
            <family val="2"/>
          </rPr>
          <t>Your retail price less the wholesale discount on Settings. The Wholesale Calculator shows whether it survives.</t>
        </r>
      </text>
    </comment>
    <comment ref="BD4" authorId="0">
      <text>
        <r>
          <rPr>
            <sz val="8"/>
            <color indexed="81"/>
            <rFont val="Tahoma"/>
            <family val="2"/>
          </rPr>
          <t>No marketplace fees on a wholesale order, but no retail price either.</t>
        </r>
      </text>
    </comment>
    <comment ref="BG4" authorId="0">
      <text>
        <r>
          <rPr>
            <sz val="8"/>
            <color indexed="81"/>
            <rFont val="Tahoma"/>
            <family val="2"/>
          </rPr>
          <t>Above the market is not a problem if the work justifies it - but you should know you are there.</t>
        </r>
      </text>
    </comment>
    <comment ref="BK4" authorId="0">
      <text>
        <r>
          <rPr>
            <sz val="8"/>
            <color indexed="81"/>
            <rFont val="Tahoma"/>
            <family val="2"/>
          </rPr>
          <t>What really happened, discounts and refunds included. Compare it with the margin you planned.</t>
        </r>
      </text>
    </comment>
    <comment ref="BO4" authorId="0">
      <text>
        <r>
          <rPr>
            <sz val="8"/>
            <color indexed="81"/>
            <rFont val="Tahoma"/>
            <family val="2"/>
          </rPr>
          <t>1 = the largest profit.</t>
        </r>
      </text>
    </comment>
    <comment ref="BP4" authorId="0">
      <text>
        <r>
          <rPr>
            <sz val="8"/>
            <color indexed="81"/>
            <rFont val="Tahoma"/>
            <family val="2"/>
          </rPr>
          <t>1 = the largest margin.</t>
        </r>
      </text>
    </comment>
    <comment ref="BQ4" authorId="0">
      <text>
        <r>
          <rPr>
            <sz val="8"/>
            <color indexed="81"/>
            <rFont val="Tahoma"/>
            <family val="2"/>
          </rPr>
          <t>1 = the largest revenue.</t>
        </r>
      </text>
    </comment>
    <comment ref="BR4" authorId="0">
      <text>
        <r>
          <rPr>
            <sz val="8"/>
            <color indexed="81"/>
            <rFont val="Tahoma"/>
            <family val="2"/>
          </rPr>
          <t>1 = the largest profit_hour.</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Generated automatically. The bill of materials picks from these IDs, so filter the list rather than re-sorting it.</t>
        </r>
      </text>
    </comment>
    <comment ref="B4" authorId="0">
      <text>
        <r>
          <rPr>
            <sz val="8"/>
            <color indexed="81"/>
            <rFont val="Tahoma"/>
            <family val="2"/>
          </rPr>
          <t>What you call it when you reorder. Be specific - 'Cascade 220 worsted, cream' beats 'wool'.</t>
        </r>
      </text>
    </comment>
    <comment ref="F4" authorId="0">
      <text>
        <r>
          <rPr>
            <sz val="8"/>
            <color indexed="81"/>
            <rFont val="Tahoma"/>
            <family val="2"/>
          </rPr>
          <t>Their SKU. Saves ten minutes every time you reorder.</t>
        </r>
      </text>
    </comment>
    <comment ref="G4" authorId="0">
      <text>
        <r>
          <rPr>
            <sz val="8"/>
            <color indexed="81"/>
            <rFont val="Tahoma"/>
            <family val="2"/>
          </rPr>
          <t>How much one purchase contains: 100 (g in a skein), 144 (beads in a gross), 2.4 (metres on a board).</t>
        </r>
      </text>
    </comment>
    <comment ref="H4" authorId="0">
      <text>
        <r>
          <rPr>
            <sz val="8"/>
            <color indexed="81"/>
            <rFont val="Tahoma"/>
            <family val="2"/>
          </rPr>
          <t>The unit that quantity is measured in. The unit table on the Lists tab converts it to a base unit.</t>
        </r>
      </text>
    </comment>
    <comment ref="I4" authorId="0">
      <text>
        <r>
          <rPr>
            <sz val="8"/>
            <color indexed="81"/>
            <rFont val="Tahoma"/>
            <family val="2"/>
          </rPr>
          <t>What the supplier charges for one pack, before any trade discount and before delivery.</t>
        </r>
      </text>
    </comment>
    <comment ref="J4" authorId="0">
      <text>
        <r>
          <rPr>
            <sz val="8"/>
            <color indexed="81"/>
            <rFont val="Tahoma"/>
            <family val="2"/>
          </rPr>
          <t>Postage, divided by how many packs were on the order. It is part of what the material costs you.</t>
        </r>
      </text>
    </comment>
    <comment ref="L4" authorId="0">
      <text>
        <r>
          <rPr>
            <sz val="8"/>
            <color indexed="81"/>
            <rFont val="Tahoma"/>
            <family val="2"/>
          </rPr>
          <t>Leave blank to use the default on Settings. This is the share that becomes offcuts and mistakes - it is applied on the usage line, never here.</t>
        </r>
      </text>
    </comment>
    <comment ref="M4" authorId="0">
      <text>
        <r>
          <rPr>
            <sz val="8"/>
            <color indexed="81"/>
            <rFont val="Tahoma"/>
            <family val="2"/>
          </rPr>
          <t>In the unit above. Count the shelf now and again.</t>
        </r>
      </text>
    </comment>
    <comment ref="O4" authorId="0">
      <text>
        <r>
          <rPr>
            <sz val="8"/>
            <color indexed="81"/>
            <rFont val="Tahoma"/>
            <family val="2"/>
          </rPr>
          <t>The price before the last rise. The workbook shows you how far it has moved.</t>
        </r>
      </text>
    </comment>
    <comment ref="P4" authorId="0">
      <text>
        <r>
          <rPr>
            <sz val="8"/>
            <color indexed="81"/>
            <rFont val="Tahoma"/>
            <family val="2"/>
          </rPr>
          <t>When you last confirmed this price. Material costs drift upwards quietly.</t>
        </r>
      </text>
    </comment>
    <comment ref="R4" authorId="0">
      <text>
        <r>
          <rPr>
            <sz val="8"/>
            <color indexed="81"/>
            <rFont val="Tahoma"/>
            <family val="2"/>
          </rPr>
          <t>Pack price less the trade discount, plus delivery.</t>
        </r>
      </text>
    </comment>
    <comment ref="S4" authorId="0">
      <text>
        <r>
          <rPr>
            <sz val="8"/>
            <color indexed="81"/>
            <rFont val="Tahoma"/>
            <family val="2"/>
          </rPr>
          <t>The number everything else multiplies: what one gram, bead or inch costs you.</t>
        </r>
      </text>
    </comment>
    <comment ref="V4" authorId="0">
      <text>
        <r>
          <rPr>
            <sz val="8"/>
            <color indexed="81"/>
            <rFont val="Tahoma"/>
            <family val="2"/>
          </rPr>
          <t>The same cost expressed per gram, per millilitre or per centimetre, so two suppliers selling different pack sizes can be compared honestly.</t>
        </r>
      </text>
    </comment>
    <comment ref="X4" authorId="0">
      <text>
        <r>
          <rPr>
            <sz val="8"/>
            <color indexed="81"/>
            <rFont val="Tahoma"/>
            <family val="2"/>
          </rPr>
          <t>Reference only. The waste is added on the bill of materials line, so it is not double counted here.</t>
        </r>
      </text>
    </comment>
    <comment ref="Y4" authorId="0">
      <text>
        <r>
          <rPr>
            <sz val="8"/>
            <color indexed="81"/>
            <rFont val="Tahoma"/>
            <family val="2"/>
          </rPr>
          <t>Add this column up. Most makers are holding far more money on the shelf than they think.</t>
        </r>
      </text>
    </comment>
    <comment ref="Z4" authorId="0">
      <text>
        <r>
          <rPr>
            <sz val="8"/>
            <color indexed="81"/>
            <rFont val="Tahoma"/>
            <family val="2"/>
          </rPr>
          <t>How many product recipes call for this material.</t>
        </r>
      </text>
    </comment>
    <comment ref="AA4" authorId="0">
      <text>
        <r>
          <rPr>
            <sz val="8"/>
            <color indexed="81"/>
            <rFont val="Tahoma"/>
            <family val="2"/>
          </rPr>
          <t>One of each product that uses it would consume this much, waste included.</t>
        </r>
      </text>
    </comment>
    <comment ref="AC4" authorId="0">
      <text>
        <r>
          <rPr>
            <sz val="8"/>
            <color indexed="81"/>
            <rFont val="Tahoma"/>
            <family val="2"/>
          </rPr>
          <t>How many complete sets of the products that use it you could make from the stock on hand.</t>
        </r>
      </text>
    </comment>
    <comment ref="AD4" authorId="0">
      <text>
        <r>
          <rPr>
            <sz val="8"/>
            <color indexed="81"/>
            <rFont val="Tahoma"/>
            <family val="2"/>
          </rPr>
          <t>A material up 10% is a product that quietly stopped making money. Re-price it.</t>
        </r>
      </text>
    </comment>
    <comment ref="AF4" authorId="0">
      <text>
        <r>
          <rPr>
            <sz val="8"/>
            <color indexed="81"/>
            <rFont val="Tahoma"/>
            <family val="2"/>
          </rPr>
          <t>1 = the material you spend the most on. The Reports tab reads this.</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The product ID from the Products tab. Type several rows with the same ID - one per material.</t>
        </r>
      </text>
    </comment>
    <comment ref="B4" authorId="0">
      <text>
        <r>
          <rPr>
            <sz val="8"/>
            <color indexed="81"/>
            <rFont val="Tahoma"/>
            <family val="2"/>
          </rPr>
          <t>Automatic, so you can see at a glance that the ID you typed is the product you meant.</t>
        </r>
      </text>
    </comment>
    <comment ref="F4" authorId="0">
      <text>
        <r>
          <rPr>
            <sz val="8"/>
            <color indexed="81"/>
            <rFont val="Tahoma"/>
            <family val="2"/>
          </rPr>
          <t>In the unit shown. Weigh the yarn left over and subtract - guessing is what makes a price wrong.</t>
        </r>
      </text>
    </comment>
    <comment ref="G4" authorId="0">
      <text>
        <r>
          <rPr>
            <sz val="8"/>
            <color indexed="81"/>
            <rFont val="Tahoma"/>
            <family val="2"/>
          </rPr>
          <t>Blank uses the material's own allowance, or the default on Settings. Fabric cut on the bias wastes far more than yarn does.</t>
        </r>
      </text>
    </comment>
    <comment ref="H4" authorId="0">
      <text>
        <r>
          <rPr>
            <sz val="8"/>
            <color indexed="81"/>
            <rFont val="Tahoma"/>
            <family val="2"/>
          </rPr>
          <t>Yes for an upgrade or an add-on that not every piece gets. Optional lines are still costed - the flag is there so you can see what is core.</t>
        </r>
      </text>
    </comment>
    <comment ref="K4" authorId="0">
      <text>
        <r>
          <rPr>
            <sz val="8"/>
            <color indexed="81"/>
            <rFont val="Tahoma"/>
            <family val="2"/>
          </rPr>
          <t>What you actually have to buy to make one.</t>
        </r>
      </text>
    </comment>
    <comment ref="M4" authorId="0">
      <text>
        <r>
          <rPr>
            <sz val="8"/>
            <color indexed="81"/>
            <rFont val="Tahoma"/>
            <family val="2"/>
          </rPr>
          <t>Quantity, plus waste, times the cost a unit. This is what the catalog adds up.</t>
        </r>
      </text>
    </comment>
    <comment ref="O4" authorId="0">
      <text>
        <r>
          <rPr>
            <sz val="8"/>
            <color indexed="81"/>
            <rFont val="Tahoma"/>
            <family val="2"/>
          </rPr>
          <t>Which material is driving the cost. Usually one line is most of it - that is the one to shop around for.</t>
        </r>
      </text>
    </comment>
    <comment ref="Q4" authorId="0">
      <text>
        <r>
          <rPr>
            <sz val="8"/>
            <color indexed="81"/>
            <rFont val="Tahoma"/>
            <family val="2"/>
          </rPr>
          <t>Used by the printable costing sheet to pull the lines of one product in order.</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The product ID. Add as many stages as the piece really has - the total is what the catalog uses.</t>
        </r>
      </text>
    </comment>
    <comment ref="C4" authorId="0">
      <text>
        <r>
          <rPr>
            <sz val="8"/>
            <color indexed="81"/>
            <rFont val="Tahoma"/>
            <family val="2"/>
          </rPr>
          <t>Making is never the whole story. Photography, listing and packing are work too, and they are where small items lose money.</t>
        </r>
      </text>
    </comment>
    <comment ref="D4" authorId="0">
      <text>
        <r>
          <rPr>
            <sz val="8"/>
            <color indexed="81"/>
            <rFont val="Tahoma"/>
            <family val="2"/>
          </rPr>
          <t>Sets the hourly rate: you, an employee or a contractor. Override it in the next column if this particular job pays differently.</t>
        </r>
      </text>
    </comment>
    <comment ref="E4" authorId="0">
      <text>
        <r>
          <rPr>
            <sz val="8"/>
            <color indexed="81"/>
            <rFont val="Tahoma"/>
            <family val="2"/>
          </rPr>
          <t>Leave blank to use the rate on the Settings tab for whoever is doing it.</t>
        </r>
      </text>
    </comment>
    <comment ref="F4" authorId="0">
      <text>
        <r>
          <rPr>
            <sz val="8"/>
            <color indexed="81"/>
            <rFont val="Tahoma"/>
            <family val="2"/>
          </rPr>
          <t>Time it once with a timer, not from memory. Makers underestimate their own hours by about a third.</t>
        </r>
      </text>
    </comment>
    <comment ref="G4" authorId="0">
      <text>
        <r>
          <rPr>
            <sz val="8"/>
            <color indexed="81"/>
            <rFont val="Tahoma"/>
            <family val="2"/>
          </rPr>
          <t>'Per batch' for anything you do once for a whole run - setting up, pouring a pot of wax, a post office trip.</t>
        </r>
      </text>
    </comment>
    <comment ref="H4" authorId="0">
      <text>
        <r>
          <rPr>
            <sz val="8"/>
            <color indexed="81"/>
            <rFont val="Tahoma"/>
            <family val="2"/>
          </rPr>
          <t>Only used when the stage is per batch. Blank uses the default batch size on Settings.</t>
        </r>
      </text>
    </comment>
    <comment ref="I4" authorId="0">
      <text>
        <r>
          <rPr>
            <sz val="8"/>
            <color indexed="81"/>
            <rFont val="Tahoma"/>
            <family val="2"/>
          </rPr>
          <t>Flag the stages that took years to learn. The reports show how much of your making time is skilled - that is the part worth protecting.</t>
        </r>
      </text>
    </comment>
    <comment ref="K4" authorId="0">
      <text>
        <r>
          <rPr>
            <sz val="8"/>
            <color indexed="81"/>
            <rFont val="Tahoma"/>
            <family val="2"/>
          </rPr>
          <t>Your own hours carry the on-costs from Settings too - holiday and tax do not stop existing because you are self employed.</t>
        </r>
      </text>
    </comment>
    <comment ref="L4" authorId="0">
      <text>
        <r>
          <rPr>
            <sz val="8"/>
            <color indexed="81"/>
            <rFont val="Tahoma"/>
            <family val="2"/>
          </rPr>
          <t>Minutes / 60. The textbook formula.</t>
        </r>
      </text>
    </comment>
    <comment ref="N4" authorId="0">
      <text>
        <r>
          <rPr>
            <sz val="8"/>
            <color indexed="81"/>
            <rFont val="Tahoma"/>
            <family val="2"/>
          </rPr>
          <t>Hours x rate, before it is shared over a batch.</t>
        </r>
      </text>
    </comment>
    <comment ref="O4" authorId="0">
      <text>
        <r>
          <rPr>
            <sz val="8"/>
            <color indexed="81"/>
            <rFont val="Tahoma"/>
            <family val="2"/>
          </rPr>
          <t>What this stage adds to one finished piece. This is the column the catalog sums.</t>
        </r>
      </text>
    </comment>
    <comment ref="Q4" authorId="0">
      <text>
        <r>
          <rPr>
            <sz val="8"/>
            <color indexed="81"/>
            <rFont val="Tahoma"/>
            <family val="2"/>
          </rPr>
          <t>Thread, glue, sandpaper, the sponge you ruin. Charged per hour worked from the Settings rate.</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Mailer, tissue, thank you card, twine, fragile sticker - one row each.</t>
        </r>
      </text>
    </comment>
    <comment ref="D4" authorId="0">
      <text>
        <r>
          <rPr>
            <sz val="8"/>
            <color indexed="81"/>
            <rFont val="Tahoma"/>
            <family val="2"/>
          </rPr>
          <t>500 stickers on a roll, 100 mailers in a box.</t>
        </r>
      </text>
    </comment>
    <comment ref="E4" authorId="0">
      <text>
        <r>
          <rPr>
            <sz val="8"/>
            <color indexed="81"/>
            <rFont val="Tahoma"/>
            <family val="2"/>
          </rPr>
          <t>Including delivery, as always.</t>
        </r>
      </text>
    </comment>
    <comment ref="F4" authorId="0">
      <text>
        <r>
          <rPr>
            <sz val="8"/>
            <color indexed="81"/>
            <rFont val="Tahoma"/>
            <family val="2"/>
          </rPr>
          <t>Usually 1. Two sheets of tissue is 2.</t>
        </r>
      </text>
    </comment>
    <comment ref="G4" authorId="0">
      <text>
        <r>
          <rPr>
            <sz val="8"/>
            <color indexed="81"/>
            <rFont val="Tahoma"/>
            <family val="2"/>
          </rPr>
          <t>Packaging weight pushes orders into the next postage band more often than the product does.</t>
        </r>
      </text>
    </comment>
    <comment ref="L4" authorId="0">
      <text>
        <r>
          <rPr>
            <sz val="8"/>
            <color indexed="81"/>
            <rFont val="Tahoma"/>
            <family val="2"/>
          </rPr>
          <t>Branded packaging is marketing as well as cost - worth knowing how much of the spend it is.</t>
        </r>
      </text>
    </comment>
    <comment ref="Y4" authorId="0">
      <text>
        <r>
          <rPr>
            <sz val="8"/>
            <color indexed="81"/>
            <rFont val="Tahoma"/>
            <family val="2"/>
          </rPr>
          <t>How many of the four profiles include this component.</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The postage product you actually buy.</t>
        </r>
      </text>
    </comment>
    <comment ref="C4" authorId="0">
      <text>
        <r>
          <rPr>
            <sz val="8"/>
            <color indexed="81"/>
            <rFont val="Tahoma"/>
            <family val="2"/>
          </rPr>
          <t>The weight limit of this band. Product weight plus packaging weight has to fit under it.</t>
        </r>
      </text>
    </comment>
    <comment ref="D4" authorId="0">
      <text>
        <r>
          <rPr>
            <sz val="8"/>
            <color indexed="81"/>
            <rFont val="Tahoma"/>
            <family val="2"/>
          </rPr>
          <t>What the label costs, including any fuel or handling surcharge.</t>
        </r>
      </text>
    </comment>
    <comment ref="E4" authorId="0">
      <text>
        <r>
          <rPr>
            <sz val="8"/>
            <color indexed="81"/>
            <rFont val="Tahoma"/>
            <family val="2"/>
          </rPr>
          <t>Anything this service needs that the profile does not include - a box for fragile items, a tracked label.</t>
        </r>
      </text>
    </comment>
    <comment ref="F4" authorId="0">
      <text>
        <r>
          <rPr>
            <sz val="8"/>
            <color indexed="81"/>
            <rFont val="Tahoma"/>
            <family val="2"/>
          </rPr>
          <t>0 for free shipping. Whatever you put here, the workbook never pretends it covers more than it does.</t>
        </r>
      </text>
    </comment>
    <comment ref="G4" authorId="0">
      <text>
        <r>
          <rPr>
            <sz val="8"/>
            <color indexed="81"/>
            <rFont val="Tahoma"/>
            <family val="2"/>
          </rPr>
          <t>'Free shipping (I absorb it)' moves the whole cost into the product price - which is exactly why free shipping needs a higher price, not a thinner margin.</t>
        </r>
      </text>
    </comment>
    <comment ref="L4" authorId="0">
      <text>
        <r>
          <rPr>
            <sz val="8"/>
            <color indexed="81"/>
            <rFont val="Tahoma"/>
            <family val="2"/>
          </rPr>
          <t>The name products pick from. Built automatically so two bands of the same service never collide.</t>
        </r>
      </text>
    </comment>
    <comment ref="N4" authorId="0">
      <text>
        <r>
          <rPr>
            <sz val="8"/>
            <color indexed="81"/>
            <rFont val="Tahoma"/>
            <family val="2"/>
          </rPr>
          <t>The part that has to come out of the product price. This is what the catalog adds to a product's cost.</t>
        </r>
      </text>
    </comment>
    <comment ref="O4" authorId="0">
      <text>
        <r>
          <rPr>
            <sz val="8"/>
            <color indexed="81"/>
            <rFont val="Tahoma"/>
            <family val="2"/>
          </rPr>
          <t>Positive means the postage you charge more than covers the label. Negative is the per-order hole the price has to fill.</t>
        </r>
      </text>
    </comment>
  </commentList>
</comments>
</file>

<file path=xl/comments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What the bill is called on your bank statement.</t>
        </r>
      </text>
    </comment>
    <comment ref="F4" authorId="0">
      <text>
        <r>
          <rPr>
            <sz val="8"/>
            <color indexed="81"/>
            <rFont val="Tahoma"/>
            <family val="2"/>
          </rPr>
          <t>One-off costs are spread over twelve months, which is the honest way to carry a kiln or a camera.</t>
        </r>
      </text>
    </comment>
    <comment ref="H4" authorId="0">
      <text>
        <r>
          <rPr>
            <sz val="8"/>
            <color indexed="81"/>
            <rFont val="Tahoma"/>
            <family val="2"/>
          </rPr>
          <t>Leave blank for an ongoing cost. A finished cost stops counting against your products.</t>
        </r>
      </text>
    </comment>
    <comment ref="I4" authorId="0">
      <text>
        <r>
          <rPr>
            <sz val="8"/>
            <color indexed="81"/>
            <rFont val="Tahoma"/>
            <family val="2"/>
          </rPr>
          <t>Be honest. The reports total what you could stop paying tomorrow.</t>
        </r>
      </text>
    </comment>
    <comment ref="L4" authorId="0">
      <text>
        <r>
          <rPr>
            <sz val="8"/>
            <color indexed="81"/>
            <rFont val="Tahoma"/>
            <family val="2"/>
          </rPr>
          <t>Everything converted to what it costs you each month. The Settings tab adds this column up.</t>
        </r>
      </text>
    </comment>
    <comment ref="Q4" authorId="0">
      <text>
        <r>
          <rPr>
            <sz val="8"/>
            <color indexed="81"/>
            <rFont val="Tahoma"/>
            <family val="2"/>
          </rPr>
          <t>How many average products you have to sell each month just to pay this one bill.</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The name products pick from. Add your own - a second marketplace, a gallery, a subscription box.</t>
        </r>
      </text>
    </comment>
    <comment ref="B4" authorId="0">
      <text>
        <r>
          <rPr>
            <sz val="8"/>
            <color indexed="81"/>
            <rFont val="Tahoma"/>
            <family val="2"/>
          </rPr>
          <t>Documentation only - the individual fees below are what the maths uses.</t>
        </r>
      </text>
    </comment>
    <comment ref="C4" authorId="0">
      <text>
        <r>
          <rPr>
            <sz val="8"/>
            <color indexed="81"/>
            <rFont val="Tahoma"/>
            <family val="2"/>
          </rPr>
          <t>Charged per listing, and again each time it renews. Spread over the items a listing sells.</t>
        </r>
      </text>
    </comment>
    <comment ref="D4" authorId="0">
      <text>
        <r>
          <rPr>
            <sz val="8"/>
            <color indexed="81"/>
            <rFont val="Tahoma"/>
            <family val="2"/>
          </rPr>
          <t>How many items one listing sells before it renews. 2 means each sale carries half a listing fee.</t>
        </r>
      </text>
    </comment>
    <comment ref="G4" authorId="0">
      <text>
        <r>
          <rPr>
            <sz val="8"/>
            <color indexed="81"/>
            <rFont val="Tahoma"/>
            <family val="2"/>
          </rPr>
          <t>The flat part of the payment fee. On a $6 order this hurts far more than the percentage.</t>
        </r>
      </text>
    </comment>
    <comment ref="I4" authorId="0">
      <text>
        <r>
          <rPr>
            <sz val="8"/>
            <color indexed="81"/>
            <rFont val="Tahoma"/>
            <family val="2"/>
          </rPr>
          <t>What share of your orders arrive through the marketplace's own advertising. Your statements will tell you.</t>
        </r>
      </text>
    </comment>
    <comment ref="L4" authorId="0">
      <text>
        <r>
          <rPr>
            <sz val="8"/>
            <color indexed="81"/>
            <rFont val="Tahoma"/>
            <family val="2"/>
          </rPr>
          <t>Anything else that scales with the order - a gallery commission, an affiliate cut.</t>
        </r>
      </text>
    </comment>
    <comment ref="M4" authorId="0">
      <text>
        <r>
          <rPr>
            <sz val="8"/>
            <color indexed="81"/>
            <rFont val="Tahoma"/>
            <family val="2"/>
          </rPr>
          <t>Stall fee per item, packing surcharge, a per-order charge.</t>
        </r>
      </text>
    </comment>
    <comment ref="N4" authorId="0">
      <text>
        <r>
          <rPr>
            <sz val="8"/>
            <color indexed="81"/>
            <rFont val="Tahoma"/>
            <family val="2"/>
          </rPr>
          <t>A shop plan or a pitch rent. Not charged per order - it belongs in your overhead, and the reminder column says so.</t>
        </r>
      </text>
    </comment>
    <comment ref="O4" authorId="0">
      <text>
        <r>
          <rPr>
            <sz val="8"/>
            <color indexed="81"/>
            <rFont val="Tahoma"/>
            <family val="2"/>
          </rPr>
          <t>Most marketplaces charge their percentage on the postage the buyer paid as well as the item.</t>
        </r>
      </text>
    </comment>
    <comment ref="P4" authorId="0">
      <text>
        <r>
          <rPr>
            <sz val="8"/>
            <color indexed="81"/>
            <rFont val="Tahoma"/>
            <family val="2"/>
          </rPr>
          <t>The date you last read the official fee page. Put today's date in when you do.</t>
        </r>
      </text>
    </comment>
    <comment ref="Q4" authorId="0">
      <text>
        <r>
          <rPr>
            <sz val="8"/>
            <color indexed="81"/>
            <rFont val="Tahoma"/>
            <family val="2"/>
          </rPr>
          <t>Where you read it. Paste the link to the official page so the next check takes ten seconds.</t>
        </r>
      </text>
    </comment>
    <comment ref="S4" authorId="0">
      <text>
        <r>
          <rPr>
            <sz val="8"/>
            <color indexed="81"/>
            <rFont val="Tahoma"/>
            <family val="2"/>
          </rPr>
          <t>Everything that scales with the price, added up, with offsite ads weighted by how many orders actually come from them. This is the 'r' in the pricing formula.</t>
        </r>
      </text>
    </comment>
    <comment ref="T4" authorId="0">
      <text>
        <r>
          <rPr>
            <sz val="8"/>
            <color indexed="81"/>
            <rFont val="Tahoma"/>
            <family val="2"/>
          </rPr>
          <t>Everything charged per order regardless of price, with the listing fee spread over the sales one listing makes. This is the 'F'.</t>
        </r>
      </text>
    </comment>
    <comment ref="U4" authorId="0">
      <text>
        <r>
          <rPr>
            <sz val="8"/>
            <color indexed="81"/>
            <rFont val="Tahoma"/>
            <family val="2"/>
          </rPr>
          <t>What this channel would take from a sale of 20 in your currency. The quickest way to compare two places to sell.</t>
        </r>
      </text>
    </comment>
    <comment ref="W4" authorId="0">
      <text>
        <r>
          <rPr>
            <sz val="8"/>
            <color indexed="81"/>
            <rFont val="Tahoma"/>
            <family val="2"/>
          </rPr>
          <t>The honest headline number: what this channel costs you as a share of a typical sale.</t>
        </r>
      </text>
    </comment>
    <comment ref="AA4" authorId="0">
      <text>
        <r>
          <rPr>
            <sz val="8"/>
            <color indexed="81"/>
            <rFont val="Tahoma"/>
            <family val="2"/>
          </rPr>
          <t>From the Sales tab - what this channel really took once the orders were in. Compare it with the estimate above.</t>
        </r>
      </text>
    </comment>
    <comment ref="AB4" authorId="0">
      <text>
        <r>
          <rPr>
            <sz val="8"/>
            <color indexed="81"/>
            <rFont val="Tahoma"/>
            <family val="2"/>
          </rPr>
          <t>If this is well above the estimate, your fee settings are out of date.</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Link it to the catalog and the costs below flow straight into the product's price. Leave it blank to cost a piece you have not listed yet.</t>
        </r>
      </text>
    </comment>
    <comment ref="B4" authorId="0">
      <text>
        <r>
          <rPr>
            <sz val="8"/>
            <color indexed="81"/>
            <rFont val="Tahoma"/>
            <family val="2"/>
          </rPr>
          <t>What you are making: 'Cable beanie, adult', 'Granny square blanket, throw'.</t>
        </r>
      </text>
    </comment>
    <comment ref="D4" authorId="0">
      <text>
        <r>
          <rPr>
            <sz val="8"/>
            <color indexed="81"/>
            <rFont val="Tahoma"/>
            <family val="2"/>
          </rPr>
          <t>Stretches both the yarn and the time by the size factors on the Lists tab.</t>
        </r>
      </text>
    </comment>
    <comment ref="G4" authorId="0">
      <text>
        <r>
          <rPr>
            <sz val="8"/>
            <color indexed="81"/>
            <rFont val="Tahoma"/>
            <family val="2"/>
          </rPr>
          <t>The material ID from the Materials tab.</t>
        </r>
      </text>
    </comment>
    <comment ref="H4" authorId="0">
      <text>
        <r>
          <rPr>
            <sz val="8"/>
            <color indexed="81"/>
            <rFont val="Tahoma"/>
            <family val="2"/>
          </rPr>
          <t>Weigh the finished piece, or weigh the skein before and after. This single number is the difference between a guess and a price.</t>
        </r>
      </text>
    </comment>
    <comment ref="K4" authorId="0">
      <text>
        <r>
          <rPr>
            <sz val="8"/>
            <color indexed="81"/>
            <rFont val="Tahoma"/>
            <family val="2"/>
          </rPr>
          <t>Tails, swatches, the bit you frogged. Blank uses the default on Settings.</t>
        </r>
      </text>
    </comment>
    <comment ref="N4" authorId="0">
      <text>
        <r>
          <rPr>
            <sz val="8"/>
            <color indexed="81"/>
            <rFont val="Tahoma"/>
            <family val="2"/>
          </rPr>
          <t>What you paid for the pattern or the licence.</t>
        </r>
      </text>
    </comment>
    <comment ref="O4" authorId="0">
      <text>
        <r>
          <rPr>
            <sz val="8"/>
            <color indexed="81"/>
            <rFont val="Tahoma"/>
            <family val="2"/>
          </rPr>
          <t>How many pieces you expect to make from that pattern. The cost is spread over them.</t>
        </r>
      </text>
    </comment>
    <comment ref="P4" authorId="0">
      <text>
        <r>
          <rPr>
            <sz val="8"/>
            <color indexed="81"/>
            <rFont val="Tahoma"/>
            <family val="2"/>
          </rPr>
          <t>Actual hook time. Most makers are surprised the first time they measure it honestly.</t>
        </r>
      </text>
    </comment>
    <comment ref="Q4" authorId="0">
      <text>
        <r>
          <rPr>
            <sz val="8"/>
            <color indexed="81"/>
            <rFont val="Tahoma"/>
            <family val="2"/>
          </rPr>
          <t>Weaving in ends, blocking, sewing up, buttons. The part everybody forgets to charge for.</t>
        </r>
      </text>
    </comment>
    <comment ref="X4" authorId="0">
      <text>
        <r>
          <rPr>
            <sz val="8"/>
            <color indexed="81"/>
            <rFont val="Tahoma"/>
            <family val="2"/>
          </rPr>
          <t>Everything the piece really consumes, size and waste included.</t>
        </r>
      </text>
    </comment>
    <comment ref="AA4" authorId="0">
      <text>
        <r>
          <rPr>
            <sz val="8"/>
            <color indexed="81"/>
            <rFont val="Tahoma"/>
            <family val="2"/>
          </rPr>
          <t>How many balls you have to buy to make one. Buy whole skeins, cost the grams - but know the difference, because the leftovers are real money.</t>
        </r>
      </text>
    </comment>
    <comment ref="AD4" authorId="0">
      <text>
        <r>
          <rPr>
            <sz val="8"/>
            <color indexed="81"/>
            <rFont val="Tahoma"/>
            <family val="2"/>
          </rPr>
          <t>Yarn, notions, stuffing and the pattern's share. This is what flows into the catalog.</t>
        </r>
      </text>
    </comment>
    <comment ref="AG4" authorId="0">
      <text>
        <r>
          <rPr>
            <sz val="8"/>
            <color indexed="81"/>
            <rFont val="Tahoma"/>
            <family val="2"/>
          </rPr>
          <t>Minutes / 60 x your hourly rate. A blanket that takes 22 hours is not a $45 blanket.</t>
        </r>
      </text>
    </comment>
    <comment ref="AJ4" authorId="0">
      <text>
        <r>
          <rPr>
            <sz val="8"/>
            <color indexed="81"/>
            <rFont val="Tahoma"/>
            <family val="2"/>
          </rPr>
          <t>Materials + labour + extras. Packaging, postage and overhead are added in the catalog, which knows which profile and channel this product uses.</t>
        </r>
      </text>
    </comment>
    <comment ref="AO4" authorId="0">
      <text>
        <r>
          <rPr>
            <sz val="8"/>
            <color indexed="81"/>
            <rFont val="Tahoma"/>
            <family val="2"/>
          </rPr>
          <t>(Cost + fixed fees) / (1 - target margin - fee rate), priced for the default channel on Settings.</t>
        </r>
      </text>
    </comment>
    <comment ref="AT4" authorId="0">
      <text>
        <r>
          <rPr>
            <sz val="8"/>
            <color indexed="81"/>
            <rFont val="Tahoma"/>
            <family val="2"/>
          </rPr>
          <t>Wage plus profit over the hours it takes. The honest test of whether this piece is worth making.</t>
        </r>
      </text>
    </comment>
  </commentList>
</comments>
</file>

<file path=xl/comments10.xml><?xml version="1.0" encoding="utf-8"?>
<comments xmlns="http://schemas.openxmlformats.org/spreadsheetml/2006/main">
  <authors>
    <author>Novality Store</author>
  </authors>
  <commentList>
    <comment ref="B4" authorId="0">
      <text>
        <r>
          <rPr>
            <sz val="8"/>
            <color indexed="81"/>
            <rFont val="Tahoma"/>
            <family val="2"/>
          </rPr>
          <t>'Hammered silver bangle', 'Moonstone drop earrings'.</t>
        </r>
      </text>
    </comment>
    <comment ref="D4" authorId="0">
      <text>
        <r>
          <rPr>
            <sz val="8"/>
            <color indexed="81"/>
            <rFont val="Tahoma"/>
            <family val="2"/>
          </rPr>
          <t>The material ID you buy the metal as - sheet, wire, casting grain.</t>
        </r>
      </text>
    </comment>
    <comment ref="E4" authorId="0">
      <text>
        <r>
          <rPr>
            <sz val="8"/>
            <color indexed="81"/>
            <rFont val="Tahoma"/>
            <family val="2"/>
          </rPr>
          <t>Weigh the finished piece. Add the sprue, the filings and the bits that became scrap in the scrap column.</t>
        </r>
      </text>
    </comment>
    <comment ref="F4" authorId="0">
      <text>
        <r>
          <rPr>
            <sz val="8"/>
            <color indexed="81"/>
            <rFont val="Tahoma"/>
            <family val="2"/>
          </rPr>
          <t>Override the material price - useful when the metal price has moved since you bought it.</t>
        </r>
      </text>
    </comment>
    <comment ref="G4" authorId="0">
      <text>
        <r>
          <rPr>
            <sz val="8"/>
            <color indexed="81"/>
            <rFont val="Tahoma"/>
            <family val="2"/>
          </rPr>
          <t>Filings, cut-offs, failed solders. Real on every soldered piece, and worth recovering.</t>
        </r>
      </text>
    </comment>
    <comment ref="H4" authorId="0">
      <text>
        <r>
          <rPr>
            <sz val="8"/>
            <color indexed="81"/>
            <rFont val="Tahoma"/>
            <family val="2"/>
          </rPr>
          <t>How much of that scrap you actually send back or re-melt. Credited against the cost.</t>
        </r>
      </text>
    </comment>
    <comment ref="P4" authorId="0">
      <text>
        <r>
          <rPr>
            <sz val="8"/>
            <color indexed="81"/>
            <rFont val="Tahoma"/>
            <family val="2"/>
          </rPr>
          <t>Clasps, jump rings, ear wires, posts and backs. Count them - they are 60 cents each and they are on every piece.</t>
        </r>
      </text>
    </comment>
    <comment ref="Q4" authorId="0">
      <text>
        <r>
          <rPr>
            <sz val="8"/>
            <color indexed="81"/>
            <rFont val="Tahoma"/>
            <family val="2"/>
          </rPr>
          <t>Solder, flux, pickle, polishing compound, saw blades.</t>
        </r>
      </text>
    </comment>
    <comment ref="S4" authorId="0">
      <text>
        <r>
          <rPr>
            <sz val="8"/>
            <color indexed="81"/>
            <rFont val="Tahoma"/>
            <family val="2"/>
          </rPr>
          <t>Per piece, including the courier. Required over the weight threshold in several countries.</t>
        </r>
      </text>
    </comment>
    <comment ref="U4" authorId="0">
      <text>
        <r>
          <rPr>
            <sz val="8"/>
            <color indexed="81"/>
            <rFont val="Tahoma"/>
            <family val="2"/>
          </rPr>
          <t>Sawing, forming, soldering, setting.</t>
        </r>
      </text>
    </comment>
    <comment ref="AB4" authorId="0">
      <text>
        <r>
          <rPr>
            <sz val="8"/>
            <color indexed="81"/>
            <rFont val="Tahoma"/>
            <family val="2"/>
          </rPr>
          <t>Metal used plus the scrap it makes, less whatever of that scrap you recover.</t>
        </r>
      </text>
    </comment>
    <comment ref="AJ4" authorId="0">
      <text>
        <r>
          <rPr>
            <sz val="8"/>
            <color indexed="81"/>
            <rFont val="Tahoma"/>
            <family val="2"/>
          </rPr>
          <t>Solder, plating, hallmarking and the bench consumables charged per hour.</t>
        </r>
      </text>
    </comment>
    <comment ref="AK4" authorId="0">
      <text>
        <r>
          <rPr>
            <sz val="8"/>
            <color indexed="81"/>
            <rFont val="Tahoma"/>
            <family val="2"/>
          </rPr>
          <t>When this is most of your material cost, a silver price rise is a re-pricing job, not a rounding error.</t>
        </r>
      </text>
    </comment>
    <comment ref="AL4" authorId="0">
      <text>
        <r>
          <rPr>
            <sz val="8"/>
            <color indexed="81"/>
            <rFont val="Tahoma"/>
            <family val="2"/>
          </rPr>
          <t>Materials + labour + extras. Packaging, postage and overhead are added in the catalog, which knows which profile and channel this product uses.</t>
        </r>
      </text>
    </comment>
    <comment ref="AQ4" authorId="0">
      <text>
        <r>
          <rPr>
            <sz val="8"/>
            <color indexed="81"/>
            <rFont val="Tahoma"/>
            <family val="2"/>
          </rPr>
          <t>(Cost + fixed fees) / (1 - target margin - fee rate), priced for the default channel on Settings.</t>
        </r>
      </text>
    </comment>
    <comment ref="AV4" authorId="0">
      <text>
        <r>
          <rPr>
            <sz val="8"/>
            <color indexed="81"/>
            <rFont val="Tahoma"/>
            <family val="2"/>
          </rPr>
          <t>Wage plus profit over the hours it takes. The honest test of whether this piece is worth making.</t>
        </r>
      </text>
    </comment>
  </commentList>
</comments>
</file>

<file path=xl/comments11.xml><?xml version="1.0" encoding="utf-8"?>
<comments xmlns="http://schemas.openxmlformats.org/spreadsheetml/2006/main">
  <authors>
    <author>Novality Store</author>
  </authors>
  <commentList>
    <comment ref="B4" authorId="0">
      <text>
        <r>
          <rPr>
            <sz val="8"/>
            <color indexed="81"/>
            <rFont val="Tahoma"/>
            <family val="2"/>
          </rPr>
          <t>'Fig &amp; cedar, 220 ml amber jar'.</t>
        </r>
      </text>
    </comment>
    <comment ref="F4" authorId="0">
      <text>
        <r>
          <rPr>
            <sz val="8"/>
            <color indexed="81"/>
            <rFont val="Tahoma"/>
            <family val="2"/>
          </rPr>
          <t>The capacity to the brim. The fill level below turns it into the wax you actually pour.</t>
        </r>
      </text>
    </comment>
    <comment ref="G4" authorId="0">
      <text>
        <r>
          <rPr>
            <sz val="8"/>
            <color indexed="81"/>
            <rFont val="Tahoma"/>
            <family val="2"/>
          </rPr>
          <t>How full you pour it. 85% is typical - leave the headroom or the lid sticks.</t>
        </r>
      </text>
    </comment>
    <comment ref="H4" authorId="0">
      <text>
        <r>
          <rPr>
            <sz val="8"/>
            <color indexed="81"/>
            <rFont val="Tahoma"/>
            <family val="2"/>
          </rPr>
          <t>Grams per millilitre. Soy is about 0.9. Blank uses 0.9.</t>
        </r>
      </text>
    </comment>
    <comment ref="I4" authorId="0">
      <text>
        <r>
          <rPr>
            <sz val="8"/>
            <color indexed="81"/>
            <rFont val="Tahoma"/>
            <family val="2"/>
          </rPr>
          <t>If you already know the pour weight, type it and the vessel maths is ignored.</t>
        </r>
      </text>
    </comment>
    <comment ref="J4" authorId="0">
      <text>
        <r>
          <rPr>
            <sz val="8"/>
            <color indexed="81"/>
            <rFont val="Tahoma"/>
            <family val="2"/>
          </rPr>
          <t>Wax left in the pitcher and on the thermometer. Blank uses the default waste on Settings.</t>
        </r>
      </text>
    </comment>
    <comment ref="L4" authorId="0">
      <text>
        <r>
          <rPr>
            <sz val="8"/>
            <color indexed="81"/>
            <rFont val="Tahoma"/>
            <family val="2"/>
          </rPr>
          <t>As a share of the WAX weight, which is how fragrance oil is specified. 8-10% is typical.</t>
        </r>
      </text>
    </comment>
    <comment ref="P4" authorId="0">
      <text>
        <r>
          <rPr>
            <sz val="8"/>
            <color indexed="81"/>
            <rFont val="Tahoma"/>
            <family val="2"/>
          </rPr>
          <t>Including the lid. Vessels are usually the biggest single cost in a candle.</t>
        </r>
      </text>
    </comment>
    <comment ref="R4" authorId="0">
      <text>
        <r>
          <rPr>
            <sz val="8"/>
            <color indexed="81"/>
            <rFont val="Tahoma"/>
            <family val="2"/>
          </rPr>
          <t>Front label, base warning label. The warning label is a legal requirement in most places.</t>
        </r>
      </text>
    </comment>
    <comment ref="S4" authorId="0">
      <text>
        <r>
          <rPr>
            <sz val="8"/>
            <color indexed="81"/>
            <rFont val="Tahoma"/>
            <family val="2"/>
          </rPr>
          <t>How many you pour at once. The setup and clean-down time is shared across them.</t>
        </r>
      </text>
    </comment>
    <comment ref="T4" authorId="0">
      <text>
        <r>
          <rPr>
            <sz val="8"/>
            <color indexed="81"/>
            <rFont val="Tahoma"/>
            <family val="2"/>
          </rPr>
          <t>Melting, measuring, cleaning the pitcher - once per batch, not once per candle.</t>
        </r>
      </text>
    </comment>
    <comment ref="U4" authorId="0">
      <text>
        <r>
          <rPr>
            <sz val="8"/>
            <color indexed="81"/>
            <rFont val="Tahoma"/>
            <family val="2"/>
          </rPr>
          <t>Wicking, pouring, trimming, labelling.</t>
        </r>
      </text>
    </comment>
    <comment ref="V4" authorId="0">
      <text>
        <r>
          <rPr>
            <sz val="8"/>
            <color indexed="81"/>
            <rFont val="Tahoma"/>
            <family val="2"/>
          </rPr>
          <t>Not a cost, but it is working capital sitting on a shelf. Two weeks of cure is two weeks you cannot sell it.</t>
        </r>
      </text>
    </comment>
    <comment ref="Z4" authorId="0">
      <text>
        <r>
          <rPr>
            <sz val="8"/>
            <color indexed="81"/>
            <rFont val="Tahoma"/>
            <family val="2"/>
          </rPr>
          <t>Vessel size x fill level x density, or your own pour weight.</t>
        </r>
      </text>
    </comment>
    <comment ref="AD4" authorId="0">
      <text>
        <r>
          <rPr>
            <sz val="8"/>
            <color indexed="81"/>
            <rFont val="Tahoma"/>
            <family val="2"/>
          </rPr>
          <t>Fragrance oil is the expensive bottle on the shelf, and the load is a percentage of the wax, so a bigger jar costs more twice over.</t>
        </r>
      </text>
    </comment>
    <comment ref="AG4" authorId="0">
      <text>
        <r>
          <rPr>
            <sz val="8"/>
            <color indexed="81"/>
            <rFont val="Tahoma"/>
            <family val="2"/>
          </rPr>
          <t>Your per candle time plus this candle's share of the batch setup.</t>
        </r>
      </text>
    </comment>
    <comment ref="AL4" authorId="0">
      <text>
        <r>
          <rPr>
            <sz val="8"/>
            <color indexed="81"/>
            <rFont val="Tahoma"/>
            <family val="2"/>
          </rPr>
          <t>Roughly, at 7 g an hour. Buyers compare candles on burn time, so it is worth knowing yours.</t>
        </r>
      </text>
    </comment>
    <comment ref="AM4" authorId="0">
      <text>
        <r>
          <rPr>
            <sz val="8"/>
            <color indexed="81"/>
            <rFont val="Tahoma"/>
            <family val="2"/>
          </rPr>
          <t>Materials + labour + extras. Packaging, postage and overhead are added in the catalog, which knows which profile and channel this product uses.</t>
        </r>
      </text>
    </comment>
    <comment ref="AR4" authorId="0">
      <text>
        <r>
          <rPr>
            <sz val="8"/>
            <color indexed="81"/>
            <rFont val="Tahoma"/>
            <family val="2"/>
          </rPr>
          <t>(Cost + fixed fees) / (1 - target margin - fee rate), priced for the default channel on Settings.</t>
        </r>
      </text>
    </comment>
    <comment ref="AW4" authorId="0">
      <text>
        <r>
          <rPr>
            <sz val="8"/>
            <color indexed="81"/>
            <rFont val="Tahoma"/>
            <family val="2"/>
          </rPr>
          <t>Wage plus profit over the hours it takes. The honest test of whether this piece is worth making.</t>
        </r>
      </text>
    </comment>
  </commentList>
</comments>
</file>

<file path=xl/comments12.xml><?xml version="1.0" encoding="utf-8"?>
<comments xmlns="http://schemas.openxmlformats.org/spreadsheetml/2006/main">
  <authors>
    <author>Novality Store</author>
  </authors>
  <commentList>
    <comment ref="B4" authorId="0">
      <text>
        <r>
          <rPr>
            <sz val="8"/>
            <color indexed="81"/>
            <rFont val="Tahoma"/>
            <family val="2"/>
          </rPr>
          <t>'Linen pinafore', 'Toddler bucket hat'.</t>
        </r>
      </text>
    </comment>
    <comment ref="C4" authorId="0">
      <text>
        <r>
          <rPr>
            <sz val="8"/>
            <color indexed="81"/>
            <rFont val="Tahoma"/>
            <family val="2"/>
          </rPr>
          <t>The main fabric. The list is on the Lists tab and you can add your own.</t>
        </r>
      </text>
    </comment>
    <comment ref="E4" authorId="0">
      <text>
        <r>
          <rPr>
            <sz val="8"/>
            <color indexed="81"/>
            <rFont val="Tahoma"/>
            <family val="2"/>
          </rPr>
          <t>How much more fabric and time this size takes than your standard one. Blank is 1.</t>
        </r>
      </text>
    </comment>
    <comment ref="G4" authorId="0">
      <text>
        <r>
          <rPr>
            <sz val="8"/>
            <color indexed="81"/>
            <rFont val="Tahoma"/>
            <family val="2"/>
          </rPr>
          <t>Length of fabric at its usual width. Measure the pattern layout, do not guess.</t>
        </r>
      </text>
    </comment>
    <comment ref="H4" authorId="0">
      <text>
        <r>
          <rPr>
            <sz val="8"/>
            <color indexed="81"/>
            <rFont val="Tahoma"/>
            <family val="2"/>
          </rPr>
          <t>What the cutting layout wastes - 10 to 25% is normal, more on a directional print or a bias cut. Blank uses the Settings default.</t>
        </r>
      </text>
    </comment>
    <comment ref="L4" authorId="0">
      <text>
        <r>
          <rPr>
            <sz val="8"/>
            <color indexed="81"/>
            <rFont val="Tahoma"/>
            <family val="2"/>
          </rPr>
          <t>A reel is $3 and does ten garments. 30 cents is not nothing when the margin is thin.</t>
        </r>
      </text>
    </comment>
    <comment ref="O4" authorId="0">
      <text>
        <r>
          <rPr>
            <sz val="8"/>
            <color indexed="81"/>
            <rFont val="Tahoma"/>
            <family val="2"/>
          </rPr>
          <t>Laying out, pinning, cutting. On a one-off this is often longer than the sewing.</t>
        </r>
      </text>
    </comment>
    <comment ref="Q4" authorId="0">
      <text>
        <r>
          <rPr>
            <sz val="8"/>
            <color indexed="81"/>
            <rFont val="Tahoma"/>
            <family val="2"/>
          </rPr>
          <t>Hems, buttonholes, hand finishing, labels.</t>
        </r>
      </text>
    </comment>
    <comment ref="R4" authorId="0">
      <text>
        <r>
          <rPr>
            <sz val="8"/>
            <color indexed="81"/>
            <rFont val="Tahoma"/>
            <family val="2"/>
          </rPr>
          <t>Pressing is sewing. Count it.</t>
        </r>
      </text>
    </comment>
    <comment ref="S4" authorId="0">
      <text>
        <r>
          <rPr>
            <sz val="8"/>
            <color indexed="81"/>
            <rFont val="Tahoma"/>
            <family val="2"/>
          </rPr>
          <t>Made to measure work lives or dies on this number.</t>
        </r>
      </text>
    </comment>
    <comment ref="Y4" authorId="0">
      <text>
        <r>
          <rPr>
            <sz val="8"/>
            <color indexed="81"/>
            <rFont val="Tahoma"/>
            <family val="2"/>
          </rPr>
          <t>What you have to buy, layout waste and size included.</t>
        </r>
      </text>
    </comment>
    <comment ref="AG4" authorId="0">
      <text>
        <r>
          <rPr>
            <sz val="8"/>
            <color indexed="81"/>
            <rFont val="Tahoma"/>
            <family val="2"/>
          </rPr>
          <t>What the offcuts cost. Worth knowing before you decide whether a scrap-busting product is free money or not.</t>
        </r>
      </text>
    </comment>
    <comment ref="AH4" authorId="0">
      <text>
        <r>
          <rPr>
            <sz val="8"/>
            <color indexed="81"/>
            <rFont val="Tahoma"/>
            <family val="2"/>
          </rPr>
          <t>Materials + labour + extras. Packaging, postage and overhead are added in the catalog, which knows which profile and channel this product uses.</t>
        </r>
      </text>
    </comment>
    <comment ref="AM4" authorId="0">
      <text>
        <r>
          <rPr>
            <sz val="8"/>
            <color indexed="81"/>
            <rFont val="Tahoma"/>
            <family val="2"/>
          </rPr>
          <t>(Cost + fixed fees) / (1 - target margin - fee rate), priced for the default channel on Settings.</t>
        </r>
      </text>
    </comment>
    <comment ref="AR4" authorId="0">
      <text>
        <r>
          <rPr>
            <sz val="8"/>
            <color indexed="81"/>
            <rFont val="Tahoma"/>
            <family val="2"/>
          </rPr>
          <t>Wage plus profit over the hours it takes. The honest test of whether this piece is worth making.</t>
        </r>
      </text>
    </comment>
  </commentList>
</comments>
</file>

<file path=xl/comments13.xml><?xml version="1.0" encoding="utf-8"?>
<comments xmlns="http://schemas.openxmlformats.org/spreadsheetml/2006/main">
  <authors>
    <author>Novality Store</author>
  </authors>
  <commentList>
    <comment ref="B4" authorId="0">
      <text>
        <r>
          <rPr>
            <sz val="8"/>
            <color indexed="81"/>
            <rFont val="Tahoma"/>
            <family val="2"/>
          </rPr>
          <t>'Walnut serving board, large', 'Oak floating shelf 60 cm'.</t>
        </r>
      </text>
    </comment>
    <comment ref="E4" authorId="0">
      <text>
        <r>
          <rPr>
            <sz val="8"/>
            <color indexed="81"/>
            <rFont val="Tahoma"/>
            <family val="2"/>
          </rPr>
          <t>Length of board at the width and thickness you buy it in. Measure the cut list, not the finished piece.</t>
        </r>
      </text>
    </comment>
    <comment ref="F4" authorId="0">
      <text>
        <r>
          <rPr>
            <sz val="8"/>
            <color indexed="81"/>
            <rFont val="Tahoma"/>
            <family val="2"/>
          </rPr>
          <t>Saw kerf, snipe, the end you cut off because it split. 15-30% is normal on small work.</t>
        </r>
      </text>
    </comment>
    <comment ref="I4" authorId="0">
      <text>
        <r>
          <rPr>
            <sz val="8"/>
            <color indexed="81"/>
            <rFont val="Tahoma"/>
            <family val="2"/>
          </rPr>
          <t>Hinges, screws, feet, magnets, brackets.</t>
        </r>
      </text>
    </comment>
    <comment ref="M4" authorId="0">
      <text>
        <r>
          <rPr>
            <sz val="8"/>
            <color indexed="81"/>
            <rFont val="Tahoma"/>
            <family val="2"/>
          </rPr>
          <t>A 500 ml tin of hard wax oil at $32 is $0.064 a millilitre.</t>
        </r>
      </text>
    </comment>
    <comment ref="N4" authorId="0">
      <text>
        <r>
          <rPr>
            <sz val="8"/>
            <color indexed="81"/>
            <rFont val="Tahoma"/>
            <family val="2"/>
          </rPr>
          <t>Sanding discs die on hardwood. They are a cost per piece, not an annual surprise.</t>
        </r>
      </text>
    </comment>
    <comment ref="O4" authorId="0">
      <text>
        <r>
          <rPr>
            <sz val="8"/>
            <color indexed="81"/>
            <rFont val="Tahoma"/>
            <family val="2"/>
          </rPr>
          <t>Time under power: planer, bandsaw, router, sander. Charged at the machine rate as well as your time.</t>
        </r>
      </text>
    </comment>
    <comment ref="P4" authorId="0">
      <text>
        <r>
          <rPr>
            <sz val="8"/>
            <color indexed="81"/>
            <rFont val="Tahoma"/>
            <family val="2"/>
          </rPr>
          <t>Power, dust extraction, blade and belt wear, tool depreciation. $6-$12 an hour is a sane starting point for a small shop.</t>
        </r>
      </text>
    </comment>
    <comment ref="S4" authorId="0">
      <text>
        <r>
          <rPr>
            <sz val="8"/>
            <color indexed="81"/>
            <rFont val="Tahoma"/>
            <family val="2"/>
          </rPr>
          <t>Always longer than anybody admits.</t>
        </r>
      </text>
    </comment>
    <comment ref="T4" authorId="0">
      <text>
        <r>
          <rPr>
            <sz val="8"/>
            <color indexed="81"/>
            <rFont val="Tahoma"/>
            <family val="2"/>
          </rPr>
          <t>Coats, waiting, de-nibbing, another coat.</t>
        </r>
      </text>
    </comment>
    <comment ref="AG4" authorId="0">
      <text>
        <r>
          <rPr>
            <sz val="8"/>
            <color indexed="81"/>
            <rFont val="Tahoma"/>
            <family val="2"/>
          </rPr>
          <t>The tools earning their replacement. Leave it out and the lathe is a hobby that happens to make things.</t>
        </r>
      </text>
    </comment>
    <comment ref="AJ4" authorId="0">
      <text>
        <r>
          <rPr>
            <sz val="8"/>
            <color indexed="81"/>
            <rFont val="Tahoma"/>
            <family val="2"/>
          </rPr>
          <t>Materials + labour + extras. Packaging, postage and overhead are added in the catalog, which knows which profile and channel this product uses.</t>
        </r>
      </text>
    </comment>
    <comment ref="AO4" authorId="0">
      <text>
        <r>
          <rPr>
            <sz val="8"/>
            <color indexed="81"/>
            <rFont val="Tahoma"/>
            <family val="2"/>
          </rPr>
          <t>(Cost + fixed fees) / (1 - target margin - fee rate), priced for the default channel on Settings.</t>
        </r>
      </text>
    </comment>
    <comment ref="AT4" authorId="0">
      <text>
        <r>
          <rPr>
            <sz val="8"/>
            <color indexed="81"/>
            <rFont val="Tahoma"/>
            <family val="2"/>
          </rPr>
          <t>Wage plus profit over the hours it takes. The honest test of whether this piece is worth making.</t>
        </r>
      </text>
    </comment>
  </commentList>
</comments>
</file>

<file path=xl/comments14.xml><?xml version="1.0" encoding="utf-8"?>
<comments xmlns="http://schemas.openxmlformats.org/spreadsheetml/2006/main">
  <authors>
    <author>Novality Store</author>
  </authors>
  <commentList>
    <comment ref="B4" authorId="0">
      <text>
        <r>
          <rPr>
            <sz val="8"/>
            <color indexed="81"/>
            <rFont val="Tahoma"/>
            <family val="2"/>
          </rPr>
          <t>'Cable beanie crochet pattern', 'Farmhouse SVG bundle'.</t>
        </r>
      </text>
    </comment>
    <comment ref="E4" authorId="0">
      <text>
        <r>
          <rPr>
            <sz val="8"/>
            <color indexed="81"/>
            <rFont val="Tahoma"/>
            <family val="2"/>
          </rPr>
          <t>A commercial licence is a different product at a different price, not a favour.</t>
        </r>
      </text>
    </comment>
    <comment ref="F4" authorId="0">
      <text>
        <r>
          <rPr>
            <sz val="8"/>
            <color indexed="81"/>
            <rFont val="Tahoma"/>
            <family val="2"/>
          </rPr>
          <t>Making the thing in the first place - the sample, the grading, the drawing.</t>
        </r>
      </text>
    </comment>
    <comment ref="G4" authorId="0">
      <text>
        <r>
          <rPr>
            <sz val="8"/>
            <color indexed="81"/>
            <rFont val="Tahoma"/>
            <family val="2"/>
          </rPr>
          <t>Writing the pattern up, charts, diagrams, layout. Usually longer than making it.</t>
        </r>
      </text>
    </comment>
    <comment ref="H4" authorId="0">
      <text>
        <r>
          <rPr>
            <sz val="8"/>
            <color indexed="81"/>
            <rFont val="Tahoma"/>
            <family val="2"/>
          </rPr>
          <t>Your time running a test round and correcting it. Tester payments go in the fees column.</t>
        </r>
      </text>
    </comment>
    <comment ref="J4" authorId="0">
      <text>
        <r>
          <rPr>
            <sz val="8"/>
            <color indexed="81"/>
            <rFont val="Tahoma"/>
            <family val="2"/>
          </rPr>
          <t>Free patterns for testers, a tech editor, a proofreader. Real money, paid once.</t>
        </r>
      </text>
    </comment>
    <comment ref="K4" authorId="0">
      <text>
        <r>
          <rPr>
            <sz val="8"/>
            <color indexed="81"/>
            <rFont val="Tahoma"/>
            <family val="2"/>
          </rPr>
          <t>The share of a subscription or stock licence that belongs to this file.</t>
        </r>
      </text>
    </comment>
    <comment ref="L4" authorId="0">
      <text>
        <r>
          <rPr>
            <sz val="8"/>
            <color indexed="81"/>
            <rFont val="Tahoma"/>
            <family val="2"/>
          </rPr>
          <t>Over the life of the listing. Be honest - this single number decides whether the design time is ever recovered.</t>
        </r>
      </text>
    </comment>
    <comment ref="M4" authorId="0">
      <text>
        <r>
          <rPr>
            <sz val="8"/>
            <color indexed="81"/>
            <rFont val="Tahoma"/>
            <family val="2"/>
          </rPr>
          <t>Questions, errata, 'it will not open'. Two minutes a sale is a real cost at volume.</t>
        </r>
      </text>
    </comment>
    <comment ref="N4" authorId="0">
      <text>
        <r>
          <rPr>
            <sz val="8"/>
            <color indexed="81"/>
            <rFont val="Tahoma"/>
            <family val="2"/>
          </rPr>
          <t>Revisions, new sizes, a format nobody could open. Spread over a year of sales.</t>
        </r>
      </text>
    </comment>
    <comment ref="O4" authorId="0">
      <text>
        <r>
          <rPr>
            <sz val="8"/>
            <color indexed="81"/>
            <rFont val="Tahoma"/>
            <family val="2"/>
          </rPr>
          <t>Lifetime sales of this file, for the recovery figure.</t>
        </r>
      </text>
    </comment>
    <comment ref="V4" authorId="0">
      <text>
        <r>
          <rPr>
            <sz val="8"/>
            <color indexed="81"/>
            <rFont val="Tahoma"/>
            <family val="2"/>
          </rPr>
          <t>Everything the file cost to exist, paid once, before a single sale.</t>
        </r>
      </text>
    </comment>
    <comment ref="X4" authorId="0">
      <text>
        <r>
          <rPr>
            <sz val="8"/>
            <color indexed="81"/>
            <rFont val="Tahoma"/>
            <family val="2"/>
          </rPr>
          <t>A download has no materials - which is exactly why the development time has to be taken seriously.</t>
        </r>
      </text>
    </comment>
    <comment ref="Z4" authorId="0">
      <text>
        <r>
          <rPr>
            <sz val="8"/>
            <color indexed="81"/>
            <rFont val="Tahoma"/>
            <family val="2"/>
          </rPr>
          <t>The development cost spread over the sales you expect, plus the support each sale really takes.</t>
        </r>
      </text>
    </comment>
    <comment ref="AB4" authorId="0">
      <text>
        <r>
          <rPr>
            <sz val="8"/>
            <color indexed="81"/>
            <rFont val="Tahoma"/>
            <family val="2"/>
          </rPr>
          <t>What the sales so far have put back against the development cost.</t>
        </r>
      </text>
    </comment>
    <comment ref="AD4" authorId="0">
      <text>
        <r>
          <rPr>
            <sz val="8"/>
            <color indexed="81"/>
            <rFont val="Tahoma"/>
            <family val="2"/>
          </rPr>
          <t>How many copies pay for the design time. If that number is bigger than the sales you expect, the price is too low or the file is too ambitious.</t>
        </r>
      </text>
    </comment>
    <comment ref="AE4" authorId="0">
      <text>
        <r>
          <rPr>
            <sz val="8"/>
            <color indexed="81"/>
            <rFont val="Tahoma"/>
            <family val="2"/>
          </rPr>
          <t>Materials + labour + extras. Packaging, postage and overhead are added in the catalog, which knows which profile and channel this product uses.</t>
        </r>
      </text>
    </comment>
    <comment ref="AJ4" authorId="0">
      <text>
        <r>
          <rPr>
            <sz val="8"/>
            <color indexed="81"/>
            <rFont val="Tahoma"/>
            <family val="2"/>
          </rPr>
          <t>(Cost + fixed fees) / (1 - target margin - fee rate), priced for the default channel on Settings.</t>
        </r>
      </text>
    </comment>
    <comment ref="AO4" authorId="0">
      <text>
        <r>
          <rPr>
            <sz val="8"/>
            <color indexed="81"/>
            <rFont val="Tahoma"/>
            <family val="2"/>
          </rPr>
          <t>Wage plus profit over the hours it takes. The honest test of whether this piece is worth making.</t>
        </r>
      </text>
    </comment>
  </commentList>
</comments>
</file>

<file path=xl/comments1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'Cosy night in gift set', 'Starter crochet kit'.</t>
        </r>
      </text>
    </comment>
    <comment ref="E4" authorId="0">
      <text>
        <r>
          <rPr>
            <sz val="8"/>
            <color indexed="81"/>
            <rFont val="Tahoma"/>
            <family val="2"/>
          </rPr>
          <t>Bundles usually need the bigger box. Pick the profile that actually goes out.</t>
        </r>
      </text>
    </comment>
    <comment ref="F4" authorId="0">
      <text>
        <r>
          <rPr>
            <sz val="8"/>
            <color indexed="81"/>
            <rFont val="Tahoma"/>
            <family val="2"/>
          </rPr>
          <t>Boxing, wrapping, tying, the card. Ten minutes a set at $25 an hour is $4.17 - more than most bundle discounts.</t>
        </r>
      </text>
    </comment>
    <comment ref="G4" authorId="0">
      <text>
        <r>
          <rPr>
            <sz val="8"/>
            <color indexed="81"/>
            <rFont val="Tahoma"/>
            <family val="2"/>
          </rPr>
          <t>What the buyer saves against buying the pieces separately. Leave blank for no discount.</t>
        </r>
      </text>
    </comment>
    <comment ref="N4" authorId="0">
      <text>
        <r>
          <rPr>
            <sz val="8"/>
            <color indexed="81"/>
            <rFont val="Tahoma"/>
            <family val="2"/>
          </rPr>
          <t>What the pieces cost to make, before the box and the ribbon.</t>
        </r>
      </text>
    </comment>
    <comment ref="O4" authorId="0">
      <text>
        <r>
          <rPr>
            <sz val="8"/>
            <color indexed="81"/>
            <rFont val="Tahoma"/>
            <family val="2"/>
          </rPr>
          <t>What the same items would cost the buyer one at a time. The discount comes off this.</t>
        </r>
      </text>
    </comment>
    <comment ref="R4" authorId="0">
      <text>
        <r>
          <rPr>
            <sz val="8"/>
            <color indexed="81"/>
            <rFont val="Tahoma"/>
            <family val="2"/>
          </rPr>
          <t>Components already carry their own packaging only if you listed them that way - check you are not boxing twice.</t>
        </r>
      </text>
    </comment>
    <comment ref="W4" authorId="0">
      <text>
        <r>
          <rPr>
            <sz val="8"/>
            <color indexed="81"/>
            <rFont val="Tahoma"/>
            <family val="2"/>
          </rPr>
          <t>Priced from the bundle's own costs - ignore the discount for a moment and see what it needs.</t>
        </r>
      </text>
    </comment>
    <comment ref="Y4" authorId="0">
      <text>
        <r>
          <rPr>
            <sz val="8"/>
            <color indexed="81"/>
            <rFont val="Tahoma"/>
            <family val="2"/>
          </rPr>
          <t>Your price, otherwise the discounted total of the pieces, otherwise what the maths suggests.</t>
        </r>
      </text>
    </comment>
    <comment ref="AC4" authorId="0">
      <text>
        <r>
          <rPr>
            <sz val="8"/>
            <color indexed="81"/>
            <rFont val="Tahoma"/>
            <family val="2"/>
          </rPr>
          <t>The headline for the listing. Make sure you can afford the headline.</t>
        </r>
      </text>
    </comment>
    <comment ref="AE4" authorId="0">
      <text>
        <r>
          <rPr>
            <sz val="8"/>
            <color indexed="81"/>
            <rFont val="Tahoma"/>
            <family val="2"/>
          </rPr>
          <t>The margin those items make when sold one at a time. Compare it with the bundle margin - that gap is what the discount cost you.</t>
        </r>
      </text>
    </comment>
  </commentList>
</comments>
</file>

<file path=xl/comments16.xml><?xml version="1.0" encoding="utf-8"?>
<comments xmlns="http://schemas.openxmlformats.org/spreadsheetml/2006/main">
  <authors>
    <author>Novality Store</author>
  </authors>
  <commentList>
    <comment ref="A4" authorId="0">
      <text>
        <r>
          <rPr>
            <sz val="8"/>
            <color indexed="81"/>
            <rFont val="Tahoma"/>
            <family val="2"/>
          </rPr>
          <t>The bundle ID from the Bundles tab.</t>
        </r>
      </text>
    </comment>
    <comment ref="F4" authorId="0">
      <text>
        <r>
          <rPr>
            <sz val="8"/>
            <color indexed="81"/>
            <rFont val="Tahoma"/>
            <family val="2"/>
          </rPr>
          <t>Yes if a buyer can pick a colour or scent. Substitutes should cost about the same or the bundle margin moves with every order.</t>
        </r>
      </text>
    </comment>
  </commentList>
</comments>
</file>

<file path=xl/comments1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variation inherits this product's costs and then adjusts them.</t>
        </r>
      </text>
    </comment>
    <comment ref="C4" authorId="0">
      <text>
        <r>
          <rPr>
            <sz val="8"/>
            <color indexed="81"/>
            <rFont val="Tahoma"/>
            <family val="2"/>
          </rPr>
          <t>'Large, personalised', 'Rush order, navy'.</t>
        </r>
      </text>
    </comment>
    <comment ref="E4" authorId="0">
      <text>
        <r>
          <rPr>
            <sz val="8"/>
            <color indexed="81"/>
            <rFont val="Tahoma"/>
            <family val="2"/>
          </rPr>
          <t>Applies the material and time factors from the Lists tab to the base product.</t>
        </r>
      </text>
    </comment>
    <comment ref="F4" authorId="0">
      <text>
        <r>
          <rPr>
            <sz val="8"/>
            <color indexed="81"/>
            <rFont val="Tahoma"/>
            <family val="2"/>
          </rPr>
          <t>Anything this version uses that the base does not - a bigger clasp, a second colour, a gift box insert.</t>
        </r>
      </text>
    </comment>
    <comment ref="G4" authorId="0">
      <text>
        <r>
          <rPr>
            <sz val="8"/>
            <color indexed="81"/>
            <rFont val="Tahoma"/>
            <family val="2"/>
          </rPr>
          <t>Personalisation, colour changes, re-threading the machine, an extra fitting.</t>
        </r>
      </text>
    </comment>
    <comment ref="H4" authorId="0">
      <text>
        <r>
          <rPr>
            <sz val="8"/>
            <color indexed="81"/>
            <rFont val="Tahoma"/>
            <family val="2"/>
          </rPr>
          <t>Adds the surcharge from the Lists tab. Saying yes to Friday should be worth something.</t>
        </r>
      </text>
    </comment>
    <comment ref="I4" authorId="0">
      <text>
        <r>
          <rPr>
            <sz val="8"/>
            <color indexed="81"/>
            <rFont val="Tahoma"/>
            <family val="2"/>
          </rPr>
          <t>A flat charge you add on top, if you prefer that to pricing the minutes.</t>
        </r>
      </text>
    </comment>
    <comment ref="L4" authorId="0">
      <text>
        <r>
          <rPr>
            <sz val="8"/>
            <color indexed="81"/>
            <rFont val="Tahoma"/>
            <family val="2"/>
          </rPr>
          <t>No for a variation you costed and decided against - the workbook keeps the reasoning.</t>
        </r>
      </text>
    </comment>
    <comment ref="Q4" authorId="0">
      <text>
        <r>
          <rPr>
            <sz val="8"/>
            <color indexed="81"/>
            <rFont val="Tahoma"/>
            <family val="2"/>
          </rPr>
          <t>Consumables, packaging and postage from the base product - unchanged by the variation.</t>
        </r>
      </text>
    </comment>
    <comment ref="AE4" authorId="0">
      <text>
        <r>
          <rPr>
            <sz val="8"/>
            <color indexed="81"/>
            <rFont val="Tahoma"/>
            <family val="2"/>
          </rPr>
          <t>The base maths, stretched by the size, plus the rush surcharge and any flat personalisation fee.</t>
        </r>
      </text>
    </comment>
    <comment ref="AG4" authorId="0">
      <text>
        <r>
          <rPr>
            <sz val="8"/>
            <color indexed="81"/>
            <rFont val="Tahoma"/>
            <family val="2"/>
          </rPr>
          <t>What you are charging extra. Put this in the listing as the upgrade price.</t>
        </r>
      </text>
    </comment>
  </commentList>
</comments>
</file>

<file path=xl/comments1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Pieces that cannot be sold at full price. Their cost belongs to the ones that can.</t>
        </r>
      </text>
    </comment>
    <comment ref="I4" authorId="0">
      <text>
        <r>
          <rPr>
            <sz val="8"/>
            <color indexed="81"/>
            <rFont val="Tahoma"/>
            <family val="2"/>
          </rPr>
          <t>Total recovered from selling the seconds as seconds. Credited back to the batch.</t>
        </r>
      </text>
    </comment>
    <comment ref="J4" authorId="0">
      <text>
        <r>
          <rPr>
            <sz val="8"/>
            <color indexed="81"/>
            <rFont val="Tahoma"/>
            <family val="2"/>
          </rPr>
          <t>What the run really consumed. Leave blank to use the estimate from the catalog.</t>
        </r>
      </text>
    </comment>
    <comment ref="K4" authorId="0">
      <text>
        <r>
          <rPr>
            <sz val="8"/>
            <color indexed="81"/>
            <rFont val="Tahoma"/>
            <family val="2"/>
          </rPr>
          <t>Bench time for the whole run, setup included.</t>
        </r>
      </text>
    </comment>
    <comment ref="L4" authorId="0">
      <text>
        <r>
          <rPr>
            <sz val="8"/>
            <color indexed="81"/>
            <rFont val="Tahoma"/>
            <family val="2"/>
          </rPr>
          <t>A courier, a rush delivery of supplies, studio hire for the day.</t>
        </r>
      </text>
    </comment>
    <comment ref="U4" authorId="0">
      <text>
        <r>
          <rPr>
            <sz val="8"/>
            <color indexed="81"/>
            <rFont val="Tahoma"/>
            <family val="2"/>
          </rPr>
          <t>Everything the run cost, less whatever the seconds brought back in.</t>
        </r>
      </text>
    </comment>
    <comment ref="V4" authorId="0">
      <text>
        <r>
          <rPr>
            <sz val="8"/>
            <color indexed="81"/>
            <rFont val="Tahoma"/>
            <family val="2"/>
          </rPr>
          <t>The honest cost of a sellable piece - the failures are carried by the survivors.</t>
        </r>
      </text>
    </comment>
    <comment ref="X4" authorId="0">
      <text>
        <r>
          <rPr>
            <sz val="8"/>
            <color indexed="81"/>
            <rFont val="Tahoma"/>
            <family val="2"/>
          </rPr>
          <t>Positive means the real thing costs more than the catalog thinks. Two batches saying the same means the catalog is wrong.</t>
        </r>
      </text>
    </comment>
    <comment ref="AA4" authorId="0">
      <text>
        <r>
          <rPr>
            <sz val="8"/>
            <color indexed="81"/>
            <rFont val="Tahoma"/>
            <family val="2"/>
          </rPr>
          <t>The number that re-prices a whole product line. If every batch takes longer than the estimate, the estimate is a wish.</t>
        </r>
      </text>
    </comment>
  </commentList>
</comments>
</file>

<file path=xl/comments19.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A product ID, or a bundle ID - both work, the costs come from whichever tab the ID lives on.</t>
        </r>
      </text>
    </comment>
    <comment ref="F4" authorId="0">
      <text>
        <r>
          <rPr>
            <sz val="8"/>
            <color indexed="81"/>
            <rFont val="Tahoma"/>
            <family val="2"/>
          </rPr>
          <t>What you actually charged, before any discount. Blank uses the catalog price.</t>
        </r>
      </text>
    </comment>
    <comment ref="G4" authorId="0">
      <text>
        <r>
          <rPr>
            <sz val="8"/>
            <color indexed="81"/>
            <rFont val="Tahoma"/>
            <family val="2"/>
          </rPr>
          <t>In money, for the whole order. A 15% code on a $28 order is 4.20.</t>
        </r>
      </text>
    </comment>
    <comment ref="J4" authorId="0">
      <text>
        <r>
          <rPr>
            <sz val="8"/>
            <color indexed="81"/>
            <rFont val="Tahoma"/>
            <family val="2"/>
          </rPr>
          <t>What the label actually cost. The difference is yours either way.</t>
        </r>
      </text>
    </comment>
    <comment ref="K4" authorId="0">
      <text>
        <r>
          <rPr>
            <sz val="8"/>
            <color indexed="81"/>
            <rFont val="Tahoma"/>
            <family val="2"/>
          </rPr>
          <t>From the marketplace statement. Leave blank and the workbook estimates it from the Channels tab.</t>
        </r>
      </text>
    </comment>
    <comment ref="O4" authorId="0">
      <text>
        <r>
          <rPr>
            <sz val="8"/>
            <color indexed="81"/>
            <rFont val="Tahoma"/>
            <family val="2"/>
          </rPr>
          <t>For craft fair sales - ties the order to the event so you can see if the stall paid.</t>
        </r>
      </text>
    </comment>
    <comment ref="R4" authorId="0">
      <text>
        <r>
          <rPr>
            <sz val="8"/>
            <color indexed="81"/>
            <rFont val="Tahoma"/>
            <family val="2"/>
          </rPr>
          <t>Automatic. Every monthly report groups on this.</t>
        </r>
      </text>
    </comment>
    <comment ref="V4" authorId="0">
      <text>
        <r>
          <rPr>
            <sz val="8"/>
            <color indexed="81"/>
            <rFont val="Tahoma"/>
            <family val="2"/>
          </rPr>
          <t>What you actually took for the items, after discounts and refunds. Postage is kept separate.</t>
        </r>
      </text>
    </comment>
    <comment ref="Y4" authorId="0">
      <text>
        <r>
          <rPr>
            <sz val="8"/>
            <color indexed="81"/>
            <rFont val="Tahoma"/>
            <family val="2"/>
          </rPr>
          <t>Materials, labour, packaging and overhead from the catalog. The estimated postage is taken out because the real postage is on this row.</t>
        </r>
      </text>
    </comment>
    <comment ref="AF4" authorId="0">
      <text>
        <r>
          <rPr>
            <sz val="8"/>
            <color indexed="81"/>
            <rFont val="Tahoma"/>
            <family val="2"/>
          </rPr>
          <t>Real fees consistently above the estimate means the fee settings need updating.</t>
        </r>
      </text>
    </comment>
    <comment ref="AG4" authorId="0">
      <text>
        <r>
          <rPr>
            <sz val="8"/>
            <color indexed="81"/>
            <rFont val="Tahoma"/>
            <family val="2"/>
          </rPr>
          <t>Revenue less the goods, the fees and whatever postage you swallowed.</t>
        </r>
      </text>
    </comment>
  </commentList>
</comments>
</file>

<file path=xl/comments20.xml><?xml version="1.0" encoding="utf-8"?>
<comments xmlns="http://schemas.openxmlformats.org/spreadsheetml/2006/main">
  <authors>
    <author>Novality Store</author>
  </authors>
  <commentList>
    <comment ref="A4" authorId="0">
      <text>
        <r>
          <rPr>
            <sz val="8"/>
            <color indexed="81"/>
            <rFont val="Tahoma"/>
            <family val="2"/>
          </rPr>
          <t>The code buyers type, or a short name for a sale with no code. Sales rows pick from these.</t>
        </r>
      </text>
    </comment>
    <comment ref="D4" authorId="0">
      <text>
        <r>
          <rPr>
            <sz val="8"/>
            <color indexed="81"/>
            <rFont val="Tahoma"/>
            <family val="2"/>
          </rPr>
          <t>A percentage as a decimal (0.15 for 15% off), or an amount for 'Amount off'.</t>
        </r>
      </text>
    </comment>
    <comment ref="E4" authorId="0">
      <text>
        <r>
          <rPr>
            <sz val="8"/>
            <color indexed="81"/>
            <rFont val="Tahoma"/>
            <family val="2"/>
          </rPr>
          <t>'Everything', a category, or a product ID. Free text - it is for your own records.</t>
        </r>
      </text>
    </comment>
    <comment ref="J4" authorId="0">
      <text>
        <r>
          <rPr>
            <sz val="8"/>
            <color indexed="81"/>
            <rFont val="Tahoma"/>
            <family val="2"/>
          </rPr>
          <t>The margin these products normally make. Blank uses the target margin on Settings.</t>
        </r>
      </text>
    </comment>
    <comment ref="M4" authorId="0">
      <text>
        <r>
          <rPr>
            <sz val="8"/>
            <color indexed="81"/>
            <rFont val="Tahoma"/>
            <family val="2"/>
          </rPr>
          <t>An amount off is turned into a percentage using the minimum spend, which is the only honest way to compare the two.</t>
        </r>
      </text>
    </comment>
    <comment ref="N4" authorId="0">
      <text>
        <r>
          <rPr>
            <sz val="8"/>
            <color indexed="81"/>
            <rFont val="Tahoma"/>
            <family val="2"/>
          </rPr>
          <t>What is left of the margin once the discount is off both the price and the profit.</t>
        </r>
      </text>
    </comment>
    <comment ref="O4" authorId="0">
      <text>
        <r>
          <rPr>
            <sz val="8"/>
            <color indexed="81"/>
            <rFont val="Tahoma"/>
            <family val="2"/>
          </rPr>
          <t>The share of your profit the discount hands over. 20% off a 45% margin gives away 44% of the profit on every order.</t>
        </r>
      </text>
    </comment>
    <comment ref="P4" authorId="0">
      <text>
        <r>
          <rPr>
            <sz val="8"/>
            <color indexed="81"/>
            <rFont val="Tahoma"/>
            <family val="2"/>
          </rPr>
          <t>How much more you have to sell to make the same profit as before the sale. This is the number that stops a 30% off weekend.</t>
        </r>
      </text>
    </comment>
  </commentList>
</comments>
</file>

<file path=xl/comments21.xml><?xml version="1.0" encoding="utf-8"?>
<comments xmlns="http://schemas.openxmlformats.org/spreadsheetml/2006/main">
  <authors>
    <author>Novality Store</author>
  </authors>
  <commentList>
    <comment ref="F4" authorId="0">
      <text>
        <r>
          <rPr>
            <sz val="8"/>
            <color indexed="81"/>
            <rFont val="Tahoma"/>
            <family val="2"/>
          </rPr>
          <t>What the product cost to make that week. Blank uses today's cost from the catalog, which is fine for a recent change and misleading for an old one.</t>
        </r>
      </text>
    </comment>
    <comment ref="I4" authorId="0">
      <text>
        <r>
          <rPr>
            <sz val="8"/>
            <color indexed="81"/>
            <rFont val="Tahoma"/>
            <family val="2"/>
          </rPr>
          <t>Optional, but this is what turns a price change into evidence.</t>
        </r>
      </text>
    </comment>
    <comment ref="L4" authorId="0">
      <text>
        <r>
          <rPr>
            <sz val="8"/>
            <color indexed="81"/>
            <rFont val="Tahoma"/>
            <family val="2"/>
          </rPr>
          <t>Automatic. Every monthly report groups on this.</t>
        </r>
      </text>
    </comment>
    <comment ref="S4" authorId="0">
      <text>
        <r>
          <rPr>
            <sz val="8"/>
            <color indexed="81"/>
            <rFont val="Tahoma"/>
            <family val="2"/>
          </rPr>
          <t>Did the units fall? A 15% rise that cost you 5% of the volume made you money.</t>
        </r>
      </text>
    </comment>
    <comment ref="T4" authorId="0">
      <text>
        <r>
          <rPr>
            <sz val="8"/>
            <color indexed="81"/>
            <rFont val="Tahoma"/>
            <family val="2"/>
          </rPr>
          <t>Price change and volume change together. Positive means the change was worth making.</t>
        </r>
      </text>
    </comment>
  </commentList>
</comments>
</file>

<file path=xl/comments22.xml><?xml version="1.0" encoding="utf-8"?>
<comments xmlns="http://schemas.openxmlformats.org/spreadsheetml/2006/main">
  <authors>
    <author>Novality Store</author>
  </authors>
  <commentList>
    <comment ref="A4" authorId="0">
      <text>
        <r>
          <rPr>
            <sz val="8"/>
            <color indexed="81"/>
            <rFont val="Tahoma"/>
            <family val="2"/>
          </rPr>
          <t>Which of your products this one competes with.</t>
        </r>
      </text>
    </comment>
    <comment ref="G4" authorId="0">
      <text>
        <r>
          <rPr>
            <sz val="8"/>
            <color indexed="81"/>
            <rFont val="Tahoma"/>
            <family val="2"/>
          </rPr>
          <t>0 for free shipping - which usually means it is in the price.</t>
        </r>
      </text>
    </comment>
    <comment ref="H4" authorId="0">
      <text>
        <r>
          <rPr>
            <sz val="8"/>
            <color indexed="81"/>
            <rFont val="Tahoma"/>
            <family val="2"/>
          </rPr>
          <t>Honestly. 'Above mine' is useful information, not an insult.</t>
        </r>
      </text>
    </comment>
    <comment ref="I4" authorId="0">
      <text>
        <r>
          <rPr>
            <sz val="8"/>
            <color indexed="81"/>
            <rFont val="Tahoma"/>
            <family val="2"/>
          </rPr>
          <t>A resold import is not your competition, whatever the listing says.</t>
        </r>
      </text>
    </comment>
    <comment ref="J4" authorId="0">
      <text>
        <r>
          <rPr>
            <sz val="8"/>
            <color indexed="81"/>
            <rFont val="Tahoma"/>
            <family val="2"/>
          </rPr>
          <t>A rough proxy for how much they sell.</t>
        </r>
      </text>
    </comment>
    <comment ref="N4" authorId="0">
      <text>
        <r>
          <rPr>
            <sz val="8"/>
            <color indexed="81"/>
            <rFont val="Tahoma"/>
            <family val="2"/>
          </rPr>
          <t>Price plus postage: what the buyer actually pays, which is the only number they compare.</t>
        </r>
      </text>
    </comment>
    <comment ref="S4" authorId="0">
      <text>
        <r>
          <rPr>
            <sz val="8"/>
            <color indexed="81"/>
            <rFont val="Tahoma"/>
            <family val="2"/>
          </rPr>
          <t>Well below the market is not a bargain, it is an unpaid wage. Well above it needs better photographs and a reason.</t>
        </r>
      </text>
    </comment>
  </commentList>
</comments>
</file>

<file path=xl/comments23.xml><?xml version="1.0" encoding="utf-8"?>
<comments xmlns="http://schemas.openxmlformats.org/spreadsheetml/2006/main">
  <authors>
    <author>Novality Store</author>
  </authors>
  <commentList>
    <comment ref="D4" authorId="0">
      <text>
        <r>
          <rPr>
            <sz val="8"/>
            <color indexed="81"/>
            <rFont val="Tahoma"/>
            <family val="2"/>
          </rPr>
          <t>In the material's own unit.</t>
        </r>
      </text>
    </comment>
    <comment ref="F4" authorId="0">
      <text>
        <r>
          <rPr>
            <sz val="8"/>
            <color indexed="81"/>
            <rFont val="Tahoma"/>
            <family val="2"/>
          </rPr>
          <t>Optional. Useful when one design keeps going wrong.</t>
        </r>
      </text>
    </comment>
    <comment ref="G4" authorId="0">
      <text>
        <r>
          <rPr>
            <sz val="8"/>
            <color indexed="81"/>
            <rFont val="Tahoma"/>
            <family val="2"/>
          </rPr>
          <t>Trim waste is not avoidable. A miscut is. Be honest and the totals become useful.</t>
        </r>
      </text>
    </comment>
    <comment ref="I4" authorId="0">
      <text>
        <r>
          <rPr>
            <sz val="8"/>
            <color indexed="81"/>
            <rFont val="Tahoma"/>
            <family val="2"/>
          </rPr>
          <t>Automatic. Every monthly report groups on this.</t>
        </r>
      </text>
    </comment>
    <comment ref="L4" authorId="0">
      <text>
        <r>
          <rPr>
            <sz val="8"/>
            <color indexed="81"/>
            <rFont val="Tahoma"/>
            <family val="2"/>
          </rPr>
          <t>What walked out of the door. Add the column up before you decide a mistake does not matter.</t>
        </r>
      </text>
    </comment>
  </commentList>
</comments>
</file>

<file path=xl/comments2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The idea, whether or not it ever became a product.</t>
        </r>
      </text>
    </comment>
    <comment ref="C4" authorId="0">
      <text>
        <r>
          <rPr>
            <sz val="8"/>
            <color indexed="81"/>
            <rFont val="Tahoma"/>
            <family val="2"/>
          </rPr>
          <t>Link it once the design is listed.</t>
        </r>
      </text>
    </comment>
    <comment ref="G4" authorId="0">
      <text>
        <r>
          <rPr>
            <sz val="8"/>
            <color indexed="81"/>
            <rFont val="Tahoma"/>
            <family val="2"/>
          </rPr>
          <t>Making the prototypes, including the ones that went in the bin.</t>
        </r>
      </text>
    </comment>
    <comment ref="H4" authorId="0">
      <text>
        <r>
          <rPr>
            <sz val="8"/>
            <color indexed="81"/>
            <rFont val="Tahoma"/>
            <family val="2"/>
          </rPr>
          <t>Shooting, editing, writing the listing, keywords. Hours that never feel like work and always are.</t>
        </r>
      </text>
    </comment>
    <comment ref="J4" authorId="0">
      <text>
        <r>
          <rPr>
            <sz val="8"/>
            <color indexed="81"/>
            <rFont val="Tahoma"/>
            <family val="2"/>
          </rPr>
          <t>A pattern you bought to learn from, a tool you needed, a model you paid.</t>
        </r>
      </text>
    </comment>
    <comment ref="K4" authorId="0">
      <text>
        <r>
          <rPr>
            <sz val="8"/>
            <color indexed="81"/>
            <rFont val="Tahoma"/>
            <family val="2"/>
          </rPr>
          <t>Prototypes often sell as seconds. Credited back.</t>
        </r>
      </text>
    </comment>
    <comment ref="O4" authorId="0">
      <text>
        <r>
          <rPr>
            <sz val="8"/>
            <color indexed="81"/>
            <rFont val="Tahoma"/>
            <family val="2"/>
          </rPr>
          <t>Hours at your rate, plus materials and costs, less whatever the samples sold for.</t>
        </r>
      </text>
    </comment>
    <comment ref="T4" authorId="0">
      <text>
        <r>
          <rPr>
            <sz val="8"/>
            <color indexed="81"/>
            <rFont val="Tahoma"/>
            <family val="2"/>
          </rPr>
          <t>How many more you have to sell before the design has paid for its own development.</t>
        </r>
      </text>
    </comment>
    <comment ref="U4" authorId="0">
      <text>
        <r>
          <rPr>
            <sz val="8"/>
            <color indexed="81"/>
            <rFont val="Tahoma"/>
            <family val="2"/>
          </rPr>
          <t>Spread over what has sold so far. It falls every time one goes out of the door.</t>
        </r>
      </text>
    </comment>
  </commentList>
</comments>
</file>

<file path=xl/comments25.xml><?xml version="1.0" encoding="utf-8"?>
<comments xmlns="http://schemas.openxmlformats.org/spreadsheetml/2006/main">
  <authors>
    <author>Novality Store</author>
  </authors>
  <commentList>
    <comment ref="A4" authorId="0">
      <text>
        <r>
          <rPr>
            <sz val="8"/>
            <color indexed="81"/>
            <rFont val="Tahoma"/>
            <family val="2"/>
          </rPr>
          <t>The name sales rows pick from, so keep it short and distinct.</t>
        </r>
      </text>
    </comment>
    <comment ref="H4" authorId="0">
      <text>
        <r>
          <rPr>
            <sz val="8"/>
            <color indexed="81"/>
            <rFont val="Tahoma"/>
            <family val="2"/>
          </rPr>
          <t>Banners, a new table cover, card reader fees, the coffee.</t>
        </r>
      </text>
    </comment>
    <comment ref="I4" authorId="0">
      <text>
        <r>
          <rPr>
            <sz val="8"/>
            <color indexed="81"/>
            <rFont val="Tahoma"/>
            <family val="2"/>
          </rPr>
          <t>Making extra stock, pricing, packing the car.</t>
        </r>
      </text>
    </comment>
    <comment ref="J4" authorId="0">
      <text>
        <r>
          <rPr>
            <sz val="8"/>
            <color indexed="81"/>
            <rFont val="Tahoma"/>
            <family val="2"/>
          </rPr>
          <t>Including setting up and packing down. They count.</t>
        </r>
      </text>
    </comment>
    <comment ref="P4" authorId="0">
      <text>
        <r>
          <rPr>
            <sz val="8"/>
            <color indexed="81"/>
            <rFont val="Tahoma"/>
            <family val="2"/>
          </rPr>
          <t>At your own hourly rate. A stall is two days you did not spend making, and that is the real cost of a craft fair.</t>
        </r>
      </text>
    </comment>
    <comment ref="R4" authorId="0">
      <text>
        <r>
          <rPr>
            <sz val="8"/>
            <color indexed="81"/>
            <rFont val="Tahoma"/>
            <family val="2"/>
          </rPr>
          <t>At your target margin. Taking this much is not a good day - it is the day costing you nothing.</t>
        </r>
      </text>
    </comment>
    <comment ref="S4" authorId="0">
      <text>
        <r>
          <rPr>
            <sz val="8"/>
            <color indexed="81"/>
            <rFont val="Tahoma"/>
            <family val="2"/>
          </rPr>
          <t>Ignoring your time - the number most stallholders use, and the reason craft fairs feel better than they are.</t>
        </r>
      </text>
    </comment>
    <comment ref="W4" authorId="0">
      <text>
        <r>
          <rPr>
            <sz val="8"/>
            <color indexed="81"/>
            <rFont val="Tahoma"/>
            <family val="2"/>
          </rPr>
          <t>What the day really made once the pitch, the petrol and your hours are paid.</t>
        </r>
      </text>
    </comment>
    <comment ref="X4" authorId="0">
      <text>
        <r>
          <rPr>
            <sz val="8"/>
            <color indexed="81"/>
            <rFont val="Tahoma"/>
            <family val="2"/>
          </rPr>
          <t>Profit on what you sold, less the cash costs, over every hour the event took.</t>
        </r>
      </text>
    </comment>
  </commentList>
</comments>
</file>

<file path=xl/comments2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Net 30 means you are lending a shop money for a month. Price that in or ask for a deposit.</t>
        </r>
      </text>
    </comment>
    <comment ref="I4" authorId="0">
      <text>
        <r>
          <rPr>
            <sz val="8"/>
            <color indexed="81"/>
            <rFont val="Tahoma"/>
            <family val="2"/>
          </rPr>
          <t>Off your retail price. Blank uses the standard wholesale discount on Settings.</t>
        </r>
      </text>
    </comment>
    <comment ref="M4" authorId="0">
      <text>
        <r>
          <rPr>
            <sz val="8"/>
            <color indexed="81"/>
            <rFont val="Tahoma"/>
            <family val="2"/>
          </rPr>
          <t>Granting exclusivity is worth something. Make sure you got something for it.</t>
        </r>
      </text>
    </comment>
  </commentList>
</comments>
</file>

<file path=xl/comments27.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G4" authorId="0">
      <text>
        <r>
          <rPr>
            <sz val="8"/>
            <color indexed="81"/>
            <rFont val="Tahoma"/>
            <family val="2"/>
          </rPr>
          <t>Leave blank to use the catalog price at this customer's discount.</t>
        </r>
      </text>
    </comment>
    <comment ref="Q4" authorId="0">
      <text>
        <r>
          <rPr>
            <sz val="8"/>
            <color indexed="81"/>
            <rFont val="Tahoma"/>
            <family val="2"/>
          </rPr>
          <t>Automatic. Every monthly report groups on this.</t>
        </r>
      </text>
    </comment>
    <comment ref="U4" authorId="0">
      <text>
        <r>
          <rPr>
            <sz val="8"/>
            <color indexed="81"/>
            <rFont val="Tahoma"/>
            <family val="2"/>
          </rPr>
          <t>The making cost without the retail postage - a wholesale order ships as one box.</t>
        </r>
      </text>
    </comment>
    <comment ref="Z4" authorId="0">
      <text>
        <r>
          <rPr>
            <sz val="8"/>
            <color indexed="81"/>
            <rFont val="Tahoma"/>
            <family val="2"/>
          </rPr>
          <t>A 60 piece order at 25 minutes each is 25 hours of your life. Check the diary before you say yes.</t>
        </r>
      </text>
    </comment>
  </commentList>
</comments>
</file>

<file path=xl/sharedStrings.xml><?xml version="1.0" encoding="utf-8"?>
<sst xmlns="http://schemas.openxmlformats.org/spreadsheetml/2006/main" count="4663" uniqueCount="2604">
  <si>
    <t>Handmade Product Pricing &amp; Profit Calculator</t>
  </si>
  <si>
    <t>Novality Store  |  v1.0.0</t>
  </si>
  <si>
    <t>Materials, labour, packaging, fees and overhead - turned into a price that pays you.</t>
  </si>
  <si>
    <t>&gt; Start Here</t>
  </si>
  <si>
    <t>&gt; Dashboard</t>
  </si>
  <si>
    <t>&gt; Products</t>
  </si>
  <si>
    <t>&gt; Materials</t>
  </si>
  <si>
    <t>&gt; Labour</t>
  </si>
  <si>
    <t>Most handmade pricing advice stops at 'materials times two'. That is why so many makers work for nothing. This workbook counts the yarn, the hours, the box, the postage, the Etsy fees and the studio rent, then solves for the price that leaves the margin you actually want.</t>
  </si>
  <si>
    <t>Five minutes to your first honest price</t>
  </si>
  <si>
    <t>Step</t>
  </si>
  <si>
    <t>Where</t>
  </si>
  <si>
    <t>What to do</t>
  </si>
  <si>
    <t>1</t>
  </si>
  <si>
    <t>Settings</t>
  </si>
  <si>
    <t>Put your hourly rate in. That one number changes more than anything else here.</t>
  </si>
  <si>
    <t>2</t>
  </si>
  <si>
    <t>Materials</t>
  </si>
  <si>
    <t>Add the three or four materials the product uses, with what you paid and how much came in the pack.</t>
  </si>
  <si>
    <t>3</t>
  </si>
  <si>
    <t>Material Usage</t>
  </si>
  <si>
    <t>List how much of each goes into one piece.</t>
  </si>
  <si>
    <t>4</t>
  </si>
  <si>
    <t>Labor</t>
  </si>
  <si>
    <t>Put the minutes in - all of them, including finishing and packing.</t>
  </si>
  <si>
    <t>5</t>
  </si>
  <si>
    <t>Products</t>
  </si>
  <si>
    <t>Add the product. Cost, suggested price, margin and your hourly wage appear.</t>
  </si>
  <si>
    <t>6</t>
  </si>
  <si>
    <t>Retail Calculator</t>
  </si>
  <si>
    <t>Check the price, try the ladder, and decide.</t>
  </si>
  <si>
    <t>The formula everything is built on</t>
  </si>
  <si>
    <t>Marketplace fees are charged on the price - the price you have not worked out yet. That is why you cannot just add 20% to your costs: the fee is charged on the fee. Solving it properly looks like this.</t>
  </si>
  <si>
    <t>Cost</t>
  </si>
  <si>
    <t>C = materials + labour + packaging + postage + overhead</t>
  </si>
  <si>
    <t>What one piece costs you.</t>
  </si>
  <si>
    <t>Labour</t>
  </si>
  <si>
    <t>L = minutes / 60 x your hourly rate</t>
  </si>
  <si>
    <t>Every minute, not just the fun ones.</t>
  </si>
  <si>
    <t>Price</t>
  </si>
  <si>
    <t>Price = (C + fixed fees) / (1 - target margin - fee rate)</t>
  </si>
  <si>
    <t>The price that leaves the margin you asked for, after the percentage fees.</t>
  </si>
  <si>
    <t>Margin</t>
  </si>
  <si>
    <t>Margin = profit / price x 100</t>
  </si>
  <si>
    <t>The share of the price you keep.</t>
  </si>
  <si>
    <t>Markup</t>
  </si>
  <si>
    <t>Markup = profit / cost x 100</t>
  </si>
  <si>
    <t>The share of the cost you added. Not the same thing.</t>
  </si>
  <si>
    <t>Break-even</t>
  </si>
  <si>
    <t>Units = fixed costs / contribution a unit</t>
  </si>
  <si>
    <t>Rounded up, because you cannot sell two thirds of a candle.</t>
  </si>
  <si>
    <t>Worked example. A beanie costs $8.40 in yarn and labour, $1.85 to package and post, and carries $1.20 of overhead - $11.45. Etsy takes about 9.5% plus $0.45. You want a 55% margin. The price is (11.45 + 0.45) / (1 - 0.55 - 0.095) = $33.52, rounded to $33.99. Adding 55% to the cost would have given $17.75 and a real margin of 25%.</t>
  </si>
  <si>
    <t>What is in the file</t>
  </si>
  <si>
    <t>Tab</t>
  </si>
  <si>
    <t>What it does</t>
  </si>
  <si>
    <t>Your job</t>
  </si>
  <si>
    <t>Your rates, targets, fee rates, rounding rule and every default</t>
  </si>
  <si>
    <t>Fill in once, review twice a year</t>
  </si>
  <si>
    <t>Dashboard</t>
  </si>
  <si>
    <t>Your margins, your month and everything that needs fixing</t>
  </si>
  <si>
    <t>Read it weekly</t>
  </si>
  <si>
    <t>The catalog: cost, price, margin, hourly wage and what sold</t>
  </si>
  <si>
    <t>The heart of the workbook</t>
  </si>
  <si>
    <t>Every yarn, bead, wax and board, with the cost per gram worked out</t>
  </si>
  <si>
    <t>Add as you buy</t>
  </si>
  <si>
    <t>How much of each material goes into each product</t>
  </si>
  <si>
    <t>The bill of materials</t>
  </si>
  <si>
    <t>Minutes per stage, per item or per batch</t>
  </si>
  <si>
    <t>Be honest about the time</t>
  </si>
  <si>
    <t>Packaging / Shipping</t>
  </si>
  <si>
    <t>Boxes, tissue, labels, postage services and what you absorb</t>
  </si>
  <si>
    <t>Set up once</t>
  </si>
  <si>
    <t>Overhead</t>
  </si>
  <si>
    <t>Studio, insurance, subscriptions - shared across what you make</t>
  </si>
  <si>
    <t>Add your bills</t>
  </si>
  <si>
    <t>Channels</t>
  </si>
  <si>
    <t>Etsy, Shopify, markets, wholesale - every fee, fully editable</t>
  </si>
  <si>
    <t>Check twice a year</t>
  </si>
  <si>
    <t>The price, the ladder and the sanity check</t>
  </si>
  <si>
    <t>Use before you list</t>
  </si>
  <si>
    <t>Wholesale Calculator</t>
  </si>
  <si>
    <t>What a stockist leaves you and what retail price supports it</t>
  </si>
  <si>
    <t>Use before you say yes</t>
  </si>
  <si>
    <t>Profit &amp; Break-Even</t>
  </si>
  <si>
    <t>Contribution, break-even units, margin against markup</t>
  </si>
  <si>
    <t>Use when you are planning</t>
  </si>
  <si>
    <t>Crochet / Jewelry / Candles</t>
  </si>
  <si>
    <t>Specialist calculators that work the way those crafts actually work</t>
  </si>
  <si>
    <t>Use yours</t>
  </si>
  <si>
    <t>Clothing / Woodworking / Digital</t>
  </si>
  <si>
    <t>Fabric and sizes, timber and offcuts, design time spread over sales</t>
  </si>
  <si>
    <t>Bundles / Variations</t>
  </si>
  <si>
    <t>Gift sets, sizes, personalisation and rush orders</t>
  </si>
  <si>
    <t>As needed</t>
  </si>
  <si>
    <t>Batches</t>
  </si>
  <si>
    <t>What a run really cost against the estimate</t>
  </si>
  <si>
    <t>Log your runs</t>
  </si>
  <si>
    <t>Sales</t>
  </si>
  <si>
    <t>Every order with the real fees and real postage</t>
  </si>
  <si>
    <t>Log them weekly</t>
  </si>
  <si>
    <t>Promotions / Price History / Competitors</t>
  </si>
  <si>
    <t>What discounts cost, what price changes did, what the market charges</t>
  </si>
  <si>
    <t>Keep it current</t>
  </si>
  <si>
    <t>Waste Log / Development / Events</t>
  </si>
  <si>
    <t>Material lost, design time, craft fair stalls</t>
  </si>
  <si>
    <t>Log as it happens</t>
  </si>
  <si>
    <t>Wholesale Customers / Orders</t>
  </si>
  <si>
    <t>Stockists, their terms and what each is worth</t>
  </si>
  <si>
    <t>If you wholesale</t>
  </si>
  <si>
    <t>Scenarios / Reports</t>
  </si>
  <si>
    <t>Reposition the range, compare channels, survive a price rise</t>
  </si>
  <si>
    <t>Monthly</t>
  </si>
  <si>
    <t>Print Costing / Quote / Order</t>
  </si>
  <si>
    <t>Three printable forms, filled in from your data</t>
  </si>
  <si>
    <t>Print when needed</t>
  </si>
  <si>
    <t>Lists / Help</t>
  </si>
  <si>
    <t>Every drop-down, every factor table, and the troubleshooting</t>
  </si>
  <si>
    <t>Edit the lists</t>
  </si>
  <si>
    <t>A rhythm that keeps it accurate</t>
  </si>
  <si>
    <t>As you buy</t>
  </si>
  <si>
    <t>Add new materials with the pack price and pack size. Nothing else is needed.</t>
  </si>
  <si>
    <t>1 minute</t>
  </si>
  <si>
    <t>As you make</t>
  </si>
  <si>
    <t>Log batches with the real hours. Two runs and your estimates become facts.</t>
  </si>
  <si>
    <t>2 minutes</t>
  </si>
  <si>
    <t>Every week</t>
  </si>
  <si>
    <t>Enter the week's sales with the real fees and postage.</t>
  </si>
  <si>
    <t>15 minutes</t>
  </si>
  <si>
    <t>Every month</t>
  </si>
  <si>
    <t>Read the Dashboard. Fix anything below minimum wage before you make more of it.</t>
  </si>
  <si>
    <t>20 minutes</t>
  </si>
  <si>
    <t>Every quarter</t>
  </si>
  <si>
    <t>Check your material prices and the fee rates on the Channels tab. Both move.</t>
  </si>
  <si>
    <t>30 minutes</t>
  </si>
  <si>
    <t>Twice a year</t>
  </si>
  <si>
    <t>Re-price. Log every change on Price History so you can see what worked.</t>
  </si>
  <si>
    <t>1 hour</t>
  </si>
  <si>
    <t>What the workbook does by itself</t>
  </si>
  <si>
    <t>Turns a pack price into a cost per gram, millilitre or centimetre, and applies your waste allowance.</t>
  </si>
  <si>
    <t>Adds every material and every labour stage into a cost per piece, with a difficulty factor for the fiddly ones.</t>
  </si>
  <si>
    <t>Solves for the price that leaves your target margin after percentage fees and fixed fees - separately, because they behave differently.</t>
  </si>
  <si>
    <t>Applies your rounding rule so prices come out at $33.99 rather than $33.52.</t>
  </si>
  <si>
    <t>Warns you when a product pays under minimum wage, loses money, or has not been re-priced while its materials moved.</t>
  </si>
  <si>
    <t>Prices six crafts the way those crafts actually work - skeins and hooks, grams of silver and scrap recovery, wax and fragrance load, fabric and size factors, timber and offcuts, design time spread over expected sales.</t>
  </si>
  <si>
    <t>Works out wholesale both ways: what a discount leaves you, and what retail price would make it work.</t>
  </si>
  <si>
    <t>Shows break-even in units, in money and in hours.</t>
  </si>
  <si>
    <t>Compares what you estimated with what the batch really cost and what the marketplace really charged.</t>
  </si>
  <si>
    <t>Tells you what a discount costs in profit and how much more you would have to sell to stand still.</t>
  </si>
  <si>
    <t>What it honestly cannot do</t>
  </si>
  <si>
    <t>Every one of these needs something outside a spreadsheet. Anyone who tells you otherwise is selling you something.</t>
  </si>
  <si>
    <t>Know the current Etsy, Shopify or Amazon Handmade fees. They change, they vary by country, and they are different for offsite ads. Put your real rates on the Channels tab and check them against the official fee schedule twice a year.</t>
  </si>
  <si>
    <t>Pull your orders in automatically. Export a CSV from your shop and paste it into the Sales tab.</t>
  </si>
  <si>
    <t>Tell you what your market will pay. It tells you what you need - the Competitors tab is where you record the other half.</t>
  </si>
  <si>
    <t>Make a product sell. A correct price on a bad photograph sells nothing.</t>
  </si>
  <si>
    <t>Handle sales tax, VAT or import duty properly. It has a simple tax rate and nothing more.</t>
  </si>
  <si>
    <t>Replace an accountant, and it does not know your local rules on labelling, safety testing or candle regulations.</t>
  </si>
  <si>
    <t>About marketplace fees</t>
  </si>
  <si>
    <t>Housekeeping</t>
  </si>
  <si>
    <t>Question</t>
  </si>
  <si>
    <t>Answer</t>
  </si>
  <si>
    <t>Is there example data in it?</t>
  </si>
  <si>
    <t>Both versions are in your download: one filled with a worked example shop, one empty and ready for yours.</t>
  </si>
  <si>
    <t>How do I clear the example?</t>
  </si>
  <si>
    <t>Select the data rows on a tab and press Delete. The formula columns refill themselves - they are not deleted.</t>
  </si>
  <si>
    <t>Why are some cells locked?</t>
  </si>
  <si>
    <t>Every calculated cell is protected so a stray paste cannot break it. The password is 'premium'. Review, Unprotect Sheet if you want to change a formula.</t>
  </si>
  <si>
    <t>Which cells do I type in?</t>
  </si>
  <si>
    <t>The white ones. Shaded cells work themselves out.</t>
  </si>
  <si>
    <t>Can I change the currency?</t>
  </si>
  <si>
    <t>Yes - the Settings tab holds the symbol, and every money cell follows it.</t>
  </si>
  <si>
    <t>Does it work in Google Sheets?</t>
  </si>
  <si>
    <t>Yes. File, Import, Upload. Drop-downs and colours come across; sheet protection behaves a little differently.</t>
  </si>
  <si>
    <t>Which Excel versions?</t>
  </si>
  <si>
    <t>Excel 2010 and newer, Excel for Mac, Excel online, LibreOffice Calc and Google Sheets. No macros, so there is nothing to enable.</t>
  </si>
  <si>
    <t>Can I add more rows?</t>
  </si>
  <si>
    <t>Yes - insert rows inside the existing block and copy the formulas down. Never insert above the header row.</t>
  </si>
  <si>
    <t>My craft is not one of the six tabs</t>
  </si>
  <si>
    <t>Use the Products, Materials and Labor tabs - they work for anything. The six specialist tabs are shortcuts, not requirements.</t>
  </si>
  <si>
    <t>Handmade Product Pricing &amp; Profit Calculator - version 1.0.0, by Novality Store. Built with formulas only: no macros, no add-ins, nothing to install. The Help tab has the troubleshooting and a map of every feature.</t>
  </si>
  <si>
    <t>Business Settings</t>
  </si>
  <si>
    <t>Fill in the white cells once. Shaded cells are locked formulas. Every price, every margin and every warning in the workbook reads these values.</t>
  </si>
  <si>
    <t/>
  </si>
  <si>
    <t>1. Your shop</t>
  </si>
  <si>
    <t>Business name</t>
  </si>
  <si>
    <t>Willow &amp; Thread Handmade</t>
  </si>
  <si>
    <t>Shown on every quote, order form and printable page.</t>
  </si>
  <si>
    <t>Maker / owner</t>
  </si>
  <si>
    <t>Maya Albright</t>
  </si>
  <si>
    <t>Brand name</t>
  </si>
  <si>
    <t>Willow &amp; Thread</t>
  </si>
  <si>
    <t>If you trade under a shorter name than the business one.</t>
  </si>
  <si>
    <t>Email</t>
  </si>
  <si>
    <t>hello@willowandthread.co</t>
  </si>
  <si>
    <t>Phone</t>
  </si>
  <si>
    <t>(828) 555 0176</t>
  </si>
  <si>
    <t>Address</t>
  </si>
  <si>
    <t>42 Larkspur Lane, Asheville, NC 28801</t>
  </si>
  <si>
    <t>Website</t>
  </si>
  <si>
    <t>willowandthread.co</t>
  </si>
  <si>
    <t>Marketplace shop name</t>
  </si>
  <si>
    <t>WillowAndThreadCo</t>
  </si>
  <si>
    <t>Your Etsy / Amazon Handmade / Folksy shop name, for the order forms.</t>
  </si>
  <si>
    <t>Social handle</t>
  </si>
  <si>
    <t>@willowandthread</t>
  </si>
  <si>
    <t>Tagline</t>
  </si>
  <si>
    <t>Small batch crochet, candles and keepsakes since 2021</t>
  </si>
  <si>
    <t>Business / tax number</t>
  </si>
  <si>
    <t>NC-HM-2021-4471</t>
  </si>
  <si>
    <t>2. Dates</t>
  </si>
  <si>
    <t>Year</t>
  </si>
  <si>
    <t>The year the reports and the sales summaries open on.</t>
  </si>
  <si>
    <t>Today</t>
  </si>
  <si>
    <t>Every 'due', 'stale price' and 'review the fees' flag counts from this cell, so they all move on by themselves overnight.</t>
  </si>
  <si>
    <t>This month starts</t>
  </si>
  <si>
    <t>This month ends</t>
  </si>
  <si>
    <t>This year starts</t>
  </si>
  <si>
    <t>3. What your time is worth</t>
  </si>
  <si>
    <t>The single number most handmade sellers get wrong. If your products do not pay you for the hours you spend making them, you do not have a business, you have an expensive hobby. Pay yourself a real wage here and let the prices follow.</t>
  </si>
  <si>
    <t>What you pay yourself an hour</t>
  </si>
  <si>
    <t>What one hour of your making time costs. Not what is left over - what you are worth.</t>
  </si>
  <si>
    <t>Local minimum wage (for the warning)</t>
  </si>
  <si>
    <t>The workbook flags any product whose price pays you less than this an hour.</t>
  </si>
  <si>
    <t>Employee hourly rate</t>
  </si>
  <si>
    <t>Contractor / outsourced hourly rate</t>
  </si>
  <si>
    <t>Used when a labour line says somebody else made it.</t>
  </si>
  <si>
    <t>On-costs on paid labour</t>
  </si>
  <si>
    <t>Employer tax, insurance and holiday pay. Added to employee and contractor hours.</t>
  </si>
  <si>
    <t>Your hour, with on-costs</t>
  </si>
  <si>
    <t>This is the rate the labour calculator multiplies your minutes by.</t>
  </si>
  <si>
    <t>Hours a month you actually make things</t>
  </si>
  <si>
    <t>Bench hours only - not admin, not photos, not scrolling. Overhead per hour is divided by this.</t>
  </si>
  <si>
    <t>Items a month you usually finish</t>
  </si>
  <si>
    <t>Used when overhead is spread per item instead of per hour.</t>
  </si>
  <si>
    <t>Default batch size</t>
  </si>
  <si>
    <t>Consumables an hour</t>
  </si>
  <si>
    <t>Glue, needles, sandpaper, thread - the small things nobody itemises. Added per labour hour.</t>
  </si>
  <si>
    <t>4. Materials and waste</t>
  </si>
  <si>
    <t>Measurement system</t>
  </si>
  <si>
    <t>Metric</t>
  </si>
  <si>
    <t>Metric weighs in grams, imperial in ounces. The unit table on Lists converts either way.</t>
  </si>
  <si>
    <t>Default waste allowance</t>
  </si>
  <si>
    <t>Offcuts, frogged rows, the last inch of a board. Added to every material line that does not set its own.</t>
  </si>
  <si>
    <t>Default defect / seconds rate</t>
  </si>
  <si>
    <t>The share of a batch that never makes it to the shop. The batch tab spreads its cost over the pieces that do.</t>
  </si>
  <si>
    <t>Days of stock that counts as low</t>
  </si>
  <si>
    <t>5. Packaging and shipping</t>
  </si>
  <si>
    <t>Fallback packaging cost</t>
  </si>
  <si>
    <t>Used for a product that has not picked a packaging profile on the Packaging tab.</t>
  </si>
  <si>
    <t>Shipping you absorb</t>
  </si>
  <si>
    <t>Only what you pay and do not charge on. Postage the buyer pays is not your cost - the workbook keeps the two apart.</t>
  </si>
  <si>
    <t>Free shipping over</t>
  </si>
  <si>
    <t>Orders above this are shipped free, so the postage becomes your cost.</t>
  </si>
  <si>
    <t>6. Overhead</t>
  </si>
  <si>
    <t>Rent, insurance, the shop subscription, the website, the accountant. Type the bills on the Overhead tab - this is only how they get spread across your products.</t>
  </si>
  <si>
    <t>Spread overhead</t>
  </si>
  <si>
    <t>Per hour worked</t>
  </si>
  <si>
    <t>Per hour is the fairest for slow, careful work. Per item suits a maker who turns out many small, similar pieces.</t>
  </si>
  <si>
    <t>Overhead a month (from the Overhead tab)</t>
  </si>
  <si>
    <t>Overhead per hour worked</t>
  </si>
  <si>
    <t>Overhead per item made</t>
  </si>
  <si>
    <t>7. Marketplace fees</t>
  </si>
  <si>
    <t>IMPORTANT: marketplace fees change, and they differ by country. The figures below are the defaults this workbook shipped with - verify them against the current official fee schedule for your shop and your region before you trust a price. Every one of them is editable here, and every channel can override them on the Channels tab.</t>
  </si>
  <si>
    <t>Listing fee (per listing)</t>
  </si>
  <si>
    <t>Charged when you list and again when the listing renews.</t>
  </si>
  <si>
    <t>Transaction fee</t>
  </si>
  <si>
    <t>A percentage of what the buyer pays.</t>
  </si>
  <si>
    <t>Payment processing %</t>
  </si>
  <si>
    <t>Payment processing fixed</t>
  </si>
  <si>
    <t>The flat part - this is what quietly eats small orders alive.</t>
  </si>
  <si>
    <t>Offsite ads fee</t>
  </si>
  <si>
    <t>Only charged on orders that came from the marketplace's own advertising.</t>
  </si>
  <si>
    <t>Share of orders from offsite ads</t>
  </si>
  <si>
    <t>Used to work out the average ads cost per order. Check your own statements.</t>
  </si>
  <si>
    <t>Regulatory operating fee</t>
  </si>
  <si>
    <t>Charged in some countries only. Set it to 0 if your shop is not in one.</t>
  </si>
  <si>
    <t>Currency conversion fee</t>
  </si>
  <si>
    <t>Applies when you are paid in a currency other than your bank's.</t>
  </si>
  <si>
    <t>Fees charged on shipping too?</t>
  </si>
  <si>
    <t>Yes</t>
  </si>
  <si>
    <t>On most marketplaces the transaction fee applies to the postage the buyer paid as well.</t>
  </si>
  <si>
    <t>Fees charged on sales tax?</t>
  </si>
  <si>
    <t>No</t>
  </si>
  <si>
    <t>Fee schedule last reviewed</t>
  </si>
  <si>
    <t>Put today's date here each time you check the official fee page. The dashboard nags you when it goes stale.</t>
  </si>
  <si>
    <t>Review the fee schedule every (days)</t>
  </si>
  <si>
    <t>Fees are stale</t>
  </si>
  <si>
    <t>Default sales channel</t>
  </si>
  <si>
    <t>Etsy</t>
  </si>
  <si>
    <t>The channel a new product is priced for until you pick another.</t>
  </si>
  <si>
    <t>8. Pricing rules</t>
  </si>
  <si>
    <t>Target retail margin</t>
  </si>
  <si>
    <t>Margin, not markup. 55% margin means 55 cents of every dollar you take is left after costs and fees.</t>
  </si>
  <si>
    <t>Target wholesale margin</t>
  </si>
  <si>
    <t>Lower than retail, because the shop does the selling. It must still be positive.</t>
  </si>
  <si>
    <t>Default markup on cost</t>
  </si>
  <si>
    <t>Markup is a percentage OF YOUR COST. 100% markup is a 50% margin - the workbook shows both so you never confuse them again.</t>
  </si>
  <si>
    <t>Wholesale is this much off retail</t>
  </si>
  <si>
    <t>The traditional handmade rule is half the retail price. Only sustainable if the retail price was built properly in the first place.</t>
  </si>
  <si>
    <t>Warn below this margin</t>
  </si>
  <si>
    <t>Any product under this turns amber on the catalog and appears on the dashboard.</t>
  </si>
  <si>
    <t>Round prices to</t>
  </si>
  <si>
    <t>Nearest 0.99</t>
  </si>
  <si>
    <t>Charm pricing always rounds UP, so a rounded price can never fall below the price the maths asked for.</t>
  </si>
  <si>
    <t>Usual discount</t>
  </si>
  <si>
    <t>What a sale usually knocks off. The promotion tab shows what each one costs you.</t>
  </si>
  <si>
    <t>Sales tax / VAT on your prices</t>
  </si>
  <si>
    <t>Leave at 0 if you are not registered or the marketplace handles it for you.</t>
  </si>
  <si>
    <t>Minimum wholesale order (items)</t>
  </si>
  <si>
    <t>Minimum wholesale order (value)</t>
  </si>
  <si>
    <t>Review a price after (days)</t>
  </si>
  <si>
    <t>Material costs drift upwards quietly. This is how long a price can go unchecked.</t>
  </si>
  <si>
    <t>9. Targets</t>
  </si>
  <si>
    <t>Revenue target a month</t>
  </si>
  <si>
    <t>Revenue target a year</t>
  </si>
  <si>
    <t>Profit target a month</t>
  </si>
  <si>
    <t>Hourly pay you are aiming for</t>
  </si>
  <si>
    <t>The dashboard works out what you are actually earning an hour and compares it with this.</t>
  </si>
  <si>
    <t>10. ID prefixes</t>
  </si>
  <si>
    <t>The letters in front of the automatic numbers. Change them before you start entering data, not after.</t>
  </si>
  <si>
    <t>Product IDs</t>
  </si>
  <si>
    <t>P-</t>
  </si>
  <si>
    <t>Material IDs</t>
  </si>
  <si>
    <t>M-</t>
  </si>
  <si>
    <t>Bundle IDs</t>
  </si>
  <si>
    <t>BN-</t>
  </si>
  <si>
    <t>Variation IDs</t>
  </si>
  <si>
    <t>VR-</t>
  </si>
  <si>
    <t>Batch IDs</t>
  </si>
  <si>
    <t>BT-</t>
  </si>
  <si>
    <t>Sale IDs</t>
  </si>
  <si>
    <t>SL-</t>
  </si>
  <si>
    <t>Wholesale customer IDs</t>
  </si>
  <si>
    <t>WC-</t>
  </si>
  <si>
    <t>Wholesale order IDs</t>
  </si>
  <si>
    <t>WO-</t>
  </si>
  <si>
    <t>Development IDs</t>
  </si>
  <si>
    <t>DV-</t>
  </si>
  <si>
    <t>Event IDs</t>
  </si>
  <si>
    <t>EV-</t>
  </si>
  <si>
    <t>Waste log IDs</t>
  </si>
  <si>
    <t>WL-</t>
  </si>
  <si>
    <t>Crochet sheet IDs</t>
  </si>
  <si>
    <t>CRO-</t>
  </si>
  <si>
    <t>Jewelry sheet IDs</t>
  </si>
  <si>
    <t>JWL-</t>
  </si>
  <si>
    <t>Candle sheet IDs</t>
  </si>
  <si>
    <t>CND-</t>
  </si>
  <si>
    <t>Clothing sheet IDs</t>
  </si>
  <si>
    <t>CLO-</t>
  </si>
  <si>
    <t>Woodworking sheet IDs</t>
  </si>
  <si>
    <t>WDW-</t>
  </si>
  <si>
    <t>Digital sheet IDs</t>
  </si>
  <si>
    <t>DIG-</t>
  </si>
  <si>
    <t>11. About this workbook</t>
  </si>
  <si>
    <t>Product</t>
  </si>
  <si>
    <t>Version</t>
  </si>
  <si>
    <t>1.0.0</t>
  </si>
  <si>
    <t>Created by</t>
  </si>
  <si>
    <t>Novality Store</t>
  </si>
  <si>
    <t>Sheet protection password</t>
  </si>
  <si>
    <t>premium</t>
  </si>
  <si>
    <t>Review &gt; Unprotect Sheet if you need to change a formula.</t>
  </si>
  <si>
    <t>Currency</t>
  </si>
  <si>
    <t>$ (USD)</t>
  </si>
  <si>
    <t>Changed a rate here? Everything updates straight away - every product in the catalog, both price calculators, the break-even tab and the dashboard all read these cells rather than keeping their own copy. Sales you have already recorded keep the price you actually charged.</t>
  </si>
  <si>
    <t>Pricing Dashboard</t>
  </si>
  <si>
    <t>Your range, your margins and your month - worked out from the products, costs and sales you have already entered.</t>
  </si>
  <si>
    <t>&gt; Retail Price</t>
  </si>
  <si>
    <t>&gt; Wholesale</t>
  </si>
  <si>
    <t>Shop</t>
  </si>
  <si>
    <t>Month</t>
  </si>
  <si>
    <t>Month key</t>
  </si>
  <si>
    <t>Products priced</t>
  </si>
  <si>
    <t>in the catalog</t>
  </si>
  <si>
    <t>Average margin</t>
  </si>
  <si>
    <t>target 30%</t>
  </si>
  <si>
    <t>Average you earn an hour</t>
  </si>
  <si>
    <t>your rate is $25.00</t>
  </si>
  <si>
    <t>Products below target</t>
  </si>
  <si>
    <t>margin under your warning level</t>
  </si>
  <si>
    <t>Revenue this month</t>
  </si>
  <si>
    <t>target $2,400</t>
  </si>
  <si>
    <t>Profit this month</t>
  </si>
  <si>
    <t>after fees and postage</t>
  </si>
  <si>
    <t>Margin this month</t>
  </si>
  <si>
    <t>what you actually kept</t>
  </si>
  <si>
    <t>Items sold this month</t>
  </si>
  <si>
    <t>across every channel</t>
  </si>
  <si>
    <t>Overhead a month</t>
  </si>
  <si>
    <t>studio, insurance, software</t>
  </si>
  <si>
    <t>Covered by this month</t>
  </si>
  <si>
    <t>100% means the studio has paid for itself</t>
  </si>
  <si>
    <t>Value of your materials</t>
  </si>
  <si>
    <t>money sitting on the shelf</t>
  </si>
  <si>
    <t>Hours of work sold</t>
  </si>
  <si>
    <t>this month</t>
  </si>
  <si>
    <t>Needs your attention</t>
  </si>
  <si>
    <t>What</t>
  </si>
  <si>
    <t>How many</t>
  </si>
  <si>
    <t>What it means</t>
  </si>
  <si>
    <t>Where to fix it</t>
  </si>
  <si>
    <t>Products with no price</t>
  </si>
  <si>
    <t>Products that lose money</t>
  </si>
  <si>
    <t>Products below minimum wage</t>
  </si>
  <si>
    <t>Products under your margin warning</t>
  </si>
  <si>
    <t>Products with no costs entered</t>
  </si>
  <si>
    <t>Materials with no price</t>
  </si>
  <si>
    <t>Materials running low</t>
  </si>
  <si>
    <t>Prices going stale</t>
  </si>
  <si>
    <t>Price History</t>
  </si>
  <si>
    <t>Fee settings to check</t>
  </si>
  <si>
    <t>Orders that lost money</t>
  </si>
  <si>
    <t>Batches costing more than the estimate</t>
  </si>
  <si>
    <t>Wholesale orders below target margin</t>
  </si>
  <si>
    <t>Wholesale Orders</t>
  </si>
  <si>
    <t>Unpaid wholesale invoices</t>
  </si>
  <si>
    <t>Wholesale Customers</t>
  </si>
  <si>
    <t>Avoidable waste this year</t>
  </si>
  <si>
    <t>Waste Log</t>
  </si>
  <si>
    <t>What is working</t>
  </si>
  <si>
    <t>Most profit a sale</t>
  </si>
  <si>
    <t>Profit</t>
  </si>
  <si>
    <t>Best margin</t>
  </si>
  <si>
    <t>Best paid an hour</t>
  </si>
  <si>
    <t>An hour</t>
  </si>
  <si>
    <t>Most sold</t>
  </si>
  <si>
    <t>Sold</t>
  </si>
  <si>
    <t>The four columns rarely agree. The piece that makes the most profit is often not the one that pays best per hour - and the hourly column is the one that decides what you should be making more of.</t>
  </si>
  <si>
    <t>By category</t>
  </si>
  <si>
    <t>Category</t>
  </si>
  <si>
    <t>Average cost</t>
  </si>
  <si>
    <t>Average price</t>
  </si>
  <si>
    <t>Revenue</t>
  </si>
  <si>
    <t>The last twelve months</t>
  </si>
  <si>
    <t>Key</t>
  </si>
  <si>
    <t>Cost of goods</t>
  </si>
  <si>
    <t>Fees</t>
  </si>
  <si>
    <t>Items</t>
  </si>
  <si>
    <t>Hours sold</t>
  </si>
  <si>
    <t>Blank months are months with nothing logged on the Sales tab, not months with no sales.</t>
  </si>
  <si>
    <t>Where the money comes from</t>
  </si>
  <si>
    <t>Channel</t>
  </si>
  <si>
    <t>Orders</t>
  </si>
  <si>
    <t>Fee rate</t>
  </si>
  <si>
    <t>Share of revenue</t>
  </si>
  <si>
    <t>If you only do one thing this week</t>
  </si>
  <si>
    <t>Product Catalog</t>
  </si>
  <si>
    <t>Every product, every cost, the price the maths asks for and the margin you actually make.</t>
  </si>
  <si>
    <t>&gt; Sales</t>
  </si>
  <si>
    <t>&gt; Help</t>
  </si>
  <si>
    <t>Give a product a name, a category, a packaging profile and a channel. Cost it on the Materials and Labor tabs (or a specialist tab) and the price appears here.</t>
  </si>
  <si>
    <t>ID</t>
  </si>
  <si>
    <t>SKU override</t>
  </si>
  <si>
    <t>Status</t>
  </si>
  <si>
    <t>Season</t>
  </si>
  <si>
    <t>Difficulty</t>
  </si>
  <si>
    <t>Main channel</t>
  </si>
  <si>
    <t>Packaging</t>
  </si>
  <si>
    <t>Shipping option</t>
  </si>
  <si>
    <t>Item weight (g)</t>
  </si>
  <si>
    <t>In stock</t>
  </si>
  <si>
    <t>Your price</t>
  </si>
  <si>
    <t>Target margin</t>
  </si>
  <si>
    <t>Made so far</t>
  </si>
  <si>
    <t>Listed on</t>
  </si>
  <si>
    <t>Listing link</t>
  </si>
  <si>
    <t>Notes</t>
  </si>
  <si>
    <t>SKU</t>
  </si>
  <si>
    <t>Minutes logged</t>
  </si>
  <si>
    <t>Difficulty factor</t>
  </si>
  <si>
    <t>Minutes</t>
  </si>
  <si>
    <t>Hours</t>
  </si>
  <si>
    <t>Labour at difficulty</t>
  </si>
  <si>
    <t>Consumables</t>
  </si>
  <si>
    <t>Packaging weight</t>
  </si>
  <si>
    <t>Postage costs</t>
  </si>
  <si>
    <t>Postage charged</t>
  </si>
  <si>
    <t>Weight band</t>
  </si>
  <si>
    <t>Postage you absorb</t>
  </si>
  <si>
    <t>Cost before overhead</t>
  </si>
  <si>
    <t>Fees on postage?</t>
  </si>
  <si>
    <t>Fixed fees</t>
  </si>
  <si>
    <t>Overhead rate</t>
  </si>
  <si>
    <t>Overhead in cost</t>
  </si>
  <si>
    <t>Target margin used</t>
  </si>
  <si>
    <t>Pricing denominator</t>
  </si>
  <si>
    <t>Suggested, unrounded</t>
  </si>
  <si>
    <t>Suggested price</t>
  </si>
  <si>
    <t>Price used</t>
  </si>
  <si>
    <t>Total cost</t>
  </si>
  <si>
    <t>Channel fees</t>
  </si>
  <si>
    <t>Profit an hour</t>
  </si>
  <si>
    <t>You earn an hour</t>
  </si>
  <si>
    <t>Never sell below</t>
  </si>
  <si>
    <t>Keystone (x2)</t>
  </si>
  <si>
    <t>Wholesale price</t>
  </si>
  <si>
    <t>Wholesale profit</t>
  </si>
  <si>
    <t>Wholesale margin</t>
  </si>
  <si>
    <t>Competitors average</t>
  </si>
  <si>
    <t>Versus the market</t>
  </si>
  <si>
    <t>Units sold</t>
  </si>
  <si>
    <t>Actual profit</t>
  </si>
  <si>
    <t>Actual margin</t>
  </si>
  <si>
    <t>Last sold</t>
  </si>
  <si>
    <t>Price changed</t>
  </si>
  <si>
    <t>Days since review</t>
  </si>
  <si>
    <t>Profit rank</t>
  </si>
  <si>
    <t>Margin rank</t>
  </si>
  <si>
    <t>Revenue rank</t>
  </si>
  <si>
    <t>Hourly rank</t>
  </si>
  <si>
    <t>Action</t>
  </si>
  <si>
    <t>Willow cable beanie</t>
  </si>
  <si>
    <t>Crochet &amp; knitting</t>
  </si>
  <si>
    <t>Active</t>
  </si>
  <si>
    <t>Autumn</t>
  </si>
  <si>
    <t>Moderate</t>
  </si>
  <si>
    <t>Standard</t>
  </si>
  <si>
    <t>First class - Domestic to 250g</t>
  </si>
  <si>
    <t>willowandthread.co/beanie</t>
  </si>
  <si>
    <t>Costed on the Crochet tab, not the bill of materials.</t>
  </si>
  <si>
    <t>Chunky market bag</t>
  </si>
  <si>
    <t>Bags &amp; leather</t>
  </si>
  <si>
    <t>All year</t>
  </si>
  <si>
    <t>Simple</t>
  </si>
  <si>
    <t>Budget</t>
  </si>
  <si>
    <t>First class - Domestic to 500g</t>
  </si>
  <si>
    <t>Woodland fox amigurumi</t>
  </si>
  <si>
    <t>Toys &amp; amigurumi</t>
  </si>
  <si>
    <t>Christmas</t>
  </si>
  <si>
    <t>Gift</t>
  </si>
  <si>
    <t>Hammered silver stacking ring</t>
  </si>
  <si>
    <t>Jewelry</t>
  </si>
  <si>
    <t>First class - Domestic to 100g</t>
  </si>
  <si>
    <t>Sea glass pendant</t>
  </si>
  <si>
    <t>Summer</t>
  </si>
  <si>
    <t>Amber &amp; fir candle 220 ml</t>
  </si>
  <si>
    <t>Candles &amp; home fragrance</t>
  </si>
  <si>
    <t>Winter</t>
  </si>
  <si>
    <t>Priority - Domestic to 1,000g</t>
  </si>
  <si>
    <t>Lavender tin candle 120 ml</t>
  </si>
  <si>
    <t>Very simple</t>
  </si>
  <si>
    <t>Linen crossbody bag</t>
  </si>
  <si>
    <t>Complex</t>
  </si>
  <si>
    <t>Linen pinafore apron</t>
  </si>
  <si>
    <t>Clothing &amp; accessories</t>
  </si>
  <si>
    <t>Own website</t>
  </si>
  <si>
    <t>Walnut serving board</t>
  </si>
  <si>
    <t>Woodworking</t>
  </si>
  <si>
    <t>Courier - Domestic to 5,000g</t>
  </si>
  <si>
    <t>Oak floating shelf 60 cm</t>
  </si>
  <si>
    <t>Made to order</t>
  </si>
  <si>
    <t>No price yet - the dashboard is right to complain about it.</t>
  </si>
  <si>
    <t>Cable beanie crochet pattern</t>
  </si>
  <si>
    <t>Digital download</t>
  </si>
  <si>
    <t>Instant download - no packaging profile, so nothing is charged for a box that is never posted.</t>
  </si>
  <si>
    <t>Woodland fox pattern</t>
  </si>
  <si>
    <t>Beeswax wrap set of three</t>
  </si>
  <si>
    <t>Other handmade</t>
  </si>
  <si>
    <t>Prototype</t>
  </si>
  <si>
    <t>Still costing it. No materials entered yet.</t>
  </si>
  <si>
    <t>Catalog summary</t>
  </si>
  <si>
    <t>Losing money</t>
  </si>
  <si>
    <t>Below target margin</t>
  </si>
  <si>
    <t>Under minimum wage</t>
  </si>
  <si>
    <t>Average profit an hour</t>
  </si>
  <si>
    <t>Materials &amp; Supplies</t>
  </si>
  <si>
    <t>What you buy, and what one unit of it actually costs once discount and delivery are in.</t>
  </si>
  <si>
    <t>Enter what a pack costs and how much is in it. The workbook works out the cost per unit and every product that uses it re-prices itself.</t>
  </si>
  <si>
    <t>Material</t>
  </si>
  <si>
    <t>Type</t>
  </si>
  <si>
    <t>Colour / size / detail</t>
  </si>
  <si>
    <t>Supplier</t>
  </si>
  <si>
    <t>Supplier code</t>
  </si>
  <si>
    <t>Quantity in a pack</t>
  </si>
  <si>
    <t>Unit</t>
  </si>
  <si>
    <t>Pack price</t>
  </si>
  <si>
    <t>Delivery per pack</t>
  </si>
  <si>
    <t>Trade discount</t>
  </si>
  <si>
    <t>Waste allowance</t>
  </si>
  <si>
    <t>Stock on hand</t>
  </si>
  <si>
    <t>Reorder at</t>
  </si>
  <si>
    <t>Previous pack price</t>
  </si>
  <si>
    <t>Price checked</t>
  </si>
  <si>
    <t>Pack cost to you</t>
  </si>
  <si>
    <t>Cost a unit</t>
  </si>
  <si>
    <t>Counted in</t>
  </si>
  <si>
    <t>Unit factor</t>
  </si>
  <si>
    <t>Cost a base unit</t>
  </si>
  <si>
    <t>Waste used</t>
  </si>
  <si>
    <t>Cost a unit with waste</t>
  </si>
  <si>
    <t>Stock value</t>
  </si>
  <si>
    <t>Used in</t>
  </si>
  <si>
    <t>Quantity committed</t>
  </si>
  <si>
    <t>Cost committed</t>
  </si>
  <si>
    <t>Stock covers</t>
  </si>
  <si>
    <t>Price move</t>
  </si>
  <si>
    <t>Stock</t>
  </si>
  <si>
    <t>Spend rank</t>
  </si>
  <si>
    <t>Merino worsted yarn, natural</t>
  </si>
  <si>
    <t>Yarn &amp; thread</t>
  </si>
  <si>
    <t>100 g skein, 200 m</t>
  </si>
  <si>
    <t>Blue Ridge Fibre Co</t>
  </si>
  <si>
    <t>BRF-MW-NAT</t>
  </si>
  <si>
    <t>g</t>
  </si>
  <si>
    <t>Up 9% this spring. Hats and cowls.</t>
  </si>
  <si>
    <t>Merino worsted yarn, moss</t>
  </si>
  <si>
    <t>BRF-MW-MSS</t>
  </si>
  <si>
    <t>Cotton 8/4 twine</t>
  </si>
  <si>
    <t>250 g cone</t>
  </si>
  <si>
    <t>Carolina Cotton</t>
  </si>
  <si>
    <t>CC-84-ECR</t>
  </si>
  <si>
    <t>Market bags. 5% trade discount over 10 cones.</t>
  </si>
  <si>
    <t>Cotton DK, mixed colours</t>
  </si>
  <si>
    <t>50 g ball</t>
  </si>
  <si>
    <t>BRF-DK-MIX</t>
  </si>
  <si>
    <t>Amigurumi. Waste is high - colour changes.</t>
  </si>
  <si>
    <t>Polyester toy stuffing</t>
  </si>
  <si>
    <t>Other supply</t>
  </si>
  <si>
    <t>500 g bag</t>
  </si>
  <si>
    <t>Craft Warehouse</t>
  </si>
  <si>
    <t>CW-STF-500</t>
  </si>
  <si>
    <t>Safety eyes 10 mm</t>
  </si>
  <si>
    <t>Elastic &amp; notions</t>
  </si>
  <si>
    <t>Pack of 20 pairs</t>
  </si>
  <si>
    <t>CW-EYE-10</t>
  </si>
  <si>
    <t>pair</t>
  </si>
  <si>
    <t>Sterling silver wire 1.5 mm</t>
  </si>
  <si>
    <t>Metal &amp; wire</t>
  </si>
  <si>
    <t>Half hard, 30 g coil</t>
  </si>
  <si>
    <t>Rio Metals</t>
  </si>
  <si>
    <t>RIO-SS-15</t>
  </si>
  <si>
    <t>Silver moved 17% in six months. Re-price rings.</t>
  </si>
  <si>
    <t>Sterling silver chain 1.2 mm</t>
  </si>
  <si>
    <t>Fine cable, sold by the metre</t>
  </si>
  <si>
    <t>RIO-CH-12</t>
  </si>
  <si>
    <t>cm</t>
  </si>
  <si>
    <t>Sea glass cabochons</t>
  </si>
  <si>
    <t>Stones &amp; crystals</t>
  </si>
  <si>
    <t>Tumbled, 15-20 mm</t>
  </si>
  <si>
    <t>Tidewater Finds</t>
  </si>
  <si>
    <t>TW-SG-MIX</t>
  </si>
  <si>
    <t>each</t>
  </si>
  <si>
    <t>Jump rings &amp; clasps, sterling</t>
  </si>
  <si>
    <t>Beads &amp; findings</t>
  </si>
  <si>
    <t>Mixed pack of 50</t>
  </si>
  <si>
    <t>RIO-FND-50</t>
  </si>
  <si>
    <t>Coconut soy wax</t>
  </si>
  <si>
    <t>Wax</t>
  </si>
  <si>
    <t>5 kg box, 464 blend</t>
  </si>
  <si>
    <t>Blue Ridge Candle</t>
  </si>
  <si>
    <t>BRC-CS-5</t>
  </si>
  <si>
    <t>kg</t>
  </si>
  <si>
    <t>Box price includes freight - that is why pack delivery is filled in.</t>
  </si>
  <si>
    <t>Amber &amp; fir fragrance oil</t>
  </si>
  <si>
    <t>Fragrance &amp; oils</t>
  </si>
  <si>
    <t>500 ml bottle</t>
  </si>
  <si>
    <t>BRC-FO-AF</t>
  </si>
  <si>
    <t>ml</t>
  </si>
  <si>
    <t>Lavender fragrance oil</t>
  </si>
  <si>
    <t>250 ml bottle</t>
  </si>
  <si>
    <t>BRC-FO-LAV</t>
  </si>
  <si>
    <t>Cotton wick CD-12, pretabbed</t>
  </si>
  <si>
    <t>Wicks</t>
  </si>
  <si>
    <t>Pack of 100</t>
  </si>
  <si>
    <t>BRC-WK-CD12</t>
  </si>
  <si>
    <t>Amber glass jar 220 ml</t>
  </si>
  <si>
    <t>Vessels &amp; jars</t>
  </si>
  <si>
    <t>With bamboo lid, case of 24</t>
  </si>
  <si>
    <t>Glassware Direct</t>
  </si>
  <si>
    <t>GD-AM-220</t>
  </si>
  <si>
    <t>Breakage in transit is why the waste allowance is not zero.</t>
  </si>
  <si>
    <t>Candle tin 120 ml</t>
  </si>
  <si>
    <t>Seamless, case of 48</t>
  </si>
  <si>
    <t>GD-TIN-120</t>
  </si>
  <si>
    <t>Washed linen, flax</t>
  </si>
  <si>
    <t>Fabric</t>
  </si>
  <si>
    <t>150 cm wide, sold by the metre</t>
  </si>
  <si>
    <t>Mill End Fabrics</t>
  </si>
  <si>
    <t>MEF-LIN-FLX</t>
  </si>
  <si>
    <t>Quantities in centimetres of length at full width. 12% layout waste on the bias.</t>
  </si>
  <si>
    <t>Cotton lining, natural</t>
  </si>
  <si>
    <t>112 cm wide</t>
  </si>
  <si>
    <t>MEF-COT-NAT</t>
  </si>
  <si>
    <t>Zip, webbing &amp; hardware set</t>
  </si>
  <si>
    <t>Hardware &amp; fixings</t>
  </si>
  <si>
    <t>Antique brass, per bag</t>
  </si>
  <si>
    <t>Bag Makers Supply</t>
  </si>
  <si>
    <t>BMS-HW-AB</t>
  </si>
  <si>
    <t>Woven label, folded</t>
  </si>
  <si>
    <t>Labels &amp; tags</t>
  </si>
  <si>
    <t>Label Lab</t>
  </si>
  <si>
    <t>LL-WV-100</t>
  </si>
  <si>
    <t>Walnut board, 25 mm</t>
  </si>
  <si>
    <t>Timber &amp; boards</t>
  </si>
  <si>
    <t>Kiln dried, 180 cm x 20 cm</t>
  </si>
  <si>
    <t>Appalachian Timber</t>
  </si>
  <si>
    <t>AT-WAL-25</t>
  </si>
  <si>
    <t>A quarter of every board is offcut and sawdust. Pretending otherwise is why boards feel unprofitable.</t>
  </si>
  <si>
    <t>White oak board, 20 mm</t>
  </si>
  <si>
    <t>240 cm x 15 cm</t>
  </si>
  <si>
    <t>AT-OAK-20</t>
  </si>
  <si>
    <t>Hard wax oil, satin</t>
  </si>
  <si>
    <t>Finish &amp; glue</t>
  </si>
  <si>
    <t>500 ml tin</t>
  </si>
  <si>
    <t>AT-HWO-500</t>
  </si>
  <si>
    <t>Sanding discs &amp; glue</t>
  </si>
  <si>
    <t>Tools &amp; consumables</t>
  </si>
  <si>
    <t>Mixed grits, per project pack</t>
  </si>
  <si>
    <t>AT-ABR-MIX</t>
  </si>
  <si>
    <t>Materials summary</t>
  </si>
  <si>
    <t>Materials listed</t>
  </si>
  <si>
    <t>Priced</t>
  </si>
  <si>
    <t>Missing a price</t>
  </si>
  <si>
    <t>Value on the shelf</t>
  </si>
  <si>
    <t>Low or out of stock</t>
  </si>
  <si>
    <t>Prices up since last check</t>
  </si>
  <si>
    <t>Not checked in a year</t>
  </si>
  <si>
    <t>Bill of Materials</t>
  </si>
  <si>
    <t>What goes into each product, how much of it, and what that costs.</t>
  </si>
  <si>
    <t>Product name</t>
  </si>
  <si>
    <t>Material name</t>
  </si>
  <si>
    <t>Quantity used</t>
  </si>
  <si>
    <t>Waste %</t>
  </si>
  <si>
    <t>Optional?</t>
  </si>
  <si>
    <t>Quantity with waste</t>
  </si>
  <si>
    <t>Line cost</t>
  </si>
  <si>
    <t>Materials in this product</t>
  </si>
  <si>
    <t>Share of the product</t>
  </si>
  <si>
    <t>Line</t>
  </si>
  <si>
    <t>Check</t>
  </si>
  <si>
    <t>P-0002</t>
  </si>
  <si>
    <t>M-0003</t>
  </si>
  <si>
    <t>Weighed off the cone.</t>
  </si>
  <si>
    <t>M-0020</t>
  </si>
  <si>
    <t>Woven label in the side seam.</t>
  </si>
  <si>
    <t>P-0003</t>
  </si>
  <si>
    <t>M-0004</t>
  </si>
  <si>
    <t>Three colours, so more waste.</t>
  </si>
  <si>
    <t>M-0005</t>
  </si>
  <si>
    <t>M-0006</t>
  </si>
  <si>
    <t>One pair of safety eyes.</t>
  </si>
  <si>
    <t>P-0008</t>
  </si>
  <si>
    <t>M-0017</t>
  </si>
  <si>
    <t>Outer, cut on the straight grain.</t>
  </si>
  <si>
    <t>M-0018</t>
  </si>
  <si>
    <t>Lining and inside pocket.</t>
  </si>
  <si>
    <t>M-0019</t>
  </si>
  <si>
    <t>Zip, webbing, slider and two rings.</t>
  </si>
  <si>
    <t>P-0010</t>
  </si>
  <si>
    <t>M-0021</t>
  </si>
  <si>
    <t>A quarter of the board is offcut - that is the honest number.</t>
  </si>
  <si>
    <t>M-0023</t>
  </si>
  <si>
    <t>Three coats of hard wax oil.</t>
  </si>
  <si>
    <t>M-0024</t>
  </si>
  <si>
    <t>Discs die fast on walnut.</t>
  </si>
  <si>
    <t>Branded tag, only on gift orders.</t>
  </si>
  <si>
    <t>Bill of materials summary</t>
  </si>
  <si>
    <t>Lines entered</t>
  </si>
  <si>
    <t>Products covered</t>
  </si>
  <si>
    <t>Materials used</t>
  </si>
  <si>
    <t>Total material cost</t>
  </si>
  <si>
    <t>Average per line</t>
  </si>
  <si>
    <t>Lines needing a look</t>
  </si>
  <si>
    <t>Labor &amp; Time</t>
  </si>
  <si>
    <t>Every stage of making it, timed and priced at a real hourly rate.</t>
  </si>
  <si>
    <t>Stage</t>
  </si>
  <si>
    <t>Who does it</t>
  </si>
  <si>
    <t>Rate override</t>
  </si>
  <si>
    <t>Per item or batch</t>
  </si>
  <si>
    <t>Items in that batch</t>
  </si>
  <si>
    <t>Skilled work?</t>
  </si>
  <si>
    <t>Hourly rate</t>
  </si>
  <si>
    <t>Batch used</t>
  </si>
  <si>
    <t>Cost of the stage</t>
  </si>
  <si>
    <t>Cost per item</t>
  </si>
  <si>
    <t>Minutes per item</t>
  </si>
  <si>
    <t>Labour in this product</t>
  </si>
  <si>
    <t>Share of the labour</t>
  </si>
  <si>
    <t>Making</t>
  </si>
  <si>
    <t>Me</t>
  </si>
  <si>
    <t>Per item</t>
  </si>
  <si>
    <t>Base, sides and handles.</t>
  </si>
  <si>
    <t>Weaving in</t>
  </si>
  <si>
    <t>Packing</t>
  </si>
  <si>
    <t>Photography</t>
  </si>
  <si>
    <t>Per batch</t>
  </si>
  <si>
    <t>One shoot covers the batch.</t>
  </si>
  <si>
    <t>Body, head, four legs, tail and ears.</t>
  </si>
  <si>
    <t>Assembly</t>
  </si>
  <si>
    <t>Sewing up and getting the face right.</t>
  </si>
  <si>
    <t>Finishing</t>
  </si>
  <si>
    <t>Cutting &amp; prep</t>
  </si>
  <si>
    <t>Sewing</t>
  </si>
  <si>
    <t>Zip, lining, strap, topstitching.</t>
  </si>
  <si>
    <t>Milling, thicknessing, cutting to length.</t>
  </si>
  <si>
    <t>Sanding &amp; smoothing</t>
  </si>
  <si>
    <t>Always longer than anybody admits.</t>
  </si>
  <si>
    <t>Painting &amp; staining</t>
  </si>
  <si>
    <t>Three coats of oil, with waiting in between.</t>
  </si>
  <si>
    <t>Boards need real protection in the post.</t>
  </si>
  <si>
    <t>Labour summary</t>
  </si>
  <si>
    <t>Stages entered</t>
  </si>
  <si>
    <t>Total minutes per item</t>
  </si>
  <si>
    <t>Total labour cost</t>
  </si>
  <si>
    <t>Average rate</t>
  </si>
  <si>
    <t>Skilled stages</t>
  </si>
  <si>
    <t>Packaging Costs</t>
  </si>
  <si>
    <t>Four packaging profiles, built from the components you actually buy.</t>
  </si>
  <si>
    <t>Tick the profiles each component belongs to. The four totals at the bottom are what products inherit when they pick a profile.</t>
  </si>
  <si>
    <t>Component</t>
  </si>
  <si>
    <t>Units in a pack</t>
  </si>
  <si>
    <t>Used per order</t>
  </si>
  <si>
    <t>Weight each (g)</t>
  </si>
  <si>
    <t>Premium</t>
  </si>
  <si>
    <t>Branded?</t>
  </si>
  <si>
    <t>Cost each</t>
  </si>
  <si>
    <t>Cost per order</t>
  </si>
  <si>
    <t>Weight per order</t>
  </si>
  <si>
    <t>Budget cost</t>
  </si>
  <si>
    <t>Standard cost</t>
  </si>
  <si>
    <t>Gift cost</t>
  </si>
  <si>
    <t>Premium cost</t>
  </si>
  <si>
    <t>Budget weight</t>
  </si>
  <si>
    <t>Standard weight</t>
  </si>
  <si>
    <t>Gift weight</t>
  </si>
  <si>
    <t>Premium weight</t>
  </si>
  <si>
    <t>In profiles</t>
  </si>
  <si>
    <t>Kraft mailer box, small</t>
  </si>
  <si>
    <t>Mailer &amp; box</t>
  </si>
  <si>
    <t>Packmart</t>
  </si>
  <si>
    <t>Poly mailer</t>
  </si>
  <si>
    <t>Polybag</t>
  </si>
  <si>
    <t>Patterns and anything soft.</t>
  </si>
  <si>
    <t>Printed tissue paper</t>
  </si>
  <si>
    <t>Tissue &amp; wrap</t>
  </si>
  <si>
    <t>Noissue</t>
  </si>
  <si>
    <t>Kraft sticker seal</t>
  </si>
  <si>
    <t>Label &amp; sticker</t>
  </si>
  <si>
    <t>Thank you card</t>
  </si>
  <si>
    <t>Moo</t>
  </si>
  <si>
    <t>Handwritten. Worth more than it costs.</t>
  </si>
  <si>
    <t>Care card</t>
  </si>
  <si>
    <t>Washing, burning and storing.</t>
  </si>
  <si>
    <t>Baker's twine</t>
  </si>
  <si>
    <t>Ribbon &amp; twine</t>
  </si>
  <si>
    <t>Rigid gift box</t>
  </si>
  <si>
    <t>Gift box</t>
  </si>
  <si>
    <t>The thing people keep. Worth the money on jewelry.</t>
  </si>
  <si>
    <t>Bubble wrap sheet</t>
  </si>
  <si>
    <t>Fragile protection</t>
  </si>
  <si>
    <t>Candles and boards.</t>
  </si>
  <si>
    <t>Wax seal &amp; ribbon</t>
  </si>
  <si>
    <t>Etsy supplier</t>
  </si>
  <si>
    <t>What each packaging profile costs</t>
  </si>
  <si>
    <t>These four totals are the figures the product catalog, both price calculators and the order forms read. A product picks a profile by name and inherits the cost and the weight.</t>
  </si>
  <si>
    <t>Profile</t>
  </si>
  <si>
    <t>Components</t>
  </si>
  <si>
    <t>Weight (g)</t>
  </si>
  <si>
    <t>What it is for</t>
  </si>
  <si>
    <t>Plain mailer, a sticker, done. For low priced items where the packaging cannot be more than the profit.</t>
  </si>
  <si>
    <t>What most of your orders go out in.</t>
  </si>
  <si>
    <t>Ribbon, tissue, a hand written card - the one people photograph.</t>
  </si>
  <si>
    <t>Rigid box, insert, branded sleeve. For the pieces that carry it.</t>
  </si>
  <si>
    <t>No profile that suits a product? Add a component, tick the profile it belongs to, and these totals move - along with every price in the workbook that uses them.</t>
  </si>
  <si>
    <t>Shipping Rates</t>
  </si>
  <si>
    <t>What postage costs you, what the buyer pays, and the difference you have to price for.</t>
  </si>
  <si>
    <t>Service</t>
  </si>
  <si>
    <t>Zone</t>
  </si>
  <si>
    <t>Up to (g)</t>
  </si>
  <si>
    <t>Postage costs you</t>
  </si>
  <si>
    <t>Extra packaging</t>
  </si>
  <si>
    <t>Buyer is charged</t>
  </si>
  <si>
    <t>Who pays</t>
  </si>
  <si>
    <t>Tracked?</t>
  </si>
  <si>
    <t>Days</t>
  </si>
  <si>
    <t>Carrier</t>
  </si>
  <si>
    <t>Option</t>
  </si>
  <si>
    <t>Costs you</t>
  </si>
  <si>
    <t>You absorb</t>
  </si>
  <si>
    <t>You keep</t>
  </si>
  <si>
    <t>Cost per 100 g</t>
  </si>
  <si>
    <t>Products using it</t>
  </si>
  <si>
    <t>First class</t>
  </si>
  <si>
    <t>Domestic</t>
  </si>
  <si>
    <t>Buyer pays</t>
  </si>
  <si>
    <t>USPS</t>
  </si>
  <si>
    <t>Jewelry in a padded envelope.</t>
  </si>
  <si>
    <t>You absorb 15 cents on every one of these.</t>
  </si>
  <si>
    <t>Priority</t>
  </si>
  <si>
    <t>Candles and bags.</t>
  </si>
  <si>
    <t>Courier</t>
  </si>
  <si>
    <t>Flat rate</t>
  </si>
  <si>
    <t>UPS</t>
  </si>
  <si>
    <t>Boards. The flat rate loses a little on every order and sells a lot more of them.</t>
  </si>
  <si>
    <t>International tracked</t>
  </si>
  <si>
    <t>Rest of world</t>
  </si>
  <si>
    <t>Customs form every time.</t>
  </si>
  <si>
    <t>Collection / pickup</t>
  </si>
  <si>
    <t>Local</t>
  </si>
  <si>
    <t>Collection only</t>
  </si>
  <si>
    <t>Studio</t>
  </si>
  <si>
    <t>Local buyers collect from the studio.</t>
  </si>
  <si>
    <t>Postage summary</t>
  </si>
  <si>
    <t>Options listed</t>
  </si>
  <si>
    <t>Free shipping options</t>
  </si>
  <si>
    <t>Average label cost</t>
  </si>
  <si>
    <t>Average absorbed</t>
  </si>
  <si>
    <t>Options losing money</t>
  </si>
  <si>
    <t>Cheapest domestic</t>
  </si>
  <si>
    <t>Overhead Costs</t>
  </si>
  <si>
    <t>The bills that are not about any one product, spread across everything you make.</t>
  </si>
  <si>
    <t>Paid to</t>
  </si>
  <si>
    <t>Amount</t>
  </si>
  <si>
    <t>How often</t>
  </si>
  <si>
    <t>Started</t>
  </si>
  <si>
    <t>Ends</t>
  </si>
  <si>
    <t>Essential?</t>
  </si>
  <si>
    <t>A month</t>
  </si>
  <si>
    <t>A year</t>
  </si>
  <si>
    <t>Share of overhead</t>
  </si>
  <si>
    <t>Per item made</t>
  </si>
  <si>
    <t>Items to cover it</t>
  </si>
  <si>
    <t>Studio rent</t>
  </si>
  <si>
    <t>River Arts District</t>
  </si>
  <si>
    <t>Shared bench space, 24 hour access.</t>
  </si>
  <si>
    <t>Electricity &amp; heat</t>
  </si>
  <si>
    <t>Utilities</t>
  </si>
  <si>
    <t>Duke Energy</t>
  </si>
  <si>
    <t>The wax melter is not cheap to run.</t>
  </si>
  <si>
    <t>Maker's insurance</t>
  </si>
  <si>
    <t>Insurance</t>
  </si>
  <si>
    <t>ACT Insurance</t>
  </si>
  <si>
    <t>Yearly</t>
  </si>
  <si>
    <t>Product liability - candles need it.</t>
  </si>
  <si>
    <t>Etsy Plus</t>
  </si>
  <si>
    <t>Shop subscription</t>
  </si>
  <si>
    <t>Website &amp; domain</t>
  </si>
  <si>
    <t>Squarespace</t>
  </si>
  <si>
    <t>Design software</t>
  </si>
  <si>
    <t>Software</t>
  </si>
  <si>
    <t>Adobe</t>
  </si>
  <si>
    <t>Patterns and listing photos.</t>
  </si>
  <si>
    <t>Bookkeeping</t>
  </si>
  <si>
    <t>Accounting</t>
  </si>
  <si>
    <t>Hill &amp; Co</t>
  </si>
  <si>
    <t>Phone &amp; internet (business share)</t>
  </si>
  <si>
    <t>Phone &amp; internet</t>
  </si>
  <si>
    <t>Spectrum</t>
  </si>
  <si>
    <t>Half the household bill.</t>
  </si>
  <si>
    <t>Tool replacement fund</t>
  </si>
  <si>
    <t>Tool replacement</t>
  </si>
  <si>
    <t>-</t>
  </si>
  <si>
    <t>Hooks, blades, sanding belts, the next wax melter. Put it aside before you need it.</t>
  </si>
  <si>
    <t>Photography props &amp; backdrops</t>
  </si>
  <si>
    <t>Photography props</t>
  </si>
  <si>
    <t>Various</t>
  </si>
  <si>
    <t>Guild membership</t>
  </si>
  <si>
    <t>Memberships</t>
  </si>
  <si>
    <t>Southern Highland Craft Guild</t>
  </si>
  <si>
    <t>Pays for itself in fair bookings.</t>
  </si>
  <si>
    <t>Overhead summary</t>
  </si>
  <si>
    <t>Costs listed</t>
  </si>
  <si>
    <t>Total a month</t>
  </si>
  <si>
    <t>Total a year</t>
  </si>
  <si>
    <t>Could be cut</t>
  </si>
  <si>
    <t>Items to break even</t>
  </si>
  <si>
    <t>Sales Channels &amp; Fees</t>
  </si>
  <si>
    <t>Every fee, editable, per place you sell - and what each one really takes from a sale.</t>
  </si>
  <si>
    <t>Check the official fee schedule for your country, type what you find, and date the row. Every price in the workbook uses these numbers.</t>
  </si>
  <si>
    <t>Fee shape</t>
  </si>
  <si>
    <t>Listing fee</t>
  </si>
  <si>
    <t>Sales per listing</t>
  </si>
  <si>
    <t>Processing %</t>
  </si>
  <si>
    <t>Processing fixed</t>
  </si>
  <si>
    <t>Orders from ads</t>
  </si>
  <si>
    <t>Regulatory fee</t>
  </si>
  <si>
    <t>Currency fee</t>
  </si>
  <si>
    <t>Other %</t>
  </si>
  <si>
    <t>Other fixed</t>
  </si>
  <si>
    <t>Monthly subscription</t>
  </si>
  <si>
    <t>Fees checked</t>
  </si>
  <si>
    <t>Fee schedule</t>
  </si>
  <si>
    <t>Percentage fees</t>
  </si>
  <si>
    <t>Fee on a 20 sale</t>
  </si>
  <si>
    <t>Effective take</t>
  </si>
  <si>
    <t>Products on it</t>
  </si>
  <si>
    <t>Sales recorded</t>
  </si>
  <si>
    <t>Sold through it</t>
  </si>
  <si>
    <t>Fees actually paid</t>
  </si>
  <si>
    <t>Actual take</t>
  </si>
  <si>
    <t>Percent + fixed</t>
  </si>
  <si>
    <t>etsy.com/legal/fees</t>
  </si>
  <si>
    <t>Offsite ads are 15% but only on the orders that come through them - about one in five here. Verify the current official fee schedule for your country before you rely on these.</t>
  </si>
  <si>
    <t>squarespace.com/pricing</t>
  </si>
  <si>
    <t>Card processing only. The subscription belongs in overhead, not in the price.</t>
  </si>
  <si>
    <t>Craft fair</t>
  </si>
  <si>
    <t>squareup.com/us/en/pricing</t>
  </si>
  <si>
    <t>Card reader rate. The stall fee is on the Events tab, where it belongs.</t>
  </si>
  <si>
    <t>Wholesale</t>
  </si>
  <si>
    <t>None</t>
  </si>
  <si>
    <t>No fees - the discount is the cost.</t>
  </si>
  <si>
    <t>Instagram / direct</t>
  </si>
  <si>
    <t>A payment link. The cheapest place you sell.</t>
  </si>
  <si>
    <t>Amazon Handmade</t>
  </si>
  <si>
    <t>Percent of order</t>
  </si>
  <si>
    <t>sell.amazon.com/handmade</t>
  </si>
  <si>
    <t>15% referral fee. Nothing listed here yet - the margin would have to be built in first.</t>
  </si>
  <si>
    <t>Other</t>
  </si>
  <si>
    <t>Gifts, swaps and anything that does not fit.</t>
  </si>
  <si>
    <t>Channel comparison</t>
  </si>
  <si>
    <t>Channels set up</t>
  </si>
  <si>
    <t>Cheapest to sell on</t>
  </si>
  <si>
    <t>Dearest to sell on</t>
  </si>
  <si>
    <t>Average take</t>
  </si>
  <si>
    <t>Fees paid this year</t>
  </si>
  <si>
    <t>Needing a fee check</t>
  </si>
  <si>
    <t>Retail Price Calculator</t>
  </si>
  <si>
    <t>Everything that goes into the price, and the number it comes out at. Fill in the white cells.</t>
  </si>
  <si>
    <t>1. What are you pricing?</t>
  </si>
  <si>
    <t>Choose a product from your catalog and every cost below fills itself in. Or leave it blank and type the costs by hand - nothing on this page changes your saved data.</t>
  </si>
  <si>
    <t>From the Product Catalog. Clear the cell to price something that is not listed yet.</t>
  </si>
  <si>
    <t>Where are you selling it?</t>
  </si>
  <si>
    <t>The fees come from the Channels tab, which you can edit.</t>
  </si>
  <si>
    <t>Profit as a share of the price. Change it here to test, or on Settings to change it everywhere.</t>
  </si>
  <si>
    <t>Quantity you make at a time</t>
  </si>
  <si>
    <t>Used for the per unit setup time below.</t>
  </si>
  <si>
    <t>2. What it costs you to make</t>
  </si>
  <si>
    <t>The middle column is what the catalog says. Type anything in the override column to try a different number - an override always wins.</t>
  </si>
  <si>
    <t>From the catalog</t>
  </si>
  <si>
    <t>Your override</t>
  </si>
  <si>
    <t>Used</t>
  </si>
  <si>
    <t>What it is</t>
  </si>
  <si>
    <t>Everything that ends up in the piece, waste included.</t>
  </si>
  <si>
    <t>Your hours at your rate - the cost most makers leave out.</t>
  </si>
  <si>
    <t>Glue, thread, sandpaper, gas. Small, real, forgotten.</t>
  </si>
  <si>
    <t>Box, tissue, card, label, tape.</t>
  </si>
  <si>
    <t>What the label costs you less what the buyer pays.</t>
  </si>
  <si>
    <t>Other costs</t>
  </si>
  <si>
    <t>Anything else this piece carries - a pattern licence, a stamp, a fee.</t>
  </si>
  <si>
    <t>Direct cost</t>
  </si>
  <si>
    <t>Materials + labour + packaging + postage - everything except overhead.</t>
  </si>
  <si>
    <t>3. Overhead - the costs that are not in the piece</t>
  </si>
  <si>
    <t>Studio rent, insurance, your website, the shop subscription. The Overhead tab works out how it is shared; this is that share applied to this product.</t>
  </si>
  <si>
    <t>How overhead is shared</t>
  </si>
  <si>
    <t>Change the method on the Settings tab.</t>
  </si>
  <si>
    <t>Overhead on this product</t>
  </si>
  <si>
    <t>With 'Share of revenue' the overhead goes into the price as a percentage instead - see the next section.</t>
  </si>
  <si>
    <t>This is C in the pricing formula.</t>
  </si>
  <si>
    <t>4. What the marketplace takes</t>
  </si>
  <si>
    <t>Percentage fees and fixed fees behave completely differently, which is why adding a flat 'Etsy 20%' to your cost gets the price wrong. Percentages come out of the price you are solving for; fixed fees are added to the cost.</t>
  </si>
  <si>
    <t>Listing share, transaction, payment processing, ads, regulatory - all editable on the Channels tab.</t>
  </si>
  <si>
    <t>The listing fee and the fixed part of the payment processing charge.</t>
  </si>
  <si>
    <t>Overhead as a share of revenue</t>
  </si>
  <si>
    <t>Only used with the 'Share of revenue' method - it comes out of the price, like a fee.</t>
  </si>
  <si>
    <t>5. The price</t>
  </si>
  <si>
    <t>Denominator</t>
  </si>
  <si>
    <t>1 minus the margin you want, minus the percentage fees, minus the overhead share. If this is zero or less, no price works and the maths says so.</t>
  </si>
  <si>
    <t>(Cost + fixed fees) divided by the denominator. This is the price that leaves exactly the margin you asked for.</t>
  </si>
  <si>
    <t>Rounded for the listing</t>
  </si>
  <si>
    <t>Using the rounding rule on Settings. Rounding up is free margin; rounding down is a gift.</t>
  </si>
  <si>
    <t>what to charge</t>
  </si>
  <si>
    <t>Fees on that price</t>
  </si>
  <si>
    <t>what the channel takes</t>
  </si>
  <si>
    <t>what you keep</t>
  </si>
  <si>
    <t>profit over price</t>
  </si>
  <si>
    <t>profit over cost</t>
  </si>
  <si>
    <t>Hours in it</t>
  </si>
  <si>
    <t>from the catalog</t>
  </si>
  <si>
    <t>profit plus your wage</t>
  </si>
  <si>
    <t>Wholesale at this price</t>
  </si>
  <si>
    <t>half retail, by default</t>
  </si>
  <si>
    <t>6. How that number was worked out</t>
  </si>
  <si>
    <t>Value</t>
  </si>
  <si>
    <t>Where it comes from</t>
  </si>
  <si>
    <t>Materials, labour and the rest</t>
  </si>
  <si>
    <t>Section 2 above</t>
  </si>
  <si>
    <t>The Overhead tab, shared by your chosen method</t>
  </si>
  <si>
    <t>C - total cost</t>
  </si>
  <si>
    <t>The two lines above</t>
  </si>
  <si>
    <t>F - fixed fees</t>
  </si>
  <si>
    <t>Channels tab: listing fee plus the fixed processing charge</t>
  </si>
  <si>
    <t>r - target margin</t>
  </si>
  <si>
    <t>Your target, from Settings or the box above</t>
  </si>
  <si>
    <t>f - percentage fees</t>
  </si>
  <si>
    <t>Channels tab: everything charged as a percentage</t>
  </si>
  <si>
    <t>1 - r - f</t>
  </si>
  <si>
    <t>The share of the price that is left to cover the cost</t>
  </si>
  <si>
    <t>(C + F) / (1 - r - f)</t>
  </si>
  <si>
    <t>The price that leaves exactly your target margin</t>
  </si>
  <si>
    <t>Rounded</t>
  </si>
  <si>
    <t>Your rounding rule from the Settings tab</t>
  </si>
  <si>
    <t>7. The same product at other margins</t>
  </si>
  <si>
    <t>What you would have to charge for each level of margin, and what you would earn an hour at it. The row matching your target is the suggestion above.</t>
  </si>
  <si>
    <t>8. What if you charged something else?</t>
  </si>
  <si>
    <t>The suggested price, moved up and down. This is the table to look at before you knock a few dollars off because a price feels high.</t>
  </si>
  <si>
    <t>Versus suggested</t>
  </si>
  <si>
    <t>Verdict</t>
  </si>
  <si>
    <t>9. Does this price make sense?</t>
  </si>
  <si>
    <t>Covers your costs</t>
  </si>
  <si>
    <t>Pays you properly</t>
  </si>
  <si>
    <t>Works for wholesale</t>
  </si>
  <si>
    <t>Against the market</t>
  </si>
  <si>
    <t>Fee settings</t>
  </si>
  <si>
    <t>Happy with the number? Put it in the 'Your price' column on the Product Catalog and log the change on the Price History tab. Nothing on this page is saved - it is a calculator, not a record.</t>
  </si>
  <si>
    <t>Wholesale Price Calculator</t>
  </si>
  <si>
    <t>What a stockist costs you, what you need to charge, and whether the order is worth the fortnight.</t>
  </si>
  <si>
    <t>1. The product and the deal</t>
  </si>
  <si>
    <t>From the Product Catalog.</t>
  </si>
  <si>
    <t>Discount the shop wants</t>
  </si>
  <si>
    <t>50% is the usual ask. 40% is common for small independents, 60% for distributors.</t>
  </si>
  <si>
    <t>Units in the order</t>
  </si>
  <si>
    <t>Used for the order totals and the hours further down.</t>
  </si>
  <si>
    <t>Carriage you pay</t>
  </si>
  <si>
    <t>One box to the shop, not one box per item - which is why wholesale postage is so much cheaper per piece.</t>
  </si>
  <si>
    <t>Thinner than retail on purpose: no marketplace fees and the shop does the selling.</t>
  </si>
  <si>
    <t>2. What the piece costs you</t>
  </si>
  <si>
    <t>Wholesale skips the gift packaging and the retail postage, so the cost base is lower than it is for a retail sale. Override anything that is different for a trade order.</t>
  </si>
  <si>
    <t>Note</t>
  </si>
  <si>
    <t>The same whoever buys it.</t>
  </si>
  <si>
    <t>Often lower per piece on a batch - override it if so.</t>
  </si>
  <si>
    <t>Glue, thread, gas, sandpaper.</t>
  </si>
  <si>
    <t>Trade packaging</t>
  </si>
  <si>
    <t>A poly bag and a swing tag, not a gift box.</t>
  </si>
  <si>
    <t>The same share of the studio as any other piece.</t>
  </si>
  <si>
    <t>3. Working it both ways</t>
  </si>
  <si>
    <t>A. From your retail price down</t>
  </si>
  <si>
    <t>Your retail price</t>
  </si>
  <si>
    <t>From the catalog.</t>
  </si>
  <si>
    <t>Retail less the discount the shop is asking for.</t>
  </si>
  <si>
    <t>Profit a unit</t>
  </si>
  <si>
    <t>After the cost above and a share of the carriage.</t>
  </si>
  <si>
    <t>Compare it with your target above.</t>
  </si>
  <si>
    <t>Profit plus your own wage, over the hours it takes.</t>
  </si>
  <si>
    <t>B. From the margin you need, back up</t>
  </si>
  <si>
    <t>Wholesale price you need</t>
  </si>
  <si>
    <t>Cost divided by one minus your target margin.</t>
  </si>
  <si>
    <t>Retail price that supports it</t>
  </si>
  <si>
    <t>The retail price the shop will put on the shelf. If it is above what the market pays, the costs have to come down.</t>
  </si>
  <si>
    <t>Versus your current retail</t>
  </si>
  <si>
    <t>Positive means your retail price is too low to wholesale from.</t>
  </si>
  <si>
    <t>Keystone check (cost x 4)</t>
  </si>
  <si>
    <t>The old trade rule: double for wholesale, double again for retail. Crude, but a useful second opinion.</t>
  </si>
  <si>
    <t>4. The order itself</t>
  </si>
  <si>
    <t>Units</t>
  </si>
  <si>
    <t>Order value</t>
  </si>
  <si>
    <t>Cost to make</t>
  </si>
  <si>
    <t>Carriage</t>
  </si>
  <si>
    <t>Hours of work</t>
  </si>
  <si>
    <t>The hours column is the one to look at before you say yes. A profitable order that fills six weeks can still be the wrong order.</t>
  </si>
  <si>
    <t>5. What each discount does</t>
  </si>
  <si>
    <t>The same product at every discount a shop might ask for. The last column is the honest answer to 'can you do a bit better on the price?'.</t>
  </si>
  <si>
    <t>Discount</t>
  </si>
  <si>
    <t>On a full order</t>
  </si>
  <si>
    <t>6. Should you take it?</t>
  </si>
  <si>
    <t>The order makes money</t>
  </si>
  <si>
    <t>It pays you properly</t>
  </si>
  <si>
    <t>Your retail price supports it</t>
  </si>
  <si>
    <t>It meets your minimum</t>
  </si>
  <si>
    <t>Can you actually make them?</t>
  </si>
  <si>
    <t>Taking the order? Add the shop to the Wholesale Customers tab with its discount and terms, then enter the lines on Wholesale Orders - the margins there follow whatever you agree here.</t>
  </si>
  <si>
    <t>Profit, Margin &amp; Break-Even</t>
  </si>
  <si>
    <t>What each piece contributes, how many pay for the month, and the difference between margin and markup.</t>
  </si>
  <si>
    <t>1. The numbers it works from</t>
  </si>
  <si>
    <t>Or leave it and use the override boxes below to test something hypothetical.</t>
  </si>
  <si>
    <t>Fixed costs a month</t>
  </si>
  <si>
    <t>From the Overhead tab. Type over it to include a wage you want to draw.</t>
  </si>
  <si>
    <t>Wage you want to draw a month</t>
  </si>
  <si>
    <t>Treat your own pay as a fixed cost and break-even becomes a living, not a survival.</t>
  </si>
  <si>
    <t>The catalog price. Override it to test a different one.</t>
  </si>
  <si>
    <t>Variable cost a unit</t>
  </si>
  <si>
    <t>Materials, labour, packaging and postage - everything that only happens when you make one. Overhead is the fixed part and is counted above.</t>
  </si>
  <si>
    <t>From the channel this product sells on.</t>
  </si>
  <si>
    <t>Fixed fees a sale</t>
  </si>
  <si>
    <t>2. The calculation, step by step</t>
  </si>
  <si>
    <t>Overhead plus whatever you want to pay yourself.</t>
  </si>
  <si>
    <t>What the buyer pays for the item.</t>
  </si>
  <si>
    <t>Percentage fees plus the fixed ones.</t>
  </si>
  <si>
    <t>Variable cost</t>
  </si>
  <si>
    <t>Everything that only happens when you make one.</t>
  </si>
  <si>
    <t>Contribution a unit</t>
  </si>
  <si>
    <t>What each sale puts towards the fixed costs. This is the number that matters.</t>
  </si>
  <si>
    <t>Contribution margin</t>
  </si>
  <si>
    <t>Contribution as a share of the price.</t>
  </si>
  <si>
    <t>Break-even units a month</t>
  </si>
  <si>
    <t>fixed costs / contribution</t>
  </si>
  <si>
    <t>Break-even revenue</t>
  </si>
  <si>
    <t>at this price</t>
  </si>
  <si>
    <t>Units a week</t>
  </si>
  <si>
    <t>to keep pace</t>
  </si>
  <si>
    <t>Hours a month to make them</t>
  </si>
  <si>
    <t>is that even possible?</t>
  </si>
  <si>
    <t>3. Margin and markup are not the same thing</t>
  </si>
  <si>
    <t>Margin is profit over the price; markup is profit over the cost. A 50% markup is a 33% margin, and mixing them up is how a shop ends up pricing at cost plus a bit.</t>
  </si>
  <si>
    <t>This product</t>
  </si>
  <si>
    <t>Worked out as</t>
  </si>
  <si>
    <t>Price - fees - variable cost</t>
  </si>
  <si>
    <t>Profit / price x 100</t>
  </si>
  <si>
    <t>Profit / cost x 100</t>
  </si>
  <si>
    <t>Multiplier on cost</t>
  </si>
  <si>
    <t>How many times your cost the price is</t>
  </si>
  <si>
    <t>If you want this margin</t>
  </si>
  <si>
    <t>The markup is</t>
  </si>
  <si>
    <t>Multiply your cost by</t>
  </si>
  <si>
    <t>Example on $10 of cost</t>
  </si>
  <si>
    <t>4. Break-even at other prices</t>
  </si>
  <si>
    <t>Change</t>
  </si>
  <si>
    <t>Contribution</t>
  </si>
  <si>
    <t>Break-even units</t>
  </si>
  <si>
    <t>5. Every product against the monthly overhead</t>
  </si>
  <si>
    <t>How many of each you would have to sell in a month to pay the fixed costs on that product alone. It is a blunt test and a very clear one.</t>
  </si>
  <si>
    <t>Units to cover the month</t>
  </si>
  <si>
    <t>Hours that takes</t>
  </si>
  <si>
    <t>6. Where you actually are</t>
  </si>
  <si>
    <t>This month</t>
  </si>
  <si>
    <t>What it tells you</t>
  </si>
  <si>
    <t>Revenue so far</t>
  </si>
  <si>
    <t>Everything logged on the Sales tab this month.</t>
  </si>
  <si>
    <t>Contribution so far</t>
  </si>
  <si>
    <t>Profit on the orders logged, before the studio overhead.</t>
  </si>
  <si>
    <t>Fixed costs to cover</t>
  </si>
  <si>
    <t>What the month has to pay for.</t>
  </si>
  <si>
    <t>Still to find</t>
  </si>
  <si>
    <t>The gap between here and break-even.</t>
  </si>
  <si>
    <t>Days left in the month</t>
  </si>
  <si>
    <t>How long you have to find it.</t>
  </si>
  <si>
    <t>Break-even is not a target, it is a floor. Pay yourself a wage in the box at the top and the number becomes the honest answer to 'how much do I have to sell to make this a job?'.</t>
  </si>
  <si>
    <t>Crochet &amp; Knitting Calculator</t>
  </si>
  <si>
    <t>Yarn by the gram, notions, the pattern's share and the hours it really takes.</t>
  </si>
  <si>
    <t>Weigh the piece, enter the grams, and the yarn costs itself. Link the row to a product ID and the catalog picks the whole lot up.</t>
  </si>
  <si>
    <t>Product ID</t>
  </si>
  <si>
    <t>Piece</t>
  </si>
  <si>
    <t>Pattern</t>
  </si>
  <si>
    <t>Size</t>
  </si>
  <si>
    <t>Yarn weight</t>
  </si>
  <si>
    <t>Hook</t>
  </si>
  <si>
    <t>Main yarn</t>
  </si>
  <si>
    <t>Grams used</t>
  </si>
  <si>
    <t>Second yarn</t>
  </si>
  <si>
    <t>Yarn waste</t>
  </si>
  <si>
    <t>Buttons, zips, eyes</t>
  </si>
  <si>
    <t>Stuffing / lining</t>
  </si>
  <si>
    <t>Pattern cost</t>
  </si>
  <si>
    <t>Pieces from it</t>
  </si>
  <si>
    <t>Hours hooking</t>
  </si>
  <si>
    <t>Finishing minutes</t>
  </si>
  <si>
    <t>Size factor</t>
  </si>
  <si>
    <t>Time factor</t>
  </si>
  <si>
    <t>Grams, with waste</t>
  </si>
  <si>
    <t>Main yarn cost</t>
  </si>
  <si>
    <t>Second yarn cost</t>
  </si>
  <si>
    <t>Skeins needed</t>
  </si>
  <si>
    <t>Grams left over</t>
  </si>
  <si>
    <t>Pattern per piece</t>
  </si>
  <si>
    <t>Extras</t>
  </si>
  <si>
    <t>Cost a gram</t>
  </si>
  <si>
    <t>Unrounded</t>
  </si>
  <si>
    <t>P-0001</t>
  </si>
  <si>
    <t>Willow cable (my own)</t>
  </si>
  <si>
    <t>Worsted / Aran</t>
  </si>
  <si>
    <t>5.0 mm</t>
  </si>
  <si>
    <t>M-0001</t>
  </si>
  <si>
    <t>Weighed before and after. 95 g is the real number, not the 80 g the pattern claims.</t>
  </si>
  <si>
    <t>Moss chunky cowl</t>
  </si>
  <si>
    <t>Moss cowl (my own)</t>
  </si>
  <si>
    <t>Bulky / chunky</t>
  </si>
  <si>
    <t>8.0 mm</t>
  </si>
  <si>
    <t>M-0002</t>
  </si>
  <si>
    <t>No product ID yet - costing it before I list it.</t>
  </si>
  <si>
    <t>Cotton baby blanket, 90 cm</t>
  </si>
  <si>
    <t>Granny square blanket</t>
  </si>
  <si>
    <t>Large</t>
  </si>
  <si>
    <t>DK</t>
  </si>
  <si>
    <t>4.0 mm</t>
  </si>
  <si>
    <t>Nine and a half hours. Look at what the hourly return column says before listing this.</t>
  </si>
  <si>
    <t>Jewelry Calculator</t>
  </si>
  <si>
    <t>Metal by the gram with scrap, stones, findings, chain and bench time.</t>
  </si>
  <si>
    <t>Weigh the metal, count the findings, time the bench work. Link the row to a product ID and the catalog prices it.</t>
  </si>
  <si>
    <t>Metal</t>
  </si>
  <si>
    <t>Metal material</t>
  </si>
  <si>
    <t>Metal used (g)</t>
  </si>
  <si>
    <t>Price a gram</t>
  </si>
  <si>
    <t>Scrap / loss</t>
  </si>
  <si>
    <t>Scrap recovered</t>
  </si>
  <si>
    <t>Stone</t>
  </si>
  <si>
    <t>Stones</t>
  </si>
  <si>
    <t>Cost a stone</t>
  </si>
  <si>
    <t>Chain (cm)</t>
  </si>
  <si>
    <t>Chain material</t>
  </si>
  <si>
    <t>Wire (cm)</t>
  </si>
  <si>
    <t>Wire material</t>
  </si>
  <si>
    <t>Findings</t>
  </si>
  <si>
    <t>Solder &amp; consumables</t>
  </si>
  <si>
    <t>Plating / finishing</t>
  </si>
  <si>
    <t>Hallmarking</t>
  </si>
  <si>
    <t>Design minutes</t>
  </si>
  <si>
    <t>Bench minutes</t>
  </si>
  <si>
    <t>Polishing minutes</t>
  </si>
  <si>
    <t>Metal a gram</t>
  </si>
  <si>
    <t>Metal with scrap</t>
  </si>
  <si>
    <t>Metal cost</t>
  </si>
  <si>
    <t>Stones cost</t>
  </si>
  <si>
    <t>Chain cost</t>
  </si>
  <si>
    <t>Wire cost</t>
  </si>
  <si>
    <t>Metal share</t>
  </si>
  <si>
    <t>P-0004</t>
  </si>
  <si>
    <t>Sterling silver</t>
  </si>
  <si>
    <t>M-0007</t>
  </si>
  <si>
    <t>Scrap is real on a soldered ring - 15% of it, and I re-melt about 60%.</t>
  </si>
  <si>
    <t>P-0005</t>
  </si>
  <si>
    <t>Sea glass</t>
  </si>
  <si>
    <t>M-0008</t>
  </si>
  <si>
    <t>Chain is 45 cm of the fine cable, costed by the centimetre.</t>
  </si>
  <si>
    <t>Copper cuff, hammered</t>
  </si>
  <si>
    <t>Copper</t>
  </si>
  <si>
    <t>No material row for copper yet, so the rate a gram is typed in instead.</t>
  </si>
  <si>
    <t>Candle Calculator</t>
  </si>
  <si>
    <t>Wax from the vessel size, fragrance load on top, wicks, dye, vessel and the pour.</t>
  </si>
  <si>
    <t>Enter the vessel size and the fill level - the wax, the fragrance and the cost work themselves out from there.</t>
  </si>
  <si>
    <t>Candle</t>
  </si>
  <si>
    <t>Wax material</t>
  </si>
  <si>
    <t>Vessel</t>
  </si>
  <si>
    <t>Vessel size (ml)</t>
  </si>
  <si>
    <t>Fill level</t>
  </si>
  <si>
    <t>Wax density</t>
  </si>
  <si>
    <t>Wax override (g)</t>
  </si>
  <si>
    <t>Melt loss</t>
  </si>
  <si>
    <t>Fragrance material</t>
  </si>
  <si>
    <t>Fragrance load</t>
  </si>
  <si>
    <t>Wick</t>
  </si>
  <si>
    <t>Cost a wick</t>
  </si>
  <si>
    <t>Vessel cost</t>
  </si>
  <si>
    <t>Dye &amp; additives</t>
  </si>
  <si>
    <t>Labels &amp; warning</t>
  </si>
  <si>
    <t>Pour batch</t>
  </si>
  <si>
    <t>Batch minutes</t>
  </si>
  <si>
    <t>Minutes a candle</t>
  </si>
  <si>
    <t>Cure days</t>
  </si>
  <si>
    <t>Wax poured (g)</t>
  </si>
  <si>
    <t>Wax bought (g)</t>
  </si>
  <si>
    <t>Wax cost</t>
  </si>
  <si>
    <t>Fragrance (g)</t>
  </si>
  <si>
    <t>Fragrance cost</t>
  </si>
  <si>
    <t>Wicks cost</t>
  </si>
  <si>
    <t>Burn hours</t>
  </si>
  <si>
    <t>P-0006</t>
  </si>
  <si>
    <t>Coconut soy</t>
  </si>
  <si>
    <t>M-0011</t>
  </si>
  <si>
    <t>Amber jar</t>
  </si>
  <si>
    <t>M-0012</t>
  </si>
  <si>
    <t>Cotton</t>
  </si>
  <si>
    <t>Fill to 85% of the jar. Nobody pours to the brim.</t>
  </si>
  <si>
    <t>P-0007</t>
  </si>
  <si>
    <t>Tin</t>
  </si>
  <si>
    <t>M-0013</t>
  </si>
  <si>
    <t>The batch minutes are spread over 24 tins, which is why these look cheap to make.</t>
  </si>
  <si>
    <t>Wax melt clamshell</t>
  </si>
  <si>
    <t>Clamshell</t>
  </si>
  <si>
    <t>No wick at all - wick count zero, and the maths copes.</t>
  </si>
  <si>
    <t>Clothing &amp; Sewing Calculator</t>
  </si>
  <si>
    <t>Fabric with the layout waste in, notions, and all four jobs that make up sewing.</t>
  </si>
  <si>
    <t>Enter the fabric at its usual width in centimetres and a layout allowance. Size factors stretch both the fabric and the time.</t>
  </si>
  <si>
    <t>Garment</t>
  </si>
  <si>
    <t>Fabric material</t>
  </si>
  <si>
    <t>Fabric (cm)</t>
  </si>
  <si>
    <t>Layout waste</t>
  </si>
  <si>
    <t>Lining material</t>
  </si>
  <si>
    <t>Lining (cm)</t>
  </si>
  <si>
    <t>Interfacing</t>
  </si>
  <si>
    <t>Thread</t>
  </si>
  <si>
    <t>Zips, buttons, elastic</t>
  </si>
  <si>
    <t>Labels &amp; care tag</t>
  </si>
  <si>
    <t>Cutting minutes</t>
  </si>
  <si>
    <t>Sewing minutes</t>
  </si>
  <si>
    <t>Pressing minutes</t>
  </si>
  <si>
    <t>Fitting &amp; alterations</t>
  </si>
  <si>
    <t>Size factor used</t>
  </si>
  <si>
    <t>Fabric bought (cm)</t>
  </si>
  <si>
    <t>Fabric cost</t>
  </si>
  <si>
    <t>Lining cost</t>
  </si>
  <si>
    <t>Cost of the waste</t>
  </si>
  <si>
    <t>P-0009</t>
  </si>
  <si>
    <t>Apron</t>
  </si>
  <si>
    <t>M</t>
  </si>
  <si>
    <t>Size M is the base. The size factor scales the fabric and the time for everything else.</t>
  </si>
  <si>
    <t>Toddler pinafore, age 3</t>
  </si>
  <si>
    <t>Pinafore</t>
  </si>
  <si>
    <t>Toddler</t>
  </si>
  <si>
    <t>Half the fabric, nearly all of the time. This is why children's clothes are hard to price.</t>
  </si>
  <si>
    <t>Woodworking Calculator</t>
  </si>
  <si>
    <t>Timber with the offcuts in, hardware, finish, abrasives and machine time.</t>
  </si>
  <si>
    <t>Cost the cut list, not the finished piece, and add an honest offcut allowance. Machine time is charged on top of your hours.</t>
  </si>
  <si>
    <t>Species</t>
  </si>
  <si>
    <t>Timber material</t>
  </si>
  <si>
    <t>Timber used (cm)</t>
  </si>
  <si>
    <t>Offcut waste</t>
  </si>
  <si>
    <t>Second timber</t>
  </si>
  <si>
    <t>Second timber (cm)</t>
  </si>
  <si>
    <t>Hardware</t>
  </si>
  <si>
    <t>Glue &amp; fixings</t>
  </si>
  <si>
    <t>Finish</t>
  </si>
  <si>
    <t>Finish used (ml)</t>
  </si>
  <si>
    <t>Finish cost a ml</t>
  </si>
  <si>
    <t>Abrasives &amp; blades</t>
  </si>
  <si>
    <t>Machine minutes</t>
  </si>
  <si>
    <t>Machine rate an hour</t>
  </si>
  <si>
    <t>Milling minutes</t>
  </si>
  <si>
    <t>Assembly minutes</t>
  </si>
  <si>
    <t>Sanding minutes</t>
  </si>
  <si>
    <t>Drying days</t>
  </si>
  <si>
    <t>Timber bought (cm)</t>
  </si>
  <si>
    <t>Timber cost</t>
  </si>
  <si>
    <t>Finish cost</t>
  </si>
  <si>
    <t>Machine time</t>
  </si>
  <si>
    <t>Cost of the offcuts</t>
  </si>
  <si>
    <t>P-0011</t>
  </si>
  <si>
    <t>Oak</t>
  </si>
  <si>
    <t>M-0022</t>
  </si>
  <si>
    <t>Hard wax oil</t>
  </si>
  <si>
    <t>No price typed in yet - the suggested price on this row is the one to beat.</t>
  </si>
  <si>
    <t>Live edge walnut shelf 90 cm</t>
  </si>
  <si>
    <t>Walnut</t>
  </si>
  <si>
    <t>Thirty percent offcut on a live edge slab. Anybody quoting less has not measured.</t>
  </si>
  <si>
    <t>Digital Product Calculator</t>
  </si>
  <si>
    <t>Design time spread over the sales you expect, and the day it pays for itself.</t>
  </si>
  <si>
    <t>All the cost is up front. Enter the hours honestly and the sales you expect conservatively, and the per sale cost falls out.</t>
  </si>
  <si>
    <t>Download</t>
  </si>
  <si>
    <t>Formats</t>
  </si>
  <si>
    <t>Licence</t>
  </si>
  <si>
    <t>Design hours</t>
  </si>
  <si>
    <t>Writing hours</t>
  </si>
  <si>
    <t>Testing hours</t>
  </si>
  <si>
    <t>Photography hours</t>
  </si>
  <si>
    <t>Tester &amp; editor fees</t>
  </si>
  <si>
    <t>Software &amp; stock</t>
  </si>
  <si>
    <t>Sales expected</t>
  </si>
  <si>
    <t>Support minutes a sale</t>
  </si>
  <si>
    <t>Updates a year</t>
  </si>
  <si>
    <t>Sold so far</t>
  </si>
  <si>
    <t>Development hours</t>
  </si>
  <si>
    <t>Development cost</t>
  </si>
  <si>
    <t>Sales used</t>
  </si>
  <si>
    <t>Minutes a sale</t>
  </si>
  <si>
    <t>Labour a sale</t>
  </si>
  <si>
    <t>Extras a sale</t>
  </si>
  <si>
    <t>Recovered so far</t>
  </si>
  <si>
    <t>Development recovered</t>
  </si>
  <si>
    <t>Sales to break even</t>
  </si>
  <si>
    <t>P-0012</t>
  </si>
  <si>
    <t>Crochet pattern</t>
  </si>
  <si>
    <t>PDF</t>
  </si>
  <si>
    <t>Personal use</t>
  </si>
  <si>
    <t>Two testers worked for a free pattern, so the tester fee is zero and the hours are mine.</t>
  </si>
  <si>
    <t>P-0013</t>
  </si>
  <si>
    <t>PDF, Video</t>
  </si>
  <si>
    <t>Small commercial</t>
  </si>
  <si>
    <t>Amigurumi patterns generate questions. Two and a half minutes of support a sale is honest.</t>
  </si>
  <si>
    <t>Christmas ornament SVG bundle</t>
  </si>
  <si>
    <t>SVG cut file</t>
  </si>
  <si>
    <t>SVG, PNG, DXF</t>
  </si>
  <si>
    <t>Not listed yet. The break-even sales column says how many it has to sell to pay for the design time.</t>
  </si>
  <si>
    <t>Bundles &amp; Gift Sets</t>
  </si>
  <si>
    <t>Multi-item sets, with the discount, the box and the assembly time all counted.</t>
  </si>
  <si>
    <t>Build the contents on the Bundle Lines tab, then set a discount here and watch what it does to the margin.</t>
  </si>
  <si>
    <t>Bundle</t>
  </si>
  <si>
    <t>Discount off retail</t>
  </si>
  <si>
    <t>Components cost</t>
  </si>
  <si>
    <t>Bought separately</t>
  </si>
  <si>
    <t>Discounted price</t>
  </si>
  <si>
    <t>Buyer saves</t>
  </si>
  <si>
    <t>Saving</t>
  </si>
  <si>
    <t>Separate margin</t>
  </si>
  <si>
    <t>Margin given away</t>
  </si>
  <si>
    <t>Bundles sold</t>
  </si>
  <si>
    <t>Cosy night in gift set</t>
  </si>
  <si>
    <t>Gift set</t>
  </si>
  <si>
    <t>Beanie and the amber candle. The discount is what the set gives away against buying both.</t>
  </si>
  <si>
    <t>Candle duo</t>
  </si>
  <si>
    <t>Multi-buy</t>
  </si>
  <si>
    <t>Buyer picks the two scents.</t>
  </si>
  <si>
    <t>New baby keepsake set</t>
  </si>
  <si>
    <t>Priced by hand at 92 - the suggested price column says whether that was brave or silly.</t>
  </si>
  <si>
    <t>Bundle Contents</t>
  </si>
  <si>
    <t>What goes in each set, costed from the catalog.</t>
  </si>
  <si>
    <t>Bundle name</t>
  </si>
  <si>
    <t>Quantity</t>
  </si>
  <si>
    <t>Substitutable?</t>
  </si>
  <si>
    <t>Retail each</t>
  </si>
  <si>
    <t>Line retail</t>
  </si>
  <si>
    <t>BN-0001</t>
  </si>
  <si>
    <t>Scent of their choice.</t>
  </si>
  <si>
    <t>BN-0002</t>
  </si>
  <si>
    <t>BN-0003</t>
  </si>
  <si>
    <t>The fox is the piece they remember.</t>
  </si>
  <si>
    <t>Variations &amp; Custom Orders</t>
  </si>
  <si>
    <t>Sizes, personalisation and rush work, priced from the base product.</t>
  </si>
  <si>
    <t>Pick a base product, say what changes, and the variation prices itself from the size factors and the extra minutes.</t>
  </si>
  <si>
    <t>Base product</t>
  </si>
  <si>
    <t>Variation</t>
  </si>
  <si>
    <t>What changes</t>
  </si>
  <si>
    <t>Extra materials</t>
  </si>
  <si>
    <t>Extra minutes</t>
  </si>
  <si>
    <t>Turnaround</t>
  </si>
  <si>
    <t>Personalisation fee</t>
  </si>
  <si>
    <t>Offered?</t>
  </si>
  <si>
    <t>Base product name</t>
  </si>
  <si>
    <t>Base materials</t>
  </si>
  <si>
    <t>Base labour</t>
  </si>
  <si>
    <t>Base other</t>
  </si>
  <si>
    <t>Base minutes</t>
  </si>
  <si>
    <t>Base price</t>
  </si>
  <si>
    <t>Rush surcharge</t>
  </si>
  <si>
    <t>Versus the base</t>
  </si>
  <si>
    <t>Beanie, extra large</t>
  </si>
  <si>
    <t>More yarn and more rounds - the size factor handles both.</t>
  </si>
  <si>
    <t>Beanie with faux fur pom</t>
  </si>
  <si>
    <t>Personalisation</t>
  </si>
  <si>
    <t>Fox with embroidered name</t>
  </si>
  <si>
    <t>Embroidery</t>
  </si>
  <si>
    <t>Eight dollars for twenty two minutes. Look at the uplift column before saying yes to this.</t>
  </si>
  <si>
    <t>Ring, rush order</t>
  </si>
  <si>
    <t>Rush order</t>
  </si>
  <si>
    <t>Same week</t>
  </si>
  <si>
    <t>Half again on the labour, because everything else waits.</t>
  </si>
  <si>
    <t>Apron, made to measure</t>
  </si>
  <si>
    <t>Custom size</t>
  </si>
  <si>
    <t>Fitting, a toile and a second pressing.</t>
  </si>
  <si>
    <t>Candle, custom scent</t>
  </si>
  <si>
    <t>Scent</t>
  </si>
  <si>
    <t>Costed and declined - a ten minute change on a 32 dollar candle does not pay.</t>
  </si>
  <si>
    <t>Batch Production</t>
  </si>
  <si>
    <t>What a run really cost, what it really took, and how far the estimate was out.</t>
  </si>
  <si>
    <t>Log the run as it happens. Leave the actuals blank and the batch is costed from the catalog estimate instead.</t>
  </si>
  <si>
    <t>Finished</t>
  </si>
  <si>
    <t>Planned</t>
  </si>
  <si>
    <t>Made</t>
  </si>
  <si>
    <t>Seconds / failures</t>
  </si>
  <si>
    <t>Seconds sold for</t>
  </si>
  <si>
    <t>Materials actually</t>
  </si>
  <si>
    <t>Hours actually</t>
  </si>
  <si>
    <t>Good units</t>
  </si>
  <si>
    <t>Failure rate</t>
  </si>
  <si>
    <t>Materials estimated</t>
  </si>
  <si>
    <t>Minutes estimated</t>
  </si>
  <si>
    <t>Materials cost</t>
  </si>
  <si>
    <t>Labour cost</t>
  </si>
  <si>
    <t>Batch cost</t>
  </si>
  <si>
    <t>Cost a good unit</t>
  </si>
  <si>
    <t>Estimated a unit</t>
  </si>
  <si>
    <t>Versus estimate</t>
  </si>
  <si>
    <t>Out by</t>
  </si>
  <si>
    <t>Minutes a unit</t>
  </si>
  <si>
    <t>Minutes out by</t>
  </si>
  <si>
    <t>Batch retail value</t>
  </si>
  <si>
    <t>Profit if it all sells</t>
  </si>
  <si>
    <t>Days taken</t>
  </si>
  <si>
    <t>Complete</t>
  </si>
  <si>
    <t>Two with sink holes - sold as seconds at the fair.</t>
  </si>
  <si>
    <t>Ten point eight hours for six. That is 1.8 each, not the 1.57 the costing assumes - and the costing is the one that needs changing.</t>
  </si>
  <si>
    <t>One fox has a wonky ear. Sold at the pop-up.</t>
  </si>
  <si>
    <t>Extra cost is a replacement sanding belt.</t>
  </si>
  <si>
    <t>In progress</t>
  </si>
  <si>
    <t>Half crocheted. Nothing recorded as made yet, which is why the row is flagged.</t>
  </si>
  <si>
    <t>Sales &amp; Actual Profit</t>
  </si>
  <si>
    <t>Every order, with the real postage, the real fees and the real margin.</t>
  </si>
  <si>
    <t>Enter the order. Leave the price blank to use the catalog price, and type the real fees whenever you have the statement.</t>
  </si>
  <si>
    <t>Date</t>
  </si>
  <si>
    <t>Qty</t>
  </si>
  <si>
    <t>Price each</t>
  </si>
  <si>
    <t>Discount given</t>
  </si>
  <si>
    <t>Promo code</t>
  </si>
  <si>
    <t>Postage paid</t>
  </si>
  <si>
    <t>Fees actually taken</t>
  </si>
  <si>
    <t>Refunded</t>
  </si>
  <si>
    <t>Customer</t>
  </si>
  <si>
    <t>Event</t>
  </si>
  <si>
    <t>Catalog price</t>
  </si>
  <si>
    <t>Gross</t>
  </si>
  <si>
    <t>Catalog cost</t>
  </si>
  <si>
    <t>Catalog postage</t>
  </si>
  <si>
    <t>Cost of the goods</t>
  </si>
  <si>
    <t>Postage you absorbed</t>
  </si>
  <si>
    <t>Fees estimated</t>
  </si>
  <si>
    <t>Fees versus estimate</t>
  </si>
  <si>
    <t>Planned margin</t>
  </si>
  <si>
    <t>Versus plan</t>
  </si>
  <si>
    <t>Hours of making</t>
  </si>
  <si>
    <t>Awaiting payment</t>
  </si>
  <si>
    <t>D. Fairweather</t>
  </si>
  <si>
    <t>Invoice sent, not paid yet.</t>
  </si>
  <si>
    <t>Paid</t>
  </si>
  <si>
    <t>R. Mendez</t>
  </si>
  <si>
    <t>Delivered</t>
  </si>
  <si>
    <t>S. Udall</t>
  </si>
  <si>
    <t>Instant download. No postage, no packing, no hours after the first sale.</t>
  </si>
  <si>
    <t>J. Whitcomb</t>
  </si>
  <si>
    <t>Fee typed in from the statement - compare it with the estimate in the next column.</t>
  </si>
  <si>
    <t>A. Fenwick</t>
  </si>
  <si>
    <t>WELCOME10</t>
  </si>
  <si>
    <t>N. Brodie</t>
  </si>
  <si>
    <t>Walk-in</t>
  </si>
  <si>
    <t>Holiday Pop-up at The Mill</t>
  </si>
  <si>
    <t>M. Kaur</t>
  </si>
  <si>
    <t>Hearthside Interiors</t>
  </si>
  <si>
    <t>Flat rate postage. The courier cost 2.60 more than the buyer paid.</t>
  </si>
  <si>
    <t>Blue Ridge Living</t>
  </si>
  <si>
    <t>Sample to a magazine. Costed, not charged - which is exactly how it should appear.</t>
  </si>
  <si>
    <t>P. Lasseter</t>
  </si>
  <si>
    <t>C. Ngata</t>
  </si>
  <si>
    <t>T. Alcorn</t>
  </si>
  <si>
    <t>E. Rossiter</t>
  </si>
  <si>
    <t>H. Delacroix</t>
  </si>
  <si>
    <t>L. Byrne</t>
  </si>
  <si>
    <t>A payment link. Cheapest fees you pay.</t>
  </si>
  <si>
    <t>G. Hollis</t>
  </si>
  <si>
    <t>Jar cracked in the post. Refunded in full, postage as well - and the wax is gone too.</t>
  </si>
  <si>
    <t>V. Amadi</t>
  </si>
  <si>
    <t>B. Soriano</t>
  </si>
  <si>
    <t>Came through offsite ads, so the fee was 15% on top. One order in five looks like this.</t>
  </si>
  <si>
    <t>F. Okonkwo</t>
  </si>
  <si>
    <t>I. Petrova</t>
  </si>
  <si>
    <t>D. Mwangi</t>
  </si>
  <si>
    <t>K. Lindqvist</t>
  </si>
  <si>
    <t>O. Reyes</t>
  </si>
  <si>
    <t>River Arts Night Market</t>
  </si>
  <si>
    <t>W. Castellano</t>
  </si>
  <si>
    <t>K. Osei</t>
  </si>
  <si>
    <t>R. Bannerjee</t>
  </si>
  <si>
    <t>Y. Tanaka</t>
  </si>
  <si>
    <t>Sold at the old price, before silver moved.</t>
  </si>
  <si>
    <t>M. Quintero</t>
  </si>
  <si>
    <t>S. Ellery</t>
  </si>
  <si>
    <t>J. Pembroke</t>
  </si>
  <si>
    <t>Before the autumn price rise.</t>
  </si>
  <si>
    <t>A. Laurent</t>
  </si>
  <si>
    <t>Partly refunded</t>
  </si>
  <si>
    <t>N. Oyelaran</t>
  </si>
  <si>
    <t>Chain was shorter than listed. Eight dollars back rather than a return.</t>
  </si>
  <si>
    <t>T. Halloran</t>
  </si>
  <si>
    <t>E. Vasquez</t>
  </si>
  <si>
    <t>L. Marchetti</t>
  </si>
  <si>
    <t>Asheville Spring Market</t>
  </si>
  <si>
    <t>P. Ashworth</t>
  </si>
  <si>
    <t>Three buyers</t>
  </si>
  <si>
    <t>A pattern round-up blog linked it.</t>
  </si>
  <si>
    <t>R. Stenberg</t>
  </si>
  <si>
    <t>AUTUMN20</t>
  </si>
  <si>
    <t>J. Farrow</t>
  </si>
  <si>
    <t>Twenty percent off. Look at what was left.</t>
  </si>
  <si>
    <t>U. Bergstrom</t>
  </si>
  <si>
    <t>C. Devereux</t>
  </si>
  <si>
    <t>A. Kowalski</t>
  </si>
  <si>
    <t>International. Customs form, twelve days, and the fees are charged on the postage too.</t>
  </si>
  <si>
    <t>M. Thorne</t>
  </si>
  <si>
    <t>S. Nakamura</t>
  </si>
  <si>
    <t>B. Ferreira</t>
  </si>
  <si>
    <t>Pattern was 7.50 before the price test.</t>
  </si>
  <si>
    <t>Cottonwood Interiors</t>
  </si>
  <si>
    <t>G. Vuković</t>
  </si>
  <si>
    <t>Sales summary</t>
  </si>
  <si>
    <t>Postage absorbed</t>
  </si>
  <si>
    <t>Loss making orders</t>
  </si>
  <si>
    <t>Discounts &amp; Promotions</t>
  </si>
  <si>
    <t>What each sale costs in margin, and how many extra orders it has to bring.</t>
  </si>
  <si>
    <t>Set the discount and your normal margin, and the workbook shows what is left and how much more you would have to sell.</t>
  </si>
  <si>
    <t>Code</t>
  </si>
  <si>
    <t>Promotion</t>
  </si>
  <si>
    <t>Applies to</t>
  </si>
  <si>
    <t>Starts</t>
  </si>
  <si>
    <t>Minimum spend</t>
  </si>
  <si>
    <t>Use limit</t>
  </si>
  <si>
    <t>Normal margin</t>
  </si>
  <si>
    <t>Margin used</t>
  </si>
  <si>
    <t>Margin after it</t>
  </si>
  <si>
    <t>Profit given away</t>
  </si>
  <si>
    <t>Extra sales needed</t>
  </si>
  <si>
    <t>Profit made</t>
  </si>
  <si>
    <t>Average order</t>
  </si>
  <si>
    <t>Welcome to the shop</t>
  </si>
  <si>
    <t>Percent off</t>
  </si>
  <si>
    <t>Everything</t>
  </si>
  <si>
    <t>Permanent, on the shop banner.</t>
  </si>
  <si>
    <t>Autumn sale</t>
  </si>
  <si>
    <t>Twenty percent off ate most of the margin. Look at what it left before running it again.</t>
  </si>
  <si>
    <t>FREESHIP50</t>
  </si>
  <si>
    <t>Free postage over 50</t>
  </si>
  <si>
    <t>Free shipping</t>
  </si>
  <si>
    <t>Order</t>
  </si>
  <si>
    <t>Value is the postage you absorb on an average qualifying order.</t>
  </si>
  <si>
    <t>BUNDLE5</t>
  </si>
  <si>
    <t>Five off any set</t>
  </si>
  <si>
    <t>Amount off</t>
  </si>
  <si>
    <t>Bundles</t>
  </si>
  <si>
    <t>Every change, the reason for it, and what it did to the margin and the volume.</t>
  </si>
  <si>
    <t>Log the change on the day you make it. The catalog uses the latest date here to tell you when a price is going stale.</t>
  </si>
  <si>
    <t>Old price</t>
  </si>
  <si>
    <t>New price</t>
  </si>
  <si>
    <t>Cost at the time</t>
  </si>
  <si>
    <t>Reason</t>
  </si>
  <si>
    <t>Sold in the 30 days before</t>
  </si>
  <si>
    <t>Sold in the 30 days after</t>
  </si>
  <si>
    <t>Cost used</t>
  </si>
  <si>
    <t>Margin before</t>
  </si>
  <si>
    <t>Margin after</t>
  </si>
  <si>
    <t>Margin moved</t>
  </si>
  <si>
    <t>Sales moved</t>
  </si>
  <si>
    <t>Revenue effect</t>
  </si>
  <si>
    <t>Change number</t>
  </si>
  <si>
    <t>Days since</t>
  </si>
  <si>
    <t>First price</t>
  </si>
  <si>
    <t>Opening price was set by looking at other shops. Then it was costed properly.</t>
  </si>
  <si>
    <t>Material cost rose</t>
  </si>
  <si>
    <t>Merino went up 9%. Sales did not move.</t>
  </si>
  <si>
    <t>Competitor move</t>
  </si>
  <si>
    <t>Still does not cover the hours. The bag is on the list to redesign or retire.</t>
  </si>
  <si>
    <t>Underpriced</t>
  </si>
  <si>
    <t>Sixteen dollars more and it still loses money. A two hour toy is a two hour toy.</t>
  </si>
  <si>
    <t>Silver moved 17%. This one had to move.</t>
  </si>
  <si>
    <t>The margin column said nine percent. Eight dollars fixed it and nobody complained.</t>
  </si>
  <si>
    <t>Rebrand / repositioning</t>
  </si>
  <si>
    <t>New label, better photos, higher price - and it sold more, not less.</t>
  </si>
  <si>
    <t>Rounding tidy-up</t>
  </si>
  <si>
    <t>Labour rate change</t>
  </si>
  <si>
    <t>Put my own rate up from 20 to 25.</t>
  </si>
  <si>
    <t>Linen went up twice in a year and the price had not moved once.</t>
  </si>
  <si>
    <t>Walnut up 12%. The old price never covered the sanding either.</t>
  </si>
  <si>
    <t>Testing a price</t>
  </si>
  <si>
    <t>A dollar more, the same number of sales. The test paid for itself.</t>
  </si>
  <si>
    <t>Two and a half minutes of support a sale has to be paid for by somebody.</t>
  </si>
  <si>
    <t>Competitor Research</t>
  </si>
  <si>
    <t>What comparable work sells for, postage included, and where that puts you.</t>
  </si>
  <si>
    <t>Your product</t>
  </si>
  <si>
    <t>Your product name</t>
  </si>
  <si>
    <t>Their item</t>
  </si>
  <si>
    <t>Their price</t>
  </si>
  <si>
    <t>Their postage</t>
  </si>
  <si>
    <t>Quality</t>
  </si>
  <si>
    <t>Really handmade?</t>
  </si>
  <si>
    <t>Reviews</t>
  </si>
  <si>
    <t>Checked on</t>
  </si>
  <si>
    <t>Link</t>
  </si>
  <si>
    <t>Their total</t>
  </si>
  <si>
    <t>Your postage</t>
  </si>
  <si>
    <t>Your total</t>
  </si>
  <si>
    <t>Difference</t>
  </si>
  <si>
    <t>You are</t>
  </si>
  <si>
    <t>Position</t>
  </si>
  <si>
    <t>Days old</t>
  </si>
  <si>
    <t>Highland Knits</t>
  </si>
  <si>
    <t>Etsy star seller</t>
  </si>
  <si>
    <t>Similar</t>
  </si>
  <si>
    <t>Same yarn weight, no cable. Charging more.</t>
  </si>
  <si>
    <t>FastFashionCo</t>
  </si>
  <si>
    <t>Amazon</t>
  </si>
  <si>
    <t>Mass produced</t>
  </si>
  <si>
    <t>Machine made in a factory. Not the same product and not your customer.</t>
  </si>
  <si>
    <t>Thistle &amp; Thread Toys</t>
  </si>
  <si>
    <t>Above mine</t>
  </si>
  <si>
    <t>Better photographs. That is the gap, not the crochet.</t>
  </si>
  <si>
    <t>Asheville Silverworks</t>
  </si>
  <si>
    <t>Hallmarked and boxed. Room to move up.</t>
  </si>
  <si>
    <t>Tidewater Jewelry</t>
  </si>
  <si>
    <t>Smoky Mountain Candle</t>
  </si>
  <si>
    <t>Cheaper jar, same wax. Their postage is dearer, so the delivered price is level.</t>
  </si>
  <si>
    <t>Foothills Canvas</t>
  </si>
  <si>
    <t>Leather trim and free postage.</t>
  </si>
  <si>
    <t>Blue Ridge Boards</t>
  </si>
  <si>
    <t>Below mine</t>
  </si>
  <si>
    <t>Thinner stock, machine oiled. Undercuts you at every fair.</t>
  </si>
  <si>
    <t>Loop &amp; Lane Patterns</t>
  </si>
  <si>
    <t>N/A</t>
  </si>
  <si>
    <t>Patterns are a volume game - the price is set by the market, not by your hours.</t>
  </si>
  <si>
    <t>Material Waste Log</t>
  </si>
  <si>
    <t>What got wasted, what it cost, and how much of it you could stop.</t>
  </si>
  <si>
    <t>Quantity lost</t>
  </si>
  <si>
    <t>What happened</t>
  </si>
  <si>
    <t>On which product</t>
  </si>
  <si>
    <t>Avoidable?</t>
  </si>
  <si>
    <t>Share of that material</t>
  </si>
  <si>
    <t>Offcut</t>
  </si>
  <si>
    <t>Tail ends from six hats.</t>
  </si>
  <si>
    <t>Miscut</t>
  </si>
  <si>
    <t>Measured once. Expensive lesson in walnut.</t>
  </si>
  <si>
    <t>Failed pour</t>
  </si>
  <si>
    <t>Poured too hot, two jars with sink holes.</t>
  </si>
  <si>
    <t>M-0015</t>
  </si>
  <si>
    <t>Breakage in post</t>
  </si>
  <si>
    <t>Courier. Claim submitted.</t>
  </si>
  <si>
    <t>Normal trim waste</t>
  </si>
  <si>
    <t>Mistake / frogged</t>
  </si>
  <si>
    <t>Frogged a whole fox body - yarn is reusable but tired.</t>
  </si>
  <si>
    <t>Spoiled in storage</t>
  </si>
  <si>
    <t>Left the cap off. Fragrance flashes off fast.</t>
  </si>
  <si>
    <t>Warped</t>
  </si>
  <si>
    <t>Board cupped after milling.</t>
  </si>
  <si>
    <t>Dye lot mismatch</t>
  </si>
  <si>
    <t>M-0009</t>
  </si>
  <si>
    <t>Cracked</t>
  </si>
  <si>
    <t>Sea glass split while setting.</t>
  </si>
  <si>
    <t>Waste summary</t>
  </si>
  <si>
    <t>Entries</t>
  </si>
  <si>
    <t>Avoidable</t>
  </si>
  <si>
    <t>Waste as % of material spend</t>
  </si>
  <si>
    <t>Product Development</t>
  </si>
  <si>
    <t>What each design cost to create, and how many sales pay that back.</t>
  </si>
  <si>
    <t>Design</t>
  </si>
  <si>
    <t>Became product</t>
  </si>
  <si>
    <t>Sample hours</t>
  </si>
  <si>
    <t>Photo &amp; listing hours</t>
  </si>
  <si>
    <t>Sample materials</t>
  </si>
  <si>
    <t>Samples sold for</t>
  </si>
  <si>
    <t>Decision date</t>
  </si>
  <si>
    <t>Profit a sale</t>
  </si>
  <si>
    <t>Sold since</t>
  </si>
  <si>
    <t>Recovered</t>
  </si>
  <si>
    <t>Sales to recover it</t>
  </si>
  <si>
    <t>Development a sale</t>
  </si>
  <si>
    <t>Recovered cost</t>
  </si>
  <si>
    <t>Three samples before the crown sat right. Paid for itself in the first season.</t>
  </si>
  <si>
    <t>Listed</t>
  </si>
  <si>
    <t>Twenty four hours of development. The break even column says how many foxes that is.</t>
  </si>
  <si>
    <t>Two toiles and a pattern draft.</t>
  </si>
  <si>
    <t>Beeswax wrap set</t>
  </si>
  <si>
    <t>P-0014</t>
  </si>
  <si>
    <t>Sampling</t>
  </si>
  <si>
    <t>Still deciding. Nothing listed, nothing recovered.</t>
  </si>
  <si>
    <t>Ceramic wick holder</t>
  </si>
  <si>
    <t>Shelved</t>
  </si>
  <si>
    <t>Shelved - kiln time costs more than the holders would ever sell for. Written off on purpose, and visible.</t>
  </si>
  <si>
    <t>Testing</t>
  </si>
  <si>
    <t>Digital, so the only cost is time and the stock licence.</t>
  </si>
  <si>
    <t>Craft Fairs &amp; Events</t>
  </si>
  <si>
    <t>What the stall costs, what it has to take, and what it actually did.</t>
  </si>
  <si>
    <t>Enter the costs before the event and the sales after it - tag the Sales rows with the event name and they total themselves.</t>
  </si>
  <si>
    <t>Stall fee</t>
  </si>
  <si>
    <t>Travel &amp; parking</t>
  </si>
  <si>
    <t>Accommodation</t>
  </si>
  <si>
    <t>Stock, display, other</t>
  </si>
  <si>
    <t>Prep hours</t>
  </si>
  <si>
    <t>Hours on the stall</t>
  </si>
  <si>
    <t>Sales target</t>
  </si>
  <si>
    <t>Footfall</t>
  </si>
  <si>
    <t>Money out</t>
  </si>
  <si>
    <t>Your time</t>
  </si>
  <si>
    <t>Cash break-even</t>
  </si>
  <si>
    <t>Actually took</t>
  </si>
  <si>
    <t>Profit on the goods</t>
  </si>
  <si>
    <t>Profit after the stall</t>
  </si>
  <si>
    <t>Earned an hour</t>
  </si>
  <si>
    <t>Average sale</t>
  </si>
  <si>
    <t>Buyers per 100 passing</t>
  </si>
  <si>
    <t>First fair of the year. Good weather, slow crowd.</t>
  </si>
  <si>
    <t>Farmers market</t>
  </si>
  <si>
    <t>Evening market. Candles sell under lights.</t>
  </si>
  <si>
    <t>Pop-up shop</t>
  </si>
  <si>
    <t>Winter Makers Fair</t>
  </si>
  <si>
    <t>Christmas market</t>
  </si>
  <si>
    <t>Booked. The stock needed row says what has to be made before then.</t>
  </si>
  <si>
    <t>The shops that stock you, their terms, and what each one is really worth.</t>
  </si>
  <si>
    <t>Set each shop's discount and terms here; the order tab prices against them automatically.</t>
  </si>
  <si>
    <t>Contact</t>
  </si>
  <si>
    <t>Town / city</t>
  </si>
  <si>
    <t>Payment terms</t>
  </si>
  <si>
    <t>Their discount</t>
  </si>
  <si>
    <t>Their minimum</t>
  </si>
  <si>
    <t>First order</t>
  </si>
  <si>
    <t>Stockist since</t>
  </si>
  <si>
    <t>Exclusive area?</t>
  </si>
  <si>
    <t>Still buying?</t>
  </si>
  <si>
    <t>Discount used</t>
  </si>
  <si>
    <t>Items bought</t>
  </si>
  <si>
    <t>Total spent</t>
  </si>
  <si>
    <t>Profit from them</t>
  </si>
  <si>
    <t>Last order</t>
  </si>
  <si>
    <t>Unpaid</t>
  </si>
  <si>
    <t>The Mill Mercantile</t>
  </si>
  <si>
    <t>Independent shop</t>
  </si>
  <si>
    <t>Dana Pryor</t>
  </si>
  <si>
    <t>dana@millmercantile.com</t>
  </si>
  <si>
    <t>828 555 0142</t>
  </si>
  <si>
    <t>Asheville NC</t>
  </si>
  <si>
    <t>Net 30</t>
  </si>
  <si>
    <t>Reorders candles every six weeks.</t>
  </si>
  <si>
    <t>Blue Ridge Gift Co</t>
  </si>
  <si>
    <t>Gift shop</t>
  </si>
  <si>
    <t>Hal Winters</t>
  </si>
  <si>
    <t>orders@brgift.co</t>
  </si>
  <si>
    <t>828 555 0198</t>
  </si>
  <si>
    <t>Black Mountain NC</t>
  </si>
  <si>
    <t>50% deposit, 50% on despatch</t>
  </si>
  <si>
    <t>Takes 45% rather than 50 - small orders.</t>
  </si>
  <si>
    <t>Pinecone Boutique</t>
  </si>
  <si>
    <t>Boutique</t>
  </si>
  <si>
    <t>Rae Olsen</t>
  </si>
  <si>
    <t>rae@pineconeboutique.com</t>
  </si>
  <si>
    <t>828 555 0177</t>
  </si>
  <si>
    <t>Net 14</t>
  </si>
  <si>
    <t>Folk Art Gallery</t>
  </si>
  <si>
    <t>Gallery</t>
  </si>
  <si>
    <t>Marianne Shaw</t>
  </si>
  <si>
    <t>hello@folkartgallery.org</t>
  </si>
  <si>
    <t>828 555 0121</t>
  </si>
  <si>
    <t>Consignment</t>
  </si>
  <si>
    <t>Consignment, and gone quiet. Chase or drop.</t>
  </si>
  <si>
    <t>Hearthside Subscription Box</t>
  </si>
  <si>
    <t>Subscription box</t>
  </si>
  <si>
    <t>Toby Lin</t>
  </si>
  <si>
    <t>buying@hearthsidebox.com</t>
  </si>
  <si>
    <t>404 555 0160</t>
  </si>
  <si>
    <t>Atlanta GA</t>
  </si>
  <si>
    <t>Payment with order</t>
  </si>
  <si>
    <t>55% off, 200 units at a time. Volume only works if the maths works - check the margin.</t>
  </si>
  <si>
    <t>Line by line, at the shop's own discount, with the hours it will take you.</t>
  </si>
  <si>
    <t>One row per product per order. The price comes from the catalog at that customer's discount unless you agreed something else.</t>
  </si>
  <si>
    <t>Their order ref</t>
  </si>
  <si>
    <t>Agreed price each</t>
  </si>
  <si>
    <t>Due</t>
  </si>
  <si>
    <t>Despatched</t>
  </si>
  <si>
    <t>Carriage charged</t>
  </si>
  <si>
    <t>Carriage cost</t>
  </si>
  <si>
    <t>Paid?</t>
  </si>
  <si>
    <t>Order cost</t>
  </si>
  <si>
    <t>Meets minimum?</t>
  </si>
  <si>
    <t>Days to despatch</t>
  </si>
  <si>
    <t>WC-0001</t>
  </si>
  <si>
    <t>MM-1041</t>
  </si>
  <si>
    <t>WC-0002</t>
  </si>
  <si>
    <t>BRG-220</t>
  </si>
  <si>
    <t>WC-0003</t>
  </si>
  <si>
    <t>PB-0012</t>
  </si>
  <si>
    <t>Sold through in three weeks - and still the worst order in the book. Half of 78 does not cover a beanie. The margin column said so first.</t>
  </si>
  <si>
    <t>MM-1108</t>
  </si>
  <si>
    <t>WC-0005</t>
  </si>
  <si>
    <t>HSB-A417</t>
  </si>
  <si>
    <t>Price typed in by hand at 7.60 because the 55% discount off 19 would have been 8.55 and they would not go above 7.60. Check the margin column - this is the order to watch.</t>
  </si>
  <si>
    <t>PB-0019</t>
  </si>
  <si>
    <t>Invoiced</t>
  </si>
  <si>
    <t>Net 14 and now overdue. Chase it.</t>
  </si>
  <si>
    <t>BRG-268</t>
  </si>
  <si>
    <t>MM-1155</t>
  </si>
  <si>
    <t>In production</t>
  </si>
  <si>
    <t>Ten beanies, and the last trade order of them at this price. Candles wholesale, crochet does not.</t>
  </si>
  <si>
    <t>HSB-A512</t>
  </si>
  <si>
    <t>Confirmed</t>
  </si>
  <si>
    <t>Second box order. Same price, same question.</t>
  </si>
  <si>
    <t>WC-0004</t>
  </si>
  <si>
    <t>FAG-77</t>
  </si>
  <si>
    <t>Enquiry</t>
  </si>
  <si>
    <t>Consignment enquiry - they pay when it sells, if it sells.</t>
  </si>
  <si>
    <t>Advanced Pricing Scenarios</t>
  </si>
  <si>
    <t>Reposition the whole range, compare every channel, and see what a price rise in your materials really does.</t>
  </si>
  <si>
    <t>1. Your range at five different positions</t>
  </si>
  <si>
    <t>Each column prices every product at that scenario's target margin, using its own costs and its own channel fees. The margins behind the five columns are on the Lists tab and you can change them.</t>
  </si>
  <si>
    <t>Where your price sits</t>
  </si>
  <si>
    <t>If most of your range sits in the 'Budget' column, that is a positioning decision you probably never made on purpose.</t>
  </si>
  <si>
    <t>2. One product on every channel</t>
  </si>
  <si>
    <t>The channel comparison below follows this choice.</t>
  </si>
  <si>
    <t>The same piece, the same costs, different fees. The 'price to keep the same margin' column is what you should actually list it at on each site - charging one price everywhere quietly gives the dearest channel your profit.</t>
  </si>
  <si>
    <t>Price for the same margin</t>
  </si>
  <si>
    <t>Fees you pay</t>
  </si>
  <si>
    <t>At your current price</t>
  </si>
  <si>
    <t>Margin there</t>
  </si>
  <si>
    <t>3. What if your materials go up?</t>
  </si>
  <si>
    <t>Yarn, silver, wax and timber all moved a long way in the last few years. This is what each rise does to the product above if you hold your price - and what you would have to charge instead.</t>
  </si>
  <si>
    <t>Materials go up by</t>
  </si>
  <si>
    <t>New material cost</t>
  </si>
  <si>
    <t>New total cost</t>
  </si>
  <si>
    <t>Margin if you hold your price</t>
  </si>
  <si>
    <t>Price to keep your margin</t>
  </si>
  <si>
    <t>Rise needed</t>
  </si>
  <si>
    <t>4. Quantity, time and what your hour is worth</t>
  </si>
  <si>
    <t>Making more of the same thing is usually faster per piece. This is what that saving is worth - and what it lets you offer a shop without losing anything.</t>
  </si>
  <si>
    <t>If a batch of</t>
  </si>
  <si>
    <t>Minutes each</t>
  </si>
  <si>
    <t>Labour each</t>
  </si>
  <si>
    <t>At your price</t>
  </si>
  <si>
    <t>The batch factors here are a reasonable rule of thumb. Log a few runs on the Batch Production tab and you will have your own.</t>
  </si>
  <si>
    <t>Nothing on this page writes to your catalog. When a scenario convinces you, change the price on the Product Catalog and log it on Price History.</t>
  </si>
  <si>
    <t>Reports &amp; Analytics</t>
  </si>
  <si>
    <t>Profit by product, where the material money goes, what your hours earn, and the year against your targets.</t>
  </si>
  <si>
    <t>1. Profitability by product</t>
  </si>
  <si>
    <t>Ranked by the profit each sale makes. The hourly column is the one that should decide what you make next week.</t>
  </si>
  <si>
    <t>2. Where the material money goes</t>
  </si>
  <si>
    <t>Unit cost</t>
  </si>
  <si>
    <t>Waste</t>
  </si>
  <si>
    <t>Share of material cost</t>
  </si>
  <si>
    <t>If two or three materials dominate this list, that is where a supplier conversation or a bulk order is worth the most.</t>
  </si>
  <si>
    <t>3. What your hours are worth</t>
  </si>
  <si>
    <t>Measure</t>
  </si>
  <si>
    <t>Your hourly rate</t>
  </si>
  <si>
    <t>What you decided your time is worth, on the Settings tab.</t>
  </si>
  <si>
    <t>Average earned an hour, by product</t>
  </si>
  <si>
    <t>Across the catalog, at your current prices.</t>
  </si>
  <si>
    <t>Best paid product an hour</t>
  </si>
  <si>
    <t>Worth knowing what it is and making more of it.</t>
  </si>
  <si>
    <t>Worst paid product an hour</t>
  </si>
  <si>
    <t>Worth knowing what it is and re-pricing it.</t>
  </si>
  <si>
    <t>Products that pay under minimum wage</t>
  </si>
  <si>
    <t>Each one of these is a decision to work for less.</t>
  </si>
  <si>
    <t>Hours sold in the last twelve months</t>
  </si>
  <si>
    <t>Making time that actually turned into money.</t>
  </si>
  <si>
    <t>Profit an hour, actual</t>
  </si>
  <si>
    <t>Total profit over total making hours - the real figure.</t>
  </si>
  <si>
    <t>Productive hours you assumed</t>
  </si>
  <si>
    <t>What the overhead per hour is based on. Be honest about it.</t>
  </si>
  <si>
    <t>4. Month by month</t>
  </si>
  <si>
    <t>Materials &amp; labour</t>
  </si>
  <si>
    <t>Selling fees</t>
  </si>
  <si>
    <t>Profit after overhead</t>
  </si>
  <si>
    <t>Margin after overhead</t>
  </si>
  <si>
    <t>Overhead is charged at the same amount every month because that is how it arrives. A month that does not cover it is a month the studio paid for itself out of another month.</t>
  </si>
  <si>
    <t>5. Your prices against the market</t>
  </si>
  <si>
    <t>Market average</t>
  </si>
  <si>
    <t>Research notes</t>
  </si>
  <si>
    <t>6. The year against your targets</t>
  </si>
  <si>
    <t>This year so far</t>
  </si>
  <si>
    <t>Target</t>
  </si>
  <si>
    <t>Where you are</t>
  </si>
  <si>
    <t>Items sold</t>
  </si>
  <si>
    <t>Everything on this page comes from the Sales, Products, Materials and Waste tabs. If a report looks wrong, the fix is on one of those tabs rather than here.</t>
  </si>
  <si>
    <t>Printable Costing Sheet</t>
  </si>
  <si>
    <t>Pick a product. Every line below fills itself in from the Materials, Material Usage and Labor tabs.</t>
  </si>
  <si>
    <t>COSTING SHEET</t>
  </si>
  <si>
    <t>Postage</t>
  </si>
  <si>
    <t>Detail</t>
  </si>
  <si>
    <t>Materials total</t>
  </si>
  <si>
    <t>Who</t>
  </si>
  <si>
    <t>Basis</t>
  </si>
  <si>
    <t>Rate</t>
  </si>
  <si>
    <t>Labour total</t>
  </si>
  <si>
    <t>The rest of the cost</t>
  </si>
  <si>
    <t>What it covers</t>
  </si>
  <si>
    <t>Everything in the piece, waste included</t>
  </si>
  <si>
    <t>Your hours at your rate, difficulty applied</t>
  </si>
  <si>
    <t>Thread, glue, gas, abrasives</t>
  </si>
  <si>
    <t>Box, tissue, card, label</t>
  </si>
  <si>
    <t>What the label costs less what the buyer pays</t>
  </si>
  <si>
    <t>This product's share of the studio</t>
  </si>
  <si>
    <t>The price</t>
  </si>
  <si>
    <t>What it sells for.</t>
  </si>
  <si>
    <t>What the marketplace takes on that price.</t>
  </si>
  <si>
    <t>What is left for you.</t>
  </si>
  <si>
    <t>Profit over the price.</t>
  </si>
  <si>
    <t>Profit over the cost.</t>
  </si>
  <si>
    <t>Minutes of work</t>
  </si>
  <si>
    <t>Including the difficulty factor.</t>
  </si>
  <si>
    <t>Your wage plus the profit, over the hours.</t>
  </si>
  <si>
    <t>At the standard trade discount.</t>
  </si>
  <si>
    <t>What the target margin says it should be.</t>
  </si>
  <si>
    <t>Printable Quote</t>
  </si>
  <si>
    <t>For custom and commission work. Type the customer's details and pick the products - the prices come from your catalog and the totals work themselves out.</t>
  </si>
  <si>
    <t>QUOTE</t>
  </si>
  <si>
    <t>Quote for</t>
  </si>
  <si>
    <t>Quote number</t>
  </si>
  <si>
    <t>What they want</t>
  </si>
  <si>
    <t>Valid for</t>
  </si>
  <si>
    <t>30 days</t>
  </si>
  <si>
    <t>Description</t>
  </si>
  <si>
    <t>Line total</t>
  </si>
  <si>
    <t>The lines above.</t>
  </si>
  <si>
    <t>Subtotal</t>
  </si>
  <si>
    <t>Type it in if the turnaround is short.</t>
  </si>
  <si>
    <t>Rush or custom surcharge</t>
  </si>
  <si>
    <t>What you will charge for postage.</t>
  </si>
  <si>
    <t>Anything you are knocking off.</t>
  </si>
  <si>
    <t>Total</t>
  </si>
  <si>
    <t>Deposit to start</t>
  </si>
  <si>
    <t>Half up front is normal for custom work.</t>
  </si>
  <si>
    <t>What you are agreeing to</t>
  </si>
  <si>
    <t>Acceptance</t>
  </si>
  <si>
    <t>Signed</t>
  </si>
  <si>
    <t>Print name</t>
  </si>
  <si>
    <t>Wholesale Line Sheet &amp; Order Form</t>
  </si>
  <si>
    <t>Pick a stockist and the sheet prices itself at their discount. Leave the quantity column blank - that is the bit they fill in.</t>
  </si>
  <si>
    <t>LINE SHEET</t>
  </si>
  <si>
    <t>Terms</t>
  </si>
  <si>
    <t>Order ref</t>
  </si>
  <si>
    <t>Retail</t>
  </si>
  <si>
    <t>Trade price</t>
  </si>
  <si>
    <t>Items ordered</t>
  </si>
  <si>
    <t>Trade terms</t>
  </si>
  <si>
    <t>Signed for the shop</t>
  </si>
  <si>
    <t>Drop Down Lists &amp; Pricing Factors</t>
  </si>
  <si>
    <t>Every list the workbook offers you, and the four tables the calculators multiply by. Edit an entry and the drop down that uses it changes everywhere.</t>
  </si>
  <si>
    <t>Add new entries directly under the last one in a column - the lists are sized with room to grow, and blanks are ignored. Do not delete a whole column: a drop down pointing at a missing list stops working.</t>
  </si>
  <si>
    <t>The drop downs</t>
  </si>
  <si>
    <t>YesNo</t>
  </si>
  <si>
    <t>YesNoNA</t>
  </si>
  <si>
    <t>Ceramics &amp; pottery</t>
  </si>
  <si>
    <t>Bath &amp; body</t>
  </si>
  <si>
    <t>Paper &amp; stationery</t>
  </si>
  <si>
    <t>Art &amp; prints</t>
  </si>
  <si>
    <t>Pet products</t>
  </si>
  <si>
    <t>Wedding &amp; occasion</t>
  </si>
  <si>
    <t>Idea</t>
  </si>
  <si>
    <t>Draft</t>
  </si>
  <si>
    <t>Seasonal</t>
  </si>
  <si>
    <t>Out of stock</t>
  </si>
  <si>
    <t>Discontinued</t>
  </si>
  <si>
    <t>PricingMethod</t>
  </si>
  <si>
    <t>Cost plus margin</t>
  </si>
  <si>
    <t>Cost plus markup</t>
  </si>
  <si>
    <t>Target price</t>
  </si>
  <si>
    <t>Market matched</t>
  </si>
  <si>
    <t>Hourly rate only</t>
  </si>
  <si>
    <t>Fixed price</t>
  </si>
  <si>
    <t>Made to order quote</t>
  </si>
  <si>
    <t>oz</t>
  </si>
  <si>
    <t>lb</t>
  </si>
  <si>
    <t>l</t>
  </si>
  <si>
    <t>fl oz</t>
  </si>
  <si>
    <t>m</t>
  </si>
  <si>
    <t>inch</t>
  </si>
  <si>
    <t>ft</t>
  </si>
  <si>
    <t>yard</t>
  </si>
  <si>
    <t>sheet</t>
  </si>
  <si>
    <t>skein</t>
  </si>
  <si>
    <t>metre</t>
  </si>
  <si>
    <t>MaterialType</t>
  </si>
  <si>
    <t>Clay &amp; glaze</t>
  </si>
  <si>
    <t>Paper &amp; card</t>
  </si>
  <si>
    <t>Ink &amp; paint</t>
  </si>
  <si>
    <t>Leather</t>
  </si>
  <si>
    <t>Packaging material</t>
  </si>
  <si>
    <t>StockStatus</t>
  </si>
  <si>
    <t>Low stock</t>
  </si>
  <si>
    <t>On order</t>
  </si>
  <si>
    <t>Not tracked</t>
  </si>
  <si>
    <t>Spring</t>
  </si>
  <si>
    <t>Valentine's</t>
  </si>
  <si>
    <t>Mother's Day</t>
  </si>
  <si>
    <t>Halloween</t>
  </si>
  <si>
    <t>Wedding season</t>
  </si>
  <si>
    <t>Back to school</t>
  </si>
  <si>
    <t>Very complex</t>
  </si>
  <si>
    <t>LaborStage</t>
  </si>
  <si>
    <t>Pattern &amp; setup</t>
  </si>
  <si>
    <t>Curing &amp; drying</t>
  </si>
  <si>
    <t>Quality check</t>
  </si>
  <si>
    <t>Blocking</t>
  </si>
  <si>
    <t>Listing &amp; admin</t>
  </si>
  <si>
    <t>Post office run</t>
  </si>
  <si>
    <t>Customer messages</t>
  </si>
  <si>
    <t>LaborWho</t>
  </si>
  <si>
    <t>Partner</t>
  </si>
  <si>
    <t>Employee</t>
  </si>
  <si>
    <t>Contractor</t>
  </si>
  <si>
    <t>Apprentice</t>
  </si>
  <si>
    <t>Studio assistant</t>
  </si>
  <si>
    <t>Outsourced</t>
  </si>
  <si>
    <t>PerBasis</t>
  </si>
  <si>
    <t>PackProfile</t>
  </si>
  <si>
    <t>PackType</t>
  </si>
  <si>
    <t>Filler</t>
  </si>
  <si>
    <t>Tape &amp; seal</t>
  </si>
  <si>
    <t>Insert &amp; flyer</t>
  </si>
  <si>
    <t>ShipService</t>
  </si>
  <si>
    <t>Priority express</t>
  </si>
  <si>
    <t>Ground</t>
  </si>
  <si>
    <t>Tracked 24</t>
  </si>
  <si>
    <t>Tracked 48</t>
  </si>
  <si>
    <t>Signed for</t>
  </si>
  <si>
    <t>International economy</t>
  </si>
  <si>
    <t>Local delivery</t>
  </si>
  <si>
    <t>ShipZone</t>
  </si>
  <si>
    <t>Domestic remote</t>
  </si>
  <si>
    <t>Europe</t>
  </si>
  <si>
    <t>North America</t>
  </si>
  <si>
    <t>ShipPayer</t>
  </si>
  <si>
    <t>Free shipping (I absorb it)</t>
  </si>
  <si>
    <t>Free over threshold</t>
  </si>
  <si>
    <t>Calculated at checkout</t>
  </si>
  <si>
    <t>OverheadType</t>
  </si>
  <si>
    <t>Bank &amp; card fees</t>
  </si>
  <si>
    <t>Marketing &amp; ads</t>
  </si>
  <si>
    <t>Equipment lease</t>
  </si>
  <si>
    <t>Training &amp; courses</t>
  </si>
  <si>
    <t>Travel &amp; fuel</t>
  </si>
  <si>
    <t>Market stall fees</t>
  </si>
  <si>
    <t>Storage</t>
  </si>
  <si>
    <t>Frequency</t>
  </si>
  <si>
    <t>Quarterly</t>
  </si>
  <si>
    <t>One-off</t>
  </si>
  <si>
    <t>Per order</t>
  </si>
  <si>
    <t>Allocation</t>
  </si>
  <si>
    <t>Per unit made</t>
  </si>
  <si>
    <t>Do not allocate</t>
  </si>
  <si>
    <t>FeeType</t>
  </si>
  <si>
    <t>Fixed per order</t>
  </si>
  <si>
    <t>Fixed per item</t>
  </si>
  <si>
    <t>Subscription</t>
  </si>
  <si>
    <t>PromoType</t>
  </si>
  <si>
    <t>Buy one get one</t>
  </si>
  <si>
    <t>Bundle price</t>
  </si>
  <si>
    <t>Spend and save</t>
  </si>
  <si>
    <t>Sale price</t>
  </si>
  <si>
    <t>Coupon code</t>
  </si>
  <si>
    <t>Early bird</t>
  </si>
  <si>
    <t>Loyalty reward</t>
  </si>
  <si>
    <t>VariationType</t>
  </si>
  <si>
    <t>Colour</t>
  </si>
  <si>
    <t>Yarn choice</t>
  </si>
  <si>
    <t>Length</t>
  </si>
  <si>
    <t>Chain length</t>
  </si>
  <si>
    <t>Metal finish</t>
  </si>
  <si>
    <t>Wood species</t>
  </si>
  <si>
    <t>Gift wrap</t>
  </si>
  <si>
    <t>Bundle add-on</t>
  </si>
  <si>
    <t>Custom request</t>
  </si>
  <si>
    <t>BatchStatus</t>
  </si>
  <si>
    <t>Materials ordered</t>
  </si>
  <si>
    <t>Curing</t>
  </si>
  <si>
    <t>Sold out</t>
  </si>
  <si>
    <t>Abandoned</t>
  </si>
  <si>
    <t>SaleStatus</t>
  </si>
  <si>
    <t>Shipped</t>
  </si>
  <si>
    <t>Cancelled</t>
  </si>
  <si>
    <t>Exchange</t>
  </si>
  <si>
    <t>WasteReason</t>
  </si>
  <si>
    <t>Expired</t>
  </si>
  <si>
    <t>Sample / test piece</t>
  </si>
  <si>
    <t>Customer return</t>
  </si>
  <si>
    <t>Lost</t>
  </si>
  <si>
    <t>EventType</t>
  </si>
  <si>
    <t>Trade show</t>
  </si>
  <si>
    <t>Wholesale market</t>
  </si>
  <si>
    <t>Workshop</t>
  </si>
  <si>
    <t>Online market</t>
  </si>
  <si>
    <t>Charity event</t>
  </si>
  <si>
    <t>School fete</t>
  </si>
  <si>
    <t>CustomerType</t>
  </si>
  <si>
    <t>Museum shop</t>
  </si>
  <si>
    <t>Online retailer</t>
  </si>
  <si>
    <t>Corporate gifting</t>
  </si>
  <si>
    <t>Interior designer</t>
  </si>
  <si>
    <t>Market trader</t>
  </si>
  <si>
    <t>Distributor</t>
  </si>
  <si>
    <t>Net 7</t>
  </si>
  <si>
    <t>Net 60</t>
  </si>
  <si>
    <t>Card on file</t>
  </si>
  <si>
    <t>OrderStatus</t>
  </si>
  <si>
    <t>Quoted</t>
  </si>
  <si>
    <t>Ready</t>
  </si>
  <si>
    <t>On hold</t>
  </si>
  <si>
    <t>Rounding</t>
  </si>
  <si>
    <t>Nearest 0.95</t>
  </si>
  <si>
    <t>Nearest 0.50</t>
  </si>
  <si>
    <t>Nearest 1</t>
  </si>
  <si>
    <t>Nearest 5</t>
  </si>
  <si>
    <t>Up to whole 1</t>
  </si>
  <si>
    <t>Up to whole 5</t>
  </si>
  <si>
    <t>PriceReason</t>
  </si>
  <si>
    <t>Material cost fell</t>
  </si>
  <si>
    <t>Fee change</t>
  </si>
  <si>
    <t>Sale ended</t>
  </si>
  <si>
    <t>Wholesale request</t>
  </si>
  <si>
    <t>Designer / luxury</t>
  </si>
  <si>
    <t>Unknown</t>
  </si>
  <si>
    <t>DevStage</t>
  </si>
  <si>
    <t>Sketching</t>
  </si>
  <si>
    <t>Rating</t>
  </si>
  <si>
    <t>5 - Loved it</t>
  </si>
  <si>
    <t>4 - Happy</t>
  </si>
  <si>
    <t>3 - Fine</t>
  </si>
  <si>
    <t>2 - Unhappy</t>
  </si>
  <si>
    <t>1 - Complaint</t>
  </si>
  <si>
    <t>YarnWeight</t>
  </si>
  <si>
    <t>Lace</t>
  </si>
  <si>
    <t>Light fingering</t>
  </si>
  <si>
    <t>Fingering / 4 ply</t>
  </si>
  <si>
    <t>Sport</t>
  </si>
  <si>
    <t>Super bulky</t>
  </si>
  <si>
    <t>Jumbo</t>
  </si>
  <si>
    <t>HookSize</t>
  </si>
  <si>
    <t>2.0 mm</t>
  </si>
  <si>
    <t>2.5 mm</t>
  </si>
  <si>
    <t>3.0 mm</t>
  </si>
  <si>
    <t>3.5 mm</t>
  </si>
  <si>
    <t>4.5 mm</t>
  </si>
  <si>
    <t>5.5 mm</t>
  </si>
  <si>
    <t>6.0 mm</t>
  </si>
  <si>
    <t>6.5 mm</t>
  </si>
  <si>
    <t>10.0 mm</t>
  </si>
  <si>
    <t>12.0 mm</t>
  </si>
  <si>
    <t>Silver plated</t>
  </si>
  <si>
    <t>Gold filled</t>
  </si>
  <si>
    <t>9ct gold</t>
  </si>
  <si>
    <t>14ct gold</t>
  </si>
  <si>
    <t>Gold plated</t>
  </si>
  <si>
    <t>Rose gold</t>
  </si>
  <si>
    <t>Brass</t>
  </si>
  <si>
    <t>Stainless steel</t>
  </si>
  <si>
    <t>Titanium</t>
  </si>
  <si>
    <t>Aluminium</t>
  </si>
  <si>
    <t>Mixed metal</t>
  </si>
  <si>
    <t>Glass bead</t>
  </si>
  <si>
    <t>Crystal</t>
  </si>
  <si>
    <t>Freshwater pearl</t>
  </si>
  <si>
    <t>Amethyst</t>
  </si>
  <si>
    <t>Rose quartz</t>
  </si>
  <si>
    <t>Turquoise</t>
  </si>
  <si>
    <t>Onyx</t>
  </si>
  <si>
    <t>Moonstone</t>
  </si>
  <si>
    <t>Labradorite</t>
  </si>
  <si>
    <t>Cubic zirconia</t>
  </si>
  <si>
    <t>Resin cabochon</t>
  </si>
  <si>
    <t>Other gemstone</t>
  </si>
  <si>
    <t>Soy</t>
  </si>
  <si>
    <t>Coconut apricot</t>
  </si>
  <si>
    <t>Beeswax</t>
  </si>
  <si>
    <t>Rapeseed</t>
  </si>
  <si>
    <t>Paraffin</t>
  </si>
  <si>
    <t>Palm</t>
  </si>
  <si>
    <t>Gel</t>
  </si>
  <si>
    <t>Wax melt blend</t>
  </si>
  <si>
    <t>Wood</t>
  </si>
  <si>
    <t>Crackling wood</t>
  </si>
  <si>
    <t>Hemp</t>
  </si>
  <si>
    <t>Eco</t>
  </si>
  <si>
    <t>Braided</t>
  </si>
  <si>
    <t>Multiple wicks</t>
  </si>
  <si>
    <t>Glass jar</t>
  </si>
  <si>
    <t>Ceramic vessel</t>
  </si>
  <si>
    <t>Concrete vessel</t>
  </si>
  <si>
    <t>Teacup</t>
  </si>
  <si>
    <t>Tumbler</t>
  </si>
  <si>
    <t>Refill bag</t>
  </si>
  <si>
    <t>No vessel (melt)</t>
  </si>
  <si>
    <t>Organic cotton</t>
  </si>
  <si>
    <t>Linen</t>
  </si>
  <si>
    <t>Cotton jersey</t>
  </si>
  <si>
    <t>Double gauze</t>
  </si>
  <si>
    <t>Denim</t>
  </si>
  <si>
    <t>Corduroy</t>
  </si>
  <si>
    <t>Wool</t>
  </si>
  <si>
    <t>Fleece</t>
  </si>
  <si>
    <t>Canvas</t>
  </si>
  <si>
    <t>Viscose</t>
  </si>
  <si>
    <t>Silk</t>
  </si>
  <si>
    <t>Satin</t>
  </si>
  <si>
    <t>Ripstop</t>
  </si>
  <si>
    <t>Oilcloth</t>
  </si>
  <si>
    <t>Deadstock</t>
  </si>
  <si>
    <t>GarmentSize</t>
  </si>
  <si>
    <t>Baby</t>
  </si>
  <si>
    <t>Child</t>
  </si>
  <si>
    <t>XS</t>
  </si>
  <si>
    <t>S</t>
  </si>
  <si>
    <t>L</t>
  </si>
  <si>
    <t>XL</t>
  </si>
  <si>
    <t>2XL</t>
  </si>
  <si>
    <t>3XL</t>
  </si>
  <si>
    <t>One size</t>
  </si>
  <si>
    <t>Made to measure</t>
  </si>
  <si>
    <t>Pine</t>
  </si>
  <si>
    <t>Ash</t>
  </si>
  <si>
    <t>Beech</t>
  </si>
  <si>
    <t>Birch ply</t>
  </si>
  <si>
    <t>Maple</t>
  </si>
  <si>
    <t>Cherry</t>
  </si>
  <si>
    <t>Sapele</t>
  </si>
  <si>
    <t>Reclaimed</t>
  </si>
  <si>
    <t>Plywood</t>
  </si>
  <si>
    <t>MDF</t>
  </si>
  <si>
    <t>Live edge slab</t>
  </si>
  <si>
    <t>Offcut stock</t>
  </si>
  <si>
    <t>Oil</t>
  </si>
  <si>
    <t>Danish oil</t>
  </si>
  <si>
    <t>Beeswax polish</t>
  </si>
  <si>
    <t>Varnish</t>
  </si>
  <si>
    <t>Lacquer</t>
  </si>
  <si>
    <t>Stain</t>
  </si>
  <si>
    <t>Paint</t>
  </si>
  <si>
    <t>Milk paint</t>
  </si>
  <si>
    <t>Resin</t>
  </si>
  <si>
    <t>Raw / unfinished</t>
  </si>
  <si>
    <t>DigitalType</t>
  </si>
  <si>
    <t>Knitting pattern</t>
  </si>
  <si>
    <t>Sewing pattern</t>
  </si>
  <si>
    <t>Printable</t>
  </si>
  <si>
    <t>Planner</t>
  </si>
  <si>
    <t>Clipart set</t>
  </si>
  <si>
    <t>Font</t>
  </si>
  <si>
    <t>Photo pack</t>
  </si>
  <si>
    <t>Course / workshop</t>
  </si>
  <si>
    <t>E-book</t>
  </si>
  <si>
    <t>Template</t>
  </si>
  <si>
    <t>FileFormat</t>
  </si>
  <si>
    <t>SVG</t>
  </si>
  <si>
    <t>PNG</t>
  </si>
  <si>
    <t>JPG</t>
  </si>
  <si>
    <t>DXF</t>
  </si>
  <si>
    <t>EPS</t>
  </si>
  <si>
    <t>AI</t>
  </si>
  <si>
    <t>ZIP bundle</t>
  </si>
  <si>
    <t>Video</t>
  </si>
  <si>
    <t>Canva link</t>
  </si>
  <si>
    <t>Extended commercial</t>
  </si>
  <si>
    <t>Limited run</t>
  </si>
  <si>
    <t>No resale of files</t>
  </si>
  <si>
    <t>Credit required</t>
  </si>
  <si>
    <t>BundleType</t>
  </si>
  <si>
    <t>Starter kit</t>
  </si>
  <si>
    <t>Collection</t>
  </si>
  <si>
    <t>Seasonal set</t>
  </si>
  <si>
    <t>Mix and match</t>
  </si>
  <si>
    <t>Wholesale case</t>
  </si>
  <si>
    <t>January</t>
  </si>
  <si>
    <t>February</t>
  </si>
  <si>
    <t>March</t>
  </si>
  <si>
    <t>April</t>
  </si>
  <si>
    <t>May</t>
  </si>
  <si>
    <t>June</t>
  </si>
  <si>
    <t>July</t>
  </si>
  <si>
    <t>August</t>
  </si>
  <si>
    <t>September</t>
  </si>
  <si>
    <t>October</t>
  </si>
  <si>
    <t>November</t>
  </si>
  <si>
    <t>December</t>
  </si>
  <si>
    <t>Units: what you buy, what you use</t>
  </si>
  <si>
    <t>Yarn arrives in 100 g skeins and gets used by the gram. Wax arrives by the kilo and gets poured by the gram. This table is how the Materials tab turns a purchase unit into a usable one, so a bill of materials can say '38 g' and still cost it correctly. 'Multiply by' is how many base units one of this unit contains.</t>
  </si>
  <si>
    <t>Base unit</t>
  </si>
  <si>
    <t>Multiply by</t>
  </si>
  <si>
    <t>How fiddly is it, and what that does to the time</t>
  </si>
  <si>
    <t>The same shawl takes one maker four hours and another seven. Pick a line per product and the labour calculator multiplies your estimated minutes by the time factor. The price factor is separate and optional - it is the premium skilled work can carry on top of its honest cost.</t>
  </si>
  <si>
    <t>Price factor</t>
  </si>
  <si>
    <t>Repeat work you could do watching television.</t>
  </si>
  <si>
    <t>A piece you have made many times - no surprises.</t>
  </si>
  <si>
    <t>Some shaping, colour changes or fiddly assembly.</t>
  </si>
  <si>
    <t>Needs concentration, a pattern in front of you, few distractions.</t>
  </si>
  <si>
    <t>Heirloom work, a skill few makers have - charge for it.</t>
  </si>
  <si>
    <t>Turnaround: what a hurry is worth</t>
  </si>
  <si>
    <t>A rush order costs you evenings, not materials. The custom order and variation tabs add the surcharge below to the price, so saying yes to 'can I have it by Friday?' stops being a favour you pay for yourself.</t>
  </si>
  <si>
    <t>Surcharge</t>
  </si>
  <si>
    <t>When you use it</t>
  </si>
  <si>
    <t>Your normal turnaround, no surcharge.</t>
  </si>
  <si>
    <t>Jumps the queue by a few days.</t>
  </si>
  <si>
    <t>Rush</t>
  </si>
  <si>
    <t>Everything else waits - evenings and a weekend.</t>
  </si>
  <si>
    <t>Dropping other work entirely. Price it properly.</t>
  </si>
  <si>
    <t>Next day</t>
  </si>
  <si>
    <t>Only if you genuinely can, and only at a premium.</t>
  </si>
  <si>
    <t>Pricing scenarios and the margin each one aims at</t>
  </si>
  <si>
    <t>The Scenarios tab prices every product five ways at once so you can see what repositioning would be worth. These are the margins behind those five columns - change them to match the market you actually sell into.</t>
  </si>
  <si>
    <t>Scenario</t>
  </si>
  <si>
    <t>Who prices this way</t>
  </si>
  <si>
    <t>Budget market</t>
  </si>
  <si>
    <t>Craft fair impulse buys and market stalls.</t>
  </si>
  <si>
    <t>Conservative</t>
  </si>
  <si>
    <t>Safe pricing while you build reviews.</t>
  </si>
  <si>
    <t>What a healthy handmade shop should be aiming for.</t>
  </si>
  <si>
    <t>Distinctive work, good photography, a following.</t>
  </si>
  <si>
    <t>Luxury</t>
  </si>
  <si>
    <t>Commissions, galleries and one-of-a-kind pieces.</t>
  </si>
  <si>
    <t>Size: more material, more minutes</t>
  </si>
  <si>
    <t>A baby blanket and a king size one are the same pattern and nowhere near the same price. The Variations tab multiplies the parent product's material cost and labour time by the factors below, so a size run prices itself.</t>
  </si>
  <si>
    <t>Material factor</t>
  </si>
  <si>
    <t>Mini</t>
  </si>
  <si>
    <t>Small</t>
  </si>
  <si>
    <t>Extra large</t>
  </si>
  <si>
    <t>A word on the factors: they are a starting point from real handmade businesses, not a law. Track what a batch actually takes you on the Batch Production tab for a month, compare it with what you estimated, then nudge these numbers until the estimates match your bench.</t>
  </si>
  <si>
    <t>Help &amp; Troubleshooting</t>
  </si>
  <si>
    <t>What the colours mean, what to do when a number looks wrong, and where every feature lives.</t>
  </si>
  <si>
    <t>The colour code</t>
  </si>
  <si>
    <t>Looks like</t>
  </si>
  <si>
    <t>Means</t>
  </si>
  <si>
    <t>White cell with a coloured edge</t>
  </si>
  <si>
    <t>Type here. These are the only cells you need to fill in.</t>
  </si>
  <si>
    <t>Shaded cell</t>
  </si>
  <si>
    <t>A formula. It is locked so you cannot overwrite it by accident.</t>
  </si>
  <si>
    <t>Green</t>
  </si>
  <si>
    <t>Good - on target, profitable, above your minimum wage.</t>
  </si>
  <si>
    <t>Amber</t>
  </si>
  <si>
    <t>Worth a look - thin margin, stock low, research going stale.</t>
  </si>
  <si>
    <t>Red</t>
  </si>
  <si>
    <t>Act today - losing money, below minimum wage, out of stock.</t>
  </si>
  <si>
    <t>Blue</t>
  </si>
  <si>
    <t>For information - a position, a status, a note.</t>
  </si>
  <si>
    <t>A coloured bar inside a cell</t>
  </si>
  <si>
    <t>A data bar: the longer the bar, the bigger the number compared with the rest of the column.</t>
  </si>
  <si>
    <t>A tiny chart</t>
  </si>
  <si>
    <t>A sparkline - twelve months of that number in one cell.</t>
  </si>
  <si>
    <t>When something looks wrong</t>
  </si>
  <si>
    <t>What you see</t>
  </si>
  <si>
    <t>Why</t>
  </si>
  <si>
    <t>The fix</t>
  </si>
  <si>
    <t>'Not found' in a name column</t>
  </si>
  <si>
    <t>The ID you typed is not on the tab it points at</t>
  </si>
  <si>
    <t>Pick from the drop-down instead of typing</t>
  </si>
  <si>
    <t>#DIV/0!</t>
  </si>
  <si>
    <t>Something is being divided by zero - usually a price or a pack size that is still empty</t>
  </si>
  <si>
    <t>Fill in the missing number</t>
  </si>
  <si>
    <t>#VALUE!</t>
  </si>
  <si>
    <t>Text where a number is expected, often from a pasted value with a currency symbol in it</t>
  </si>
  <si>
    <t>Paste as values and strip the symbols</t>
  </si>
  <si>
    <t>A price of 'Check the settings'</t>
  </si>
  <si>
    <t>Your target margin plus the fee rate is 100% or more, so no price can work</t>
  </si>
  <si>
    <t>Lower the target margin or check the fee rates</t>
  </si>
  <si>
    <t>'No price works'</t>
  </si>
  <si>
    <t>The same thing on the Retail Calculator</t>
  </si>
  <si>
    <t>Settings, then target margin; or Channels, then fees</t>
  </si>
  <si>
    <t>Suggested price looks far too high</t>
  </si>
  <si>
    <t>Usually the labour minutes - a figure in hours typed into a minutes box</t>
  </si>
  <si>
    <t>Check the Labor tab for that product</t>
  </si>
  <si>
    <t>Suggested price looks far too low</t>
  </si>
  <si>
    <t>Usually a missing cost: no packaging, no overhead or no labour at all</t>
  </si>
  <si>
    <t>Open the Retail Calculator and read the cost block</t>
  </si>
  <si>
    <t>Cost per gram looks wrong</t>
  </si>
  <si>
    <t>The pack size and the unit do not match - 100 g entered as 1 pack, or ml against a gram unit</t>
  </si>
  <si>
    <t>Materials tab: check pack quantity and unit</t>
  </si>
  <si>
    <t>A product shows no cost</t>
  </si>
  <si>
    <t>Nothing on the Material Usage or Labor tabs refers to it</t>
  </si>
  <si>
    <t>Add the bill of materials and the minutes</t>
  </si>
  <si>
    <t>Two sets of costs on one product</t>
  </si>
  <si>
    <t>It has rows on a craft tab and on Material Usage</t>
  </si>
  <si>
    <t>Use one or the other - the craft tab's check column warns you</t>
  </si>
  <si>
    <t>Margin is lower than you set</t>
  </si>
  <si>
    <t>The target is applied before fees; the fees then come off the price</t>
  </si>
  <si>
    <t>That is correct - the price already covers them</t>
  </si>
  <si>
    <t>Numbers do not update</t>
  </si>
  <si>
    <t>Calculation has been switched to manual</t>
  </si>
  <si>
    <t>Formulas, Calculation Options, Automatic - or press F9</t>
  </si>
  <si>
    <t>A cell will not let you type</t>
  </si>
  <si>
    <t>It is a formula and the sheet is protected</t>
  </si>
  <si>
    <t>Review, Unprotect Sheet. The password is 'premium'</t>
  </si>
  <si>
    <t>Drop-down list is missing an option</t>
  </si>
  <si>
    <t>The lists live on one tab</t>
  </si>
  <si>
    <t>Lists tab - add your option and it appears everywhere</t>
  </si>
  <si>
    <t>The words, in plain English</t>
  </si>
  <si>
    <t>Term</t>
  </si>
  <si>
    <t>What it means here</t>
  </si>
  <si>
    <t>Everything one piece costs you: materials, labour, packaging, the postage you absorb and a share of your overhead.</t>
  </si>
  <si>
    <t>Profit as a share of the price. $10 profit on a $40 sale is a 25% margin.</t>
  </si>
  <si>
    <t>Profit as a share of the cost. The same $10 on $30 of cost is a 33% markup. Always a bigger number than the margin.</t>
  </si>
  <si>
    <t>What one sale puts towards your fixed costs: price less fees less the costs that only happen when you make one.</t>
  </si>
  <si>
    <t>How many you have to sell to cover the fixed costs. Fixed costs divided by contribution, rounded up.</t>
  </si>
  <si>
    <t>Costs that are not about any one product - studio rent, insurance, software, your website.</t>
  </si>
  <si>
    <t>The unit a material is really used in: grams, millilitres or centimetres. Costs are worked out per base unit so quantities are simple.</t>
  </si>
  <si>
    <t>The share of a material that never makes it into the product - offcuts, frogging, trim loss.</t>
  </si>
  <si>
    <t>Fees charged as a share of the sale: transaction, payment processing, offsite ads.</t>
  </si>
  <si>
    <t>Fees charged per order or per listing, whatever the price: the listing fee, the fixed part of card processing.</t>
  </si>
  <si>
    <t>Keystone</t>
  </si>
  <si>
    <t>The old trade rule: double your cost for wholesale, double again for retail. A sanity check, not a method.</t>
  </si>
  <si>
    <t>Line sheet</t>
  </si>
  <si>
    <t>The one page catalogue you send a shop, with retail and trade prices.</t>
  </si>
  <si>
    <t>Seconds</t>
  </si>
  <si>
    <t>Pieces that cannot be sold at full price. Their cost is carried by the good ones.</t>
  </si>
  <si>
    <t>A multiplier on the time a fiddly product takes, so you do not have to re-time every variation.</t>
  </si>
  <si>
    <t>Questions people actually ask</t>
  </si>
  <si>
    <t>Should I really pay myself for every hour?</t>
  </si>
  <si>
    <t>Yes. If the price only works because your time is free, it is not a price, it is a subsidy. Start at your local minimum wage if your proper rate feels impossible, then raise it.</t>
  </si>
  <si>
    <t>My price is now higher than everyone else's.</t>
  </si>
  <si>
    <t>Then either your costs are higher, your margin target is ambitious, or they are not paying themselves. Check the Competitors tab, then decide which of those it is.</t>
  </si>
  <si>
    <t>What margin should I aim for?</t>
  </si>
  <si>
    <t>55% retail and 35% wholesale are reasonable starting points for handmade goods. Below 30% retail there is no room for a bad month.</t>
  </si>
  <si>
    <t>Do I include my own labour in wholesale?</t>
  </si>
  <si>
    <t>Always. A wholesale price that only covers materials is a donation to a shop.</t>
  </si>
  <si>
    <t>How do I handle free shipping?</t>
  </si>
  <si>
    <t>Put what the label costs in the Shipping tab and charge the buyer nothing. The workbook moves it into your cost where you can see it.</t>
  </si>
  <si>
    <t>Should the pattern or design time be in every item?</t>
  </si>
  <si>
    <t>Spread it over the pieces you expect to sell, on the Development tab or the Digital tab. Loading it all onto the first sale makes the first sale impossible.</t>
  </si>
  <si>
    <t>Why is my hourly wage lower than my hourly rate?</t>
  </si>
  <si>
    <t>Because the price is not covering the full cost. The wage column is what you really earn once the materials and fees are paid.</t>
  </si>
  <si>
    <t>Can I use this for a craft fair?</t>
  </si>
  <si>
    <t>Yes - the Events tab costs the stall and tells you what the day has to take before it breaks even.</t>
  </si>
  <si>
    <t>How often should I re-price?</t>
  </si>
  <si>
    <t>Twice a year, and immediately when a main material moves more than 10%. The catalog flags both.</t>
  </si>
  <si>
    <t>Where every feature lives</t>
  </si>
  <si>
    <t>If you want to...</t>
  </si>
  <si>
    <t>Go to</t>
  </si>
  <si>
    <t>Work out what to charge for something new</t>
  </si>
  <si>
    <t>Check a product is paying you properly</t>
  </si>
  <si>
    <t>Cost a new material</t>
  </si>
  <si>
    <t>Change your hourly rate</t>
  </si>
  <si>
    <t>Change the Etsy or Shopify fee rates</t>
  </si>
  <si>
    <t>Decide whether to accept a wholesale order</t>
  </si>
  <si>
    <t>Find out how many you must sell this month</t>
  </si>
  <si>
    <t>Price a crochet piece by yarn weight and hook</t>
  </si>
  <si>
    <t>Crochet</t>
  </si>
  <si>
    <t>Price a ring by grams of silver and scrap recovery</t>
  </si>
  <si>
    <t>Price a candle by vessel size and fragrance load</t>
  </si>
  <si>
    <t>Candles</t>
  </si>
  <si>
    <t>Price a garment by fabric, size and layout waste</t>
  </si>
  <si>
    <t>Clothing</t>
  </si>
  <si>
    <t>Price a board by timber length and offcut allowance</t>
  </si>
  <si>
    <t>Work out whether a pattern will ever pay for itself</t>
  </si>
  <si>
    <t>Digital</t>
  </si>
  <si>
    <t>See what a 20% discount really costs</t>
  </si>
  <si>
    <t>Promotions</t>
  </si>
  <si>
    <t>Compare what a run cost with what you estimated</t>
  </si>
  <si>
    <t>See whether a craft fair was worth the day</t>
  </si>
  <si>
    <t>Events</t>
  </si>
  <si>
    <t>Test a price rise across the whole range</t>
  </si>
  <si>
    <t>Scenarios</t>
  </si>
  <si>
    <t>Print a costing sheet for your records</t>
  </si>
  <si>
    <t>Print Costing</t>
  </si>
  <si>
    <t>Send a shop a line sheet</t>
  </si>
  <si>
    <t>Print Order</t>
  </si>
  <si>
    <t>Quote for a commission</t>
  </si>
  <si>
    <t>Print Quote</t>
  </si>
  <si>
    <t>Add an option to a drop-down</t>
  </si>
  <si>
    <t>Lists</t>
  </si>
  <si>
    <t>The small print</t>
  </si>
  <si>
    <t>This workbook is a calculator, not advice. Fee rates, tax rules, safety testing and labelling requirements differ by country and change without notice - check the current official sources for your marketplace and your jurisdiction before you rely on a number. The sheet password protects formulas from accidental edits; it is not encryption and it is not security.</t>
  </si>
  <si>
    <t>Handmade Product Pricing &amp; Profit Calculator - version 1.0.0, by Novality Store. No macros, no add-ins, nothing to install. Every formula is readable and every list is editable.</t>
  </si>
</sst>
</file>

<file path=xl/styles.xml><?xml version="1.0" encoding="utf-8"?>
<styleSheet xmlns="http://schemas.openxmlformats.org/spreadsheetml/2006/main">
  <numFmts count="9">
    <numFmt numFmtId="164" formatCode="#,##0"/>
    <numFmt numFmtId="165" formatCode="dd-mmm-yyyy"/>
    <numFmt numFmtId="166" formatCode="$#,##0.00;[Red]-$#,##0.00"/>
    <numFmt numFmtId="167" formatCode="0.0%"/>
    <numFmt numFmtId="166" formatCode="$#,##0.00;[Red]-$#,##0.00"/>
    <numFmt numFmtId="168" formatCode="#,##0.0"/>
    <numFmt numFmtId="165" formatCode="dd-mmm-yyyy"/>
    <numFmt numFmtId="164" formatCode="#,##0"/>
    <numFmt numFmtId="167" formatCode="0.0%"/>
    <numFmt numFmtId="166" formatCode="$#,##0.00;[Red]-$#,##0.00"/>
    <numFmt numFmtId="169" formatCode="$#,##0;[Red]-$#,##0"/>
    <numFmt numFmtId="170" formatCode="0%"/>
    <numFmt numFmtId="168" formatCode="#,##0.0"/>
    <numFmt numFmtId="164" formatCode="#,##0"/>
    <numFmt numFmtId="167" formatCode="0.0%"/>
    <numFmt numFmtId="169" formatCode="$#,##0;[Red]-$#,##0"/>
    <numFmt numFmtId="168" formatCode="#,##0.0"/>
    <numFmt numFmtId="170" formatCode="0%"/>
    <numFmt numFmtId="171" formatCode="#,##0.00"/>
    <numFmt numFmtId="172" formatCode="$#,##0.0000;[Red]-$#,##0.0000"/>
    <numFmt numFmtId="166" formatCode="$#,##0.00;[Red]-$#,##0.00"/>
    <numFmt numFmtId="171" formatCode="#,##0.00"/>
    <numFmt numFmtId="171" formatCode="#,##0.00"/>
    <numFmt numFmtId="172" formatCode="$#,##0.0000;[Red]-$#,##0.0000"/>
    <numFmt numFmtId="169" formatCode="$#,##0;[Red]-$#,##0"/>
    <numFmt numFmtId="168" formatCode="#,##0.0"/>
    <numFmt numFmtId="167" formatCode="0.0%"/>
    <numFmt numFmtId="172" formatCode="$#,##0.0000;[Red]-$#,##0.0000"/>
    <numFmt numFmtId="166" formatCode="$#,##0.00;[Red]-$#,##0.00"/>
    <numFmt numFmtId="165" formatCode="dd-mmm-yyyy"/>
    <numFmt numFmtId="164" formatCode="#,##0"/>
  </numFmts>
  <fonts count="20">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6E5C55"/>
      <name val="Calibri"/>
      <family val="2"/>
      <scheme val="minor"/>
    </font>
    <font>
      <b/>
      <u/>
      <sz val="9"/>
      <color rgb="FF3A4578"/>
      <name val="Calibri"/>
      <family val="2"/>
      <scheme val="minor"/>
    </font>
    <font>
      <sz val="9"/>
      <color rgb="FF3B2A26"/>
      <name val="Calibri"/>
      <family val="2"/>
      <scheme val="minor"/>
    </font>
    <font>
      <b/>
      <sz val="11"/>
      <color rgb="FFFFFFFF"/>
      <name val="Calibri"/>
      <family val="2"/>
      <scheme val="minor"/>
    </font>
    <font>
      <b/>
      <sz val="9"/>
      <color rgb="FFFFFFFF"/>
      <name val="Calibri"/>
      <family val="2"/>
      <scheme val="minor"/>
    </font>
    <font>
      <b/>
      <sz val="10"/>
      <color rgb="FF3B2A26"/>
      <name val="Calibri"/>
      <family val="2"/>
      <scheme val="minor"/>
    </font>
    <font>
      <sz val="10"/>
      <color rgb="FF3B2A26"/>
      <name val="Calibri"/>
      <family val="2"/>
      <scheme val="minor"/>
    </font>
    <font>
      <i/>
      <sz val="9"/>
      <color rgb="FF6E5C55"/>
      <name val="Calibri"/>
      <family val="2"/>
      <scheme val="minor"/>
    </font>
    <font>
      <sz val="9"/>
      <color rgb="FF6E5C55"/>
      <name val="Calibri"/>
      <family val="2"/>
      <scheme val="minor"/>
    </font>
    <font>
      <sz val="10"/>
      <color theme="1"/>
      <name val="Calibri"/>
      <family val="2"/>
      <scheme val="minor"/>
    </font>
    <font>
      <b/>
      <sz val="16"/>
      <color rgb="FF3B2A26"/>
      <name val="Calibri"/>
      <family val="2"/>
      <scheme val="minor"/>
    </font>
    <font>
      <i/>
      <sz val="8"/>
      <color rgb="FF6E5C55"/>
      <name val="Calibri"/>
      <family val="2"/>
      <scheme val="minor"/>
    </font>
    <font>
      <b/>
      <sz val="8"/>
      <color rgb="FFFFFFFF"/>
      <name val="Calibri"/>
      <family val="2"/>
      <scheme val="minor"/>
    </font>
    <font>
      <b/>
      <sz val="10"/>
      <color rgb="FF8C4A32"/>
      <name val="Calibri"/>
      <family val="2"/>
      <scheme val="minor"/>
    </font>
    <font>
      <b/>
      <sz val="10"/>
      <color theme="1"/>
      <name val="Calibri"/>
      <family val="2"/>
      <scheme val="minor"/>
    </font>
    <font>
      <b/>
      <sz val="16"/>
      <color rgb="FF8C4A32"/>
      <name val="Calibri"/>
      <family val="2"/>
      <scheme val="minor"/>
    </font>
  </fonts>
  <fills count="9">
    <fill>
      <patternFill patternType="none"/>
    </fill>
    <fill>
      <patternFill patternType="gray125"/>
    </fill>
    <fill>
      <patternFill patternType="solid">
        <fgColor rgb="FF8C4A32"/>
        <bgColor indexed="64"/>
      </patternFill>
    </fill>
    <fill>
      <patternFill patternType="solid">
        <fgColor rgb="FFFBF7F3"/>
        <bgColor indexed="64"/>
      </patternFill>
    </fill>
    <fill>
      <patternFill patternType="solid">
        <fgColor rgb="FFE4EDE1"/>
        <bgColor indexed="64"/>
      </patternFill>
    </fill>
    <fill>
      <patternFill patternType="solid">
        <fgColor rgb="FFB5704F"/>
        <bgColor indexed="64"/>
      </patternFill>
    </fill>
    <fill>
      <patternFill patternType="solid">
        <fgColor rgb="FFFBF3EC"/>
        <bgColor indexed="64"/>
      </patternFill>
    </fill>
    <fill>
      <patternFill patternType="solid">
        <fgColor rgb="FFFFFFFF"/>
        <bgColor indexed="64"/>
      </patternFill>
    </fill>
    <fill>
      <patternFill patternType="solid">
        <fgColor rgb="FFF6E4D7"/>
        <bgColor indexed="64"/>
      </patternFill>
    </fill>
  </fills>
  <borders count="7">
    <border>
      <left/>
      <right/>
      <top/>
      <bottom/>
      <diagonal/>
    </border>
    <border>
      <left style="thin">
        <color rgb="FF5E7B5A"/>
      </left>
      <right style="thin">
        <color rgb="FF5E7B5A"/>
      </right>
      <top style="thin">
        <color rgb="FF5E7B5A"/>
      </top>
      <bottom style="thin">
        <color rgb="FF5E7B5A"/>
      </bottom>
      <diagonal/>
    </border>
    <border>
      <left style="thin">
        <color rgb="FF8C4A32"/>
      </left>
      <right style="thin">
        <color rgb="FF8C4A32"/>
      </right>
      <top style="thin">
        <color rgb="FF8C4A32"/>
      </top>
      <bottom style="thin">
        <color rgb="FF8C4A32"/>
      </bottom>
      <diagonal/>
    </border>
    <border>
      <left style="thin">
        <color rgb="FFEADCCF"/>
      </left>
      <right style="thin">
        <color rgb="FFEADCCF"/>
      </right>
      <top style="thin">
        <color rgb="FFEADCCF"/>
      </top>
      <bottom style="thin">
        <color rgb="FFEADCCF"/>
      </bottom>
      <diagonal/>
    </border>
    <border>
      <left style="thin">
        <color rgb="FFE3D2C6"/>
      </left>
      <right style="thin">
        <color rgb="FFE3D2C6"/>
      </right>
      <top style="thin">
        <color rgb="FFE3D2C6"/>
      </top>
      <bottom style="thin">
        <color rgb="FFE3D2C6"/>
      </bottom>
      <diagonal/>
    </border>
    <border>
      <left style="thin">
        <color rgb="FFDCC9BB"/>
      </left>
      <right style="thin">
        <color rgb="FFDCC9BB"/>
      </right>
      <top style="thin">
        <color rgb="FFDCC9BB"/>
      </top>
      <bottom style="thin">
        <color rgb="FFDCC9BB"/>
      </bottom>
      <diagonal/>
    </border>
    <border>
      <left/>
      <right/>
      <top/>
      <bottom style="thin">
        <color rgb="FF3B2A26"/>
      </bottom>
      <diagonal/>
    </border>
  </borders>
  <cellStyleXfs count="1">
    <xf numFmtId="0" fontId="0" fillId="0" borderId="0"/>
  </cellStyleXfs>
  <cellXfs count="66">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3" borderId="0" xfId="0" applyFont="1" applyFill="1" applyAlignment="1">
      <alignment horizontal="left" vertical="center" indent="1"/>
    </xf>
    <xf numFmtId="0" fontId="6" fillId="4" borderId="1" xfId="0" applyFont="1" applyFill="1" applyBorder="1" applyAlignment="1">
      <alignment horizontal="left" vertical="top" indent="1" wrapText="1"/>
    </xf>
    <xf numFmtId="0" fontId="7" fillId="5" borderId="0" xfId="0" applyFont="1" applyFill="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9" fillId="0" borderId="0" xfId="0" applyFont="1" applyAlignment="1">
      <alignment horizontal="left" vertical="center" indent="1"/>
    </xf>
    <xf numFmtId="0" fontId="10" fillId="0" borderId="0" xfId="0" applyFont="1" applyAlignment="1">
      <alignment horizontal="left" vertical="center" indent="1"/>
    </xf>
    <xf numFmtId="0" fontId="11" fillId="0" borderId="0" xfId="0" applyFont="1" applyAlignment="1">
      <alignment horizontal="left" vertical="top" wrapText="1"/>
    </xf>
    <xf numFmtId="0" fontId="10" fillId="6" borderId="3" xfId="0" applyFont="1" applyFill="1" applyBorder="1" applyAlignment="1">
      <alignment horizontal="left" vertical="center"/>
    </xf>
    <xf numFmtId="0" fontId="12" fillId="3" borderId="0" xfId="0" applyFont="1" applyFill="1" applyAlignment="1">
      <alignment horizontal="left" vertical="center"/>
    </xf>
    <xf numFmtId="0" fontId="13" fillId="7" borderId="4" xfId="0" applyFont="1" applyFill="1" applyBorder="1" applyAlignment="1" applyProtection="1">
      <alignment horizontal="left" vertical="center"/>
      <protection locked="0"/>
    </xf>
    <xf numFmtId="164" fontId="13" fillId="7" borderId="4" xfId="0" applyNumberFormat="1" applyFont="1" applyFill="1" applyBorder="1" applyAlignment="1" applyProtection="1">
      <alignment horizontal="right" vertical="center"/>
      <protection locked="0"/>
    </xf>
    <xf numFmtId="165" fontId="10" fillId="6" borderId="3" xfId="0" applyNumberFormat="1" applyFont="1" applyFill="1" applyBorder="1" applyAlignment="1">
      <alignment horizontal="center" vertical="center"/>
    </xf>
    <xf numFmtId="166" fontId="13" fillId="7" borderId="4" xfId="0" applyNumberFormat="1" applyFont="1" applyFill="1" applyBorder="1" applyAlignment="1" applyProtection="1">
      <alignment horizontal="right" vertical="center"/>
      <protection locked="0"/>
    </xf>
    <xf numFmtId="167" fontId="13" fillId="7" borderId="4" xfId="0" applyNumberFormat="1" applyFont="1" applyFill="1" applyBorder="1" applyAlignment="1" applyProtection="1">
      <alignment horizontal="center" vertical="center"/>
      <protection locked="0"/>
    </xf>
    <xf numFmtId="166" fontId="10" fillId="6" borderId="3" xfId="0" applyNumberFormat="1" applyFont="1" applyFill="1" applyBorder="1" applyAlignment="1">
      <alignment horizontal="right" vertical="center"/>
    </xf>
    <xf numFmtId="168" fontId="13" fillId="7" borderId="4" xfId="0" applyNumberFormat="1" applyFont="1" applyFill="1" applyBorder="1" applyAlignment="1" applyProtection="1">
      <alignment horizontal="right" vertical="center"/>
      <protection locked="0"/>
    </xf>
    <xf numFmtId="165" fontId="13" fillId="7" borderId="4" xfId="0" applyNumberFormat="1" applyFont="1" applyFill="1" applyBorder="1" applyAlignment="1" applyProtection="1">
      <alignment horizontal="center" vertical="center"/>
      <protection locked="0"/>
    </xf>
    <xf numFmtId="0" fontId="10" fillId="0" borderId="0" xfId="0" applyFont="1" applyAlignment="1">
      <alignment horizontal="right" vertical="center"/>
    </xf>
    <xf numFmtId="0" fontId="8" fillId="5" borderId="0" xfId="0" applyFont="1" applyFill="1" applyAlignment="1">
      <alignment horizontal="left" vertical="center" indent="1"/>
    </xf>
    <xf numFmtId="164" fontId="14" fillId="7" borderId="5" xfId="0" applyNumberFormat="1" applyFont="1" applyFill="1" applyBorder="1" applyAlignment="1">
      <alignment horizontal="center" vertical="center"/>
    </xf>
    <xf numFmtId="167" fontId="14" fillId="7" borderId="5" xfId="0" applyNumberFormat="1" applyFont="1" applyFill="1" applyBorder="1" applyAlignment="1">
      <alignment horizontal="center" vertical="center"/>
    </xf>
    <xf numFmtId="166" fontId="14" fillId="7" borderId="5" xfId="0" applyNumberFormat="1" applyFont="1" applyFill="1" applyBorder="1" applyAlignment="1">
      <alignment horizontal="center" vertical="center"/>
    </xf>
    <xf numFmtId="0" fontId="15" fillId="7" borderId="5" xfId="0" applyFont="1" applyFill="1" applyBorder="1" applyAlignment="1">
      <alignment horizontal="center" vertical="center"/>
    </xf>
    <xf numFmtId="169" fontId="14" fillId="7" borderId="5" xfId="0" applyNumberFormat="1" applyFont="1" applyFill="1" applyBorder="1" applyAlignment="1">
      <alignment horizontal="center" vertical="center"/>
    </xf>
    <xf numFmtId="170" fontId="14" fillId="7" borderId="5" xfId="0" applyNumberFormat="1" applyFont="1" applyFill="1" applyBorder="1" applyAlignment="1">
      <alignment horizontal="center" vertical="center"/>
    </xf>
    <xf numFmtId="168" fontId="14" fillId="7" borderId="5" xfId="0" applyNumberFormat="1" applyFont="1" applyFill="1" applyBorder="1" applyAlignment="1">
      <alignment horizontal="center" vertical="center"/>
    </xf>
    <xf numFmtId="164" fontId="10" fillId="6" borderId="3" xfId="0" applyNumberFormat="1" applyFont="1" applyFill="1" applyBorder="1" applyAlignment="1">
      <alignment horizontal="right" vertical="center"/>
    </xf>
    <xf numFmtId="167" fontId="10" fillId="6" borderId="3" xfId="0" applyNumberFormat="1" applyFont="1" applyFill="1" applyBorder="1" applyAlignment="1">
      <alignment horizontal="center" vertical="center"/>
    </xf>
    <xf numFmtId="169" fontId="10" fillId="6" borderId="3" xfId="0" applyNumberFormat="1" applyFont="1" applyFill="1" applyBorder="1" applyAlignment="1">
      <alignment horizontal="right" vertical="center"/>
    </xf>
    <xf numFmtId="0" fontId="16" fillId="2" borderId="2" xfId="0" applyFont="1" applyFill="1" applyBorder="1" applyAlignment="1">
      <alignment horizontal="center" vertical="center" wrapText="1"/>
    </xf>
    <xf numFmtId="168" fontId="10" fillId="6" borderId="3" xfId="0" applyNumberFormat="1" applyFont="1" applyFill="1" applyBorder="1" applyAlignment="1">
      <alignment horizontal="right" vertical="center"/>
    </xf>
    <xf numFmtId="170" fontId="10" fillId="6" borderId="3" xfId="0" applyNumberFormat="1" applyFont="1" applyFill="1" applyBorder="1" applyAlignment="1">
      <alignment horizontal="center" vertical="center"/>
    </xf>
    <xf numFmtId="0" fontId="17" fillId="6" borderId="3" xfId="0" applyFont="1" applyFill="1" applyBorder="1" applyAlignment="1">
      <alignment horizontal="left" vertical="center"/>
    </xf>
    <xf numFmtId="0" fontId="18" fillId="7" borderId="4" xfId="0" applyFont="1" applyFill="1" applyBorder="1" applyAlignment="1" applyProtection="1">
      <alignment horizontal="center" vertical="center"/>
      <protection locked="0"/>
    </xf>
    <xf numFmtId="0" fontId="13" fillId="7" borderId="4" xfId="0" applyFont="1" applyFill="1" applyBorder="1" applyAlignment="1" applyProtection="1">
      <alignment horizontal="left" vertical="top" wrapText="1"/>
      <protection locked="0"/>
    </xf>
    <xf numFmtId="171" fontId="10" fillId="6" borderId="3" xfId="0" applyNumberFormat="1" applyFont="1" applyFill="1" applyBorder="1" applyAlignment="1">
      <alignment horizontal="right" vertical="center"/>
    </xf>
    <xf numFmtId="0" fontId="10" fillId="6" borderId="3" xfId="0" applyFont="1" applyFill="1" applyBorder="1" applyAlignment="1">
      <alignment horizontal="center" vertical="center"/>
    </xf>
    <xf numFmtId="0" fontId="9" fillId="6" borderId="3" xfId="0" applyFont="1" applyFill="1" applyBorder="1" applyAlignment="1">
      <alignment horizontal="center" vertical="center"/>
    </xf>
    <xf numFmtId="0" fontId="11" fillId="3" borderId="0" xfId="0" applyFont="1" applyFill="1" applyAlignment="1">
      <alignment horizontal="left" vertical="top" wrapText="1"/>
    </xf>
    <xf numFmtId="172" fontId="10" fillId="6" borderId="3" xfId="0" applyNumberFormat="1" applyFont="1" applyFill="1" applyBorder="1" applyAlignment="1">
      <alignment horizontal="right" vertical="center"/>
    </xf>
    <xf numFmtId="0" fontId="17" fillId="7" borderId="4" xfId="0" applyFont="1" applyFill="1" applyBorder="1" applyAlignment="1" applyProtection="1">
      <alignment horizontal="left" vertical="center"/>
      <protection locked="0"/>
    </xf>
    <xf numFmtId="0" fontId="13" fillId="7" borderId="4" xfId="0" applyFont="1" applyFill="1" applyBorder="1" applyAlignment="1" applyProtection="1">
      <alignment horizontal="center" vertical="center"/>
      <protection locked="0"/>
    </xf>
    <xf numFmtId="0" fontId="3" fillId="2" borderId="0" xfId="0" applyFont="1" applyFill="1" applyAlignment="1">
      <alignment horizontal="left" vertical="center" indent="1"/>
    </xf>
    <xf numFmtId="166" fontId="3" fillId="2" borderId="0" xfId="0" applyNumberFormat="1" applyFont="1" applyFill="1" applyAlignment="1">
      <alignment horizontal="right" vertical="center"/>
    </xf>
    <xf numFmtId="171" fontId="14" fillId="7" borderId="5" xfId="0" applyNumberFormat="1" applyFont="1" applyFill="1" applyBorder="1" applyAlignment="1">
      <alignment horizontal="center" vertical="center"/>
    </xf>
    <xf numFmtId="0" fontId="17" fillId="8" borderId="0" xfId="0" applyFont="1" applyFill="1" applyAlignment="1">
      <alignment horizontal="left" vertical="center" indent="1"/>
    </xf>
    <xf numFmtId="171" fontId="13" fillId="7" borderId="4" xfId="0" applyNumberFormat="1" applyFont="1" applyFill="1" applyBorder="1" applyAlignment="1" applyProtection="1">
      <alignment horizontal="right" vertical="center"/>
      <protection locked="0"/>
    </xf>
    <xf numFmtId="172" fontId="13" fillId="7" borderId="4" xfId="0" applyNumberFormat="1" applyFont="1" applyFill="1" applyBorder="1" applyAlignment="1" applyProtection="1">
      <alignment horizontal="right" vertical="center"/>
      <protection locked="0"/>
    </xf>
    <xf numFmtId="169" fontId="3" fillId="2" borderId="0" xfId="0" applyNumberFormat="1" applyFont="1" applyFill="1" applyAlignment="1">
      <alignment horizontal="right" vertical="center"/>
    </xf>
    <xf numFmtId="0" fontId="19" fillId="0" borderId="0" xfId="0" applyFont="1" applyAlignment="1">
      <alignment horizontal="left" vertical="center"/>
    </xf>
    <xf numFmtId="0" fontId="4" fillId="0" borderId="0" xfId="0" applyFont="1" applyAlignment="1">
      <alignment horizontal="left" vertical="center"/>
    </xf>
    <xf numFmtId="0" fontId="13" fillId="0" borderId="0" xfId="0" applyFont="1" applyAlignment="1">
      <alignment horizontal="left" vertical="center"/>
    </xf>
    <xf numFmtId="168" fontId="13" fillId="0" borderId="0" xfId="0" applyNumberFormat="1" applyFont="1" applyAlignment="1">
      <alignment horizontal="right" vertical="center"/>
    </xf>
    <xf numFmtId="167" fontId="13" fillId="0" borderId="0" xfId="0" applyNumberFormat="1" applyFont="1" applyAlignment="1">
      <alignment horizontal="center" vertical="center"/>
    </xf>
    <xf numFmtId="172" fontId="13" fillId="0" borderId="0" xfId="0" applyNumberFormat="1" applyFont="1" applyAlignment="1">
      <alignment horizontal="right" vertical="center"/>
    </xf>
    <xf numFmtId="166" fontId="13" fillId="0" borderId="0" xfId="0" applyNumberFormat="1" applyFont="1" applyAlignment="1">
      <alignment horizontal="right" vertical="center"/>
    </xf>
    <xf numFmtId="165" fontId="13" fillId="0" borderId="0" xfId="0" applyNumberFormat="1" applyFont="1" applyAlignment="1">
      <alignment horizontal="center" vertical="center"/>
    </xf>
    <xf numFmtId="0" fontId="13" fillId="0" borderId="0" xfId="0" applyFont="1" applyAlignment="1">
      <alignment horizontal="left" vertical="top" wrapText="1"/>
    </xf>
    <xf numFmtId="0" fontId="13" fillId="0" borderId="6" xfId="0" applyFont="1" applyBorder="1" applyAlignment="1" applyProtection="1">
      <alignment horizontal="left" vertical="center"/>
      <protection locked="0"/>
    </xf>
    <xf numFmtId="164" fontId="13" fillId="0" borderId="0" xfId="0" applyNumberFormat="1" applyFont="1" applyAlignment="1">
      <alignment horizontal="right" vertical="center"/>
    </xf>
  </cellXfs>
  <cellStyles count="1">
    <cellStyle name="Normal" xfId="0" builtinId="0"/>
  </cellStyles>
  <dxfs count="6">
    <dxf>
      <font>
        <color rgb="FF8A5A00"/>
      </font>
      <fill>
        <patternFill>
          <bgColor rgb="FFFDEDD2"/>
        </patternFill>
      </fill>
    </dxf>
    <dxf>
      <font>
        <color rgb="FF2F5A2B"/>
      </font>
      <fill>
        <patternFill>
          <bgColor rgb="FFDCEBD8"/>
        </patternFill>
      </fill>
    </dxf>
    <dxf>
      <font>
        <color rgb="FF9C2A24"/>
      </font>
      <fill>
        <patternFill>
          <bgColor rgb="FFF8DAD9"/>
        </patternFill>
      </fill>
    </dxf>
    <dxf>
      <font>
        <color rgb="FF3A4578"/>
      </font>
      <fill>
        <patternFill>
          <bgColor rgb="FFE2E6F3"/>
        </patternFill>
      </fill>
    </dxf>
    <dxf>
      <font>
        <i/>
        <color rgb="FF6E5C55"/>
      </font>
    </dxf>
    <dxf>
      <font>
        <b/>
        <color rgb="FF9C2A24"/>
      </font>
      <fill>
        <patternFill>
          <bgColor rgb="FFF8DA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theme" Target="theme/theme1.xml"/><Relationship Id="rId42" Type="http://schemas.openxmlformats.org/officeDocument/2006/relationships/styles" Target="styles.xml"/><Relationship Id="rId4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sheet1.xml><?xml version="1.0" encoding="utf-8"?>
<worksheet xmlns="http://schemas.openxmlformats.org/spreadsheetml/2006/main" xmlns:r="http://schemas.openxmlformats.org/officeDocument/2006/relationships">
  <sheetPr>
    <tabColor rgb="FF3B2A26"/>
    <pageSetUpPr fitToPage="1"/>
  </sheetPr>
  <dimension ref="A1:J97"/>
  <sheetViews>
    <sheetView showGridLines="0" tabSelected="1" workbookViewId="0">
      <pane ySplit="4" topLeftCell="A5" activePane="bottomLeft" state="frozen"/>
      <selection pane="bottomLeft"/>
    </sheetView>
  </sheetViews>
  <sheetFormatPr defaultRowHeight="15"/>
  <cols>
    <col min="1" max="1" width="4.7109375" customWidth="1"/>
    <col min="2" max="2" width="30.7109375" customWidth="1"/>
    <col min="3" max="3" width="18.7109375" customWidth="1"/>
    <col min="4" max="10" width="15.7109375" customWidth="1"/>
    <col min="2" max="2" width="10.7109375" customWidth="1"/>
    <col min="3" max="3" width="24.7109375" customWidth="1"/>
    <col min="4" max="4" width="62.7109375" customWidth="1"/>
    <col min="2" max="2" width="26.7109375" customWidth="1"/>
    <col min="3" max="3" width="54.7109375" customWidth="1"/>
    <col min="4" max="4" width="28.7109375" customWidth="1"/>
    <col min="2" max="2" width="30.7109375" customWidth="1"/>
    <col min="3" max="3" width="68.7109375" customWidth="1"/>
  </cols>
  <sheetData>
    <row r="1" spans="1:10" ht="34" customHeight="1">
      <c r="A1" s="2" t="s">
        <v>0</v>
      </c>
      <c r="B1" s="2"/>
      <c r="C1" s="2"/>
      <c r="D1" s="2"/>
      <c r="E1" s="2"/>
      <c r="F1" s="2"/>
      <c r="G1" s="2"/>
      <c r="H1" s="3" t="s">
        <v>1</v>
      </c>
      <c r="I1" s="3"/>
      <c r="J1" s="3"/>
    </row>
    <row r="2" spans="1:10" ht="18" customHeight="1">
      <c r="A2" s="4" t="s">
        <v>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42" customHeight="1">
      <c r="A5" s="6" t="s">
        <v>8</v>
      </c>
      <c r="B5" s="6"/>
      <c r="C5" s="6"/>
      <c r="D5" s="6"/>
      <c r="E5" s="6"/>
      <c r="F5" s="6"/>
      <c r="G5" s="6"/>
      <c r="H5" s="6"/>
      <c r="I5" s="6"/>
      <c r="J5" s="6"/>
    </row>
    <row r="7" spans="1:10" ht="20" customHeight="1">
      <c r="A7" s="7" t="s">
        <v>9</v>
      </c>
      <c r="B7" s="7"/>
      <c r="C7" s="7"/>
      <c r="D7" s="7"/>
      <c r="E7" s="7"/>
      <c r="F7" s="7"/>
      <c r="G7" s="7"/>
      <c r="H7" s="7"/>
      <c r="I7" s="7"/>
      <c r="J7" s="7"/>
    </row>
    <row r="8" spans="1:10" ht="26" customHeight="1">
      <c r="B8" s="8" t="s">
        <v>10</v>
      </c>
      <c r="C8" s="9" t="s">
        <v>11</v>
      </c>
      <c r="D8" s="9" t="s">
        <v>12</v>
      </c>
    </row>
    <row r="9" spans="1:10" ht="22" customHeight="1">
      <c r="B9" s="10" t="s">
        <v>13</v>
      </c>
      <c r="C9" s="10" t="s">
        <v>14</v>
      </c>
      <c r="D9" s="11" t="s">
        <v>15</v>
      </c>
      <c r="E9" s="11"/>
      <c r="F9" s="11"/>
      <c r="G9" s="11"/>
      <c r="H9" s="11"/>
      <c r="I9" s="11"/>
      <c r="J9" s="11"/>
    </row>
    <row r="10" spans="1:10" ht="22" customHeight="1">
      <c r="B10" s="10" t="s">
        <v>16</v>
      </c>
      <c r="C10" s="10" t="s">
        <v>17</v>
      </c>
      <c r="D10" s="11" t="s">
        <v>18</v>
      </c>
      <c r="E10" s="11"/>
      <c r="F10" s="11"/>
      <c r="G10" s="11"/>
      <c r="H10" s="11"/>
      <c r="I10" s="11"/>
      <c r="J10" s="11"/>
    </row>
    <row r="11" spans="1:10" ht="22" customHeight="1">
      <c r="B11" s="10" t="s">
        <v>19</v>
      </c>
      <c r="C11" s="10" t="s">
        <v>20</v>
      </c>
      <c r="D11" s="11" t="s">
        <v>21</v>
      </c>
      <c r="E11" s="11"/>
      <c r="F11" s="11"/>
      <c r="G11" s="11"/>
      <c r="H11" s="11"/>
      <c r="I11" s="11"/>
      <c r="J11" s="11"/>
    </row>
    <row r="12" spans="1:10" ht="22" customHeight="1">
      <c r="B12" s="10" t="s">
        <v>22</v>
      </c>
      <c r="C12" s="10" t="s">
        <v>23</v>
      </c>
      <c r="D12" s="11" t="s">
        <v>24</v>
      </c>
      <c r="E12" s="11"/>
      <c r="F12" s="11"/>
      <c r="G12" s="11"/>
      <c r="H12" s="11"/>
      <c r="I12" s="11"/>
      <c r="J12" s="11"/>
    </row>
    <row r="13" spans="1:10" ht="22" customHeight="1">
      <c r="B13" s="10" t="s">
        <v>25</v>
      </c>
      <c r="C13" s="10" t="s">
        <v>26</v>
      </c>
      <c r="D13" s="11" t="s">
        <v>27</v>
      </c>
      <c r="E13" s="11"/>
      <c r="F13" s="11"/>
      <c r="G13" s="11"/>
      <c r="H13" s="11"/>
      <c r="I13" s="11"/>
      <c r="J13" s="11"/>
    </row>
    <row r="14" spans="1:10" ht="22" customHeight="1">
      <c r="B14" s="10" t="s">
        <v>28</v>
      </c>
      <c r="C14" s="10" t="s">
        <v>29</v>
      </c>
      <c r="D14" s="11" t="s">
        <v>30</v>
      </c>
      <c r="E14" s="11"/>
      <c r="F14" s="11"/>
      <c r="G14" s="11"/>
      <c r="H14" s="11"/>
      <c r="I14" s="11"/>
      <c r="J14" s="11"/>
    </row>
    <row r="16" spans="1:10" ht="20" customHeight="1">
      <c r="A16" s="7" t="s">
        <v>31</v>
      </c>
      <c r="B16" s="7"/>
      <c r="C16" s="7"/>
      <c r="D16" s="7"/>
      <c r="E16" s="7"/>
      <c r="F16" s="7"/>
      <c r="G16" s="7"/>
      <c r="H16" s="7"/>
      <c r="I16" s="7"/>
      <c r="J16" s="7"/>
    </row>
    <row r="17" spans="1:10" ht="34" customHeight="1">
      <c r="B17" s="6" t="s">
        <v>32</v>
      </c>
      <c r="C17" s="6"/>
      <c r="D17" s="6"/>
      <c r="E17" s="6"/>
      <c r="F17" s="6"/>
      <c r="G17" s="6"/>
      <c r="H17" s="6"/>
      <c r="I17" s="6"/>
      <c r="J17" s="6"/>
    </row>
    <row r="18" spans="1:10" ht="22" customHeight="1">
      <c r="B18" s="10" t="s">
        <v>33</v>
      </c>
      <c r="C18" s="10" t="s">
        <v>34</v>
      </c>
      <c r="D18" s="10"/>
      <c r="E18" s="10"/>
      <c r="F18" s="10"/>
      <c r="G18" s="12" t="s">
        <v>35</v>
      </c>
      <c r="H18" s="12"/>
      <c r="I18" s="12"/>
      <c r="J18" s="12"/>
    </row>
    <row r="19" spans="1:10" ht="22" customHeight="1">
      <c r="B19" s="10" t="s">
        <v>36</v>
      </c>
      <c r="C19" s="10" t="s">
        <v>37</v>
      </c>
      <c r="D19" s="10"/>
      <c r="E19" s="10"/>
      <c r="F19" s="10"/>
      <c r="G19" s="12" t="s">
        <v>38</v>
      </c>
      <c r="H19" s="12"/>
      <c r="I19" s="12"/>
      <c r="J19" s="12"/>
    </row>
    <row r="20" spans="1:10" ht="22" customHeight="1">
      <c r="B20" s="10" t="s">
        <v>39</v>
      </c>
      <c r="C20" s="10" t="s">
        <v>40</v>
      </c>
      <c r="D20" s="10"/>
      <c r="E20" s="10"/>
      <c r="F20" s="10"/>
      <c r="G20" s="12" t="s">
        <v>41</v>
      </c>
      <c r="H20" s="12"/>
      <c r="I20" s="12"/>
      <c r="J20" s="12"/>
    </row>
    <row r="21" spans="1:10" ht="22" customHeight="1">
      <c r="B21" s="10" t="s">
        <v>42</v>
      </c>
      <c r="C21" s="10" t="s">
        <v>43</v>
      </c>
      <c r="D21" s="10"/>
      <c r="E21" s="10"/>
      <c r="F21" s="10"/>
      <c r="G21" s="12" t="s">
        <v>44</v>
      </c>
      <c r="H21" s="12"/>
      <c r="I21" s="12"/>
      <c r="J21" s="12"/>
    </row>
    <row r="22" spans="1:10" ht="22" customHeight="1">
      <c r="B22" s="10" t="s">
        <v>45</v>
      </c>
      <c r="C22" s="10" t="s">
        <v>46</v>
      </c>
      <c r="D22" s="10"/>
      <c r="E22" s="10"/>
      <c r="F22" s="10"/>
      <c r="G22" s="12" t="s">
        <v>47</v>
      </c>
      <c r="H22" s="12"/>
      <c r="I22" s="12"/>
      <c r="J22" s="12"/>
    </row>
    <row r="23" spans="1:10" ht="22" customHeight="1">
      <c r="B23" s="10" t="s">
        <v>48</v>
      </c>
      <c r="C23" s="10" t="s">
        <v>49</v>
      </c>
      <c r="D23" s="10"/>
      <c r="E23" s="10"/>
      <c r="F23" s="10"/>
      <c r="G23" s="12" t="s">
        <v>50</v>
      </c>
      <c r="H23" s="12"/>
      <c r="I23" s="12"/>
      <c r="J23" s="12"/>
    </row>
    <row r="25" spans="1:10" ht="56" customHeight="1">
      <c r="B25" s="6" t="s">
        <v>51</v>
      </c>
      <c r="C25" s="6"/>
      <c r="D25" s="6"/>
      <c r="E25" s="6"/>
      <c r="F25" s="6"/>
      <c r="G25" s="6"/>
      <c r="H25" s="6"/>
      <c r="I25" s="6"/>
      <c r="J25" s="6"/>
    </row>
    <row r="27" spans="1:10" ht="20" customHeight="1">
      <c r="A27" s="7" t="s">
        <v>52</v>
      </c>
      <c r="B27" s="7"/>
      <c r="C27" s="7"/>
      <c r="D27" s="7"/>
      <c r="E27" s="7"/>
      <c r="F27" s="7"/>
      <c r="G27" s="7"/>
      <c r="H27" s="7"/>
      <c r="I27" s="7"/>
      <c r="J27" s="7"/>
    </row>
    <row r="28" spans="1:10" ht="26" customHeight="1">
      <c r="B28" s="8" t="s">
        <v>53</v>
      </c>
      <c r="C28" s="9" t="s">
        <v>54</v>
      </c>
      <c r="D28" s="9" t="s">
        <v>55</v>
      </c>
    </row>
    <row r="29" spans="1:10" ht="24" customHeight="1">
      <c r="B29" s="10" t="s">
        <v>14</v>
      </c>
      <c r="C29" s="11" t="s">
        <v>56</v>
      </c>
      <c r="D29" s="11"/>
      <c r="E29" s="11"/>
      <c r="F29" s="11"/>
      <c r="G29" s="11"/>
      <c r="H29" s="12" t="s">
        <v>57</v>
      </c>
      <c r="I29" s="12"/>
      <c r="J29" s="12"/>
    </row>
    <row r="30" spans="1:10" ht="24" customHeight="1">
      <c r="B30" s="10" t="s">
        <v>58</v>
      </c>
      <c r="C30" s="11" t="s">
        <v>59</v>
      </c>
      <c r="D30" s="11"/>
      <c r="E30" s="11"/>
      <c r="F30" s="11"/>
      <c r="G30" s="11"/>
      <c r="H30" s="12" t="s">
        <v>60</v>
      </c>
      <c r="I30" s="12"/>
      <c r="J30" s="12"/>
    </row>
    <row r="31" spans="1:10" ht="24" customHeight="1">
      <c r="B31" s="10" t="s">
        <v>26</v>
      </c>
      <c r="C31" s="11" t="s">
        <v>61</v>
      </c>
      <c r="D31" s="11"/>
      <c r="E31" s="11"/>
      <c r="F31" s="11"/>
      <c r="G31" s="11"/>
      <c r="H31" s="12" t="s">
        <v>62</v>
      </c>
      <c r="I31" s="12"/>
      <c r="J31" s="12"/>
    </row>
    <row r="32" spans="1:10" ht="24" customHeight="1">
      <c r="B32" s="10" t="s">
        <v>17</v>
      </c>
      <c r="C32" s="11" t="s">
        <v>63</v>
      </c>
      <c r="D32" s="11"/>
      <c r="E32" s="11"/>
      <c r="F32" s="11"/>
      <c r="G32" s="11"/>
      <c r="H32" s="12" t="s">
        <v>64</v>
      </c>
      <c r="I32" s="12"/>
      <c r="J32" s="12"/>
    </row>
    <row r="33" spans="2:10" ht="24" customHeight="1">
      <c r="B33" s="10" t="s">
        <v>20</v>
      </c>
      <c r="C33" s="11" t="s">
        <v>65</v>
      </c>
      <c r="D33" s="11"/>
      <c r="E33" s="11"/>
      <c r="F33" s="11"/>
      <c r="G33" s="11"/>
      <c r="H33" s="12" t="s">
        <v>66</v>
      </c>
      <c r="I33" s="12"/>
      <c r="J33" s="12"/>
    </row>
    <row r="34" spans="2:10" ht="24" customHeight="1">
      <c r="B34" s="10" t="s">
        <v>23</v>
      </c>
      <c r="C34" s="11" t="s">
        <v>67</v>
      </c>
      <c r="D34" s="11"/>
      <c r="E34" s="11"/>
      <c r="F34" s="11"/>
      <c r="G34" s="11"/>
      <c r="H34" s="12" t="s">
        <v>68</v>
      </c>
      <c r="I34" s="12"/>
      <c r="J34" s="12"/>
    </row>
    <row r="35" spans="2:10" ht="24" customHeight="1">
      <c r="B35" s="10" t="s">
        <v>69</v>
      </c>
      <c r="C35" s="11" t="s">
        <v>70</v>
      </c>
      <c r="D35" s="11"/>
      <c r="E35" s="11"/>
      <c r="F35" s="11"/>
      <c r="G35" s="11"/>
      <c r="H35" s="12" t="s">
        <v>71</v>
      </c>
      <c r="I35" s="12"/>
      <c r="J35" s="12"/>
    </row>
    <row r="36" spans="2:10" ht="24" customHeight="1">
      <c r="B36" s="10" t="s">
        <v>72</v>
      </c>
      <c r="C36" s="11" t="s">
        <v>73</v>
      </c>
      <c r="D36" s="11"/>
      <c r="E36" s="11"/>
      <c r="F36" s="11"/>
      <c r="G36" s="11"/>
      <c r="H36" s="12" t="s">
        <v>74</v>
      </c>
      <c r="I36" s="12"/>
      <c r="J36" s="12"/>
    </row>
    <row r="37" spans="2:10" ht="24" customHeight="1">
      <c r="B37" s="10" t="s">
        <v>75</v>
      </c>
      <c r="C37" s="11" t="s">
        <v>76</v>
      </c>
      <c r="D37" s="11"/>
      <c r="E37" s="11"/>
      <c r="F37" s="11"/>
      <c r="G37" s="11"/>
      <c r="H37" s="12" t="s">
        <v>77</v>
      </c>
      <c r="I37" s="12"/>
      <c r="J37" s="12"/>
    </row>
    <row r="38" spans="2:10" ht="24" customHeight="1">
      <c r="B38" s="10" t="s">
        <v>29</v>
      </c>
      <c r="C38" s="11" t="s">
        <v>78</v>
      </c>
      <c r="D38" s="11"/>
      <c r="E38" s="11"/>
      <c r="F38" s="11"/>
      <c r="G38" s="11"/>
      <c r="H38" s="12" t="s">
        <v>79</v>
      </c>
      <c r="I38" s="12"/>
      <c r="J38" s="12"/>
    </row>
    <row r="39" spans="2:10" ht="24" customHeight="1">
      <c r="B39" s="10" t="s">
        <v>80</v>
      </c>
      <c r="C39" s="11" t="s">
        <v>81</v>
      </c>
      <c r="D39" s="11"/>
      <c r="E39" s="11"/>
      <c r="F39" s="11"/>
      <c r="G39" s="11"/>
      <c r="H39" s="12" t="s">
        <v>82</v>
      </c>
      <c r="I39" s="12"/>
      <c r="J39" s="12"/>
    </row>
    <row r="40" spans="2:10" ht="24" customHeight="1">
      <c r="B40" s="10" t="s">
        <v>83</v>
      </c>
      <c r="C40" s="11" t="s">
        <v>84</v>
      </c>
      <c r="D40" s="11"/>
      <c r="E40" s="11"/>
      <c r="F40" s="11"/>
      <c r="G40" s="11"/>
      <c r="H40" s="12" t="s">
        <v>85</v>
      </c>
      <c r="I40" s="12"/>
      <c r="J40" s="12"/>
    </row>
    <row r="41" spans="2:10" ht="24" customHeight="1">
      <c r="B41" s="10" t="s">
        <v>86</v>
      </c>
      <c r="C41" s="11" t="s">
        <v>87</v>
      </c>
      <c r="D41" s="11"/>
      <c r="E41" s="11"/>
      <c r="F41" s="11"/>
      <c r="G41" s="11"/>
      <c r="H41" s="12" t="s">
        <v>88</v>
      </c>
      <c r="I41" s="12"/>
      <c r="J41" s="12"/>
    </row>
    <row r="42" spans="2:10" ht="24" customHeight="1">
      <c r="B42" s="10" t="s">
        <v>89</v>
      </c>
      <c r="C42" s="11" t="s">
        <v>90</v>
      </c>
      <c r="D42" s="11"/>
      <c r="E42" s="11"/>
      <c r="F42" s="11"/>
      <c r="G42" s="11"/>
      <c r="H42" s="12" t="s">
        <v>88</v>
      </c>
      <c r="I42" s="12"/>
      <c r="J42" s="12"/>
    </row>
    <row r="43" spans="2:10" ht="24" customHeight="1">
      <c r="B43" s="10" t="s">
        <v>91</v>
      </c>
      <c r="C43" s="11" t="s">
        <v>92</v>
      </c>
      <c r="D43" s="11"/>
      <c r="E43" s="11"/>
      <c r="F43" s="11"/>
      <c r="G43" s="11"/>
      <c r="H43" s="12" t="s">
        <v>93</v>
      </c>
      <c r="I43" s="12"/>
      <c r="J43" s="12"/>
    </row>
    <row r="44" spans="2:10" ht="24" customHeight="1">
      <c r="B44" s="10" t="s">
        <v>94</v>
      </c>
      <c r="C44" s="11" t="s">
        <v>95</v>
      </c>
      <c r="D44" s="11"/>
      <c r="E44" s="11"/>
      <c r="F44" s="11"/>
      <c r="G44" s="11"/>
      <c r="H44" s="12" t="s">
        <v>96</v>
      </c>
      <c r="I44" s="12"/>
      <c r="J44" s="12"/>
    </row>
    <row r="45" spans="2:10" ht="24" customHeight="1">
      <c r="B45" s="10" t="s">
        <v>97</v>
      </c>
      <c r="C45" s="11" t="s">
        <v>98</v>
      </c>
      <c r="D45" s="11"/>
      <c r="E45" s="11"/>
      <c r="F45" s="11"/>
      <c r="G45" s="11"/>
      <c r="H45" s="12" t="s">
        <v>99</v>
      </c>
      <c r="I45" s="12"/>
      <c r="J45" s="12"/>
    </row>
    <row r="46" spans="2:10" ht="24" customHeight="1">
      <c r="B46" s="10" t="s">
        <v>100</v>
      </c>
      <c r="C46" s="11" t="s">
        <v>101</v>
      </c>
      <c r="D46" s="11"/>
      <c r="E46" s="11"/>
      <c r="F46" s="11"/>
      <c r="G46" s="11"/>
      <c r="H46" s="12" t="s">
        <v>102</v>
      </c>
      <c r="I46" s="12"/>
      <c r="J46" s="12"/>
    </row>
    <row r="47" spans="2:10" ht="24" customHeight="1">
      <c r="B47" s="10" t="s">
        <v>103</v>
      </c>
      <c r="C47" s="11" t="s">
        <v>104</v>
      </c>
      <c r="D47" s="11"/>
      <c r="E47" s="11"/>
      <c r="F47" s="11"/>
      <c r="G47" s="11"/>
      <c r="H47" s="12" t="s">
        <v>105</v>
      </c>
      <c r="I47" s="12"/>
      <c r="J47" s="12"/>
    </row>
    <row r="48" spans="2:10" ht="24" customHeight="1">
      <c r="B48" s="10" t="s">
        <v>106</v>
      </c>
      <c r="C48" s="11" t="s">
        <v>107</v>
      </c>
      <c r="D48" s="11"/>
      <c r="E48" s="11"/>
      <c r="F48" s="11"/>
      <c r="G48" s="11"/>
      <c r="H48" s="12" t="s">
        <v>108</v>
      </c>
      <c r="I48" s="12"/>
      <c r="J48" s="12"/>
    </row>
    <row r="49" spans="1:10" ht="24" customHeight="1">
      <c r="B49" s="10" t="s">
        <v>109</v>
      </c>
      <c r="C49" s="11" t="s">
        <v>110</v>
      </c>
      <c r="D49" s="11"/>
      <c r="E49" s="11"/>
      <c r="F49" s="11"/>
      <c r="G49" s="11"/>
      <c r="H49" s="12" t="s">
        <v>111</v>
      </c>
      <c r="I49" s="12"/>
      <c r="J49" s="12"/>
    </row>
    <row r="50" spans="1:10" ht="24" customHeight="1">
      <c r="B50" s="10" t="s">
        <v>112</v>
      </c>
      <c r="C50" s="11" t="s">
        <v>113</v>
      </c>
      <c r="D50" s="11"/>
      <c r="E50" s="11"/>
      <c r="F50" s="11"/>
      <c r="G50" s="11"/>
      <c r="H50" s="12" t="s">
        <v>114</v>
      </c>
      <c r="I50" s="12"/>
      <c r="J50" s="12"/>
    </row>
    <row r="51" spans="1:10" ht="24" customHeight="1">
      <c r="B51" s="10" t="s">
        <v>115</v>
      </c>
      <c r="C51" s="11" t="s">
        <v>116</v>
      </c>
      <c r="D51" s="11"/>
      <c r="E51" s="11"/>
      <c r="F51" s="11"/>
      <c r="G51" s="11"/>
      <c r="H51" s="12" t="s">
        <v>117</v>
      </c>
      <c r="I51" s="12"/>
      <c r="J51" s="12"/>
    </row>
    <row r="53" spans="1:10" ht="20" customHeight="1">
      <c r="A53" s="7" t="s">
        <v>118</v>
      </c>
      <c r="B53" s="7"/>
      <c r="C53" s="7"/>
      <c r="D53" s="7"/>
      <c r="E53" s="7"/>
      <c r="F53" s="7"/>
      <c r="G53" s="7"/>
      <c r="H53" s="7"/>
      <c r="I53" s="7"/>
      <c r="J53" s="7"/>
    </row>
    <row r="54" spans="1:10" ht="24" customHeight="1">
      <c r="B54" s="10" t="s">
        <v>119</v>
      </c>
      <c r="C54" s="11" t="s">
        <v>120</v>
      </c>
      <c r="D54" s="11"/>
      <c r="E54" s="11"/>
      <c r="F54" s="11"/>
      <c r="G54" s="11"/>
      <c r="H54" s="11"/>
      <c r="I54" s="12" t="s">
        <v>121</v>
      </c>
      <c r="J54" s="12"/>
    </row>
    <row r="55" spans="1:10" ht="24" customHeight="1">
      <c r="B55" s="10" t="s">
        <v>122</v>
      </c>
      <c r="C55" s="11" t="s">
        <v>123</v>
      </c>
      <c r="D55" s="11"/>
      <c r="E55" s="11"/>
      <c r="F55" s="11"/>
      <c r="G55" s="11"/>
      <c r="H55" s="11"/>
      <c r="I55" s="12" t="s">
        <v>124</v>
      </c>
      <c r="J55" s="12"/>
    </row>
    <row r="56" spans="1:10" ht="24" customHeight="1">
      <c r="B56" s="10" t="s">
        <v>125</v>
      </c>
      <c r="C56" s="11" t="s">
        <v>126</v>
      </c>
      <c r="D56" s="11"/>
      <c r="E56" s="11"/>
      <c r="F56" s="11"/>
      <c r="G56" s="11"/>
      <c r="H56" s="11"/>
      <c r="I56" s="12" t="s">
        <v>127</v>
      </c>
      <c r="J56" s="12"/>
    </row>
    <row r="57" spans="1:10" ht="24" customHeight="1">
      <c r="B57" s="10" t="s">
        <v>128</v>
      </c>
      <c r="C57" s="11" t="s">
        <v>129</v>
      </c>
      <c r="D57" s="11"/>
      <c r="E57" s="11"/>
      <c r="F57" s="11"/>
      <c r="G57" s="11"/>
      <c r="H57" s="11"/>
      <c r="I57" s="12" t="s">
        <v>130</v>
      </c>
      <c r="J57" s="12"/>
    </row>
    <row r="58" spans="1:10" ht="24" customHeight="1">
      <c r="B58" s="10" t="s">
        <v>131</v>
      </c>
      <c r="C58" s="11" t="s">
        <v>132</v>
      </c>
      <c r="D58" s="11"/>
      <c r="E58" s="11"/>
      <c r="F58" s="11"/>
      <c r="G58" s="11"/>
      <c r="H58" s="11"/>
      <c r="I58" s="12" t="s">
        <v>133</v>
      </c>
      <c r="J58" s="12"/>
    </row>
    <row r="59" spans="1:10" ht="24" customHeight="1">
      <c r="B59" s="10" t="s">
        <v>134</v>
      </c>
      <c r="C59" s="11" t="s">
        <v>135</v>
      </c>
      <c r="D59" s="11"/>
      <c r="E59" s="11"/>
      <c r="F59" s="11"/>
      <c r="G59" s="11"/>
      <c r="H59" s="11"/>
      <c r="I59" s="12" t="s">
        <v>136</v>
      </c>
      <c r="J59" s="12"/>
    </row>
    <row r="61" spans="1:10" ht="20" customHeight="1">
      <c r="A61" s="7" t="s">
        <v>137</v>
      </c>
      <c r="B61" s="7"/>
      <c r="C61" s="7"/>
      <c r="D61" s="7"/>
      <c r="E61" s="7"/>
      <c r="F61" s="7"/>
      <c r="G61" s="7"/>
      <c r="H61" s="7"/>
      <c r="I61" s="7"/>
      <c r="J61" s="7"/>
    </row>
    <row r="62" spans="1:10" ht="16" customHeight="1">
      <c r="B62" s="11" t="s">
        <v>138</v>
      </c>
      <c r="C62" s="11"/>
      <c r="D62" s="11"/>
      <c r="E62" s="11"/>
      <c r="F62" s="11"/>
      <c r="G62" s="11"/>
      <c r="H62" s="11"/>
      <c r="I62" s="11"/>
      <c r="J62" s="11"/>
    </row>
    <row r="63" spans="1:10" ht="16" customHeight="1">
      <c r="B63" s="11" t="s">
        <v>139</v>
      </c>
      <c r="C63" s="11"/>
      <c r="D63" s="11"/>
      <c r="E63" s="11"/>
      <c r="F63" s="11"/>
      <c r="G63" s="11"/>
      <c r="H63" s="11"/>
      <c r="I63" s="11"/>
      <c r="J63" s="11"/>
    </row>
    <row r="64" spans="1:10" ht="16" customHeight="1">
      <c r="B64" s="11" t="s">
        <v>140</v>
      </c>
      <c r="C64" s="11"/>
      <c r="D64" s="11"/>
      <c r="E64" s="11"/>
      <c r="F64" s="11"/>
      <c r="G64" s="11"/>
      <c r="H64" s="11"/>
      <c r="I64" s="11"/>
      <c r="J64" s="11"/>
    </row>
    <row r="65" spans="1:10" ht="16" customHeight="1">
      <c r="B65" s="11" t="s">
        <v>141</v>
      </c>
      <c r="C65" s="11"/>
      <c r="D65" s="11"/>
      <c r="E65" s="11"/>
      <c r="F65" s="11"/>
      <c r="G65" s="11"/>
      <c r="H65" s="11"/>
      <c r="I65" s="11"/>
      <c r="J65" s="11"/>
    </row>
    <row r="66" spans="1:10" ht="16" customHeight="1">
      <c r="B66" s="11" t="s">
        <v>142</v>
      </c>
      <c r="C66" s="11"/>
      <c r="D66" s="11"/>
      <c r="E66" s="11"/>
      <c r="F66" s="11"/>
      <c r="G66" s="11"/>
      <c r="H66" s="11"/>
      <c r="I66" s="11"/>
      <c r="J66" s="11"/>
    </row>
    <row r="67" spans="1:10" ht="16" customHeight="1">
      <c r="B67" s="11" t="s">
        <v>143</v>
      </c>
      <c r="C67" s="11"/>
      <c r="D67" s="11"/>
      <c r="E67" s="11"/>
      <c r="F67" s="11"/>
      <c r="G67" s="11"/>
      <c r="H67" s="11"/>
      <c r="I67" s="11"/>
      <c r="J67" s="11"/>
    </row>
    <row r="68" spans="1:10" ht="16" customHeight="1">
      <c r="B68" s="11" t="s">
        <v>144</v>
      </c>
      <c r="C68" s="11"/>
      <c r="D68" s="11"/>
      <c r="E68" s="11"/>
      <c r="F68" s="11"/>
      <c r="G68" s="11"/>
      <c r="H68" s="11"/>
      <c r="I68" s="11"/>
      <c r="J68" s="11"/>
    </row>
    <row r="69" spans="1:10" ht="16" customHeight="1">
      <c r="B69" s="11" t="s">
        <v>145</v>
      </c>
      <c r="C69" s="11"/>
      <c r="D69" s="11"/>
      <c r="E69" s="11"/>
      <c r="F69" s="11"/>
      <c r="G69" s="11"/>
      <c r="H69" s="11"/>
      <c r="I69" s="11"/>
      <c r="J69" s="11"/>
    </row>
    <row r="70" spans="1:10" ht="16" customHeight="1">
      <c r="B70" s="11" t="s">
        <v>146</v>
      </c>
      <c r="C70" s="11"/>
      <c r="D70" s="11"/>
      <c r="E70" s="11"/>
      <c r="F70" s="11"/>
      <c r="G70" s="11"/>
      <c r="H70" s="11"/>
      <c r="I70" s="11"/>
      <c r="J70" s="11"/>
    </row>
    <row r="71" spans="1:10" ht="16" customHeight="1">
      <c r="B71" s="11" t="s">
        <v>147</v>
      </c>
      <c r="C71" s="11"/>
      <c r="D71" s="11"/>
      <c r="E71" s="11"/>
      <c r="F71" s="11"/>
      <c r="G71" s="11"/>
      <c r="H71" s="11"/>
      <c r="I71" s="11"/>
      <c r="J71" s="11"/>
    </row>
    <row r="73" spans="1:10" ht="20" customHeight="1">
      <c r="A73" s="7" t="s">
        <v>148</v>
      </c>
      <c r="B73" s="7"/>
      <c r="C73" s="7"/>
      <c r="D73" s="7"/>
      <c r="E73" s="7"/>
      <c r="F73" s="7"/>
      <c r="G73" s="7"/>
      <c r="H73" s="7"/>
      <c r="I73" s="7"/>
      <c r="J73" s="7"/>
    </row>
    <row r="74" spans="1:10" ht="22" customHeight="1">
      <c r="B74" s="6" t="s">
        <v>149</v>
      </c>
      <c r="C74" s="6"/>
      <c r="D74" s="6"/>
      <c r="E74" s="6"/>
      <c r="F74" s="6"/>
      <c r="G74" s="6"/>
      <c r="H74" s="6"/>
      <c r="I74" s="6"/>
      <c r="J74" s="6"/>
    </row>
    <row r="75" spans="1:10" ht="16" customHeight="1">
      <c r="B75" s="11" t="s">
        <v>150</v>
      </c>
      <c r="C75" s="11"/>
      <c r="D75" s="11"/>
      <c r="E75" s="11"/>
      <c r="F75" s="11"/>
      <c r="G75" s="11"/>
      <c r="H75" s="11"/>
      <c r="I75" s="11"/>
      <c r="J75" s="11"/>
    </row>
    <row r="76" spans="1:10" ht="16" customHeight="1">
      <c r="B76" s="11" t="s">
        <v>151</v>
      </c>
      <c r="C76" s="11"/>
      <c r="D76" s="11"/>
      <c r="E76" s="11"/>
      <c r="F76" s="11"/>
      <c r="G76" s="11"/>
      <c r="H76" s="11"/>
      <c r="I76" s="11"/>
      <c r="J76" s="11"/>
    </row>
    <row r="77" spans="1:10" ht="16" customHeight="1">
      <c r="B77" s="11" t="s">
        <v>152</v>
      </c>
      <c r="C77" s="11"/>
      <c r="D77" s="11"/>
      <c r="E77" s="11"/>
      <c r="F77" s="11"/>
      <c r="G77" s="11"/>
      <c r="H77" s="11"/>
      <c r="I77" s="11"/>
      <c r="J77" s="11"/>
    </row>
    <row r="78" spans="1:10" ht="16" customHeight="1">
      <c r="B78" s="11" t="s">
        <v>153</v>
      </c>
      <c r="C78" s="11"/>
      <c r="D78" s="11"/>
      <c r="E78" s="11"/>
      <c r="F78" s="11"/>
      <c r="G78" s="11"/>
      <c r="H78" s="11"/>
      <c r="I78" s="11"/>
      <c r="J78" s="11"/>
    </row>
    <row r="79" spans="1:10" ht="16" customHeight="1">
      <c r="B79" s="11" t="s">
        <v>154</v>
      </c>
      <c r="C79" s="11"/>
      <c r="D79" s="11"/>
      <c r="E79" s="11"/>
      <c r="F79" s="11"/>
      <c r="G79" s="11"/>
      <c r="H79" s="11"/>
      <c r="I79" s="11"/>
      <c r="J79" s="11"/>
    </row>
    <row r="80" spans="1:10" ht="16" customHeight="1">
      <c r="B80" s="11" t="s">
        <v>155</v>
      </c>
      <c r="C80" s="11"/>
      <c r="D80" s="11"/>
      <c r="E80" s="11"/>
      <c r="F80" s="11"/>
      <c r="G80" s="11"/>
      <c r="H80" s="11"/>
      <c r="I80" s="11"/>
      <c r="J80" s="11"/>
    </row>
    <row r="82" spans="1:10" ht="20" customHeight="1">
      <c r="A82" s="7" t="s">
        <v>156</v>
      </c>
      <c r="B82" s="7"/>
      <c r="C82" s="7"/>
      <c r="D82" s="7"/>
      <c r="E82" s="7"/>
      <c r="F82" s="7"/>
      <c r="G82" s="7"/>
      <c r="H82" s="7"/>
      <c r="I82" s="7"/>
      <c r="J82" s="7"/>
    </row>
    <row r="83" spans="1:10" ht="44" customHeight="1">
      <c r="B83" s="13">
        <f>"Every fee in this workbook is a number you can edit on the Channels tab, because published fees change and vary by country. The rates in this file were last reviewed on "&amp;TEXT(FeesReviewed,"d mmmm yyyy")&amp;". Before you rely on a price, verify the current official fee schedule for your marketplace and your country, and update the Channels tab."</f>
        <v>0</v>
      </c>
      <c r="C83" s="13"/>
      <c r="D83" s="13"/>
      <c r="E83" s="13"/>
      <c r="F83" s="13"/>
      <c r="G83" s="13"/>
      <c r="H83" s="13"/>
      <c r="I83" s="13"/>
      <c r="J83" s="13"/>
    </row>
    <row r="85" spans="1:10" ht="20" customHeight="1">
      <c r="A85" s="7" t="s">
        <v>157</v>
      </c>
      <c r="B85" s="7"/>
      <c r="C85" s="7"/>
      <c r="D85" s="7"/>
      <c r="E85" s="7"/>
      <c r="F85" s="7"/>
      <c r="G85" s="7"/>
      <c r="H85" s="7"/>
      <c r="I85" s="7"/>
      <c r="J85" s="7"/>
    </row>
    <row r="86" spans="1:10" ht="26" customHeight="1">
      <c r="B86" s="8" t="s">
        <v>158</v>
      </c>
      <c r="C86" s="9" t="s">
        <v>159</v>
      </c>
    </row>
    <row r="87" spans="1:10" ht="26" customHeight="1">
      <c r="B87" s="10" t="s">
        <v>160</v>
      </c>
      <c r="C87" s="11" t="s">
        <v>161</v>
      </c>
      <c r="D87" s="11"/>
      <c r="E87" s="11"/>
      <c r="F87" s="11"/>
      <c r="G87" s="11"/>
      <c r="H87" s="11"/>
      <c r="I87" s="11"/>
      <c r="J87" s="11"/>
    </row>
    <row r="88" spans="1:10" ht="26" customHeight="1">
      <c r="B88" s="10" t="s">
        <v>162</v>
      </c>
      <c r="C88" s="11" t="s">
        <v>163</v>
      </c>
      <c r="D88" s="11"/>
      <c r="E88" s="11"/>
      <c r="F88" s="11"/>
      <c r="G88" s="11"/>
      <c r="H88" s="11"/>
      <c r="I88" s="11"/>
      <c r="J88" s="11"/>
    </row>
    <row r="89" spans="1:10" ht="26" customHeight="1">
      <c r="B89" s="10" t="s">
        <v>164</v>
      </c>
      <c r="C89" s="11" t="s">
        <v>165</v>
      </c>
      <c r="D89" s="11"/>
      <c r="E89" s="11"/>
      <c r="F89" s="11"/>
      <c r="G89" s="11"/>
      <c r="H89" s="11"/>
      <c r="I89" s="11"/>
      <c r="J89" s="11"/>
    </row>
    <row r="90" spans="1:10" ht="26" customHeight="1">
      <c r="B90" s="10" t="s">
        <v>166</v>
      </c>
      <c r="C90" s="11" t="s">
        <v>167</v>
      </c>
      <c r="D90" s="11"/>
      <c r="E90" s="11"/>
      <c r="F90" s="11"/>
      <c r="G90" s="11"/>
      <c r="H90" s="11"/>
      <c r="I90" s="11"/>
      <c r="J90" s="11"/>
    </row>
    <row r="91" spans="1:10" ht="26" customHeight="1">
      <c r="B91" s="10" t="s">
        <v>168</v>
      </c>
      <c r="C91" s="11" t="s">
        <v>169</v>
      </c>
      <c r="D91" s="11"/>
      <c r="E91" s="11"/>
      <c r="F91" s="11"/>
      <c r="G91" s="11"/>
      <c r="H91" s="11"/>
      <c r="I91" s="11"/>
      <c r="J91" s="11"/>
    </row>
    <row r="92" spans="1:10" ht="26" customHeight="1">
      <c r="B92" s="10" t="s">
        <v>170</v>
      </c>
      <c r="C92" s="11" t="s">
        <v>171</v>
      </c>
      <c r="D92" s="11"/>
      <c r="E92" s="11"/>
      <c r="F92" s="11"/>
      <c r="G92" s="11"/>
      <c r="H92" s="11"/>
      <c r="I92" s="11"/>
      <c r="J92" s="11"/>
    </row>
    <row r="93" spans="1:10" ht="26" customHeight="1">
      <c r="B93" s="10" t="s">
        <v>172</v>
      </c>
      <c r="C93" s="11" t="s">
        <v>173</v>
      </c>
      <c r="D93" s="11"/>
      <c r="E93" s="11"/>
      <c r="F93" s="11"/>
      <c r="G93" s="11"/>
      <c r="H93" s="11"/>
      <c r="I93" s="11"/>
      <c r="J93" s="11"/>
    </row>
    <row r="94" spans="1:10" ht="26" customHeight="1">
      <c r="B94" s="10" t="s">
        <v>174</v>
      </c>
      <c r="C94" s="11" t="s">
        <v>175</v>
      </c>
      <c r="D94" s="11"/>
      <c r="E94" s="11"/>
      <c r="F94" s="11"/>
      <c r="G94" s="11"/>
      <c r="H94" s="11"/>
      <c r="I94" s="11"/>
      <c r="J94" s="11"/>
    </row>
    <row r="95" spans="1:10" ht="26" customHeight="1">
      <c r="B95" s="10" t="s">
        <v>176</v>
      </c>
      <c r="C95" s="11" t="s">
        <v>177</v>
      </c>
      <c r="D95" s="11"/>
      <c r="E95" s="11"/>
      <c r="F95" s="11"/>
      <c r="G95" s="11"/>
      <c r="H95" s="11"/>
      <c r="I95" s="11"/>
      <c r="J95" s="11"/>
    </row>
    <row r="97" spans="2:10" ht="34" customHeight="1">
      <c r="B97" s="6" t="s">
        <v>178</v>
      </c>
      <c r="C97" s="6"/>
      <c r="D97" s="6"/>
      <c r="E97" s="6"/>
      <c r="F97" s="6"/>
      <c r="G97" s="6"/>
      <c r="H97" s="6"/>
      <c r="I97" s="6"/>
      <c r="J97" s="6"/>
    </row>
  </sheetData>
  <sheetProtection password="EC7C" sheet="1" objects="1" scenarios="1" formatCells="0" formatColumns="0" formatRows="0" insertRows="0" insertHyperlinks="0" deleteRows="0" autoFilter="0"/>
  <mergeCells count="123">
    <mergeCell ref="A1:G1"/>
    <mergeCell ref="H1:J1"/>
    <mergeCell ref="A2:J2"/>
    <mergeCell ref="A3:B3"/>
    <mergeCell ref="C3:D3"/>
    <mergeCell ref="E3:F3"/>
    <mergeCell ref="G3:H3"/>
    <mergeCell ref="I3:J3"/>
    <mergeCell ref="A5:J5"/>
    <mergeCell ref="A7:J7"/>
    <mergeCell ref="D9:J9"/>
    <mergeCell ref="D10:J10"/>
    <mergeCell ref="D11:J11"/>
    <mergeCell ref="D12:J12"/>
    <mergeCell ref="D13:J13"/>
    <mergeCell ref="D14:J14"/>
    <mergeCell ref="A16:J16"/>
    <mergeCell ref="B17:J17"/>
    <mergeCell ref="C18:F18"/>
    <mergeCell ref="G18:J18"/>
    <mergeCell ref="C19:F19"/>
    <mergeCell ref="G19:J19"/>
    <mergeCell ref="C20:F20"/>
    <mergeCell ref="G20:J20"/>
    <mergeCell ref="C21:F21"/>
    <mergeCell ref="G21:J21"/>
    <mergeCell ref="C22:F22"/>
    <mergeCell ref="G22:J22"/>
    <mergeCell ref="C23:F23"/>
    <mergeCell ref="G23:J23"/>
    <mergeCell ref="B25:J25"/>
    <mergeCell ref="A27:J27"/>
    <mergeCell ref="C29:G29"/>
    <mergeCell ref="H29:J29"/>
    <mergeCell ref="C30:G30"/>
    <mergeCell ref="H30:J30"/>
    <mergeCell ref="C31:G31"/>
    <mergeCell ref="H31:J31"/>
    <mergeCell ref="C32:G32"/>
    <mergeCell ref="H32:J32"/>
    <mergeCell ref="C33:G33"/>
    <mergeCell ref="H33:J33"/>
    <mergeCell ref="C34:G34"/>
    <mergeCell ref="H34:J34"/>
    <mergeCell ref="C35:G35"/>
    <mergeCell ref="H35:J35"/>
    <mergeCell ref="C36:G36"/>
    <mergeCell ref="H36:J36"/>
    <mergeCell ref="C37:G37"/>
    <mergeCell ref="H37:J37"/>
    <mergeCell ref="C38:G38"/>
    <mergeCell ref="H38:J38"/>
    <mergeCell ref="C39:G39"/>
    <mergeCell ref="H39:J39"/>
    <mergeCell ref="C40:G40"/>
    <mergeCell ref="H40:J40"/>
    <mergeCell ref="C41:G41"/>
    <mergeCell ref="H41:J41"/>
    <mergeCell ref="C42:G42"/>
    <mergeCell ref="H42:J42"/>
    <mergeCell ref="C43:G43"/>
    <mergeCell ref="H43:J43"/>
    <mergeCell ref="C44:G44"/>
    <mergeCell ref="H44:J44"/>
    <mergeCell ref="C45:G45"/>
    <mergeCell ref="H45:J45"/>
    <mergeCell ref="C46:G46"/>
    <mergeCell ref="H46:J46"/>
    <mergeCell ref="C47:G47"/>
    <mergeCell ref="H47:J47"/>
    <mergeCell ref="C48:G48"/>
    <mergeCell ref="H48:J48"/>
    <mergeCell ref="C49:G49"/>
    <mergeCell ref="H49:J49"/>
    <mergeCell ref="C50:G50"/>
    <mergeCell ref="H50:J50"/>
    <mergeCell ref="C51:G51"/>
    <mergeCell ref="H51:J51"/>
    <mergeCell ref="A53:J53"/>
    <mergeCell ref="C54:H54"/>
    <mergeCell ref="I54:J54"/>
    <mergeCell ref="C55:H55"/>
    <mergeCell ref="I55:J55"/>
    <mergeCell ref="C56:H56"/>
    <mergeCell ref="I56:J56"/>
    <mergeCell ref="C57:H57"/>
    <mergeCell ref="I57:J57"/>
    <mergeCell ref="C58:H58"/>
    <mergeCell ref="I58:J58"/>
    <mergeCell ref="C59:H59"/>
    <mergeCell ref="I59:J59"/>
    <mergeCell ref="A61:J61"/>
    <mergeCell ref="B62:J62"/>
    <mergeCell ref="B63:J63"/>
    <mergeCell ref="B64:J64"/>
    <mergeCell ref="B65:J65"/>
    <mergeCell ref="B66:J66"/>
    <mergeCell ref="B67:J67"/>
    <mergeCell ref="B68:J68"/>
    <mergeCell ref="B69:J69"/>
    <mergeCell ref="B70:J70"/>
    <mergeCell ref="B71:J71"/>
    <mergeCell ref="A73:J73"/>
    <mergeCell ref="B74:J74"/>
    <mergeCell ref="B75:J75"/>
    <mergeCell ref="B76:J76"/>
    <mergeCell ref="B77:J77"/>
    <mergeCell ref="B78:J78"/>
    <mergeCell ref="B79:J79"/>
    <mergeCell ref="B80:J80"/>
    <mergeCell ref="A82:J82"/>
    <mergeCell ref="B83:J83"/>
    <mergeCell ref="A85:J85"/>
    <mergeCell ref="C87:J87"/>
    <mergeCell ref="C88:J88"/>
    <mergeCell ref="C89:J89"/>
    <mergeCell ref="C90:J90"/>
    <mergeCell ref="C91:J91"/>
    <mergeCell ref="C92:J92"/>
    <mergeCell ref="C93:J93"/>
    <mergeCell ref="C94:J94"/>
    <mergeCell ref="C95:J95"/>
    <mergeCell ref="B97:J97"/>
  </mergeCell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s>
  <pageMargins left="0.4" right="0.4" top="0.6" bottom="0.5" header="0.3" footer="0.3"/>
  <pageSetup paperSize="9" fitToHeight="0" orientation="landscape"/>
  <headerFooter>
    <oddHeader>&amp;L&amp;"Calibri,Bold"&amp;12&amp;C&amp;"Calibri,Bold"&amp;11Start Here&amp;R&amp;"Calibri,Italic"&amp;9Handmade Product Pricing &amp; Profit Calculator</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5E7B5A"/>
    <pageSetUpPr fitToPage="1"/>
  </sheetPr>
  <dimension ref="A1:I119"/>
  <sheetViews>
    <sheetView showGridLines="0" workbookViewId="0">
      <pane ySplit="4" topLeftCell="A5" activePane="bottomLeft" state="frozen"/>
      <selection pane="bottomLeft"/>
    </sheetView>
  </sheetViews>
  <sheetFormatPr defaultRowHeight="15"/>
  <cols>
    <col min="1" max="1" width="3.2109375" customWidth="1"/>
    <col min="2" max="2" width="38.7109375" style="11" customWidth="1"/>
    <col min="3" max="3" width="14.7109375" style="11" customWidth="1"/>
    <col min="4" max="4" width="24.7109375" customWidth="1"/>
    <col min="5" max="5" width="18.7109375" customWidth="1"/>
    <col min="6" max="9" width="17.7109375" style="12" customWidth="1"/>
  </cols>
  <sheetData>
    <row r="1" spans="1:9" ht="34" customHeight="1">
      <c r="A1" s="2" t="s">
        <v>179</v>
      </c>
      <c r="B1" s="2"/>
      <c r="C1" s="2"/>
      <c r="D1" s="2"/>
      <c r="E1" s="2"/>
      <c r="F1" s="2"/>
      <c r="G1" s="3" t="s">
        <v>1</v>
      </c>
      <c r="H1" s="3"/>
      <c r="I1" s="3"/>
    </row>
    <row r="2" spans="1:9" ht="18" customHeight="1">
      <c r="A2" s="4" t="s">
        <v>180</v>
      </c>
      <c r="B2" s="4"/>
      <c r="C2" s="4"/>
      <c r="D2" s="4"/>
      <c r="E2" s="4"/>
      <c r="F2" s="4"/>
      <c r="G2" s="4"/>
      <c r="H2" s="4"/>
      <c r="I2" s="4"/>
    </row>
    <row r="3" spans="1:9" ht="16" customHeight="1">
      <c r="A3" s="5" t="s">
        <v>3</v>
      </c>
      <c r="B3" s="5"/>
      <c r="C3" s="5" t="s">
        <v>4</v>
      </c>
      <c r="D3" s="5"/>
      <c r="E3" s="5" t="s">
        <v>5</v>
      </c>
      <c r="F3" s="5"/>
      <c r="G3" s="5" t="s">
        <v>6</v>
      </c>
      <c r="H3" s="5"/>
      <c r="I3" s="14" t="s">
        <v>181</v>
      </c>
    </row>
    <row r="5" spans="1:9" ht="20" customHeight="1">
      <c r="A5" s="7" t="s">
        <v>182</v>
      </c>
      <c r="B5" s="7"/>
      <c r="C5" s="7"/>
      <c r="D5" s="7"/>
      <c r="E5" s="7"/>
      <c r="F5" s="7"/>
      <c r="G5" s="7"/>
      <c r="H5" s="7"/>
      <c r="I5" s="7"/>
    </row>
    <row r="6" spans="1:9">
      <c r="B6" s="10" t="s">
        <v>183</v>
      </c>
      <c r="C6" s="10"/>
      <c r="D6" s="15" t="s">
        <v>184</v>
      </c>
      <c r="E6" s="15"/>
      <c r="F6" s="12" t="s">
        <v>185</v>
      </c>
      <c r="G6" s="12"/>
      <c r="H6" s="12"/>
      <c r="I6" s="12"/>
    </row>
    <row r="7" spans="1:9">
      <c r="B7" s="10" t="s">
        <v>186</v>
      </c>
      <c r="C7" s="10"/>
      <c r="D7" s="15" t="s">
        <v>187</v>
      </c>
      <c r="E7" s="15"/>
    </row>
    <row r="8" spans="1:9">
      <c r="B8" s="10" t="s">
        <v>188</v>
      </c>
      <c r="C8" s="10"/>
      <c r="D8" s="15" t="s">
        <v>189</v>
      </c>
      <c r="E8" s="15"/>
      <c r="F8" s="12" t="s">
        <v>190</v>
      </c>
      <c r="G8" s="12"/>
      <c r="H8" s="12"/>
      <c r="I8" s="12"/>
    </row>
    <row r="9" spans="1:9">
      <c r="B9" s="10" t="s">
        <v>191</v>
      </c>
      <c r="C9" s="10"/>
      <c r="D9" s="15" t="s">
        <v>192</v>
      </c>
      <c r="E9" s="15"/>
    </row>
    <row r="10" spans="1:9">
      <c r="B10" s="10" t="s">
        <v>193</v>
      </c>
      <c r="C10" s="10"/>
      <c r="D10" s="15" t="s">
        <v>194</v>
      </c>
      <c r="E10" s="15"/>
    </row>
    <row r="11" spans="1:9">
      <c r="B11" s="10" t="s">
        <v>195</v>
      </c>
      <c r="C11" s="10"/>
      <c r="D11" s="15" t="s">
        <v>196</v>
      </c>
      <c r="E11" s="15"/>
    </row>
    <row r="12" spans="1:9">
      <c r="B12" s="10" t="s">
        <v>197</v>
      </c>
      <c r="C12" s="10"/>
      <c r="D12" s="15" t="s">
        <v>198</v>
      </c>
      <c r="E12" s="15"/>
    </row>
    <row r="13" spans="1:9">
      <c r="B13" s="10" t="s">
        <v>199</v>
      </c>
      <c r="C13" s="10"/>
      <c r="D13" s="15" t="s">
        <v>200</v>
      </c>
      <c r="E13" s="15"/>
      <c r="F13" s="12" t="s">
        <v>201</v>
      </c>
      <c r="G13" s="12"/>
      <c r="H13" s="12"/>
      <c r="I13" s="12"/>
    </row>
    <row r="14" spans="1:9">
      <c r="B14" s="10" t="s">
        <v>202</v>
      </c>
      <c r="C14" s="10"/>
      <c r="D14" s="15" t="s">
        <v>203</v>
      </c>
      <c r="E14" s="15"/>
    </row>
    <row r="15" spans="1:9">
      <c r="B15" s="10" t="s">
        <v>204</v>
      </c>
      <c r="C15" s="10"/>
      <c r="D15" s="15" t="s">
        <v>205</v>
      </c>
      <c r="E15" s="15"/>
    </row>
    <row r="16" spans="1:9">
      <c r="B16" s="10" t="s">
        <v>206</v>
      </c>
      <c r="C16" s="10"/>
      <c r="D16" s="15" t="s">
        <v>207</v>
      </c>
      <c r="E16" s="15"/>
    </row>
    <row r="18" spans="1:9" ht="20" customHeight="1">
      <c r="A18" s="7" t="s">
        <v>208</v>
      </c>
      <c r="B18" s="7"/>
      <c r="C18" s="7"/>
      <c r="D18" s="7"/>
      <c r="E18" s="7"/>
      <c r="F18" s="7"/>
      <c r="G18" s="7"/>
      <c r="H18" s="7"/>
      <c r="I18" s="7"/>
    </row>
    <row r="19" spans="1:9">
      <c r="B19" s="10" t="s">
        <v>209</v>
      </c>
      <c r="C19" s="10"/>
      <c r="D19" s="16">
        <v>2026</v>
      </c>
      <c r="E19" s="12" t="s">
        <v>210</v>
      </c>
      <c r="F19" s="12"/>
      <c r="G19" s="12"/>
      <c r="H19" s="12"/>
    </row>
    <row r="20" spans="1:9">
      <c r="B20" s="10" t="s">
        <v>211</v>
      </c>
      <c r="C20" s="10"/>
      <c r="D20" s="17">
        <f>TODAY()</f>
        <v>0</v>
      </c>
      <c r="E20" s="12" t="s">
        <v>212</v>
      </c>
      <c r="F20" s="12"/>
      <c r="G20" s="12"/>
      <c r="H20" s="12"/>
    </row>
    <row r="21" spans="1:9">
      <c r="B21" s="10" t="s">
        <v>213</v>
      </c>
      <c r="C21" s="10"/>
      <c r="D21" s="17">
        <f>DATE(YEAR(TodayDate),MONTH(TodayDate),1)</f>
        <v>0</v>
      </c>
    </row>
    <row r="22" spans="1:9">
      <c r="B22" s="10" t="s">
        <v>214</v>
      </c>
      <c r="C22" s="10"/>
      <c r="D22" s="17">
        <f>DATE(YEAR(TodayDate),MONTH(TodayDate)+1,1)-1</f>
        <v>0</v>
      </c>
    </row>
    <row r="23" spans="1:9">
      <c r="B23" s="10" t="s">
        <v>215</v>
      </c>
      <c r="C23" s="10"/>
      <c r="D23" s="17">
        <f>DATE(PlanYear,1,1)</f>
        <v>0</v>
      </c>
    </row>
    <row r="25" spans="1:9" ht="20" customHeight="1">
      <c r="A25" s="7" t="s">
        <v>216</v>
      </c>
      <c r="B25" s="7"/>
      <c r="C25" s="7"/>
      <c r="D25" s="7"/>
      <c r="E25" s="7"/>
      <c r="F25" s="7"/>
      <c r="G25" s="7"/>
      <c r="H25" s="7"/>
      <c r="I25" s="7"/>
    </row>
    <row r="26" spans="1:9" ht="38" customHeight="1">
      <c r="B26" s="6" t="s">
        <v>217</v>
      </c>
      <c r="C26" s="6"/>
      <c r="D26" s="6"/>
      <c r="E26" s="6"/>
      <c r="F26" s="6"/>
      <c r="G26" s="6"/>
      <c r="H26" s="6"/>
      <c r="I26" s="6"/>
    </row>
    <row r="27" spans="1:9">
      <c r="B27" s="10" t="s">
        <v>218</v>
      </c>
      <c r="C27" s="10"/>
      <c r="D27" s="18">
        <v>25</v>
      </c>
      <c r="E27" s="12" t="s">
        <v>219</v>
      </c>
      <c r="F27" s="12"/>
      <c r="G27" s="12"/>
      <c r="H27" s="12"/>
    </row>
    <row r="28" spans="1:9">
      <c r="B28" s="10" t="s">
        <v>220</v>
      </c>
      <c r="C28" s="10"/>
      <c r="D28" s="18">
        <v>15</v>
      </c>
      <c r="E28" s="12" t="s">
        <v>221</v>
      </c>
      <c r="F28" s="12"/>
      <c r="G28" s="12"/>
      <c r="H28" s="12"/>
    </row>
    <row r="29" spans="1:9">
      <c r="B29" s="10" t="s">
        <v>222</v>
      </c>
      <c r="C29" s="10"/>
      <c r="D29" s="18">
        <v>18</v>
      </c>
    </row>
    <row r="30" spans="1:9">
      <c r="B30" s="10" t="s">
        <v>223</v>
      </c>
      <c r="C30" s="10"/>
      <c r="D30" s="18">
        <v>32</v>
      </c>
      <c r="E30" s="12" t="s">
        <v>224</v>
      </c>
      <c r="F30" s="12"/>
      <c r="G30" s="12"/>
      <c r="H30" s="12"/>
    </row>
    <row r="31" spans="1:9">
      <c r="B31" s="10" t="s">
        <v>225</v>
      </c>
      <c r="C31" s="10"/>
      <c r="D31" s="19">
        <v>0.12</v>
      </c>
      <c r="E31" s="12" t="s">
        <v>226</v>
      </c>
      <c r="F31" s="12"/>
      <c r="G31" s="12"/>
      <c r="H31" s="12"/>
    </row>
    <row r="32" spans="1:9">
      <c r="B32" s="10" t="s">
        <v>227</v>
      </c>
      <c r="C32" s="10"/>
      <c r="D32" s="20">
        <f>ROUND(HourlyRate*(1+PayrollBurden),2)</f>
        <v>0</v>
      </c>
      <c r="E32" s="12" t="s">
        <v>228</v>
      </c>
      <c r="F32" s="12"/>
      <c r="G32" s="12"/>
      <c r="H32" s="12"/>
    </row>
    <row r="33" spans="1:9">
      <c r="B33" s="10" t="s">
        <v>229</v>
      </c>
      <c r="C33" s="10"/>
      <c r="D33" s="21">
        <v>70</v>
      </c>
      <c r="E33" s="12" t="s">
        <v>230</v>
      </c>
      <c r="F33" s="12"/>
      <c r="G33" s="12"/>
      <c r="H33" s="12"/>
    </row>
    <row r="34" spans="1:9">
      <c r="B34" s="10" t="s">
        <v>231</v>
      </c>
      <c r="C34" s="10"/>
      <c r="D34" s="16">
        <v>24</v>
      </c>
      <c r="E34" s="12" t="s">
        <v>232</v>
      </c>
      <c r="F34" s="12"/>
      <c r="G34" s="12"/>
      <c r="H34" s="12"/>
    </row>
    <row r="35" spans="1:9">
      <c r="B35" s="10" t="s">
        <v>233</v>
      </c>
      <c r="C35" s="10"/>
      <c r="D35" s="16">
        <v>10</v>
      </c>
    </row>
    <row r="36" spans="1:9">
      <c r="B36" s="10" t="s">
        <v>234</v>
      </c>
      <c r="C36" s="10"/>
      <c r="D36" s="18">
        <v>0.6</v>
      </c>
      <c r="E36" s="12" t="s">
        <v>235</v>
      </c>
      <c r="F36" s="12"/>
      <c r="G36" s="12"/>
      <c r="H36" s="12"/>
    </row>
    <row r="38" spans="1:9" ht="20" customHeight="1">
      <c r="A38" s="7" t="s">
        <v>236</v>
      </c>
      <c r="B38" s="7"/>
      <c r="C38" s="7"/>
      <c r="D38" s="7"/>
      <c r="E38" s="7"/>
      <c r="F38" s="7"/>
      <c r="G38" s="7"/>
      <c r="H38" s="7"/>
      <c r="I38" s="7"/>
    </row>
    <row r="39" spans="1:9">
      <c r="B39" s="10" t="s">
        <v>237</v>
      </c>
      <c r="C39" s="10"/>
      <c r="D39" s="15" t="s">
        <v>238</v>
      </c>
      <c r="E39" s="12" t="s">
        <v>239</v>
      </c>
      <c r="F39" s="12"/>
      <c r="G39" s="12"/>
      <c r="H39" s="12"/>
    </row>
    <row r="40" spans="1:9">
      <c r="B40" s="10" t="s">
        <v>240</v>
      </c>
      <c r="C40" s="10"/>
      <c r="D40" s="19">
        <v>0.05</v>
      </c>
      <c r="E40" s="12" t="s">
        <v>241</v>
      </c>
      <c r="F40" s="12"/>
      <c r="G40" s="12"/>
      <c r="H40" s="12"/>
    </row>
    <row r="41" spans="1:9">
      <c r="B41" s="10" t="s">
        <v>242</v>
      </c>
      <c r="C41" s="10"/>
      <c r="D41" s="19">
        <v>0.03</v>
      </c>
      <c r="E41" s="12" t="s">
        <v>243</v>
      </c>
      <c r="F41" s="12"/>
      <c r="G41" s="12"/>
      <c r="H41" s="12"/>
    </row>
    <row r="42" spans="1:9">
      <c r="B42" s="10" t="s">
        <v>244</v>
      </c>
      <c r="C42" s="10"/>
      <c r="D42" s="16">
        <v>21</v>
      </c>
    </row>
    <row r="44" spans="1:9" ht="20" customHeight="1">
      <c r="A44" s="7" t="s">
        <v>245</v>
      </c>
      <c r="B44" s="7"/>
      <c r="C44" s="7"/>
      <c r="D44" s="7"/>
      <c r="E44" s="7"/>
      <c r="F44" s="7"/>
      <c r="G44" s="7"/>
      <c r="H44" s="7"/>
      <c r="I44" s="7"/>
    </row>
    <row r="45" spans="1:9">
      <c r="B45" s="10" t="s">
        <v>246</v>
      </c>
      <c r="C45" s="10"/>
      <c r="D45" s="18">
        <v>1.85</v>
      </c>
      <c r="E45" s="12" t="s">
        <v>247</v>
      </c>
      <c r="F45" s="12"/>
      <c r="G45" s="12"/>
      <c r="H45" s="12"/>
    </row>
    <row r="46" spans="1:9">
      <c r="B46" s="10" t="s">
        <v>248</v>
      </c>
      <c r="C46" s="10"/>
      <c r="D46" s="18">
        <v>0</v>
      </c>
      <c r="E46" s="12" t="s">
        <v>249</v>
      </c>
      <c r="F46" s="12"/>
      <c r="G46" s="12"/>
      <c r="H46" s="12"/>
    </row>
    <row r="47" spans="1:9">
      <c r="B47" s="10" t="s">
        <v>250</v>
      </c>
      <c r="C47" s="10"/>
      <c r="D47" s="18">
        <v>50</v>
      </c>
      <c r="E47" s="12" t="s">
        <v>251</v>
      </c>
      <c r="F47" s="12"/>
      <c r="G47" s="12"/>
      <c r="H47" s="12"/>
    </row>
    <row r="49" spans="1:9" ht="20" customHeight="1">
      <c r="A49" s="7" t="s">
        <v>252</v>
      </c>
      <c r="B49" s="7"/>
      <c r="C49" s="7"/>
      <c r="D49" s="7"/>
      <c r="E49" s="7"/>
      <c r="F49" s="7"/>
      <c r="G49" s="7"/>
      <c r="H49" s="7"/>
      <c r="I49" s="7"/>
    </row>
    <row r="50" spans="1:9" ht="30" customHeight="1">
      <c r="B50" s="6" t="s">
        <v>253</v>
      </c>
      <c r="C50" s="6"/>
      <c r="D50" s="6"/>
      <c r="E50" s="6"/>
      <c r="F50" s="6"/>
      <c r="G50" s="6"/>
      <c r="H50" s="6"/>
      <c r="I50" s="6"/>
    </row>
    <row r="51" spans="1:9">
      <c r="B51" s="10" t="s">
        <v>254</v>
      </c>
      <c r="C51" s="10"/>
      <c r="D51" s="15" t="s">
        <v>255</v>
      </c>
      <c r="E51" s="12" t="s">
        <v>256</v>
      </c>
      <c r="F51" s="12"/>
      <c r="G51" s="12"/>
      <c r="H51" s="12"/>
    </row>
    <row r="52" spans="1:9">
      <c r="B52" s="10" t="s">
        <v>257</v>
      </c>
      <c r="C52" s="10"/>
      <c r="D52" s="20">
        <f>ROUND(SUMPRODUCT(IFERROR(Overhead!$L$5:$L$44*1,0)),2)</f>
        <v>0</v>
      </c>
    </row>
    <row r="53" spans="1:9">
      <c r="B53" s="10" t="s">
        <v>258</v>
      </c>
      <c r="C53" s="10"/>
      <c r="D53" s="20">
        <f>IF(ProductiveHours&lt;=0,0,ROUND(OverheadMonthly/ProductiveHours,2))</f>
        <v>0</v>
      </c>
    </row>
    <row r="54" spans="1:9">
      <c r="B54" s="10" t="s">
        <v>259</v>
      </c>
      <c r="C54" s="10"/>
      <c r="D54" s="20">
        <f>IF(UnitsPerMonth&lt;=0,0,ROUND(OverheadMonthly/UnitsPerMonth,2))</f>
        <v>0</v>
      </c>
    </row>
    <row r="56" spans="1:9" ht="20" customHeight="1">
      <c r="A56" s="7" t="s">
        <v>260</v>
      </c>
      <c r="B56" s="7"/>
      <c r="C56" s="7"/>
      <c r="D56" s="7"/>
      <c r="E56" s="7"/>
      <c r="F56" s="7"/>
      <c r="G56" s="7"/>
      <c r="H56" s="7"/>
      <c r="I56" s="7"/>
    </row>
    <row r="57" spans="1:9" ht="52" customHeight="1">
      <c r="B57" s="6" t="s">
        <v>261</v>
      </c>
      <c r="C57" s="6"/>
      <c r="D57" s="6"/>
      <c r="E57" s="6"/>
      <c r="F57" s="6"/>
      <c r="G57" s="6"/>
      <c r="H57" s="6"/>
      <c r="I57" s="6"/>
    </row>
    <row r="58" spans="1:9">
      <c r="B58" s="10" t="s">
        <v>262</v>
      </c>
      <c r="C58" s="10"/>
      <c r="D58" s="18">
        <v>0.2</v>
      </c>
      <c r="E58" s="12" t="s">
        <v>263</v>
      </c>
      <c r="F58" s="12"/>
      <c r="G58" s="12"/>
      <c r="H58" s="12"/>
    </row>
    <row r="59" spans="1:9">
      <c r="B59" s="10" t="s">
        <v>264</v>
      </c>
      <c r="C59" s="10"/>
      <c r="D59" s="19">
        <v>0.065</v>
      </c>
      <c r="E59" s="12" t="s">
        <v>265</v>
      </c>
      <c r="F59" s="12"/>
      <c r="G59" s="12"/>
      <c r="H59" s="12"/>
    </row>
    <row r="60" spans="1:9">
      <c r="B60" s="10" t="s">
        <v>266</v>
      </c>
      <c r="C60" s="10"/>
      <c r="D60" s="19">
        <v>0.03</v>
      </c>
    </row>
    <row r="61" spans="1:9">
      <c r="B61" s="10" t="s">
        <v>267</v>
      </c>
      <c r="C61" s="10"/>
      <c r="D61" s="18">
        <v>0.25</v>
      </c>
      <c r="E61" s="12" t="s">
        <v>268</v>
      </c>
      <c r="F61" s="12"/>
      <c r="G61" s="12"/>
      <c r="H61" s="12"/>
    </row>
    <row r="62" spans="1:9">
      <c r="B62" s="10" t="s">
        <v>269</v>
      </c>
      <c r="C62" s="10"/>
      <c r="D62" s="19">
        <v>0.15</v>
      </c>
      <c r="E62" s="12" t="s">
        <v>270</v>
      </c>
      <c r="F62" s="12"/>
      <c r="G62" s="12"/>
      <c r="H62" s="12"/>
    </row>
    <row r="63" spans="1:9">
      <c r="B63" s="10" t="s">
        <v>271</v>
      </c>
      <c r="C63" s="10"/>
      <c r="D63" s="19">
        <v>0.2</v>
      </c>
      <c r="E63" s="12" t="s">
        <v>272</v>
      </c>
      <c r="F63" s="12"/>
      <c r="G63" s="12"/>
      <c r="H63" s="12"/>
    </row>
    <row r="64" spans="1:9">
      <c r="B64" s="10" t="s">
        <v>273</v>
      </c>
      <c r="C64" s="10"/>
      <c r="D64" s="19">
        <v>0.004</v>
      </c>
      <c r="E64" s="12" t="s">
        <v>274</v>
      </c>
      <c r="F64" s="12"/>
      <c r="G64" s="12"/>
      <c r="H64" s="12"/>
    </row>
    <row r="65" spans="1:9">
      <c r="B65" s="10" t="s">
        <v>275</v>
      </c>
      <c r="C65" s="10"/>
      <c r="D65" s="19">
        <v>0.025</v>
      </c>
      <c r="E65" s="12" t="s">
        <v>276</v>
      </c>
      <c r="F65" s="12"/>
      <c r="G65" s="12"/>
      <c r="H65" s="12"/>
    </row>
    <row r="66" spans="1:9">
      <c r="B66" s="10" t="s">
        <v>277</v>
      </c>
      <c r="C66" s="10"/>
      <c r="D66" s="15" t="s">
        <v>278</v>
      </c>
      <c r="E66" s="12" t="s">
        <v>279</v>
      </c>
      <c r="F66" s="12"/>
      <c r="G66" s="12"/>
      <c r="H66" s="12"/>
    </row>
    <row r="67" spans="1:9">
      <c r="B67" s="10" t="s">
        <v>280</v>
      </c>
      <c r="C67" s="10"/>
      <c r="D67" s="15" t="s">
        <v>281</v>
      </c>
    </row>
    <row r="68" spans="1:9">
      <c r="B68" s="10" t="s">
        <v>282</v>
      </c>
      <c r="C68" s="10"/>
      <c r="D68" s="22">
        <v>46317</v>
      </c>
      <c r="E68" s="12" t="s">
        <v>283</v>
      </c>
      <c r="F68" s="12"/>
      <c r="G68" s="12"/>
      <c r="H68" s="12"/>
    </row>
    <row r="69" spans="1:9">
      <c r="B69" s="10" t="s">
        <v>284</v>
      </c>
      <c r="C69" s="10"/>
      <c r="D69" s="16">
        <v>180</v>
      </c>
    </row>
    <row r="70" spans="1:9">
      <c r="B70" s="10" t="s">
        <v>285</v>
      </c>
      <c r="C70" s="10"/>
      <c r="D70" s="13">
        <f>IF(FeesReviewed="","Never reviewed",IF(TodayDate-FeesReviewed&gt;FeeReviewDays,"Check the fee schedule","OK"))</f>
        <v>0</v>
      </c>
    </row>
    <row r="71" spans="1:9">
      <c r="B71" s="10" t="s">
        <v>286</v>
      </c>
      <c r="C71" s="10"/>
      <c r="D71" s="15" t="s">
        <v>287</v>
      </c>
      <c r="E71" s="12" t="s">
        <v>288</v>
      </c>
      <c r="F71" s="12"/>
      <c r="G71" s="12"/>
      <c r="H71" s="12"/>
    </row>
    <row r="73" spans="1:9" ht="20" customHeight="1">
      <c r="A73" s="7" t="s">
        <v>289</v>
      </c>
      <c r="B73" s="7"/>
      <c r="C73" s="7"/>
      <c r="D73" s="7"/>
      <c r="E73" s="7"/>
      <c r="F73" s="7"/>
      <c r="G73" s="7"/>
      <c r="H73" s="7"/>
      <c r="I73" s="7"/>
    </row>
    <row r="74" spans="1:9">
      <c r="B74" s="10" t="s">
        <v>290</v>
      </c>
      <c r="C74" s="10"/>
      <c r="D74" s="19">
        <v>0.3</v>
      </c>
      <c r="E74" s="12" t="s">
        <v>291</v>
      </c>
      <c r="F74" s="12"/>
      <c r="G74" s="12"/>
      <c r="H74" s="12"/>
    </row>
    <row r="75" spans="1:9">
      <c r="B75" s="10" t="s">
        <v>292</v>
      </c>
      <c r="C75" s="10"/>
      <c r="D75" s="19">
        <v>0.2</v>
      </c>
      <c r="E75" s="12" t="s">
        <v>293</v>
      </c>
      <c r="F75" s="12"/>
      <c r="G75" s="12"/>
      <c r="H75" s="12"/>
    </row>
    <row r="76" spans="1:9">
      <c r="B76" s="10" t="s">
        <v>294</v>
      </c>
      <c r="C76" s="10"/>
      <c r="D76" s="19">
        <v>1.2</v>
      </c>
      <c r="E76" s="12" t="s">
        <v>295</v>
      </c>
      <c r="F76" s="12"/>
      <c r="G76" s="12"/>
      <c r="H76" s="12"/>
    </row>
    <row r="77" spans="1:9">
      <c r="B77" s="10" t="s">
        <v>296</v>
      </c>
      <c r="C77" s="10"/>
      <c r="D77" s="19">
        <v>0.4</v>
      </c>
      <c r="E77" s="12" t="s">
        <v>297</v>
      </c>
      <c r="F77" s="12"/>
      <c r="G77" s="12"/>
      <c r="H77" s="12"/>
    </row>
    <row r="78" spans="1:9">
      <c r="B78" s="10" t="s">
        <v>298</v>
      </c>
      <c r="C78" s="10"/>
      <c r="D78" s="19">
        <v>0.15</v>
      </c>
      <c r="E78" s="12" t="s">
        <v>299</v>
      </c>
      <c r="F78" s="12"/>
      <c r="G78" s="12"/>
      <c r="H78" s="12"/>
    </row>
    <row r="79" spans="1:9">
      <c r="B79" s="10" t="s">
        <v>300</v>
      </c>
      <c r="C79" s="10"/>
      <c r="D79" s="15" t="s">
        <v>301</v>
      </c>
      <c r="E79" s="12" t="s">
        <v>302</v>
      </c>
      <c r="F79" s="12"/>
      <c r="G79" s="12"/>
      <c r="H79" s="12"/>
    </row>
    <row r="80" spans="1:9">
      <c r="B80" s="10" t="s">
        <v>303</v>
      </c>
      <c r="C80" s="10"/>
      <c r="D80" s="19">
        <v>0.1</v>
      </c>
      <c r="E80" s="12" t="s">
        <v>304</v>
      </c>
      <c r="F80" s="12"/>
      <c r="G80" s="12"/>
      <c r="H80" s="12"/>
    </row>
    <row r="81" spans="1:9">
      <c r="B81" s="10" t="s">
        <v>305</v>
      </c>
      <c r="C81" s="10"/>
      <c r="D81" s="19">
        <v>0</v>
      </c>
      <c r="E81" s="12" t="s">
        <v>306</v>
      </c>
      <c r="F81" s="12"/>
      <c r="G81" s="12"/>
      <c r="H81" s="12"/>
    </row>
    <row r="82" spans="1:9">
      <c r="B82" s="10" t="s">
        <v>307</v>
      </c>
      <c r="C82" s="10"/>
      <c r="D82" s="16">
        <v>6</v>
      </c>
    </row>
    <row r="83" spans="1:9">
      <c r="B83" s="10" t="s">
        <v>308</v>
      </c>
      <c r="C83" s="10"/>
      <c r="D83" s="18">
        <v>150</v>
      </c>
    </row>
    <row r="84" spans="1:9">
      <c r="B84" s="10" t="s">
        <v>309</v>
      </c>
      <c r="C84" s="10"/>
      <c r="D84" s="16">
        <v>180</v>
      </c>
      <c r="E84" s="12" t="s">
        <v>310</v>
      </c>
      <c r="F84" s="12"/>
      <c r="G84" s="12"/>
      <c r="H84" s="12"/>
    </row>
    <row r="86" spans="1:9" ht="20" customHeight="1">
      <c r="A86" s="7" t="s">
        <v>311</v>
      </c>
      <c r="B86" s="7"/>
      <c r="C86" s="7"/>
      <c r="D86" s="7"/>
      <c r="E86" s="7"/>
      <c r="F86" s="7"/>
      <c r="G86" s="7"/>
      <c r="H86" s="7"/>
      <c r="I86" s="7"/>
    </row>
    <row r="87" spans="1:9">
      <c r="B87" s="10" t="s">
        <v>312</v>
      </c>
      <c r="C87" s="10"/>
      <c r="D87" s="18">
        <v>2400</v>
      </c>
    </row>
    <row r="88" spans="1:9">
      <c r="B88" s="10" t="s">
        <v>313</v>
      </c>
      <c r="C88" s="10"/>
      <c r="D88" s="18">
        <v>28800</v>
      </c>
    </row>
    <row r="89" spans="1:9">
      <c r="B89" s="10" t="s">
        <v>314</v>
      </c>
      <c r="C89" s="10"/>
      <c r="D89" s="18">
        <v>900</v>
      </c>
    </row>
    <row r="90" spans="1:9">
      <c r="B90" s="10" t="s">
        <v>315</v>
      </c>
      <c r="C90" s="10"/>
      <c r="D90" s="18">
        <v>25</v>
      </c>
      <c r="E90" s="12" t="s">
        <v>316</v>
      </c>
      <c r="F90" s="12"/>
      <c r="G90" s="12"/>
      <c r="H90" s="12"/>
    </row>
    <row r="92" spans="1:9" ht="20" customHeight="1">
      <c r="A92" s="7" t="s">
        <v>317</v>
      </c>
      <c r="B92" s="7"/>
      <c r="C92" s="7"/>
      <c r="D92" s="7"/>
      <c r="E92" s="7"/>
      <c r="F92" s="7"/>
      <c r="G92" s="7"/>
      <c r="H92" s="7"/>
      <c r="I92" s="7"/>
    </row>
    <row r="93" spans="1:9" ht="24" customHeight="1">
      <c r="B93" s="6" t="s">
        <v>318</v>
      </c>
      <c r="C93" s="6"/>
      <c r="D93" s="6"/>
      <c r="E93" s="6"/>
      <c r="F93" s="6"/>
      <c r="G93" s="6"/>
      <c r="H93" s="6"/>
      <c r="I93" s="6"/>
    </row>
    <row r="94" spans="1:9">
      <c r="B94" s="10" t="s">
        <v>319</v>
      </c>
      <c r="C94" s="10"/>
      <c r="D94" s="15" t="s">
        <v>320</v>
      </c>
    </row>
    <row r="95" spans="1:9">
      <c r="B95" s="10" t="s">
        <v>321</v>
      </c>
      <c r="C95" s="10"/>
      <c r="D95" s="15" t="s">
        <v>322</v>
      </c>
    </row>
    <row r="96" spans="1:9">
      <c r="B96" s="10" t="s">
        <v>323</v>
      </c>
      <c r="C96" s="10"/>
      <c r="D96" s="15" t="s">
        <v>324</v>
      </c>
    </row>
    <row r="97" spans="1:9">
      <c r="B97" s="10" t="s">
        <v>325</v>
      </c>
      <c r="C97" s="10"/>
      <c r="D97" s="15" t="s">
        <v>326</v>
      </c>
    </row>
    <row r="98" spans="1:9">
      <c r="B98" s="10" t="s">
        <v>327</v>
      </c>
      <c r="C98" s="10"/>
      <c r="D98" s="15" t="s">
        <v>328</v>
      </c>
    </row>
    <row r="99" spans="1:9">
      <c r="B99" s="10" t="s">
        <v>329</v>
      </c>
      <c r="C99" s="10"/>
      <c r="D99" s="15" t="s">
        <v>330</v>
      </c>
    </row>
    <row r="100" spans="1:9">
      <c r="B100" s="10" t="s">
        <v>331</v>
      </c>
      <c r="C100" s="10"/>
      <c r="D100" s="15" t="s">
        <v>332</v>
      </c>
    </row>
    <row r="101" spans="1:9">
      <c r="B101" s="10" t="s">
        <v>333</v>
      </c>
      <c r="C101" s="10"/>
      <c r="D101" s="15" t="s">
        <v>334</v>
      </c>
    </row>
    <row r="102" spans="1:9">
      <c r="B102" s="10" t="s">
        <v>335</v>
      </c>
      <c r="C102" s="10"/>
      <c r="D102" s="15" t="s">
        <v>336</v>
      </c>
    </row>
    <row r="103" spans="1:9">
      <c r="B103" s="10" t="s">
        <v>337</v>
      </c>
      <c r="C103" s="10"/>
      <c r="D103" s="15" t="s">
        <v>338</v>
      </c>
    </row>
    <row r="104" spans="1:9">
      <c r="B104" s="10" t="s">
        <v>339</v>
      </c>
      <c r="C104" s="10"/>
      <c r="D104" s="15" t="s">
        <v>340</v>
      </c>
    </row>
    <row r="105" spans="1:9">
      <c r="B105" s="10" t="s">
        <v>341</v>
      </c>
      <c r="C105" s="10"/>
      <c r="D105" s="15" t="s">
        <v>342</v>
      </c>
    </row>
    <row r="106" spans="1:9">
      <c r="B106" s="10" t="s">
        <v>343</v>
      </c>
      <c r="C106" s="10"/>
      <c r="D106" s="15" t="s">
        <v>344</v>
      </c>
    </row>
    <row r="107" spans="1:9">
      <c r="B107" s="10" t="s">
        <v>345</v>
      </c>
      <c r="C107" s="10"/>
      <c r="D107" s="15" t="s">
        <v>346</v>
      </c>
    </row>
    <row r="108" spans="1:9">
      <c r="B108" s="10" t="s">
        <v>347</v>
      </c>
      <c r="C108" s="10"/>
      <c r="D108" s="15" t="s">
        <v>348</v>
      </c>
    </row>
    <row r="109" spans="1:9">
      <c r="B109" s="10" t="s">
        <v>349</v>
      </c>
      <c r="C109" s="10"/>
      <c r="D109" s="15" t="s">
        <v>350</v>
      </c>
    </row>
    <row r="110" spans="1:9">
      <c r="B110" s="10" t="s">
        <v>351</v>
      </c>
      <c r="C110" s="10"/>
      <c r="D110" s="15" t="s">
        <v>352</v>
      </c>
    </row>
    <row r="112" spans="1:9" ht="20" customHeight="1">
      <c r="A112" s="7" t="s">
        <v>353</v>
      </c>
      <c r="B112" s="7"/>
      <c r="C112" s="7"/>
      <c r="D112" s="7"/>
      <c r="E112" s="7"/>
      <c r="F112" s="7"/>
      <c r="G112" s="7"/>
      <c r="H112" s="7"/>
      <c r="I112" s="7"/>
    </row>
    <row r="113" spans="2:9">
      <c r="B113" s="10" t="s">
        <v>354</v>
      </c>
      <c r="C113" s="10"/>
      <c r="D113" s="13" t="s">
        <v>0</v>
      </c>
      <c r="E113" s="13"/>
      <c r="F113" s="13"/>
    </row>
    <row r="114" spans="2:9">
      <c r="B114" s="10" t="s">
        <v>355</v>
      </c>
      <c r="C114" s="10"/>
      <c r="D114" s="13" t="s">
        <v>356</v>
      </c>
    </row>
    <row r="115" spans="2:9">
      <c r="B115" s="10" t="s">
        <v>357</v>
      </c>
      <c r="C115" s="10"/>
      <c r="D115" s="13" t="s">
        <v>358</v>
      </c>
    </row>
    <row r="116" spans="2:9">
      <c r="B116" s="10" t="s">
        <v>359</v>
      </c>
      <c r="C116" s="10"/>
      <c r="D116" s="13" t="s">
        <v>360</v>
      </c>
      <c r="E116" s="12" t="s">
        <v>361</v>
      </c>
      <c r="F116" s="12"/>
      <c r="G116" s="12"/>
      <c r="H116" s="12"/>
    </row>
    <row r="117" spans="2:9">
      <c r="B117" s="10" t="s">
        <v>362</v>
      </c>
      <c r="C117" s="10"/>
      <c r="D117" s="13" t="s">
        <v>363</v>
      </c>
    </row>
    <row r="119" spans="2:9" ht="38" customHeight="1">
      <c r="B119" s="6" t="s">
        <v>364</v>
      </c>
      <c r="C119" s="6"/>
      <c r="D119" s="6"/>
      <c r="E119" s="6"/>
      <c r="F119" s="6"/>
      <c r="G119" s="6"/>
      <c r="H119" s="6"/>
      <c r="I119" s="6"/>
    </row>
  </sheetData>
  <sheetProtection password="EC7C" sheet="1" objects="1" scenarios="1" formatCells="0" formatColumns="0" formatRows="0" insertRows="0" insertHyperlinks="0" deleteRows="0" autoFilter="0"/>
  <mergeCells count="164">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F8:I8"/>
    <mergeCell ref="B9:C9"/>
    <mergeCell ref="D9:E9"/>
    <mergeCell ref="B10:C10"/>
    <mergeCell ref="D10:E10"/>
    <mergeCell ref="B11:C11"/>
    <mergeCell ref="D11:E11"/>
    <mergeCell ref="B12:C12"/>
    <mergeCell ref="D12:E12"/>
    <mergeCell ref="B13:C13"/>
    <mergeCell ref="D13:E13"/>
    <mergeCell ref="F13:I13"/>
    <mergeCell ref="B14:C14"/>
    <mergeCell ref="D14:E14"/>
    <mergeCell ref="B15:C15"/>
    <mergeCell ref="D15:E15"/>
    <mergeCell ref="B16:C16"/>
    <mergeCell ref="D16:E16"/>
    <mergeCell ref="A18:I18"/>
    <mergeCell ref="B19:C19"/>
    <mergeCell ref="E19:H19"/>
    <mergeCell ref="B20:C20"/>
    <mergeCell ref="E20:H20"/>
    <mergeCell ref="B21:C21"/>
    <mergeCell ref="B22:C22"/>
    <mergeCell ref="B23:C23"/>
    <mergeCell ref="A25:I25"/>
    <mergeCell ref="B26:I26"/>
    <mergeCell ref="B27:C27"/>
    <mergeCell ref="E27:H27"/>
    <mergeCell ref="B28:C28"/>
    <mergeCell ref="E28:H28"/>
    <mergeCell ref="B29:C29"/>
    <mergeCell ref="B30:C30"/>
    <mergeCell ref="E30:H30"/>
    <mergeCell ref="B31:C31"/>
    <mergeCell ref="E31:H31"/>
    <mergeCell ref="B32:C32"/>
    <mergeCell ref="E32:H32"/>
    <mergeCell ref="B33:C33"/>
    <mergeCell ref="E33:H33"/>
    <mergeCell ref="B34:C34"/>
    <mergeCell ref="E34:H34"/>
    <mergeCell ref="B35:C35"/>
    <mergeCell ref="B36:C36"/>
    <mergeCell ref="E36:H36"/>
    <mergeCell ref="A38:I38"/>
    <mergeCell ref="B39:C39"/>
    <mergeCell ref="E39:H39"/>
    <mergeCell ref="B40:C40"/>
    <mergeCell ref="E40:H40"/>
    <mergeCell ref="B41:C41"/>
    <mergeCell ref="E41:H41"/>
    <mergeCell ref="B42:C42"/>
    <mergeCell ref="A44:I44"/>
    <mergeCell ref="B45:C45"/>
    <mergeCell ref="E45:H45"/>
    <mergeCell ref="B46:C46"/>
    <mergeCell ref="E46:H46"/>
    <mergeCell ref="B47:C47"/>
    <mergeCell ref="E47:H47"/>
    <mergeCell ref="A49:I49"/>
    <mergeCell ref="B50:I50"/>
    <mergeCell ref="B51:C51"/>
    <mergeCell ref="E51:H51"/>
    <mergeCell ref="B52:C52"/>
    <mergeCell ref="B53:C53"/>
    <mergeCell ref="B54:C54"/>
    <mergeCell ref="A56:I56"/>
    <mergeCell ref="B57:I57"/>
    <mergeCell ref="B58:C58"/>
    <mergeCell ref="E58:H58"/>
    <mergeCell ref="B59:C59"/>
    <mergeCell ref="E59:H59"/>
    <mergeCell ref="B60:C60"/>
    <mergeCell ref="B61:C61"/>
    <mergeCell ref="E61:H61"/>
    <mergeCell ref="B62:C62"/>
    <mergeCell ref="E62:H62"/>
    <mergeCell ref="B63:C63"/>
    <mergeCell ref="E63:H63"/>
    <mergeCell ref="B64:C64"/>
    <mergeCell ref="E64:H64"/>
    <mergeCell ref="B65:C65"/>
    <mergeCell ref="E65:H65"/>
    <mergeCell ref="B66:C66"/>
    <mergeCell ref="E66:H66"/>
    <mergeCell ref="B67:C67"/>
    <mergeCell ref="B68:C68"/>
    <mergeCell ref="E68:H68"/>
    <mergeCell ref="B69:C69"/>
    <mergeCell ref="B70:C70"/>
    <mergeCell ref="B71:C71"/>
    <mergeCell ref="E71:H71"/>
    <mergeCell ref="A73:I73"/>
    <mergeCell ref="B74:C74"/>
    <mergeCell ref="E74:H74"/>
    <mergeCell ref="B75:C75"/>
    <mergeCell ref="E75:H75"/>
    <mergeCell ref="B76:C76"/>
    <mergeCell ref="E76:H76"/>
    <mergeCell ref="B77:C77"/>
    <mergeCell ref="E77:H77"/>
    <mergeCell ref="B78:C78"/>
    <mergeCell ref="E78:H78"/>
    <mergeCell ref="B79:C79"/>
    <mergeCell ref="E79:H79"/>
    <mergeCell ref="B80:C80"/>
    <mergeCell ref="E80:H80"/>
    <mergeCell ref="B81:C81"/>
    <mergeCell ref="E81:H81"/>
    <mergeCell ref="B82:C82"/>
    <mergeCell ref="B83:C83"/>
    <mergeCell ref="B84:C84"/>
    <mergeCell ref="E84:H84"/>
    <mergeCell ref="A86:I86"/>
    <mergeCell ref="B87:C87"/>
    <mergeCell ref="B88:C88"/>
    <mergeCell ref="B89:C89"/>
    <mergeCell ref="B90:C90"/>
    <mergeCell ref="E90:H90"/>
    <mergeCell ref="A92:I92"/>
    <mergeCell ref="B93:I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A112:I112"/>
    <mergeCell ref="B113:C113"/>
    <mergeCell ref="D113:F113"/>
    <mergeCell ref="B114:C114"/>
    <mergeCell ref="B115:C115"/>
    <mergeCell ref="B116:C116"/>
    <mergeCell ref="E116:H116"/>
    <mergeCell ref="B117:C117"/>
    <mergeCell ref="B119:I119"/>
  </mergeCells>
  <dataValidations count="45">
    <dataValidation type="whole" allowBlank="1" showInputMessage="1" showErrorMessage="1" errorTitle="Check the value" error="Enter a number between 2000 and 2100." sqref="D19">
      <formula1>2000</formula1>
      <formula2>2100</formula2>
    </dataValidation>
    <dataValidation type="decimal" allowBlank="1" showInputMessage="1" showErrorMessage="1" errorTitle="Check the value" error="Enter a number between 0 and 1000." sqref="D27">
      <formula1>0</formula1>
      <formula2>1000</formula2>
    </dataValidation>
    <dataValidation type="decimal" allowBlank="1" showInputMessage="1" showErrorMessage="1" errorTitle="Check the value" error="Enter a number between 0 and 1000." sqref="D28">
      <formula1>0</formula1>
      <formula2>1000</formula2>
    </dataValidation>
    <dataValidation type="decimal" allowBlank="1" showInputMessage="1" showErrorMessage="1" errorTitle="Check the value" error="Enter a number between 0 and 1000." sqref="D29">
      <formula1>0</formula1>
      <formula2>1000</formula2>
    </dataValidation>
    <dataValidation type="decimal" allowBlank="1" showInputMessage="1" showErrorMessage="1" errorTitle="Check the value" error="Enter a number between 0 and 1000." sqref="D30">
      <formula1>0</formula1>
      <formula2>1000</formula2>
    </dataValidation>
    <dataValidation type="decimal" allowBlank="1" showInputMessage="1" showErrorMessage="1" errorTitle="Check the value" error="Enter a number between 0 and 1." sqref="D31">
      <formula1>0</formula1>
      <formula2>1</formula2>
    </dataValidation>
    <dataValidation type="decimal" allowBlank="1" showInputMessage="1" showErrorMessage="1" errorTitle="Check the value" error="Enter a number between 1 and 744." sqref="D33">
      <formula1>1</formula1>
      <formula2>744</formula2>
    </dataValidation>
    <dataValidation type="whole" allowBlank="1" showInputMessage="1" showErrorMessage="1" errorTitle="Check the value" error="Enter a number between 1 and 100000." sqref="D34">
      <formula1>1</formula1>
      <formula2>100000</formula2>
    </dataValidation>
    <dataValidation type="whole" allowBlank="1" showInputMessage="1" showErrorMessage="1" errorTitle="Check the value" error="Enter a number between 1 and 10000." sqref="D35">
      <formula1>1</formula1>
      <formula2>10000</formula2>
    </dataValidation>
    <dataValidation type="decimal" allowBlank="1" showInputMessage="1" showErrorMessage="1" errorTitle="Check the value" error="Enter a number between 0 and 1000." sqref="D36">
      <formula1>0</formula1>
      <formula2>1000</formula2>
    </dataValidation>
    <dataValidation type="list" allowBlank="1" showInputMessage="1" showErrorMessage="1" sqref="D39">
      <formula1>"Metric,Imperial"</formula1>
    </dataValidation>
    <dataValidation type="decimal" allowBlank="1" showInputMessage="1" showErrorMessage="1" errorTitle="Check the value" error="Enter a number between 0 and 1." sqref="D40">
      <formula1>0</formula1>
      <formula2>1</formula2>
    </dataValidation>
    <dataValidation type="decimal" allowBlank="1" showInputMessage="1" showErrorMessage="1" errorTitle="Check the value" error="Enter a number between 0 and 1." sqref="D41">
      <formula1>0</formula1>
      <formula2>1</formula2>
    </dataValidation>
    <dataValidation type="whole" allowBlank="1" showInputMessage="1" showErrorMessage="1" errorTitle="Check the value" error="Enter a number between 0 and 365." sqref="D42">
      <formula1>0</formula1>
      <formula2>365</formula2>
    </dataValidation>
    <dataValidation type="decimal" allowBlank="1" showInputMessage="1" showErrorMessage="1" errorTitle="Check the value" error="Enter a number between 0 and 1000." sqref="D45">
      <formula1>0</formula1>
      <formula2>1000</formula2>
    </dataValidation>
    <dataValidation type="decimal" allowBlank="1" showInputMessage="1" showErrorMessage="1" errorTitle="Check the value" error="Enter a number between 0 and 1000." sqref="D46">
      <formula1>0</formula1>
      <formula2>1000</formula2>
    </dataValidation>
    <dataValidation type="decimal" allowBlank="1" showInputMessage="1" showErrorMessage="1" errorTitle="Check the value" error="Enter a number between 0 and 100000." sqref="D47">
      <formula1>0</formula1>
      <formula2>100000</formula2>
    </dataValidation>
    <dataValidation type="list" allowBlank="1" showInputMessage="1" showErrorMessage="1" sqref="D51">
      <formula1>AllocationList</formula1>
    </dataValidation>
    <dataValidation type="decimal" allowBlank="1" showInputMessage="1" showErrorMessage="1" errorTitle="Check the value" error="Enter a number between 0 and 100." sqref="D58">
      <formula1>0</formula1>
      <formula2>100</formula2>
    </dataValidation>
    <dataValidation type="decimal" allowBlank="1" showInputMessage="1" showErrorMessage="1" errorTitle="Check the value" error="Enter a number between 0 and 1." sqref="D59">
      <formula1>0</formula1>
      <formula2>1</formula2>
    </dataValidation>
    <dataValidation type="decimal" allowBlank="1" showInputMessage="1" showErrorMessage="1" errorTitle="Check the value" error="Enter a number between 0 and 1." sqref="D60">
      <formula1>0</formula1>
      <formula2>1</formula2>
    </dataValidation>
    <dataValidation type="decimal" allowBlank="1" showInputMessage="1" showErrorMessage="1" errorTitle="Check the value" error="Enter a number between 0 and 100." sqref="D61">
      <formula1>0</formula1>
      <formula2>100</formula2>
    </dataValidation>
    <dataValidation type="decimal" allowBlank="1" showInputMessage="1" showErrorMessage="1" errorTitle="Check the value" error="Enter a number between 0 and 1." sqref="D62">
      <formula1>0</formula1>
      <formula2>1</formula2>
    </dataValidation>
    <dataValidation type="decimal" allowBlank="1" showInputMessage="1" showErrorMessage="1" errorTitle="Check the value" error="Enter a number between 0 and 1." sqref="D63">
      <formula1>0</formula1>
      <formula2>1</formula2>
    </dataValidation>
    <dataValidation type="decimal" allowBlank="1" showInputMessage="1" showErrorMessage="1" errorTitle="Check the value" error="Enter a number between 0 and 1." sqref="D64">
      <formula1>0</formula1>
      <formula2>1</formula2>
    </dataValidation>
    <dataValidation type="decimal" allowBlank="1" showInputMessage="1" showErrorMessage="1" errorTitle="Check the value" error="Enter a number between 0 and 1." sqref="D65">
      <formula1>0</formula1>
      <formula2>1</formula2>
    </dataValidation>
    <dataValidation type="list" allowBlank="1" showInputMessage="1" showErrorMessage="1" sqref="D66">
      <formula1>YesNoList</formula1>
    </dataValidation>
    <dataValidation type="list" allowBlank="1" showInputMessage="1" showErrorMessage="1" sqref="D67">
      <formula1>YesNoList</formula1>
    </dataValidation>
    <dataValidation type="whole" allowBlank="1" showInputMessage="1" showErrorMessage="1" errorTitle="Check the value" error="Enter a number between 0 and 3650." sqref="D69">
      <formula1>0</formula1>
      <formula2>3650</formula2>
    </dataValidation>
    <dataValidation type="list" allowBlank="1" showInputMessage="1" showErrorMessage="1" sqref="D71">
      <formula1>ChannelList</formula1>
    </dataValidation>
    <dataValidation type="decimal" allowBlank="1" showInputMessage="1" showErrorMessage="1" errorTitle="Check the value" error="Enter a number between 0 and 0.95." sqref="D74">
      <formula1>0</formula1>
      <formula2>0.95</formula2>
    </dataValidation>
    <dataValidation type="decimal" allowBlank="1" showInputMessage="1" showErrorMessage="1" errorTitle="Check the value" error="Enter a number between 0 and 0.95." sqref="D75">
      <formula1>0</formula1>
      <formula2>0.95</formula2>
    </dataValidation>
    <dataValidation type="decimal" allowBlank="1" showInputMessage="1" showErrorMessage="1" errorTitle="Check the value" error="Enter a number between 0 and 20." sqref="D76">
      <formula1>0</formula1>
      <formula2>20</formula2>
    </dataValidation>
    <dataValidation type="decimal" allowBlank="1" showInputMessage="1" showErrorMessage="1" errorTitle="Check the value" error="Enter a number between 0 and 0.9." sqref="D77">
      <formula1>0</formula1>
      <formula2>0.9</formula2>
    </dataValidation>
    <dataValidation type="decimal" allowBlank="1" showInputMessage="1" showErrorMessage="1" errorTitle="Check the value" error="Enter a number between 0 and 0.95." sqref="D78">
      <formula1>0</formula1>
      <formula2>0.95</formula2>
    </dataValidation>
    <dataValidation type="list" allowBlank="1" showInputMessage="1" showErrorMessage="1" sqref="D79">
      <formula1>RoundingList</formula1>
    </dataValidation>
    <dataValidation type="decimal" allowBlank="1" showInputMessage="1" showErrorMessage="1" errorTitle="Check the value" error="Enter a number between 0 and 1." sqref="D80">
      <formula1>0</formula1>
      <formula2>1</formula2>
    </dataValidation>
    <dataValidation type="decimal" allowBlank="1" showInputMessage="1" showErrorMessage="1" errorTitle="Check the value" error="Enter a number between 0 and 1." sqref="D81">
      <formula1>0</formula1>
      <formula2>1</formula2>
    </dataValidation>
    <dataValidation type="whole" allowBlank="1" showInputMessage="1" showErrorMessage="1" errorTitle="Check the value" error="Enter a number between 0 and 10000." sqref="D82">
      <formula1>0</formula1>
      <formula2>10000</formula2>
    </dataValidation>
    <dataValidation type="decimal" allowBlank="1" showInputMessage="1" showErrorMessage="1" errorTitle="Check the value" error="Enter a number between 0 and 1000000." sqref="D83">
      <formula1>0</formula1>
      <formula2>1000000</formula2>
    </dataValidation>
    <dataValidation type="whole" allowBlank="1" showInputMessage="1" showErrorMessage="1" errorTitle="Check the value" error="Enter a number between 0 and 3650." sqref="D84">
      <formula1>0</formula1>
      <formula2>3650</formula2>
    </dataValidation>
    <dataValidation type="decimal" allowBlank="1" showInputMessage="1" showErrorMessage="1" errorTitle="Check the value" error="Enter a number between 0 and 10000000." sqref="D87">
      <formula1>0</formula1>
      <formula2>10000000</formula2>
    </dataValidation>
    <dataValidation type="decimal" allowBlank="1" showInputMessage="1" showErrorMessage="1" errorTitle="Check the value" error="Enter a number between 0 and 100000000." sqref="D88">
      <formula1>0</formula1>
      <formula2>100000000</formula2>
    </dataValidation>
    <dataValidation type="decimal" allowBlank="1" showInputMessage="1" showErrorMessage="1" errorTitle="Check the value" error="Enter a number between 0 and 10000000." sqref="D89">
      <formula1>0</formula1>
      <formula2>10000000</formula2>
    </dataValidation>
    <dataValidation type="decimal" allowBlank="1" showInputMessage="1" showErrorMessage="1" errorTitle="Check the value" error="Enter a number between 0 and 1000." sqref="D90">
      <formula1>0</formula1>
      <formula2>1000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s>
  <pageMargins left="0.4" right="0.4" top="0.6" bottom="0.5" header="0.3" footer="0.3"/>
  <pageSetup paperSize="9" fitToHeight="0" orientation="landscape"/>
  <headerFooter>
    <oddHeader>&amp;L&amp;"Calibri,Bold"&amp;12&amp;C&amp;"Calibri,Bold"&amp;11Settings&amp;R&amp;"Calibri,Italic"&amp;9Handmade Product Pricing &amp; Profit Calculator</oddHeader>
    <oddFooter>&amp;L&amp;"Calibri,Italic"&amp;8Novality Store - v1.0.0&amp;C&amp;"Calibri,Italic"&amp;8Page &amp;P of &amp;N&amp;R&amp;"Calibri,Italic"&amp;8&amp;D</oddFooter>
  </headerFooter>
</worksheet>
</file>

<file path=xl/worksheets/sheet3.xml><?xml version="1.0" encoding="utf-8"?>
<worksheet xmlns="http://schemas.openxmlformats.org/spreadsheetml/2006/main" xmlns:r="http://schemas.openxmlformats.org/officeDocument/2006/relationships">
  <sheetPr>
    <tabColor rgb="FF8C4A32"/>
    <pageSetUpPr fitToPage="1"/>
  </sheetPr>
  <dimension ref="A1:N91"/>
  <sheetViews>
    <sheetView showGridLines="0" workbookViewId="0">
      <pane ySplit="4" topLeftCell="A5" activePane="bottomLeft" state="frozen"/>
      <selection pane="bottomLeft"/>
    </sheetView>
  </sheetViews>
  <sheetFormatPr defaultRowHeight="15"/>
  <cols>
    <col min="1" max="1" width="24.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 min="14" max="14" width="13.7109375" customWidth="1"/>
    <col min="1" max="1" width="26.7109375" customWidth="1"/>
    <col min="2" max="2" width="11.7109375" customWidth="1"/>
    <col min="3" max="3" width="46.7109375" customWidth="1"/>
    <col min="4" max="4" width="20.7109375" customWidth="1"/>
    <col min="1" max="1" width="24.7109375" customWidth="1"/>
    <col min="2" max="2" width="10.7109375" customWidth="1"/>
    <col min="3" max="3" width="24.7109375" customWidth="1"/>
    <col min="4" max="4" width="10.7109375" customWidth="1"/>
    <col min="5" max="5" width="24.7109375" customWidth="1"/>
    <col min="6" max="6" width="10.7109375" customWidth="1"/>
    <col min="7" max="7" width="24.7109375" customWidth="1"/>
    <col min="8" max="8" width="9.7109375" customWidth="1"/>
    <col min="1" max="1" width="22.7109375" customWidth="1"/>
    <col min="2" max="2" width="10.7109375" customWidth="1"/>
    <col min="3" max="3" width="13.7109375" customWidth="1"/>
    <col min="4" max="4" width="13.7109375" customWidth="1"/>
    <col min="5" max="5" width="14.7109375" customWidth="1"/>
    <col min="6" max="6" width="10.7109375" customWidth="1"/>
    <col min="7" max="7" width="13.7109375" customWidth="1"/>
    <col min="8" max="8" width="13.7109375" customWidth="1"/>
    <col min="14" max="14" width="12.7109375" customWidth="1"/>
    <col min="1" max="1" width="22.7109375" customWidth="1"/>
    <col min="2" max="2" width="10.7109375" customWidth="1"/>
    <col min="3" max="3" width="13.7109375" customWidth="1"/>
    <col min="4" max="4" width="12.7109375" customWidth="1"/>
    <col min="5" max="5" width="11.7109375" customWidth="1"/>
    <col min="6" max="6" width="13.7109375" customWidth="1"/>
    <col min="7" max="7" width="10.7109375" customWidth="1"/>
    <col min="8" max="8" width="16.7109375" customWidth="1"/>
  </cols>
  <sheetData>
    <row r="1" spans="1:14" ht="34" customHeight="1">
      <c r="A1" s="2" t="s">
        <v>365</v>
      </c>
      <c r="B1" s="2"/>
      <c r="C1" s="2"/>
      <c r="D1" s="2"/>
      <c r="E1" s="2"/>
      <c r="F1" s="2"/>
      <c r="G1" s="2"/>
      <c r="H1" s="2"/>
      <c r="I1" s="2"/>
      <c r="J1" s="2"/>
      <c r="K1" s="2"/>
      <c r="L1" s="3" t="s">
        <v>1</v>
      </c>
      <c r="M1" s="3"/>
      <c r="N1" s="3"/>
    </row>
    <row r="2" spans="1:14" ht="18" customHeight="1">
      <c r="A2" s="4" t="s">
        <v>366</v>
      </c>
      <c r="B2" s="4"/>
      <c r="C2" s="4"/>
      <c r="D2" s="4"/>
      <c r="E2" s="4"/>
      <c r="F2" s="4"/>
      <c r="G2" s="4"/>
      <c r="H2" s="4"/>
      <c r="I2" s="4"/>
      <c r="J2" s="4"/>
      <c r="K2" s="4"/>
      <c r="L2" s="4"/>
      <c r="M2" s="4"/>
      <c r="N2" s="4"/>
    </row>
    <row r="3" spans="1:14" ht="16" customHeight="1">
      <c r="A3" s="5" t="s">
        <v>3</v>
      </c>
      <c r="B3" s="5"/>
      <c r="C3" s="5" t="s">
        <v>4</v>
      </c>
      <c r="D3" s="5"/>
      <c r="E3" s="5" t="s">
        <v>5</v>
      </c>
      <c r="F3" s="5"/>
      <c r="G3" s="5" t="s">
        <v>6</v>
      </c>
      <c r="H3" s="5"/>
      <c r="I3" s="5" t="s">
        <v>7</v>
      </c>
      <c r="J3" s="5"/>
      <c r="K3" s="5" t="s">
        <v>367</v>
      </c>
      <c r="L3" s="5"/>
      <c r="M3" s="5" t="s">
        <v>368</v>
      </c>
      <c r="N3" s="5"/>
    </row>
    <row r="5" spans="1:14">
      <c r="A5" s="10" t="s">
        <v>369</v>
      </c>
      <c r="B5" s="13">
        <f>ShopName</f>
        <v>0</v>
      </c>
      <c r="C5" s="13"/>
      <c r="D5" s="13"/>
      <c r="E5" s="23" t="s">
        <v>370</v>
      </c>
      <c r="F5" s="13">
        <f>TEXT(TodayDate,"mmmm yyyy")</f>
        <v>0</v>
      </c>
      <c r="G5" s="23" t="s">
        <v>371</v>
      </c>
      <c r="H5" s="13">
        <f>TEXT(TodayDate,"yyyy-mm")</f>
        <v>0</v>
      </c>
      <c r="I5" s="23" t="s">
        <v>211</v>
      </c>
      <c r="J5" s="23"/>
      <c r="K5" s="17">
        <f>TodayDate</f>
        <v>0</v>
      </c>
      <c r="L5" s="17"/>
      <c r="M5" s="17"/>
      <c r="N5" s="17"/>
    </row>
    <row r="7" spans="1:14">
      <c r="A7" s="24" t="s">
        <v>372</v>
      </c>
      <c r="B7" s="24"/>
      <c r="C7" s="24"/>
      <c r="D7" s="24" t="s">
        <v>374</v>
      </c>
      <c r="E7" s="24"/>
      <c r="F7" s="24"/>
      <c r="G7" s="24" t="s">
        <v>376</v>
      </c>
      <c r="H7" s="24"/>
      <c r="I7" s="24"/>
      <c r="J7" s="24" t="s">
        <v>378</v>
      </c>
      <c r="K7" s="24"/>
      <c r="L7" s="24"/>
    </row>
    <row r="8" spans="1:14" ht="26" customHeight="1">
      <c r="A8" s="25">
        <f>COUNTIF(Products!$B$5:$B$304,"&lt;&gt;")</f>
        <v>0</v>
      </c>
      <c r="B8" s="25"/>
      <c r="C8" s="25"/>
      <c r="D8" s="26">
        <f>IFERROR(AVERAGE(Products!$AW$5:$AW$304),"")</f>
        <v>0</v>
      </c>
      <c r="E8" s="26"/>
      <c r="F8" s="26"/>
      <c r="G8" s="27">
        <f>IFERROR(AVERAGE(Products!$AZ$5:$AZ$304),"")</f>
        <v>0</v>
      </c>
      <c r="H8" s="27"/>
      <c r="I8" s="27"/>
      <c r="J8" s="25">
        <f>COUNTIFS(Products!$AW$5:$AW$304,"&lt;"&amp;MarginWarning,Products!$B$5:$B$304,"&lt;&gt;")</f>
        <v>0</v>
      </c>
      <c r="K8" s="25"/>
      <c r="L8" s="25"/>
    </row>
    <row r="9" spans="1:14">
      <c r="A9" s="28" t="s">
        <v>373</v>
      </c>
      <c r="B9" s="28"/>
      <c r="C9" s="28"/>
      <c r="D9" s="28" t="s">
        <v>375</v>
      </c>
      <c r="E9" s="28"/>
      <c r="F9" s="28"/>
      <c r="G9" s="28" t="s">
        <v>377</v>
      </c>
      <c r="H9" s="28"/>
      <c r="I9" s="28"/>
      <c r="J9" s="28" t="s">
        <v>379</v>
      </c>
      <c r="K9" s="28"/>
      <c r="L9" s="28"/>
    </row>
    <row r="11" spans="1:14">
      <c r="A11" s="24" t="s">
        <v>380</v>
      </c>
      <c r="B11" s="24"/>
      <c r="C11" s="24"/>
      <c r="D11" s="24" t="s">
        <v>382</v>
      </c>
      <c r="E11" s="24"/>
      <c r="F11" s="24"/>
      <c r="G11" s="24" t="s">
        <v>384</v>
      </c>
      <c r="H11" s="24"/>
      <c r="I11" s="24"/>
      <c r="J11" s="24" t="s">
        <v>386</v>
      </c>
      <c r="K11" s="24"/>
      <c r="L11" s="24"/>
    </row>
    <row r="12" spans="1:14" ht="26" customHeight="1">
      <c r="A12" s="29">
        <f>ROUND(SUMIFS(Sales!$V$5:$V$804,Sales!$R$5:$R$804,DashKey),2)</f>
        <v>0</v>
      </c>
      <c r="B12" s="29"/>
      <c r="C12" s="29"/>
      <c r="D12" s="29">
        <f>ROUND(SUMIFS(Sales!$AG$5:$AG$804,Sales!$R$5:$R$804,DashKey),2)</f>
        <v>0</v>
      </c>
      <c r="E12" s="29"/>
      <c r="F12" s="29"/>
      <c r="G12" s="26">
        <f>IFERROR(SUMIFS(Sales!$AG$5:$AG$804,Sales!$R$5:$R$804,DashKey)/SUMIFS(Sales!$V$5:$V$804,Sales!$R$5:$R$804,DashKey),"")</f>
        <v>0</v>
      </c>
      <c r="H12" s="26"/>
      <c r="I12" s="26"/>
      <c r="J12" s="25">
        <f>SUMIFS(Sales!$D$5:$D$804,Sales!$R$5:$R$804,DashKey)</f>
        <v>0</v>
      </c>
      <c r="K12" s="25"/>
      <c r="L12" s="25"/>
    </row>
    <row r="13" spans="1:14">
      <c r="A13" s="28" t="s">
        <v>381</v>
      </c>
      <c r="B13" s="28"/>
      <c r="C13" s="28"/>
      <c r="D13" s="28" t="s">
        <v>383</v>
      </c>
      <c r="E13" s="28"/>
      <c r="F13" s="28"/>
      <c r="G13" s="28" t="s">
        <v>385</v>
      </c>
      <c r="H13" s="28"/>
      <c r="I13" s="28"/>
      <c r="J13" s="28" t="s">
        <v>387</v>
      </c>
      <c r="K13" s="28"/>
      <c r="L13" s="28"/>
    </row>
    <row r="15" spans="1:14">
      <c r="A15" s="24" t="s">
        <v>388</v>
      </c>
      <c r="B15" s="24"/>
      <c r="C15" s="24"/>
      <c r="D15" s="24" t="s">
        <v>390</v>
      </c>
      <c r="E15" s="24"/>
      <c r="F15" s="24"/>
      <c r="G15" s="24" t="s">
        <v>392</v>
      </c>
      <c r="H15" s="24"/>
      <c r="I15" s="24"/>
      <c r="J15" s="24" t="s">
        <v>394</v>
      </c>
      <c r="K15" s="24"/>
      <c r="L15" s="24"/>
    </row>
    <row r="16" spans="1:14" ht="26" customHeight="1">
      <c r="A16" s="29">
        <f>ROUND(OverheadMonthly,2)</f>
        <v>0</v>
      </c>
      <c r="B16" s="29"/>
      <c r="C16" s="29"/>
      <c r="D16" s="30">
        <f>IFERROR(SUMIFS(Sales!$AG$5:$AG$804,Sales!$R$5:$R$804,DashKey)/MAX(0.01,OverheadMonthly),"")</f>
        <v>0</v>
      </c>
      <c r="E16" s="30"/>
      <c r="F16" s="30"/>
      <c r="G16" s="29">
        <f>ROUND(SUM(Materials!$Y$5:$Y$254),2)</f>
        <v>0</v>
      </c>
      <c r="H16" s="29"/>
      <c r="I16" s="29"/>
      <c r="J16" s="31">
        <f>ROUND(SUMIFS(Sales!$AK$5:$AK$804,Sales!$R$5:$R$804,DashKey),1)</f>
        <v>0</v>
      </c>
      <c r="K16" s="31"/>
      <c r="L16" s="31"/>
    </row>
    <row r="17" spans="1:14">
      <c r="A17" s="28" t="s">
        <v>389</v>
      </c>
      <c r="B17" s="28"/>
      <c r="C17" s="28"/>
      <c r="D17" s="28" t="s">
        <v>391</v>
      </c>
      <c r="E17" s="28"/>
      <c r="F17" s="28"/>
      <c r="G17" s="28" t="s">
        <v>393</v>
      </c>
      <c r="H17" s="28"/>
      <c r="I17" s="28"/>
      <c r="J17" s="28" t="s">
        <v>395</v>
      </c>
      <c r="K17" s="28"/>
      <c r="L17" s="28"/>
    </row>
    <row r="19" spans="1:14" ht="20" customHeight="1">
      <c r="A19" s="7" t="s">
        <v>396</v>
      </c>
      <c r="B19" s="7"/>
      <c r="C19" s="7"/>
      <c r="D19" s="7"/>
      <c r="E19" s="7"/>
      <c r="F19" s="7"/>
      <c r="G19" s="7"/>
      <c r="H19" s="7"/>
      <c r="I19" s="7"/>
      <c r="J19" s="7"/>
      <c r="K19" s="7"/>
      <c r="L19" s="7"/>
      <c r="M19" s="7"/>
      <c r="N19" s="7"/>
    </row>
    <row r="20" spans="1:14" ht="26" customHeight="1">
      <c r="A20" s="8" t="s">
        <v>397</v>
      </c>
      <c r="B20" s="9" t="s">
        <v>398</v>
      </c>
      <c r="C20" s="9" t="s">
        <v>399</v>
      </c>
      <c r="D20" s="9" t="s">
        <v>400</v>
      </c>
    </row>
    <row r="21" spans="1:14">
      <c r="A21" s="10" t="s">
        <v>401</v>
      </c>
      <c r="B21" s="32">
        <f>COUNTIFS(Products!$B$5:$B$304,"&lt;&gt;",Products!$AR$5:$AR$304,"")</f>
        <v>0</v>
      </c>
      <c r="C21" s="13">
        <f>"Listed in the catalog with nothing to sell them at"</f>
        <v>0</v>
      </c>
      <c r="D21" s="13"/>
      <c r="E21" s="13"/>
      <c r="F21" s="13"/>
      <c r="G21" s="13"/>
      <c r="H21" s="13"/>
      <c r="I21" s="13"/>
      <c r="J21" s="13"/>
      <c r="K21" s="13"/>
      <c r="L21" s="13"/>
      <c r="M21" s="11" t="s">
        <v>26</v>
      </c>
      <c r="N21" s="11"/>
    </row>
    <row r="22" spans="1:14">
      <c r="A22" s="10" t="s">
        <v>402</v>
      </c>
      <c r="B22" s="32">
        <f>COUNTIF(Products!$BS$5:$BS$304,"Loss*")</f>
        <v>0</v>
      </c>
      <c r="C22" s="13">
        <f>"The price does not cover the cost and the fees"</f>
        <v>0</v>
      </c>
      <c r="D22" s="13"/>
      <c r="E22" s="13"/>
      <c r="F22" s="13"/>
      <c r="G22" s="13"/>
      <c r="H22" s="13"/>
      <c r="I22" s="13"/>
      <c r="J22" s="13"/>
      <c r="K22" s="13"/>
      <c r="L22" s="13"/>
      <c r="M22" s="11" t="s">
        <v>26</v>
      </c>
      <c r="N22" s="11"/>
    </row>
    <row r="23" spans="1:14">
      <c r="A23" s="10" t="s">
        <v>403</v>
      </c>
      <c r="B23" s="32">
        <f>COUNTIF(Products!$BS$5:$BS$304,"Below*")</f>
        <v>0</v>
      </c>
      <c r="C23" s="13">
        <f>"You would earn less than "&amp;TEXT(MinimumWage,"0.00")&amp;" an hour making these"</f>
        <v>0</v>
      </c>
      <c r="D23" s="13"/>
      <c r="E23" s="13"/>
      <c r="F23" s="13"/>
      <c r="G23" s="13"/>
      <c r="H23" s="13"/>
      <c r="I23" s="13"/>
      <c r="J23" s="13"/>
      <c r="K23" s="13"/>
      <c r="L23" s="13"/>
      <c r="M23" s="11" t="s">
        <v>26</v>
      </c>
      <c r="N23" s="11"/>
    </row>
    <row r="24" spans="1:14">
      <c r="A24" s="10" t="s">
        <v>404</v>
      </c>
      <c r="B24" s="32">
        <f>COUNTIFS(Products!$AW$5:$AW$304,"&lt;"&amp;MarginWarning,Products!$B$5:$B$304,"&lt;&gt;")</f>
        <v>0</v>
      </c>
      <c r="C24" s="13">
        <f>"Thinner than "&amp;TEXT(MarginWarning,"0%")&amp;" - one bad month away from nothing"</f>
        <v>0</v>
      </c>
      <c r="D24" s="13"/>
      <c r="E24" s="13"/>
      <c r="F24" s="13"/>
      <c r="G24" s="13"/>
      <c r="H24" s="13"/>
      <c r="I24" s="13"/>
      <c r="J24" s="13"/>
      <c r="K24" s="13"/>
      <c r="L24" s="13"/>
      <c r="M24" s="11" t="s">
        <v>29</v>
      </c>
      <c r="N24" s="11"/>
    </row>
    <row r="25" spans="1:14">
      <c r="A25" s="10" t="s">
        <v>405</v>
      </c>
      <c r="B25" s="32">
        <f>COUNTIF(Products!$BS$5:$BS$304,"Add - no costs*")</f>
        <v>0</v>
      </c>
      <c r="C25" s="13">
        <f>"Nothing on the Material Usage or Labor tabs for these"</f>
        <v>0</v>
      </c>
      <c r="D25" s="13"/>
      <c r="E25" s="13"/>
      <c r="F25" s="13"/>
      <c r="G25" s="13"/>
      <c r="H25" s="13"/>
      <c r="I25" s="13"/>
      <c r="J25" s="13"/>
      <c r="K25" s="13"/>
      <c r="L25" s="13"/>
      <c r="M25" s="11" t="s">
        <v>20</v>
      </c>
      <c r="N25" s="11"/>
    </row>
    <row r="26" spans="1:14">
      <c r="A26" s="10" t="s">
        <v>406</v>
      </c>
      <c r="B26" s="32">
        <f>COUNTIF(Materials!$AG$5:$AG$254,"Add*")</f>
        <v>0</v>
      </c>
      <c r="C26" s="13">
        <f>"Every product using them is under-costed"</f>
        <v>0</v>
      </c>
      <c r="D26" s="13"/>
      <c r="E26" s="13"/>
      <c r="F26" s="13"/>
      <c r="G26" s="13"/>
      <c r="H26" s="13"/>
      <c r="I26" s="13"/>
      <c r="J26" s="13"/>
      <c r="K26" s="13"/>
      <c r="L26" s="13"/>
      <c r="M26" s="11" t="s">
        <v>17</v>
      </c>
      <c r="N26" s="11"/>
    </row>
    <row r="27" spans="1:14">
      <c r="A27" s="10" t="s">
        <v>407</v>
      </c>
      <c r="B27" s="32">
        <f>COUNTIF(Materials!$AE$5:$AE$254,"Low stock")+COUNTIF(Materials!$AE$5:$AE$254,"Out of stock")</f>
        <v>0</v>
      </c>
      <c r="C27" s="13">
        <f>"Below the reorder level or less than "&amp;LowStockDays&amp;" days of cover"</f>
        <v>0</v>
      </c>
      <c r="D27" s="13"/>
      <c r="E27" s="13"/>
      <c r="F27" s="13"/>
      <c r="G27" s="13"/>
      <c r="H27" s="13"/>
      <c r="I27" s="13"/>
      <c r="J27" s="13"/>
      <c r="K27" s="13"/>
      <c r="L27" s="13"/>
      <c r="M27" s="11" t="s">
        <v>17</v>
      </c>
      <c r="N27" s="11"/>
    </row>
    <row r="28" spans="1:14">
      <c r="A28" s="10" t="s">
        <v>408</v>
      </c>
      <c r="B28" s="32">
        <f>COUNTIF(Products!$BS$5:$BS$304,"Review*")</f>
        <v>0</v>
      </c>
      <c r="C28" s="13">
        <f>"Not changed in "&amp;PriceReviewDays&amp;" days, while your costs moved"</f>
        <v>0</v>
      </c>
      <c r="D28" s="13"/>
      <c r="E28" s="13"/>
      <c r="F28" s="13"/>
      <c r="G28" s="13"/>
      <c r="H28" s="13"/>
      <c r="I28" s="13"/>
      <c r="J28" s="13"/>
      <c r="K28" s="13"/>
      <c r="L28" s="13"/>
      <c r="M28" s="11" t="s">
        <v>409</v>
      </c>
      <c r="N28" s="11"/>
    </row>
    <row r="29" spans="1:14">
      <c r="A29" s="10" t="s">
        <v>410</v>
      </c>
      <c r="B29" s="32">
        <f>IF(FeesStale="Yes",1,0)</f>
        <v>0</v>
      </c>
      <c r="C29" s="13">
        <f>"Marketplace fees change. Yours were last reviewed "&amp;TEXT(FeesReviewed,"d mmm yyyy")</f>
        <v>0</v>
      </c>
      <c r="D29" s="13"/>
      <c r="E29" s="13"/>
      <c r="F29" s="13"/>
      <c r="G29" s="13"/>
      <c r="H29" s="13"/>
      <c r="I29" s="13"/>
      <c r="J29" s="13"/>
      <c r="K29" s="13"/>
      <c r="L29" s="13"/>
      <c r="M29" s="11" t="s">
        <v>75</v>
      </c>
      <c r="N29" s="11"/>
    </row>
    <row r="30" spans="1:14">
      <c r="A30" s="10" t="s">
        <v>411</v>
      </c>
      <c r="B30" s="32">
        <f>COUNTIFS(Sales!$AG$5:$AG$804,"&lt;0")</f>
        <v>0</v>
      </c>
      <c r="C30" s="13">
        <f>"Real orders where the money went the wrong way"</f>
        <v>0</v>
      </c>
      <c r="D30" s="13"/>
      <c r="E30" s="13"/>
      <c r="F30" s="13"/>
      <c r="G30" s="13"/>
      <c r="H30" s="13"/>
      <c r="I30" s="13"/>
      <c r="J30" s="13"/>
      <c r="K30" s="13"/>
      <c r="L30" s="13"/>
      <c r="M30" s="11" t="s">
        <v>97</v>
      </c>
      <c r="N30" s="11"/>
    </row>
    <row r="31" spans="1:14">
      <c r="A31" s="10" t="s">
        <v>412</v>
      </c>
      <c r="B31" s="32">
        <f>COUNTIF(Batches!$AE$5:$AE$204,"Check - costing*")</f>
        <v>0</v>
      </c>
      <c r="C31" s="13">
        <f>"The catalog is optimistic about these"</f>
        <v>0</v>
      </c>
      <c r="D31" s="13"/>
      <c r="E31" s="13"/>
      <c r="F31" s="13"/>
      <c r="G31" s="13"/>
      <c r="H31" s="13"/>
      <c r="I31" s="13"/>
      <c r="J31" s="13"/>
      <c r="K31" s="13"/>
      <c r="L31" s="13"/>
      <c r="M31" s="11" t="s">
        <v>94</v>
      </c>
      <c r="N31" s="11"/>
    </row>
    <row r="32" spans="1:14">
      <c r="A32" s="10" t="s">
        <v>413</v>
      </c>
      <c r="B32" s="32">
        <f>COUNTIF('Wholesale Orders'!$AD$5:$AD$204,"Low margin*")</f>
        <v>0</v>
      </c>
      <c r="C32" s="13">
        <f>"The discount is deeper than the product can carry"</f>
        <v>0</v>
      </c>
      <c r="D32" s="13"/>
      <c r="E32" s="13"/>
      <c r="F32" s="13"/>
      <c r="G32" s="13"/>
      <c r="H32" s="13"/>
      <c r="I32" s="13"/>
      <c r="J32" s="13"/>
      <c r="K32" s="13"/>
      <c r="L32" s="13"/>
      <c r="M32" s="11" t="s">
        <v>414</v>
      </c>
      <c r="N32" s="11"/>
    </row>
    <row r="33" spans="1:14">
      <c r="A33" s="10" t="s">
        <v>415</v>
      </c>
      <c r="B33" s="32">
        <f>ROUND(SUMIFS('Wholesale Orders'!$V$5:$V$204,'Wholesale Orders'!$M$5:$M$204,"No"),0)</f>
        <v>0</v>
      </c>
      <c r="C33" s="13">
        <f>"Money shops owe you right now"</f>
        <v>0</v>
      </c>
      <c r="D33" s="13"/>
      <c r="E33" s="13"/>
      <c r="F33" s="13"/>
      <c r="G33" s="13"/>
      <c r="H33" s="13"/>
      <c r="I33" s="13"/>
      <c r="J33" s="13"/>
      <c r="K33" s="13"/>
      <c r="L33" s="13"/>
      <c r="M33" s="11" t="s">
        <v>416</v>
      </c>
      <c r="N33" s="11"/>
    </row>
    <row r="34" spans="1:14">
      <c r="A34" s="10" t="s">
        <v>417</v>
      </c>
      <c r="B34" s="32">
        <f>ROUND(SUMIFS('Waste Log'!$L$5:$L$204,'Waste Log'!$G$5:$G$204,"Yes"),0)</f>
        <v>0</v>
      </c>
      <c r="C34" s="13">
        <f>"Material you paid for and did not sell"</f>
        <v>0</v>
      </c>
      <c r="D34" s="13"/>
      <c r="E34" s="13"/>
      <c r="F34" s="13"/>
      <c r="G34" s="13"/>
      <c r="H34" s="13"/>
      <c r="I34" s="13"/>
      <c r="J34" s="13"/>
      <c r="K34" s="13"/>
      <c r="L34" s="13"/>
      <c r="M34" s="11" t="s">
        <v>418</v>
      </c>
      <c r="N34" s="11"/>
    </row>
    <row r="36" spans="1:14" ht="20" customHeight="1">
      <c r="A36" s="7" t="s">
        <v>419</v>
      </c>
      <c r="B36" s="7"/>
      <c r="C36" s="7"/>
      <c r="D36" s="7"/>
      <c r="E36" s="7"/>
      <c r="F36" s="7"/>
      <c r="G36" s="7"/>
      <c r="H36" s="7"/>
      <c r="I36" s="7"/>
      <c r="J36" s="7"/>
      <c r="K36" s="7"/>
      <c r="L36" s="7"/>
      <c r="M36" s="7"/>
      <c r="N36" s="7"/>
    </row>
    <row r="37" spans="1:14" ht="26" customHeight="1">
      <c r="A37" s="8" t="s">
        <v>420</v>
      </c>
      <c r="B37" s="9" t="s">
        <v>421</v>
      </c>
      <c r="C37" s="9" t="s">
        <v>422</v>
      </c>
      <c r="D37" s="9" t="s">
        <v>42</v>
      </c>
      <c r="E37" s="9" t="s">
        <v>423</v>
      </c>
      <c r="F37" s="9" t="s">
        <v>424</v>
      </c>
      <c r="G37" s="9" t="s">
        <v>425</v>
      </c>
      <c r="H37" s="9" t="s">
        <v>426</v>
      </c>
    </row>
    <row r="38" spans="1:14">
      <c r="A38" s="13">
        <f>IFERROR(INDEX(Products!$B$5:$B$304,MATCH(1,Products!$BO$5:$BO$304,0)),"")</f>
        <v>0</v>
      </c>
      <c r="B38" s="20">
        <f>IFERROR(INDEX(Products!$AV$5:$AV$304,MATCH(1,Products!$BO$5:$BO$304,0)),"")</f>
        <v>0</v>
      </c>
      <c r="C38" s="13">
        <f>IFERROR(INDEX(Products!$B$5:$B$304,MATCH(1,Products!$BP$5:$BP$304,0)),"")</f>
        <v>0</v>
      </c>
      <c r="D38" s="33">
        <f>IFERROR(INDEX(Products!$AW$5:$AW$304,MATCH(1,Products!$BP$5:$BP$304,0)),"")</f>
        <v>0</v>
      </c>
      <c r="E38" s="13">
        <f>IFERROR(INDEX(Products!$B$5:$B$304,MATCH(1,Products!$BR$5:$BR$304,0)),"")</f>
        <v>0</v>
      </c>
      <c r="F38" s="20">
        <f>IFERROR(INDEX(Products!$AY$5:$AY$304,MATCH(1,Products!$BR$5:$BR$304,0)),"")</f>
        <v>0</v>
      </c>
      <c r="G38" s="13">
        <f>IFERROR(INDEX(Products!$B$5:$B$304,MATCH(1,Products!$BQ$5:$BQ$304,0)),"")</f>
        <v>0</v>
      </c>
      <c r="H38" s="32">
        <f>IFERROR(INDEX(Products!$BH$5:$BH$304,MATCH(1,Products!$BQ$5:$BQ$304,0)),"")</f>
        <v>0</v>
      </c>
    </row>
    <row r="39" spans="1:14">
      <c r="A39" s="13">
        <f>IFERROR(INDEX(Products!$B$5:$B$304,MATCH(2,Products!$BO$5:$BO$304,0)),"")</f>
        <v>0</v>
      </c>
      <c r="B39" s="20">
        <f>IFERROR(INDEX(Products!$AV$5:$AV$304,MATCH(2,Products!$BO$5:$BO$304,0)),"")</f>
        <v>0</v>
      </c>
      <c r="C39" s="13">
        <f>IFERROR(INDEX(Products!$B$5:$B$304,MATCH(2,Products!$BP$5:$BP$304,0)),"")</f>
        <v>0</v>
      </c>
      <c r="D39" s="33">
        <f>IFERROR(INDEX(Products!$AW$5:$AW$304,MATCH(2,Products!$BP$5:$BP$304,0)),"")</f>
        <v>0</v>
      </c>
      <c r="E39" s="13">
        <f>IFERROR(INDEX(Products!$B$5:$B$304,MATCH(2,Products!$BR$5:$BR$304,0)),"")</f>
        <v>0</v>
      </c>
      <c r="F39" s="20">
        <f>IFERROR(INDEX(Products!$AY$5:$AY$304,MATCH(2,Products!$BR$5:$BR$304,0)),"")</f>
        <v>0</v>
      </c>
      <c r="G39" s="13">
        <f>IFERROR(INDEX(Products!$B$5:$B$304,MATCH(2,Products!$BQ$5:$BQ$304,0)),"")</f>
        <v>0</v>
      </c>
      <c r="H39" s="32">
        <f>IFERROR(INDEX(Products!$BH$5:$BH$304,MATCH(2,Products!$BQ$5:$BQ$304,0)),"")</f>
        <v>0</v>
      </c>
    </row>
    <row r="40" spans="1:14">
      <c r="A40" s="13">
        <f>IFERROR(INDEX(Products!$B$5:$B$304,MATCH(3,Products!$BO$5:$BO$304,0)),"")</f>
        <v>0</v>
      </c>
      <c r="B40" s="20">
        <f>IFERROR(INDEX(Products!$AV$5:$AV$304,MATCH(3,Products!$BO$5:$BO$304,0)),"")</f>
        <v>0</v>
      </c>
      <c r="C40" s="13">
        <f>IFERROR(INDEX(Products!$B$5:$B$304,MATCH(3,Products!$BP$5:$BP$304,0)),"")</f>
        <v>0</v>
      </c>
      <c r="D40" s="33">
        <f>IFERROR(INDEX(Products!$AW$5:$AW$304,MATCH(3,Products!$BP$5:$BP$304,0)),"")</f>
        <v>0</v>
      </c>
      <c r="E40" s="13">
        <f>IFERROR(INDEX(Products!$B$5:$B$304,MATCH(3,Products!$BR$5:$BR$304,0)),"")</f>
        <v>0</v>
      </c>
      <c r="F40" s="20">
        <f>IFERROR(INDEX(Products!$AY$5:$AY$304,MATCH(3,Products!$BR$5:$BR$304,0)),"")</f>
        <v>0</v>
      </c>
      <c r="G40" s="13">
        <f>IFERROR(INDEX(Products!$B$5:$B$304,MATCH(3,Products!$BQ$5:$BQ$304,0)),"")</f>
        <v>0</v>
      </c>
      <c r="H40" s="32">
        <f>IFERROR(INDEX(Products!$BH$5:$BH$304,MATCH(3,Products!$BQ$5:$BQ$304,0)),"")</f>
        <v>0</v>
      </c>
    </row>
    <row r="41" spans="1:14">
      <c r="A41" s="13">
        <f>IFERROR(INDEX(Products!$B$5:$B$304,MATCH(4,Products!$BO$5:$BO$304,0)),"")</f>
        <v>0</v>
      </c>
      <c r="B41" s="20">
        <f>IFERROR(INDEX(Products!$AV$5:$AV$304,MATCH(4,Products!$BO$5:$BO$304,0)),"")</f>
        <v>0</v>
      </c>
      <c r="C41" s="13">
        <f>IFERROR(INDEX(Products!$B$5:$B$304,MATCH(4,Products!$BP$5:$BP$304,0)),"")</f>
        <v>0</v>
      </c>
      <c r="D41" s="33">
        <f>IFERROR(INDEX(Products!$AW$5:$AW$304,MATCH(4,Products!$BP$5:$BP$304,0)),"")</f>
        <v>0</v>
      </c>
      <c r="E41" s="13">
        <f>IFERROR(INDEX(Products!$B$5:$B$304,MATCH(4,Products!$BR$5:$BR$304,0)),"")</f>
        <v>0</v>
      </c>
      <c r="F41" s="20">
        <f>IFERROR(INDEX(Products!$AY$5:$AY$304,MATCH(4,Products!$BR$5:$BR$304,0)),"")</f>
        <v>0</v>
      </c>
      <c r="G41" s="13">
        <f>IFERROR(INDEX(Products!$B$5:$B$304,MATCH(4,Products!$BQ$5:$BQ$304,0)),"")</f>
        <v>0</v>
      </c>
      <c r="H41" s="32">
        <f>IFERROR(INDEX(Products!$BH$5:$BH$304,MATCH(4,Products!$BQ$5:$BQ$304,0)),"")</f>
        <v>0</v>
      </c>
    </row>
    <row r="42" spans="1:14">
      <c r="A42" s="13">
        <f>IFERROR(INDEX(Products!$B$5:$B$304,MATCH(5,Products!$BO$5:$BO$304,0)),"")</f>
        <v>0</v>
      </c>
      <c r="B42" s="20">
        <f>IFERROR(INDEX(Products!$AV$5:$AV$304,MATCH(5,Products!$BO$5:$BO$304,0)),"")</f>
        <v>0</v>
      </c>
      <c r="C42" s="13">
        <f>IFERROR(INDEX(Products!$B$5:$B$304,MATCH(5,Products!$BP$5:$BP$304,0)),"")</f>
        <v>0</v>
      </c>
      <c r="D42" s="33">
        <f>IFERROR(INDEX(Products!$AW$5:$AW$304,MATCH(5,Products!$BP$5:$BP$304,0)),"")</f>
        <v>0</v>
      </c>
      <c r="E42" s="13">
        <f>IFERROR(INDEX(Products!$B$5:$B$304,MATCH(5,Products!$BR$5:$BR$304,0)),"")</f>
        <v>0</v>
      </c>
      <c r="F42" s="20">
        <f>IFERROR(INDEX(Products!$AY$5:$AY$304,MATCH(5,Products!$BR$5:$BR$304,0)),"")</f>
        <v>0</v>
      </c>
      <c r="G42" s="13">
        <f>IFERROR(INDEX(Products!$B$5:$B$304,MATCH(5,Products!$BQ$5:$BQ$304,0)),"")</f>
        <v>0</v>
      </c>
      <c r="H42" s="32">
        <f>IFERROR(INDEX(Products!$BH$5:$BH$304,MATCH(5,Products!$BQ$5:$BQ$304,0)),"")</f>
        <v>0</v>
      </c>
    </row>
    <row r="43" spans="1:14">
      <c r="A43" s="13">
        <f>IFERROR(INDEX(Products!$B$5:$B$304,MATCH(6,Products!$BO$5:$BO$304,0)),"")</f>
        <v>0</v>
      </c>
      <c r="B43" s="20">
        <f>IFERROR(INDEX(Products!$AV$5:$AV$304,MATCH(6,Products!$BO$5:$BO$304,0)),"")</f>
        <v>0</v>
      </c>
      <c r="C43" s="13">
        <f>IFERROR(INDEX(Products!$B$5:$B$304,MATCH(6,Products!$BP$5:$BP$304,0)),"")</f>
        <v>0</v>
      </c>
      <c r="D43" s="33">
        <f>IFERROR(INDEX(Products!$AW$5:$AW$304,MATCH(6,Products!$BP$5:$BP$304,0)),"")</f>
        <v>0</v>
      </c>
      <c r="E43" s="13">
        <f>IFERROR(INDEX(Products!$B$5:$B$304,MATCH(6,Products!$BR$5:$BR$304,0)),"")</f>
        <v>0</v>
      </c>
      <c r="F43" s="20">
        <f>IFERROR(INDEX(Products!$AY$5:$AY$304,MATCH(6,Products!$BR$5:$BR$304,0)),"")</f>
        <v>0</v>
      </c>
      <c r="G43" s="13">
        <f>IFERROR(INDEX(Products!$B$5:$B$304,MATCH(6,Products!$BQ$5:$BQ$304,0)),"")</f>
        <v>0</v>
      </c>
      <c r="H43" s="32">
        <f>IFERROR(INDEX(Products!$BH$5:$BH$304,MATCH(6,Products!$BQ$5:$BQ$304,0)),"")</f>
        <v>0</v>
      </c>
    </row>
    <row r="44" spans="1:14">
      <c r="A44" s="13">
        <f>IFERROR(INDEX(Products!$B$5:$B$304,MATCH(7,Products!$BO$5:$BO$304,0)),"")</f>
        <v>0</v>
      </c>
      <c r="B44" s="20">
        <f>IFERROR(INDEX(Products!$AV$5:$AV$304,MATCH(7,Products!$BO$5:$BO$304,0)),"")</f>
        <v>0</v>
      </c>
      <c r="C44" s="13">
        <f>IFERROR(INDEX(Products!$B$5:$B$304,MATCH(7,Products!$BP$5:$BP$304,0)),"")</f>
        <v>0</v>
      </c>
      <c r="D44" s="33">
        <f>IFERROR(INDEX(Products!$AW$5:$AW$304,MATCH(7,Products!$BP$5:$BP$304,0)),"")</f>
        <v>0</v>
      </c>
      <c r="E44" s="13">
        <f>IFERROR(INDEX(Products!$B$5:$B$304,MATCH(7,Products!$BR$5:$BR$304,0)),"")</f>
        <v>0</v>
      </c>
      <c r="F44" s="20">
        <f>IFERROR(INDEX(Products!$AY$5:$AY$304,MATCH(7,Products!$BR$5:$BR$304,0)),"")</f>
        <v>0</v>
      </c>
      <c r="G44" s="13">
        <f>IFERROR(INDEX(Products!$B$5:$B$304,MATCH(7,Products!$BQ$5:$BQ$304,0)),"")</f>
        <v>0</v>
      </c>
      <c r="H44" s="32">
        <f>IFERROR(INDEX(Products!$BH$5:$BH$304,MATCH(7,Products!$BQ$5:$BQ$304,0)),"")</f>
        <v>0</v>
      </c>
    </row>
    <row r="45" spans="1:14">
      <c r="A45" s="13">
        <f>IFERROR(INDEX(Products!$B$5:$B$304,MATCH(8,Products!$BO$5:$BO$304,0)),"")</f>
        <v>0</v>
      </c>
      <c r="B45" s="20">
        <f>IFERROR(INDEX(Products!$AV$5:$AV$304,MATCH(8,Products!$BO$5:$BO$304,0)),"")</f>
        <v>0</v>
      </c>
      <c r="C45" s="13">
        <f>IFERROR(INDEX(Products!$B$5:$B$304,MATCH(8,Products!$BP$5:$BP$304,0)),"")</f>
        <v>0</v>
      </c>
      <c r="D45" s="33">
        <f>IFERROR(INDEX(Products!$AW$5:$AW$304,MATCH(8,Products!$BP$5:$BP$304,0)),"")</f>
        <v>0</v>
      </c>
      <c r="E45" s="13">
        <f>IFERROR(INDEX(Products!$B$5:$B$304,MATCH(8,Products!$BR$5:$BR$304,0)),"")</f>
        <v>0</v>
      </c>
      <c r="F45" s="20">
        <f>IFERROR(INDEX(Products!$AY$5:$AY$304,MATCH(8,Products!$BR$5:$BR$304,0)),"")</f>
        <v>0</v>
      </c>
      <c r="G45" s="13">
        <f>IFERROR(INDEX(Products!$B$5:$B$304,MATCH(8,Products!$BQ$5:$BQ$304,0)),"")</f>
        <v>0</v>
      </c>
      <c r="H45" s="32">
        <f>IFERROR(INDEX(Products!$BH$5:$BH$304,MATCH(8,Products!$BQ$5:$BQ$304,0)),"")</f>
        <v>0</v>
      </c>
    </row>
    <row r="47" spans="1:14">
      <c r="A47" s="12" t="s">
        <v>427</v>
      </c>
      <c r="B47" s="12"/>
      <c r="C47" s="12"/>
      <c r="D47" s="12"/>
      <c r="E47" s="12"/>
      <c r="F47" s="12"/>
      <c r="G47" s="12"/>
      <c r="H47" s="12"/>
      <c r="I47" s="12"/>
      <c r="J47" s="12"/>
      <c r="K47" s="12"/>
      <c r="L47" s="12"/>
      <c r="M47" s="12"/>
      <c r="N47" s="12"/>
    </row>
    <row r="49" spans="1:14" ht="20" customHeight="1">
      <c r="A49" s="7" t="s">
        <v>428</v>
      </c>
      <c r="B49" s="7"/>
      <c r="C49" s="7"/>
      <c r="D49" s="7"/>
      <c r="E49" s="7"/>
      <c r="F49" s="7"/>
      <c r="G49" s="7"/>
      <c r="H49" s="7"/>
      <c r="I49" s="7"/>
      <c r="J49" s="7"/>
      <c r="K49" s="7"/>
      <c r="L49" s="7"/>
      <c r="M49" s="7"/>
      <c r="N49" s="7"/>
    </row>
    <row r="50" spans="1:14" ht="26" customHeight="1">
      <c r="A50" s="8" t="s">
        <v>429</v>
      </c>
      <c r="B50" s="9" t="s">
        <v>26</v>
      </c>
      <c r="C50" s="9" t="s">
        <v>430</v>
      </c>
      <c r="D50" s="9" t="s">
        <v>431</v>
      </c>
      <c r="E50" s="9" t="s">
        <v>374</v>
      </c>
      <c r="F50" s="9" t="s">
        <v>426</v>
      </c>
      <c r="G50" s="9" t="s">
        <v>432</v>
      </c>
      <c r="H50" s="9" t="s">
        <v>421</v>
      </c>
    </row>
    <row r="51" spans="1:14">
      <c r="A51" s="13">
        <f>IFERROR(INDEX(CategoryList,1),"")</f>
        <v>0</v>
      </c>
      <c r="B51" s="32">
        <f>IF(IFERROR(INDEX(CategoryList,1),"")="","",COUNTIFS(Products!$D$5:$D$304,IFERROR(INDEX(CategoryList,1),"")))</f>
        <v>0</v>
      </c>
      <c r="C51" s="20">
        <f>IF(IFERROR(INDEX(CategoryList,1),"")="","",IFERROR(AVERAGEIFS(Products!$AT$5:$AT$304,Products!$D$5:$D$304,IFERROR(INDEX(CategoryList,1),"")),""))</f>
        <v>0</v>
      </c>
      <c r="D51" s="20">
        <f>IF(IFERROR(INDEX(CategoryList,1),"")="","",IFERROR(AVERAGEIFS(Products!$AR$5:$AR$304,Products!$D$5:$D$304,IFERROR(INDEX(CategoryList,1),"")),""))</f>
        <v>0</v>
      </c>
      <c r="E51" s="33">
        <f>IF(IFERROR(INDEX(CategoryList,1),"")="","",IFERROR(AVERAGEIFS(Products!$AW$5:$AW$304,Products!$D$5:$D$304,IFERROR(INDEX(CategoryList,1),"")),""))</f>
        <v>0</v>
      </c>
      <c r="F51" s="32">
        <f>IF(IFERROR(INDEX(CategoryList,1),"")="","",SUMIFS(Products!$BH$5:$BH$304,Products!$D$5:$D$304,IFERROR(INDEX(CategoryList,1),"")))</f>
        <v>0</v>
      </c>
      <c r="G51" s="34">
        <f>IF(IFERROR(INDEX(CategoryList,1),"")="","",ROUND(SUMIFS(Products!$BI$5:$BI$304,Products!$D$5:$D$304,IFERROR(INDEX(CategoryList,1),"")),2))</f>
        <v>0</v>
      </c>
      <c r="H51" s="34">
        <f>IF(IFERROR(INDEX(CategoryList,1),"")="","",ROUND(SUMIFS(Products!$BJ$5:$BJ$304,Products!$D$5:$D$304,IFERROR(INDEX(CategoryList,1),"")),2))</f>
        <v>0</v>
      </c>
    </row>
    <row r="52" spans="1:14">
      <c r="A52" s="13">
        <f>IFERROR(INDEX(CategoryList,2),"")</f>
        <v>0</v>
      </c>
      <c r="B52" s="32">
        <f>IF(IFERROR(INDEX(CategoryList,2),"")="","",COUNTIFS(Products!$D$5:$D$304,IFERROR(INDEX(CategoryList,2),"")))</f>
        <v>0</v>
      </c>
      <c r="C52" s="20">
        <f>IF(IFERROR(INDEX(CategoryList,2),"")="","",IFERROR(AVERAGEIFS(Products!$AT$5:$AT$304,Products!$D$5:$D$304,IFERROR(INDEX(CategoryList,2),"")),""))</f>
        <v>0</v>
      </c>
      <c r="D52" s="20">
        <f>IF(IFERROR(INDEX(CategoryList,2),"")="","",IFERROR(AVERAGEIFS(Products!$AR$5:$AR$304,Products!$D$5:$D$304,IFERROR(INDEX(CategoryList,2),"")),""))</f>
        <v>0</v>
      </c>
      <c r="E52" s="33">
        <f>IF(IFERROR(INDEX(CategoryList,2),"")="","",IFERROR(AVERAGEIFS(Products!$AW$5:$AW$304,Products!$D$5:$D$304,IFERROR(INDEX(CategoryList,2),"")),""))</f>
        <v>0</v>
      </c>
      <c r="F52" s="32">
        <f>IF(IFERROR(INDEX(CategoryList,2),"")="","",SUMIFS(Products!$BH$5:$BH$304,Products!$D$5:$D$304,IFERROR(INDEX(CategoryList,2),"")))</f>
        <v>0</v>
      </c>
      <c r="G52" s="34">
        <f>IF(IFERROR(INDEX(CategoryList,2),"")="","",ROUND(SUMIFS(Products!$BI$5:$BI$304,Products!$D$5:$D$304,IFERROR(INDEX(CategoryList,2),"")),2))</f>
        <v>0</v>
      </c>
      <c r="H52" s="34">
        <f>IF(IFERROR(INDEX(CategoryList,2),"")="","",ROUND(SUMIFS(Products!$BJ$5:$BJ$304,Products!$D$5:$D$304,IFERROR(INDEX(CategoryList,2),"")),2))</f>
        <v>0</v>
      </c>
    </row>
    <row r="53" spans="1:14">
      <c r="A53" s="13">
        <f>IFERROR(INDEX(CategoryList,3),"")</f>
        <v>0</v>
      </c>
      <c r="B53" s="32">
        <f>IF(IFERROR(INDEX(CategoryList,3),"")="","",COUNTIFS(Products!$D$5:$D$304,IFERROR(INDEX(CategoryList,3),"")))</f>
        <v>0</v>
      </c>
      <c r="C53" s="20">
        <f>IF(IFERROR(INDEX(CategoryList,3),"")="","",IFERROR(AVERAGEIFS(Products!$AT$5:$AT$304,Products!$D$5:$D$304,IFERROR(INDEX(CategoryList,3),"")),""))</f>
        <v>0</v>
      </c>
      <c r="D53" s="20">
        <f>IF(IFERROR(INDEX(CategoryList,3),"")="","",IFERROR(AVERAGEIFS(Products!$AR$5:$AR$304,Products!$D$5:$D$304,IFERROR(INDEX(CategoryList,3),"")),""))</f>
        <v>0</v>
      </c>
      <c r="E53" s="33">
        <f>IF(IFERROR(INDEX(CategoryList,3),"")="","",IFERROR(AVERAGEIFS(Products!$AW$5:$AW$304,Products!$D$5:$D$304,IFERROR(INDEX(CategoryList,3),"")),""))</f>
        <v>0</v>
      </c>
      <c r="F53" s="32">
        <f>IF(IFERROR(INDEX(CategoryList,3),"")="","",SUMIFS(Products!$BH$5:$BH$304,Products!$D$5:$D$304,IFERROR(INDEX(CategoryList,3),"")))</f>
        <v>0</v>
      </c>
      <c r="G53" s="34">
        <f>IF(IFERROR(INDEX(CategoryList,3),"")="","",ROUND(SUMIFS(Products!$BI$5:$BI$304,Products!$D$5:$D$304,IFERROR(INDEX(CategoryList,3),"")),2))</f>
        <v>0</v>
      </c>
      <c r="H53" s="34">
        <f>IF(IFERROR(INDEX(CategoryList,3),"")="","",ROUND(SUMIFS(Products!$BJ$5:$BJ$304,Products!$D$5:$D$304,IFERROR(INDEX(CategoryList,3),"")),2))</f>
        <v>0</v>
      </c>
    </row>
    <row r="54" spans="1:14">
      <c r="A54" s="13">
        <f>IFERROR(INDEX(CategoryList,4),"")</f>
        <v>0</v>
      </c>
      <c r="B54" s="32">
        <f>IF(IFERROR(INDEX(CategoryList,4),"")="","",COUNTIFS(Products!$D$5:$D$304,IFERROR(INDEX(CategoryList,4),"")))</f>
        <v>0</v>
      </c>
      <c r="C54" s="20">
        <f>IF(IFERROR(INDEX(CategoryList,4),"")="","",IFERROR(AVERAGEIFS(Products!$AT$5:$AT$304,Products!$D$5:$D$304,IFERROR(INDEX(CategoryList,4),"")),""))</f>
        <v>0</v>
      </c>
      <c r="D54" s="20">
        <f>IF(IFERROR(INDEX(CategoryList,4),"")="","",IFERROR(AVERAGEIFS(Products!$AR$5:$AR$304,Products!$D$5:$D$304,IFERROR(INDEX(CategoryList,4),"")),""))</f>
        <v>0</v>
      </c>
      <c r="E54" s="33">
        <f>IF(IFERROR(INDEX(CategoryList,4),"")="","",IFERROR(AVERAGEIFS(Products!$AW$5:$AW$304,Products!$D$5:$D$304,IFERROR(INDEX(CategoryList,4),"")),""))</f>
        <v>0</v>
      </c>
      <c r="F54" s="32">
        <f>IF(IFERROR(INDEX(CategoryList,4),"")="","",SUMIFS(Products!$BH$5:$BH$304,Products!$D$5:$D$304,IFERROR(INDEX(CategoryList,4),"")))</f>
        <v>0</v>
      </c>
      <c r="G54" s="34">
        <f>IF(IFERROR(INDEX(CategoryList,4),"")="","",ROUND(SUMIFS(Products!$BI$5:$BI$304,Products!$D$5:$D$304,IFERROR(INDEX(CategoryList,4),"")),2))</f>
        <v>0</v>
      </c>
      <c r="H54" s="34">
        <f>IF(IFERROR(INDEX(CategoryList,4),"")="","",ROUND(SUMIFS(Products!$BJ$5:$BJ$304,Products!$D$5:$D$304,IFERROR(INDEX(CategoryList,4),"")),2))</f>
        <v>0</v>
      </c>
    </row>
    <row r="55" spans="1:14">
      <c r="A55" s="13">
        <f>IFERROR(INDEX(CategoryList,5),"")</f>
        <v>0</v>
      </c>
      <c r="B55" s="32">
        <f>IF(IFERROR(INDEX(CategoryList,5),"")="","",COUNTIFS(Products!$D$5:$D$304,IFERROR(INDEX(CategoryList,5),"")))</f>
        <v>0</v>
      </c>
      <c r="C55" s="20">
        <f>IF(IFERROR(INDEX(CategoryList,5),"")="","",IFERROR(AVERAGEIFS(Products!$AT$5:$AT$304,Products!$D$5:$D$304,IFERROR(INDEX(CategoryList,5),"")),""))</f>
        <v>0</v>
      </c>
      <c r="D55" s="20">
        <f>IF(IFERROR(INDEX(CategoryList,5),"")="","",IFERROR(AVERAGEIFS(Products!$AR$5:$AR$304,Products!$D$5:$D$304,IFERROR(INDEX(CategoryList,5),"")),""))</f>
        <v>0</v>
      </c>
      <c r="E55" s="33">
        <f>IF(IFERROR(INDEX(CategoryList,5),"")="","",IFERROR(AVERAGEIFS(Products!$AW$5:$AW$304,Products!$D$5:$D$304,IFERROR(INDEX(CategoryList,5),"")),""))</f>
        <v>0</v>
      </c>
      <c r="F55" s="32">
        <f>IF(IFERROR(INDEX(CategoryList,5),"")="","",SUMIFS(Products!$BH$5:$BH$304,Products!$D$5:$D$304,IFERROR(INDEX(CategoryList,5),"")))</f>
        <v>0</v>
      </c>
      <c r="G55" s="34">
        <f>IF(IFERROR(INDEX(CategoryList,5),"")="","",ROUND(SUMIFS(Products!$BI$5:$BI$304,Products!$D$5:$D$304,IFERROR(INDEX(CategoryList,5),"")),2))</f>
        <v>0</v>
      </c>
      <c r="H55" s="34">
        <f>IF(IFERROR(INDEX(CategoryList,5),"")="","",ROUND(SUMIFS(Products!$BJ$5:$BJ$304,Products!$D$5:$D$304,IFERROR(INDEX(CategoryList,5),"")),2))</f>
        <v>0</v>
      </c>
    </row>
    <row r="56" spans="1:14">
      <c r="A56" s="13">
        <f>IFERROR(INDEX(CategoryList,6),"")</f>
        <v>0</v>
      </c>
      <c r="B56" s="32">
        <f>IF(IFERROR(INDEX(CategoryList,6),"")="","",COUNTIFS(Products!$D$5:$D$304,IFERROR(INDEX(CategoryList,6),"")))</f>
        <v>0</v>
      </c>
      <c r="C56" s="20">
        <f>IF(IFERROR(INDEX(CategoryList,6),"")="","",IFERROR(AVERAGEIFS(Products!$AT$5:$AT$304,Products!$D$5:$D$304,IFERROR(INDEX(CategoryList,6),"")),""))</f>
        <v>0</v>
      </c>
      <c r="D56" s="20">
        <f>IF(IFERROR(INDEX(CategoryList,6),"")="","",IFERROR(AVERAGEIFS(Products!$AR$5:$AR$304,Products!$D$5:$D$304,IFERROR(INDEX(CategoryList,6),"")),""))</f>
        <v>0</v>
      </c>
      <c r="E56" s="33">
        <f>IF(IFERROR(INDEX(CategoryList,6),"")="","",IFERROR(AVERAGEIFS(Products!$AW$5:$AW$304,Products!$D$5:$D$304,IFERROR(INDEX(CategoryList,6),"")),""))</f>
        <v>0</v>
      </c>
      <c r="F56" s="32">
        <f>IF(IFERROR(INDEX(CategoryList,6),"")="","",SUMIFS(Products!$BH$5:$BH$304,Products!$D$5:$D$304,IFERROR(INDEX(CategoryList,6),"")))</f>
        <v>0</v>
      </c>
      <c r="G56" s="34">
        <f>IF(IFERROR(INDEX(CategoryList,6),"")="","",ROUND(SUMIFS(Products!$BI$5:$BI$304,Products!$D$5:$D$304,IFERROR(INDEX(CategoryList,6),"")),2))</f>
        <v>0</v>
      </c>
      <c r="H56" s="34">
        <f>IF(IFERROR(INDEX(CategoryList,6),"")="","",ROUND(SUMIFS(Products!$BJ$5:$BJ$304,Products!$D$5:$D$304,IFERROR(INDEX(CategoryList,6),"")),2))</f>
        <v>0</v>
      </c>
    </row>
    <row r="57" spans="1:14">
      <c r="A57" s="13">
        <f>IFERROR(INDEX(CategoryList,7),"")</f>
        <v>0</v>
      </c>
      <c r="B57" s="32">
        <f>IF(IFERROR(INDEX(CategoryList,7),"")="","",COUNTIFS(Products!$D$5:$D$304,IFERROR(INDEX(CategoryList,7),"")))</f>
        <v>0</v>
      </c>
      <c r="C57" s="20">
        <f>IF(IFERROR(INDEX(CategoryList,7),"")="","",IFERROR(AVERAGEIFS(Products!$AT$5:$AT$304,Products!$D$5:$D$304,IFERROR(INDEX(CategoryList,7),"")),""))</f>
        <v>0</v>
      </c>
      <c r="D57" s="20">
        <f>IF(IFERROR(INDEX(CategoryList,7),"")="","",IFERROR(AVERAGEIFS(Products!$AR$5:$AR$304,Products!$D$5:$D$304,IFERROR(INDEX(CategoryList,7),"")),""))</f>
        <v>0</v>
      </c>
      <c r="E57" s="33">
        <f>IF(IFERROR(INDEX(CategoryList,7),"")="","",IFERROR(AVERAGEIFS(Products!$AW$5:$AW$304,Products!$D$5:$D$304,IFERROR(INDEX(CategoryList,7),"")),""))</f>
        <v>0</v>
      </c>
      <c r="F57" s="32">
        <f>IF(IFERROR(INDEX(CategoryList,7),"")="","",SUMIFS(Products!$BH$5:$BH$304,Products!$D$5:$D$304,IFERROR(INDEX(CategoryList,7),"")))</f>
        <v>0</v>
      </c>
      <c r="G57" s="34">
        <f>IF(IFERROR(INDEX(CategoryList,7),"")="","",ROUND(SUMIFS(Products!$BI$5:$BI$304,Products!$D$5:$D$304,IFERROR(INDEX(CategoryList,7),"")),2))</f>
        <v>0</v>
      </c>
      <c r="H57" s="34">
        <f>IF(IFERROR(INDEX(CategoryList,7),"")="","",ROUND(SUMIFS(Products!$BJ$5:$BJ$304,Products!$D$5:$D$304,IFERROR(INDEX(CategoryList,7),"")),2))</f>
        <v>0</v>
      </c>
    </row>
    <row r="58" spans="1:14">
      <c r="A58" s="13">
        <f>IFERROR(INDEX(CategoryList,8),"")</f>
        <v>0</v>
      </c>
      <c r="B58" s="32">
        <f>IF(IFERROR(INDEX(CategoryList,8),"")="","",COUNTIFS(Products!$D$5:$D$304,IFERROR(INDEX(CategoryList,8),"")))</f>
        <v>0</v>
      </c>
      <c r="C58" s="20">
        <f>IF(IFERROR(INDEX(CategoryList,8),"")="","",IFERROR(AVERAGEIFS(Products!$AT$5:$AT$304,Products!$D$5:$D$304,IFERROR(INDEX(CategoryList,8),"")),""))</f>
        <v>0</v>
      </c>
      <c r="D58" s="20">
        <f>IF(IFERROR(INDEX(CategoryList,8),"")="","",IFERROR(AVERAGEIFS(Products!$AR$5:$AR$304,Products!$D$5:$D$304,IFERROR(INDEX(CategoryList,8),"")),""))</f>
        <v>0</v>
      </c>
      <c r="E58" s="33">
        <f>IF(IFERROR(INDEX(CategoryList,8),"")="","",IFERROR(AVERAGEIFS(Products!$AW$5:$AW$304,Products!$D$5:$D$304,IFERROR(INDEX(CategoryList,8),"")),""))</f>
        <v>0</v>
      </c>
      <c r="F58" s="32">
        <f>IF(IFERROR(INDEX(CategoryList,8),"")="","",SUMIFS(Products!$BH$5:$BH$304,Products!$D$5:$D$304,IFERROR(INDEX(CategoryList,8),"")))</f>
        <v>0</v>
      </c>
      <c r="G58" s="34">
        <f>IF(IFERROR(INDEX(CategoryList,8),"")="","",ROUND(SUMIFS(Products!$BI$5:$BI$304,Products!$D$5:$D$304,IFERROR(INDEX(CategoryList,8),"")),2))</f>
        <v>0</v>
      </c>
      <c r="H58" s="34">
        <f>IF(IFERROR(INDEX(CategoryList,8),"")="","",ROUND(SUMIFS(Products!$BJ$5:$BJ$304,Products!$D$5:$D$304,IFERROR(INDEX(CategoryList,8),"")),2))</f>
        <v>0</v>
      </c>
    </row>
    <row r="59" spans="1:14">
      <c r="A59" s="13">
        <f>IFERROR(INDEX(CategoryList,9),"")</f>
        <v>0</v>
      </c>
      <c r="B59" s="32">
        <f>IF(IFERROR(INDEX(CategoryList,9),"")="","",COUNTIFS(Products!$D$5:$D$304,IFERROR(INDEX(CategoryList,9),"")))</f>
        <v>0</v>
      </c>
      <c r="C59" s="20">
        <f>IF(IFERROR(INDEX(CategoryList,9),"")="","",IFERROR(AVERAGEIFS(Products!$AT$5:$AT$304,Products!$D$5:$D$304,IFERROR(INDEX(CategoryList,9),"")),""))</f>
        <v>0</v>
      </c>
      <c r="D59" s="20">
        <f>IF(IFERROR(INDEX(CategoryList,9),"")="","",IFERROR(AVERAGEIFS(Products!$AR$5:$AR$304,Products!$D$5:$D$304,IFERROR(INDEX(CategoryList,9),"")),""))</f>
        <v>0</v>
      </c>
      <c r="E59" s="33">
        <f>IF(IFERROR(INDEX(CategoryList,9),"")="","",IFERROR(AVERAGEIFS(Products!$AW$5:$AW$304,Products!$D$5:$D$304,IFERROR(INDEX(CategoryList,9),"")),""))</f>
        <v>0</v>
      </c>
      <c r="F59" s="32">
        <f>IF(IFERROR(INDEX(CategoryList,9),"")="","",SUMIFS(Products!$BH$5:$BH$304,Products!$D$5:$D$304,IFERROR(INDEX(CategoryList,9),"")))</f>
        <v>0</v>
      </c>
      <c r="G59" s="34">
        <f>IF(IFERROR(INDEX(CategoryList,9),"")="","",ROUND(SUMIFS(Products!$BI$5:$BI$304,Products!$D$5:$D$304,IFERROR(INDEX(CategoryList,9),"")),2))</f>
        <v>0</v>
      </c>
      <c r="H59" s="34">
        <f>IF(IFERROR(INDEX(CategoryList,9),"")="","",ROUND(SUMIFS(Products!$BJ$5:$BJ$304,Products!$D$5:$D$304,IFERROR(INDEX(CategoryList,9),"")),2))</f>
        <v>0</v>
      </c>
    </row>
    <row r="60" spans="1:14">
      <c r="A60" s="13">
        <f>IFERROR(INDEX(CategoryList,10),"")</f>
        <v>0</v>
      </c>
      <c r="B60" s="32">
        <f>IF(IFERROR(INDEX(CategoryList,10),"")="","",COUNTIFS(Products!$D$5:$D$304,IFERROR(INDEX(CategoryList,10),"")))</f>
        <v>0</v>
      </c>
      <c r="C60" s="20">
        <f>IF(IFERROR(INDEX(CategoryList,10),"")="","",IFERROR(AVERAGEIFS(Products!$AT$5:$AT$304,Products!$D$5:$D$304,IFERROR(INDEX(CategoryList,10),"")),""))</f>
        <v>0</v>
      </c>
      <c r="D60" s="20">
        <f>IF(IFERROR(INDEX(CategoryList,10),"")="","",IFERROR(AVERAGEIFS(Products!$AR$5:$AR$304,Products!$D$5:$D$304,IFERROR(INDEX(CategoryList,10),"")),""))</f>
        <v>0</v>
      </c>
      <c r="E60" s="33">
        <f>IF(IFERROR(INDEX(CategoryList,10),"")="","",IFERROR(AVERAGEIFS(Products!$AW$5:$AW$304,Products!$D$5:$D$304,IFERROR(INDEX(CategoryList,10),"")),""))</f>
        <v>0</v>
      </c>
      <c r="F60" s="32">
        <f>IF(IFERROR(INDEX(CategoryList,10),"")="","",SUMIFS(Products!$BH$5:$BH$304,Products!$D$5:$D$304,IFERROR(INDEX(CategoryList,10),"")))</f>
        <v>0</v>
      </c>
      <c r="G60" s="34">
        <f>IF(IFERROR(INDEX(CategoryList,10),"")="","",ROUND(SUMIFS(Products!$BI$5:$BI$304,Products!$D$5:$D$304,IFERROR(INDEX(CategoryList,10),"")),2))</f>
        <v>0</v>
      </c>
      <c r="H60" s="34">
        <f>IF(IFERROR(INDEX(CategoryList,10),"")="","",ROUND(SUMIFS(Products!$BJ$5:$BJ$304,Products!$D$5:$D$304,IFERROR(INDEX(CategoryList,10),"")),2))</f>
        <v>0</v>
      </c>
    </row>
    <row r="63" spans="1:14" ht="20" customHeight="1">
      <c r="A63" s="7" t="s">
        <v>433</v>
      </c>
      <c r="B63" s="7"/>
      <c r="C63" s="7"/>
      <c r="D63" s="7"/>
      <c r="E63" s="7"/>
      <c r="F63" s="7"/>
      <c r="G63" s="7"/>
      <c r="H63" s="7"/>
      <c r="I63" s="7"/>
      <c r="J63" s="7"/>
      <c r="K63" s="7"/>
      <c r="L63" s="7"/>
      <c r="M63" s="7"/>
      <c r="N63" s="7"/>
    </row>
    <row r="64" spans="1:14">
      <c r="A64" s="8" t="s">
        <v>370</v>
      </c>
      <c r="B64" s="9">
        <f>TEXT(DATE(YEAR(TodayDate),MONTH(TodayDate)-11,1),"mmm yy")</f>
        <v>0</v>
      </c>
      <c r="C64" s="9">
        <f>TEXT(DATE(YEAR(TodayDate),MONTH(TodayDate)-10,1),"mmm yy")</f>
        <v>0</v>
      </c>
      <c r="D64" s="9">
        <f>TEXT(DATE(YEAR(TodayDate),MONTH(TodayDate)-9,1),"mmm yy")</f>
        <v>0</v>
      </c>
      <c r="E64" s="9">
        <f>TEXT(DATE(YEAR(TodayDate),MONTH(TodayDate)-8,1),"mmm yy")</f>
        <v>0</v>
      </c>
      <c r="F64" s="9">
        <f>TEXT(DATE(YEAR(TodayDate),MONTH(TodayDate)-7,1),"mmm yy")</f>
        <v>0</v>
      </c>
      <c r="G64" s="9">
        <f>TEXT(DATE(YEAR(TodayDate),MONTH(TodayDate)-6,1),"mmm yy")</f>
        <v>0</v>
      </c>
      <c r="H64" s="9">
        <f>TEXT(DATE(YEAR(TodayDate),MONTH(TodayDate)-5,1),"mmm yy")</f>
        <v>0</v>
      </c>
      <c r="I64" s="9">
        <f>TEXT(DATE(YEAR(TodayDate),MONTH(TodayDate)-4,1),"mmm yy")</f>
        <v>0</v>
      </c>
      <c r="J64" s="9">
        <f>TEXT(DATE(YEAR(TodayDate),MONTH(TodayDate)-3,1),"mmm yy")</f>
        <v>0</v>
      </c>
      <c r="K64" s="9">
        <f>TEXT(DATE(YEAR(TodayDate),MONTH(TodayDate)-2,1),"mmm yy")</f>
        <v>0</v>
      </c>
      <c r="L64" s="9">
        <f>TEXT(DATE(YEAR(TodayDate),MONTH(TodayDate)-1,1),"mmm yy")</f>
        <v>0</v>
      </c>
      <c r="M64" s="9">
        <f>TEXT(DATE(YEAR(TodayDate),MONTH(TodayDate)-0,1),"mmm yy")</f>
        <v>0</v>
      </c>
    </row>
    <row r="65" spans="1:14">
      <c r="A65" s="11" t="s">
        <v>434</v>
      </c>
      <c r="B65" s="35">
        <f>TEXT(DATE(YEAR(TodayDate),MONTH(TodayDate)-11,1),"yyyy-mm")</f>
        <v>0</v>
      </c>
      <c r="C65" s="35">
        <f>TEXT(DATE(YEAR(TodayDate),MONTH(TodayDate)-10,1),"yyyy-mm")</f>
        <v>0</v>
      </c>
      <c r="D65" s="35">
        <f>TEXT(DATE(YEAR(TodayDate),MONTH(TodayDate)-9,1),"yyyy-mm")</f>
        <v>0</v>
      </c>
      <c r="E65" s="35">
        <f>TEXT(DATE(YEAR(TodayDate),MONTH(TodayDate)-8,1),"yyyy-mm")</f>
        <v>0</v>
      </c>
      <c r="F65" s="35">
        <f>TEXT(DATE(YEAR(TodayDate),MONTH(TodayDate)-7,1),"yyyy-mm")</f>
        <v>0</v>
      </c>
      <c r="G65" s="35">
        <f>TEXT(DATE(YEAR(TodayDate),MONTH(TodayDate)-6,1),"yyyy-mm")</f>
        <v>0</v>
      </c>
      <c r="H65" s="35">
        <f>TEXT(DATE(YEAR(TodayDate),MONTH(TodayDate)-5,1),"yyyy-mm")</f>
        <v>0</v>
      </c>
      <c r="I65" s="35">
        <f>TEXT(DATE(YEAR(TodayDate),MONTH(TodayDate)-4,1),"yyyy-mm")</f>
        <v>0</v>
      </c>
      <c r="J65" s="35">
        <f>TEXT(DATE(YEAR(TodayDate),MONTH(TodayDate)-3,1),"yyyy-mm")</f>
        <v>0</v>
      </c>
      <c r="K65" s="35">
        <f>TEXT(DATE(YEAR(TodayDate),MONTH(TodayDate)-2,1),"yyyy-mm")</f>
        <v>0</v>
      </c>
      <c r="L65" s="35">
        <f>TEXT(DATE(YEAR(TodayDate),MONTH(TodayDate)-1,1),"yyyy-mm")</f>
        <v>0</v>
      </c>
      <c r="M65" s="35">
        <f>TEXT(DATE(YEAR(TodayDate),MONTH(TodayDate)-0,1),"yyyy-mm")</f>
        <v>0</v>
      </c>
    </row>
    <row r="66" spans="1:14">
      <c r="A66" s="10" t="s">
        <v>432</v>
      </c>
      <c r="B66" s="34">
        <f>ROUND(SUMIFS(Sales!$V$5:$V$804,Sales!$R$5:$R$804,B$65),2)</f>
        <v>0</v>
      </c>
      <c r="C66" s="34">
        <f>ROUND(SUMIFS(Sales!$V$5:$V$804,Sales!$R$5:$R$804,C$65),2)</f>
        <v>0</v>
      </c>
      <c r="D66" s="34">
        <f>ROUND(SUMIFS(Sales!$V$5:$V$804,Sales!$R$5:$R$804,D$65),2)</f>
        <v>0</v>
      </c>
      <c r="E66" s="34">
        <f>ROUND(SUMIFS(Sales!$V$5:$V$804,Sales!$R$5:$R$804,E$65),2)</f>
        <v>0</v>
      </c>
      <c r="F66" s="34">
        <f>ROUND(SUMIFS(Sales!$V$5:$V$804,Sales!$R$5:$R$804,F$65),2)</f>
        <v>0</v>
      </c>
      <c r="G66" s="34">
        <f>ROUND(SUMIFS(Sales!$V$5:$V$804,Sales!$R$5:$R$804,G$65),2)</f>
        <v>0</v>
      </c>
      <c r="H66" s="34">
        <f>ROUND(SUMIFS(Sales!$V$5:$V$804,Sales!$R$5:$R$804,H$65),2)</f>
        <v>0</v>
      </c>
      <c r="I66" s="34">
        <f>ROUND(SUMIFS(Sales!$V$5:$V$804,Sales!$R$5:$R$804,I$65),2)</f>
        <v>0</v>
      </c>
      <c r="J66" s="34">
        <f>ROUND(SUMIFS(Sales!$V$5:$V$804,Sales!$R$5:$R$804,J$65),2)</f>
        <v>0</v>
      </c>
      <c r="K66" s="34">
        <f>ROUND(SUMIFS(Sales!$V$5:$V$804,Sales!$R$5:$R$804,K$65),2)</f>
        <v>0</v>
      </c>
      <c r="L66" s="34">
        <f>ROUND(SUMIFS(Sales!$V$5:$V$804,Sales!$R$5:$R$804,L$65),2)</f>
        <v>0</v>
      </c>
      <c r="M66" s="34">
        <f>ROUND(SUMIFS(Sales!$V$5:$V$804,Sales!$R$5:$R$804,M$65),2)</f>
        <v>0</v>
      </c>
    </row>
    <row r="67" spans="1:14">
      <c r="A67" s="10" t="s">
        <v>435</v>
      </c>
      <c r="B67" s="34">
        <f>ROUND(SUMIFS(Sales!$Y$5:$Y$804,Sales!$R$5:$R$804,B$65),2)</f>
        <v>0</v>
      </c>
      <c r="C67" s="34">
        <f>ROUND(SUMIFS(Sales!$Y$5:$Y$804,Sales!$R$5:$R$804,C$65),2)</f>
        <v>0</v>
      </c>
      <c r="D67" s="34">
        <f>ROUND(SUMIFS(Sales!$Y$5:$Y$804,Sales!$R$5:$R$804,D$65),2)</f>
        <v>0</v>
      </c>
      <c r="E67" s="34">
        <f>ROUND(SUMIFS(Sales!$Y$5:$Y$804,Sales!$R$5:$R$804,E$65),2)</f>
        <v>0</v>
      </c>
      <c r="F67" s="34">
        <f>ROUND(SUMIFS(Sales!$Y$5:$Y$804,Sales!$R$5:$R$804,F$65),2)</f>
        <v>0</v>
      </c>
      <c r="G67" s="34">
        <f>ROUND(SUMIFS(Sales!$Y$5:$Y$804,Sales!$R$5:$R$804,G$65),2)</f>
        <v>0</v>
      </c>
      <c r="H67" s="34">
        <f>ROUND(SUMIFS(Sales!$Y$5:$Y$804,Sales!$R$5:$R$804,H$65),2)</f>
        <v>0</v>
      </c>
      <c r="I67" s="34">
        <f>ROUND(SUMIFS(Sales!$Y$5:$Y$804,Sales!$R$5:$R$804,I$65),2)</f>
        <v>0</v>
      </c>
      <c r="J67" s="34">
        <f>ROUND(SUMIFS(Sales!$Y$5:$Y$804,Sales!$R$5:$R$804,J$65),2)</f>
        <v>0</v>
      </c>
      <c r="K67" s="34">
        <f>ROUND(SUMIFS(Sales!$Y$5:$Y$804,Sales!$R$5:$R$804,K$65),2)</f>
        <v>0</v>
      </c>
      <c r="L67" s="34">
        <f>ROUND(SUMIFS(Sales!$Y$5:$Y$804,Sales!$R$5:$R$804,L$65),2)</f>
        <v>0</v>
      </c>
      <c r="M67" s="34">
        <f>ROUND(SUMIFS(Sales!$Y$5:$Y$804,Sales!$R$5:$R$804,M$65),2)</f>
        <v>0</v>
      </c>
    </row>
    <row r="68" spans="1:14">
      <c r="A68" s="10" t="s">
        <v>436</v>
      </c>
      <c r="B68" s="34">
        <f>ROUND(SUMIFS(Sales!$AE$5:$AE$804,Sales!$R$5:$R$804,B$65),2)</f>
        <v>0</v>
      </c>
      <c r="C68" s="34">
        <f>ROUND(SUMIFS(Sales!$AE$5:$AE$804,Sales!$R$5:$R$804,C$65),2)</f>
        <v>0</v>
      </c>
      <c r="D68" s="34">
        <f>ROUND(SUMIFS(Sales!$AE$5:$AE$804,Sales!$R$5:$R$804,D$65),2)</f>
        <v>0</v>
      </c>
      <c r="E68" s="34">
        <f>ROUND(SUMIFS(Sales!$AE$5:$AE$804,Sales!$R$5:$R$804,E$65),2)</f>
        <v>0</v>
      </c>
      <c r="F68" s="34">
        <f>ROUND(SUMIFS(Sales!$AE$5:$AE$804,Sales!$R$5:$R$804,F$65),2)</f>
        <v>0</v>
      </c>
      <c r="G68" s="34">
        <f>ROUND(SUMIFS(Sales!$AE$5:$AE$804,Sales!$R$5:$R$804,G$65),2)</f>
        <v>0</v>
      </c>
      <c r="H68" s="34">
        <f>ROUND(SUMIFS(Sales!$AE$5:$AE$804,Sales!$R$5:$R$804,H$65),2)</f>
        <v>0</v>
      </c>
      <c r="I68" s="34">
        <f>ROUND(SUMIFS(Sales!$AE$5:$AE$804,Sales!$R$5:$R$804,I$65),2)</f>
        <v>0</v>
      </c>
      <c r="J68" s="34">
        <f>ROUND(SUMIFS(Sales!$AE$5:$AE$804,Sales!$R$5:$R$804,J$65),2)</f>
        <v>0</v>
      </c>
      <c r="K68" s="34">
        <f>ROUND(SUMIFS(Sales!$AE$5:$AE$804,Sales!$R$5:$R$804,K$65),2)</f>
        <v>0</v>
      </c>
      <c r="L68" s="34">
        <f>ROUND(SUMIFS(Sales!$AE$5:$AE$804,Sales!$R$5:$R$804,L$65),2)</f>
        <v>0</v>
      </c>
      <c r="M68" s="34">
        <f>ROUND(SUMIFS(Sales!$AE$5:$AE$804,Sales!$R$5:$R$804,M$65),2)</f>
        <v>0</v>
      </c>
    </row>
    <row r="69" spans="1:14">
      <c r="A69" s="10" t="s">
        <v>421</v>
      </c>
      <c r="B69" s="34">
        <f>ROUND(SUMIFS(Sales!$AG$5:$AG$804,Sales!$R$5:$R$804,B$65),2)</f>
        <v>0</v>
      </c>
      <c r="C69" s="34">
        <f>ROUND(SUMIFS(Sales!$AG$5:$AG$804,Sales!$R$5:$R$804,C$65),2)</f>
        <v>0</v>
      </c>
      <c r="D69" s="34">
        <f>ROUND(SUMIFS(Sales!$AG$5:$AG$804,Sales!$R$5:$R$804,D$65),2)</f>
        <v>0</v>
      </c>
      <c r="E69" s="34">
        <f>ROUND(SUMIFS(Sales!$AG$5:$AG$804,Sales!$R$5:$R$804,E$65),2)</f>
        <v>0</v>
      </c>
      <c r="F69" s="34">
        <f>ROUND(SUMIFS(Sales!$AG$5:$AG$804,Sales!$R$5:$R$804,F$65),2)</f>
        <v>0</v>
      </c>
      <c r="G69" s="34">
        <f>ROUND(SUMIFS(Sales!$AG$5:$AG$804,Sales!$R$5:$R$804,G$65),2)</f>
        <v>0</v>
      </c>
      <c r="H69" s="34">
        <f>ROUND(SUMIFS(Sales!$AG$5:$AG$804,Sales!$R$5:$R$804,H$65),2)</f>
        <v>0</v>
      </c>
      <c r="I69" s="34">
        <f>ROUND(SUMIFS(Sales!$AG$5:$AG$804,Sales!$R$5:$R$804,I$65),2)</f>
        <v>0</v>
      </c>
      <c r="J69" s="34">
        <f>ROUND(SUMIFS(Sales!$AG$5:$AG$804,Sales!$R$5:$R$804,J$65),2)</f>
        <v>0</v>
      </c>
      <c r="K69" s="34">
        <f>ROUND(SUMIFS(Sales!$AG$5:$AG$804,Sales!$R$5:$R$804,K$65),2)</f>
        <v>0</v>
      </c>
      <c r="L69" s="34">
        <f>ROUND(SUMIFS(Sales!$AG$5:$AG$804,Sales!$R$5:$R$804,L$65),2)</f>
        <v>0</v>
      </c>
      <c r="M69" s="34">
        <f>ROUND(SUMIFS(Sales!$AG$5:$AG$804,Sales!$R$5:$R$804,M$65),2)</f>
        <v>0</v>
      </c>
    </row>
    <row r="70" spans="1:14">
      <c r="A70" s="10" t="s">
        <v>437</v>
      </c>
      <c r="B70" s="32">
        <f>ROUND(SUMIFS(Sales!$D$5:$D$804,Sales!$R$5:$R$804,B$65),2)</f>
        <v>0</v>
      </c>
      <c r="C70" s="32">
        <f>ROUND(SUMIFS(Sales!$D$5:$D$804,Sales!$R$5:$R$804,C$65),2)</f>
        <v>0</v>
      </c>
      <c r="D70" s="32">
        <f>ROUND(SUMIFS(Sales!$D$5:$D$804,Sales!$R$5:$R$804,D$65),2)</f>
        <v>0</v>
      </c>
      <c r="E70" s="32">
        <f>ROUND(SUMIFS(Sales!$D$5:$D$804,Sales!$R$5:$R$804,E$65),2)</f>
        <v>0</v>
      </c>
      <c r="F70" s="32">
        <f>ROUND(SUMIFS(Sales!$D$5:$D$804,Sales!$R$5:$R$804,F$65),2)</f>
        <v>0</v>
      </c>
      <c r="G70" s="32">
        <f>ROUND(SUMIFS(Sales!$D$5:$D$804,Sales!$R$5:$R$804,G$65),2)</f>
        <v>0</v>
      </c>
      <c r="H70" s="32">
        <f>ROUND(SUMIFS(Sales!$D$5:$D$804,Sales!$R$5:$R$804,H$65),2)</f>
        <v>0</v>
      </c>
      <c r="I70" s="32">
        <f>ROUND(SUMIFS(Sales!$D$5:$D$804,Sales!$R$5:$R$804,I$65),2)</f>
        <v>0</v>
      </c>
      <c r="J70" s="32">
        <f>ROUND(SUMIFS(Sales!$D$5:$D$804,Sales!$R$5:$R$804,J$65),2)</f>
        <v>0</v>
      </c>
      <c r="K70" s="32">
        <f>ROUND(SUMIFS(Sales!$D$5:$D$804,Sales!$R$5:$R$804,K$65),2)</f>
        <v>0</v>
      </c>
      <c r="L70" s="32">
        <f>ROUND(SUMIFS(Sales!$D$5:$D$804,Sales!$R$5:$R$804,L$65),2)</f>
        <v>0</v>
      </c>
      <c r="M70" s="32">
        <f>ROUND(SUMIFS(Sales!$D$5:$D$804,Sales!$R$5:$R$804,M$65),2)</f>
        <v>0</v>
      </c>
    </row>
    <row r="71" spans="1:14">
      <c r="A71" s="10" t="s">
        <v>438</v>
      </c>
      <c r="B71" s="36">
        <f>ROUND(SUMIFS(Sales!$AK$5:$AK$804,Sales!$R$5:$R$804,B$65),2)</f>
        <v>0</v>
      </c>
      <c r="C71" s="36">
        <f>ROUND(SUMIFS(Sales!$AK$5:$AK$804,Sales!$R$5:$R$804,C$65),2)</f>
        <v>0</v>
      </c>
      <c r="D71" s="36">
        <f>ROUND(SUMIFS(Sales!$AK$5:$AK$804,Sales!$R$5:$R$804,D$65),2)</f>
        <v>0</v>
      </c>
      <c r="E71" s="36">
        <f>ROUND(SUMIFS(Sales!$AK$5:$AK$804,Sales!$R$5:$R$804,E$65),2)</f>
        <v>0</v>
      </c>
      <c r="F71" s="36">
        <f>ROUND(SUMIFS(Sales!$AK$5:$AK$804,Sales!$R$5:$R$804,F$65),2)</f>
        <v>0</v>
      </c>
      <c r="G71" s="36">
        <f>ROUND(SUMIFS(Sales!$AK$5:$AK$804,Sales!$R$5:$R$804,G$65),2)</f>
        <v>0</v>
      </c>
      <c r="H71" s="36">
        <f>ROUND(SUMIFS(Sales!$AK$5:$AK$804,Sales!$R$5:$R$804,H$65),2)</f>
        <v>0</v>
      </c>
      <c r="I71" s="36">
        <f>ROUND(SUMIFS(Sales!$AK$5:$AK$804,Sales!$R$5:$R$804,I$65),2)</f>
        <v>0</v>
      </c>
      <c r="J71" s="36">
        <f>ROUND(SUMIFS(Sales!$AK$5:$AK$804,Sales!$R$5:$R$804,J$65),2)</f>
        <v>0</v>
      </c>
      <c r="K71" s="36">
        <f>ROUND(SUMIFS(Sales!$AK$5:$AK$804,Sales!$R$5:$R$804,K$65),2)</f>
        <v>0</v>
      </c>
      <c r="L71" s="36">
        <f>ROUND(SUMIFS(Sales!$AK$5:$AK$804,Sales!$R$5:$R$804,L$65),2)</f>
        <v>0</v>
      </c>
      <c r="M71" s="36">
        <f>ROUND(SUMIFS(Sales!$AK$5:$AK$804,Sales!$R$5:$R$804,M$65),2)</f>
        <v>0</v>
      </c>
    </row>
    <row r="72" spans="1:14">
      <c r="A72" s="10" t="s">
        <v>42</v>
      </c>
      <c r="B72" s="37">
        <f>IFERROR(B69/B66,"")</f>
        <v>0</v>
      </c>
      <c r="C72" s="37">
        <f>IFERROR(C69/C66,"")</f>
        <v>0</v>
      </c>
      <c r="D72" s="37">
        <f>IFERROR(D69/D66,"")</f>
        <v>0</v>
      </c>
      <c r="E72" s="37">
        <f>IFERROR(E69/E66,"")</f>
        <v>0</v>
      </c>
      <c r="F72" s="37">
        <f>IFERROR(F69/F66,"")</f>
        <v>0</v>
      </c>
      <c r="G72" s="37">
        <f>IFERROR(G69/G66,"")</f>
        <v>0</v>
      </c>
      <c r="H72" s="37">
        <f>IFERROR(H69/H66,"")</f>
        <v>0</v>
      </c>
      <c r="I72" s="37">
        <f>IFERROR(I69/I66,"")</f>
        <v>0</v>
      </c>
      <c r="J72" s="37">
        <f>IFERROR(J69/J66,"")</f>
        <v>0</v>
      </c>
      <c r="K72" s="37">
        <f>IFERROR(K69/K66,"")</f>
        <v>0</v>
      </c>
      <c r="L72" s="37">
        <f>IFERROR(L69/L66,"")</f>
        <v>0</v>
      </c>
      <c r="M72" s="37">
        <f>IFERROR(M69/M66,"")</f>
        <v>0</v>
      </c>
    </row>
    <row r="74" spans="1:14">
      <c r="A74" s="12" t="s">
        <v>439</v>
      </c>
      <c r="B74" s="12"/>
      <c r="C74" s="12"/>
      <c r="D74" s="12"/>
      <c r="E74" s="12"/>
      <c r="F74" s="12"/>
      <c r="G74" s="12"/>
      <c r="H74" s="12"/>
      <c r="I74" s="12"/>
      <c r="J74" s="12"/>
      <c r="K74" s="12"/>
      <c r="L74" s="12"/>
      <c r="M74" s="12"/>
      <c r="N74" s="12"/>
    </row>
    <row r="76" spans="1:14" ht="20" customHeight="1">
      <c r="A76" s="7" t="s">
        <v>440</v>
      </c>
      <c r="B76" s="7"/>
      <c r="C76" s="7"/>
      <c r="D76" s="7"/>
      <c r="E76" s="7"/>
      <c r="F76" s="7"/>
      <c r="G76" s="7"/>
      <c r="H76" s="7"/>
      <c r="I76" s="7"/>
      <c r="J76" s="7"/>
      <c r="K76" s="7"/>
      <c r="L76" s="7"/>
      <c r="M76" s="7"/>
      <c r="N76" s="7"/>
    </row>
    <row r="77" spans="1:14" ht="26" customHeight="1">
      <c r="A77" s="8" t="s">
        <v>441</v>
      </c>
      <c r="B77" s="9" t="s">
        <v>442</v>
      </c>
      <c r="C77" s="9" t="s">
        <v>432</v>
      </c>
      <c r="D77" s="9" t="s">
        <v>436</v>
      </c>
      <c r="E77" s="9" t="s">
        <v>443</v>
      </c>
      <c r="F77" s="9" t="s">
        <v>421</v>
      </c>
      <c r="G77" s="9" t="s">
        <v>42</v>
      </c>
      <c r="H77" s="9" t="s">
        <v>444</v>
      </c>
    </row>
    <row r="78" spans="1:14">
      <c r="A78" s="13">
        <f>IFERROR(INDEX(Channels!$A$5:$A$18,1)&amp;"","")</f>
        <v>0</v>
      </c>
      <c r="B78" s="32">
        <f>IF(IFERROR(INDEX(Channels!$A$5:$A$18,1)&amp;"","")="","",COUNTIFS(Sales!$E$5:$E$804,IFERROR(INDEX(Channels!$A$5:$A$18,1)&amp;"","")))</f>
        <v>0</v>
      </c>
      <c r="C78" s="34">
        <f>IF(IFERROR(INDEX(Channels!$A$5:$A$18,1)&amp;"","")="","",ROUND(SUMIFS(Sales!$V$5:$V$804,Sales!$E$5:$E$804,IFERROR(INDEX(Channels!$A$5:$A$18,1)&amp;"","")),2))</f>
        <v>0</v>
      </c>
      <c r="D78" s="34">
        <f>IF(IFERROR(INDEX(Channels!$A$5:$A$18,1)&amp;"","")="","",ROUND(SUMIFS(Sales!$AE$5:$AE$804,Sales!$E$5:$E$804,IFERROR(INDEX(Channels!$A$5:$A$18,1)&amp;"","")),2))</f>
        <v>0</v>
      </c>
      <c r="E78" s="33">
        <f>IFERROR(D78/C78,"")</f>
        <v>0</v>
      </c>
      <c r="F78" s="34">
        <f>IF(IFERROR(INDEX(Channels!$A$5:$A$18,1)&amp;"","")="","",ROUND(SUMIFS(Sales!$AG$5:$AG$804,Sales!$E$5:$E$804,IFERROR(INDEX(Channels!$A$5:$A$18,1)&amp;"","")),2))</f>
        <v>0</v>
      </c>
      <c r="G78" s="33">
        <f>IFERROR(F78/C78,"")</f>
        <v>0</v>
      </c>
      <c r="H78" s="33">
        <f>IFERROR(C78/SUM(Sales!$V$5:$V$804),"")</f>
        <v>0</v>
      </c>
    </row>
    <row r="79" spans="1:14">
      <c r="A79" s="13">
        <f>IFERROR(INDEX(Channels!$A$5:$A$18,2)&amp;"","")</f>
        <v>0</v>
      </c>
      <c r="B79" s="32">
        <f>IF(IFERROR(INDEX(Channels!$A$5:$A$18,2)&amp;"","")="","",COUNTIFS(Sales!$E$5:$E$804,IFERROR(INDEX(Channels!$A$5:$A$18,2)&amp;"","")))</f>
        <v>0</v>
      </c>
      <c r="C79" s="34">
        <f>IF(IFERROR(INDEX(Channels!$A$5:$A$18,2)&amp;"","")="","",ROUND(SUMIFS(Sales!$V$5:$V$804,Sales!$E$5:$E$804,IFERROR(INDEX(Channels!$A$5:$A$18,2)&amp;"","")),2))</f>
        <v>0</v>
      </c>
      <c r="D79" s="34">
        <f>IF(IFERROR(INDEX(Channels!$A$5:$A$18,2)&amp;"","")="","",ROUND(SUMIFS(Sales!$AE$5:$AE$804,Sales!$E$5:$E$804,IFERROR(INDEX(Channels!$A$5:$A$18,2)&amp;"","")),2))</f>
        <v>0</v>
      </c>
      <c r="E79" s="33">
        <f>IFERROR(D79/C79,"")</f>
        <v>0</v>
      </c>
      <c r="F79" s="34">
        <f>IF(IFERROR(INDEX(Channels!$A$5:$A$18,2)&amp;"","")="","",ROUND(SUMIFS(Sales!$AG$5:$AG$804,Sales!$E$5:$E$804,IFERROR(INDEX(Channels!$A$5:$A$18,2)&amp;"","")),2))</f>
        <v>0</v>
      </c>
      <c r="G79" s="33">
        <f>IFERROR(F79/C79,"")</f>
        <v>0</v>
      </c>
      <c r="H79" s="33">
        <f>IFERROR(C79/SUM(Sales!$V$5:$V$804),"")</f>
        <v>0</v>
      </c>
    </row>
    <row r="80" spans="1:14">
      <c r="A80" s="13">
        <f>IFERROR(INDEX(Channels!$A$5:$A$18,3)&amp;"","")</f>
        <v>0</v>
      </c>
      <c r="B80" s="32">
        <f>IF(IFERROR(INDEX(Channels!$A$5:$A$18,3)&amp;"","")="","",COUNTIFS(Sales!$E$5:$E$804,IFERROR(INDEX(Channels!$A$5:$A$18,3)&amp;"","")))</f>
        <v>0</v>
      </c>
      <c r="C80" s="34">
        <f>IF(IFERROR(INDEX(Channels!$A$5:$A$18,3)&amp;"","")="","",ROUND(SUMIFS(Sales!$V$5:$V$804,Sales!$E$5:$E$804,IFERROR(INDEX(Channels!$A$5:$A$18,3)&amp;"","")),2))</f>
        <v>0</v>
      </c>
      <c r="D80" s="34">
        <f>IF(IFERROR(INDEX(Channels!$A$5:$A$18,3)&amp;"","")="","",ROUND(SUMIFS(Sales!$AE$5:$AE$804,Sales!$E$5:$E$804,IFERROR(INDEX(Channels!$A$5:$A$18,3)&amp;"","")),2))</f>
        <v>0</v>
      </c>
      <c r="E80" s="33">
        <f>IFERROR(D80/C80,"")</f>
        <v>0</v>
      </c>
      <c r="F80" s="34">
        <f>IF(IFERROR(INDEX(Channels!$A$5:$A$18,3)&amp;"","")="","",ROUND(SUMIFS(Sales!$AG$5:$AG$804,Sales!$E$5:$E$804,IFERROR(INDEX(Channels!$A$5:$A$18,3)&amp;"","")),2))</f>
        <v>0</v>
      </c>
      <c r="G80" s="33">
        <f>IFERROR(F80/C80,"")</f>
        <v>0</v>
      </c>
      <c r="H80" s="33">
        <f>IFERROR(C80/SUM(Sales!$V$5:$V$804),"")</f>
        <v>0</v>
      </c>
    </row>
    <row r="81" spans="1:14">
      <c r="A81" s="13">
        <f>IFERROR(INDEX(Channels!$A$5:$A$18,4)&amp;"","")</f>
        <v>0</v>
      </c>
      <c r="B81" s="32">
        <f>IF(IFERROR(INDEX(Channels!$A$5:$A$18,4)&amp;"","")="","",COUNTIFS(Sales!$E$5:$E$804,IFERROR(INDEX(Channels!$A$5:$A$18,4)&amp;"","")))</f>
        <v>0</v>
      </c>
      <c r="C81" s="34">
        <f>IF(IFERROR(INDEX(Channels!$A$5:$A$18,4)&amp;"","")="","",ROUND(SUMIFS(Sales!$V$5:$V$804,Sales!$E$5:$E$804,IFERROR(INDEX(Channels!$A$5:$A$18,4)&amp;"","")),2))</f>
        <v>0</v>
      </c>
      <c r="D81" s="34">
        <f>IF(IFERROR(INDEX(Channels!$A$5:$A$18,4)&amp;"","")="","",ROUND(SUMIFS(Sales!$AE$5:$AE$804,Sales!$E$5:$E$804,IFERROR(INDEX(Channels!$A$5:$A$18,4)&amp;"","")),2))</f>
        <v>0</v>
      </c>
      <c r="E81" s="33">
        <f>IFERROR(D81/C81,"")</f>
        <v>0</v>
      </c>
      <c r="F81" s="34">
        <f>IF(IFERROR(INDEX(Channels!$A$5:$A$18,4)&amp;"","")="","",ROUND(SUMIFS(Sales!$AG$5:$AG$804,Sales!$E$5:$E$804,IFERROR(INDEX(Channels!$A$5:$A$18,4)&amp;"","")),2))</f>
        <v>0</v>
      </c>
      <c r="G81" s="33">
        <f>IFERROR(F81/C81,"")</f>
        <v>0</v>
      </c>
      <c r="H81" s="33">
        <f>IFERROR(C81/SUM(Sales!$V$5:$V$804),"")</f>
        <v>0</v>
      </c>
    </row>
    <row r="82" spans="1:14">
      <c r="A82" s="13">
        <f>IFERROR(INDEX(Channels!$A$5:$A$18,5)&amp;"","")</f>
        <v>0</v>
      </c>
      <c r="B82" s="32">
        <f>IF(IFERROR(INDEX(Channels!$A$5:$A$18,5)&amp;"","")="","",COUNTIFS(Sales!$E$5:$E$804,IFERROR(INDEX(Channels!$A$5:$A$18,5)&amp;"","")))</f>
        <v>0</v>
      </c>
      <c r="C82" s="34">
        <f>IF(IFERROR(INDEX(Channels!$A$5:$A$18,5)&amp;"","")="","",ROUND(SUMIFS(Sales!$V$5:$V$804,Sales!$E$5:$E$804,IFERROR(INDEX(Channels!$A$5:$A$18,5)&amp;"","")),2))</f>
        <v>0</v>
      </c>
      <c r="D82" s="34">
        <f>IF(IFERROR(INDEX(Channels!$A$5:$A$18,5)&amp;"","")="","",ROUND(SUMIFS(Sales!$AE$5:$AE$804,Sales!$E$5:$E$804,IFERROR(INDEX(Channels!$A$5:$A$18,5)&amp;"","")),2))</f>
        <v>0</v>
      </c>
      <c r="E82" s="33">
        <f>IFERROR(D82/C82,"")</f>
        <v>0</v>
      </c>
      <c r="F82" s="34">
        <f>IF(IFERROR(INDEX(Channels!$A$5:$A$18,5)&amp;"","")="","",ROUND(SUMIFS(Sales!$AG$5:$AG$804,Sales!$E$5:$E$804,IFERROR(INDEX(Channels!$A$5:$A$18,5)&amp;"","")),2))</f>
        <v>0</v>
      </c>
      <c r="G82" s="33">
        <f>IFERROR(F82/C82,"")</f>
        <v>0</v>
      </c>
      <c r="H82" s="33">
        <f>IFERROR(C82/SUM(Sales!$V$5:$V$804),"")</f>
        <v>0</v>
      </c>
    </row>
    <row r="83" spans="1:14">
      <c r="A83" s="13">
        <f>IFERROR(INDEX(Channels!$A$5:$A$18,6)&amp;"","")</f>
        <v>0</v>
      </c>
      <c r="B83" s="32">
        <f>IF(IFERROR(INDEX(Channels!$A$5:$A$18,6)&amp;"","")="","",COUNTIFS(Sales!$E$5:$E$804,IFERROR(INDEX(Channels!$A$5:$A$18,6)&amp;"","")))</f>
        <v>0</v>
      </c>
      <c r="C83" s="34">
        <f>IF(IFERROR(INDEX(Channels!$A$5:$A$18,6)&amp;"","")="","",ROUND(SUMIFS(Sales!$V$5:$V$804,Sales!$E$5:$E$804,IFERROR(INDEX(Channels!$A$5:$A$18,6)&amp;"","")),2))</f>
        <v>0</v>
      </c>
      <c r="D83" s="34">
        <f>IF(IFERROR(INDEX(Channels!$A$5:$A$18,6)&amp;"","")="","",ROUND(SUMIFS(Sales!$AE$5:$AE$804,Sales!$E$5:$E$804,IFERROR(INDEX(Channels!$A$5:$A$18,6)&amp;"","")),2))</f>
        <v>0</v>
      </c>
      <c r="E83" s="33">
        <f>IFERROR(D83/C83,"")</f>
        <v>0</v>
      </c>
      <c r="F83" s="34">
        <f>IF(IFERROR(INDEX(Channels!$A$5:$A$18,6)&amp;"","")="","",ROUND(SUMIFS(Sales!$AG$5:$AG$804,Sales!$E$5:$E$804,IFERROR(INDEX(Channels!$A$5:$A$18,6)&amp;"","")),2))</f>
        <v>0</v>
      </c>
      <c r="G83" s="33">
        <f>IFERROR(F83/C83,"")</f>
        <v>0</v>
      </c>
      <c r="H83" s="33">
        <f>IFERROR(C83/SUM(Sales!$V$5:$V$804),"")</f>
        <v>0</v>
      </c>
    </row>
    <row r="84" spans="1:14">
      <c r="A84" s="13">
        <f>IFERROR(INDEX(Channels!$A$5:$A$18,7)&amp;"","")</f>
        <v>0</v>
      </c>
      <c r="B84" s="32">
        <f>IF(IFERROR(INDEX(Channels!$A$5:$A$18,7)&amp;"","")="","",COUNTIFS(Sales!$E$5:$E$804,IFERROR(INDEX(Channels!$A$5:$A$18,7)&amp;"","")))</f>
        <v>0</v>
      </c>
      <c r="C84" s="34">
        <f>IF(IFERROR(INDEX(Channels!$A$5:$A$18,7)&amp;"","")="","",ROUND(SUMIFS(Sales!$V$5:$V$804,Sales!$E$5:$E$804,IFERROR(INDEX(Channels!$A$5:$A$18,7)&amp;"","")),2))</f>
        <v>0</v>
      </c>
      <c r="D84" s="34">
        <f>IF(IFERROR(INDEX(Channels!$A$5:$A$18,7)&amp;"","")="","",ROUND(SUMIFS(Sales!$AE$5:$AE$804,Sales!$E$5:$E$804,IFERROR(INDEX(Channels!$A$5:$A$18,7)&amp;"","")),2))</f>
        <v>0</v>
      </c>
      <c r="E84" s="33">
        <f>IFERROR(D84/C84,"")</f>
        <v>0</v>
      </c>
      <c r="F84" s="34">
        <f>IF(IFERROR(INDEX(Channels!$A$5:$A$18,7)&amp;"","")="","",ROUND(SUMIFS(Sales!$AG$5:$AG$804,Sales!$E$5:$E$804,IFERROR(INDEX(Channels!$A$5:$A$18,7)&amp;"","")),2))</f>
        <v>0</v>
      </c>
      <c r="G84" s="33">
        <f>IFERROR(F84/C84,"")</f>
        <v>0</v>
      </c>
      <c r="H84" s="33">
        <f>IFERROR(C84/SUM(Sales!$V$5:$V$804),"")</f>
        <v>0</v>
      </c>
    </row>
    <row r="85" spans="1:14">
      <c r="A85" s="13">
        <f>IFERROR(INDEX(Channels!$A$5:$A$18,8)&amp;"","")</f>
        <v>0</v>
      </c>
      <c r="B85" s="32">
        <f>IF(IFERROR(INDEX(Channels!$A$5:$A$18,8)&amp;"","")="","",COUNTIFS(Sales!$E$5:$E$804,IFERROR(INDEX(Channels!$A$5:$A$18,8)&amp;"","")))</f>
        <v>0</v>
      </c>
      <c r="C85" s="34">
        <f>IF(IFERROR(INDEX(Channels!$A$5:$A$18,8)&amp;"","")="","",ROUND(SUMIFS(Sales!$V$5:$V$804,Sales!$E$5:$E$804,IFERROR(INDEX(Channels!$A$5:$A$18,8)&amp;"","")),2))</f>
        <v>0</v>
      </c>
      <c r="D85" s="34">
        <f>IF(IFERROR(INDEX(Channels!$A$5:$A$18,8)&amp;"","")="","",ROUND(SUMIFS(Sales!$AE$5:$AE$804,Sales!$E$5:$E$804,IFERROR(INDEX(Channels!$A$5:$A$18,8)&amp;"","")),2))</f>
        <v>0</v>
      </c>
      <c r="E85" s="33">
        <f>IFERROR(D85/C85,"")</f>
        <v>0</v>
      </c>
      <c r="F85" s="34">
        <f>IF(IFERROR(INDEX(Channels!$A$5:$A$18,8)&amp;"","")="","",ROUND(SUMIFS(Sales!$AG$5:$AG$804,Sales!$E$5:$E$804,IFERROR(INDEX(Channels!$A$5:$A$18,8)&amp;"","")),2))</f>
        <v>0</v>
      </c>
      <c r="G85" s="33">
        <f>IFERROR(F85/C85,"")</f>
        <v>0</v>
      </c>
      <c r="H85" s="33">
        <f>IFERROR(C85/SUM(Sales!$V$5:$V$804),"")</f>
        <v>0</v>
      </c>
    </row>
    <row r="86" spans="1:14">
      <c r="A86" s="13">
        <f>IFERROR(INDEX(Channels!$A$5:$A$18,9)&amp;"","")</f>
        <v>0</v>
      </c>
      <c r="B86" s="32">
        <f>IF(IFERROR(INDEX(Channels!$A$5:$A$18,9)&amp;"","")="","",COUNTIFS(Sales!$E$5:$E$804,IFERROR(INDEX(Channels!$A$5:$A$18,9)&amp;"","")))</f>
        <v>0</v>
      </c>
      <c r="C86" s="34">
        <f>IF(IFERROR(INDEX(Channels!$A$5:$A$18,9)&amp;"","")="","",ROUND(SUMIFS(Sales!$V$5:$V$804,Sales!$E$5:$E$804,IFERROR(INDEX(Channels!$A$5:$A$18,9)&amp;"","")),2))</f>
        <v>0</v>
      </c>
      <c r="D86" s="34">
        <f>IF(IFERROR(INDEX(Channels!$A$5:$A$18,9)&amp;"","")="","",ROUND(SUMIFS(Sales!$AE$5:$AE$804,Sales!$E$5:$E$804,IFERROR(INDEX(Channels!$A$5:$A$18,9)&amp;"","")),2))</f>
        <v>0</v>
      </c>
      <c r="E86" s="33">
        <f>IFERROR(D86/C86,"")</f>
        <v>0</v>
      </c>
      <c r="F86" s="34">
        <f>IF(IFERROR(INDEX(Channels!$A$5:$A$18,9)&amp;"","")="","",ROUND(SUMIFS(Sales!$AG$5:$AG$804,Sales!$E$5:$E$804,IFERROR(INDEX(Channels!$A$5:$A$18,9)&amp;"","")),2))</f>
        <v>0</v>
      </c>
      <c r="G86" s="33">
        <f>IFERROR(F86/C86,"")</f>
        <v>0</v>
      </c>
      <c r="H86" s="33">
        <f>IFERROR(C86/SUM(Sales!$V$5:$V$804),"")</f>
        <v>0</v>
      </c>
    </row>
    <row r="87" spans="1:14">
      <c r="A87" s="13">
        <f>IFERROR(INDEX(Channels!$A$5:$A$18,10)&amp;"","")</f>
        <v>0</v>
      </c>
      <c r="B87" s="32">
        <f>IF(IFERROR(INDEX(Channels!$A$5:$A$18,10)&amp;"","")="","",COUNTIFS(Sales!$E$5:$E$804,IFERROR(INDEX(Channels!$A$5:$A$18,10)&amp;"","")))</f>
        <v>0</v>
      </c>
      <c r="C87" s="34">
        <f>IF(IFERROR(INDEX(Channels!$A$5:$A$18,10)&amp;"","")="","",ROUND(SUMIFS(Sales!$V$5:$V$804,Sales!$E$5:$E$804,IFERROR(INDEX(Channels!$A$5:$A$18,10)&amp;"","")),2))</f>
        <v>0</v>
      </c>
      <c r="D87" s="34">
        <f>IF(IFERROR(INDEX(Channels!$A$5:$A$18,10)&amp;"","")="","",ROUND(SUMIFS(Sales!$AE$5:$AE$804,Sales!$E$5:$E$804,IFERROR(INDEX(Channels!$A$5:$A$18,10)&amp;"","")),2))</f>
        <v>0</v>
      </c>
      <c r="E87" s="33">
        <f>IFERROR(D87/C87,"")</f>
        <v>0</v>
      </c>
      <c r="F87" s="34">
        <f>IF(IFERROR(INDEX(Channels!$A$5:$A$18,10)&amp;"","")="","",ROUND(SUMIFS(Sales!$AG$5:$AG$804,Sales!$E$5:$E$804,IFERROR(INDEX(Channels!$A$5:$A$18,10)&amp;"","")),2))</f>
        <v>0</v>
      </c>
      <c r="G87" s="33">
        <f>IFERROR(F87/C87,"")</f>
        <v>0</v>
      </c>
      <c r="H87" s="33">
        <f>IFERROR(C87/SUM(Sales!$V$5:$V$804),"")</f>
        <v>0</v>
      </c>
    </row>
    <row r="90" spans="1:14" ht="20" customHeight="1">
      <c r="A90" s="7" t="s">
        <v>445</v>
      </c>
      <c r="B90" s="7"/>
      <c r="C90" s="7"/>
      <c r="D90" s="7"/>
      <c r="E90" s="7"/>
      <c r="F90" s="7"/>
      <c r="G90" s="7"/>
      <c r="H90" s="7"/>
      <c r="I90" s="7"/>
      <c r="J90" s="7"/>
      <c r="K90" s="7"/>
      <c r="L90" s="7"/>
      <c r="M90" s="7"/>
      <c r="N90" s="7"/>
    </row>
    <row r="91" spans="1:14" ht="34" customHeight="1">
      <c r="A91" s="13">
        <f>IF(COUNTIF(Products!$BS$5:$BS$304,"Loss*")&gt;0,"Fix the products that lose money. There are "&amp;COUNTIF(Products!$BS$5:$BS$304,"Loss*")&amp;" of them on the Product Catalog - every sale of those makes things worse.",IF(COUNTIF(Products!$BS$5:$BS$304,"Below*")&gt;0,"Re-price the "&amp;COUNTIF(Products!$BS$5:$BS$304,"Below*")&amp;" products that pay you under minimum wage. Start with the Retail Price Calculator.",IF(COUNTIFS(Products!$B$5:$B$304,"&lt;&gt;",Products!$AR$5:$AR$304,"")&gt;0,"Price the products that have no price yet.",IF(FeesStale="Yes","Check your marketplace fee rates on the Channels tab - they were last reviewed "&amp;TEXT(FeesReviewed,"d mmm yyyy")&amp;".",IF(COUNTIF(Products!$BS$5:$BS$304,"Review*")&gt;0,"Review the prices that have not moved in "&amp;PriceReviewDays&amp;" days. Your costs have.","Everything is priced, nothing is losing money and your fees are current. Log this month's sales and look at what pays you best an hour.")))))</f>
        <v>0</v>
      </c>
      <c r="B91" s="13"/>
      <c r="C91" s="13"/>
      <c r="D91" s="13"/>
      <c r="E91" s="13"/>
      <c r="F91" s="13"/>
      <c r="G91" s="13"/>
      <c r="H91" s="13"/>
      <c r="I91" s="13"/>
      <c r="J91" s="13"/>
      <c r="K91" s="13"/>
      <c r="L91" s="13"/>
      <c r="M91" s="13"/>
      <c r="N91" s="13"/>
    </row>
  </sheetData>
  <sheetProtection password="EC7C" sheet="1" objects="1" scenarios="1" formatCells="0" formatColumns="0" formatRows="0" insertRows="0" insertHyperlinks="0" deleteRows="0" autoFilter="0"/>
  <mergeCells count="86">
    <mergeCell ref="A1:K1"/>
    <mergeCell ref="L1:N1"/>
    <mergeCell ref="A2:N2"/>
    <mergeCell ref="A3:B3"/>
    <mergeCell ref="C3:D3"/>
    <mergeCell ref="E3:F3"/>
    <mergeCell ref="G3:H3"/>
    <mergeCell ref="I3:J3"/>
    <mergeCell ref="K3:L3"/>
    <mergeCell ref="M3:N3"/>
    <mergeCell ref="B5:D5"/>
    <mergeCell ref="I5:J5"/>
    <mergeCell ref="K5:N5"/>
    <mergeCell ref="A7:C7"/>
    <mergeCell ref="A8:C8"/>
    <mergeCell ref="A9:C9"/>
    <mergeCell ref="D7:F7"/>
    <mergeCell ref="D8:F8"/>
    <mergeCell ref="D9:F9"/>
    <mergeCell ref="G7:I7"/>
    <mergeCell ref="G8:I8"/>
    <mergeCell ref="G9:I9"/>
    <mergeCell ref="J7:L7"/>
    <mergeCell ref="J8:L8"/>
    <mergeCell ref="J9:L9"/>
    <mergeCell ref="A11:C11"/>
    <mergeCell ref="A12:C12"/>
    <mergeCell ref="A13:C13"/>
    <mergeCell ref="D11:F11"/>
    <mergeCell ref="D12:F12"/>
    <mergeCell ref="D13:F13"/>
    <mergeCell ref="G11:I11"/>
    <mergeCell ref="G12:I12"/>
    <mergeCell ref="G13:I13"/>
    <mergeCell ref="J11:L11"/>
    <mergeCell ref="J12:L12"/>
    <mergeCell ref="J13:L13"/>
    <mergeCell ref="A15:C15"/>
    <mergeCell ref="A16:C16"/>
    <mergeCell ref="A17:C17"/>
    <mergeCell ref="D15:F15"/>
    <mergeCell ref="D16:F16"/>
    <mergeCell ref="D17:F17"/>
    <mergeCell ref="G15:I15"/>
    <mergeCell ref="G16:I16"/>
    <mergeCell ref="G17:I17"/>
    <mergeCell ref="J15:L15"/>
    <mergeCell ref="J16:L16"/>
    <mergeCell ref="J17:L17"/>
    <mergeCell ref="A19:N19"/>
    <mergeCell ref="C21:L21"/>
    <mergeCell ref="M21:N21"/>
    <mergeCell ref="C22:L22"/>
    <mergeCell ref="M22:N22"/>
    <mergeCell ref="C23:L23"/>
    <mergeCell ref="M23:N23"/>
    <mergeCell ref="C24:L24"/>
    <mergeCell ref="M24:N24"/>
    <mergeCell ref="C25:L25"/>
    <mergeCell ref="M25:N25"/>
    <mergeCell ref="C26:L26"/>
    <mergeCell ref="M26:N26"/>
    <mergeCell ref="C27:L27"/>
    <mergeCell ref="M27:N27"/>
    <mergeCell ref="C28:L28"/>
    <mergeCell ref="M28:N28"/>
    <mergeCell ref="C29:L29"/>
    <mergeCell ref="M29:N29"/>
    <mergeCell ref="C30:L30"/>
    <mergeCell ref="M30:N30"/>
    <mergeCell ref="C31:L31"/>
    <mergeCell ref="M31:N31"/>
    <mergeCell ref="C32:L32"/>
    <mergeCell ref="M32:N32"/>
    <mergeCell ref="C33:L33"/>
    <mergeCell ref="M33:N33"/>
    <mergeCell ref="C34:L34"/>
    <mergeCell ref="M34:N34"/>
    <mergeCell ref="A36:N36"/>
    <mergeCell ref="A47:N47"/>
    <mergeCell ref="A49:N49"/>
    <mergeCell ref="A63:N63"/>
    <mergeCell ref="A74:N74"/>
    <mergeCell ref="A76:N76"/>
    <mergeCell ref="A90:N90"/>
    <mergeCell ref="A91:N91"/>
  </mergeCells>
  <conditionalFormatting sqref="B21:B34">
    <cfRule type="cellIs" dxfId="0" priority="1" operator="greaterThan">
      <formula>0</formula>
    </cfRule>
    <cfRule type="cellIs" dxfId="1" priority="2" operator="equal">
      <formula>0</formula>
    </cfRule>
  </conditionalFormatting>
  <conditionalFormatting sqref="B38:B45">
    <cfRule type="dataBar" priority="3">
      <dataBar>
        <cfvo type="min" val="0"/>
        <cfvo type="max" val="0"/>
        <color rgb="FF8C9E6E"/>
      </dataBar>
    </cfRule>
  </conditionalFormatting>
  <conditionalFormatting sqref="B66:M66">
    <cfRule type="dataBar" priority="8">
      <dataBar>
        <cfvo type="min" val="0"/>
        <cfvo type="max" val="0"/>
        <color rgb="FFB5704F"/>
      </dataBar>
    </cfRule>
  </conditionalFormatting>
  <conditionalFormatting sqref="B72:M72">
    <cfRule type="cellIs" dxfId="0" priority="9" operator="lessThan">
      <formula>MarginWarning</formula>
    </cfRule>
  </conditionalFormatting>
  <conditionalFormatting sqref="D38:D45">
    <cfRule type="dataBar" priority="4">
      <dataBar>
        <cfvo type="min" val="0"/>
        <cfvo type="max" val="0"/>
        <color rgb="FF8C9E6E"/>
      </dataBar>
    </cfRule>
  </conditionalFormatting>
  <conditionalFormatting sqref="E51:E60">
    <cfRule type="colorScale" priority="6">
      <colorScale>
        <cfvo type="min" val="0"/>
        <cfvo type="percentile" val="50"/>
        <cfvo type="max" val="0"/>
        <color rgb="FFF8696B"/>
        <color rgb="FFFFEB84"/>
        <color rgb="FF63BE7B"/>
      </colorScale>
    </cfRule>
  </conditionalFormatting>
  <conditionalFormatting sqref="E78:E87">
    <cfRule type="cellIs" dxfId="0" priority="11" operator="greaterThan">
      <formula>0.25</formula>
    </cfRule>
  </conditionalFormatting>
  <conditionalFormatting sqref="F38:F45">
    <cfRule type="cellIs" dxfId="2" priority="5" operator="lessThan">
      <formula>MinimumWage</formula>
    </cfRule>
  </conditionalFormatting>
  <conditionalFormatting sqref="H51:H60">
    <cfRule type="dataBar" priority="7">
      <dataBar>
        <cfvo type="min" val="0"/>
        <cfvo type="max" val="0"/>
        <color rgb="FFB5704F"/>
      </dataBar>
    </cfRule>
  </conditionalFormatting>
  <conditionalFormatting sqref="H78:H87">
    <cfRule type="dataBar" priority="10">
      <dataBar>
        <cfvo type="min" val="0"/>
        <cfvo type="max" val="0"/>
        <color rgb="FF8C4A32"/>
      </dataBar>
    </cfRule>
  </conditionalFormatting>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s>
  <pageMargins left="0.4" right="0.4" top="0.6" bottom="0.5" header="0.3" footer="0.3"/>
  <pageSetup paperSize="9" fitToHeight="0" orientation="landscape"/>
  <headerFooter>
    <oddHeader>&amp;L&amp;"Calibri,Bold"&amp;12&amp;C&amp;"Calibri,Bold"&amp;11Dashboard&amp;R&amp;"Calibri,Italic"&amp;9Handmade Product Pricing &amp; Profit Calculator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5E7B5A"/>
          <x14:colorNegative theme="5"/>
          <x14:colorAxis rgb="FF000000"/>
          <x14:colorMarkers theme="4" tint="-0.499984740745262"/>
          <x14:colorFirst theme="4" tint="0.39997558519241921"/>
          <x14:colorLast theme="4" tint="0.39997558519241921"/>
          <x14:colorHigh theme="4"/>
          <x14:colorLow theme="4"/>
          <x14:sparklines>
            <x14:sparkline>
              <xm:f>Dashboard!B69:M69</xm:f>
              <xm:sqref>N69</xm:sqref>
            </x14:sparkline>
          </x14:sparklines>
        </x14:sparklineGroup>
        <x14:sparklineGroup type="column" displayEmptyCellsAs="gap">
          <x14:colorSeries rgb="FF8C4A32"/>
          <x14:colorNegative theme="5"/>
          <x14:colorAxis rgb="FF000000"/>
          <x14:colorMarkers theme="4" tint="-0.499984740745262"/>
          <x14:colorFirst theme="4" tint="0.39997558519241921"/>
          <x14:colorLast theme="4" tint="0.39997558519241921"/>
          <x14:colorHigh theme="4"/>
          <x14:colorLow theme="4"/>
          <x14:sparklines>
            <x14:sparkline>
              <xm:f>Dashboard!B66:M66</xm:f>
              <xm:sqref>N66</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sheetPr>
    <tabColor rgb="FF8C4A32"/>
    <pageSetUpPr fitToPage="1"/>
  </sheetPr>
  <dimension ref="A1:BS3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30.7109375" style="15" customWidth="1"/>
    <col min="3" max="3" width="14.7109375" style="15" customWidth="1"/>
    <col min="4" max="4" width="22.7109375" style="15" customWidth="1"/>
    <col min="5" max="5" width="14.7109375" style="39" customWidth="1"/>
    <col min="6" max="6" width="14.7109375" style="15" customWidth="1"/>
    <col min="7" max="7" width="14.7109375" style="15" customWidth="1"/>
    <col min="8" max="8" width="16.7109375" style="15" customWidth="1"/>
    <col min="9" max="9" width="13.7109375" style="15" customWidth="1"/>
    <col min="10" max="10" width="30.7109375" style="15" customWidth="1"/>
    <col min="11" max="11" width="12.7109375" style="21" customWidth="1"/>
    <col min="12" max="12" width="9.7109375" style="16" customWidth="1"/>
    <col min="13" max="13" width="11.7109375" style="18" customWidth="1"/>
    <col min="14" max="14" width="11.7109375" style="19" customWidth="1"/>
    <col min="15" max="15" width="10.7109375" style="16" customWidth="1"/>
    <col min="16" max="16" width="11.7109375" style="22" customWidth="1"/>
    <col min="17" max="17" width="22.7109375" style="15" customWidth="1"/>
    <col min="18" max="18" width="26.7109375" style="40" customWidth="1"/>
    <col min="19" max="19" width="13.7109375" style="38" customWidth="1"/>
    <col min="20" max="20" width="11.7109375" style="20" customWidth="1"/>
    <col min="21" max="21" width="11.7109375" style="20" customWidth="1"/>
    <col min="22" max="22" width="11.7109375" style="36" hidden="1" customWidth="1"/>
    <col min="23" max="23" width="10.7109375" style="41" hidden="1" customWidth="1"/>
    <col min="24" max="24" width="10.7109375" style="36" customWidth="1"/>
    <col min="25" max="25" width="9.7109375" style="41" hidden="1" customWidth="1"/>
    <col min="26" max="26" width="11.7109375" style="20" customWidth="1"/>
    <col min="27" max="27" width="11.7109375" style="20" customWidth="1"/>
    <col min="28" max="28" width="11.7109375" style="20" customWidth="1"/>
    <col min="29" max="29" width="11.7109375" style="36" hidden="1" customWidth="1"/>
    <col min="30" max="30" width="11.7109375" style="20" hidden="1" customWidth="1"/>
    <col min="31" max="31" width="11.7109375" style="20" hidden="1" customWidth="1"/>
    <col min="32" max="32" width="11.7109375" style="36" hidden="1" customWidth="1"/>
    <col min="33" max="33" width="12.7109375" style="20" customWidth="1"/>
    <col min="34" max="34" width="13.7109375" style="20" customWidth="1"/>
    <col min="35" max="35" width="10.7109375" style="33" customWidth="1"/>
    <col min="36" max="36" width="10.7109375" style="42" hidden="1" customWidth="1"/>
    <col min="37" max="37" width="10.7109375" style="20" customWidth="1"/>
    <col min="38" max="38" width="10.7109375" style="33" hidden="1" customWidth="1"/>
    <col min="39" max="39" width="10.7109375" style="20" hidden="1" customWidth="1"/>
    <col min="40" max="40" width="12.7109375" style="33" customWidth="1"/>
    <col min="41" max="41" width="10.7109375" style="41" hidden="1" customWidth="1"/>
    <col min="42" max="42" width="12.7109375" style="20" hidden="1" customWidth="1"/>
    <col min="43" max="43" width="12.7109375" style="20" customWidth="1"/>
    <col min="44" max="44" width="11.7109375" style="20" customWidth="1"/>
    <col min="45" max="45" width="10.7109375" style="20" customWidth="1"/>
    <col min="46" max="46" width="11.7109375" style="20" customWidth="1"/>
    <col min="47" max="47" width="11.7109375" style="20" customWidth="1"/>
    <col min="48" max="48" width="11.7109375" style="20" customWidth="1"/>
    <col min="49" max="49" width="9.7109375" style="33" customWidth="1"/>
    <col min="50" max="50" width="9.7109375" style="33" customWidth="1"/>
    <col min="51" max="51" width="11.7109375" style="20" customWidth="1"/>
    <col min="52" max="52" width="11.7109375" style="20" customWidth="1"/>
    <col min="53" max="53" width="12.7109375" style="20" customWidth="1"/>
    <col min="54" max="54" width="11.7109375" style="20" hidden="1" customWidth="1"/>
    <col min="55" max="55" width="12.7109375" style="20" customWidth="1"/>
    <col min="56" max="56" width="12.7109375" style="20" customWidth="1"/>
    <col min="57" max="57" width="11.7109375" style="33" customWidth="1"/>
    <col min="58" max="58" width="12.7109375" style="20" customWidth="1"/>
    <col min="59" max="59" width="11.7109375" style="33" customWidth="1"/>
    <col min="60" max="60" width="10.7109375" style="32" customWidth="1"/>
    <col min="61" max="61" width="11.7109375" style="20" customWidth="1"/>
    <col min="62" max="62" width="11.7109375" style="20" customWidth="1"/>
    <col min="63" max="63" width="11.7109375" style="33" customWidth="1"/>
    <col min="64" max="64" width="11.7109375" style="17" customWidth="1"/>
    <col min="65" max="65" width="11.7109375" style="17" hidden="1" customWidth="1"/>
    <col min="66" max="66" width="11.7109375" style="32" hidden="1" customWidth="1"/>
    <col min="67" max="67" width="9.7109375" style="32" hidden="1" customWidth="1"/>
    <col min="68" max="68" width="9.7109375" style="32" hidden="1" customWidth="1"/>
    <col min="69" max="69" width="9.7109375" style="32" hidden="1" customWidth="1"/>
    <col min="70" max="70" width="9.7109375" style="32" hidden="1" customWidth="1"/>
    <col min="71" max="71" width="30.7109375" style="43" customWidth="1"/>
    <col min="1" max="1" width="12.7109375" customWidth="1"/>
    <col min="2" max="2" width="10.7109375" customWidth="1"/>
    <col min="3" max="3" width="14.7109375" customWidth="1"/>
    <col min="4" max="4" width="14.7109375" customWidth="1"/>
    <col min="5" max="5" width="15.7109375" customWidth="1"/>
    <col min="6" max="6" width="14.7109375" customWidth="1"/>
    <col min="7" max="7" width="19.7109375" customWidth="1"/>
    <col min="8" max="8" width="19.7109375" customWidth="1"/>
    <col min="9" max="9" width="21.7109375" customWidth="1"/>
  </cols>
  <sheetData>
    <row r="1" spans="1:71" ht="34" customHeight="1">
      <c r="A1" s="2" t="s">
        <v>446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3" t="s">
        <v>1</v>
      </c>
      <c r="BR1" s="3"/>
      <c r="BS1" s="3"/>
    </row>
    <row r="2" spans="1:71" ht="18" customHeight="1">
      <c r="A2" s="4" t="s">
        <v>447</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row>
    <row r="3" spans="1:71"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450</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row>
    <row r="4" spans="1:71" ht="30" customHeight="1">
      <c r="A4" s="8" t="s">
        <v>451</v>
      </c>
      <c r="B4" s="8" t="s">
        <v>354</v>
      </c>
      <c r="C4" s="9" t="s">
        <v>452</v>
      </c>
      <c r="D4" s="9" t="s">
        <v>429</v>
      </c>
      <c r="E4" s="9" t="s">
        <v>453</v>
      </c>
      <c r="F4" s="9" t="s">
        <v>454</v>
      </c>
      <c r="G4" s="9" t="s">
        <v>455</v>
      </c>
      <c r="H4" s="9" t="s">
        <v>456</v>
      </c>
      <c r="I4" s="9" t="s">
        <v>457</v>
      </c>
      <c r="J4" s="9" t="s">
        <v>458</v>
      </c>
      <c r="K4" s="9" t="s">
        <v>459</v>
      </c>
      <c r="L4" s="9" t="s">
        <v>460</v>
      </c>
      <c r="M4" s="9" t="s">
        <v>461</v>
      </c>
      <c r="N4" s="9" t="s">
        <v>462</v>
      </c>
      <c r="O4" s="9" t="s">
        <v>463</v>
      </c>
      <c r="P4" s="9" t="s">
        <v>464</v>
      </c>
      <c r="Q4" s="9" t="s">
        <v>465</v>
      </c>
      <c r="R4" s="9" t="s">
        <v>466</v>
      </c>
      <c r="S4" s="9" t="s">
        <v>467</v>
      </c>
      <c r="T4" s="9" t="s">
        <v>17</v>
      </c>
      <c r="U4" s="9" t="s">
        <v>36</v>
      </c>
      <c r="V4" s="9" t="s">
        <v>468</v>
      </c>
      <c r="W4" s="9" t="s">
        <v>469</v>
      </c>
      <c r="X4" s="9" t="s">
        <v>470</v>
      </c>
      <c r="Y4" s="9" t="s">
        <v>471</v>
      </c>
      <c r="Z4" s="9" t="s">
        <v>472</v>
      </c>
      <c r="AA4" s="9" t="s">
        <v>473</v>
      </c>
      <c r="AB4" s="9" t="s">
        <v>457</v>
      </c>
      <c r="AC4" s="9" t="s">
        <v>474</v>
      </c>
      <c r="AD4" s="9" t="s">
        <v>475</v>
      </c>
      <c r="AE4" s="9" t="s">
        <v>476</v>
      </c>
      <c r="AF4" s="9" t="s">
        <v>477</v>
      </c>
      <c r="AG4" s="9" t="s">
        <v>478</v>
      </c>
      <c r="AH4" s="9" t="s">
        <v>479</v>
      </c>
      <c r="AI4" s="9" t="s">
        <v>443</v>
      </c>
      <c r="AJ4" s="9" t="s">
        <v>480</v>
      </c>
      <c r="AK4" s="9" t="s">
        <v>481</v>
      </c>
      <c r="AL4" s="9" t="s">
        <v>482</v>
      </c>
      <c r="AM4" s="9" t="s">
        <v>483</v>
      </c>
      <c r="AN4" s="9" t="s">
        <v>484</v>
      </c>
      <c r="AO4" s="9" t="s">
        <v>485</v>
      </c>
      <c r="AP4" s="9" t="s">
        <v>486</v>
      </c>
      <c r="AQ4" s="9" t="s">
        <v>487</v>
      </c>
      <c r="AR4" s="9" t="s">
        <v>488</v>
      </c>
      <c r="AS4" s="9" t="s">
        <v>72</v>
      </c>
      <c r="AT4" s="9" t="s">
        <v>489</v>
      </c>
      <c r="AU4" s="9" t="s">
        <v>490</v>
      </c>
      <c r="AV4" s="9" t="s">
        <v>421</v>
      </c>
      <c r="AW4" s="9" t="s">
        <v>42</v>
      </c>
      <c r="AX4" s="9" t="s">
        <v>45</v>
      </c>
      <c r="AY4" s="9" t="s">
        <v>491</v>
      </c>
      <c r="AZ4" s="9" t="s">
        <v>492</v>
      </c>
      <c r="BA4" s="9" t="s">
        <v>493</v>
      </c>
      <c r="BB4" s="9" t="s">
        <v>494</v>
      </c>
      <c r="BC4" s="9" t="s">
        <v>495</v>
      </c>
      <c r="BD4" s="9" t="s">
        <v>496</v>
      </c>
      <c r="BE4" s="9" t="s">
        <v>497</v>
      </c>
      <c r="BF4" s="9" t="s">
        <v>498</v>
      </c>
      <c r="BG4" s="9" t="s">
        <v>499</v>
      </c>
      <c r="BH4" s="9" t="s">
        <v>500</v>
      </c>
      <c r="BI4" s="9" t="s">
        <v>432</v>
      </c>
      <c r="BJ4" s="9" t="s">
        <v>501</v>
      </c>
      <c r="BK4" s="9" t="s">
        <v>502</v>
      </c>
      <c r="BL4" s="9" t="s">
        <v>503</v>
      </c>
      <c r="BM4" s="9" t="s">
        <v>504</v>
      </c>
      <c r="BN4" s="9" t="s">
        <v>505</v>
      </c>
      <c r="BO4" s="9" t="s">
        <v>506</v>
      </c>
      <c r="BP4" s="9" t="s">
        <v>507</v>
      </c>
      <c r="BQ4" s="9" t="s">
        <v>508</v>
      </c>
      <c r="BR4" s="9" t="s">
        <v>509</v>
      </c>
      <c r="BS4" s="9" t="s">
        <v>510</v>
      </c>
    </row>
    <row r="5" spans="1:71">
      <c r="A5" s="38">
        <f>IF(B5="","",ProductPrefix&amp;TEXT(ROW()-4,"0000"))</f>
        <v>0</v>
      </c>
      <c r="B5" s="15" t="s">
        <v>511</v>
      </c>
      <c r="C5" s="15" t="s">
        <v>181</v>
      </c>
      <c r="D5" s="15" t="s">
        <v>512</v>
      </c>
      <c r="E5" s="39" t="s">
        <v>513</v>
      </c>
      <c r="F5" s="15" t="s">
        <v>514</v>
      </c>
      <c r="G5" s="15" t="s">
        <v>515</v>
      </c>
      <c r="H5" s="15" t="s">
        <v>287</v>
      </c>
      <c r="I5" s="15" t="s">
        <v>516</v>
      </c>
      <c r="J5" s="15" t="s">
        <v>517</v>
      </c>
      <c r="K5" s="21">
        <v>140</v>
      </c>
      <c r="L5" s="16">
        <v>9</v>
      </c>
      <c r="M5" s="18">
        <v>78</v>
      </c>
      <c r="O5" s="16">
        <v>46305</v>
      </c>
      <c r="P5" s="22">
        <v>45917</v>
      </c>
      <c r="Q5" s="15" t="s">
        <v>518</v>
      </c>
      <c r="R5" s="40" t="s">
        <v>519</v>
      </c>
      <c r="S5" s="38">
        <f>IF(B5="","",IF(C5&lt;&gt;"",C5,UPPER(LEFT(IF(D5="","GEN",D5),3))&amp;"-"&amp;TEXT(ROW()-4,"000")))</f>
        <v>0</v>
      </c>
      <c r="T5" s="20">
        <f>IF(B5="","",ROUND(SUMIFS('Material Usage'!$M$5:$M$904,'Material Usage'!$A$5:$A$904,A5)+SUMIFS(Crochet!$AD$5:$AD$84,Crochet!$A$5:$A$84,A5)+SUMIFS(Jewelry!$AF$5:$AF$84,Jewelry!$A$5:$A$84,A5)+SUMIFS(Candles!$AF$5:$AF$84,Candles!$A$5:$A$84,A5)+SUMIFS(Clothing!$AB$5:$AB$84,Clothing!$A$5:$A$84,A5)+SUMIFS(Woodworking!$AC$5:$AC$84,Woodworking!$A$5:$A$84,A5)+SUMIFS(Digital!$X$5:$X$84,Digital!$A$5:$A$84,A5),2))</f>
        <v>0</v>
      </c>
      <c r="U5" s="20">
        <f>IF(B5="","",ROUND(SUMIFS(Labor!$O$5:$O$304,Labor!$A$5:$A$304,A5)+SUMIFS(Crochet!$AG$5:$AG$84,Crochet!$A$5:$A$84,A5)+SUMIFS(Jewelry!$AI$5:$AI$84,Jewelry!$A$5:$A$84,A5)+SUMIFS(Candles!$AI$5:$AI$84,Candles!$A$5:$A$84,A5)+SUMIFS(Clothing!$AE$5:$AE$84,Clothing!$A$5:$A$84,A5)+SUMIFS(Woodworking!$AF$5:$AF$84,Woodworking!$A$5:$A$84,A5)+SUMIFS(Digital!$Z$5:$Z$84,Digital!$A$5:$A$84,A5),2))</f>
        <v>0</v>
      </c>
      <c r="V5" s="36">
        <f>IF(B5="","",ROUND(SUMIFS(Labor!$P$5:$P$304,Labor!$A$5:$A$304,A5)+SUMIFS(Crochet!$AE$5:$AE$84,Crochet!$A$5:$A$84,A5)+SUMIFS(Jewelry!$AG$5:$AG$84,Jewelry!$A$5:$A$84,A5)+SUMIFS(Candles!$AG$5:$AG$84,Candles!$A$5:$A$84,A5)+SUMIFS(Clothing!$AC$5:$AC$84,Clothing!$A$5:$A$84,A5)+SUMIFS(Woodworking!$AD$5:$AD$84,Woodworking!$A$5:$A$84,A5)+SUMIFS(Digital!$Y$5:$Y$84,Digital!$A$5:$A$84,A5),1))</f>
        <v>0</v>
      </c>
      <c r="W5" s="41">
        <f>IF(B5="","",IFERROR(INDEX(DiffTimeFactors,MATCH(G5,DiffNames,0)),1))</f>
        <v>0</v>
      </c>
      <c r="X5" s="36">
        <f>IF(B5="","",ROUND(V5*W5,1))</f>
        <v>0</v>
      </c>
      <c r="Y5" s="41">
        <f>IF(B5="","",ROUND(X5/60,3))</f>
        <v>0</v>
      </c>
      <c r="Z5" s="20">
        <f>IF(B5="","",ROUND(U5*W5,2))</f>
        <v>0</v>
      </c>
      <c r="AA5" s="20">
        <f>IF(B5="","",ROUND(SUMIFS(Labor!$Q$5:$Q$304,Labor!$A$5:$A$304,A5)+SUMIFS(Crochet!$AH$5:$AH$84,Crochet!$A$5:$A$84,A5)+SUMIFS(Jewelry!$AJ$5:$AJ$84,Jewelry!$A$5:$A$84,A5)+SUMIFS(Candles!$AJ$5:$AJ$84,Candles!$A$5:$A$84,A5)+SUMIFS(Clothing!$AF$5:$AF$84,Clothing!$A$5:$A$84,A5)+SUMIFS(Woodworking!$AH$5:$AH$84,Woodworking!$A$5:$A$84,A5)+SUMIFS(Digital!$AA$5:$AA$84,Digital!$A$5:$A$84,A5),2))</f>
        <v>0</v>
      </c>
      <c r="AB5" s="20">
        <f>IF(B5="","",ROUND(IF(I5="Budget",PackBudget,IF(I5="Standard",PackStandard,IF(I5="Gift",PackGift,IF(I5="Premium",PackPremium,DefaultPackaging)))),2))</f>
        <v>0</v>
      </c>
      <c r="AC5" s="36">
        <f>IF(B5="","",IF(I5="Budget",PackWeightBudget,IF(I5="Standard",PackWeightStandard,IF(I5="Gift",PackWeightGift,IF(I5="Premium",PackWeightPremium,0)))))</f>
        <v>0</v>
      </c>
      <c r="AD5" s="20">
        <f>IF(B5="","",IFERROR(INDEX(Shipping!$M$5:$M$64,MATCH(J5,Shipping!$L$5:$L$64,0)),DefaultShipping))</f>
        <v>0</v>
      </c>
      <c r="AE5" s="20">
        <f>IF(B5="","",IFERROR(INDEX(Shipping!$F$5:$F$64,MATCH(J5,Shipping!$L$5:$L$64,0)),0))</f>
        <v>0</v>
      </c>
      <c r="AF5" s="36">
        <f>IF(B5="","",IFERROR(INDEX(Shipping!$C$5:$C$64,MATCH(J5,Shipping!$L$5:$L$64,0)),""))</f>
        <v>0</v>
      </c>
      <c r="AG5" s="20">
        <f>IF(B5="","",ROUND(MAX(0,AD5-AE5),2))</f>
        <v>0</v>
      </c>
      <c r="AH5" s="20">
        <f>IF(B5="","",ROUND(T5+Z5+AA5+AB5+AG5,2))</f>
        <v>0</v>
      </c>
      <c r="AI5" s="33">
        <f>IF(B5="","",IFERROR(INDEX(Channels!$S$5:$S$18,MATCH(IF(H5="",DefaultChannel,H5),Channels!$A$5:$A$18,0)),0))</f>
        <v>0</v>
      </c>
      <c r="AJ5" s="42">
        <f>IF(B5="","",IFERROR(INDEX(Channels!$O$5:$O$18,MATCH(IF(H5="",DefaultChannel,H5),Channels!$A$5:$A$18,0)),"No"))</f>
        <v>0</v>
      </c>
      <c r="AK5" s="20">
        <f>IF(B5="","",ROUND(IFERROR(INDEX(Channels!$T$5:$T$18,MATCH(IF(H5="",DefaultChannel,H5),Channels!$A$5:$A$18,0)),0)+IF(AJ5="Yes",AE5*AI5,0),4))</f>
        <v>0</v>
      </c>
      <c r="AL5" s="33">
        <f>IF(B5="","",IF(OverheadMethod="Share of revenue",IF(RevenueTargetMonth&lt;=0,0,OverheadMonthly/RevenueTargetMonth),0))</f>
        <v>0</v>
      </c>
      <c r="AM5" s="20">
        <f>IF(B5="","",IF(OverheadMethod="Per hour worked",ROUND(OverheadPerHour*Y5,2),IF(OR(OverheadMethod="Per unit made",OverheadMethod="Per order"),OverheadPerUnit,0)))</f>
        <v>0</v>
      </c>
      <c r="AN5" s="33">
        <f>IF(B5="","",IF(N5&lt;&gt;"",N5,TargetRetailMargin))</f>
        <v>0</v>
      </c>
      <c r="AO5" s="41">
        <f>IF(B5="","",1-AN5-AI5-AL5)</f>
        <v>0</v>
      </c>
      <c r="AP5" s="20">
        <f>IF(B5="","",IF(AO5&lt;=0,"",(AH5+AM5+AK5)/AO5))</f>
        <v>0</v>
      </c>
      <c r="AQ5" s="20">
        <f>IF(B5="","",IF(AP5="","Check the settings",ROUND(IF(RoundingRule="None",AP5,IF(RoundingRule="Nearest 0.99",MAX(0.99,CEILING(AP5,1)-0.01),IF(RoundingRule="Nearest 0.95",MAX(0.95,CEILING(AP5,1)-0.05),IF(RoundingRule="Nearest 0.50",CEILING(AP5,0.5),IF(RoundingRule="Nearest 1",CEILING(AP5,1),IF(RoundingRule="Nearest 5",CEILING(AP5,5),IF(RoundingRule="Up to whole 1",CEILING(AP5,1),IF(RoundingRule="Up to whole 5",CEILING(AP5,5),ROUND(AP5,2))))))))),2)))</f>
        <v>0</v>
      </c>
      <c r="AR5" s="20">
        <f>IF(B5="","",IF(M5&lt;&gt;"",M5,IF(ISNUMBER(AQ5),AQ5,"")))</f>
        <v>0</v>
      </c>
      <c r="AS5" s="20">
        <f>IF(B5="","",IF(AR5="","",ROUND(AM5+AR5*AL5,2)))</f>
        <v>0</v>
      </c>
      <c r="AT5" s="20">
        <f>IF(B5="","",IF(AR5="","",ROUND(AH5+AS5,2)))</f>
        <v>0</v>
      </c>
      <c r="AU5" s="20">
        <f>IF(B5="","",IF(AR5="","",ROUND(AR5*AI5+AK5,2)))</f>
        <v>0</v>
      </c>
      <c r="AV5" s="20">
        <f>IF(B5="","",IF(AR5="","",ROUND(AR5-AT5-AU5,2)))</f>
        <v>0</v>
      </c>
      <c r="AW5" s="33">
        <f>IF(B5="","",IF(OR(AR5="",AR5=0),"",AV5/AR5))</f>
        <v>0</v>
      </c>
      <c r="AX5" s="33">
        <f>IF(B5="","",IF(OR(AT5="",AT5=0),"",AV5/AT5))</f>
        <v>0</v>
      </c>
      <c r="AY5" s="20">
        <f>IF(B5="","",IF(OR(Y5="",Y5=0,AV5=""),"",ROUND(AV5/Y5,2)))</f>
        <v>0</v>
      </c>
      <c r="AZ5" s="20">
        <f>IF(B5="","",IF(OR(Y5="",Y5=0,AV5=""),"",ROUND((AV5+Z5)/Y5,2)))</f>
        <v>0</v>
      </c>
      <c r="BA5" s="20">
        <f>IF(B5="","",IF(1-AI5-AL5&lt;=0,"",ROUND((AH5+AM5+AK5)/(1-AI5-AL5),2)))</f>
        <v>0</v>
      </c>
      <c r="BB5" s="20">
        <f>IF(B5="","",IF(AT5="","",ROUND(AT5*2,2)))</f>
        <v>0</v>
      </c>
      <c r="BC5" s="20">
        <f>IF(B5="","",IF(AR5="","",ROUND(AR5*(1-WholesaleDiscount),2)))</f>
        <v>0</v>
      </c>
      <c r="BD5" s="20">
        <f>IF(B5="","",IF(BC5="","",ROUND(BC5-AH5-AM5,2)))</f>
        <v>0</v>
      </c>
      <c r="BE5" s="33">
        <f>IF(B5="","",IF(OR(BC5="",BC5=0),"",BD5/BC5))</f>
        <v>0</v>
      </c>
      <c r="BF5" s="20">
        <f>IF(B5="","",IFERROR(ROUND(AVERAGEIFS(Competitors!$F$5:$F$154,Competitors!$A$5:$A$154,A5),2),""))</f>
        <v>0</v>
      </c>
      <c r="BG5" s="33">
        <f>IF(B5="","",IF(OR(BF5="",BF5=0,AR5=""),"",AR5/BF5-1))</f>
        <v>0</v>
      </c>
      <c r="BH5" s="32">
        <f>IF(B5="","",SUMIFS(Sales!$D$5:$D$804,Sales!$C$5:$C$804,A5))</f>
        <v>0</v>
      </c>
      <c r="BI5" s="20">
        <f>IF(B5="","",ROUND(SUMIFS(Sales!$V$5:$V$804,Sales!$C$5:$C$804,A5),2))</f>
        <v>0</v>
      </c>
      <c r="BJ5" s="20">
        <f>IF(B5="","",ROUND(SUMIFS(Sales!$AG$5:$AG$804,Sales!$C$5:$C$804,A5),2))</f>
        <v>0</v>
      </c>
      <c r="BK5" s="33">
        <f>IF(B5="","",IF(OR(BI5="",BI5=0),"",BJ5/BI5))</f>
        <v>0</v>
      </c>
      <c r="BL5" s="17">
        <f>IF(B5="","",IF(SUMPRODUCT(MAX((Sales!$C$5:$C$804=A5)*Sales!$B$5:$B$804))=0,"",SUMPRODUCT(MAX((Sales!$C$5:$C$804=A5)*Sales!$B$5:$B$804))))</f>
        <v>0</v>
      </c>
      <c r="BM5" s="17">
        <f>IF(B5="","",IF(SUMPRODUCT(MAX(('Price History'!$B$5:$B$304=A5)*'Price History'!$A$5:$A$304))=0,IF(P5="","",P5),SUMPRODUCT(MAX(('Price History'!$B$5:$B$304=A5)*'Price History'!$A$5:$A$304))))</f>
        <v>0</v>
      </c>
      <c r="BN5" s="32">
        <f>IF(B5="","",IF(BM5="","",TodayDate-BM5))</f>
        <v>0</v>
      </c>
      <c r="BO5" s="32">
        <f>IF(B5="","",COUNTIFS($AV$5:$AV$304,"&gt;"&amp;AV5)+COUNTIFS($AV$5:AV5,AV5))</f>
        <v>0</v>
      </c>
      <c r="BP5" s="32">
        <f>IF(B5="","",COUNTIFS($AW$5:$AW$304,"&gt;"&amp;AW5)+COUNTIFS($AW$5:AW5,AW5))</f>
        <v>0</v>
      </c>
      <c r="BQ5" s="32">
        <f>IF(B5="","",COUNTIFS($BI$5:$BI$304,"&gt;"&amp;BI5)+COUNTIFS($BI$5:BI5,BI5))</f>
        <v>0</v>
      </c>
      <c r="BR5" s="32">
        <f>IF(B5="","",COUNTIFS($AY$5:$AY$304,"&gt;"&amp;AY5)+COUNTIFS($AY$5:AY5,AY5))</f>
        <v>0</v>
      </c>
      <c r="BS5" s="43">
        <f>IF(B5="","",IF(AH5=0,"Add - no costs entered yet",IF(AR5="","Check - no price yet",IF(AV5&lt;0,"Loss - every sale costs you money",IF(AND(AZ5&lt;&gt;"",AZ5&lt;MinimumWage),"Below - pays under minimum wage",IF(AW5&lt;MarginWarning,"Low margin - re-price it",IF(AND(AF5&lt;&gt;"",K5&lt;&gt;"",K5+AC5&gt;AF5),"Check - too heavy for that postage band",IF(AND(BN5&lt;&gt;"",BN5&gt;PriceReviewDays),"Due - price has not been reviewed",IF(AND(BG5&lt;&gt;"",BG5&gt;0.5),"Check - well above the market","OK")))))))) )</f>
        <v>0</v>
      </c>
    </row>
    <row r="6" spans="1:71">
      <c r="A6" s="38">
        <f>IF(B6="","",ProductPrefix&amp;TEXT(ROW()-4,"0000"))</f>
        <v>0</v>
      </c>
      <c r="B6" s="15" t="s">
        <v>520</v>
      </c>
      <c r="C6" s="15" t="s">
        <v>181</v>
      </c>
      <c r="D6" s="15" t="s">
        <v>521</v>
      </c>
      <c r="E6" s="39" t="s">
        <v>513</v>
      </c>
      <c r="F6" s="15" t="s">
        <v>522</v>
      </c>
      <c r="G6" s="15" t="s">
        <v>523</v>
      </c>
      <c r="H6" s="15" t="s">
        <v>287</v>
      </c>
      <c r="I6" s="15" t="s">
        <v>524</v>
      </c>
      <c r="J6" s="15" t="s">
        <v>525</v>
      </c>
      <c r="K6" s="21">
        <v>320</v>
      </c>
      <c r="L6" s="16">
        <v>6</v>
      </c>
      <c r="M6" s="18">
        <v>75</v>
      </c>
      <c r="O6" s="16">
        <v>46297</v>
      </c>
      <c r="P6" s="22">
        <v>45797</v>
      </c>
      <c r="S6" s="38">
        <f>IF(B6="","",IF(C6&lt;&gt;"",C6,UPPER(LEFT(IF(D6="","GEN",D6),3))&amp;"-"&amp;TEXT(ROW()-4,"000")))</f>
        <v>0</v>
      </c>
      <c r="T6" s="20">
        <f>IF(B6="","",ROUND(SUMIFS('Material Usage'!$M$5:$M$904,'Material Usage'!$A$5:$A$904,A6)+SUMIFS(Crochet!$AD$5:$AD$84,Crochet!$A$5:$A$84,A6)+SUMIFS(Jewelry!$AF$5:$AF$84,Jewelry!$A$5:$A$84,A6)+SUMIFS(Candles!$AF$5:$AF$84,Candles!$A$5:$A$84,A6)+SUMIFS(Clothing!$AB$5:$AB$84,Clothing!$A$5:$A$84,A6)+SUMIFS(Woodworking!$AC$5:$AC$84,Woodworking!$A$5:$A$84,A6)+SUMIFS(Digital!$X$5:$X$84,Digital!$A$5:$A$84,A6),2))</f>
        <v>0</v>
      </c>
      <c r="U6" s="20">
        <f>IF(B6="","",ROUND(SUMIFS(Labor!$O$5:$O$304,Labor!$A$5:$A$304,A6)+SUMIFS(Crochet!$AG$5:$AG$84,Crochet!$A$5:$A$84,A6)+SUMIFS(Jewelry!$AI$5:$AI$84,Jewelry!$A$5:$A$84,A6)+SUMIFS(Candles!$AI$5:$AI$84,Candles!$A$5:$A$84,A6)+SUMIFS(Clothing!$AE$5:$AE$84,Clothing!$A$5:$A$84,A6)+SUMIFS(Woodworking!$AF$5:$AF$84,Woodworking!$A$5:$A$84,A6)+SUMIFS(Digital!$Z$5:$Z$84,Digital!$A$5:$A$84,A6),2))</f>
        <v>0</v>
      </c>
      <c r="V6" s="36">
        <f>IF(B6="","",ROUND(SUMIFS(Labor!$P$5:$P$304,Labor!$A$5:$A$304,A6)+SUMIFS(Crochet!$AE$5:$AE$84,Crochet!$A$5:$A$84,A6)+SUMIFS(Jewelry!$AG$5:$AG$84,Jewelry!$A$5:$A$84,A6)+SUMIFS(Candles!$AG$5:$AG$84,Candles!$A$5:$A$84,A6)+SUMIFS(Clothing!$AC$5:$AC$84,Clothing!$A$5:$A$84,A6)+SUMIFS(Woodworking!$AD$5:$AD$84,Woodworking!$A$5:$A$84,A6)+SUMIFS(Digital!$Y$5:$Y$84,Digital!$A$5:$A$84,A6),1))</f>
        <v>0</v>
      </c>
      <c r="W6" s="41">
        <f>IF(B6="","",IFERROR(INDEX(DiffTimeFactors,MATCH(G6,DiffNames,0)),1))</f>
        <v>0</v>
      </c>
      <c r="X6" s="36">
        <f>IF(B6="","",ROUND(V6*W6,1))</f>
        <v>0</v>
      </c>
      <c r="Y6" s="41">
        <f>IF(B6="","",ROUND(X6/60,3))</f>
        <v>0</v>
      </c>
      <c r="Z6" s="20">
        <f>IF(B6="","",ROUND(U6*W6,2))</f>
        <v>0</v>
      </c>
      <c r="AA6" s="20">
        <f>IF(B6="","",ROUND(SUMIFS(Labor!$Q$5:$Q$304,Labor!$A$5:$A$304,A6)+SUMIFS(Crochet!$AH$5:$AH$84,Crochet!$A$5:$A$84,A6)+SUMIFS(Jewelry!$AJ$5:$AJ$84,Jewelry!$A$5:$A$84,A6)+SUMIFS(Candles!$AJ$5:$AJ$84,Candles!$A$5:$A$84,A6)+SUMIFS(Clothing!$AF$5:$AF$84,Clothing!$A$5:$A$84,A6)+SUMIFS(Woodworking!$AH$5:$AH$84,Woodworking!$A$5:$A$84,A6)+SUMIFS(Digital!$AA$5:$AA$84,Digital!$A$5:$A$84,A6),2))</f>
        <v>0</v>
      </c>
      <c r="AB6" s="20">
        <f>IF(B6="","",ROUND(IF(I6="Budget",PackBudget,IF(I6="Standard",PackStandard,IF(I6="Gift",PackGift,IF(I6="Premium",PackPremium,DefaultPackaging)))),2))</f>
        <v>0</v>
      </c>
      <c r="AC6" s="36">
        <f>IF(B6="","",IF(I6="Budget",PackWeightBudget,IF(I6="Standard",PackWeightStandard,IF(I6="Gift",PackWeightGift,IF(I6="Premium",PackWeightPremium,0)))))</f>
        <v>0</v>
      </c>
      <c r="AD6" s="20">
        <f>IF(B6="","",IFERROR(INDEX(Shipping!$M$5:$M$64,MATCH(J6,Shipping!$L$5:$L$64,0)),DefaultShipping))</f>
        <v>0</v>
      </c>
      <c r="AE6" s="20">
        <f>IF(B6="","",IFERROR(INDEX(Shipping!$F$5:$F$64,MATCH(J6,Shipping!$L$5:$L$64,0)),0))</f>
        <v>0</v>
      </c>
      <c r="AF6" s="36">
        <f>IF(B6="","",IFERROR(INDEX(Shipping!$C$5:$C$64,MATCH(J6,Shipping!$L$5:$L$64,0)),""))</f>
        <v>0</v>
      </c>
      <c r="AG6" s="20">
        <f>IF(B6="","",ROUND(MAX(0,AD6-AE6),2))</f>
        <v>0</v>
      </c>
      <c r="AH6" s="20">
        <f>IF(B6="","",ROUND(T6+Z6+AA6+AB6+AG6,2))</f>
        <v>0</v>
      </c>
      <c r="AI6" s="33">
        <f>IF(B6="","",IFERROR(INDEX(Channels!$S$5:$S$18,MATCH(IF(H6="",DefaultChannel,H6),Channels!$A$5:$A$18,0)),0))</f>
        <v>0</v>
      </c>
      <c r="AJ6" s="42">
        <f>IF(B6="","",IFERROR(INDEX(Channels!$O$5:$O$18,MATCH(IF(H6="",DefaultChannel,H6),Channels!$A$5:$A$18,0)),"No"))</f>
        <v>0</v>
      </c>
      <c r="AK6" s="20">
        <f>IF(B6="","",ROUND(IFERROR(INDEX(Channels!$T$5:$T$18,MATCH(IF(H6="",DefaultChannel,H6),Channels!$A$5:$A$18,0)),0)+IF(AJ6="Yes",AE6*AI6,0),4))</f>
        <v>0</v>
      </c>
      <c r="AL6" s="33">
        <f>IF(B6="","",IF(OverheadMethod="Share of revenue",IF(RevenueTargetMonth&lt;=0,0,OverheadMonthly/RevenueTargetMonth),0))</f>
        <v>0</v>
      </c>
      <c r="AM6" s="20">
        <f>IF(B6="","",IF(OverheadMethod="Per hour worked",ROUND(OverheadPerHour*Y6,2),IF(OR(OverheadMethod="Per unit made",OverheadMethod="Per order"),OverheadPerUnit,0)))</f>
        <v>0</v>
      </c>
      <c r="AN6" s="33">
        <f>IF(B6="","",IF(N6&lt;&gt;"",N6,TargetRetailMargin))</f>
        <v>0</v>
      </c>
      <c r="AO6" s="41">
        <f>IF(B6="","",1-AN6-AI6-AL6)</f>
        <v>0</v>
      </c>
      <c r="AP6" s="20">
        <f>IF(B6="","",IF(AO6&lt;=0,"",(AH6+AM6+AK6)/AO6))</f>
        <v>0</v>
      </c>
      <c r="AQ6" s="20">
        <f>IF(B6="","",IF(AP6="","Check the settings",ROUND(IF(RoundingRule="None",AP6,IF(RoundingRule="Nearest 0.99",MAX(0.99,CEILING(AP6,1)-0.01),IF(RoundingRule="Nearest 0.95",MAX(0.95,CEILING(AP6,1)-0.05),IF(RoundingRule="Nearest 0.50",CEILING(AP6,0.5),IF(RoundingRule="Nearest 1",CEILING(AP6,1),IF(RoundingRule="Nearest 5",CEILING(AP6,5),IF(RoundingRule="Up to whole 1",CEILING(AP6,1),IF(RoundingRule="Up to whole 5",CEILING(AP6,5),ROUND(AP6,2))))))))),2)))</f>
        <v>0</v>
      </c>
      <c r="AR6" s="20">
        <f>IF(B6="","",IF(M6&lt;&gt;"",M6,IF(ISNUMBER(AQ6),AQ6,"")))</f>
        <v>0</v>
      </c>
      <c r="AS6" s="20">
        <f>IF(B6="","",IF(AR6="","",ROUND(AM6+AR6*AL6,2)))</f>
        <v>0</v>
      </c>
      <c r="AT6" s="20">
        <f>IF(B6="","",IF(AR6="","",ROUND(AH6+AS6,2)))</f>
        <v>0</v>
      </c>
      <c r="AU6" s="20">
        <f>IF(B6="","",IF(AR6="","",ROUND(AR6*AI6+AK6,2)))</f>
        <v>0</v>
      </c>
      <c r="AV6" s="20">
        <f>IF(B6="","",IF(AR6="","",ROUND(AR6-AT6-AU6,2)))</f>
        <v>0</v>
      </c>
      <c r="AW6" s="33">
        <f>IF(B6="","",IF(OR(AR6="",AR6=0),"",AV6/AR6))</f>
        <v>0</v>
      </c>
      <c r="AX6" s="33">
        <f>IF(B6="","",IF(OR(AT6="",AT6=0),"",AV6/AT6))</f>
        <v>0</v>
      </c>
      <c r="AY6" s="20">
        <f>IF(B6="","",IF(OR(Y6="",Y6=0,AV6=""),"",ROUND(AV6/Y6,2)))</f>
        <v>0</v>
      </c>
      <c r="AZ6" s="20">
        <f>IF(B6="","",IF(OR(Y6="",Y6=0,AV6=""),"",ROUND((AV6+Z6)/Y6,2)))</f>
        <v>0</v>
      </c>
      <c r="BA6" s="20">
        <f>IF(B6="","",IF(1-AI6-AL6&lt;=0,"",ROUND((AH6+AM6+AK6)/(1-AI6-AL6),2)))</f>
        <v>0</v>
      </c>
      <c r="BB6" s="20">
        <f>IF(B6="","",IF(AT6="","",ROUND(AT6*2,2)))</f>
        <v>0</v>
      </c>
      <c r="BC6" s="20">
        <f>IF(B6="","",IF(AR6="","",ROUND(AR6*(1-WholesaleDiscount),2)))</f>
        <v>0</v>
      </c>
      <c r="BD6" s="20">
        <f>IF(B6="","",IF(BC6="","",ROUND(BC6-AH6-AM6,2)))</f>
        <v>0</v>
      </c>
      <c r="BE6" s="33">
        <f>IF(B6="","",IF(OR(BC6="",BC6=0),"",BD6/BC6))</f>
        <v>0</v>
      </c>
      <c r="BF6" s="20">
        <f>IF(B6="","",IFERROR(ROUND(AVERAGEIFS(Competitors!$F$5:$F$154,Competitors!$A$5:$A$154,A6),2),""))</f>
        <v>0</v>
      </c>
      <c r="BG6" s="33">
        <f>IF(B6="","",IF(OR(BF6="",BF6=0,AR6=""),"",AR6/BF6-1))</f>
        <v>0</v>
      </c>
      <c r="BH6" s="32">
        <f>IF(B6="","",SUMIFS(Sales!$D$5:$D$804,Sales!$C$5:$C$804,A6))</f>
        <v>0</v>
      </c>
      <c r="BI6" s="20">
        <f>IF(B6="","",ROUND(SUMIFS(Sales!$V$5:$V$804,Sales!$C$5:$C$804,A6),2))</f>
        <v>0</v>
      </c>
      <c r="BJ6" s="20">
        <f>IF(B6="","",ROUND(SUMIFS(Sales!$AG$5:$AG$804,Sales!$C$5:$C$804,A6),2))</f>
        <v>0</v>
      </c>
      <c r="BK6" s="33">
        <f>IF(B6="","",IF(OR(BI6="",BI6=0),"",BJ6/BI6))</f>
        <v>0</v>
      </c>
      <c r="BL6" s="17">
        <f>IF(B6="","",IF(SUMPRODUCT(MAX((Sales!$C$5:$C$804=A6)*Sales!$B$5:$B$804))=0,"",SUMPRODUCT(MAX((Sales!$C$5:$C$804=A6)*Sales!$B$5:$B$804))))</f>
        <v>0</v>
      </c>
      <c r="BM6" s="17">
        <f>IF(B6="","",IF(SUMPRODUCT(MAX(('Price History'!$B$5:$B$304=A6)*'Price History'!$A$5:$A$304))=0,IF(P6="","",P6),SUMPRODUCT(MAX(('Price History'!$B$5:$B$304=A6)*'Price History'!$A$5:$A$304))))</f>
        <v>0</v>
      </c>
      <c r="BN6" s="32">
        <f>IF(B6="","",IF(BM6="","",TodayDate-BM6))</f>
        <v>0</v>
      </c>
      <c r="BO6" s="32">
        <f>IF(B6="","",COUNTIFS($AV$5:$AV$304,"&gt;"&amp;AV6)+COUNTIFS($AV$5:AV6,AV6))</f>
        <v>0</v>
      </c>
      <c r="BP6" s="32">
        <f>IF(B6="","",COUNTIFS($AW$5:$AW$304,"&gt;"&amp;AW6)+COUNTIFS($AW$5:AW6,AW6))</f>
        <v>0</v>
      </c>
      <c r="BQ6" s="32">
        <f>IF(B6="","",COUNTIFS($BI$5:$BI$304,"&gt;"&amp;BI6)+COUNTIFS($BI$5:BI6,BI6))</f>
        <v>0</v>
      </c>
      <c r="BR6" s="32">
        <f>IF(B6="","",COUNTIFS($AY$5:$AY$304,"&gt;"&amp;AY6)+COUNTIFS($AY$5:AY6,AY6))</f>
        <v>0</v>
      </c>
      <c r="BS6" s="43">
        <f>IF(B6="","",IF(AH6=0,"Add - no costs entered yet",IF(AR6="","Check - no price yet",IF(AV6&lt;0,"Loss - every sale costs you money",IF(AND(AZ6&lt;&gt;"",AZ6&lt;MinimumWage),"Below - pays under minimum wage",IF(AW6&lt;MarginWarning,"Low margin - re-price it",IF(AND(AF6&lt;&gt;"",K6&lt;&gt;"",K6+AC6&gt;AF6),"Check - too heavy for that postage band",IF(AND(BN6&lt;&gt;"",BN6&gt;PriceReviewDays),"Due - price has not been reviewed",IF(AND(BG6&lt;&gt;"",BG6&gt;0.5),"Check - well above the market","OK")))))))) )</f>
        <v>0</v>
      </c>
    </row>
    <row r="7" spans="1:71">
      <c r="A7" s="38">
        <f>IF(B7="","",ProductPrefix&amp;TEXT(ROW()-4,"0000"))</f>
        <v>0</v>
      </c>
      <c r="B7" s="15" t="s">
        <v>526</v>
      </c>
      <c r="C7" s="15" t="s">
        <v>181</v>
      </c>
      <c r="D7" s="15" t="s">
        <v>527</v>
      </c>
      <c r="E7" s="39" t="s">
        <v>513</v>
      </c>
      <c r="F7" s="15" t="s">
        <v>528</v>
      </c>
      <c r="G7" s="15" t="s">
        <v>515</v>
      </c>
      <c r="H7" s="15" t="s">
        <v>287</v>
      </c>
      <c r="I7" s="15" t="s">
        <v>529</v>
      </c>
      <c r="J7" s="15" t="s">
        <v>525</v>
      </c>
      <c r="K7" s="21">
        <v>180</v>
      </c>
      <c r="L7" s="16">
        <v>4</v>
      </c>
      <c r="M7" s="18">
        <v>78</v>
      </c>
      <c r="O7" s="16">
        <v>46310</v>
      </c>
      <c r="P7" s="22">
        <v>46017</v>
      </c>
      <c r="S7" s="38">
        <f>IF(B7="","",IF(C7&lt;&gt;"",C7,UPPER(LEFT(IF(D7="","GEN",D7),3))&amp;"-"&amp;TEXT(ROW()-4,"000")))</f>
        <v>0</v>
      </c>
      <c r="T7" s="20">
        <f>IF(B7="","",ROUND(SUMIFS('Material Usage'!$M$5:$M$904,'Material Usage'!$A$5:$A$904,A7)+SUMIFS(Crochet!$AD$5:$AD$84,Crochet!$A$5:$A$84,A7)+SUMIFS(Jewelry!$AF$5:$AF$84,Jewelry!$A$5:$A$84,A7)+SUMIFS(Candles!$AF$5:$AF$84,Candles!$A$5:$A$84,A7)+SUMIFS(Clothing!$AB$5:$AB$84,Clothing!$A$5:$A$84,A7)+SUMIFS(Woodworking!$AC$5:$AC$84,Woodworking!$A$5:$A$84,A7)+SUMIFS(Digital!$X$5:$X$84,Digital!$A$5:$A$84,A7),2))</f>
        <v>0</v>
      </c>
      <c r="U7" s="20">
        <f>IF(B7="","",ROUND(SUMIFS(Labor!$O$5:$O$304,Labor!$A$5:$A$304,A7)+SUMIFS(Crochet!$AG$5:$AG$84,Crochet!$A$5:$A$84,A7)+SUMIFS(Jewelry!$AI$5:$AI$84,Jewelry!$A$5:$A$84,A7)+SUMIFS(Candles!$AI$5:$AI$84,Candles!$A$5:$A$84,A7)+SUMIFS(Clothing!$AE$5:$AE$84,Clothing!$A$5:$A$84,A7)+SUMIFS(Woodworking!$AF$5:$AF$84,Woodworking!$A$5:$A$84,A7)+SUMIFS(Digital!$Z$5:$Z$84,Digital!$A$5:$A$84,A7),2))</f>
        <v>0</v>
      </c>
      <c r="V7" s="36">
        <f>IF(B7="","",ROUND(SUMIFS(Labor!$P$5:$P$304,Labor!$A$5:$A$304,A7)+SUMIFS(Crochet!$AE$5:$AE$84,Crochet!$A$5:$A$84,A7)+SUMIFS(Jewelry!$AG$5:$AG$84,Jewelry!$A$5:$A$84,A7)+SUMIFS(Candles!$AG$5:$AG$84,Candles!$A$5:$A$84,A7)+SUMIFS(Clothing!$AC$5:$AC$84,Clothing!$A$5:$A$84,A7)+SUMIFS(Woodworking!$AD$5:$AD$84,Woodworking!$A$5:$A$84,A7)+SUMIFS(Digital!$Y$5:$Y$84,Digital!$A$5:$A$84,A7),1))</f>
        <v>0</v>
      </c>
      <c r="W7" s="41">
        <f>IF(B7="","",IFERROR(INDEX(DiffTimeFactors,MATCH(G7,DiffNames,0)),1))</f>
        <v>0</v>
      </c>
      <c r="X7" s="36">
        <f>IF(B7="","",ROUND(V7*W7,1))</f>
        <v>0</v>
      </c>
      <c r="Y7" s="41">
        <f>IF(B7="","",ROUND(X7/60,3))</f>
        <v>0</v>
      </c>
      <c r="Z7" s="20">
        <f>IF(B7="","",ROUND(U7*W7,2))</f>
        <v>0</v>
      </c>
      <c r="AA7" s="20">
        <f>IF(B7="","",ROUND(SUMIFS(Labor!$Q$5:$Q$304,Labor!$A$5:$A$304,A7)+SUMIFS(Crochet!$AH$5:$AH$84,Crochet!$A$5:$A$84,A7)+SUMIFS(Jewelry!$AJ$5:$AJ$84,Jewelry!$A$5:$A$84,A7)+SUMIFS(Candles!$AJ$5:$AJ$84,Candles!$A$5:$A$84,A7)+SUMIFS(Clothing!$AF$5:$AF$84,Clothing!$A$5:$A$84,A7)+SUMIFS(Woodworking!$AH$5:$AH$84,Woodworking!$A$5:$A$84,A7)+SUMIFS(Digital!$AA$5:$AA$84,Digital!$A$5:$A$84,A7),2))</f>
        <v>0</v>
      </c>
      <c r="AB7" s="20">
        <f>IF(B7="","",ROUND(IF(I7="Budget",PackBudget,IF(I7="Standard",PackStandard,IF(I7="Gift",PackGift,IF(I7="Premium",PackPremium,DefaultPackaging)))),2))</f>
        <v>0</v>
      </c>
      <c r="AC7" s="36">
        <f>IF(B7="","",IF(I7="Budget",PackWeightBudget,IF(I7="Standard",PackWeightStandard,IF(I7="Gift",PackWeightGift,IF(I7="Premium",PackWeightPremium,0)))))</f>
        <v>0</v>
      </c>
      <c r="AD7" s="20">
        <f>IF(B7="","",IFERROR(INDEX(Shipping!$M$5:$M$64,MATCH(J7,Shipping!$L$5:$L$64,0)),DefaultShipping))</f>
        <v>0</v>
      </c>
      <c r="AE7" s="20">
        <f>IF(B7="","",IFERROR(INDEX(Shipping!$F$5:$F$64,MATCH(J7,Shipping!$L$5:$L$64,0)),0))</f>
        <v>0</v>
      </c>
      <c r="AF7" s="36">
        <f>IF(B7="","",IFERROR(INDEX(Shipping!$C$5:$C$64,MATCH(J7,Shipping!$L$5:$L$64,0)),""))</f>
        <v>0</v>
      </c>
      <c r="AG7" s="20">
        <f>IF(B7="","",ROUND(MAX(0,AD7-AE7),2))</f>
        <v>0</v>
      </c>
      <c r="AH7" s="20">
        <f>IF(B7="","",ROUND(T7+Z7+AA7+AB7+AG7,2))</f>
        <v>0</v>
      </c>
      <c r="AI7" s="33">
        <f>IF(B7="","",IFERROR(INDEX(Channels!$S$5:$S$18,MATCH(IF(H7="",DefaultChannel,H7),Channels!$A$5:$A$18,0)),0))</f>
        <v>0</v>
      </c>
      <c r="AJ7" s="42">
        <f>IF(B7="","",IFERROR(INDEX(Channels!$O$5:$O$18,MATCH(IF(H7="",DefaultChannel,H7),Channels!$A$5:$A$18,0)),"No"))</f>
        <v>0</v>
      </c>
      <c r="AK7" s="20">
        <f>IF(B7="","",ROUND(IFERROR(INDEX(Channels!$T$5:$T$18,MATCH(IF(H7="",DefaultChannel,H7),Channels!$A$5:$A$18,0)),0)+IF(AJ7="Yes",AE7*AI7,0),4))</f>
        <v>0</v>
      </c>
      <c r="AL7" s="33">
        <f>IF(B7="","",IF(OverheadMethod="Share of revenue",IF(RevenueTargetMonth&lt;=0,0,OverheadMonthly/RevenueTargetMonth),0))</f>
        <v>0</v>
      </c>
      <c r="AM7" s="20">
        <f>IF(B7="","",IF(OverheadMethod="Per hour worked",ROUND(OverheadPerHour*Y7,2),IF(OR(OverheadMethod="Per unit made",OverheadMethod="Per order"),OverheadPerUnit,0)))</f>
        <v>0</v>
      </c>
      <c r="AN7" s="33">
        <f>IF(B7="","",IF(N7&lt;&gt;"",N7,TargetRetailMargin))</f>
        <v>0</v>
      </c>
      <c r="AO7" s="41">
        <f>IF(B7="","",1-AN7-AI7-AL7)</f>
        <v>0</v>
      </c>
      <c r="AP7" s="20">
        <f>IF(B7="","",IF(AO7&lt;=0,"",(AH7+AM7+AK7)/AO7))</f>
        <v>0</v>
      </c>
      <c r="AQ7" s="20">
        <f>IF(B7="","",IF(AP7="","Check the settings",ROUND(IF(RoundingRule="None",AP7,IF(RoundingRule="Nearest 0.99",MAX(0.99,CEILING(AP7,1)-0.01),IF(RoundingRule="Nearest 0.95",MAX(0.95,CEILING(AP7,1)-0.05),IF(RoundingRule="Nearest 0.50",CEILING(AP7,0.5),IF(RoundingRule="Nearest 1",CEILING(AP7,1),IF(RoundingRule="Nearest 5",CEILING(AP7,5),IF(RoundingRule="Up to whole 1",CEILING(AP7,1),IF(RoundingRule="Up to whole 5",CEILING(AP7,5),ROUND(AP7,2))))))))),2)))</f>
        <v>0</v>
      </c>
      <c r="AR7" s="20">
        <f>IF(B7="","",IF(M7&lt;&gt;"",M7,IF(ISNUMBER(AQ7),AQ7,"")))</f>
        <v>0</v>
      </c>
      <c r="AS7" s="20">
        <f>IF(B7="","",IF(AR7="","",ROUND(AM7+AR7*AL7,2)))</f>
        <v>0</v>
      </c>
      <c r="AT7" s="20">
        <f>IF(B7="","",IF(AR7="","",ROUND(AH7+AS7,2)))</f>
        <v>0</v>
      </c>
      <c r="AU7" s="20">
        <f>IF(B7="","",IF(AR7="","",ROUND(AR7*AI7+AK7,2)))</f>
        <v>0</v>
      </c>
      <c r="AV7" s="20">
        <f>IF(B7="","",IF(AR7="","",ROUND(AR7-AT7-AU7,2)))</f>
        <v>0</v>
      </c>
      <c r="AW7" s="33">
        <f>IF(B7="","",IF(OR(AR7="",AR7=0),"",AV7/AR7))</f>
        <v>0</v>
      </c>
      <c r="AX7" s="33">
        <f>IF(B7="","",IF(OR(AT7="",AT7=0),"",AV7/AT7))</f>
        <v>0</v>
      </c>
      <c r="AY7" s="20">
        <f>IF(B7="","",IF(OR(Y7="",Y7=0,AV7=""),"",ROUND(AV7/Y7,2)))</f>
        <v>0</v>
      </c>
      <c r="AZ7" s="20">
        <f>IF(B7="","",IF(OR(Y7="",Y7=0,AV7=""),"",ROUND((AV7+Z7)/Y7,2)))</f>
        <v>0</v>
      </c>
      <c r="BA7" s="20">
        <f>IF(B7="","",IF(1-AI7-AL7&lt;=0,"",ROUND((AH7+AM7+AK7)/(1-AI7-AL7),2)))</f>
        <v>0</v>
      </c>
      <c r="BB7" s="20">
        <f>IF(B7="","",IF(AT7="","",ROUND(AT7*2,2)))</f>
        <v>0</v>
      </c>
      <c r="BC7" s="20">
        <f>IF(B7="","",IF(AR7="","",ROUND(AR7*(1-WholesaleDiscount),2)))</f>
        <v>0</v>
      </c>
      <c r="BD7" s="20">
        <f>IF(B7="","",IF(BC7="","",ROUND(BC7-AH7-AM7,2)))</f>
        <v>0</v>
      </c>
      <c r="BE7" s="33">
        <f>IF(B7="","",IF(OR(BC7="",BC7=0),"",BD7/BC7))</f>
        <v>0</v>
      </c>
      <c r="BF7" s="20">
        <f>IF(B7="","",IFERROR(ROUND(AVERAGEIFS(Competitors!$F$5:$F$154,Competitors!$A$5:$A$154,A7),2),""))</f>
        <v>0</v>
      </c>
      <c r="BG7" s="33">
        <f>IF(B7="","",IF(OR(BF7="",BF7=0,AR7=""),"",AR7/BF7-1))</f>
        <v>0</v>
      </c>
      <c r="BH7" s="32">
        <f>IF(B7="","",SUMIFS(Sales!$D$5:$D$804,Sales!$C$5:$C$804,A7))</f>
        <v>0</v>
      </c>
      <c r="BI7" s="20">
        <f>IF(B7="","",ROUND(SUMIFS(Sales!$V$5:$V$804,Sales!$C$5:$C$804,A7),2))</f>
        <v>0</v>
      </c>
      <c r="BJ7" s="20">
        <f>IF(B7="","",ROUND(SUMIFS(Sales!$AG$5:$AG$804,Sales!$C$5:$C$804,A7),2))</f>
        <v>0</v>
      </c>
      <c r="BK7" s="33">
        <f>IF(B7="","",IF(OR(BI7="",BI7=0),"",BJ7/BI7))</f>
        <v>0</v>
      </c>
      <c r="BL7" s="17">
        <f>IF(B7="","",IF(SUMPRODUCT(MAX((Sales!$C$5:$C$804=A7)*Sales!$B$5:$B$804))=0,"",SUMPRODUCT(MAX((Sales!$C$5:$C$804=A7)*Sales!$B$5:$B$804))))</f>
        <v>0</v>
      </c>
      <c r="BM7" s="17">
        <f>IF(B7="","",IF(SUMPRODUCT(MAX(('Price History'!$B$5:$B$304=A7)*'Price History'!$A$5:$A$304))=0,IF(P7="","",P7),SUMPRODUCT(MAX(('Price History'!$B$5:$B$304=A7)*'Price History'!$A$5:$A$304))))</f>
        <v>0</v>
      </c>
      <c r="BN7" s="32">
        <f>IF(B7="","",IF(BM7="","",TodayDate-BM7))</f>
        <v>0</v>
      </c>
      <c r="BO7" s="32">
        <f>IF(B7="","",COUNTIFS($AV$5:$AV$304,"&gt;"&amp;AV7)+COUNTIFS($AV$5:AV7,AV7))</f>
        <v>0</v>
      </c>
      <c r="BP7" s="32">
        <f>IF(B7="","",COUNTIFS($AW$5:$AW$304,"&gt;"&amp;AW7)+COUNTIFS($AW$5:AW7,AW7))</f>
        <v>0</v>
      </c>
      <c r="BQ7" s="32">
        <f>IF(B7="","",COUNTIFS($BI$5:$BI$304,"&gt;"&amp;BI7)+COUNTIFS($BI$5:BI7,BI7))</f>
        <v>0</v>
      </c>
      <c r="BR7" s="32">
        <f>IF(B7="","",COUNTIFS($AY$5:$AY$304,"&gt;"&amp;AY7)+COUNTIFS($AY$5:AY7,AY7))</f>
        <v>0</v>
      </c>
      <c r="BS7" s="43">
        <f>IF(B7="","",IF(AH7=0,"Add - no costs entered yet",IF(AR7="","Check - no price yet",IF(AV7&lt;0,"Loss - every sale costs you money",IF(AND(AZ7&lt;&gt;"",AZ7&lt;MinimumWage),"Below - pays under minimum wage",IF(AW7&lt;MarginWarning,"Low margin - re-price it",IF(AND(AF7&lt;&gt;"",K7&lt;&gt;"",K7+AC7&gt;AF7),"Check - too heavy for that postage band",IF(AND(BN7&lt;&gt;"",BN7&gt;PriceReviewDays),"Due - price has not been reviewed",IF(AND(BG7&lt;&gt;"",BG7&gt;0.5),"Check - well above the market","OK")))))))) )</f>
        <v>0</v>
      </c>
    </row>
    <row r="8" spans="1:71">
      <c r="A8" s="38">
        <f>IF(B8="","",ProductPrefix&amp;TEXT(ROW()-4,"0000"))</f>
        <v>0</v>
      </c>
      <c r="B8" s="15" t="s">
        <v>530</v>
      </c>
      <c r="C8" s="15" t="s">
        <v>181</v>
      </c>
      <c r="D8" s="15" t="s">
        <v>531</v>
      </c>
      <c r="E8" s="39" t="s">
        <v>513</v>
      </c>
      <c r="F8" s="15" t="s">
        <v>522</v>
      </c>
      <c r="G8" s="15" t="s">
        <v>515</v>
      </c>
      <c r="H8" s="15" t="s">
        <v>287</v>
      </c>
      <c r="I8" s="15" t="s">
        <v>529</v>
      </c>
      <c r="J8" s="15" t="s">
        <v>532</v>
      </c>
      <c r="K8" s="21">
        <v>25</v>
      </c>
      <c r="L8" s="16">
        <v>14</v>
      </c>
      <c r="M8" s="18">
        <v>58</v>
      </c>
      <c r="O8" s="16">
        <v>46308</v>
      </c>
      <c r="P8" s="22">
        <v>45697</v>
      </c>
      <c r="S8" s="38">
        <f>IF(B8="","",IF(C8&lt;&gt;"",C8,UPPER(LEFT(IF(D8="","GEN",D8),3))&amp;"-"&amp;TEXT(ROW()-4,"000")))</f>
        <v>0</v>
      </c>
      <c r="T8" s="20">
        <f>IF(B8="","",ROUND(SUMIFS('Material Usage'!$M$5:$M$904,'Material Usage'!$A$5:$A$904,A8)+SUMIFS(Crochet!$AD$5:$AD$84,Crochet!$A$5:$A$84,A8)+SUMIFS(Jewelry!$AF$5:$AF$84,Jewelry!$A$5:$A$84,A8)+SUMIFS(Candles!$AF$5:$AF$84,Candles!$A$5:$A$84,A8)+SUMIFS(Clothing!$AB$5:$AB$84,Clothing!$A$5:$A$84,A8)+SUMIFS(Woodworking!$AC$5:$AC$84,Woodworking!$A$5:$A$84,A8)+SUMIFS(Digital!$X$5:$X$84,Digital!$A$5:$A$84,A8),2))</f>
        <v>0</v>
      </c>
      <c r="U8" s="20">
        <f>IF(B8="","",ROUND(SUMIFS(Labor!$O$5:$O$304,Labor!$A$5:$A$304,A8)+SUMIFS(Crochet!$AG$5:$AG$84,Crochet!$A$5:$A$84,A8)+SUMIFS(Jewelry!$AI$5:$AI$84,Jewelry!$A$5:$A$84,A8)+SUMIFS(Candles!$AI$5:$AI$84,Candles!$A$5:$A$84,A8)+SUMIFS(Clothing!$AE$5:$AE$84,Clothing!$A$5:$A$84,A8)+SUMIFS(Woodworking!$AF$5:$AF$84,Woodworking!$A$5:$A$84,A8)+SUMIFS(Digital!$Z$5:$Z$84,Digital!$A$5:$A$84,A8),2))</f>
        <v>0</v>
      </c>
      <c r="V8" s="36">
        <f>IF(B8="","",ROUND(SUMIFS(Labor!$P$5:$P$304,Labor!$A$5:$A$304,A8)+SUMIFS(Crochet!$AE$5:$AE$84,Crochet!$A$5:$A$84,A8)+SUMIFS(Jewelry!$AG$5:$AG$84,Jewelry!$A$5:$A$84,A8)+SUMIFS(Candles!$AG$5:$AG$84,Candles!$A$5:$A$84,A8)+SUMIFS(Clothing!$AC$5:$AC$84,Clothing!$A$5:$A$84,A8)+SUMIFS(Woodworking!$AD$5:$AD$84,Woodworking!$A$5:$A$84,A8)+SUMIFS(Digital!$Y$5:$Y$84,Digital!$A$5:$A$84,A8),1))</f>
        <v>0</v>
      </c>
      <c r="W8" s="41">
        <f>IF(B8="","",IFERROR(INDEX(DiffTimeFactors,MATCH(G8,DiffNames,0)),1))</f>
        <v>0</v>
      </c>
      <c r="X8" s="36">
        <f>IF(B8="","",ROUND(V8*W8,1))</f>
        <v>0</v>
      </c>
      <c r="Y8" s="41">
        <f>IF(B8="","",ROUND(X8/60,3))</f>
        <v>0</v>
      </c>
      <c r="Z8" s="20">
        <f>IF(B8="","",ROUND(U8*W8,2))</f>
        <v>0</v>
      </c>
      <c r="AA8" s="20">
        <f>IF(B8="","",ROUND(SUMIFS(Labor!$Q$5:$Q$304,Labor!$A$5:$A$304,A8)+SUMIFS(Crochet!$AH$5:$AH$84,Crochet!$A$5:$A$84,A8)+SUMIFS(Jewelry!$AJ$5:$AJ$84,Jewelry!$A$5:$A$84,A8)+SUMIFS(Candles!$AJ$5:$AJ$84,Candles!$A$5:$A$84,A8)+SUMIFS(Clothing!$AF$5:$AF$84,Clothing!$A$5:$A$84,A8)+SUMIFS(Woodworking!$AH$5:$AH$84,Woodworking!$A$5:$A$84,A8)+SUMIFS(Digital!$AA$5:$AA$84,Digital!$A$5:$A$84,A8),2))</f>
        <v>0</v>
      </c>
      <c r="AB8" s="20">
        <f>IF(B8="","",ROUND(IF(I8="Budget",PackBudget,IF(I8="Standard",PackStandard,IF(I8="Gift",PackGift,IF(I8="Premium",PackPremium,DefaultPackaging)))),2))</f>
        <v>0</v>
      </c>
      <c r="AC8" s="36">
        <f>IF(B8="","",IF(I8="Budget",PackWeightBudget,IF(I8="Standard",PackWeightStandard,IF(I8="Gift",PackWeightGift,IF(I8="Premium",PackWeightPremium,0)))))</f>
        <v>0</v>
      </c>
      <c r="AD8" s="20">
        <f>IF(B8="","",IFERROR(INDEX(Shipping!$M$5:$M$64,MATCH(J8,Shipping!$L$5:$L$64,0)),DefaultShipping))</f>
        <v>0</v>
      </c>
      <c r="AE8" s="20">
        <f>IF(B8="","",IFERROR(INDEX(Shipping!$F$5:$F$64,MATCH(J8,Shipping!$L$5:$L$64,0)),0))</f>
        <v>0</v>
      </c>
      <c r="AF8" s="36">
        <f>IF(B8="","",IFERROR(INDEX(Shipping!$C$5:$C$64,MATCH(J8,Shipping!$L$5:$L$64,0)),""))</f>
        <v>0</v>
      </c>
      <c r="AG8" s="20">
        <f>IF(B8="","",ROUND(MAX(0,AD8-AE8),2))</f>
        <v>0</v>
      </c>
      <c r="AH8" s="20">
        <f>IF(B8="","",ROUND(T8+Z8+AA8+AB8+AG8,2))</f>
        <v>0</v>
      </c>
      <c r="AI8" s="33">
        <f>IF(B8="","",IFERROR(INDEX(Channels!$S$5:$S$18,MATCH(IF(H8="",DefaultChannel,H8),Channels!$A$5:$A$18,0)),0))</f>
        <v>0</v>
      </c>
      <c r="AJ8" s="42">
        <f>IF(B8="","",IFERROR(INDEX(Channels!$O$5:$O$18,MATCH(IF(H8="",DefaultChannel,H8),Channels!$A$5:$A$18,0)),"No"))</f>
        <v>0</v>
      </c>
      <c r="AK8" s="20">
        <f>IF(B8="","",ROUND(IFERROR(INDEX(Channels!$T$5:$T$18,MATCH(IF(H8="",DefaultChannel,H8),Channels!$A$5:$A$18,0)),0)+IF(AJ8="Yes",AE8*AI8,0),4))</f>
        <v>0</v>
      </c>
      <c r="AL8" s="33">
        <f>IF(B8="","",IF(OverheadMethod="Share of revenue",IF(RevenueTargetMonth&lt;=0,0,OverheadMonthly/RevenueTargetMonth),0))</f>
        <v>0</v>
      </c>
      <c r="AM8" s="20">
        <f>IF(B8="","",IF(OverheadMethod="Per hour worked",ROUND(OverheadPerHour*Y8,2),IF(OR(OverheadMethod="Per unit made",OverheadMethod="Per order"),OverheadPerUnit,0)))</f>
        <v>0</v>
      </c>
      <c r="AN8" s="33">
        <f>IF(B8="","",IF(N8&lt;&gt;"",N8,TargetRetailMargin))</f>
        <v>0</v>
      </c>
      <c r="AO8" s="41">
        <f>IF(B8="","",1-AN8-AI8-AL8)</f>
        <v>0</v>
      </c>
      <c r="AP8" s="20">
        <f>IF(B8="","",IF(AO8&lt;=0,"",(AH8+AM8+AK8)/AO8))</f>
        <v>0</v>
      </c>
      <c r="AQ8" s="20">
        <f>IF(B8="","",IF(AP8="","Check the settings",ROUND(IF(RoundingRule="None",AP8,IF(RoundingRule="Nearest 0.99",MAX(0.99,CEILING(AP8,1)-0.01),IF(RoundingRule="Nearest 0.95",MAX(0.95,CEILING(AP8,1)-0.05),IF(RoundingRule="Nearest 0.50",CEILING(AP8,0.5),IF(RoundingRule="Nearest 1",CEILING(AP8,1),IF(RoundingRule="Nearest 5",CEILING(AP8,5),IF(RoundingRule="Up to whole 1",CEILING(AP8,1),IF(RoundingRule="Up to whole 5",CEILING(AP8,5),ROUND(AP8,2))))))))),2)))</f>
        <v>0</v>
      </c>
      <c r="AR8" s="20">
        <f>IF(B8="","",IF(M8&lt;&gt;"",M8,IF(ISNUMBER(AQ8),AQ8,"")))</f>
        <v>0</v>
      </c>
      <c r="AS8" s="20">
        <f>IF(B8="","",IF(AR8="","",ROUND(AM8+AR8*AL8,2)))</f>
        <v>0</v>
      </c>
      <c r="AT8" s="20">
        <f>IF(B8="","",IF(AR8="","",ROUND(AH8+AS8,2)))</f>
        <v>0</v>
      </c>
      <c r="AU8" s="20">
        <f>IF(B8="","",IF(AR8="","",ROUND(AR8*AI8+AK8,2)))</f>
        <v>0</v>
      </c>
      <c r="AV8" s="20">
        <f>IF(B8="","",IF(AR8="","",ROUND(AR8-AT8-AU8,2)))</f>
        <v>0</v>
      </c>
      <c r="AW8" s="33">
        <f>IF(B8="","",IF(OR(AR8="",AR8=0),"",AV8/AR8))</f>
        <v>0</v>
      </c>
      <c r="AX8" s="33">
        <f>IF(B8="","",IF(OR(AT8="",AT8=0),"",AV8/AT8))</f>
        <v>0</v>
      </c>
      <c r="AY8" s="20">
        <f>IF(B8="","",IF(OR(Y8="",Y8=0,AV8=""),"",ROUND(AV8/Y8,2)))</f>
        <v>0</v>
      </c>
      <c r="AZ8" s="20">
        <f>IF(B8="","",IF(OR(Y8="",Y8=0,AV8=""),"",ROUND((AV8+Z8)/Y8,2)))</f>
        <v>0</v>
      </c>
      <c r="BA8" s="20">
        <f>IF(B8="","",IF(1-AI8-AL8&lt;=0,"",ROUND((AH8+AM8+AK8)/(1-AI8-AL8),2)))</f>
        <v>0</v>
      </c>
      <c r="BB8" s="20">
        <f>IF(B8="","",IF(AT8="","",ROUND(AT8*2,2)))</f>
        <v>0</v>
      </c>
      <c r="BC8" s="20">
        <f>IF(B8="","",IF(AR8="","",ROUND(AR8*(1-WholesaleDiscount),2)))</f>
        <v>0</v>
      </c>
      <c r="BD8" s="20">
        <f>IF(B8="","",IF(BC8="","",ROUND(BC8-AH8-AM8,2)))</f>
        <v>0</v>
      </c>
      <c r="BE8" s="33">
        <f>IF(B8="","",IF(OR(BC8="",BC8=0),"",BD8/BC8))</f>
        <v>0</v>
      </c>
      <c r="BF8" s="20">
        <f>IF(B8="","",IFERROR(ROUND(AVERAGEIFS(Competitors!$F$5:$F$154,Competitors!$A$5:$A$154,A8),2),""))</f>
        <v>0</v>
      </c>
      <c r="BG8" s="33">
        <f>IF(B8="","",IF(OR(BF8="",BF8=0,AR8=""),"",AR8/BF8-1))</f>
        <v>0</v>
      </c>
      <c r="BH8" s="32">
        <f>IF(B8="","",SUMIFS(Sales!$D$5:$D$804,Sales!$C$5:$C$804,A8))</f>
        <v>0</v>
      </c>
      <c r="BI8" s="20">
        <f>IF(B8="","",ROUND(SUMIFS(Sales!$V$5:$V$804,Sales!$C$5:$C$804,A8),2))</f>
        <v>0</v>
      </c>
      <c r="BJ8" s="20">
        <f>IF(B8="","",ROUND(SUMIFS(Sales!$AG$5:$AG$804,Sales!$C$5:$C$804,A8),2))</f>
        <v>0</v>
      </c>
      <c r="BK8" s="33">
        <f>IF(B8="","",IF(OR(BI8="",BI8=0),"",BJ8/BI8))</f>
        <v>0</v>
      </c>
      <c r="BL8" s="17">
        <f>IF(B8="","",IF(SUMPRODUCT(MAX((Sales!$C$5:$C$804=A8)*Sales!$B$5:$B$804))=0,"",SUMPRODUCT(MAX((Sales!$C$5:$C$804=A8)*Sales!$B$5:$B$804))))</f>
        <v>0</v>
      </c>
      <c r="BM8" s="17">
        <f>IF(B8="","",IF(SUMPRODUCT(MAX(('Price History'!$B$5:$B$304=A8)*'Price History'!$A$5:$A$304))=0,IF(P8="","",P8),SUMPRODUCT(MAX(('Price History'!$B$5:$B$304=A8)*'Price History'!$A$5:$A$304))))</f>
        <v>0</v>
      </c>
      <c r="BN8" s="32">
        <f>IF(B8="","",IF(BM8="","",TodayDate-BM8))</f>
        <v>0</v>
      </c>
      <c r="BO8" s="32">
        <f>IF(B8="","",COUNTIFS($AV$5:$AV$304,"&gt;"&amp;AV8)+COUNTIFS($AV$5:AV8,AV8))</f>
        <v>0</v>
      </c>
      <c r="BP8" s="32">
        <f>IF(B8="","",COUNTIFS($AW$5:$AW$304,"&gt;"&amp;AW8)+COUNTIFS($AW$5:AW8,AW8))</f>
        <v>0</v>
      </c>
      <c r="BQ8" s="32">
        <f>IF(B8="","",COUNTIFS($BI$5:$BI$304,"&gt;"&amp;BI8)+COUNTIFS($BI$5:BI8,BI8))</f>
        <v>0</v>
      </c>
      <c r="BR8" s="32">
        <f>IF(B8="","",COUNTIFS($AY$5:$AY$304,"&gt;"&amp;AY8)+COUNTIFS($AY$5:AY8,AY8))</f>
        <v>0</v>
      </c>
      <c r="BS8" s="43">
        <f>IF(B8="","",IF(AH8=0,"Add - no costs entered yet",IF(AR8="","Check - no price yet",IF(AV8&lt;0,"Loss - every sale costs you money",IF(AND(AZ8&lt;&gt;"",AZ8&lt;MinimumWage),"Below - pays under minimum wage",IF(AW8&lt;MarginWarning,"Low margin - re-price it",IF(AND(AF8&lt;&gt;"",K8&lt;&gt;"",K8+AC8&gt;AF8),"Check - too heavy for that postage band",IF(AND(BN8&lt;&gt;"",BN8&gt;PriceReviewDays),"Due - price has not been reviewed",IF(AND(BG8&lt;&gt;"",BG8&gt;0.5),"Check - well above the market","OK")))))))) )</f>
        <v>0</v>
      </c>
    </row>
    <row r="9" spans="1:71">
      <c r="A9" s="38">
        <f>IF(B9="","",ProductPrefix&amp;TEXT(ROW()-4,"0000"))</f>
        <v>0</v>
      </c>
      <c r="B9" s="15" t="s">
        <v>533</v>
      </c>
      <c r="C9" s="15" t="s">
        <v>181</v>
      </c>
      <c r="D9" s="15" t="s">
        <v>531</v>
      </c>
      <c r="E9" s="39" t="s">
        <v>513</v>
      </c>
      <c r="F9" s="15" t="s">
        <v>534</v>
      </c>
      <c r="G9" s="15" t="s">
        <v>523</v>
      </c>
      <c r="H9" s="15" t="s">
        <v>287</v>
      </c>
      <c r="I9" s="15" t="s">
        <v>529</v>
      </c>
      <c r="J9" s="15" t="s">
        <v>532</v>
      </c>
      <c r="K9" s="21">
        <v>30</v>
      </c>
      <c r="L9" s="16">
        <v>11</v>
      </c>
      <c r="M9" s="18">
        <v>52</v>
      </c>
      <c r="O9" s="16">
        <v>46302</v>
      </c>
      <c r="P9" s="22">
        <v>45897</v>
      </c>
      <c r="S9" s="38">
        <f>IF(B9="","",IF(C9&lt;&gt;"",C9,UPPER(LEFT(IF(D9="","GEN",D9),3))&amp;"-"&amp;TEXT(ROW()-4,"000")))</f>
        <v>0</v>
      </c>
      <c r="T9" s="20">
        <f>IF(B9="","",ROUND(SUMIFS('Material Usage'!$M$5:$M$904,'Material Usage'!$A$5:$A$904,A9)+SUMIFS(Crochet!$AD$5:$AD$84,Crochet!$A$5:$A$84,A9)+SUMIFS(Jewelry!$AF$5:$AF$84,Jewelry!$A$5:$A$84,A9)+SUMIFS(Candles!$AF$5:$AF$84,Candles!$A$5:$A$84,A9)+SUMIFS(Clothing!$AB$5:$AB$84,Clothing!$A$5:$A$84,A9)+SUMIFS(Woodworking!$AC$5:$AC$84,Woodworking!$A$5:$A$84,A9)+SUMIFS(Digital!$X$5:$X$84,Digital!$A$5:$A$84,A9),2))</f>
        <v>0</v>
      </c>
      <c r="U9" s="20">
        <f>IF(B9="","",ROUND(SUMIFS(Labor!$O$5:$O$304,Labor!$A$5:$A$304,A9)+SUMIFS(Crochet!$AG$5:$AG$84,Crochet!$A$5:$A$84,A9)+SUMIFS(Jewelry!$AI$5:$AI$84,Jewelry!$A$5:$A$84,A9)+SUMIFS(Candles!$AI$5:$AI$84,Candles!$A$5:$A$84,A9)+SUMIFS(Clothing!$AE$5:$AE$84,Clothing!$A$5:$A$84,A9)+SUMIFS(Woodworking!$AF$5:$AF$84,Woodworking!$A$5:$A$84,A9)+SUMIFS(Digital!$Z$5:$Z$84,Digital!$A$5:$A$84,A9),2))</f>
        <v>0</v>
      </c>
      <c r="V9" s="36">
        <f>IF(B9="","",ROUND(SUMIFS(Labor!$P$5:$P$304,Labor!$A$5:$A$304,A9)+SUMIFS(Crochet!$AE$5:$AE$84,Crochet!$A$5:$A$84,A9)+SUMIFS(Jewelry!$AG$5:$AG$84,Jewelry!$A$5:$A$84,A9)+SUMIFS(Candles!$AG$5:$AG$84,Candles!$A$5:$A$84,A9)+SUMIFS(Clothing!$AC$5:$AC$84,Clothing!$A$5:$A$84,A9)+SUMIFS(Woodworking!$AD$5:$AD$84,Woodworking!$A$5:$A$84,A9)+SUMIFS(Digital!$Y$5:$Y$84,Digital!$A$5:$A$84,A9),1))</f>
        <v>0</v>
      </c>
      <c r="W9" s="41">
        <f>IF(B9="","",IFERROR(INDEX(DiffTimeFactors,MATCH(G9,DiffNames,0)),1))</f>
        <v>0</v>
      </c>
      <c r="X9" s="36">
        <f>IF(B9="","",ROUND(V9*W9,1))</f>
        <v>0</v>
      </c>
      <c r="Y9" s="41">
        <f>IF(B9="","",ROUND(X9/60,3))</f>
        <v>0</v>
      </c>
      <c r="Z9" s="20">
        <f>IF(B9="","",ROUND(U9*W9,2))</f>
        <v>0</v>
      </c>
      <c r="AA9" s="20">
        <f>IF(B9="","",ROUND(SUMIFS(Labor!$Q$5:$Q$304,Labor!$A$5:$A$304,A9)+SUMIFS(Crochet!$AH$5:$AH$84,Crochet!$A$5:$A$84,A9)+SUMIFS(Jewelry!$AJ$5:$AJ$84,Jewelry!$A$5:$A$84,A9)+SUMIFS(Candles!$AJ$5:$AJ$84,Candles!$A$5:$A$84,A9)+SUMIFS(Clothing!$AF$5:$AF$84,Clothing!$A$5:$A$84,A9)+SUMIFS(Woodworking!$AH$5:$AH$84,Woodworking!$A$5:$A$84,A9)+SUMIFS(Digital!$AA$5:$AA$84,Digital!$A$5:$A$84,A9),2))</f>
        <v>0</v>
      </c>
      <c r="AB9" s="20">
        <f>IF(B9="","",ROUND(IF(I9="Budget",PackBudget,IF(I9="Standard",PackStandard,IF(I9="Gift",PackGift,IF(I9="Premium",PackPremium,DefaultPackaging)))),2))</f>
        <v>0</v>
      </c>
      <c r="AC9" s="36">
        <f>IF(B9="","",IF(I9="Budget",PackWeightBudget,IF(I9="Standard",PackWeightStandard,IF(I9="Gift",PackWeightGift,IF(I9="Premium",PackWeightPremium,0)))))</f>
        <v>0</v>
      </c>
      <c r="AD9" s="20">
        <f>IF(B9="","",IFERROR(INDEX(Shipping!$M$5:$M$64,MATCH(J9,Shipping!$L$5:$L$64,0)),DefaultShipping))</f>
        <v>0</v>
      </c>
      <c r="AE9" s="20">
        <f>IF(B9="","",IFERROR(INDEX(Shipping!$F$5:$F$64,MATCH(J9,Shipping!$L$5:$L$64,0)),0))</f>
        <v>0</v>
      </c>
      <c r="AF9" s="36">
        <f>IF(B9="","",IFERROR(INDEX(Shipping!$C$5:$C$64,MATCH(J9,Shipping!$L$5:$L$64,0)),""))</f>
        <v>0</v>
      </c>
      <c r="AG9" s="20">
        <f>IF(B9="","",ROUND(MAX(0,AD9-AE9),2))</f>
        <v>0</v>
      </c>
      <c r="AH9" s="20">
        <f>IF(B9="","",ROUND(T9+Z9+AA9+AB9+AG9,2))</f>
        <v>0</v>
      </c>
      <c r="AI9" s="33">
        <f>IF(B9="","",IFERROR(INDEX(Channels!$S$5:$S$18,MATCH(IF(H9="",DefaultChannel,H9),Channels!$A$5:$A$18,0)),0))</f>
        <v>0</v>
      </c>
      <c r="AJ9" s="42">
        <f>IF(B9="","",IFERROR(INDEX(Channels!$O$5:$O$18,MATCH(IF(H9="",DefaultChannel,H9),Channels!$A$5:$A$18,0)),"No"))</f>
        <v>0</v>
      </c>
      <c r="AK9" s="20">
        <f>IF(B9="","",ROUND(IFERROR(INDEX(Channels!$T$5:$T$18,MATCH(IF(H9="",DefaultChannel,H9),Channels!$A$5:$A$18,0)),0)+IF(AJ9="Yes",AE9*AI9,0),4))</f>
        <v>0</v>
      </c>
      <c r="AL9" s="33">
        <f>IF(B9="","",IF(OverheadMethod="Share of revenue",IF(RevenueTargetMonth&lt;=0,0,OverheadMonthly/RevenueTargetMonth),0))</f>
        <v>0</v>
      </c>
      <c r="AM9" s="20">
        <f>IF(B9="","",IF(OverheadMethod="Per hour worked",ROUND(OverheadPerHour*Y9,2),IF(OR(OverheadMethod="Per unit made",OverheadMethod="Per order"),OverheadPerUnit,0)))</f>
        <v>0</v>
      </c>
      <c r="AN9" s="33">
        <f>IF(B9="","",IF(N9&lt;&gt;"",N9,TargetRetailMargin))</f>
        <v>0</v>
      </c>
      <c r="AO9" s="41">
        <f>IF(B9="","",1-AN9-AI9-AL9)</f>
        <v>0</v>
      </c>
      <c r="AP9" s="20">
        <f>IF(B9="","",IF(AO9&lt;=0,"",(AH9+AM9+AK9)/AO9))</f>
        <v>0</v>
      </c>
      <c r="AQ9" s="20">
        <f>IF(B9="","",IF(AP9="","Check the settings",ROUND(IF(RoundingRule="None",AP9,IF(RoundingRule="Nearest 0.99",MAX(0.99,CEILING(AP9,1)-0.01),IF(RoundingRule="Nearest 0.95",MAX(0.95,CEILING(AP9,1)-0.05),IF(RoundingRule="Nearest 0.50",CEILING(AP9,0.5),IF(RoundingRule="Nearest 1",CEILING(AP9,1),IF(RoundingRule="Nearest 5",CEILING(AP9,5),IF(RoundingRule="Up to whole 1",CEILING(AP9,1),IF(RoundingRule="Up to whole 5",CEILING(AP9,5),ROUND(AP9,2))))))))),2)))</f>
        <v>0</v>
      </c>
      <c r="AR9" s="20">
        <f>IF(B9="","",IF(M9&lt;&gt;"",M9,IF(ISNUMBER(AQ9),AQ9,"")))</f>
        <v>0</v>
      </c>
      <c r="AS9" s="20">
        <f>IF(B9="","",IF(AR9="","",ROUND(AM9+AR9*AL9,2)))</f>
        <v>0</v>
      </c>
      <c r="AT9" s="20">
        <f>IF(B9="","",IF(AR9="","",ROUND(AH9+AS9,2)))</f>
        <v>0</v>
      </c>
      <c r="AU9" s="20">
        <f>IF(B9="","",IF(AR9="","",ROUND(AR9*AI9+AK9,2)))</f>
        <v>0</v>
      </c>
      <c r="AV9" s="20">
        <f>IF(B9="","",IF(AR9="","",ROUND(AR9-AT9-AU9,2)))</f>
        <v>0</v>
      </c>
      <c r="AW9" s="33">
        <f>IF(B9="","",IF(OR(AR9="",AR9=0),"",AV9/AR9))</f>
        <v>0</v>
      </c>
      <c r="AX9" s="33">
        <f>IF(B9="","",IF(OR(AT9="",AT9=0),"",AV9/AT9))</f>
        <v>0</v>
      </c>
      <c r="AY9" s="20">
        <f>IF(B9="","",IF(OR(Y9="",Y9=0,AV9=""),"",ROUND(AV9/Y9,2)))</f>
        <v>0</v>
      </c>
      <c r="AZ9" s="20">
        <f>IF(B9="","",IF(OR(Y9="",Y9=0,AV9=""),"",ROUND((AV9+Z9)/Y9,2)))</f>
        <v>0</v>
      </c>
      <c r="BA9" s="20">
        <f>IF(B9="","",IF(1-AI9-AL9&lt;=0,"",ROUND((AH9+AM9+AK9)/(1-AI9-AL9),2)))</f>
        <v>0</v>
      </c>
      <c r="BB9" s="20">
        <f>IF(B9="","",IF(AT9="","",ROUND(AT9*2,2)))</f>
        <v>0</v>
      </c>
      <c r="BC9" s="20">
        <f>IF(B9="","",IF(AR9="","",ROUND(AR9*(1-WholesaleDiscount),2)))</f>
        <v>0</v>
      </c>
      <c r="BD9" s="20">
        <f>IF(B9="","",IF(BC9="","",ROUND(BC9-AH9-AM9,2)))</f>
        <v>0</v>
      </c>
      <c r="BE9" s="33">
        <f>IF(B9="","",IF(OR(BC9="",BC9=0),"",BD9/BC9))</f>
        <v>0</v>
      </c>
      <c r="BF9" s="20">
        <f>IF(B9="","",IFERROR(ROUND(AVERAGEIFS(Competitors!$F$5:$F$154,Competitors!$A$5:$A$154,A9),2),""))</f>
        <v>0</v>
      </c>
      <c r="BG9" s="33">
        <f>IF(B9="","",IF(OR(BF9="",BF9=0,AR9=""),"",AR9/BF9-1))</f>
        <v>0</v>
      </c>
      <c r="BH9" s="32">
        <f>IF(B9="","",SUMIFS(Sales!$D$5:$D$804,Sales!$C$5:$C$804,A9))</f>
        <v>0</v>
      </c>
      <c r="BI9" s="20">
        <f>IF(B9="","",ROUND(SUMIFS(Sales!$V$5:$V$804,Sales!$C$5:$C$804,A9),2))</f>
        <v>0</v>
      </c>
      <c r="BJ9" s="20">
        <f>IF(B9="","",ROUND(SUMIFS(Sales!$AG$5:$AG$804,Sales!$C$5:$C$804,A9),2))</f>
        <v>0</v>
      </c>
      <c r="BK9" s="33">
        <f>IF(B9="","",IF(OR(BI9="",BI9=0),"",BJ9/BI9))</f>
        <v>0</v>
      </c>
      <c r="BL9" s="17">
        <f>IF(B9="","",IF(SUMPRODUCT(MAX((Sales!$C$5:$C$804=A9)*Sales!$B$5:$B$804))=0,"",SUMPRODUCT(MAX((Sales!$C$5:$C$804=A9)*Sales!$B$5:$B$804))))</f>
        <v>0</v>
      </c>
      <c r="BM9" s="17">
        <f>IF(B9="","",IF(SUMPRODUCT(MAX(('Price History'!$B$5:$B$304=A9)*'Price History'!$A$5:$A$304))=0,IF(P9="","",P9),SUMPRODUCT(MAX(('Price History'!$B$5:$B$304=A9)*'Price History'!$A$5:$A$304))))</f>
        <v>0</v>
      </c>
      <c r="BN9" s="32">
        <f>IF(B9="","",IF(BM9="","",TodayDate-BM9))</f>
        <v>0</v>
      </c>
      <c r="BO9" s="32">
        <f>IF(B9="","",COUNTIFS($AV$5:$AV$304,"&gt;"&amp;AV9)+COUNTIFS($AV$5:AV9,AV9))</f>
        <v>0</v>
      </c>
      <c r="BP9" s="32">
        <f>IF(B9="","",COUNTIFS($AW$5:$AW$304,"&gt;"&amp;AW9)+COUNTIFS($AW$5:AW9,AW9))</f>
        <v>0</v>
      </c>
      <c r="BQ9" s="32">
        <f>IF(B9="","",COUNTIFS($BI$5:$BI$304,"&gt;"&amp;BI9)+COUNTIFS($BI$5:BI9,BI9))</f>
        <v>0</v>
      </c>
      <c r="BR9" s="32">
        <f>IF(B9="","",COUNTIFS($AY$5:$AY$304,"&gt;"&amp;AY9)+COUNTIFS($AY$5:AY9,AY9))</f>
        <v>0</v>
      </c>
      <c r="BS9" s="43">
        <f>IF(B9="","",IF(AH9=0,"Add - no costs entered yet",IF(AR9="","Check - no price yet",IF(AV9&lt;0,"Loss - every sale costs you money",IF(AND(AZ9&lt;&gt;"",AZ9&lt;MinimumWage),"Below - pays under minimum wage",IF(AW9&lt;MarginWarning,"Low margin - re-price it",IF(AND(AF9&lt;&gt;"",K9&lt;&gt;"",K9+AC9&gt;AF9),"Check - too heavy for that postage band",IF(AND(BN9&lt;&gt;"",BN9&gt;PriceReviewDays),"Due - price has not been reviewed",IF(AND(BG9&lt;&gt;"",BG9&gt;0.5),"Check - well above the market","OK")))))))) )</f>
        <v>0</v>
      </c>
    </row>
    <row r="10" spans="1:71">
      <c r="A10" s="38">
        <f>IF(B10="","",ProductPrefix&amp;TEXT(ROW()-4,"0000"))</f>
        <v>0</v>
      </c>
      <c r="B10" s="15" t="s">
        <v>535</v>
      </c>
      <c r="C10" s="15" t="s">
        <v>181</v>
      </c>
      <c r="D10" s="15" t="s">
        <v>536</v>
      </c>
      <c r="E10" s="39" t="s">
        <v>513</v>
      </c>
      <c r="F10" s="15" t="s">
        <v>537</v>
      </c>
      <c r="G10" s="15" t="s">
        <v>523</v>
      </c>
      <c r="H10" s="15" t="s">
        <v>287</v>
      </c>
      <c r="I10" s="15" t="s">
        <v>516</v>
      </c>
      <c r="J10" s="15" t="s">
        <v>538</v>
      </c>
      <c r="K10" s="21">
        <v>520</v>
      </c>
      <c r="L10" s="16">
        <v>22</v>
      </c>
      <c r="M10" s="18">
        <v>32</v>
      </c>
      <c r="O10" s="16">
        <v>46312</v>
      </c>
      <c r="P10" s="22">
        <v>46057</v>
      </c>
      <c r="S10" s="38">
        <f>IF(B10="","",IF(C10&lt;&gt;"",C10,UPPER(LEFT(IF(D10="","GEN",D10),3))&amp;"-"&amp;TEXT(ROW()-4,"000")))</f>
        <v>0</v>
      </c>
      <c r="T10" s="20">
        <f>IF(B10="","",ROUND(SUMIFS('Material Usage'!$M$5:$M$904,'Material Usage'!$A$5:$A$904,A10)+SUMIFS(Crochet!$AD$5:$AD$84,Crochet!$A$5:$A$84,A10)+SUMIFS(Jewelry!$AF$5:$AF$84,Jewelry!$A$5:$A$84,A10)+SUMIFS(Candles!$AF$5:$AF$84,Candles!$A$5:$A$84,A10)+SUMIFS(Clothing!$AB$5:$AB$84,Clothing!$A$5:$A$84,A10)+SUMIFS(Woodworking!$AC$5:$AC$84,Woodworking!$A$5:$A$84,A10)+SUMIFS(Digital!$X$5:$X$84,Digital!$A$5:$A$84,A10),2))</f>
        <v>0</v>
      </c>
      <c r="U10" s="20">
        <f>IF(B10="","",ROUND(SUMIFS(Labor!$O$5:$O$304,Labor!$A$5:$A$304,A10)+SUMIFS(Crochet!$AG$5:$AG$84,Crochet!$A$5:$A$84,A10)+SUMIFS(Jewelry!$AI$5:$AI$84,Jewelry!$A$5:$A$84,A10)+SUMIFS(Candles!$AI$5:$AI$84,Candles!$A$5:$A$84,A10)+SUMIFS(Clothing!$AE$5:$AE$84,Clothing!$A$5:$A$84,A10)+SUMIFS(Woodworking!$AF$5:$AF$84,Woodworking!$A$5:$A$84,A10)+SUMIFS(Digital!$Z$5:$Z$84,Digital!$A$5:$A$84,A10),2))</f>
        <v>0</v>
      </c>
      <c r="V10" s="36">
        <f>IF(B10="","",ROUND(SUMIFS(Labor!$P$5:$P$304,Labor!$A$5:$A$304,A10)+SUMIFS(Crochet!$AE$5:$AE$84,Crochet!$A$5:$A$84,A10)+SUMIFS(Jewelry!$AG$5:$AG$84,Jewelry!$A$5:$A$84,A10)+SUMIFS(Candles!$AG$5:$AG$84,Candles!$A$5:$A$84,A10)+SUMIFS(Clothing!$AC$5:$AC$84,Clothing!$A$5:$A$84,A10)+SUMIFS(Woodworking!$AD$5:$AD$84,Woodworking!$A$5:$A$84,A10)+SUMIFS(Digital!$Y$5:$Y$84,Digital!$A$5:$A$84,A10),1))</f>
        <v>0</v>
      </c>
      <c r="W10" s="41">
        <f>IF(B10="","",IFERROR(INDEX(DiffTimeFactors,MATCH(G10,DiffNames,0)),1))</f>
        <v>0</v>
      </c>
      <c r="X10" s="36">
        <f>IF(B10="","",ROUND(V10*W10,1))</f>
        <v>0</v>
      </c>
      <c r="Y10" s="41">
        <f>IF(B10="","",ROUND(X10/60,3))</f>
        <v>0</v>
      </c>
      <c r="Z10" s="20">
        <f>IF(B10="","",ROUND(U10*W10,2))</f>
        <v>0</v>
      </c>
      <c r="AA10" s="20">
        <f>IF(B10="","",ROUND(SUMIFS(Labor!$Q$5:$Q$304,Labor!$A$5:$A$304,A10)+SUMIFS(Crochet!$AH$5:$AH$84,Crochet!$A$5:$A$84,A10)+SUMIFS(Jewelry!$AJ$5:$AJ$84,Jewelry!$A$5:$A$84,A10)+SUMIFS(Candles!$AJ$5:$AJ$84,Candles!$A$5:$A$84,A10)+SUMIFS(Clothing!$AF$5:$AF$84,Clothing!$A$5:$A$84,A10)+SUMIFS(Woodworking!$AH$5:$AH$84,Woodworking!$A$5:$A$84,A10)+SUMIFS(Digital!$AA$5:$AA$84,Digital!$A$5:$A$84,A10),2))</f>
        <v>0</v>
      </c>
      <c r="AB10" s="20">
        <f>IF(B10="","",ROUND(IF(I10="Budget",PackBudget,IF(I10="Standard",PackStandard,IF(I10="Gift",PackGift,IF(I10="Premium",PackPremium,DefaultPackaging)))),2))</f>
        <v>0</v>
      </c>
      <c r="AC10" s="36">
        <f>IF(B10="","",IF(I10="Budget",PackWeightBudget,IF(I10="Standard",PackWeightStandard,IF(I10="Gift",PackWeightGift,IF(I10="Premium",PackWeightPremium,0)))))</f>
        <v>0</v>
      </c>
      <c r="AD10" s="20">
        <f>IF(B10="","",IFERROR(INDEX(Shipping!$M$5:$M$64,MATCH(J10,Shipping!$L$5:$L$64,0)),DefaultShipping))</f>
        <v>0</v>
      </c>
      <c r="AE10" s="20">
        <f>IF(B10="","",IFERROR(INDEX(Shipping!$F$5:$F$64,MATCH(J10,Shipping!$L$5:$L$64,0)),0))</f>
        <v>0</v>
      </c>
      <c r="AF10" s="36">
        <f>IF(B10="","",IFERROR(INDEX(Shipping!$C$5:$C$64,MATCH(J10,Shipping!$L$5:$L$64,0)),""))</f>
        <v>0</v>
      </c>
      <c r="AG10" s="20">
        <f>IF(B10="","",ROUND(MAX(0,AD10-AE10),2))</f>
        <v>0</v>
      </c>
      <c r="AH10" s="20">
        <f>IF(B10="","",ROUND(T10+Z10+AA10+AB10+AG10,2))</f>
        <v>0</v>
      </c>
      <c r="AI10" s="33">
        <f>IF(B10="","",IFERROR(INDEX(Channels!$S$5:$S$18,MATCH(IF(H10="",DefaultChannel,H10),Channels!$A$5:$A$18,0)),0))</f>
        <v>0</v>
      </c>
      <c r="AJ10" s="42">
        <f>IF(B10="","",IFERROR(INDEX(Channels!$O$5:$O$18,MATCH(IF(H10="",DefaultChannel,H10),Channels!$A$5:$A$18,0)),"No"))</f>
        <v>0</v>
      </c>
      <c r="AK10" s="20">
        <f>IF(B10="","",ROUND(IFERROR(INDEX(Channels!$T$5:$T$18,MATCH(IF(H10="",DefaultChannel,H10),Channels!$A$5:$A$18,0)),0)+IF(AJ10="Yes",AE10*AI10,0),4))</f>
        <v>0</v>
      </c>
      <c r="AL10" s="33">
        <f>IF(B10="","",IF(OverheadMethod="Share of revenue",IF(RevenueTargetMonth&lt;=0,0,OverheadMonthly/RevenueTargetMonth),0))</f>
        <v>0</v>
      </c>
      <c r="AM10" s="20">
        <f>IF(B10="","",IF(OverheadMethod="Per hour worked",ROUND(OverheadPerHour*Y10,2),IF(OR(OverheadMethod="Per unit made",OverheadMethod="Per order"),OverheadPerUnit,0)))</f>
        <v>0</v>
      </c>
      <c r="AN10" s="33">
        <f>IF(B10="","",IF(N10&lt;&gt;"",N10,TargetRetailMargin))</f>
        <v>0</v>
      </c>
      <c r="AO10" s="41">
        <f>IF(B10="","",1-AN10-AI10-AL10)</f>
        <v>0</v>
      </c>
      <c r="AP10" s="20">
        <f>IF(B10="","",IF(AO10&lt;=0,"",(AH10+AM10+AK10)/AO10))</f>
        <v>0</v>
      </c>
      <c r="AQ10" s="20">
        <f>IF(B10="","",IF(AP10="","Check the settings",ROUND(IF(RoundingRule="None",AP10,IF(RoundingRule="Nearest 0.99",MAX(0.99,CEILING(AP10,1)-0.01),IF(RoundingRule="Nearest 0.95",MAX(0.95,CEILING(AP10,1)-0.05),IF(RoundingRule="Nearest 0.50",CEILING(AP10,0.5),IF(RoundingRule="Nearest 1",CEILING(AP10,1),IF(RoundingRule="Nearest 5",CEILING(AP10,5),IF(RoundingRule="Up to whole 1",CEILING(AP10,1),IF(RoundingRule="Up to whole 5",CEILING(AP10,5),ROUND(AP10,2))))))))),2)))</f>
        <v>0</v>
      </c>
      <c r="AR10" s="20">
        <f>IF(B10="","",IF(M10&lt;&gt;"",M10,IF(ISNUMBER(AQ10),AQ10,"")))</f>
        <v>0</v>
      </c>
      <c r="AS10" s="20">
        <f>IF(B10="","",IF(AR10="","",ROUND(AM10+AR10*AL10,2)))</f>
        <v>0</v>
      </c>
      <c r="AT10" s="20">
        <f>IF(B10="","",IF(AR10="","",ROUND(AH10+AS10,2)))</f>
        <v>0</v>
      </c>
      <c r="AU10" s="20">
        <f>IF(B10="","",IF(AR10="","",ROUND(AR10*AI10+AK10,2)))</f>
        <v>0</v>
      </c>
      <c r="AV10" s="20">
        <f>IF(B10="","",IF(AR10="","",ROUND(AR10-AT10-AU10,2)))</f>
        <v>0</v>
      </c>
      <c r="AW10" s="33">
        <f>IF(B10="","",IF(OR(AR10="",AR10=0),"",AV10/AR10))</f>
        <v>0</v>
      </c>
      <c r="AX10" s="33">
        <f>IF(B10="","",IF(OR(AT10="",AT10=0),"",AV10/AT10))</f>
        <v>0</v>
      </c>
      <c r="AY10" s="20">
        <f>IF(B10="","",IF(OR(Y10="",Y10=0,AV10=""),"",ROUND(AV10/Y10,2)))</f>
        <v>0</v>
      </c>
      <c r="AZ10" s="20">
        <f>IF(B10="","",IF(OR(Y10="",Y10=0,AV10=""),"",ROUND((AV10+Z10)/Y10,2)))</f>
        <v>0</v>
      </c>
      <c r="BA10" s="20">
        <f>IF(B10="","",IF(1-AI10-AL10&lt;=0,"",ROUND((AH10+AM10+AK10)/(1-AI10-AL10),2)))</f>
        <v>0</v>
      </c>
      <c r="BB10" s="20">
        <f>IF(B10="","",IF(AT10="","",ROUND(AT10*2,2)))</f>
        <v>0</v>
      </c>
      <c r="BC10" s="20">
        <f>IF(B10="","",IF(AR10="","",ROUND(AR10*(1-WholesaleDiscount),2)))</f>
        <v>0</v>
      </c>
      <c r="BD10" s="20">
        <f>IF(B10="","",IF(BC10="","",ROUND(BC10-AH10-AM10,2)))</f>
        <v>0</v>
      </c>
      <c r="BE10" s="33">
        <f>IF(B10="","",IF(OR(BC10="",BC10=0),"",BD10/BC10))</f>
        <v>0</v>
      </c>
      <c r="BF10" s="20">
        <f>IF(B10="","",IFERROR(ROUND(AVERAGEIFS(Competitors!$F$5:$F$154,Competitors!$A$5:$A$154,A10),2),""))</f>
        <v>0</v>
      </c>
      <c r="BG10" s="33">
        <f>IF(B10="","",IF(OR(BF10="",BF10=0,AR10=""),"",AR10/BF10-1))</f>
        <v>0</v>
      </c>
      <c r="BH10" s="32">
        <f>IF(B10="","",SUMIFS(Sales!$D$5:$D$804,Sales!$C$5:$C$804,A10))</f>
        <v>0</v>
      </c>
      <c r="BI10" s="20">
        <f>IF(B10="","",ROUND(SUMIFS(Sales!$V$5:$V$804,Sales!$C$5:$C$804,A10),2))</f>
        <v>0</v>
      </c>
      <c r="BJ10" s="20">
        <f>IF(B10="","",ROUND(SUMIFS(Sales!$AG$5:$AG$804,Sales!$C$5:$C$804,A10),2))</f>
        <v>0</v>
      </c>
      <c r="BK10" s="33">
        <f>IF(B10="","",IF(OR(BI10="",BI10=0),"",BJ10/BI10))</f>
        <v>0</v>
      </c>
      <c r="BL10" s="17">
        <f>IF(B10="","",IF(SUMPRODUCT(MAX((Sales!$C$5:$C$804=A10)*Sales!$B$5:$B$804))=0,"",SUMPRODUCT(MAX((Sales!$C$5:$C$804=A10)*Sales!$B$5:$B$804))))</f>
        <v>0</v>
      </c>
      <c r="BM10" s="17">
        <f>IF(B10="","",IF(SUMPRODUCT(MAX(('Price History'!$B$5:$B$304=A10)*'Price History'!$A$5:$A$304))=0,IF(P10="","",P10),SUMPRODUCT(MAX(('Price History'!$B$5:$B$304=A10)*'Price History'!$A$5:$A$304))))</f>
        <v>0</v>
      </c>
      <c r="BN10" s="32">
        <f>IF(B10="","",IF(BM10="","",TodayDate-BM10))</f>
        <v>0</v>
      </c>
      <c r="BO10" s="32">
        <f>IF(B10="","",COUNTIFS($AV$5:$AV$304,"&gt;"&amp;AV10)+COUNTIFS($AV$5:AV10,AV10))</f>
        <v>0</v>
      </c>
      <c r="BP10" s="32">
        <f>IF(B10="","",COUNTIFS($AW$5:$AW$304,"&gt;"&amp;AW10)+COUNTIFS($AW$5:AW10,AW10))</f>
        <v>0</v>
      </c>
      <c r="BQ10" s="32">
        <f>IF(B10="","",COUNTIFS($BI$5:$BI$304,"&gt;"&amp;BI10)+COUNTIFS($BI$5:BI10,BI10))</f>
        <v>0</v>
      </c>
      <c r="BR10" s="32">
        <f>IF(B10="","",COUNTIFS($AY$5:$AY$304,"&gt;"&amp;AY10)+COUNTIFS($AY$5:AY10,AY10))</f>
        <v>0</v>
      </c>
      <c r="BS10" s="43">
        <f>IF(B10="","",IF(AH10=0,"Add - no costs entered yet",IF(AR10="","Check - no price yet",IF(AV10&lt;0,"Loss - every sale costs you money",IF(AND(AZ10&lt;&gt;"",AZ10&lt;MinimumWage),"Below - pays under minimum wage",IF(AW10&lt;MarginWarning,"Low margin - re-price it",IF(AND(AF10&lt;&gt;"",K10&lt;&gt;"",K10+AC10&gt;AF10),"Check - too heavy for that postage band",IF(AND(BN10&lt;&gt;"",BN10&gt;PriceReviewDays),"Due - price has not been reviewed",IF(AND(BG10&lt;&gt;"",BG10&gt;0.5),"Check - well above the market","OK")))))))) )</f>
        <v>0</v>
      </c>
    </row>
    <row r="11" spans="1:71">
      <c r="A11" s="38">
        <f>IF(B11="","",ProductPrefix&amp;TEXT(ROW()-4,"0000"))</f>
        <v>0</v>
      </c>
      <c r="B11" s="15" t="s">
        <v>539</v>
      </c>
      <c r="C11" s="15" t="s">
        <v>181</v>
      </c>
      <c r="D11" s="15" t="s">
        <v>536</v>
      </c>
      <c r="E11" s="39" t="s">
        <v>513</v>
      </c>
      <c r="F11" s="15" t="s">
        <v>522</v>
      </c>
      <c r="G11" s="15" t="s">
        <v>540</v>
      </c>
      <c r="H11" s="15" t="s">
        <v>287</v>
      </c>
      <c r="I11" s="15" t="s">
        <v>524</v>
      </c>
      <c r="J11" s="15" t="s">
        <v>525</v>
      </c>
      <c r="K11" s="21">
        <v>260</v>
      </c>
      <c r="L11" s="16">
        <v>31</v>
      </c>
      <c r="M11" s="18">
        <v>19</v>
      </c>
      <c r="O11" s="16">
        <v>46312</v>
      </c>
      <c r="P11" s="22">
        <v>46057</v>
      </c>
      <c r="S11" s="38">
        <f>IF(B11="","",IF(C11&lt;&gt;"",C11,UPPER(LEFT(IF(D11="","GEN",D11),3))&amp;"-"&amp;TEXT(ROW()-4,"000")))</f>
        <v>0</v>
      </c>
      <c r="T11" s="20">
        <f>IF(B11="","",ROUND(SUMIFS('Material Usage'!$M$5:$M$904,'Material Usage'!$A$5:$A$904,A11)+SUMIFS(Crochet!$AD$5:$AD$84,Crochet!$A$5:$A$84,A11)+SUMIFS(Jewelry!$AF$5:$AF$84,Jewelry!$A$5:$A$84,A11)+SUMIFS(Candles!$AF$5:$AF$84,Candles!$A$5:$A$84,A11)+SUMIFS(Clothing!$AB$5:$AB$84,Clothing!$A$5:$A$84,A11)+SUMIFS(Woodworking!$AC$5:$AC$84,Woodworking!$A$5:$A$84,A11)+SUMIFS(Digital!$X$5:$X$84,Digital!$A$5:$A$84,A11),2))</f>
        <v>0</v>
      </c>
      <c r="U11" s="20">
        <f>IF(B11="","",ROUND(SUMIFS(Labor!$O$5:$O$304,Labor!$A$5:$A$304,A11)+SUMIFS(Crochet!$AG$5:$AG$84,Crochet!$A$5:$A$84,A11)+SUMIFS(Jewelry!$AI$5:$AI$84,Jewelry!$A$5:$A$84,A11)+SUMIFS(Candles!$AI$5:$AI$84,Candles!$A$5:$A$84,A11)+SUMIFS(Clothing!$AE$5:$AE$84,Clothing!$A$5:$A$84,A11)+SUMIFS(Woodworking!$AF$5:$AF$84,Woodworking!$A$5:$A$84,A11)+SUMIFS(Digital!$Z$5:$Z$84,Digital!$A$5:$A$84,A11),2))</f>
        <v>0</v>
      </c>
      <c r="V11" s="36">
        <f>IF(B11="","",ROUND(SUMIFS(Labor!$P$5:$P$304,Labor!$A$5:$A$304,A11)+SUMIFS(Crochet!$AE$5:$AE$84,Crochet!$A$5:$A$84,A11)+SUMIFS(Jewelry!$AG$5:$AG$84,Jewelry!$A$5:$A$84,A11)+SUMIFS(Candles!$AG$5:$AG$84,Candles!$A$5:$A$84,A11)+SUMIFS(Clothing!$AC$5:$AC$84,Clothing!$A$5:$A$84,A11)+SUMIFS(Woodworking!$AD$5:$AD$84,Woodworking!$A$5:$A$84,A11)+SUMIFS(Digital!$Y$5:$Y$84,Digital!$A$5:$A$84,A11),1))</f>
        <v>0</v>
      </c>
      <c r="W11" s="41">
        <f>IF(B11="","",IFERROR(INDEX(DiffTimeFactors,MATCH(G11,DiffNames,0)),1))</f>
        <v>0</v>
      </c>
      <c r="X11" s="36">
        <f>IF(B11="","",ROUND(V11*W11,1))</f>
        <v>0</v>
      </c>
      <c r="Y11" s="41">
        <f>IF(B11="","",ROUND(X11/60,3))</f>
        <v>0</v>
      </c>
      <c r="Z11" s="20">
        <f>IF(B11="","",ROUND(U11*W11,2))</f>
        <v>0</v>
      </c>
      <c r="AA11" s="20">
        <f>IF(B11="","",ROUND(SUMIFS(Labor!$Q$5:$Q$304,Labor!$A$5:$A$304,A11)+SUMIFS(Crochet!$AH$5:$AH$84,Crochet!$A$5:$A$84,A11)+SUMIFS(Jewelry!$AJ$5:$AJ$84,Jewelry!$A$5:$A$84,A11)+SUMIFS(Candles!$AJ$5:$AJ$84,Candles!$A$5:$A$84,A11)+SUMIFS(Clothing!$AF$5:$AF$84,Clothing!$A$5:$A$84,A11)+SUMIFS(Woodworking!$AH$5:$AH$84,Woodworking!$A$5:$A$84,A11)+SUMIFS(Digital!$AA$5:$AA$84,Digital!$A$5:$A$84,A11),2))</f>
        <v>0</v>
      </c>
      <c r="AB11" s="20">
        <f>IF(B11="","",ROUND(IF(I11="Budget",PackBudget,IF(I11="Standard",PackStandard,IF(I11="Gift",PackGift,IF(I11="Premium",PackPremium,DefaultPackaging)))),2))</f>
        <v>0</v>
      </c>
      <c r="AC11" s="36">
        <f>IF(B11="","",IF(I11="Budget",PackWeightBudget,IF(I11="Standard",PackWeightStandard,IF(I11="Gift",PackWeightGift,IF(I11="Premium",PackWeightPremium,0)))))</f>
        <v>0</v>
      </c>
      <c r="AD11" s="20">
        <f>IF(B11="","",IFERROR(INDEX(Shipping!$M$5:$M$64,MATCH(J11,Shipping!$L$5:$L$64,0)),DefaultShipping))</f>
        <v>0</v>
      </c>
      <c r="AE11" s="20">
        <f>IF(B11="","",IFERROR(INDEX(Shipping!$F$5:$F$64,MATCH(J11,Shipping!$L$5:$L$64,0)),0))</f>
        <v>0</v>
      </c>
      <c r="AF11" s="36">
        <f>IF(B11="","",IFERROR(INDEX(Shipping!$C$5:$C$64,MATCH(J11,Shipping!$L$5:$L$64,0)),""))</f>
        <v>0</v>
      </c>
      <c r="AG11" s="20">
        <f>IF(B11="","",ROUND(MAX(0,AD11-AE11),2))</f>
        <v>0</v>
      </c>
      <c r="AH11" s="20">
        <f>IF(B11="","",ROUND(T11+Z11+AA11+AB11+AG11,2))</f>
        <v>0</v>
      </c>
      <c r="AI11" s="33">
        <f>IF(B11="","",IFERROR(INDEX(Channels!$S$5:$S$18,MATCH(IF(H11="",DefaultChannel,H11),Channels!$A$5:$A$18,0)),0))</f>
        <v>0</v>
      </c>
      <c r="AJ11" s="42">
        <f>IF(B11="","",IFERROR(INDEX(Channels!$O$5:$O$18,MATCH(IF(H11="",DefaultChannel,H11),Channels!$A$5:$A$18,0)),"No"))</f>
        <v>0</v>
      </c>
      <c r="AK11" s="20">
        <f>IF(B11="","",ROUND(IFERROR(INDEX(Channels!$T$5:$T$18,MATCH(IF(H11="",DefaultChannel,H11),Channels!$A$5:$A$18,0)),0)+IF(AJ11="Yes",AE11*AI11,0),4))</f>
        <v>0</v>
      </c>
      <c r="AL11" s="33">
        <f>IF(B11="","",IF(OverheadMethod="Share of revenue",IF(RevenueTargetMonth&lt;=0,0,OverheadMonthly/RevenueTargetMonth),0))</f>
        <v>0</v>
      </c>
      <c r="AM11" s="20">
        <f>IF(B11="","",IF(OverheadMethod="Per hour worked",ROUND(OverheadPerHour*Y11,2),IF(OR(OverheadMethod="Per unit made",OverheadMethod="Per order"),OverheadPerUnit,0)))</f>
        <v>0</v>
      </c>
      <c r="AN11" s="33">
        <f>IF(B11="","",IF(N11&lt;&gt;"",N11,TargetRetailMargin))</f>
        <v>0</v>
      </c>
      <c r="AO11" s="41">
        <f>IF(B11="","",1-AN11-AI11-AL11)</f>
        <v>0</v>
      </c>
      <c r="AP11" s="20">
        <f>IF(B11="","",IF(AO11&lt;=0,"",(AH11+AM11+AK11)/AO11))</f>
        <v>0</v>
      </c>
      <c r="AQ11" s="20">
        <f>IF(B11="","",IF(AP11="","Check the settings",ROUND(IF(RoundingRule="None",AP11,IF(RoundingRule="Nearest 0.99",MAX(0.99,CEILING(AP11,1)-0.01),IF(RoundingRule="Nearest 0.95",MAX(0.95,CEILING(AP11,1)-0.05),IF(RoundingRule="Nearest 0.50",CEILING(AP11,0.5),IF(RoundingRule="Nearest 1",CEILING(AP11,1),IF(RoundingRule="Nearest 5",CEILING(AP11,5),IF(RoundingRule="Up to whole 1",CEILING(AP11,1),IF(RoundingRule="Up to whole 5",CEILING(AP11,5),ROUND(AP11,2))))))))),2)))</f>
        <v>0</v>
      </c>
      <c r="AR11" s="20">
        <f>IF(B11="","",IF(M11&lt;&gt;"",M11,IF(ISNUMBER(AQ11),AQ11,"")))</f>
        <v>0</v>
      </c>
      <c r="AS11" s="20">
        <f>IF(B11="","",IF(AR11="","",ROUND(AM11+AR11*AL11,2)))</f>
        <v>0</v>
      </c>
      <c r="AT11" s="20">
        <f>IF(B11="","",IF(AR11="","",ROUND(AH11+AS11,2)))</f>
        <v>0</v>
      </c>
      <c r="AU11" s="20">
        <f>IF(B11="","",IF(AR11="","",ROUND(AR11*AI11+AK11,2)))</f>
        <v>0</v>
      </c>
      <c r="AV11" s="20">
        <f>IF(B11="","",IF(AR11="","",ROUND(AR11-AT11-AU11,2)))</f>
        <v>0</v>
      </c>
      <c r="AW11" s="33">
        <f>IF(B11="","",IF(OR(AR11="",AR11=0),"",AV11/AR11))</f>
        <v>0</v>
      </c>
      <c r="AX11" s="33">
        <f>IF(B11="","",IF(OR(AT11="",AT11=0),"",AV11/AT11))</f>
        <v>0</v>
      </c>
      <c r="AY11" s="20">
        <f>IF(B11="","",IF(OR(Y11="",Y11=0,AV11=""),"",ROUND(AV11/Y11,2)))</f>
        <v>0</v>
      </c>
      <c r="AZ11" s="20">
        <f>IF(B11="","",IF(OR(Y11="",Y11=0,AV11=""),"",ROUND((AV11+Z11)/Y11,2)))</f>
        <v>0</v>
      </c>
      <c r="BA11" s="20">
        <f>IF(B11="","",IF(1-AI11-AL11&lt;=0,"",ROUND((AH11+AM11+AK11)/(1-AI11-AL11),2)))</f>
        <v>0</v>
      </c>
      <c r="BB11" s="20">
        <f>IF(B11="","",IF(AT11="","",ROUND(AT11*2,2)))</f>
        <v>0</v>
      </c>
      <c r="BC11" s="20">
        <f>IF(B11="","",IF(AR11="","",ROUND(AR11*(1-WholesaleDiscount),2)))</f>
        <v>0</v>
      </c>
      <c r="BD11" s="20">
        <f>IF(B11="","",IF(BC11="","",ROUND(BC11-AH11-AM11,2)))</f>
        <v>0</v>
      </c>
      <c r="BE11" s="33">
        <f>IF(B11="","",IF(OR(BC11="",BC11=0),"",BD11/BC11))</f>
        <v>0</v>
      </c>
      <c r="BF11" s="20">
        <f>IF(B11="","",IFERROR(ROUND(AVERAGEIFS(Competitors!$F$5:$F$154,Competitors!$A$5:$A$154,A11),2),""))</f>
        <v>0</v>
      </c>
      <c r="BG11" s="33">
        <f>IF(B11="","",IF(OR(BF11="",BF11=0,AR11=""),"",AR11/BF11-1))</f>
        <v>0</v>
      </c>
      <c r="BH11" s="32">
        <f>IF(B11="","",SUMIFS(Sales!$D$5:$D$804,Sales!$C$5:$C$804,A11))</f>
        <v>0</v>
      </c>
      <c r="BI11" s="20">
        <f>IF(B11="","",ROUND(SUMIFS(Sales!$V$5:$V$804,Sales!$C$5:$C$804,A11),2))</f>
        <v>0</v>
      </c>
      <c r="BJ11" s="20">
        <f>IF(B11="","",ROUND(SUMIFS(Sales!$AG$5:$AG$804,Sales!$C$5:$C$804,A11),2))</f>
        <v>0</v>
      </c>
      <c r="BK11" s="33">
        <f>IF(B11="","",IF(OR(BI11="",BI11=0),"",BJ11/BI11))</f>
        <v>0</v>
      </c>
      <c r="BL11" s="17">
        <f>IF(B11="","",IF(SUMPRODUCT(MAX((Sales!$C$5:$C$804=A11)*Sales!$B$5:$B$804))=0,"",SUMPRODUCT(MAX((Sales!$C$5:$C$804=A11)*Sales!$B$5:$B$804))))</f>
        <v>0</v>
      </c>
      <c r="BM11" s="17">
        <f>IF(B11="","",IF(SUMPRODUCT(MAX(('Price History'!$B$5:$B$304=A11)*'Price History'!$A$5:$A$304))=0,IF(P11="","",P11),SUMPRODUCT(MAX(('Price History'!$B$5:$B$304=A11)*'Price History'!$A$5:$A$304))))</f>
        <v>0</v>
      </c>
      <c r="BN11" s="32">
        <f>IF(B11="","",IF(BM11="","",TodayDate-BM11))</f>
        <v>0</v>
      </c>
      <c r="BO11" s="32">
        <f>IF(B11="","",COUNTIFS($AV$5:$AV$304,"&gt;"&amp;AV11)+COUNTIFS($AV$5:AV11,AV11))</f>
        <v>0</v>
      </c>
      <c r="BP11" s="32">
        <f>IF(B11="","",COUNTIFS($AW$5:$AW$304,"&gt;"&amp;AW11)+COUNTIFS($AW$5:AW11,AW11))</f>
        <v>0</v>
      </c>
      <c r="BQ11" s="32">
        <f>IF(B11="","",COUNTIFS($BI$5:$BI$304,"&gt;"&amp;BI11)+COUNTIFS($BI$5:BI11,BI11))</f>
        <v>0</v>
      </c>
      <c r="BR11" s="32">
        <f>IF(B11="","",COUNTIFS($AY$5:$AY$304,"&gt;"&amp;AY11)+COUNTIFS($AY$5:AY11,AY11))</f>
        <v>0</v>
      </c>
      <c r="BS11" s="43">
        <f>IF(B11="","",IF(AH11=0,"Add - no costs entered yet",IF(AR11="","Check - no price yet",IF(AV11&lt;0,"Loss - every sale costs you money",IF(AND(AZ11&lt;&gt;"",AZ11&lt;MinimumWage),"Below - pays under minimum wage",IF(AW11&lt;MarginWarning,"Low margin - re-price it",IF(AND(AF11&lt;&gt;"",K11&lt;&gt;"",K11+AC11&gt;AF11),"Check - too heavy for that postage band",IF(AND(BN11&lt;&gt;"",BN11&gt;PriceReviewDays),"Due - price has not been reviewed",IF(AND(BG11&lt;&gt;"",BG11&gt;0.5),"Check - well above the market","OK")))))))) )</f>
        <v>0</v>
      </c>
    </row>
    <row r="12" spans="1:71">
      <c r="A12" s="38">
        <f>IF(B12="","",ProductPrefix&amp;TEXT(ROW()-4,"0000"))</f>
        <v>0</v>
      </c>
      <c r="B12" s="15" t="s">
        <v>541</v>
      </c>
      <c r="C12" s="15" t="s">
        <v>181</v>
      </c>
      <c r="D12" s="15" t="s">
        <v>521</v>
      </c>
      <c r="E12" s="39" t="s">
        <v>513</v>
      </c>
      <c r="F12" s="15" t="s">
        <v>522</v>
      </c>
      <c r="G12" s="15" t="s">
        <v>542</v>
      </c>
      <c r="H12" s="15" t="s">
        <v>287</v>
      </c>
      <c r="I12" s="15" t="s">
        <v>516</v>
      </c>
      <c r="J12" s="15" t="s">
        <v>538</v>
      </c>
      <c r="K12" s="21">
        <v>380</v>
      </c>
      <c r="L12" s="16">
        <v>3</v>
      </c>
      <c r="M12" s="18">
        <v>195</v>
      </c>
      <c r="O12" s="16">
        <v>46287</v>
      </c>
      <c r="P12" s="22">
        <v>46137</v>
      </c>
      <c r="S12" s="38">
        <f>IF(B12="","",IF(C12&lt;&gt;"",C12,UPPER(LEFT(IF(D12="","GEN",D12),3))&amp;"-"&amp;TEXT(ROW()-4,"000")))</f>
        <v>0</v>
      </c>
      <c r="T12" s="20">
        <f>IF(B12="","",ROUND(SUMIFS('Material Usage'!$M$5:$M$904,'Material Usage'!$A$5:$A$904,A12)+SUMIFS(Crochet!$AD$5:$AD$84,Crochet!$A$5:$A$84,A12)+SUMIFS(Jewelry!$AF$5:$AF$84,Jewelry!$A$5:$A$84,A12)+SUMIFS(Candles!$AF$5:$AF$84,Candles!$A$5:$A$84,A12)+SUMIFS(Clothing!$AB$5:$AB$84,Clothing!$A$5:$A$84,A12)+SUMIFS(Woodworking!$AC$5:$AC$84,Woodworking!$A$5:$A$84,A12)+SUMIFS(Digital!$X$5:$X$84,Digital!$A$5:$A$84,A12),2))</f>
        <v>0</v>
      </c>
      <c r="U12" s="20">
        <f>IF(B12="","",ROUND(SUMIFS(Labor!$O$5:$O$304,Labor!$A$5:$A$304,A12)+SUMIFS(Crochet!$AG$5:$AG$84,Crochet!$A$5:$A$84,A12)+SUMIFS(Jewelry!$AI$5:$AI$84,Jewelry!$A$5:$A$84,A12)+SUMIFS(Candles!$AI$5:$AI$84,Candles!$A$5:$A$84,A12)+SUMIFS(Clothing!$AE$5:$AE$84,Clothing!$A$5:$A$84,A12)+SUMIFS(Woodworking!$AF$5:$AF$84,Woodworking!$A$5:$A$84,A12)+SUMIFS(Digital!$Z$5:$Z$84,Digital!$A$5:$A$84,A12),2))</f>
        <v>0</v>
      </c>
      <c r="V12" s="36">
        <f>IF(B12="","",ROUND(SUMIFS(Labor!$P$5:$P$304,Labor!$A$5:$A$304,A12)+SUMIFS(Crochet!$AE$5:$AE$84,Crochet!$A$5:$A$84,A12)+SUMIFS(Jewelry!$AG$5:$AG$84,Jewelry!$A$5:$A$84,A12)+SUMIFS(Candles!$AG$5:$AG$84,Candles!$A$5:$A$84,A12)+SUMIFS(Clothing!$AC$5:$AC$84,Clothing!$A$5:$A$84,A12)+SUMIFS(Woodworking!$AD$5:$AD$84,Woodworking!$A$5:$A$84,A12)+SUMIFS(Digital!$Y$5:$Y$84,Digital!$A$5:$A$84,A12),1))</f>
        <v>0</v>
      </c>
      <c r="W12" s="41">
        <f>IF(B12="","",IFERROR(INDEX(DiffTimeFactors,MATCH(G12,DiffNames,0)),1))</f>
        <v>0</v>
      </c>
      <c r="X12" s="36">
        <f>IF(B12="","",ROUND(V12*W12,1))</f>
        <v>0</v>
      </c>
      <c r="Y12" s="41">
        <f>IF(B12="","",ROUND(X12/60,3))</f>
        <v>0</v>
      </c>
      <c r="Z12" s="20">
        <f>IF(B12="","",ROUND(U12*W12,2))</f>
        <v>0</v>
      </c>
      <c r="AA12" s="20">
        <f>IF(B12="","",ROUND(SUMIFS(Labor!$Q$5:$Q$304,Labor!$A$5:$A$304,A12)+SUMIFS(Crochet!$AH$5:$AH$84,Crochet!$A$5:$A$84,A12)+SUMIFS(Jewelry!$AJ$5:$AJ$84,Jewelry!$A$5:$A$84,A12)+SUMIFS(Candles!$AJ$5:$AJ$84,Candles!$A$5:$A$84,A12)+SUMIFS(Clothing!$AF$5:$AF$84,Clothing!$A$5:$A$84,A12)+SUMIFS(Woodworking!$AH$5:$AH$84,Woodworking!$A$5:$A$84,A12)+SUMIFS(Digital!$AA$5:$AA$84,Digital!$A$5:$A$84,A12),2))</f>
        <v>0</v>
      </c>
      <c r="AB12" s="20">
        <f>IF(B12="","",ROUND(IF(I12="Budget",PackBudget,IF(I12="Standard",PackStandard,IF(I12="Gift",PackGift,IF(I12="Premium",PackPremium,DefaultPackaging)))),2))</f>
        <v>0</v>
      </c>
      <c r="AC12" s="36">
        <f>IF(B12="","",IF(I12="Budget",PackWeightBudget,IF(I12="Standard",PackWeightStandard,IF(I12="Gift",PackWeightGift,IF(I12="Premium",PackWeightPremium,0)))))</f>
        <v>0</v>
      </c>
      <c r="AD12" s="20">
        <f>IF(B12="","",IFERROR(INDEX(Shipping!$M$5:$M$64,MATCH(J12,Shipping!$L$5:$L$64,0)),DefaultShipping))</f>
        <v>0</v>
      </c>
      <c r="AE12" s="20">
        <f>IF(B12="","",IFERROR(INDEX(Shipping!$F$5:$F$64,MATCH(J12,Shipping!$L$5:$L$64,0)),0))</f>
        <v>0</v>
      </c>
      <c r="AF12" s="36">
        <f>IF(B12="","",IFERROR(INDEX(Shipping!$C$5:$C$64,MATCH(J12,Shipping!$L$5:$L$64,0)),""))</f>
        <v>0</v>
      </c>
      <c r="AG12" s="20">
        <f>IF(B12="","",ROUND(MAX(0,AD12-AE12),2))</f>
        <v>0</v>
      </c>
      <c r="AH12" s="20">
        <f>IF(B12="","",ROUND(T12+Z12+AA12+AB12+AG12,2))</f>
        <v>0</v>
      </c>
      <c r="AI12" s="33">
        <f>IF(B12="","",IFERROR(INDEX(Channels!$S$5:$S$18,MATCH(IF(H12="",DefaultChannel,H12),Channels!$A$5:$A$18,0)),0))</f>
        <v>0</v>
      </c>
      <c r="AJ12" s="42">
        <f>IF(B12="","",IFERROR(INDEX(Channels!$O$5:$O$18,MATCH(IF(H12="",DefaultChannel,H12),Channels!$A$5:$A$18,0)),"No"))</f>
        <v>0</v>
      </c>
      <c r="AK12" s="20">
        <f>IF(B12="","",ROUND(IFERROR(INDEX(Channels!$T$5:$T$18,MATCH(IF(H12="",DefaultChannel,H12),Channels!$A$5:$A$18,0)),0)+IF(AJ12="Yes",AE12*AI12,0),4))</f>
        <v>0</v>
      </c>
      <c r="AL12" s="33">
        <f>IF(B12="","",IF(OverheadMethod="Share of revenue",IF(RevenueTargetMonth&lt;=0,0,OverheadMonthly/RevenueTargetMonth),0))</f>
        <v>0</v>
      </c>
      <c r="AM12" s="20">
        <f>IF(B12="","",IF(OverheadMethod="Per hour worked",ROUND(OverheadPerHour*Y12,2),IF(OR(OverheadMethod="Per unit made",OverheadMethod="Per order"),OverheadPerUnit,0)))</f>
        <v>0</v>
      </c>
      <c r="AN12" s="33">
        <f>IF(B12="","",IF(N12&lt;&gt;"",N12,TargetRetailMargin))</f>
        <v>0</v>
      </c>
      <c r="AO12" s="41">
        <f>IF(B12="","",1-AN12-AI12-AL12)</f>
        <v>0</v>
      </c>
      <c r="AP12" s="20">
        <f>IF(B12="","",IF(AO12&lt;=0,"",(AH12+AM12+AK12)/AO12))</f>
        <v>0</v>
      </c>
      <c r="AQ12" s="20">
        <f>IF(B12="","",IF(AP12="","Check the settings",ROUND(IF(RoundingRule="None",AP12,IF(RoundingRule="Nearest 0.99",MAX(0.99,CEILING(AP12,1)-0.01),IF(RoundingRule="Nearest 0.95",MAX(0.95,CEILING(AP12,1)-0.05),IF(RoundingRule="Nearest 0.50",CEILING(AP12,0.5),IF(RoundingRule="Nearest 1",CEILING(AP12,1),IF(RoundingRule="Nearest 5",CEILING(AP12,5),IF(RoundingRule="Up to whole 1",CEILING(AP12,1),IF(RoundingRule="Up to whole 5",CEILING(AP12,5),ROUND(AP12,2))))))))),2)))</f>
        <v>0</v>
      </c>
      <c r="AR12" s="20">
        <f>IF(B12="","",IF(M12&lt;&gt;"",M12,IF(ISNUMBER(AQ12),AQ12,"")))</f>
        <v>0</v>
      </c>
      <c r="AS12" s="20">
        <f>IF(B12="","",IF(AR12="","",ROUND(AM12+AR12*AL12,2)))</f>
        <v>0</v>
      </c>
      <c r="AT12" s="20">
        <f>IF(B12="","",IF(AR12="","",ROUND(AH12+AS12,2)))</f>
        <v>0</v>
      </c>
      <c r="AU12" s="20">
        <f>IF(B12="","",IF(AR12="","",ROUND(AR12*AI12+AK12,2)))</f>
        <v>0</v>
      </c>
      <c r="AV12" s="20">
        <f>IF(B12="","",IF(AR12="","",ROUND(AR12-AT12-AU12,2)))</f>
        <v>0</v>
      </c>
      <c r="AW12" s="33">
        <f>IF(B12="","",IF(OR(AR12="",AR12=0),"",AV12/AR12))</f>
        <v>0</v>
      </c>
      <c r="AX12" s="33">
        <f>IF(B12="","",IF(OR(AT12="",AT12=0),"",AV12/AT12))</f>
        <v>0</v>
      </c>
      <c r="AY12" s="20">
        <f>IF(B12="","",IF(OR(Y12="",Y12=0,AV12=""),"",ROUND(AV12/Y12,2)))</f>
        <v>0</v>
      </c>
      <c r="AZ12" s="20">
        <f>IF(B12="","",IF(OR(Y12="",Y12=0,AV12=""),"",ROUND((AV12+Z12)/Y12,2)))</f>
        <v>0</v>
      </c>
      <c r="BA12" s="20">
        <f>IF(B12="","",IF(1-AI12-AL12&lt;=0,"",ROUND((AH12+AM12+AK12)/(1-AI12-AL12),2)))</f>
        <v>0</v>
      </c>
      <c r="BB12" s="20">
        <f>IF(B12="","",IF(AT12="","",ROUND(AT12*2,2)))</f>
        <v>0</v>
      </c>
      <c r="BC12" s="20">
        <f>IF(B12="","",IF(AR12="","",ROUND(AR12*(1-WholesaleDiscount),2)))</f>
        <v>0</v>
      </c>
      <c r="BD12" s="20">
        <f>IF(B12="","",IF(BC12="","",ROUND(BC12-AH12-AM12,2)))</f>
        <v>0</v>
      </c>
      <c r="BE12" s="33">
        <f>IF(B12="","",IF(OR(BC12="",BC12=0),"",BD12/BC12))</f>
        <v>0</v>
      </c>
      <c r="BF12" s="20">
        <f>IF(B12="","",IFERROR(ROUND(AVERAGEIFS(Competitors!$F$5:$F$154,Competitors!$A$5:$A$154,A12),2),""))</f>
        <v>0</v>
      </c>
      <c r="BG12" s="33">
        <f>IF(B12="","",IF(OR(BF12="",BF12=0,AR12=""),"",AR12/BF12-1))</f>
        <v>0</v>
      </c>
      <c r="BH12" s="32">
        <f>IF(B12="","",SUMIFS(Sales!$D$5:$D$804,Sales!$C$5:$C$804,A12))</f>
        <v>0</v>
      </c>
      <c r="BI12" s="20">
        <f>IF(B12="","",ROUND(SUMIFS(Sales!$V$5:$V$804,Sales!$C$5:$C$804,A12),2))</f>
        <v>0</v>
      </c>
      <c r="BJ12" s="20">
        <f>IF(B12="","",ROUND(SUMIFS(Sales!$AG$5:$AG$804,Sales!$C$5:$C$804,A12),2))</f>
        <v>0</v>
      </c>
      <c r="BK12" s="33">
        <f>IF(B12="","",IF(OR(BI12="",BI12=0),"",BJ12/BI12))</f>
        <v>0</v>
      </c>
      <c r="BL12" s="17">
        <f>IF(B12="","",IF(SUMPRODUCT(MAX((Sales!$C$5:$C$804=A12)*Sales!$B$5:$B$804))=0,"",SUMPRODUCT(MAX((Sales!$C$5:$C$804=A12)*Sales!$B$5:$B$804))))</f>
        <v>0</v>
      </c>
      <c r="BM12" s="17">
        <f>IF(B12="","",IF(SUMPRODUCT(MAX(('Price History'!$B$5:$B$304=A12)*'Price History'!$A$5:$A$304))=0,IF(P12="","",P12),SUMPRODUCT(MAX(('Price History'!$B$5:$B$304=A12)*'Price History'!$A$5:$A$304))))</f>
        <v>0</v>
      </c>
      <c r="BN12" s="32">
        <f>IF(B12="","",IF(BM12="","",TodayDate-BM12))</f>
        <v>0</v>
      </c>
      <c r="BO12" s="32">
        <f>IF(B12="","",COUNTIFS($AV$5:$AV$304,"&gt;"&amp;AV12)+COUNTIFS($AV$5:AV12,AV12))</f>
        <v>0</v>
      </c>
      <c r="BP12" s="32">
        <f>IF(B12="","",COUNTIFS($AW$5:$AW$304,"&gt;"&amp;AW12)+COUNTIFS($AW$5:AW12,AW12))</f>
        <v>0</v>
      </c>
      <c r="BQ12" s="32">
        <f>IF(B12="","",COUNTIFS($BI$5:$BI$304,"&gt;"&amp;BI12)+COUNTIFS($BI$5:BI12,BI12))</f>
        <v>0</v>
      </c>
      <c r="BR12" s="32">
        <f>IF(B12="","",COUNTIFS($AY$5:$AY$304,"&gt;"&amp;AY12)+COUNTIFS($AY$5:AY12,AY12))</f>
        <v>0</v>
      </c>
      <c r="BS12" s="43">
        <f>IF(B12="","",IF(AH12=0,"Add - no costs entered yet",IF(AR12="","Check - no price yet",IF(AV12&lt;0,"Loss - every sale costs you money",IF(AND(AZ12&lt;&gt;"",AZ12&lt;MinimumWage),"Below - pays under minimum wage",IF(AW12&lt;MarginWarning,"Low margin - re-price it",IF(AND(AF12&lt;&gt;"",K12&lt;&gt;"",K12+AC12&gt;AF12),"Check - too heavy for that postage band",IF(AND(BN12&lt;&gt;"",BN12&gt;PriceReviewDays),"Due - price has not been reviewed",IF(AND(BG12&lt;&gt;"",BG12&gt;0.5),"Check - well above the market","OK")))))))) )</f>
        <v>0</v>
      </c>
    </row>
    <row r="13" spans="1:71">
      <c r="A13" s="38">
        <f>IF(B13="","",ProductPrefix&amp;TEXT(ROW()-4,"0000"))</f>
        <v>0</v>
      </c>
      <c r="B13" s="15" t="s">
        <v>543</v>
      </c>
      <c r="C13" s="15" t="s">
        <v>181</v>
      </c>
      <c r="D13" s="15" t="s">
        <v>544</v>
      </c>
      <c r="E13" s="39" t="s">
        <v>513</v>
      </c>
      <c r="F13" s="15" t="s">
        <v>522</v>
      </c>
      <c r="G13" s="15" t="s">
        <v>515</v>
      </c>
      <c r="H13" s="15" t="s">
        <v>545</v>
      </c>
      <c r="I13" s="15" t="s">
        <v>516</v>
      </c>
      <c r="J13" s="15" t="s">
        <v>538</v>
      </c>
      <c r="K13" s="21">
        <v>420</v>
      </c>
      <c r="L13" s="16">
        <v>5</v>
      </c>
      <c r="M13" s="18">
        <v>148</v>
      </c>
      <c r="O13" s="16">
        <v>46277</v>
      </c>
      <c r="P13" s="22">
        <v>46107</v>
      </c>
      <c r="S13" s="38">
        <f>IF(B13="","",IF(C13&lt;&gt;"",C13,UPPER(LEFT(IF(D13="","GEN",D13),3))&amp;"-"&amp;TEXT(ROW()-4,"000")))</f>
        <v>0</v>
      </c>
      <c r="T13" s="20">
        <f>IF(B13="","",ROUND(SUMIFS('Material Usage'!$M$5:$M$904,'Material Usage'!$A$5:$A$904,A13)+SUMIFS(Crochet!$AD$5:$AD$84,Crochet!$A$5:$A$84,A13)+SUMIFS(Jewelry!$AF$5:$AF$84,Jewelry!$A$5:$A$84,A13)+SUMIFS(Candles!$AF$5:$AF$84,Candles!$A$5:$A$84,A13)+SUMIFS(Clothing!$AB$5:$AB$84,Clothing!$A$5:$A$84,A13)+SUMIFS(Woodworking!$AC$5:$AC$84,Woodworking!$A$5:$A$84,A13)+SUMIFS(Digital!$X$5:$X$84,Digital!$A$5:$A$84,A13),2))</f>
        <v>0</v>
      </c>
      <c r="U13" s="20">
        <f>IF(B13="","",ROUND(SUMIFS(Labor!$O$5:$O$304,Labor!$A$5:$A$304,A13)+SUMIFS(Crochet!$AG$5:$AG$84,Crochet!$A$5:$A$84,A13)+SUMIFS(Jewelry!$AI$5:$AI$84,Jewelry!$A$5:$A$84,A13)+SUMIFS(Candles!$AI$5:$AI$84,Candles!$A$5:$A$84,A13)+SUMIFS(Clothing!$AE$5:$AE$84,Clothing!$A$5:$A$84,A13)+SUMIFS(Woodworking!$AF$5:$AF$84,Woodworking!$A$5:$A$84,A13)+SUMIFS(Digital!$Z$5:$Z$84,Digital!$A$5:$A$84,A13),2))</f>
        <v>0</v>
      </c>
      <c r="V13" s="36">
        <f>IF(B13="","",ROUND(SUMIFS(Labor!$P$5:$P$304,Labor!$A$5:$A$304,A13)+SUMIFS(Crochet!$AE$5:$AE$84,Crochet!$A$5:$A$84,A13)+SUMIFS(Jewelry!$AG$5:$AG$84,Jewelry!$A$5:$A$84,A13)+SUMIFS(Candles!$AG$5:$AG$84,Candles!$A$5:$A$84,A13)+SUMIFS(Clothing!$AC$5:$AC$84,Clothing!$A$5:$A$84,A13)+SUMIFS(Woodworking!$AD$5:$AD$84,Woodworking!$A$5:$A$84,A13)+SUMIFS(Digital!$Y$5:$Y$84,Digital!$A$5:$A$84,A13),1))</f>
        <v>0</v>
      </c>
      <c r="W13" s="41">
        <f>IF(B13="","",IFERROR(INDEX(DiffTimeFactors,MATCH(G13,DiffNames,0)),1))</f>
        <v>0</v>
      </c>
      <c r="X13" s="36">
        <f>IF(B13="","",ROUND(V13*W13,1))</f>
        <v>0</v>
      </c>
      <c r="Y13" s="41">
        <f>IF(B13="","",ROUND(X13/60,3))</f>
        <v>0</v>
      </c>
      <c r="Z13" s="20">
        <f>IF(B13="","",ROUND(U13*W13,2))</f>
        <v>0</v>
      </c>
      <c r="AA13" s="20">
        <f>IF(B13="","",ROUND(SUMIFS(Labor!$Q$5:$Q$304,Labor!$A$5:$A$304,A13)+SUMIFS(Crochet!$AH$5:$AH$84,Crochet!$A$5:$A$84,A13)+SUMIFS(Jewelry!$AJ$5:$AJ$84,Jewelry!$A$5:$A$84,A13)+SUMIFS(Candles!$AJ$5:$AJ$84,Candles!$A$5:$A$84,A13)+SUMIFS(Clothing!$AF$5:$AF$84,Clothing!$A$5:$A$84,A13)+SUMIFS(Woodworking!$AH$5:$AH$84,Woodworking!$A$5:$A$84,A13)+SUMIFS(Digital!$AA$5:$AA$84,Digital!$A$5:$A$84,A13),2))</f>
        <v>0</v>
      </c>
      <c r="AB13" s="20">
        <f>IF(B13="","",ROUND(IF(I13="Budget",PackBudget,IF(I13="Standard",PackStandard,IF(I13="Gift",PackGift,IF(I13="Premium",PackPremium,DefaultPackaging)))),2))</f>
        <v>0</v>
      </c>
      <c r="AC13" s="36">
        <f>IF(B13="","",IF(I13="Budget",PackWeightBudget,IF(I13="Standard",PackWeightStandard,IF(I13="Gift",PackWeightGift,IF(I13="Premium",PackWeightPremium,0)))))</f>
        <v>0</v>
      </c>
      <c r="AD13" s="20">
        <f>IF(B13="","",IFERROR(INDEX(Shipping!$M$5:$M$64,MATCH(J13,Shipping!$L$5:$L$64,0)),DefaultShipping))</f>
        <v>0</v>
      </c>
      <c r="AE13" s="20">
        <f>IF(B13="","",IFERROR(INDEX(Shipping!$F$5:$F$64,MATCH(J13,Shipping!$L$5:$L$64,0)),0))</f>
        <v>0</v>
      </c>
      <c r="AF13" s="36">
        <f>IF(B13="","",IFERROR(INDEX(Shipping!$C$5:$C$64,MATCH(J13,Shipping!$L$5:$L$64,0)),""))</f>
        <v>0</v>
      </c>
      <c r="AG13" s="20">
        <f>IF(B13="","",ROUND(MAX(0,AD13-AE13),2))</f>
        <v>0</v>
      </c>
      <c r="AH13" s="20">
        <f>IF(B13="","",ROUND(T13+Z13+AA13+AB13+AG13,2))</f>
        <v>0</v>
      </c>
      <c r="AI13" s="33">
        <f>IF(B13="","",IFERROR(INDEX(Channels!$S$5:$S$18,MATCH(IF(H13="",DefaultChannel,H13),Channels!$A$5:$A$18,0)),0))</f>
        <v>0</v>
      </c>
      <c r="AJ13" s="42">
        <f>IF(B13="","",IFERROR(INDEX(Channels!$O$5:$O$18,MATCH(IF(H13="",DefaultChannel,H13),Channels!$A$5:$A$18,0)),"No"))</f>
        <v>0</v>
      </c>
      <c r="AK13" s="20">
        <f>IF(B13="","",ROUND(IFERROR(INDEX(Channels!$T$5:$T$18,MATCH(IF(H13="",DefaultChannel,H13),Channels!$A$5:$A$18,0)),0)+IF(AJ13="Yes",AE13*AI13,0),4))</f>
        <v>0</v>
      </c>
      <c r="AL13" s="33">
        <f>IF(B13="","",IF(OverheadMethod="Share of revenue",IF(RevenueTargetMonth&lt;=0,0,OverheadMonthly/RevenueTargetMonth),0))</f>
        <v>0</v>
      </c>
      <c r="AM13" s="20">
        <f>IF(B13="","",IF(OverheadMethod="Per hour worked",ROUND(OverheadPerHour*Y13,2),IF(OR(OverheadMethod="Per unit made",OverheadMethod="Per order"),OverheadPerUnit,0)))</f>
        <v>0</v>
      </c>
      <c r="AN13" s="33">
        <f>IF(B13="","",IF(N13&lt;&gt;"",N13,TargetRetailMargin))</f>
        <v>0</v>
      </c>
      <c r="AO13" s="41">
        <f>IF(B13="","",1-AN13-AI13-AL13)</f>
        <v>0</v>
      </c>
      <c r="AP13" s="20">
        <f>IF(B13="","",IF(AO13&lt;=0,"",(AH13+AM13+AK13)/AO13))</f>
        <v>0</v>
      </c>
      <c r="AQ13" s="20">
        <f>IF(B13="","",IF(AP13="","Check the settings",ROUND(IF(RoundingRule="None",AP13,IF(RoundingRule="Nearest 0.99",MAX(0.99,CEILING(AP13,1)-0.01),IF(RoundingRule="Nearest 0.95",MAX(0.95,CEILING(AP13,1)-0.05),IF(RoundingRule="Nearest 0.50",CEILING(AP13,0.5),IF(RoundingRule="Nearest 1",CEILING(AP13,1),IF(RoundingRule="Nearest 5",CEILING(AP13,5),IF(RoundingRule="Up to whole 1",CEILING(AP13,1),IF(RoundingRule="Up to whole 5",CEILING(AP13,5),ROUND(AP13,2))))))))),2)))</f>
        <v>0</v>
      </c>
      <c r="AR13" s="20">
        <f>IF(B13="","",IF(M13&lt;&gt;"",M13,IF(ISNUMBER(AQ13),AQ13,"")))</f>
        <v>0</v>
      </c>
      <c r="AS13" s="20">
        <f>IF(B13="","",IF(AR13="","",ROUND(AM13+AR13*AL13,2)))</f>
        <v>0</v>
      </c>
      <c r="AT13" s="20">
        <f>IF(B13="","",IF(AR13="","",ROUND(AH13+AS13,2)))</f>
        <v>0</v>
      </c>
      <c r="AU13" s="20">
        <f>IF(B13="","",IF(AR13="","",ROUND(AR13*AI13+AK13,2)))</f>
        <v>0</v>
      </c>
      <c r="AV13" s="20">
        <f>IF(B13="","",IF(AR13="","",ROUND(AR13-AT13-AU13,2)))</f>
        <v>0</v>
      </c>
      <c r="AW13" s="33">
        <f>IF(B13="","",IF(OR(AR13="",AR13=0),"",AV13/AR13))</f>
        <v>0</v>
      </c>
      <c r="AX13" s="33">
        <f>IF(B13="","",IF(OR(AT13="",AT13=0),"",AV13/AT13))</f>
        <v>0</v>
      </c>
      <c r="AY13" s="20">
        <f>IF(B13="","",IF(OR(Y13="",Y13=0,AV13=""),"",ROUND(AV13/Y13,2)))</f>
        <v>0</v>
      </c>
      <c r="AZ13" s="20">
        <f>IF(B13="","",IF(OR(Y13="",Y13=0,AV13=""),"",ROUND((AV13+Z13)/Y13,2)))</f>
        <v>0</v>
      </c>
      <c r="BA13" s="20">
        <f>IF(B13="","",IF(1-AI13-AL13&lt;=0,"",ROUND((AH13+AM13+AK13)/(1-AI13-AL13),2)))</f>
        <v>0</v>
      </c>
      <c r="BB13" s="20">
        <f>IF(B13="","",IF(AT13="","",ROUND(AT13*2,2)))</f>
        <v>0</v>
      </c>
      <c r="BC13" s="20">
        <f>IF(B13="","",IF(AR13="","",ROUND(AR13*(1-WholesaleDiscount),2)))</f>
        <v>0</v>
      </c>
      <c r="BD13" s="20">
        <f>IF(B13="","",IF(BC13="","",ROUND(BC13-AH13-AM13,2)))</f>
        <v>0</v>
      </c>
      <c r="BE13" s="33">
        <f>IF(B13="","",IF(OR(BC13="",BC13=0),"",BD13/BC13))</f>
        <v>0</v>
      </c>
      <c r="BF13" s="20">
        <f>IF(B13="","",IFERROR(ROUND(AVERAGEIFS(Competitors!$F$5:$F$154,Competitors!$A$5:$A$154,A13),2),""))</f>
        <v>0</v>
      </c>
      <c r="BG13" s="33">
        <f>IF(B13="","",IF(OR(BF13="",BF13=0,AR13=""),"",AR13/BF13-1))</f>
        <v>0</v>
      </c>
      <c r="BH13" s="32">
        <f>IF(B13="","",SUMIFS(Sales!$D$5:$D$804,Sales!$C$5:$C$804,A13))</f>
        <v>0</v>
      </c>
      <c r="BI13" s="20">
        <f>IF(B13="","",ROUND(SUMIFS(Sales!$V$5:$V$804,Sales!$C$5:$C$804,A13),2))</f>
        <v>0</v>
      </c>
      <c r="BJ13" s="20">
        <f>IF(B13="","",ROUND(SUMIFS(Sales!$AG$5:$AG$804,Sales!$C$5:$C$804,A13),2))</f>
        <v>0</v>
      </c>
      <c r="BK13" s="33">
        <f>IF(B13="","",IF(OR(BI13="",BI13=0),"",BJ13/BI13))</f>
        <v>0</v>
      </c>
      <c r="BL13" s="17">
        <f>IF(B13="","",IF(SUMPRODUCT(MAX((Sales!$C$5:$C$804=A13)*Sales!$B$5:$B$804))=0,"",SUMPRODUCT(MAX((Sales!$C$5:$C$804=A13)*Sales!$B$5:$B$804))))</f>
        <v>0</v>
      </c>
      <c r="BM13" s="17">
        <f>IF(B13="","",IF(SUMPRODUCT(MAX(('Price History'!$B$5:$B$304=A13)*'Price History'!$A$5:$A$304))=0,IF(P13="","",P13),SUMPRODUCT(MAX(('Price History'!$B$5:$B$304=A13)*'Price History'!$A$5:$A$304))))</f>
        <v>0</v>
      </c>
      <c r="BN13" s="32">
        <f>IF(B13="","",IF(BM13="","",TodayDate-BM13))</f>
        <v>0</v>
      </c>
      <c r="BO13" s="32">
        <f>IF(B13="","",COUNTIFS($AV$5:$AV$304,"&gt;"&amp;AV13)+COUNTIFS($AV$5:AV13,AV13))</f>
        <v>0</v>
      </c>
      <c r="BP13" s="32">
        <f>IF(B13="","",COUNTIFS($AW$5:$AW$304,"&gt;"&amp;AW13)+COUNTIFS($AW$5:AW13,AW13))</f>
        <v>0</v>
      </c>
      <c r="BQ13" s="32">
        <f>IF(B13="","",COUNTIFS($BI$5:$BI$304,"&gt;"&amp;BI13)+COUNTIFS($BI$5:BI13,BI13))</f>
        <v>0</v>
      </c>
      <c r="BR13" s="32">
        <f>IF(B13="","",COUNTIFS($AY$5:$AY$304,"&gt;"&amp;AY13)+COUNTIFS($AY$5:AY13,AY13))</f>
        <v>0</v>
      </c>
      <c r="BS13" s="43">
        <f>IF(B13="","",IF(AH13=0,"Add - no costs entered yet",IF(AR13="","Check - no price yet",IF(AV13&lt;0,"Loss - every sale costs you money",IF(AND(AZ13&lt;&gt;"",AZ13&lt;MinimumWage),"Below - pays under minimum wage",IF(AW13&lt;MarginWarning,"Low margin - re-price it",IF(AND(AF13&lt;&gt;"",K13&lt;&gt;"",K13+AC13&gt;AF13),"Check - too heavy for that postage band",IF(AND(BN13&lt;&gt;"",BN13&gt;PriceReviewDays),"Due - price has not been reviewed",IF(AND(BG13&lt;&gt;"",BG13&gt;0.5),"Check - well above the market","OK")))))))) )</f>
        <v>0</v>
      </c>
    </row>
    <row r="14" spans="1:71">
      <c r="A14" s="38">
        <f>IF(B14="","",ProductPrefix&amp;TEXT(ROW()-4,"0000"))</f>
        <v>0</v>
      </c>
      <c r="B14" s="15" t="s">
        <v>546</v>
      </c>
      <c r="C14" s="15" t="s">
        <v>181</v>
      </c>
      <c r="D14" s="15" t="s">
        <v>547</v>
      </c>
      <c r="E14" s="39" t="s">
        <v>513</v>
      </c>
      <c r="F14" s="15" t="s">
        <v>522</v>
      </c>
      <c r="G14" s="15" t="s">
        <v>515</v>
      </c>
      <c r="H14" s="15" t="s">
        <v>545</v>
      </c>
      <c r="I14" s="15" t="s">
        <v>516</v>
      </c>
      <c r="J14" s="15" t="s">
        <v>548</v>
      </c>
      <c r="K14" s="21">
        <v>1400</v>
      </c>
      <c r="L14" s="16">
        <v>4</v>
      </c>
      <c r="M14" s="18">
        <v>135</v>
      </c>
      <c r="O14" s="16">
        <v>46299</v>
      </c>
      <c r="P14" s="22">
        <v>45977</v>
      </c>
      <c r="S14" s="38">
        <f>IF(B14="","",IF(C14&lt;&gt;"",C14,UPPER(LEFT(IF(D14="","GEN",D14),3))&amp;"-"&amp;TEXT(ROW()-4,"000")))</f>
        <v>0</v>
      </c>
      <c r="T14" s="20">
        <f>IF(B14="","",ROUND(SUMIFS('Material Usage'!$M$5:$M$904,'Material Usage'!$A$5:$A$904,A14)+SUMIFS(Crochet!$AD$5:$AD$84,Crochet!$A$5:$A$84,A14)+SUMIFS(Jewelry!$AF$5:$AF$84,Jewelry!$A$5:$A$84,A14)+SUMIFS(Candles!$AF$5:$AF$84,Candles!$A$5:$A$84,A14)+SUMIFS(Clothing!$AB$5:$AB$84,Clothing!$A$5:$A$84,A14)+SUMIFS(Woodworking!$AC$5:$AC$84,Woodworking!$A$5:$A$84,A14)+SUMIFS(Digital!$X$5:$X$84,Digital!$A$5:$A$84,A14),2))</f>
        <v>0</v>
      </c>
      <c r="U14" s="20">
        <f>IF(B14="","",ROUND(SUMIFS(Labor!$O$5:$O$304,Labor!$A$5:$A$304,A14)+SUMIFS(Crochet!$AG$5:$AG$84,Crochet!$A$5:$A$84,A14)+SUMIFS(Jewelry!$AI$5:$AI$84,Jewelry!$A$5:$A$84,A14)+SUMIFS(Candles!$AI$5:$AI$84,Candles!$A$5:$A$84,A14)+SUMIFS(Clothing!$AE$5:$AE$84,Clothing!$A$5:$A$84,A14)+SUMIFS(Woodworking!$AF$5:$AF$84,Woodworking!$A$5:$A$84,A14)+SUMIFS(Digital!$Z$5:$Z$84,Digital!$A$5:$A$84,A14),2))</f>
        <v>0</v>
      </c>
      <c r="V14" s="36">
        <f>IF(B14="","",ROUND(SUMIFS(Labor!$P$5:$P$304,Labor!$A$5:$A$304,A14)+SUMIFS(Crochet!$AE$5:$AE$84,Crochet!$A$5:$A$84,A14)+SUMIFS(Jewelry!$AG$5:$AG$84,Jewelry!$A$5:$A$84,A14)+SUMIFS(Candles!$AG$5:$AG$84,Candles!$A$5:$A$84,A14)+SUMIFS(Clothing!$AC$5:$AC$84,Clothing!$A$5:$A$84,A14)+SUMIFS(Woodworking!$AD$5:$AD$84,Woodworking!$A$5:$A$84,A14)+SUMIFS(Digital!$Y$5:$Y$84,Digital!$A$5:$A$84,A14),1))</f>
        <v>0</v>
      </c>
      <c r="W14" s="41">
        <f>IF(B14="","",IFERROR(INDEX(DiffTimeFactors,MATCH(G14,DiffNames,0)),1))</f>
        <v>0</v>
      </c>
      <c r="X14" s="36">
        <f>IF(B14="","",ROUND(V14*W14,1))</f>
        <v>0</v>
      </c>
      <c r="Y14" s="41">
        <f>IF(B14="","",ROUND(X14/60,3))</f>
        <v>0</v>
      </c>
      <c r="Z14" s="20">
        <f>IF(B14="","",ROUND(U14*W14,2))</f>
        <v>0</v>
      </c>
      <c r="AA14" s="20">
        <f>IF(B14="","",ROUND(SUMIFS(Labor!$Q$5:$Q$304,Labor!$A$5:$A$304,A14)+SUMIFS(Crochet!$AH$5:$AH$84,Crochet!$A$5:$A$84,A14)+SUMIFS(Jewelry!$AJ$5:$AJ$84,Jewelry!$A$5:$A$84,A14)+SUMIFS(Candles!$AJ$5:$AJ$84,Candles!$A$5:$A$84,A14)+SUMIFS(Clothing!$AF$5:$AF$84,Clothing!$A$5:$A$84,A14)+SUMIFS(Woodworking!$AH$5:$AH$84,Woodworking!$A$5:$A$84,A14)+SUMIFS(Digital!$AA$5:$AA$84,Digital!$A$5:$A$84,A14),2))</f>
        <v>0</v>
      </c>
      <c r="AB14" s="20">
        <f>IF(B14="","",ROUND(IF(I14="Budget",PackBudget,IF(I14="Standard",PackStandard,IF(I14="Gift",PackGift,IF(I14="Premium",PackPremium,DefaultPackaging)))),2))</f>
        <v>0</v>
      </c>
      <c r="AC14" s="36">
        <f>IF(B14="","",IF(I14="Budget",PackWeightBudget,IF(I14="Standard",PackWeightStandard,IF(I14="Gift",PackWeightGift,IF(I14="Premium",PackWeightPremium,0)))))</f>
        <v>0</v>
      </c>
      <c r="AD14" s="20">
        <f>IF(B14="","",IFERROR(INDEX(Shipping!$M$5:$M$64,MATCH(J14,Shipping!$L$5:$L$64,0)),DefaultShipping))</f>
        <v>0</v>
      </c>
      <c r="AE14" s="20">
        <f>IF(B14="","",IFERROR(INDEX(Shipping!$F$5:$F$64,MATCH(J14,Shipping!$L$5:$L$64,0)),0))</f>
        <v>0</v>
      </c>
      <c r="AF14" s="36">
        <f>IF(B14="","",IFERROR(INDEX(Shipping!$C$5:$C$64,MATCH(J14,Shipping!$L$5:$L$64,0)),""))</f>
        <v>0</v>
      </c>
      <c r="AG14" s="20">
        <f>IF(B14="","",ROUND(MAX(0,AD14-AE14),2))</f>
        <v>0</v>
      </c>
      <c r="AH14" s="20">
        <f>IF(B14="","",ROUND(T14+Z14+AA14+AB14+AG14,2))</f>
        <v>0</v>
      </c>
      <c r="AI14" s="33">
        <f>IF(B14="","",IFERROR(INDEX(Channels!$S$5:$S$18,MATCH(IF(H14="",DefaultChannel,H14),Channels!$A$5:$A$18,0)),0))</f>
        <v>0</v>
      </c>
      <c r="AJ14" s="42">
        <f>IF(B14="","",IFERROR(INDEX(Channels!$O$5:$O$18,MATCH(IF(H14="",DefaultChannel,H14),Channels!$A$5:$A$18,0)),"No"))</f>
        <v>0</v>
      </c>
      <c r="AK14" s="20">
        <f>IF(B14="","",ROUND(IFERROR(INDEX(Channels!$T$5:$T$18,MATCH(IF(H14="",DefaultChannel,H14),Channels!$A$5:$A$18,0)),0)+IF(AJ14="Yes",AE14*AI14,0),4))</f>
        <v>0</v>
      </c>
      <c r="AL14" s="33">
        <f>IF(B14="","",IF(OverheadMethod="Share of revenue",IF(RevenueTargetMonth&lt;=0,0,OverheadMonthly/RevenueTargetMonth),0))</f>
        <v>0</v>
      </c>
      <c r="AM14" s="20">
        <f>IF(B14="","",IF(OverheadMethod="Per hour worked",ROUND(OverheadPerHour*Y14,2),IF(OR(OverheadMethod="Per unit made",OverheadMethod="Per order"),OverheadPerUnit,0)))</f>
        <v>0</v>
      </c>
      <c r="AN14" s="33">
        <f>IF(B14="","",IF(N14&lt;&gt;"",N14,TargetRetailMargin))</f>
        <v>0</v>
      </c>
      <c r="AO14" s="41">
        <f>IF(B14="","",1-AN14-AI14-AL14)</f>
        <v>0</v>
      </c>
      <c r="AP14" s="20">
        <f>IF(B14="","",IF(AO14&lt;=0,"",(AH14+AM14+AK14)/AO14))</f>
        <v>0</v>
      </c>
      <c r="AQ14" s="20">
        <f>IF(B14="","",IF(AP14="","Check the settings",ROUND(IF(RoundingRule="None",AP14,IF(RoundingRule="Nearest 0.99",MAX(0.99,CEILING(AP14,1)-0.01),IF(RoundingRule="Nearest 0.95",MAX(0.95,CEILING(AP14,1)-0.05),IF(RoundingRule="Nearest 0.50",CEILING(AP14,0.5),IF(RoundingRule="Nearest 1",CEILING(AP14,1),IF(RoundingRule="Nearest 5",CEILING(AP14,5),IF(RoundingRule="Up to whole 1",CEILING(AP14,1),IF(RoundingRule="Up to whole 5",CEILING(AP14,5),ROUND(AP14,2))))))))),2)))</f>
        <v>0</v>
      </c>
      <c r="AR14" s="20">
        <f>IF(B14="","",IF(M14&lt;&gt;"",M14,IF(ISNUMBER(AQ14),AQ14,"")))</f>
        <v>0</v>
      </c>
      <c r="AS14" s="20">
        <f>IF(B14="","",IF(AR14="","",ROUND(AM14+AR14*AL14,2)))</f>
        <v>0</v>
      </c>
      <c r="AT14" s="20">
        <f>IF(B14="","",IF(AR14="","",ROUND(AH14+AS14,2)))</f>
        <v>0</v>
      </c>
      <c r="AU14" s="20">
        <f>IF(B14="","",IF(AR14="","",ROUND(AR14*AI14+AK14,2)))</f>
        <v>0</v>
      </c>
      <c r="AV14" s="20">
        <f>IF(B14="","",IF(AR14="","",ROUND(AR14-AT14-AU14,2)))</f>
        <v>0</v>
      </c>
      <c r="AW14" s="33">
        <f>IF(B14="","",IF(OR(AR14="",AR14=0),"",AV14/AR14))</f>
        <v>0</v>
      </c>
      <c r="AX14" s="33">
        <f>IF(B14="","",IF(OR(AT14="",AT14=0),"",AV14/AT14))</f>
        <v>0</v>
      </c>
      <c r="AY14" s="20">
        <f>IF(B14="","",IF(OR(Y14="",Y14=0,AV14=""),"",ROUND(AV14/Y14,2)))</f>
        <v>0</v>
      </c>
      <c r="AZ14" s="20">
        <f>IF(B14="","",IF(OR(Y14="",Y14=0,AV14=""),"",ROUND((AV14+Z14)/Y14,2)))</f>
        <v>0</v>
      </c>
      <c r="BA14" s="20">
        <f>IF(B14="","",IF(1-AI14-AL14&lt;=0,"",ROUND((AH14+AM14+AK14)/(1-AI14-AL14),2)))</f>
        <v>0</v>
      </c>
      <c r="BB14" s="20">
        <f>IF(B14="","",IF(AT14="","",ROUND(AT14*2,2)))</f>
        <v>0</v>
      </c>
      <c r="BC14" s="20">
        <f>IF(B14="","",IF(AR14="","",ROUND(AR14*(1-WholesaleDiscount),2)))</f>
        <v>0</v>
      </c>
      <c r="BD14" s="20">
        <f>IF(B14="","",IF(BC14="","",ROUND(BC14-AH14-AM14,2)))</f>
        <v>0</v>
      </c>
      <c r="BE14" s="33">
        <f>IF(B14="","",IF(OR(BC14="",BC14=0),"",BD14/BC14))</f>
        <v>0</v>
      </c>
      <c r="BF14" s="20">
        <f>IF(B14="","",IFERROR(ROUND(AVERAGEIFS(Competitors!$F$5:$F$154,Competitors!$A$5:$A$154,A14),2),""))</f>
        <v>0</v>
      </c>
      <c r="BG14" s="33">
        <f>IF(B14="","",IF(OR(BF14="",BF14=0,AR14=""),"",AR14/BF14-1))</f>
        <v>0</v>
      </c>
      <c r="BH14" s="32">
        <f>IF(B14="","",SUMIFS(Sales!$D$5:$D$804,Sales!$C$5:$C$804,A14))</f>
        <v>0</v>
      </c>
      <c r="BI14" s="20">
        <f>IF(B14="","",ROUND(SUMIFS(Sales!$V$5:$V$804,Sales!$C$5:$C$804,A14),2))</f>
        <v>0</v>
      </c>
      <c r="BJ14" s="20">
        <f>IF(B14="","",ROUND(SUMIFS(Sales!$AG$5:$AG$804,Sales!$C$5:$C$804,A14),2))</f>
        <v>0</v>
      </c>
      <c r="BK14" s="33">
        <f>IF(B14="","",IF(OR(BI14="",BI14=0),"",BJ14/BI14))</f>
        <v>0</v>
      </c>
      <c r="BL14" s="17">
        <f>IF(B14="","",IF(SUMPRODUCT(MAX((Sales!$C$5:$C$804=A14)*Sales!$B$5:$B$804))=0,"",SUMPRODUCT(MAX((Sales!$C$5:$C$804=A14)*Sales!$B$5:$B$804))))</f>
        <v>0</v>
      </c>
      <c r="BM14" s="17">
        <f>IF(B14="","",IF(SUMPRODUCT(MAX(('Price History'!$B$5:$B$304=A14)*'Price History'!$A$5:$A$304))=0,IF(P14="","",P14),SUMPRODUCT(MAX(('Price History'!$B$5:$B$304=A14)*'Price History'!$A$5:$A$304))))</f>
        <v>0</v>
      </c>
      <c r="BN14" s="32">
        <f>IF(B14="","",IF(BM14="","",TodayDate-BM14))</f>
        <v>0</v>
      </c>
      <c r="BO14" s="32">
        <f>IF(B14="","",COUNTIFS($AV$5:$AV$304,"&gt;"&amp;AV14)+COUNTIFS($AV$5:AV14,AV14))</f>
        <v>0</v>
      </c>
      <c r="BP14" s="32">
        <f>IF(B14="","",COUNTIFS($AW$5:$AW$304,"&gt;"&amp;AW14)+COUNTIFS($AW$5:AW14,AW14))</f>
        <v>0</v>
      </c>
      <c r="BQ14" s="32">
        <f>IF(B14="","",COUNTIFS($BI$5:$BI$304,"&gt;"&amp;BI14)+COUNTIFS($BI$5:BI14,BI14))</f>
        <v>0</v>
      </c>
      <c r="BR14" s="32">
        <f>IF(B14="","",COUNTIFS($AY$5:$AY$304,"&gt;"&amp;AY14)+COUNTIFS($AY$5:AY14,AY14))</f>
        <v>0</v>
      </c>
      <c r="BS14" s="43">
        <f>IF(B14="","",IF(AH14=0,"Add - no costs entered yet",IF(AR14="","Check - no price yet",IF(AV14&lt;0,"Loss - every sale costs you money",IF(AND(AZ14&lt;&gt;"",AZ14&lt;MinimumWage),"Below - pays under minimum wage",IF(AW14&lt;MarginWarning,"Low margin - re-price it",IF(AND(AF14&lt;&gt;"",K14&lt;&gt;"",K14+AC14&gt;AF14),"Check - too heavy for that postage band",IF(AND(BN14&lt;&gt;"",BN14&gt;PriceReviewDays),"Due - price has not been reviewed",IF(AND(BG14&lt;&gt;"",BG14&gt;0.5),"Check - well above the market","OK")))))))) )</f>
        <v>0</v>
      </c>
    </row>
    <row r="15" spans="1:71">
      <c r="A15" s="38">
        <f>IF(B15="","",ProductPrefix&amp;TEXT(ROW()-4,"0000"))</f>
        <v>0</v>
      </c>
      <c r="B15" s="15" t="s">
        <v>549</v>
      </c>
      <c r="C15" s="15" t="s">
        <v>181</v>
      </c>
      <c r="D15" s="15" t="s">
        <v>547</v>
      </c>
      <c r="E15" s="39" t="s">
        <v>550</v>
      </c>
      <c r="F15" s="15" t="s">
        <v>522</v>
      </c>
      <c r="G15" s="15" t="s">
        <v>523</v>
      </c>
      <c r="H15" s="15" t="s">
        <v>545</v>
      </c>
      <c r="I15" s="15" t="s">
        <v>524</v>
      </c>
      <c r="J15" s="15" t="s">
        <v>548</v>
      </c>
      <c r="K15" s="21">
        <v>2100</v>
      </c>
      <c r="L15" s="16">
        <v>0</v>
      </c>
      <c r="O15" s="16">
        <v>46257</v>
      </c>
      <c r="P15" s="22">
        <v>46167</v>
      </c>
      <c r="R15" s="40" t="s">
        <v>551</v>
      </c>
      <c r="S15" s="38">
        <f>IF(B15="","",IF(C15&lt;&gt;"",C15,UPPER(LEFT(IF(D15="","GEN",D15),3))&amp;"-"&amp;TEXT(ROW()-4,"000")))</f>
        <v>0</v>
      </c>
      <c r="T15" s="20">
        <f>IF(B15="","",ROUND(SUMIFS('Material Usage'!$M$5:$M$904,'Material Usage'!$A$5:$A$904,A15)+SUMIFS(Crochet!$AD$5:$AD$84,Crochet!$A$5:$A$84,A15)+SUMIFS(Jewelry!$AF$5:$AF$84,Jewelry!$A$5:$A$84,A15)+SUMIFS(Candles!$AF$5:$AF$84,Candles!$A$5:$A$84,A15)+SUMIFS(Clothing!$AB$5:$AB$84,Clothing!$A$5:$A$84,A15)+SUMIFS(Woodworking!$AC$5:$AC$84,Woodworking!$A$5:$A$84,A15)+SUMIFS(Digital!$X$5:$X$84,Digital!$A$5:$A$84,A15),2))</f>
        <v>0</v>
      </c>
      <c r="U15" s="20">
        <f>IF(B15="","",ROUND(SUMIFS(Labor!$O$5:$O$304,Labor!$A$5:$A$304,A15)+SUMIFS(Crochet!$AG$5:$AG$84,Crochet!$A$5:$A$84,A15)+SUMIFS(Jewelry!$AI$5:$AI$84,Jewelry!$A$5:$A$84,A15)+SUMIFS(Candles!$AI$5:$AI$84,Candles!$A$5:$A$84,A15)+SUMIFS(Clothing!$AE$5:$AE$84,Clothing!$A$5:$A$84,A15)+SUMIFS(Woodworking!$AF$5:$AF$84,Woodworking!$A$5:$A$84,A15)+SUMIFS(Digital!$Z$5:$Z$84,Digital!$A$5:$A$84,A15),2))</f>
        <v>0</v>
      </c>
      <c r="V15" s="36">
        <f>IF(B15="","",ROUND(SUMIFS(Labor!$P$5:$P$304,Labor!$A$5:$A$304,A15)+SUMIFS(Crochet!$AE$5:$AE$84,Crochet!$A$5:$A$84,A15)+SUMIFS(Jewelry!$AG$5:$AG$84,Jewelry!$A$5:$A$84,A15)+SUMIFS(Candles!$AG$5:$AG$84,Candles!$A$5:$A$84,A15)+SUMIFS(Clothing!$AC$5:$AC$84,Clothing!$A$5:$A$84,A15)+SUMIFS(Woodworking!$AD$5:$AD$84,Woodworking!$A$5:$A$84,A15)+SUMIFS(Digital!$Y$5:$Y$84,Digital!$A$5:$A$84,A15),1))</f>
        <v>0</v>
      </c>
      <c r="W15" s="41">
        <f>IF(B15="","",IFERROR(INDEX(DiffTimeFactors,MATCH(G15,DiffNames,0)),1))</f>
        <v>0</v>
      </c>
      <c r="X15" s="36">
        <f>IF(B15="","",ROUND(V15*W15,1))</f>
        <v>0</v>
      </c>
      <c r="Y15" s="41">
        <f>IF(B15="","",ROUND(X15/60,3))</f>
        <v>0</v>
      </c>
      <c r="Z15" s="20">
        <f>IF(B15="","",ROUND(U15*W15,2))</f>
        <v>0</v>
      </c>
      <c r="AA15" s="20">
        <f>IF(B15="","",ROUND(SUMIFS(Labor!$Q$5:$Q$304,Labor!$A$5:$A$304,A15)+SUMIFS(Crochet!$AH$5:$AH$84,Crochet!$A$5:$A$84,A15)+SUMIFS(Jewelry!$AJ$5:$AJ$84,Jewelry!$A$5:$A$84,A15)+SUMIFS(Candles!$AJ$5:$AJ$84,Candles!$A$5:$A$84,A15)+SUMIFS(Clothing!$AF$5:$AF$84,Clothing!$A$5:$A$84,A15)+SUMIFS(Woodworking!$AH$5:$AH$84,Woodworking!$A$5:$A$84,A15)+SUMIFS(Digital!$AA$5:$AA$84,Digital!$A$5:$A$84,A15),2))</f>
        <v>0</v>
      </c>
      <c r="AB15" s="20">
        <f>IF(B15="","",ROUND(IF(I15="Budget",PackBudget,IF(I15="Standard",PackStandard,IF(I15="Gift",PackGift,IF(I15="Premium",PackPremium,DefaultPackaging)))),2))</f>
        <v>0</v>
      </c>
      <c r="AC15" s="36">
        <f>IF(B15="","",IF(I15="Budget",PackWeightBudget,IF(I15="Standard",PackWeightStandard,IF(I15="Gift",PackWeightGift,IF(I15="Premium",PackWeightPremium,0)))))</f>
        <v>0</v>
      </c>
      <c r="AD15" s="20">
        <f>IF(B15="","",IFERROR(INDEX(Shipping!$M$5:$M$64,MATCH(J15,Shipping!$L$5:$L$64,0)),DefaultShipping))</f>
        <v>0</v>
      </c>
      <c r="AE15" s="20">
        <f>IF(B15="","",IFERROR(INDEX(Shipping!$F$5:$F$64,MATCH(J15,Shipping!$L$5:$L$64,0)),0))</f>
        <v>0</v>
      </c>
      <c r="AF15" s="36">
        <f>IF(B15="","",IFERROR(INDEX(Shipping!$C$5:$C$64,MATCH(J15,Shipping!$L$5:$L$64,0)),""))</f>
        <v>0</v>
      </c>
      <c r="AG15" s="20">
        <f>IF(B15="","",ROUND(MAX(0,AD15-AE15),2))</f>
        <v>0</v>
      </c>
      <c r="AH15" s="20">
        <f>IF(B15="","",ROUND(T15+Z15+AA15+AB15+AG15,2))</f>
        <v>0</v>
      </c>
      <c r="AI15" s="33">
        <f>IF(B15="","",IFERROR(INDEX(Channels!$S$5:$S$18,MATCH(IF(H15="",DefaultChannel,H15),Channels!$A$5:$A$18,0)),0))</f>
        <v>0</v>
      </c>
      <c r="AJ15" s="42">
        <f>IF(B15="","",IFERROR(INDEX(Channels!$O$5:$O$18,MATCH(IF(H15="",DefaultChannel,H15),Channels!$A$5:$A$18,0)),"No"))</f>
        <v>0</v>
      </c>
      <c r="AK15" s="20">
        <f>IF(B15="","",ROUND(IFERROR(INDEX(Channels!$T$5:$T$18,MATCH(IF(H15="",DefaultChannel,H15),Channels!$A$5:$A$18,0)),0)+IF(AJ15="Yes",AE15*AI15,0),4))</f>
        <v>0</v>
      </c>
      <c r="AL15" s="33">
        <f>IF(B15="","",IF(OverheadMethod="Share of revenue",IF(RevenueTargetMonth&lt;=0,0,OverheadMonthly/RevenueTargetMonth),0))</f>
        <v>0</v>
      </c>
      <c r="AM15" s="20">
        <f>IF(B15="","",IF(OverheadMethod="Per hour worked",ROUND(OverheadPerHour*Y15,2),IF(OR(OverheadMethod="Per unit made",OverheadMethod="Per order"),OverheadPerUnit,0)))</f>
        <v>0</v>
      </c>
      <c r="AN15" s="33">
        <f>IF(B15="","",IF(N15&lt;&gt;"",N15,TargetRetailMargin))</f>
        <v>0</v>
      </c>
      <c r="AO15" s="41">
        <f>IF(B15="","",1-AN15-AI15-AL15)</f>
        <v>0</v>
      </c>
      <c r="AP15" s="20">
        <f>IF(B15="","",IF(AO15&lt;=0,"",(AH15+AM15+AK15)/AO15))</f>
        <v>0</v>
      </c>
      <c r="AQ15" s="20">
        <f>IF(B15="","",IF(AP15="","Check the settings",ROUND(IF(RoundingRule="None",AP15,IF(RoundingRule="Nearest 0.99",MAX(0.99,CEILING(AP15,1)-0.01),IF(RoundingRule="Nearest 0.95",MAX(0.95,CEILING(AP15,1)-0.05),IF(RoundingRule="Nearest 0.50",CEILING(AP15,0.5),IF(RoundingRule="Nearest 1",CEILING(AP15,1),IF(RoundingRule="Nearest 5",CEILING(AP15,5),IF(RoundingRule="Up to whole 1",CEILING(AP15,1),IF(RoundingRule="Up to whole 5",CEILING(AP15,5),ROUND(AP15,2))))))))),2)))</f>
        <v>0</v>
      </c>
      <c r="AR15" s="20">
        <f>IF(B15="","",IF(M15&lt;&gt;"",M15,IF(ISNUMBER(AQ15),AQ15,"")))</f>
        <v>0</v>
      </c>
      <c r="AS15" s="20">
        <f>IF(B15="","",IF(AR15="","",ROUND(AM15+AR15*AL15,2)))</f>
        <v>0</v>
      </c>
      <c r="AT15" s="20">
        <f>IF(B15="","",IF(AR15="","",ROUND(AH15+AS15,2)))</f>
        <v>0</v>
      </c>
      <c r="AU15" s="20">
        <f>IF(B15="","",IF(AR15="","",ROUND(AR15*AI15+AK15,2)))</f>
        <v>0</v>
      </c>
      <c r="AV15" s="20">
        <f>IF(B15="","",IF(AR15="","",ROUND(AR15-AT15-AU15,2)))</f>
        <v>0</v>
      </c>
      <c r="AW15" s="33">
        <f>IF(B15="","",IF(OR(AR15="",AR15=0),"",AV15/AR15))</f>
        <v>0</v>
      </c>
      <c r="AX15" s="33">
        <f>IF(B15="","",IF(OR(AT15="",AT15=0),"",AV15/AT15))</f>
        <v>0</v>
      </c>
      <c r="AY15" s="20">
        <f>IF(B15="","",IF(OR(Y15="",Y15=0,AV15=""),"",ROUND(AV15/Y15,2)))</f>
        <v>0</v>
      </c>
      <c r="AZ15" s="20">
        <f>IF(B15="","",IF(OR(Y15="",Y15=0,AV15=""),"",ROUND((AV15+Z15)/Y15,2)))</f>
        <v>0</v>
      </c>
      <c r="BA15" s="20">
        <f>IF(B15="","",IF(1-AI15-AL15&lt;=0,"",ROUND((AH15+AM15+AK15)/(1-AI15-AL15),2)))</f>
        <v>0</v>
      </c>
      <c r="BB15" s="20">
        <f>IF(B15="","",IF(AT15="","",ROUND(AT15*2,2)))</f>
        <v>0</v>
      </c>
      <c r="BC15" s="20">
        <f>IF(B15="","",IF(AR15="","",ROUND(AR15*(1-WholesaleDiscount),2)))</f>
        <v>0</v>
      </c>
      <c r="BD15" s="20">
        <f>IF(B15="","",IF(BC15="","",ROUND(BC15-AH15-AM15,2)))</f>
        <v>0</v>
      </c>
      <c r="BE15" s="33">
        <f>IF(B15="","",IF(OR(BC15="",BC15=0),"",BD15/BC15))</f>
        <v>0</v>
      </c>
      <c r="BF15" s="20">
        <f>IF(B15="","",IFERROR(ROUND(AVERAGEIFS(Competitors!$F$5:$F$154,Competitors!$A$5:$A$154,A15),2),""))</f>
        <v>0</v>
      </c>
      <c r="BG15" s="33">
        <f>IF(B15="","",IF(OR(BF15="",BF15=0,AR15=""),"",AR15/BF15-1))</f>
        <v>0</v>
      </c>
      <c r="BH15" s="32">
        <f>IF(B15="","",SUMIFS(Sales!$D$5:$D$804,Sales!$C$5:$C$804,A15))</f>
        <v>0</v>
      </c>
      <c r="BI15" s="20">
        <f>IF(B15="","",ROUND(SUMIFS(Sales!$V$5:$V$804,Sales!$C$5:$C$804,A15),2))</f>
        <v>0</v>
      </c>
      <c r="BJ15" s="20">
        <f>IF(B15="","",ROUND(SUMIFS(Sales!$AG$5:$AG$804,Sales!$C$5:$C$804,A15),2))</f>
        <v>0</v>
      </c>
      <c r="BK15" s="33">
        <f>IF(B15="","",IF(OR(BI15="",BI15=0),"",BJ15/BI15))</f>
        <v>0</v>
      </c>
      <c r="BL15" s="17">
        <f>IF(B15="","",IF(SUMPRODUCT(MAX((Sales!$C$5:$C$804=A15)*Sales!$B$5:$B$804))=0,"",SUMPRODUCT(MAX((Sales!$C$5:$C$804=A15)*Sales!$B$5:$B$804))))</f>
        <v>0</v>
      </c>
      <c r="BM15" s="17">
        <f>IF(B15="","",IF(SUMPRODUCT(MAX(('Price History'!$B$5:$B$304=A15)*'Price History'!$A$5:$A$304))=0,IF(P15="","",P15),SUMPRODUCT(MAX(('Price History'!$B$5:$B$304=A15)*'Price History'!$A$5:$A$304))))</f>
        <v>0</v>
      </c>
      <c r="BN15" s="32">
        <f>IF(B15="","",IF(BM15="","",TodayDate-BM15))</f>
        <v>0</v>
      </c>
      <c r="BO15" s="32">
        <f>IF(B15="","",COUNTIFS($AV$5:$AV$304,"&gt;"&amp;AV15)+COUNTIFS($AV$5:AV15,AV15))</f>
        <v>0</v>
      </c>
      <c r="BP15" s="32">
        <f>IF(B15="","",COUNTIFS($AW$5:$AW$304,"&gt;"&amp;AW15)+COUNTIFS($AW$5:AW15,AW15))</f>
        <v>0</v>
      </c>
      <c r="BQ15" s="32">
        <f>IF(B15="","",COUNTIFS($BI$5:$BI$304,"&gt;"&amp;BI15)+COUNTIFS($BI$5:BI15,BI15))</f>
        <v>0</v>
      </c>
      <c r="BR15" s="32">
        <f>IF(B15="","",COUNTIFS($AY$5:$AY$304,"&gt;"&amp;AY15)+COUNTIFS($AY$5:AY15,AY15))</f>
        <v>0</v>
      </c>
      <c r="BS15" s="43">
        <f>IF(B15="","",IF(AH15=0,"Add - no costs entered yet",IF(AR15="","Check - no price yet",IF(AV15&lt;0,"Loss - every sale costs you money",IF(AND(AZ15&lt;&gt;"",AZ15&lt;MinimumWage),"Below - pays under minimum wage",IF(AW15&lt;MarginWarning,"Low margin - re-price it",IF(AND(AF15&lt;&gt;"",K15&lt;&gt;"",K15+AC15&gt;AF15),"Check - too heavy for that postage band",IF(AND(BN15&lt;&gt;"",BN15&gt;PriceReviewDays),"Due - price has not been reviewed",IF(AND(BG15&lt;&gt;"",BG15&gt;0.5),"Check - well above the market","OK")))))))) )</f>
        <v>0</v>
      </c>
    </row>
    <row r="16" spans="1:71">
      <c r="A16" s="38">
        <f>IF(B16="","",ProductPrefix&amp;TEXT(ROW()-4,"0000"))</f>
        <v>0</v>
      </c>
      <c r="B16" s="15" t="s">
        <v>552</v>
      </c>
      <c r="C16" s="15" t="s">
        <v>181</v>
      </c>
      <c r="D16" s="15" t="s">
        <v>553</v>
      </c>
      <c r="E16" s="39" t="s">
        <v>513</v>
      </c>
      <c r="F16" s="15" t="s">
        <v>514</v>
      </c>
      <c r="G16" s="15" t="s">
        <v>540</v>
      </c>
      <c r="H16" s="15" t="s">
        <v>287</v>
      </c>
      <c r="K16" s="21">
        <v>0</v>
      </c>
      <c r="L16" s="16">
        <v>0</v>
      </c>
      <c r="M16" s="18">
        <v>8.5</v>
      </c>
      <c r="P16" s="22">
        <v>45937</v>
      </c>
      <c r="R16" s="40" t="s">
        <v>554</v>
      </c>
      <c r="S16" s="38">
        <f>IF(B16="","",IF(C16&lt;&gt;"",C16,UPPER(LEFT(IF(D16="","GEN",D16),3))&amp;"-"&amp;TEXT(ROW()-4,"000")))</f>
        <v>0</v>
      </c>
      <c r="T16" s="20">
        <f>IF(B16="","",ROUND(SUMIFS('Material Usage'!$M$5:$M$904,'Material Usage'!$A$5:$A$904,A16)+SUMIFS(Crochet!$AD$5:$AD$84,Crochet!$A$5:$A$84,A16)+SUMIFS(Jewelry!$AF$5:$AF$84,Jewelry!$A$5:$A$84,A16)+SUMIFS(Candles!$AF$5:$AF$84,Candles!$A$5:$A$84,A16)+SUMIFS(Clothing!$AB$5:$AB$84,Clothing!$A$5:$A$84,A16)+SUMIFS(Woodworking!$AC$5:$AC$84,Woodworking!$A$5:$A$84,A16)+SUMIFS(Digital!$X$5:$X$84,Digital!$A$5:$A$84,A16),2))</f>
        <v>0</v>
      </c>
      <c r="U16" s="20">
        <f>IF(B16="","",ROUND(SUMIFS(Labor!$O$5:$O$304,Labor!$A$5:$A$304,A16)+SUMIFS(Crochet!$AG$5:$AG$84,Crochet!$A$5:$A$84,A16)+SUMIFS(Jewelry!$AI$5:$AI$84,Jewelry!$A$5:$A$84,A16)+SUMIFS(Candles!$AI$5:$AI$84,Candles!$A$5:$A$84,A16)+SUMIFS(Clothing!$AE$5:$AE$84,Clothing!$A$5:$A$84,A16)+SUMIFS(Woodworking!$AF$5:$AF$84,Woodworking!$A$5:$A$84,A16)+SUMIFS(Digital!$Z$5:$Z$84,Digital!$A$5:$A$84,A16),2))</f>
        <v>0</v>
      </c>
      <c r="V16" s="36">
        <f>IF(B16="","",ROUND(SUMIFS(Labor!$P$5:$P$304,Labor!$A$5:$A$304,A16)+SUMIFS(Crochet!$AE$5:$AE$84,Crochet!$A$5:$A$84,A16)+SUMIFS(Jewelry!$AG$5:$AG$84,Jewelry!$A$5:$A$84,A16)+SUMIFS(Candles!$AG$5:$AG$84,Candles!$A$5:$A$84,A16)+SUMIFS(Clothing!$AC$5:$AC$84,Clothing!$A$5:$A$84,A16)+SUMIFS(Woodworking!$AD$5:$AD$84,Woodworking!$A$5:$A$84,A16)+SUMIFS(Digital!$Y$5:$Y$84,Digital!$A$5:$A$84,A16),1))</f>
        <v>0</v>
      </c>
      <c r="W16" s="41">
        <f>IF(B16="","",IFERROR(INDEX(DiffTimeFactors,MATCH(G16,DiffNames,0)),1))</f>
        <v>0</v>
      </c>
      <c r="X16" s="36">
        <f>IF(B16="","",ROUND(V16*W16,1))</f>
        <v>0</v>
      </c>
      <c r="Y16" s="41">
        <f>IF(B16="","",ROUND(X16/60,3))</f>
        <v>0</v>
      </c>
      <c r="Z16" s="20">
        <f>IF(B16="","",ROUND(U16*W16,2))</f>
        <v>0</v>
      </c>
      <c r="AA16" s="20">
        <f>IF(B16="","",ROUND(SUMIFS(Labor!$Q$5:$Q$304,Labor!$A$5:$A$304,A16)+SUMIFS(Crochet!$AH$5:$AH$84,Crochet!$A$5:$A$84,A16)+SUMIFS(Jewelry!$AJ$5:$AJ$84,Jewelry!$A$5:$A$84,A16)+SUMIFS(Candles!$AJ$5:$AJ$84,Candles!$A$5:$A$84,A16)+SUMIFS(Clothing!$AF$5:$AF$84,Clothing!$A$5:$A$84,A16)+SUMIFS(Woodworking!$AH$5:$AH$84,Woodworking!$A$5:$A$84,A16)+SUMIFS(Digital!$AA$5:$AA$84,Digital!$A$5:$A$84,A16),2))</f>
        <v>0</v>
      </c>
      <c r="AB16" s="20">
        <f>IF(B16="","",ROUND(IF(I16="Budget",PackBudget,IF(I16="Standard",PackStandard,IF(I16="Gift",PackGift,IF(I16="Premium",PackPremium,DefaultPackaging)))),2))</f>
        <v>0</v>
      </c>
      <c r="AC16" s="36">
        <f>IF(B16="","",IF(I16="Budget",PackWeightBudget,IF(I16="Standard",PackWeightStandard,IF(I16="Gift",PackWeightGift,IF(I16="Premium",PackWeightPremium,0)))))</f>
        <v>0</v>
      </c>
      <c r="AD16" s="20">
        <f>IF(B16="","",IFERROR(INDEX(Shipping!$M$5:$M$64,MATCH(J16,Shipping!$L$5:$L$64,0)),DefaultShipping))</f>
        <v>0</v>
      </c>
      <c r="AE16" s="20">
        <f>IF(B16="","",IFERROR(INDEX(Shipping!$F$5:$F$64,MATCH(J16,Shipping!$L$5:$L$64,0)),0))</f>
        <v>0</v>
      </c>
      <c r="AF16" s="36">
        <f>IF(B16="","",IFERROR(INDEX(Shipping!$C$5:$C$64,MATCH(J16,Shipping!$L$5:$L$64,0)),""))</f>
        <v>0</v>
      </c>
      <c r="AG16" s="20">
        <f>IF(B16="","",ROUND(MAX(0,AD16-AE16),2))</f>
        <v>0</v>
      </c>
      <c r="AH16" s="20">
        <f>IF(B16="","",ROUND(T16+Z16+AA16+AB16+AG16,2))</f>
        <v>0</v>
      </c>
      <c r="AI16" s="33">
        <f>IF(B16="","",IFERROR(INDEX(Channels!$S$5:$S$18,MATCH(IF(H16="",DefaultChannel,H16),Channels!$A$5:$A$18,0)),0))</f>
        <v>0</v>
      </c>
      <c r="AJ16" s="42">
        <f>IF(B16="","",IFERROR(INDEX(Channels!$O$5:$O$18,MATCH(IF(H16="",DefaultChannel,H16),Channels!$A$5:$A$18,0)),"No"))</f>
        <v>0</v>
      </c>
      <c r="AK16" s="20">
        <f>IF(B16="","",ROUND(IFERROR(INDEX(Channels!$T$5:$T$18,MATCH(IF(H16="",DefaultChannel,H16),Channels!$A$5:$A$18,0)),0)+IF(AJ16="Yes",AE16*AI16,0),4))</f>
        <v>0</v>
      </c>
      <c r="AL16" s="33">
        <f>IF(B16="","",IF(OverheadMethod="Share of revenue",IF(RevenueTargetMonth&lt;=0,0,OverheadMonthly/RevenueTargetMonth),0))</f>
        <v>0</v>
      </c>
      <c r="AM16" s="20">
        <f>IF(B16="","",IF(OverheadMethod="Per hour worked",ROUND(OverheadPerHour*Y16,2),IF(OR(OverheadMethod="Per unit made",OverheadMethod="Per order"),OverheadPerUnit,0)))</f>
        <v>0</v>
      </c>
      <c r="AN16" s="33">
        <f>IF(B16="","",IF(N16&lt;&gt;"",N16,TargetRetailMargin))</f>
        <v>0</v>
      </c>
      <c r="AO16" s="41">
        <f>IF(B16="","",1-AN16-AI16-AL16)</f>
        <v>0</v>
      </c>
      <c r="AP16" s="20">
        <f>IF(B16="","",IF(AO16&lt;=0,"",(AH16+AM16+AK16)/AO16))</f>
        <v>0</v>
      </c>
      <c r="AQ16" s="20">
        <f>IF(B16="","",IF(AP16="","Check the settings",ROUND(IF(RoundingRule="None",AP16,IF(RoundingRule="Nearest 0.99",MAX(0.99,CEILING(AP16,1)-0.01),IF(RoundingRule="Nearest 0.95",MAX(0.95,CEILING(AP16,1)-0.05),IF(RoundingRule="Nearest 0.50",CEILING(AP16,0.5),IF(RoundingRule="Nearest 1",CEILING(AP16,1),IF(RoundingRule="Nearest 5",CEILING(AP16,5),IF(RoundingRule="Up to whole 1",CEILING(AP16,1),IF(RoundingRule="Up to whole 5",CEILING(AP16,5),ROUND(AP16,2))))))))),2)))</f>
        <v>0</v>
      </c>
      <c r="AR16" s="20">
        <f>IF(B16="","",IF(M16&lt;&gt;"",M16,IF(ISNUMBER(AQ16),AQ16,"")))</f>
        <v>0</v>
      </c>
      <c r="AS16" s="20">
        <f>IF(B16="","",IF(AR16="","",ROUND(AM16+AR16*AL16,2)))</f>
        <v>0</v>
      </c>
      <c r="AT16" s="20">
        <f>IF(B16="","",IF(AR16="","",ROUND(AH16+AS16,2)))</f>
        <v>0</v>
      </c>
      <c r="AU16" s="20">
        <f>IF(B16="","",IF(AR16="","",ROUND(AR16*AI16+AK16,2)))</f>
        <v>0</v>
      </c>
      <c r="AV16" s="20">
        <f>IF(B16="","",IF(AR16="","",ROUND(AR16-AT16-AU16,2)))</f>
        <v>0</v>
      </c>
      <c r="AW16" s="33">
        <f>IF(B16="","",IF(OR(AR16="",AR16=0),"",AV16/AR16))</f>
        <v>0</v>
      </c>
      <c r="AX16" s="33">
        <f>IF(B16="","",IF(OR(AT16="",AT16=0),"",AV16/AT16))</f>
        <v>0</v>
      </c>
      <c r="AY16" s="20">
        <f>IF(B16="","",IF(OR(Y16="",Y16=0,AV16=""),"",ROUND(AV16/Y16,2)))</f>
        <v>0</v>
      </c>
      <c r="AZ16" s="20">
        <f>IF(B16="","",IF(OR(Y16="",Y16=0,AV16=""),"",ROUND((AV16+Z16)/Y16,2)))</f>
        <v>0</v>
      </c>
      <c r="BA16" s="20">
        <f>IF(B16="","",IF(1-AI16-AL16&lt;=0,"",ROUND((AH16+AM16+AK16)/(1-AI16-AL16),2)))</f>
        <v>0</v>
      </c>
      <c r="BB16" s="20">
        <f>IF(B16="","",IF(AT16="","",ROUND(AT16*2,2)))</f>
        <v>0</v>
      </c>
      <c r="BC16" s="20">
        <f>IF(B16="","",IF(AR16="","",ROUND(AR16*(1-WholesaleDiscount),2)))</f>
        <v>0</v>
      </c>
      <c r="BD16" s="20">
        <f>IF(B16="","",IF(BC16="","",ROUND(BC16-AH16-AM16,2)))</f>
        <v>0</v>
      </c>
      <c r="BE16" s="33">
        <f>IF(B16="","",IF(OR(BC16="",BC16=0),"",BD16/BC16))</f>
        <v>0</v>
      </c>
      <c r="BF16" s="20">
        <f>IF(B16="","",IFERROR(ROUND(AVERAGEIFS(Competitors!$F$5:$F$154,Competitors!$A$5:$A$154,A16),2),""))</f>
        <v>0</v>
      </c>
      <c r="BG16" s="33">
        <f>IF(B16="","",IF(OR(BF16="",BF16=0,AR16=""),"",AR16/BF16-1))</f>
        <v>0</v>
      </c>
      <c r="BH16" s="32">
        <f>IF(B16="","",SUMIFS(Sales!$D$5:$D$804,Sales!$C$5:$C$804,A16))</f>
        <v>0</v>
      </c>
      <c r="BI16" s="20">
        <f>IF(B16="","",ROUND(SUMIFS(Sales!$V$5:$V$804,Sales!$C$5:$C$804,A16),2))</f>
        <v>0</v>
      </c>
      <c r="BJ16" s="20">
        <f>IF(B16="","",ROUND(SUMIFS(Sales!$AG$5:$AG$804,Sales!$C$5:$C$804,A16),2))</f>
        <v>0</v>
      </c>
      <c r="BK16" s="33">
        <f>IF(B16="","",IF(OR(BI16="",BI16=0),"",BJ16/BI16))</f>
        <v>0</v>
      </c>
      <c r="BL16" s="17">
        <f>IF(B16="","",IF(SUMPRODUCT(MAX((Sales!$C$5:$C$804=A16)*Sales!$B$5:$B$804))=0,"",SUMPRODUCT(MAX((Sales!$C$5:$C$804=A16)*Sales!$B$5:$B$804))))</f>
        <v>0</v>
      </c>
      <c r="BM16" s="17">
        <f>IF(B16="","",IF(SUMPRODUCT(MAX(('Price History'!$B$5:$B$304=A16)*'Price History'!$A$5:$A$304))=0,IF(P16="","",P16),SUMPRODUCT(MAX(('Price History'!$B$5:$B$304=A16)*'Price History'!$A$5:$A$304))))</f>
        <v>0</v>
      </c>
      <c r="BN16" s="32">
        <f>IF(B16="","",IF(BM16="","",TodayDate-BM16))</f>
        <v>0</v>
      </c>
      <c r="BO16" s="32">
        <f>IF(B16="","",COUNTIFS($AV$5:$AV$304,"&gt;"&amp;AV16)+COUNTIFS($AV$5:AV16,AV16))</f>
        <v>0</v>
      </c>
      <c r="BP16" s="32">
        <f>IF(B16="","",COUNTIFS($AW$5:$AW$304,"&gt;"&amp;AW16)+COUNTIFS($AW$5:AW16,AW16))</f>
        <v>0</v>
      </c>
      <c r="BQ16" s="32">
        <f>IF(B16="","",COUNTIFS($BI$5:$BI$304,"&gt;"&amp;BI16)+COUNTIFS($BI$5:BI16,BI16))</f>
        <v>0</v>
      </c>
      <c r="BR16" s="32">
        <f>IF(B16="","",COUNTIFS($AY$5:$AY$304,"&gt;"&amp;AY16)+COUNTIFS($AY$5:AY16,AY16))</f>
        <v>0</v>
      </c>
      <c r="BS16" s="43">
        <f>IF(B16="","",IF(AH16=0,"Add - no costs entered yet",IF(AR16="","Check - no price yet",IF(AV16&lt;0,"Loss - every sale costs you money",IF(AND(AZ16&lt;&gt;"",AZ16&lt;MinimumWage),"Below - pays under minimum wage",IF(AW16&lt;MarginWarning,"Low margin - re-price it",IF(AND(AF16&lt;&gt;"",K16&lt;&gt;"",K16+AC16&gt;AF16),"Check - too heavy for that postage band",IF(AND(BN16&lt;&gt;"",BN16&gt;PriceReviewDays),"Due - price has not been reviewed",IF(AND(BG16&lt;&gt;"",BG16&gt;0.5),"Check - well above the market","OK")))))))) )</f>
        <v>0</v>
      </c>
    </row>
    <row r="17" spans="1:71">
      <c r="A17" s="38">
        <f>IF(B17="","",ProductPrefix&amp;TEXT(ROW()-4,"0000"))</f>
        <v>0</v>
      </c>
      <c r="B17" s="15" t="s">
        <v>555</v>
      </c>
      <c r="C17" s="15" t="s">
        <v>181</v>
      </c>
      <c r="D17" s="15" t="s">
        <v>553</v>
      </c>
      <c r="E17" s="39" t="s">
        <v>513</v>
      </c>
      <c r="F17" s="15" t="s">
        <v>528</v>
      </c>
      <c r="G17" s="15" t="s">
        <v>540</v>
      </c>
      <c r="H17" s="15" t="s">
        <v>287</v>
      </c>
      <c r="K17" s="21">
        <v>0</v>
      </c>
      <c r="L17" s="16">
        <v>0</v>
      </c>
      <c r="M17" s="18">
        <v>9.5</v>
      </c>
      <c r="P17" s="22">
        <v>46197</v>
      </c>
      <c r="S17" s="38">
        <f>IF(B17="","",IF(C17&lt;&gt;"",C17,UPPER(LEFT(IF(D17="","GEN",D17),3))&amp;"-"&amp;TEXT(ROW()-4,"000")))</f>
        <v>0</v>
      </c>
      <c r="T17" s="20">
        <f>IF(B17="","",ROUND(SUMIFS('Material Usage'!$M$5:$M$904,'Material Usage'!$A$5:$A$904,A17)+SUMIFS(Crochet!$AD$5:$AD$84,Crochet!$A$5:$A$84,A17)+SUMIFS(Jewelry!$AF$5:$AF$84,Jewelry!$A$5:$A$84,A17)+SUMIFS(Candles!$AF$5:$AF$84,Candles!$A$5:$A$84,A17)+SUMIFS(Clothing!$AB$5:$AB$84,Clothing!$A$5:$A$84,A17)+SUMIFS(Woodworking!$AC$5:$AC$84,Woodworking!$A$5:$A$84,A17)+SUMIFS(Digital!$X$5:$X$84,Digital!$A$5:$A$84,A17),2))</f>
        <v>0</v>
      </c>
      <c r="U17" s="20">
        <f>IF(B17="","",ROUND(SUMIFS(Labor!$O$5:$O$304,Labor!$A$5:$A$304,A17)+SUMIFS(Crochet!$AG$5:$AG$84,Crochet!$A$5:$A$84,A17)+SUMIFS(Jewelry!$AI$5:$AI$84,Jewelry!$A$5:$A$84,A17)+SUMIFS(Candles!$AI$5:$AI$84,Candles!$A$5:$A$84,A17)+SUMIFS(Clothing!$AE$5:$AE$84,Clothing!$A$5:$A$84,A17)+SUMIFS(Woodworking!$AF$5:$AF$84,Woodworking!$A$5:$A$84,A17)+SUMIFS(Digital!$Z$5:$Z$84,Digital!$A$5:$A$84,A17),2))</f>
        <v>0</v>
      </c>
      <c r="V17" s="36">
        <f>IF(B17="","",ROUND(SUMIFS(Labor!$P$5:$P$304,Labor!$A$5:$A$304,A17)+SUMIFS(Crochet!$AE$5:$AE$84,Crochet!$A$5:$A$84,A17)+SUMIFS(Jewelry!$AG$5:$AG$84,Jewelry!$A$5:$A$84,A17)+SUMIFS(Candles!$AG$5:$AG$84,Candles!$A$5:$A$84,A17)+SUMIFS(Clothing!$AC$5:$AC$84,Clothing!$A$5:$A$84,A17)+SUMIFS(Woodworking!$AD$5:$AD$84,Woodworking!$A$5:$A$84,A17)+SUMIFS(Digital!$Y$5:$Y$84,Digital!$A$5:$A$84,A17),1))</f>
        <v>0</v>
      </c>
      <c r="W17" s="41">
        <f>IF(B17="","",IFERROR(INDEX(DiffTimeFactors,MATCH(G17,DiffNames,0)),1))</f>
        <v>0</v>
      </c>
      <c r="X17" s="36">
        <f>IF(B17="","",ROUND(V17*W17,1))</f>
        <v>0</v>
      </c>
      <c r="Y17" s="41">
        <f>IF(B17="","",ROUND(X17/60,3))</f>
        <v>0</v>
      </c>
      <c r="Z17" s="20">
        <f>IF(B17="","",ROUND(U17*W17,2))</f>
        <v>0</v>
      </c>
      <c r="AA17" s="20">
        <f>IF(B17="","",ROUND(SUMIFS(Labor!$Q$5:$Q$304,Labor!$A$5:$A$304,A17)+SUMIFS(Crochet!$AH$5:$AH$84,Crochet!$A$5:$A$84,A17)+SUMIFS(Jewelry!$AJ$5:$AJ$84,Jewelry!$A$5:$A$84,A17)+SUMIFS(Candles!$AJ$5:$AJ$84,Candles!$A$5:$A$84,A17)+SUMIFS(Clothing!$AF$5:$AF$84,Clothing!$A$5:$A$84,A17)+SUMIFS(Woodworking!$AH$5:$AH$84,Woodworking!$A$5:$A$84,A17)+SUMIFS(Digital!$AA$5:$AA$84,Digital!$A$5:$A$84,A17),2))</f>
        <v>0</v>
      </c>
      <c r="AB17" s="20">
        <f>IF(B17="","",ROUND(IF(I17="Budget",PackBudget,IF(I17="Standard",PackStandard,IF(I17="Gift",PackGift,IF(I17="Premium",PackPremium,DefaultPackaging)))),2))</f>
        <v>0</v>
      </c>
      <c r="AC17" s="36">
        <f>IF(B17="","",IF(I17="Budget",PackWeightBudget,IF(I17="Standard",PackWeightStandard,IF(I17="Gift",PackWeightGift,IF(I17="Premium",PackWeightPremium,0)))))</f>
        <v>0</v>
      </c>
      <c r="AD17" s="20">
        <f>IF(B17="","",IFERROR(INDEX(Shipping!$M$5:$M$64,MATCH(J17,Shipping!$L$5:$L$64,0)),DefaultShipping))</f>
        <v>0</v>
      </c>
      <c r="AE17" s="20">
        <f>IF(B17="","",IFERROR(INDEX(Shipping!$F$5:$F$64,MATCH(J17,Shipping!$L$5:$L$64,0)),0))</f>
        <v>0</v>
      </c>
      <c r="AF17" s="36">
        <f>IF(B17="","",IFERROR(INDEX(Shipping!$C$5:$C$64,MATCH(J17,Shipping!$L$5:$L$64,0)),""))</f>
        <v>0</v>
      </c>
      <c r="AG17" s="20">
        <f>IF(B17="","",ROUND(MAX(0,AD17-AE17),2))</f>
        <v>0</v>
      </c>
      <c r="AH17" s="20">
        <f>IF(B17="","",ROUND(T17+Z17+AA17+AB17+AG17,2))</f>
        <v>0</v>
      </c>
      <c r="AI17" s="33">
        <f>IF(B17="","",IFERROR(INDEX(Channels!$S$5:$S$18,MATCH(IF(H17="",DefaultChannel,H17),Channels!$A$5:$A$18,0)),0))</f>
        <v>0</v>
      </c>
      <c r="AJ17" s="42">
        <f>IF(B17="","",IFERROR(INDEX(Channels!$O$5:$O$18,MATCH(IF(H17="",DefaultChannel,H17),Channels!$A$5:$A$18,0)),"No"))</f>
        <v>0</v>
      </c>
      <c r="AK17" s="20">
        <f>IF(B17="","",ROUND(IFERROR(INDEX(Channels!$T$5:$T$18,MATCH(IF(H17="",DefaultChannel,H17),Channels!$A$5:$A$18,0)),0)+IF(AJ17="Yes",AE17*AI17,0),4))</f>
        <v>0</v>
      </c>
      <c r="AL17" s="33">
        <f>IF(B17="","",IF(OverheadMethod="Share of revenue",IF(RevenueTargetMonth&lt;=0,0,OverheadMonthly/RevenueTargetMonth),0))</f>
        <v>0</v>
      </c>
      <c r="AM17" s="20">
        <f>IF(B17="","",IF(OverheadMethod="Per hour worked",ROUND(OverheadPerHour*Y17,2),IF(OR(OverheadMethod="Per unit made",OverheadMethod="Per order"),OverheadPerUnit,0)))</f>
        <v>0</v>
      </c>
      <c r="AN17" s="33">
        <f>IF(B17="","",IF(N17&lt;&gt;"",N17,TargetRetailMargin))</f>
        <v>0</v>
      </c>
      <c r="AO17" s="41">
        <f>IF(B17="","",1-AN17-AI17-AL17)</f>
        <v>0</v>
      </c>
      <c r="AP17" s="20">
        <f>IF(B17="","",IF(AO17&lt;=0,"",(AH17+AM17+AK17)/AO17))</f>
        <v>0</v>
      </c>
      <c r="AQ17" s="20">
        <f>IF(B17="","",IF(AP17="","Check the settings",ROUND(IF(RoundingRule="None",AP17,IF(RoundingRule="Nearest 0.99",MAX(0.99,CEILING(AP17,1)-0.01),IF(RoundingRule="Nearest 0.95",MAX(0.95,CEILING(AP17,1)-0.05),IF(RoundingRule="Nearest 0.50",CEILING(AP17,0.5),IF(RoundingRule="Nearest 1",CEILING(AP17,1),IF(RoundingRule="Nearest 5",CEILING(AP17,5),IF(RoundingRule="Up to whole 1",CEILING(AP17,1),IF(RoundingRule="Up to whole 5",CEILING(AP17,5),ROUND(AP17,2))))))))),2)))</f>
        <v>0</v>
      </c>
      <c r="AR17" s="20">
        <f>IF(B17="","",IF(M17&lt;&gt;"",M17,IF(ISNUMBER(AQ17),AQ17,"")))</f>
        <v>0</v>
      </c>
      <c r="AS17" s="20">
        <f>IF(B17="","",IF(AR17="","",ROUND(AM17+AR17*AL17,2)))</f>
        <v>0</v>
      </c>
      <c r="AT17" s="20">
        <f>IF(B17="","",IF(AR17="","",ROUND(AH17+AS17,2)))</f>
        <v>0</v>
      </c>
      <c r="AU17" s="20">
        <f>IF(B17="","",IF(AR17="","",ROUND(AR17*AI17+AK17,2)))</f>
        <v>0</v>
      </c>
      <c r="AV17" s="20">
        <f>IF(B17="","",IF(AR17="","",ROUND(AR17-AT17-AU17,2)))</f>
        <v>0</v>
      </c>
      <c r="AW17" s="33">
        <f>IF(B17="","",IF(OR(AR17="",AR17=0),"",AV17/AR17))</f>
        <v>0</v>
      </c>
      <c r="AX17" s="33">
        <f>IF(B17="","",IF(OR(AT17="",AT17=0),"",AV17/AT17))</f>
        <v>0</v>
      </c>
      <c r="AY17" s="20">
        <f>IF(B17="","",IF(OR(Y17="",Y17=0,AV17=""),"",ROUND(AV17/Y17,2)))</f>
        <v>0</v>
      </c>
      <c r="AZ17" s="20">
        <f>IF(B17="","",IF(OR(Y17="",Y17=0,AV17=""),"",ROUND((AV17+Z17)/Y17,2)))</f>
        <v>0</v>
      </c>
      <c r="BA17" s="20">
        <f>IF(B17="","",IF(1-AI17-AL17&lt;=0,"",ROUND((AH17+AM17+AK17)/(1-AI17-AL17),2)))</f>
        <v>0</v>
      </c>
      <c r="BB17" s="20">
        <f>IF(B17="","",IF(AT17="","",ROUND(AT17*2,2)))</f>
        <v>0</v>
      </c>
      <c r="BC17" s="20">
        <f>IF(B17="","",IF(AR17="","",ROUND(AR17*(1-WholesaleDiscount),2)))</f>
        <v>0</v>
      </c>
      <c r="BD17" s="20">
        <f>IF(B17="","",IF(BC17="","",ROUND(BC17-AH17-AM17,2)))</f>
        <v>0</v>
      </c>
      <c r="BE17" s="33">
        <f>IF(B17="","",IF(OR(BC17="",BC17=0),"",BD17/BC17))</f>
        <v>0</v>
      </c>
      <c r="BF17" s="20">
        <f>IF(B17="","",IFERROR(ROUND(AVERAGEIFS(Competitors!$F$5:$F$154,Competitors!$A$5:$A$154,A17),2),""))</f>
        <v>0</v>
      </c>
      <c r="BG17" s="33">
        <f>IF(B17="","",IF(OR(BF17="",BF17=0,AR17=""),"",AR17/BF17-1))</f>
        <v>0</v>
      </c>
      <c r="BH17" s="32">
        <f>IF(B17="","",SUMIFS(Sales!$D$5:$D$804,Sales!$C$5:$C$804,A17))</f>
        <v>0</v>
      </c>
      <c r="BI17" s="20">
        <f>IF(B17="","",ROUND(SUMIFS(Sales!$V$5:$V$804,Sales!$C$5:$C$804,A17),2))</f>
        <v>0</v>
      </c>
      <c r="BJ17" s="20">
        <f>IF(B17="","",ROUND(SUMIFS(Sales!$AG$5:$AG$804,Sales!$C$5:$C$804,A17),2))</f>
        <v>0</v>
      </c>
      <c r="BK17" s="33">
        <f>IF(B17="","",IF(OR(BI17="",BI17=0),"",BJ17/BI17))</f>
        <v>0</v>
      </c>
      <c r="BL17" s="17">
        <f>IF(B17="","",IF(SUMPRODUCT(MAX((Sales!$C$5:$C$804=A17)*Sales!$B$5:$B$804))=0,"",SUMPRODUCT(MAX((Sales!$C$5:$C$804=A17)*Sales!$B$5:$B$804))))</f>
        <v>0</v>
      </c>
      <c r="BM17" s="17">
        <f>IF(B17="","",IF(SUMPRODUCT(MAX(('Price History'!$B$5:$B$304=A17)*'Price History'!$A$5:$A$304))=0,IF(P17="","",P17),SUMPRODUCT(MAX(('Price History'!$B$5:$B$304=A17)*'Price History'!$A$5:$A$304))))</f>
        <v>0</v>
      </c>
      <c r="BN17" s="32">
        <f>IF(B17="","",IF(BM17="","",TodayDate-BM17))</f>
        <v>0</v>
      </c>
      <c r="BO17" s="32">
        <f>IF(B17="","",COUNTIFS($AV$5:$AV$304,"&gt;"&amp;AV17)+COUNTIFS($AV$5:AV17,AV17))</f>
        <v>0</v>
      </c>
      <c r="BP17" s="32">
        <f>IF(B17="","",COUNTIFS($AW$5:$AW$304,"&gt;"&amp;AW17)+COUNTIFS($AW$5:AW17,AW17))</f>
        <v>0</v>
      </c>
      <c r="BQ17" s="32">
        <f>IF(B17="","",COUNTIFS($BI$5:$BI$304,"&gt;"&amp;BI17)+COUNTIFS($BI$5:BI17,BI17))</f>
        <v>0</v>
      </c>
      <c r="BR17" s="32">
        <f>IF(B17="","",COUNTIFS($AY$5:$AY$304,"&gt;"&amp;AY17)+COUNTIFS($AY$5:AY17,AY17))</f>
        <v>0</v>
      </c>
      <c r="BS17" s="43">
        <f>IF(B17="","",IF(AH17=0,"Add - no costs entered yet",IF(AR17="","Check - no price yet",IF(AV17&lt;0,"Loss - every sale costs you money",IF(AND(AZ17&lt;&gt;"",AZ17&lt;MinimumWage),"Below - pays under minimum wage",IF(AW17&lt;MarginWarning,"Low margin - re-price it",IF(AND(AF17&lt;&gt;"",K17&lt;&gt;"",K17+AC17&gt;AF17),"Check - too heavy for that postage band",IF(AND(BN17&lt;&gt;"",BN17&gt;PriceReviewDays),"Due - price has not been reviewed",IF(AND(BG17&lt;&gt;"",BG17&gt;0.5),"Check - well above the market","OK")))))))) )</f>
        <v>0</v>
      </c>
    </row>
    <row r="18" spans="1:71">
      <c r="A18" s="38">
        <f>IF(B18="","",ProductPrefix&amp;TEXT(ROW()-4,"0000"))</f>
        <v>0</v>
      </c>
      <c r="B18" s="15" t="s">
        <v>556</v>
      </c>
      <c r="C18" s="15" t="s">
        <v>181</v>
      </c>
      <c r="D18" s="15" t="s">
        <v>557</v>
      </c>
      <c r="E18" s="39" t="s">
        <v>558</v>
      </c>
      <c r="F18" s="15" t="s">
        <v>522</v>
      </c>
      <c r="G18" s="15" t="s">
        <v>523</v>
      </c>
      <c r="H18" s="15" t="s">
        <v>287</v>
      </c>
      <c r="I18" s="15" t="s">
        <v>524</v>
      </c>
      <c r="J18" s="15" t="s">
        <v>517</v>
      </c>
      <c r="K18" s="21">
        <v>120</v>
      </c>
      <c r="L18" s="16">
        <v>0</v>
      </c>
      <c r="R18" s="40" t="s">
        <v>559</v>
      </c>
      <c r="S18" s="38">
        <f>IF(B18="","",IF(C18&lt;&gt;"",C18,UPPER(LEFT(IF(D18="","GEN",D18),3))&amp;"-"&amp;TEXT(ROW()-4,"000")))</f>
        <v>0</v>
      </c>
      <c r="T18" s="20">
        <f>IF(B18="","",ROUND(SUMIFS('Material Usage'!$M$5:$M$904,'Material Usage'!$A$5:$A$904,A18)+SUMIFS(Crochet!$AD$5:$AD$84,Crochet!$A$5:$A$84,A18)+SUMIFS(Jewelry!$AF$5:$AF$84,Jewelry!$A$5:$A$84,A18)+SUMIFS(Candles!$AF$5:$AF$84,Candles!$A$5:$A$84,A18)+SUMIFS(Clothing!$AB$5:$AB$84,Clothing!$A$5:$A$84,A18)+SUMIFS(Woodworking!$AC$5:$AC$84,Woodworking!$A$5:$A$84,A18)+SUMIFS(Digital!$X$5:$X$84,Digital!$A$5:$A$84,A18),2))</f>
        <v>0</v>
      </c>
      <c r="U18" s="20">
        <f>IF(B18="","",ROUND(SUMIFS(Labor!$O$5:$O$304,Labor!$A$5:$A$304,A18)+SUMIFS(Crochet!$AG$5:$AG$84,Crochet!$A$5:$A$84,A18)+SUMIFS(Jewelry!$AI$5:$AI$84,Jewelry!$A$5:$A$84,A18)+SUMIFS(Candles!$AI$5:$AI$84,Candles!$A$5:$A$84,A18)+SUMIFS(Clothing!$AE$5:$AE$84,Clothing!$A$5:$A$84,A18)+SUMIFS(Woodworking!$AF$5:$AF$84,Woodworking!$A$5:$A$84,A18)+SUMIFS(Digital!$Z$5:$Z$84,Digital!$A$5:$A$84,A18),2))</f>
        <v>0</v>
      </c>
      <c r="V18" s="36">
        <f>IF(B18="","",ROUND(SUMIFS(Labor!$P$5:$P$304,Labor!$A$5:$A$304,A18)+SUMIFS(Crochet!$AE$5:$AE$84,Crochet!$A$5:$A$84,A18)+SUMIFS(Jewelry!$AG$5:$AG$84,Jewelry!$A$5:$A$84,A18)+SUMIFS(Candles!$AG$5:$AG$84,Candles!$A$5:$A$84,A18)+SUMIFS(Clothing!$AC$5:$AC$84,Clothing!$A$5:$A$84,A18)+SUMIFS(Woodworking!$AD$5:$AD$84,Woodworking!$A$5:$A$84,A18)+SUMIFS(Digital!$Y$5:$Y$84,Digital!$A$5:$A$84,A18),1))</f>
        <v>0</v>
      </c>
      <c r="W18" s="41">
        <f>IF(B18="","",IFERROR(INDEX(DiffTimeFactors,MATCH(G18,DiffNames,0)),1))</f>
        <v>0</v>
      </c>
      <c r="X18" s="36">
        <f>IF(B18="","",ROUND(V18*W18,1))</f>
        <v>0</v>
      </c>
      <c r="Y18" s="41">
        <f>IF(B18="","",ROUND(X18/60,3))</f>
        <v>0</v>
      </c>
      <c r="Z18" s="20">
        <f>IF(B18="","",ROUND(U18*W18,2))</f>
        <v>0</v>
      </c>
      <c r="AA18" s="20">
        <f>IF(B18="","",ROUND(SUMIFS(Labor!$Q$5:$Q$304,Labor!$A$5:$A$304,A18)+SUMIFS(Crochet!$AH$5:$AH$84,Crochet!$A$5:$A$84,A18)+SUMIFS(Jewelry!$AJ$5:$AJ$84,Jewelry!$A$5:$A$84,A18)+SUMIFS(Candles!$AJ$5:$AJ$84,Candles!$A$5:$A$84,A18)+SUMIFS(Clothing!$AF$5:$AF$84,Clothing!$A$5:$A$84,A18)+SUMIFS(Woodworking!$AH$5:$AH$84,Woodworking!$A$5:$A$84,A18)+SUMIFS(Digital!$AA$5:$AA$84,Digital!$A$5:$A$84,A18),2))</f>
        <v>0</v>
      </c>
      <c r="AB18" s="20">
        <f>IF(B18="","",ROUND(IF(I18="Budget",PackBudget,IF(I18="Standard",PackStandard,IF(I18="Gift",PackGift,IF(I18="Premium",PackPremium,DefaultPackaging)))),2))</f>
        <v>0</v>
      </c>
      <c r="AC18" s="36">
        <f>IF(B18="","",IF(I18="Budget",PackWeightBudget,IF(I18="Standard",PackWeightStandard,IF(I18="Gift",PackWeightGift,IF(I18="Premium",PackWeightPremium,0)))))</f>
        <v>0</v>
      </c>
      <c r="AD18" s="20">
        <f>IF(B18="","",IFERROR(INDEX(Shipping!$M$5:$M$64,MATCH(J18,Shipping!$L$5:$L$64,0)),DefaultShipping))</f>
        <v>0</v>
      </c>
      <c r="AE18" s="20">
        <f>IF(B18="","",IFERROR(INDEX(Shipping!$F$5:$F$64,MATCH(J18,Shipping!$L$5:$L$64,0)),0))</f>
        <v>0</v>
      </c>
      <c r="AF18" s="36">
        <f>IF(B18="","",IFERROR(INDEX(Shipping!$C$5:$C$64,MATCH(J18,Shipping!$L$5:$L$64,0)),""))</f>
        <v>0</v>
      </c>
      <c r="AG18" s="20">
        <f>IF(B18="","",ROUND(MAX(0,AD18-AE18),2))</f>
        <v>0</v>
      </c>
      <c r="AH18" s="20">
        <f>IF(B18="","",ROUND(T18+Z18+AA18+AB18+AG18,2))</f>
        <v>0</v>
      </c>
      <c r="AI18" s="33">
        <f>IF(B18="","",IFERROR(INDEX(Channels!$S$5:$S$18,MATCH(IF(H18="",DefaultChannel,H18),Channels!$A$5:$A$18,0)),0))</f>
        <v>0</v>
      </c>
      <c r="AJ18" s="42">
        <f>IF(B18="","",IFERROR(INDEX(Channels!$O$5:$O$18,MATCH(IF(H18="",DefaultChannel,H18),Channels!$A$5:$A$18,0)),"No"))</f>
        <v>0</v>
      </c>
      <c r="AK18" s="20">
        <f>IF(B18="","",ROUND(IFERROR(INDEX(Channels!$T$5:$T$18,MATCH(IF(H18="",DefaultChannel,H18),Channels!$A$5:$A$18,0)),0)+IF(AJ18="Yes",AE18*AI18,0),4))</f>
        <v>0</v>
      </c>
      <c r="AL18" s="33">
        <f>IF(B18="","",IF(OverheadMethod="Share of revenue",IF(RevenueTargetMonth&lt;=0,0,OverheadMonthly/RevenueTargetMonth),0))</f>
        <v>0</v>
      </c>
      <c r="AM18" s="20">
        <f>IF(B18="","",IF(OverheadMethod="Per hour worked",ROUND(OverheadPerHour*Y18,2),IF(OR(OverheadMethod="Per unit made",OverheadMethod="Per order"),OverheadPerUnit,0)))</f>
        <v>0</v>
      </c>
      <c r="AN18" s="33">
        <f>IF(B18="","",IF(N18&lt;&gt;"",N18,TargetRetailMargin))</f>
        <v>0</v>
      </c>
      <c r="AO18" s="41">
        <f>IF(B18="","",1-AN18-AI18-AL18)</f>
        <v>0</v>
      </c>
      <c r="AP18" s="20">
        <f>IF(B18="","",IF(AO18&lt;=0,"",(AH18+AM18+AK18)/AO18))</f>
        <v>0</v>
      </c>
      <c r="AQ18" s="20">
        <f>IF(B18="","",IF(AP18="","Check the settings",ROUND(IF(RoundingRule="None",AP18,IF(RoundingRule="Nearest 0.99",MAX(0.99,CEILING(AP18,1)-0.01),IF(RoundingRule="Nearest 0.95",MAX(0.95,CEILING(AP18,1)-0.05),IF(RoundingRule="Nearest 0.50",CEILING(AP18,0.5),IF(RoundingRule="Nearest 1",CEILING(AP18,1),IF(RoundingRule="Nearest 5",CEILING(AP18,5),IF(RoundingRule="Up to whole 1",CEILING(AP18,1),IF(RoundingRule="Up to whole 5",CEILING(AP18,5),ROUND(AP18,2))))))))),2)))</f>
        <v>0</v>
      </c>
      <c r="AR18" s="20">
        <f>IF(B18="","",IF(M18&lt;&gt;"",M18,IF(ISNUMBER(AQ18),AQ18,"")))</f>
        <v>0</v>
      </c>
      <c r="AS18" s="20">
        <f>IF(B18="","",IF(AR18="","",ROUND(AM18+AR18*AL18,2)))</f>
        <v>0</v>
      </c>
      <c r="AT18" s="20">
        <f>IF(B18="","",IF(AR18="","",ROUND(AH18+AS18,2)))</f>
        <v>0</v>
      </c>
      <c r="AU18" s="20">
        <f>IF(B18="","",IF(AR18="","",ROUND(AR18*AI18+AK18,2)))</f>
        <v>0</v>
      </c>
      <c r="AV18" s="20">
        <f>IF(B18="","",IF(AR18="","",ROUND(AR18-AT18-AU18,2)))</f>
        <v>0</v>
      </c>
      <c r="AW18" s="33">
        <f>IF(B18="","",IF(OR(AR18="",AR18=0),"",AV18/AR18))</f>
        <v>0</v>
      </c>
      <c r="AX18" s="33">
        <f>IF(B18="","",IF(OR(AT18="",AT18=0),"",AV18/AT18))</f>
        <v>0</v>
      </c>
      <c r="AY18" s="20">
        <f>IF(B18="","",IF(OR(Y18="",Y18=0,AV18=""),"",ROUND(AV18/Y18,2)))</f>
        <v>0</v>
      </c>
      <c r="AZ18" s="20">
        <f>IF(B18="","",IF(OR(Y18="",Y18=0,AV18=""),"",ROUND((AV18+Z18)/Y18,2)))</f>
        <v>0</v>
      </c>
      <c r="BA18" s="20">
        <f>IF(B18="","",IF(1-AI18-AL18&lt;=0,"",ROUND((AH18+AM18+AK18)/(1-AI18-AL18),2)))</f>
        <v>0</v>
      </c>
      <c r="BB18" s="20">
        <f>IF(B18="","",IF(AT18="","",ROUND(AT18*2,2)))</f>
        <v>0</v>
      </c>
      <c r="BC18" s="20">
        <f>IF(B18="","",IF(AR18="","",ROUND(AR18*(1-WholesaleDiscount),2)))</f>
        <v>0</v>
      </c>
      <c r="BD18" s="20">
        <f>IF(B18="","",IF(BC18="","",ROUND(BC18-AH18-AM18,2)))</f>
        <v>0</v>
      </c>
      <c r="BE18" s="33">
        <f>IF(B18="","",IF(OR(BC18="",BC18=0),"",BD18/BC18))</f>
        <v>0</v>
      </c>
      <c r="BF18" s="20">
        <f>IF(B18="","",IFERROR(ROUND(AVERAGEIFS(Competitors!$F$5:$F$154,Competitors!$A$5:$A$154,A18),2),""))</f>
        <v>0</v>
      </c>
      <c r="BG18" s="33">
        <f>IF(B18="","",IF(OR(BF18="",BF18=0,AR18=""),"",AR18/BF18-1))</f>
        <v>0</v>
      </c>
      <c r="BH18" s="32">
        <f>IF(B18="","",SUMIFS(Sales!$D$5:$D$804,Sales!$C$5:$C$804,A18))</f>
        <v>0</v>
      </c>
      <c r="BI18" s="20">
        <f>IF(B18="","",ROUND(SUMIFS(Sales!$V$5:$V$804,Sales!$C$5:$C$804,A18),2))</f>
        <v>0</v>
      </c>
      <c r="BJ18" s="20">
        <f>IF(B18="","",ROUND(SUMIFS(Sales!$AG$5:$AG$804,Sales!$C$5:$C$804,A18),2))</f>
        <v>0</v>
      </c>
      <c r="BK18" s="33">
        <f>IF(B18="","",IF(OR(BI18="",BI18=0),"",BJ18/BI18))</f>
        <v>0</v>
      </c>
      <c r="BL18" s="17">
        <f>IF(B18="","",IF(SUMPRODUCT(MAX((Sales!$C$5:$C$804=A18)*Sales!$B$5:$B$804))=0,"",SUMPRODUCT(MAX((Sales!$C$5:$C$804=A18)*Sales!$B$5:$B$804))))</f>
        <v>0</v>
      </c>
      <c r="BM18" s="17">
        <f>IF(B18="","",IF(SUMPRODUCT(MAX(('Price History'!$B$5:$B$304=A18)*'Price History'!$A$5:$A$304))=0,IF(P18="","",P18),SUMPRODUCT(MAX(('Price History'!$B$5:$B$304=A18)*'Price History'!$A$5:$A$304))))</f>
        <v>0</v>
      </c>
      <c r="BN18" s="32">
        <f>IF(B18="","",IF(BM18="","",TodayDate-BM18))</f>
        <v>0</v>
      </c>
      <c r="BO18" s="32">
        <f>IF(B18="","",COUNTIFS($AV$5:$AV$304,"&gt;"&amp;AV18)+COUNTIFS($AV$5:AV18,AV18))</f>
        <v>0</v>
      </c>
      <c r="BP18" s="32">
        <f>IF(B18="","",COUNTIFS($AW$5:$AW$304,"&gt;"&amp;AW18)+COUNTIFS($AW$5:AW18,AW18))</f>
        <v>0</v>
      </c>
      <c r="BQ18" s="32">
        <f>IF(B18="","",COUNTIFS($BI$5:$BI$304,"&gt;"&amp;BI18)+COUNTIFS($BI$5:BI18,BI18))</f>
        <v>0</v>
      </c>
      <c r="BR18" s="32">
        <f>IF(B18="","",COUNTIFS($AY$5:$AY$304,"&gt;"&amp;AY18)+COUNTIFS($AY$5:AY18,AY18))</f>
        <v>0</v>
      </c>
      <c r="BS18" s="43">
        <f>IF(B18="","",IF(AH18=0,"Add - no costs entered yet",IF(AR18="","Check - no price yet",IF(AV18&lt;0,"Loss - every sale costs you money",IF(AND(AZ18&lt;&gt;"",AZ18&lt;MinimumWage),"Below - pays under minimum wage",IF(AW18&lt;MarginWarning,"Low margin - re-price it",IF(AND(AF18&lt;&gt;"",K18&lt;&gt;"",K18+AC18&gt;AF18),"Check - too heavy for that postage band",IF(AND(BN18&lt;&gt;"",BN18&gt;PriceReviewDays),"Due - price has not been reviewed",IF(AND(BG18&lt;&gt;"",BG18&gt;0.5),"Check - well above the market","OK")))))))) )</f>
        <v>0</v>
      </c>
    </row>
    <row r="19" spans="1:71">
      <c r="A19" s="38">
        <f>IF(B19="","",ProductPrefix&amp;TEXT(ROW()-4,"0000"))</f>
        <v>0</v>
      </c>
      <c r="S19" s="38">
        <f>IF(B19="","",IF(C19&lt;&gt;"",C19,UPPER(LEFT(IF(D19="","GEN",D19),3))&amp;"-"&amp;TEXT(ROW()-4,"000")))</f>
        <v>0</v>
      </c>
      <c r="T19" s="20">
        <f>IF(B19="","",ROUND(SUMIFS('Material Usage'!$M$5:$M$904,'Material Usage'!$A$5:$A$904,A19)+SUMIFS(Crochet!$AD$5:$AD$84,Crochet!$A$5:$A$84,A19)+SUMIFS(Jewelry!$AF$5:$AF$84,Jewelry!$A$5:$A$84,A19)+SUMIFS(Candles!$AF$5:$AF$84,Candles!$A$5:$A$84,A19)+SUMIFS(Clothing!$AB$5:$AB$84,Clothing!$A$5:$A$84,A19)+SUMIFS(Woodworking!$AC$5:$AC$84,Woodworking!$A$5:$A$84,A19)+SUMIFS(Digital!$X$5:$X$84,Digital!$A$5:$A$84,A19),2))</f>
        <v>0</v>
      </c>
      <c r="U19" s="20">
        <f>IF(B19="","",ROUND(SUMIFS(Labor!$O$5:$O$304,Labor!$A$5:$A$304,A19)+SUMIFS(Crochet!$AG$5:$AG$84,Crochet!$A$5:$A$84,A19)+SUMIFS(Jewelry!$AI$5:$AI$84,Jewelry!$A$5:$A$84,A19)+SUMIFS(Candles!$AI$5:$AI$84,Candles!$A$5:$A$84,A19)+SUMIFS(Clothing!$AE$5:$AE$84,Clothing!$A$5:$A$84,A19)+SUMIFS(Woodworking!$AF$5:$AF$84,Woodworking!$A$5:$A$84,A19)+SUMIFS(Digital!$Z$5:$Z$84,Digital!$A$5:$A$84,A19),2))</f>
        <v>0</v>
      </c>
      <c r="V19" s="36">
        <f>IF(B19="","",ROUND(SUMIFS(Labor!$P$5:$P$304,Labor!$A$5:$A$304,A19)+SUMIFS(Crochet!$AE$5:$AE$84,Crochet!$A$5:$A$84,A19)+SUMIFS(Jewelry!$AG$5:$AG$84,Jewelry!$A$5:$A$84,A19)+SUMIFS(Candles!$AG$5:$AG$84,Candles!$A$5:$A$84,A19)+SUMIFS(Clothing!$AC$5:$AC$84,Clothing!$A$5:$A$84,A19)+SUMIFS(Woodworking!$AD$5:$AD$84,Woodworking!$A$5:$A$84,A19)+SUMIFS(Digital!$Y$5:$Y$84,Digital!$A$5:$A$84,A19),1))</f>
        <v>0</v>
      </c>
      <c r="W19" s="41">
        <f>IF(B19="","",IFERROR(INDEX(DiffTimeFactors,MATCH(G19,DiffNames,0)),1))</f>
        <v>0</v>
      </c>
      <c r="X19" s="36">
        <f>IF(B19="","",ROUND(V19*W19,1))</f>
        <v>0</v>
      </c>
      <c r="Y19" s="41">
        <f>IF(B19="","",ROUND(X19/60,3))</f>
        <v>0</v>
      </c>
      <c r="Z19" s="20">
        <f>IF(B19="","",ROUND(U19*W19,2))</f>
        <v>0</v>
      </c>
      <c r="AA19" s="20">
        <f>IF(B19="","",ROUND(SUMIFS(Labor!$Q$5:$Q$304,Labor!$A$5:$A$304,A19)+SUMIFS(Crochet!$AH$5:$AH$84,Crochet!$A$5:$A$84,A19)+SUMIFS(Jewelry!$AJ$5:$AJ$84,Jewelry!$A$5:$A$84,A19)+SUMIFS(Candles!$AJ$5:$AJ$84,Candles!$A$5:$A$84,A19)+SUMIFS(Clothing!$AF$5:$AF$84,Clothing!$A$5:$A$84,A19)+SUMIFS(Woodworking!$AH$5:$AH$84,Woodworking!$A$5:$A$84,A19)+SUMIFS(Digital!$AA$5:$AA$84,Digital!$A$5:$A$84,A19),2))</f>
        <v>0</v>
      </c>
      <c r="AB19" s="20">
        <f>IF(B19="","",ROUND(IF(I19="Budget",PackBudget,IF(I19="Standard",PackStandard,IF(I19="Gift",PackGift,IF(I19="Premium",PackPremium,DefaultPackaging)))),2))</f>
        <v>0</v>
      </c>
      <c r="AC19" s="36">
        <f>IF(B19="","",IF(I19="Budget",PackWeightBudget,IF(I19="Standard",PackWeightStandard,IF(I19="Gift",PackWeightGift,IF(I19="Premium",PackWeightPremium,0)))))</f>
        <v>0</v>
      </c>
      <c r="AD19" s="20">
        <f>IF(B19="","",IFERROR(INDEX(Shipping!$M$5:$M$64,MATCH(J19,Shipping!$L$5:$L$64,0)),DefaultShipping))</f>
        <v>0</v>
      </c>
      <c r="AE19" s="20">
        <f>IF(B19="","",IFERROR(INDEX(Shipping!$F$5:$F$64,MATCH(J19,Shipping!$L$5:$L$64,0)),0))</f>
        <v>0</v>
      </c>
      <c r="AF19" s="36">
        <f>IF(B19="","",IFERROR(INDEX(Shipping!$C$5:$C$64,MATCH(J19,Shipping!$L$5:$L$64,0)),""))</f>
        <v>0</v>
      </c>
      <c r="AG19" s="20">
        <f>IF(B19="","",ROUND(MAX(0,AD19-AE19),2))</f>
        <v>0</v>
      </c>
      <c r="AH19" s="20">
        <f>IF(B19="","",ROUND(T19+Z19+AA19+AB19+AG19,2))</f>
        <v>0</v>
      </c>
      <c r="AI19" s="33">
        <f>IF(B19="","",IFERROR(INDEX(Channels!$S$5:$S$18,MATCH(IF(H19="",DefaultChannel,H19),Channels!$A$5:$A$18,0)),0))</f>
        <v>0</v>
      </c>
      <c r="AJ19" s="42">
        <f>IF(B19="","",IFERROR(INDEX(Channels!$O$5:$O$18,MATCH(IF(H19="",DefaultChannel,H19),Channels!$A$5:$A$18,0)),"No"))</f>
        <v>0</v>
      </c>
      <c r="AK19" s="20">
        <f>IF(B19="","",ROUND(IFERROR(INDEX(Channels!$T$5:$T$18,MATCH(IF(H19="",DefaultChannel,H19),Channels!$A$5:$A$18,0)),0)+IF(AJ19="Yes",AE19*AI19,0),4))</f>
        <v>0</v>
      </c>
      <c r="AL19" s="33">
        <f>IF(B19="","",IF(OverheadMethod="Share of revenue",IF(RevenueTargetMonth&lt;=0,0,OverheadMonthly/RevenueTargetMonth),0))</f>
        <v>0</v>
      </c>
      <c r="AM19" s="20">
        <f>IF(B19="","",IF(OverheadMethod="Per hour worked",ROUND(OverheadPerHour*Y19,2),IF(OR(OverheadMethod="Per unit made",OverheadMethod="Per order"),OverheadPerUnit,0)))</f>
        <v>0</v>
      </c>
      <c r="AN19" s="33">
        <f>IF(B19="","",IF(N19&lt;&gt;"",N19,TargetRetailMargin))</f>
        <v>0</v>
      </c>
      <c r="AO19" s="41">
        <f>IF(B19="","",1-AN19-AI19-AL19)</f>
        <v>0</v>
      </c>
      <c r="AP19" s="20">
        <f>IF(B19="","",IF(AO19&lt;=0,"",(AH19+AM19+AK19)/AO19))</f>
        <v>0</v>
      </c>
      <c r="AQ19" s="20">
        <f>IF(B19="","",IF(AP19="","Check the settings",ROUND(IF(RoundingRule="None",AP19,IF(RoundingRule="Nearest 0.99",MAX(0.99,CEILING(AP19,1)-0.01),IF(RoundingRule="Nearest 0.95",MAX(0.95,CEILING(AP19,1)-0.05),IF(RoundingRule="Nearest 0.50",CEILING(AP19,0.5),IF(RoundingRule="Nearest 1",CEILING(AP19,1),IF(RoundingRule="Nearest 5",CEILING(AP19,5),IF(RoundingRule="Up to whole 1",CEILING(AP19,1),IF(RoundingRule="Up to whole 5",CEILING(AP19,5),ROUND(AP19,2))))))))),2)))</f>
        <v>0</v>
      </c>
      <c r="AR19" s="20">
        <f>IF(B19="","",IF(M19&lt;&gt;"",M19,IF(ISNUMBER(AQ19),AQ19,"")))</f>
        <v>0</v>
      </c>
      <c r="AS19" s="20">
        <f>IF(B19="","",IF(AR19="","",ROUND(AM19+AR19*AL19,2)))</f>
        <v>0</v>
      </c>
      <c r="AT19" s="20">
        <f>IF(B19="","",IF(AR19="","",ROUND(AH19+AS19,2)))</f>
        <v>0</v>
      </c>
      <c r="AU19" s="20">
        <f>IF(B19="","",IF(AR19="","",ROUND(AR19*AI19+AK19,2)))</f>
        <v>0</v>
      </c>
      <c r="AV19" s="20">
        <f>IF(B19="","",IF(AR19="","",ROUND(AR19-AT19-AU19,2)))</f>
        <v>0</v>
      </c>
      <c r="AW19" s="33">
        <f>IF(B19="","",IF(OR(AR19="",AR19=0),"",AV19/AR19))</f>
        <v>0</v>
      </c>
      <c r="AX19" s="33">
        <f>IF(B19="","",IF(OR(AT19="",AT19=0),"",AV19/AT19))</f>
        <v>0</v>
      </c>
      <c r="AY19" s="20">
        <f>IF(B19="","",IF(OR(Y19="",Y19=0,AV19=""),"",ROUND(AV19/Y19,2)))</f>
        <v>0</v>
      </c>
      <c r="AZ19" s="20">
        <f>IF(B19="","",IF(OR(Y19="",Y19=0,AV19=""),"",ROUND((AV19+Z19)/Y19,2)))</f>
        <v>0</v>
      </c>
      <c r="BA19" s="20">
        <f>IF(B19="","",IF(1-AI19-AL19&lt;=0,"",ROUND((AH19+AM19+AK19)/(1-AI19-AL19),2)))</f>
        <v>0</v>
      </c>
      <c r="BB19" s="20">
        <f>IF(B19="","",IF(AT19="","",ROUND(AT19*2,2)))</f>
        <v>0</v>
      </c>
      <c r="BC19" s="20">
        <f>IF(B19="","",IF(AR19="","",ROUND(AR19*(1-WholesaleDiscount),2)))</f>
        <v>0</v>
      </c>
      <c r="BD19" s="20">
        <f>IF(B19="","",IF(BC19="","",ROUND(BC19-AH19-AM19,2)))</f>
        <v>0</v>
      </c>
      <c r="BE19" s="33">
        <f>IF(B19="","",IF(OR(BC19="",BC19=0),"",BD19/BC19))</f>
        <v>0</v>
      </c>
      <c r="BF19" s="20">
        <f>IF(B19="","",IFERROR(ROUND(AVERAGEIFS(Competitors!$F$5:$F$154,Competitors!$A$5:$A$154,A19),2),""))</f>
        <v>0</v>
      </c>
      <c r="BG19" s="33">
        <f>IF(B19="","",IF(OR(BF19="",BF19=0,AR19=""),"",AR19/BF19-1))</f>
        <v>0</v>
      </c>
      <c r="BH19" s="32">
        <f>IF(B19="","",SUMIFS(Sales!$D$5:$D$804,Sales!$C$5:$C$804,A19))</f>
        <v>0</v>
      </c>
      <c r="BI19" s="20">
        <f>IF(B19="","",ROUND(SUMIFS(Sales!$V$5:$V$804,Sales!$C$5:$C$804,A19),2))</f>
        <v>0</v>
      </c>
      <c r="BJ19" s="20">
        <f>IF(B19="","",ROUND(SUMIFS(Sales!$AG$5:$AG$804,Sales!$C$5:$C$804,A19),2))</f>
        <v>0</v>
      </c>
      <c r="BK19" s="33">
        <f>IF(B19="","",IF(OR(BI19="",BI19=0),"",BJ19/BI19))</f>
        <v>0</v>
      </c>
      <c r="BL19" s="17">
        <f>IF(B19="","",IF(SUMPRODUCT(MAX((Sales!$C$5:$C$804=A19)*Sales!$B$5:$B$804))=0,"",SUMPRODUCT(MAX((Sales!$C$5:$C$804=A19)*Sales!$B$5:$B$804))))</f>
        <v>0</v>
      </c>
      <c r="BM19" s="17">
        <f>IF(B19="","",IF(SUMPRODUCT(MAX(('Price History'!$B$5:$B$304=A19)*'Price History'!$A$5:$A$304))=0,IF(P19="","",P19),SUMPRODUCT(MAX(('Price History'!$B$5:$B$304=A19)*'Price History'!$A$5:$A$304))))</f>
        <v>0</v>
      </c>
      <c r="BN19" s="32">
        <f>IF(B19="","",IF(BM19="","",TodayDate-BM19))</f>
        <v>0</v>
      </c>
      <c r="BO19" s="32">
        <f>IF(B19="","",COUNTIFS($AV$5:$AV$304,"&gt;"&amp;AV19)+COUNTIFS($AV$5:AV19,AV19))</f>
        <v>0</v>
      </c>
      <c r="BP19" s="32">
        <f>IF(B19="","",COUNTIFS($AW$5:$AW$304,"&gt;"&amp;AW19)+COUNTIFS($AW$5:AW19,AW19))</f>
        <v>0</v>
      </c>
      <c r="BQ19" s="32">
        <f>IF(B19="","",COUNTIFS($BI$5:$BI$304,"&gt;"&amp;BI19)+COUNTIFS($BI$5:BI19,BI19))</f>
        <v>0</v>
      </c>
      <c r="BR19" s="32">
        <f>IF(B19="","",COUNTIFS($AY$5:$AY$304,"&gt;"&amp;AY19)+COUNTIFS($AY$5:AY19,AY19))</f>
        <v>0</v>
      </c>
      <c r="BS19" s="43">
        <f>IF(B19="","",IF(AH19=0,"Add - no costs entered yet",IF(AR19="","Check - no price yet",IF(AV19&lt;0,"Loss - every sale costs you money",IF(AND(AZ19&lt;&gt;"",AZ19&lt;MinimumWage),"Below - pays under minimum wage",IF(AW19&lt;MarginWarning,"Low margin - re-price it",IF(AND(AF19&lt;&gt;"",K19&lt;&gt;"",K19+AC19&gt;AF19),"Check - too heavy for that postage band",IF(AND(BN19&lt;&gt;"",BN19&gt;PriceReviewDays),"Due - price has not been reviewed",IF(AND(BG19&lt;&gt;"",BG19&gt;0.5),"Check - well above the market","OK")))))))) )</f>
        <v>0</v>
      </c>
    </row>
    <row r="20" spans="1:71">
      <c r="A20" s="38">
        <f>IF(B20="","",ProductPrefix&amp;TEXT(ROW()-4,"0000"))</f>
        <v>0</v>
      </c>
      <c r="S20" s="38">
        <f>IF(B20="","",IF(C20&lt;&gt;"",C20,UPPER(LEFT(IF(D20="","GEN",D20),3))&amp;"-"&amp;TEXT(ROW()-4,"000")))</f>
        <v>0</v>
      </c>
      <c r="T20" s="20">
        <f>IF(B20="","",ROUND(SUMIFS('Material Usage'!$M$5:$M$904,'Material Usage'!$A$5:$A$904,A20)+SUMIFS(Crochet!$AD$5:$AD$84,Crochet!$A$5:$A$84,A20)+SUMIFS(Jewelry!$AF$5:$AF$84,Jewelry!$A$5:$A$84,A20)+SUMIFS(Candles!$AF$5:$AF$84,Candles!$A$5:$A$84,A20)+SUMIFS(Clothing!$AB$5:$AB$84,Clothing!$A$5:$A$84,A20)+SUMIFS(Woodworking!$AC$5:$AC$84,Woodworking!$A$5:$A$84,A20)+SUMIFS(Digital!$X$5:$X$84,Digital!$A$5:$A$84,A20),2))</f>
        <v>0</v>
      </c>
      <c r="U20" s="20">
        <f>IF(B20="","",ROUND(SUMIFS(Labor!$O$5:$O$304,Labor!$A$5:$A$304,A20)+SUMIFS(Crochet!$AG$5:$AG$84,Crochet!$A$5:$A$84,A20)+SUMIFS(Jewelry!$AI$5:$AI$84,Jewelry!$A$5:$A$84,A20)+SUMIFS(Candles!$AI$5:$AI$84,Candles!$A$5:$A$84,A20)+SUMIFS(Clothing!$AE$5:$AE$84,Clothing!$A$5:$A$84,A20)+SUMIFS(Woodworking!$AF$5:$AF$84,Woodworking!$A$5:$A$84,A20)+SUMIFS(Digital!$Z$5:$Z$84,Digital!$A$5:$A$84,A20),2))</f>
        <v>0</v>
      </c>
      <c r="V20" s="36">
        <f>IF(B20="","",ROUND(SUMIFS(Labor!$P$5:$P$304,Labor!$A$5:$A$304,A20)+SUMIFS(Crochet!$AE$5:$AE$84,Crochet!$A$5:$A$84,A20)+SUMIFS(Jewelry!$AG$5:$AG$84,Jewelry!$A$5:$A$84,A20)+SUMIFS(Candles!$AG$5:$AG$84,Candles!$A$5:$A$84,A20)+SUMIFS(Clothing!$AC$5:$AC$84,Clothing!$A$5:$A$84,A20)+SUMIFS(Woodworking!$AD$5:$AD$84,Woodworking!$A$5:$A$84,A20)+SUMIFS(Digital!$Y$5:$Y$84,Digital!$A$5:$A$84,A20),1))</f>
        <v>0</v>
      </c>
      <c r="W20" s="41">
        <f>IF(B20="","",IFERROR(INDEX(DiffTimeFactors,MATCH(G20,DiffNames,0)),1))</f>
        <v>0</v>
      </c>
      <c r="X20" s="36">
        <f>IF(B20="","",ROUND(V20*W20,1))</f>
        <v>0</v>
      </c>
      <c r="Y20" s="41">
        <f>IF(B20="","",ROUND(X20/60,3))</f>
        <v>0</v>
      </c>
      <c r="Z20" s="20">
        <f>IF(B20="","",ROUND(U20*W20,2))</f>
        <v>0</v>
      </c>
      <c r="AA20" s="20">
        <f>IF(B20="","",ROUND(SUMIFS(Labor!$Q$5:$Q$304,Labor!$A$5:$A$304,A20)+SUMIFS(Crochet!$AH$5:$AH$84,Crochet!$A$5:$A$84,A20)+SUMIFS(Jewelry!$AJ$5:$AJ$84,Jewelry!$A$5:$A$84,A20)+SUMIFS(Candles!$AJ$5:$AJ$84,Candles!$A$5:$A$84,A20)+SUMIFS(Clothing!$AF$5:$AF$84,Clothing!$A$5:$A$84,A20)+SUMIFS(Woodworking!$AH$5:$AH$84,Woodworking!$A$5:$A$84,A20)+SUMIFS(Digital!$AA$5:$AA$84,Digital!$A$5:$A$84,A20),2))</f>
        <v>0</v>
      </c>
      <c r="AB20" s="20">
        <f>IF(B20="","",ROUND(IF(I20="Budget",PackBudget,IF(I20="Standard",PackStandard,IF(I20="Gift",PackGift,IF(I20="Premium",PackPremium,DefaultPackaging)))),2))</f>
        <v>0</v>
      </c>
      <c r="AC20" s="36">
        <f>IF(B20="","",IF(I20="Budget",PackWeightBudget,IF(I20="Standard",PackWeightStandard,IF(I20="Gift",PackWeightGift,IF(I20="Premium",PackWeightPremium,0)))))</f>
        <v>0</v>
      </c>
      <c r="AD20" s="20">
        <f>IF(B20="","",IFERROR(INDEX(Shipping!$M$5:$M$64,MATCH(J20,Shipping!$L$5:$L$64,0)),DefaultShipping))</f>
        <v>0</v>
      </c>
      <c r="AE20" s="20">
        <f>IF(B20="","",IFERROR(INDEX(Shipping!$F$5:$F$64,MATCH(J20,Shipping!$L$5:$L$64,0)),0))</f>
        <v>0</v>
      </c>
      <c r="AF20" s="36">
        <f>IF(B20="","",IFERROR(INDEX(Shipping!$C$5:$C$64,MATCH(J20,Shipping!$L$5:$L$64,0)),""))</f>
        <v>0</v>
      </c>
      <c r="AG20" s="20">
        <f>IF(B20="","",ROUND(MAX(0,AD20-AE20),2))</f>
        <v>0</v>
      </c>
      <c r="AH20" s="20">
        <f>IF(B20="","",ROUND(T20+Z20+AA20+AB20+AG20,2))</f>
        <v>0</v>
      </c>
      <c r="AI20" s="33">
        <f>IF(B20="","",IFERROR(INDEX(Channels!$S$5:$S$18,MATCH(IF(H20="",DefaultChannel,H20),Channels!$A$5:$A$18,0)),0))</f>
        <v>0</v>
      </c>
      <c r="AJ20" s="42">
        <f>IF(B20="","",IFERROR(INDEX(Channels!$O$5:$O$18,MATCH(IF(H20="",DefaultChannel,H20),Channels!$A$5:$A$18,0)),"No"))</f>
        <v>0</v>
      </c>
      <c r="AK20" s="20">
        <f>IF(B20="","",ROUND(IFERROR(INDEX(Channels!$T$5:$T$18,MATCH(IF(H20="",DefaultChannel,H20),Channels!$A$5:$A$18,0)),0)+IF(AJ20="Yes",AE20*AI20,0),4))</f>
        <v>0</v>
      </c>
      <c r="AL20" s="33">
        <f>IF(B20="","",IF(OverheadMethod="Share of revenue",IF(RevenueTargetMonth&lt;=0,0,OverheadMonthly/RevenueTargetMonth),0))</f>
        <v>0</v>
      </c>
      <c r="AM20" s="20">
        <f>IF(B20="","",IF(OverheadMethod="Per hour worked",ROUND(OverheadPerHour*Y20,2),IF(OR(OverheadMethod="Per unit made",OverheadMethod="Per order"),OverheadPerUnit,0)))</f>
        <v>0</v>
      </c>
      <c r="AN20" s="33">
        <f>IF(B20="","",IF(N20&lt;&gt;"",N20,TargetRetailMargin))</f>
        <v>0</v>
      </c>
      <c r="AO20" s="41">
        <f>IF(B20="","",1-AN20-AI20-AL20)</f>
        <v>0</v>
      </c>
      <c r="AP20" s="20">
        <f>IF(B20="","",IF(AO20&lt;=0,"",(AH20+AM20+AK20)/AO20))</f>
        <v>0</v>
      </c>
      <c r="AQ20" s="20">
        <f>IF(B20="","",IF(AP20="","Check the settings",ROUND(IF(RoundingRule="None",AP20,IF(RoundingRule="Nearest 0.99",MAX(0.99,CEILING(AP20,1)-0.01),IF(RoundingRule="Nearest 0.95",MAX(0.95,CEILING(AP20,1)-0.05),IF(RoundingRule="Nearest 0.50",CEILING(AP20,0.5),IF(RoundingRule="Nearest 1",CEILING(AP20,1),IF(RoundingRule="Nearest 5",CEILING(AP20,5),IF(RoundingRule="Up to whole 1",CEILING(AP20,1),IF(RoundingRule="Up to whole 5",CEILING(AP20,5),ROUND(AP20,2))))))))),2)))</f>
        <v>0</v>
      </c>
      <c r="AR20" s="20">
        <f>IF(B20="","",IF(M20&lt;&gt;"",M20,IF(ISNUMBER(AQ20),AQ20,"")))</f>
        <v>0</v>
      </c>
      <c r="AS20" s="20">
        <f>IF(B20="","",IF(AR20="","",ROUND(AM20+AR20*AL20,2)))</f>
        <v>0</v>
      </c>
      <c r="AT20" s="20">
        <f>IF(B20="","",IF(AR20="","",ROUND(AH20+AS20,2)))</f>
        <v>0</v>
      </c>
      <c r="AU20" s="20">
        <f>IF(B20="","",IF(AR20="","",ROUND(AR20*AI20+AK20,2)))</f>
        <v>0</v>
      </c>
      <c r="AV20" s="20">
        <f>IF(B20="","",IF(AR20="","",ROUND(AR20-AT20-AU20,2)))</f>
        <v>0</v>
      </c>
      <c r="AW20" s="33">
        <f>IF(B20="","",IF(OR(AR20="",AR20=0),"",AV20/AR20))</f>
        <v>0</v>
      </c>
      <c r="AX20" s="33">
        <f>IF(B20="","",IF(OR(AT20="",AT20=0),"",AV20/AT20))</f>
        <v>0</v>
      </c>
      <c r="AY20" s="20">
        <f>IF(B20="","",IF(OR(Y20="",Y20=0,AV20=""),"",ROUND(AV20/Y20,2)))</f>
        <v>0</v>
      </c>
      <c r="AZ20" s="20">
        <f>IF(B20="","",IF(OR(Y20="",Y20=0,AV20=""),"",ROUND((AV20+Z20)/Y20,2)))</f>
        <v>0</v>
      </c>
      <c r="BA20" s="20">
        <f>IF(B20="","",IF(1-AI20-AL20&lt;=0,"",ROUND((AH20+AM20+AK20)/(1-AI20-AL20),2)))</f>
        <v>0</v>
      </c>
      <c r="BB20" s="20">
        <f>IF(B20="","",IF(AT20="","",ROUND(AT20*2,2)))</f>
        <v>0</v>
      </c>
      <c r="BC20" s="20">
        <f>IF(B20="","",IF(AR20="","",ROUND(AR20*(1-WholesaleDiscount),2)))</f>
        <v>0</v>
      </c>
      <c r="BD20" s="20">
        <f>IF(B20="","",IF(BC20="","",ROUND(BC20-AH20-AM20,2)))</f>
        <v>0</v>
      </c>
      <c r="BE20" s="33">
        <f>IF(B20="","",IF(OR(BC20="",BC20=0),"",BD20/BC20))</f>
        <v>0</v>
      </c>
      <c r="BF20" s="20">
        <f>IF(B20="","",IFERROR(ROUND(AVERAGEIFS(Competitors!$F$5:$F$154,Competitors!$A$5:$A$154,A20),2),""))</f>
        <v>0</v>
      </c>
      <c r="BG20" s="33">
        <f>IF(B20="","",IF(OR(BF20="",BF20=0,AR20=""),"",AR20/BF20-1))</f>
        <v>0</v>
      </c>
      <c r="BH20" s="32">
        <f>IF(B20="","",SUMIFS(Sales!$D$5:$D$804,Sales!$C$5:$C$804,A20))</f>
        <v>0</v>
      </c>
      <c r="BI20" s="20">
        <f>IF(B20="","",ROUND(SUMIFS(Sales!$V$5:$V$804,Sales!$C$5:$C$804,A20),2))</f>
        <v>0</v>
      </c>
      <c r="BJ20" s="20">
        <f>IF(B20="","",ROUND(SUMIFS(Sales!$AG$5:$AG$804,Sales!$C$5:$C$804,A20),2))</f>
        <v>0</v>
      </c>
      <c r="BK20" s="33">
        <f>IF(B20="","",IF(OR(BI20="",BI20=0),"",BJ20/BI20))</f>
        <v>0</v>
      </c>
      <c r="BL20" s="17">
        <f>IF(B20="","",IF(SUMPRODUCT(MAX((Sales!$C$5:$C$804=A20)*Sales!$B$5:$B$804))=0,"",SUMPRODUCT(MAX((Sales!$C$5:$C$804=A20)*Sales!$B$5:$B$804))))</f>
        <v>0</v>
      </c>
      <c r="BM20" s="17">
        <f>IF(B20="","",IF(SUMPRODUCT(MAX(('Price History'!$B$5:$B$304=A20)*'Price History'!$A$5:$A$304))=0,IF(P20="","",P20),SUMPRODUCT(MAX(('Price History'!$B$5:$B$304=A20)*'Price History'!$A$5:$A$304))))</f>
        <v>0</v>
      </c>
      <c r="BN20" s="32">
        <f>IF(B20="","",IF(BM20="","",TodayDate-BM20))</f>
        <v>0</v>
      </c>
      <c r="BO20" s="32">
        <f>IF(B20="","",COUNTIFS($AV$5:$AV$304,"&gt;"&amp;AV20)+COUNTIFS($AV$5:AV20,AV20))</f>
        <v>0</v>
      </c>
      <c r="BP20" s="32">
        <f>IF(B20="","",COUNTIFS($AW$5:$AW$304,"&gt;"&amp;AW20)+COUNTIFS($AW$5:AW20,AW20))</f>
        <v>0</v>
      </c>
      <c r="BQ20" s="32">
        <f>IF(B20="","",COUNTIFS($BI$5:$BI$304,"&gt;"&amp;BI20)+COUNTIFS($BI$5:BI20,BI20))</f>
        <v>0</v>
      </c>
      <c r="BR20" s="32">
        <f>IF(B20="","",COUNTIFS($AY$5:$AY$304,"&gt;"&amp;AY20)+COUNTIFS($AY$5:AY20,AY20))</f>
        <v>0</v>
      </c>
      <c r="BS20" s="43">
        <f>IF(B20="","",IF(AH20=0,"Add - no costs entered yet",IF(AR20="","Check - no price yet",IF(AV20&lt;0,"Loss - every sale costs you money",IF(AND(AZ20&lt;&gt;"",AZ20&lt;MinimumWage),"Below - pays under minimum wage",IF(AW20&lt;MarginWarning,"Low margin - re-price it",IF(AND(AF20&lt;&gt;"",K20&lt;&gt;"",K20+AC20&gt;AF20),"Check - too heavy for that postage band",IF(AND(BN20&lt;&gt;"",BN20&gt;PriceReviewDays),"Due - price has not been reviewed",IF(AND(BG20&lt;&gt;"",BG20&gt;0.5),"Check - well above the market","OK")))))))) )</f>
        <v>0</v>
      </c>
    </row>
    <row r="21" spans="1:71">
      <c r="A21" s="38">
        <f>IF(B21="","",ProductPrefix&amp;TEXT(ROW()-4,"0000"))</f>
        <v>0</v>
      </c>
      <c r="S21" s="38">
        <f>IF(B21="","",IF(C21&lt;&gt;"",C21,UPPER(LEFT(IF(D21="","GEN",D21),3))&amp;"-"&amp;TEXT(ROW()-4,"000")))</f>
        <v>0</v>
      </c>
      <c r="T21" s="20">
        <f>IF(B21="","",ROUND(SUMIFS('Material Usage'!$M$5:$M$904,'Material Usage'!$A$5:$A$904,A21)+SUMIFS(Crochet!$AD$5:$AD$84,Crochet!$A$5:$A$84,A21)+SUMIFS(Jewelry!$AF$5:$AF$84,Jewelry!$A$5:$A$84,A21)+SUMIFS(Candles!$AF$5:$AF$84,Candles!$A$5:$A$84,A21)+SUMIFS(Clothing!$AB$5:$AB$84,Clothing!$A$5:$A$84,A21)+SUMIFS(Woodworking!$AC$5:$AC$84,Woodworking!$A$5:$A$84,A21)+SUMIFS(Digital!$X$5:$X$84,Digital!$A$5:$A$84,A21),2))</f>
        <v>0</v>
      </c>
      <c r="U21" s="20">
        <f>IF(B21="","",ROUND(SUMIFS(Labor!$O$5:$O$304,Labor!$A$5:$A$304,A21)+SUMIFS(Crochet!$AG$5:$AG$84,Crochet!$A$5:$A$84,A21)+SUMIFS(Jewelry!$AI$5:$AI$84,Jewelry!$A$5:$A$84,A21)+SUMIFS(Candles!$AI$5:$AI$84,Candles!$A$5:$A$84,A21)+SUMIFS(Clothing!$AE$5:$AE$84,Clothing!$A$5:$A$84,A21)+SUMIFS(Woodworking!$AF$5:$AF$84,Woodworking!$A$5:$A$84,A21)+SUMIFS(Digital!$Z$5:$Z$84,Digital!$A$5:$A$84,A21),2))</f>
        <v>0</v>
      </c>
      <c r="V21" s="36">
        <f>IF(B21="","",ROUND(SUMIFS(Labor!$P$5:$P$304,Labor!$A$5:$A$304,A21)+SUMIFS(Crochet!$AE$5:$AE$84,Crochet!$A$5:$A$84,A21)+SUMIFS(Jewelry!$AG$5:$AG$84,Jewelry!$A$5:$A$84,A21)+SUMIFS(Candles!$AG$5:$AG$84,Candles!$A$5:$A$84,A21)+SUMIFS(Clothing!$AC$5:$AC$84,Clothing!$A$5:$A$84,A21)+SUMIFS(Woodworking!$AD$5:$AD$84,Woodworking!$A$5:$A$84,A21)+SUMIFS(Digital!$Y$5:$Y$84,Digital!$A$5:$A$84,A21),1))</f>
        <v>0</v>
      </c>
      <c r="W21" s="41">
        <f>IF(B21="","",IFERROR(INDEX(DiffTimeFactors,MATCH(G21,DiffNames,0)),1))</f>
        <v>0</v>
      </c>
      <c r="X21" s="36">
        <f>IF(B21="","",ROUND(V21*W21,1))</f>
        <v>0</v>
      </c>
      <c r="Y21" s="41">
        <f>IF(B21="","",ROUND(X21/60,3))</f>
        <v>0</v>
      </c>
      <c r="Z21" s="20">
        <f>IF(B21="","",ROUND(U21*W21,2))</f>
        <v>0</v>
      </c>
      <c r="AA21" s="20">
        <f>IF(B21="","",ROUND(SUMIFS(Labor!$Q$5:$Q$304,Labor!$A$5:$A$304,A21)+SUMIFS(Crochet!$AH$5:$AH$84,Crochet!$A$5:$A$84,A21)+SUMIFS(Jewelry!$AJ$5:$AJ$84,Jewelry!$A$5:$A$84,A21)+SUMIFS(Candles!$AJ$5:$AJ$84,Candles!$A$5:$A$84,A21)+SUMIFS(Clothing!$AF$5:$AF$84,Clothing!$A$5:$A$84,A21)+SUMIFS(Woodworking!$AH$5:$AH$84,Woodworking!$A$5:$A$84,A21)+SUMIFS(Digital!$AA$5:$AA$84,Digital!$A$5:$A$84,A21),2))</f>
        <v>0</v>
      </c>
      <c r="AB21" s="20">
        <f>IF(B21="","",ROUND(IF(I21="Budget",PackBudget,IF(I21="Standard",PackStandard,IF(I21="Gift",PackGift,IF(I21="Premium",PackPremium,DefaultPackaging)))),2))</f>
        <v>0</v>
      </c>
      <c r="AC21" s="36">
        <f>IF(B21="","",IF(I21="Budget",PackWeightBudget,IF(I21="Standard",PackWeightStandard,IF(I21="Gift",PackWeightGift,IF(I21="Premium",PackWeightPremium,0)))))</f>
        <v>0</v>
      </c>
      <c r="AD21" s="20">
        <f>IF(B21="","",IFERROR(INDEX(Shipping!$M$5:$M$64,MATCH(J21,Shipping!$L$5:$L$64,0)),DefaultShipping))</f>
        <v>0</v>
      </c>
      <c r="AE21" s="20">
        <f>IF(B21="","",IFERROR(INDEX(Shipping!$F$5:$F$64,MATCH(J21,Shipping!$L$5:$L$64,0)),0))</f>
        <v>0</v>
      </c>
      <c r="AF21" s="36">
        <f>IF(B21="","",IFERROR(INDEX(Shipping!$C$5:$C$64,MATCH(J21,Shipping!$L$5:$L$64,0)),""))</f>
        <v>0</v>
      </c>
      <c r="AG21" s="20">
        <f>IF(B21="","",ROUND(MAX(0,AD21-AE21),2))</f>
        <v>0</v>
      </c>
      <c r="AH21" s="20">
        <f>IF(B21="","",ROUND(T21+Z21+AA21+AB21+AG21,2))</f>
        <v>0</v>
      </c>
      <c r="AI21" s="33">
        <f>IF(B21="","",IFERROR(INDEX(Channels!$S$5:$S$18,MATCH(IF(H21="",DefaultChannel,H21),Channels!$A$5:$A$18,0)),0))</f>
        <v>0</v>
      </c>
      <c r="AJ21" s="42">
        <f>IF(B21="","",IFERROR(INDEX(Channels!$O$5:$O$18,MATCH(IF(H21="",DefaultChannel,H21),Channels!$A$5:$A$18,0)),"No"))</f>
        <v>0</v>
      </c>
      <c r="AK21" s="20">
        <f>IF(B21="","",ROUND(IFERROR(INDEX(Channels!$T$5:$T$18,MATCH(IF(H21="",DefaultChannel,H21),Channels!$A$5:$A$18,0)),0)+IF(AJ21="Yes",AE21*AI21,0),4))</f>
        <v>0</v>
      </c>
      <c r="AL21" s="33">
        <f>IF(B21="","",IF(OverheadMethod="Share of revenue",IF(RevenueTargetMonth&lt;=0,0,OverheadMonthly/RevenueTargetMonth),0))</f>
        <v>0</v>
      </c>
      <c r="AM21" s="20">
        <f>IF(B21="","",IF(OverheadMethod="Per hour worked",ROUND(OverheadPerHour*Y21,2),IF(OR(OverheadMethod="Per unit made",OverheadMethod="Per order"),OverheadPerUnit,0)))</f>
        <v>0</v>
      </c>
      <c r="AN21" s="33">
        <f>IF(B21="","",IF(N21&lt;&gt;"",N21,TargetRetailMargin))</f>
        <v>0</v>
      </c>
      <c r="AO21" s="41">
        <f>IF(B21="","",1-AN21-AI21-AL21)</f>
        <v>0</v>
      </c>
      <c r="AP21" s="20">
        <f>IF(B21="","",IF(AO21&lt;=0,"",(AH21+AM21+AK21)/AO21))</f>
        <v>0</v>
      </c>
      <c r="AQ21" s="20">
        <f>IF(B21="","",IF(AP21="","Check the settings",ROUND(IF(RoundingRule="None",AP21,IF(RoundingRule="Nearest 0.99",MAX(0.99,CEILING(AP21,1)-0.01),IF(RoundingRule="Nearest 0.95",MAX(0.95,CEILING(AP21,1)-0.05),IF(RoundingRule="Nearest 0.50",CEILING(AP21,0.5),IF(RoundingRule="Nearest 1",CEILING(AP21,1),IF(RoundingRule="Nearest 5",CEILING(AP21,5),IF(RoundingRule="Up to whole 1",CEILING(AP21,1),IF(RoundingRule="Up to whole 5",CEILING(AP21,5),ROUND(AP21,2))))))))),2)))</f>
        <v>0</v>
      </c>
      <c r="AR21" s="20">
        <f>IF(B21="","",IF(M21&lt;&gt;"",M21,IF(ISNUMBER(AQ21),AQ21,"")))</f>
        <v>0</v>
      </c>
      <c r="AS21" s="20">
        <f>IF(B21="","",IF(AR21="","",ROUND(AM21+AR21*AL21,2)))</f>
        <v>0</v>
      </c>
      <c r="AT21" s="20">
        <f>IF(B21="","",IF(AR21="","",ROUND(AH21+AS21,2)))</f>
        <v>0</v>
      </c>
      <c r="AU21" s="20">
        <f>IF(B21="","",IF(AR21="","",ROUND(AR21*AI21+AK21,2)))</f>
        <v>0</v>
      </c>
      <c r="AV21" s="20">
        <f>IF(B21="","",IF(AR21="","",ROUND(AR21-AT21-AU21,2)))</f>
        <v>0</v>
      </c>
      <c r="AW21" s="33">
        <f>IF(B21="","",IF(OR(AR21="",AR21=0),"",AV21/AR21))</f>
        <v>0</v>
      </c>
      <c r="AX21" s="33">
        <f>IF(B21="","",IF(OR(AT21="",AT21=0),"",AV21/AT21))</f>
        <v>0</v>
      </c>
      <c r="AY21" s="20">
        <f>IF(B21="","",IF(OR(Y21="",Y21=0,AV21=""),"",ROUND(AV21/Y21,2)))</f>
        <v>0</v>
      </c>
      <c r="AZ21" s="20">
        <f>IF(B21="","",IF(OR(Y21="",Y21=0,AV21=""),"",ROUND((AV21+Z21)/Y21,2)))</f>
        <v>0</v>
      </c>
      <c r="BA21" s="20">
        <f>IF(B21="","",IF(1-AI21-AL21&lt;=0,"",ROUND((AH21+AM21+AK21)/(1-AI21-AL21),2)))</f>
        <v>0</v>
      </c>
      <c r="BB21" s="20">
        <f>IF(B21="","",IF(AT21="","",ROUND(AT21*2,2)))</f>
        <v>0</v>
      </c>
      <c r="BC21" s="20">
        <f>IF(B21="","",IF(AR21="","",ROUND(AR21*(1-WholesaleDiscount),2)))</f>
        <v>0</v>
      </c>
      <c r="BD21" s="20">
        <f>IF(B21="","",IF(BC21="","",ROUND(BC21-AH21-AM21,2)))</f>
        <v>0</v>
      </c>
      <c r="BE21" s="33">
        <f>IF(B21="","",IF(OR(BC21="",BC21=0),"",BD21/BC21))</f>
        <v>0</v>
      </c>
      <c r="BF21" s="20">
        <f>IF(B21="","",IFERROR(ROUND(AVERAGEIFS(Competitors!$F$5:$F$154,Competitors!$A$5:$A$154,A21),2),""))</f>
        <v>0</v>
      </c>
      <c r="BG21" s="33">
        <f>IF(B21="","",IF(OR(BF21="",BF21=0,AR21=""),"",AR21/BF21-1))</f>
        <v>0</v>
      </c>
      <c r="BH21" s="32">
        <f>IF(B21="","",SUMIFS(Sales!$D$5:$D$804,Sales!$C$5:$C$804,A21))</f>
        <v>0</v>
      </c>
      <c r="BI21" s="20">
        <f>IF(B21="","",ROUND(SUMIFS(Sales!$V$5:$V$804,Sales!$C$5:$C$804,A21),2))</f>
        <v>0</v>
      </c>
      <c r="BJ21" s="20">
        <f>IF(B21="","",ROUND(SUMIFS(Sales!$AG$5:$AG$804,Sales!$C$5:$C$804,A21),2))</f>
        <v>0</v>
      </c>
      <c r="BK21" s="33">
        <f>IF(B21="","",IF(OR(BI21="",BI21=0),"",BJ21/BI21))</f>
        <v>0</v>
      </c>
      <c r="BL21" s="17">
        <f>IF(B21="","",IF(SUMPRODUCT(MAX((Sales!$C$5:$C$804=A21)*Sales!$B$5:$B$804))=0,"",SUMPRODUCT(MAX((Sales!$C$5:$C$804=A21)*Sales!$B$5:$B$804))))</f>
        <v>0</v>
      </c>
      <c r="BM21" s="17">
        <f>IF(B21="","",IF(SUMPRODUCT(MAX(('Price History'!$B$5:$B$304=A21)*'Price History'!$A$5:$A$304))=0,IF(P21="","",P21),SUMPRODUCT(MAX(('Price History'!$B$5:$B$304=A21)*'Price History'!$A$5:$A$304))))</f>
        <v>0</v>
      </c>
      <c r="BN21" s="32">
        <f>IF(B21="","",IF(BM21="","",TodayDate-BM21))</f>
        <v>0</v>
      </c>
      <c r="BO21" s="32">
        <f>IF(B21="","",COUNTIFS($AV$5:$AV$304,"&gt;"&amp;AV21)+COUNTIFS($AV$5:AV21,AV21))</f>
        <v>0</v>
      </c>
      <c r="BP21" s="32">
        <f>IF(B21="","",COUNTIFS($AW$5:$AW$304,"&gt;"&amp;AW21)+COUNTIFS($AW$5:AW21,AW21))</f>
        <v>0</v>
      </c>
      <c r="BQ21" s="32">
        <f>IF(B21="","",COUNTIFS($BI$5:$BI$304,"&gt;"&amp;BI21)+COUNTIFS($BI$5:BI21,BI21))</f>
        <v>0</v>
      </c>
      <c r="BR21" s="32">
        <f>IF(B21="","",COUNTIFS($AY$5:$AY$304,"&gt;"&amp;AY21)+COUNTIFS($AY$5:AY21,AY21))</f>
        <v>0</v>
      </c>
      <c r="BS21" s="43">
        <f>IF(B21="","",IF(AH21=0,"Add - no costs entered yet",IF(AR21="","Check - no price yet",IF(AV21&lt;0,"Loss - every sale costs you money",IF(AND(AZ21&lt;&gt;"",AZ21&lt;MinimumWage),"Below - pays under minimum wage",IF(AW21&lt;MarginWarning,"Low margin - re-price it",IF(AND(AF21&lt;&gt;"",K21&lt;&gt;"",K21+AC21&gt;AF21),"Check - too heavy for that postage band",IF(AND(BN21&lt;&gt;"",BN21&gt;PriceReviewDays),"Due - price has not been reviewed",IF(AND(BG21&lt;&gt;"",BG21&gt;0.5),"Check - well above the market","OK")))))))) )</f>
        <v>0</v>
      </c>
    </row>
    <row r="22" spans="1:71">
      <c r="A22" s="38">
        <f>IF(B22="","",ProductPrefix&amp;TEXT(ROW()-4,"0000"))</f>
        <v>0</v>
      </c>
      <c r="S22" s="38">
        <f>IF(B22="","",IF(C22&lt;&gt;"",C22,UPPER(LEFT(IF(D22="","GEN",D22),3))&amp;"-"&amp;TEXT(ROW()-4,"000")))</f>
        <v>0</v>
      </c>
      <c r="T22" s="20">
        <f>IF(B22="","",ROUND(SUMIFS('Material Usage'!$M$5:$M$904,'Material Usage'!$A$5:$A$904,A22)+SUMIFS(Crochet!$AD$5:$AD$84,Crochet!$A$5:$A$84,A22)+SUMIFS(Jewelry!$AF$5:$AF$84,Jewelry!$A$5:$A$84,A22)+SUMIFS(Candles!$AF$5:$AF$84,Candles!$A$5:$A$84,A22)+SUMIFS(Clothing!$AB$5:$AB$84,Clothing!$A$5:$A$84,A22)+SUMIFS(Woodworking!$AC$5:$AC$84,Woodworking!$A$5:$A$84,A22)+SUMIFS(Digital!$X$5:$X$84,Digital!$A$5:$A$84,A22),2))</f>
        <v>0</v>
      </c>
      <c r="U22" s="20">
        <f>IF(B22="","",ROUND(SUMIFS(Labor!$O$5:$O$304,Labor!$A$5:$A$304,A22)+SUMIFS(Crochet!$AG$5:$AG$84,Crochet!$A$5:$A$84,A22)+SUMIFS(Jewelry!$AI$5:$AI$84,Jewelry!$A$5:$A$84,A22)+SUMIFS(Candles!$AI$5:$AI$84,Candles!$A$5:$A$84,A22)+SUMIFS(Clothing!$AE$5:$AE$84,Clothing!$A$5:$A$84,A22)+SUMIFS(Woodworking!$AF$5:$AF$84,Woodworking!$A$5:$A$84,A22)+SUMIFS(Digital!$Z$5:$Z$84,Digital!$A$5:$A$84,A22),2))</f>
        <v>0</v>
      </c>
      <c r="V22" s="36">
        <f>IF(B22="","",ROUND(SUMIFS(Labor!$P$5:$P$304,Labor!$A$5:$A$304,A22)+SUMIFS(Crochet!$AE$5:$AE$84,Crochet!$A$5:$A$84,A22)+SUMIFS(Jewelry!$AG$5:$AG$84,Jewelry!$A$5:$A$84,A22)+SUMIFS(Candles!$AG$5:$AG$84,Candles!$A$5:$A$84,A22)+SUMIFS(Clothing!$AC$5:$AC$84,Clothing!$A$5:$A$84,A22)+SUMIFS(Woodworking!$AD$5:$AD$84,Woodworking!$A$5:$A$84,A22)+SUMIFS(Digital!$Y$5:$Y$84,Digital!$A$5:$A$84,A22),1))</f>
        <v>0</v>
      </c>
      <c r="W22" s="41">
        <f>IF(B22="","",IFERROR(INDEX(DiffTimeFactors,MATCH(G22,DiffNames,0)),1))</f>
        <v>0</v>
      </c>
      <c r="X22" s="36">
        <f>IF(B22="","",ROUND(V22*W22,1))</f>
        <v>0</v>
      </c>
      <c r="Y22" s="41">
        <f>IF(B22="","",ROUND(X22/60,3))</f>
        <v>0</v>
      </c>
      <c r="Z22" s="20">
        <f>IF(B22="","",ROUND(U22*W22,2))</f>
        <v>0</v>
      </c>
      <c r="AA22" s="20">
        <f>IF(B22="","",ROUND(SUMIFS(Labor!$Q$5:$Q$304,Labor!$A$5:$A$304,A22)+SUMIFS(Crochet!$AH$5:$AH$84,Crochet!$A$5:$A$84,A22)+SUMIFS(Jewelry!$AJ$5:$AJ$84,Jewelry!$A$5:$A$84,A22)+SUMIFS(Candles!$AJ$5:$AJ$84,Candles!$A$5:$A$84,A22)+SUMIFS(Clothing!$AF$5:$AF$84,Clothing!$A$5:$A$84,A22)+SUMIFS(Woodworking!$AH$5:$AH$84,Woodworking!$A$5:$A$84,A22)+SUMIFS(Digital!$AA$5:$AA$84,Digital!$A$5:$A$84,A22),2))</f>
        <v>0</v>
      </c>
      <c r="AB22" s="20">
        <f>IF(B22="","",ROUND(IF(I22="Budget",PackBudget,IF(I22="Standard",PackStandard,IF(I22="Gift",PackGift,IF(I22="Premium",PackPremium,DefaultPackaging)))),2))</f>
        <v>0</v>
      </c>
      <c r="AC22" s="36">
        <f>IF(B22="","",IF(I22="Budget",PackWeightBudget,IF(I22="Standard",PackWeightStandard,IF(I22="Gift",PackWeightGift,IF(I22="Premium",PackWeightPremium,0)))))</f>
        <v>0</v>
      </c>
      <c r="AD22" s="20">
        <f>IF(B22="","",IFERROR(INDEX(Shipping!$M$5:$M$64,MATCH(J22,Shipping!$L$5:$L$64,0)),DefaultShipping))</f>
        <v>0</v>
      </c>
      <c r="AE22" s="20">
        <f>IF(B22="","",IFERROR(INDEX(Shipping!$F$5:$F$64,MATCH(J22,Shipping!$L$5:$L$64,0)),0))</f>
        <v>0</v>
      </c>
      <c r="AF22" s="36">
        <f>IF(B22="","",IFERROR(INDEX(Shipping!$C$5:$C$64,MATCH(J22,Shipping!$L$5:$L$64,0)),""))</f>
        <v>0</v>
      </c>
      <c r="AG22" s="20">
        <f>IF(B22="","",ROUND(MAX(0,AD22-AE22),2))</f>
        <v>0</v>
      </c>
      <c r="AH22" s="20">
        <f>IF(B22="","",ROUND(T22+Z22+AA22+AB22+AG22,2))</f>
        <v>0</v>
      </c>
      <c r="AI22" s="33">
        <f>IF(B22="","",IFERROR(INDEX(Channels!$S$5:$S$18,MATCH(IF(H22="",DefaultChannel,H22),Channels!$A$5:$A$18,0)),0))</f>
        <v>0</v>
      </c>
      <c r="AJ22" s="42">
        <f>IF(B22="","",IFERROR(INDEX(Channels!$O$5:$O$18,MATCH(IF(H22="",DefaultChannel,H22),Channels!$A$5:$A$18,0)),"No"))</f>
        <v>0</v>
      </c>
      <c r="AK22" s="20">
        <f>IF(B22="","",ROUND(IFERROR(INDEX(Channels!$T$5:$T$18,MATCH(IF(H22="",DefaultChannel,H22),Channels!$A$5:$A$18,0)),0)+IF(AJ22="Yes",AE22*AI22,0),4))</f>
        <v>0</v>
      </c>
      <c r="AL22" s="33">
        <f>IF(B22="","",IF(OverheadMethod="Share of revenue",IF(RevenueTargetMonth&lt;=0,0,OverheadMonthly/RevenueTargetMonth),0))</f>
        <v>0</v>
      </c>
      <c r="AM22" s="20">
        <f>IF(B22="","",IF(OverheadMethod="Per hour worked",ROUND(OverheadPerHour*Y22,2),IF(OR(OverheadMethod="Per unit made",OverheadMethod="Per order"),OverheadPerUnit,0)))</f>
        <v>0</v>
      </c>
      <c r="AN22" s="33">
        <f>IF(B22="","",IF(N22&lt;&gt;"",N22,TargetRetailMargin))</f>
        <v>0</v>
      </c>
      <c r="AO22" s="41">
        <f>IF(B22="","",1-AN22-AI22-AL22)</f>
        <v>0</v>
      </c>
      <c r="AP22" s="20">
        <f>IF(B22="","",IF(AO22&lt;=0,"",(AH22+AM22+AK22)/AO22))</f>
        <v>0</v>
      </c>
      <c r="AQ22" s="20">
        <f>IF(B22="","",IF(AP22="","Check the settings",ROUND(IF(RoundingRule="None",AP22,IF(RoundingRule="Nearest 0.99",MAX(0.99,CEILING(AP22,1)-0.01),IF(RoundingRule="Nearest 0.95",MAX(0.95,CEILING(AP22,1)-0.05),IF(RoundingRule="Nearest 0.50",CEILING(AP22,0.5),IF(RoundingRule="Nearest 1",CEILING(AP22,1),IF(RoundingRule="Nearest 5",CEILING(AP22,5),IF(RoundingRule="Up to whole 1",CEILING(AP22,1),IF(RoundingRule="Up to whole 5",CEILING(AP22,5),ROUND(AP22,2))))))))),2)))</f>
        <v>0</v>
      </c>
      <c r="AR22" s="20">
        <f>IF(B22="","",IF(M22&lt;&gt;"",M22,IF(ISNUMBER(AQ22),AQ22,"")))</f>
        <v>0</v>
      </c>
      <c r="AS22" s="20">
        <f>IF(B22="","",IF(AR22="","",ROUND(AM22+AR22*AL22,2)))</f>
        <v>0</v>
      </c>
      <c r="AT22" s="20">
        <f>IF(B22="","",IF(AR22="","",ROUND(AH22+AS22,2)))</f>
        <v>0</v>
      </c>
      <c r="AU22" s="20">
        <f>IF(B22="","",IF(AR22="","",ROUND(AR22*AI22+AK22,2)))</f>
        <v>0</v>
      </c>
      <c r="AV22" s="20">
        <f>IF(B22="","",IF(AR22="","",ROUND(AR22-AT22-AU22,2)))</f>
        <v>0</v>
      </c>
      <c r="AW22" s="33">
        <f>IF(B22="","",IF(OR(AR22="",AR22=0),"",AV22/AR22))</f>
        <v>0</v>
      </c>
      <c r="AX22" s="33">
        <f>IF(B22="","",IF(OR(AT22="",AT22=0),"",AV22/AT22))</f>
        <v>0</v>
      </c>
      <c r="AY22" s="20">
        <f>IF(B22="","",IF(OR(Y22="",Y22=0,AV22=""),"",ROUND(AV22/Y22,2)))</f>
        <v>0</v>
      </c>
      <c r="AZ22" s="20">
        <f>IF(B22="","",IF(OR(Y22="",Y22=0,AV22=""),"",ROUND((AV22+Z22)/Y22,2)))</f>
        <v>0</v>
      </c>
      <c r="BA22" s="20">
        <f>IF(B22="","",IF(1-AI22-AL22&lt;=0,"",ROUND((AH22+AM22+AK22)/(1-AI22-AL22),2)))</f>
        <v>0</v>
      </c>
      <c r="BB22" s="20">
        <f>IF(B22="","",IF(AT22="","",ROUND(AT22*2,2)))</f>
        <v>0</v>
      </c>
      <c r="BC22" s="20">
        <f>IF(B22="","",IF(AR22="","",ROUND(AR22*(1-WholesaleDiscount),2)))</f>
        <v>0</v>
      </c>
      <c r="BD22" s="20">
        <f>IF(B22="","",IF(BC22="","",ROUND(BC22-AH22-AM22,2)))</f>
        <v>0</v>
      </c>
      <c r="BE22" s="33">
        <f>IF(B22="","",IF(OR(BC22="",BC22=0),"",BD22/BC22))</f>
        <v>0</v>
      </c>
      <c r="BF22" s="20">
        <f>IF(B22="","",IFERROR(ROUND(AVERAGEIFS(Competitors!$F$5:$F$154,Competitors!$A$5:$A$154,A22),2),""))</f>
        <v>0</v>
      </c>
      <c r="BG22" s="33">
        <f>IF(B22="","",IF(OR(BF22="",BF22=0,AR22=""),"",AR22/BF22-1))</f>
        <v>0</v>
      </c>
      <c r="BH22" s="32">
        <f>IF(B22="","",SUMIFS(Sales!$D$5:$D$804,Sales!$C$5:$C$804,A22))</f>
        <v>0</v>
      </c>
      <c r="BI22" s="20">
        <f>IF(B22="","",ROUND(SUMIFS(Sales!$V$5:$V$804,Sales!$C$5:$C$804,A22),2))</f>
        <v>0</v>
      </c>
      <c r="BJ22" s="20">
        <f>IF(B22="","",ROUND(SUMIFS(Sales!$AG$5:$AG$804,Sales!$C$5:$C$804,A22),2))</f>
        <v>0</v>
      </c>
      <c r="BK22" s="33">
        <f>IF(B22="","",IF(OR(BI22="",BI22=0),"",BJ22/BI22))</f>
        <v>0</v>
      </c>
      <c r="BL22" s="17">
        <f>IF(B22="","",IF(SUMPRODUCT(MAX((Sales!$C$5:$C$804=A22)*Sales!$B$5:$B$804))=0,"",SUMPRODUCT(MAX((Sales!$C$5:$C$804=A22)*Sales!$B$5:$B$804))))</f>
        <v>0</v>
      </c>
      <c r="BM22" s="17">
        <f>IF(B22="","",IF(SUMPRODUCT(MAX(('Price History'!$B$5:$B$304=A22)*'Price History'!$A$5:$A$304))=0,IF(P22="","",P22),SUMPRODUCT(MAX(('Price History'!$B$5:$B$304=A22)*'Price History'!$A$5:$A$304))))</f>
        <v>0</v>
      </c>
      <c r="BN22" s="32">
        <f>IF(B22="","",IF(BM22="","",TodayDate-BM22))</f>
        <v>0</v>
      </c>
      <c r="BO22" s="32">
        <f>IF(B22="","",COUNTIFS($AV$5:$AV$304,"&gt;"&amp;AV22)+COUNTIFS($AV$5:AV22,AV22))</f>
        <v>0</v>
      </c>
      <c r="BP22" s="32">
        <f>IF(B22="","",COUNTIFS($AW$5:$AW$304,"&gt;"&amp;AW22)+COUNTIFS($AW$5:AW22,AW22))</f>
        <v>0</v>
      </c>
      <c r="BQ22" s="32">
        <f>IF(B22="","",COUNTIFS($BI$5:$BI$304,"&gt;"&amp;BI22)+COUNTIFS($BI$5:BI22,BI22))</f>
        <v>0</v>
      </c>
      <c r="BR22" s="32">
        <f>IF(B22="","",COUNTIFS($AY$5:$AY$304,"&gt;"&amp;AY22)+COUNTIFS($AY$5:AY22,AY22))</f>
        <v>0</v>
      </c>
      <c r="BS22" s="43">
        <f>IF(B22="","",IF(AH22=0,"Add - no costs entered yet",IF(AR22="","Check - no price yet",IF(AV22&lt;0,"Loss - every sale costs you money",IF(AND(AZ22&lt;&gt;"",AZ22&lt;MinimumWage),"Below - pays under minimum wage",IF(AW22&lt;MarginWarning,"Low margin - re-price it",IF(AND(AF22&lt;&gt;"",K22&lt;&gt;"",K22+AC22&gt;AF22),"Check - too heavy for that postage band",IF(AND(BN22&lt;&gt;"",BN22&gt;PriceReviewDays),"Due - price has not been reviewed",IF(AND(BG22&lt;&gt;"",BG22&gt;0.5),"Check - well above the market","OK")))))))) )</f>
        <v>0</v>
      </c>
    </row>
    <row r="23" spans="1:71">
      <c r="A23" s="38">
        <f>IF(B23="","",ProductPrefix&amp;TEXT(ROW()-4,"0000"))</f>
        <v>0</v>
      </c>
      <c r="S23" s="38">
        <f>IF(B23="","",IF(C23&lt;&gt;"",C23,UPPER(LEFT(IF(D23="","GEN",D23),3))&amp;"-"&amp;TEXT(ROW()-4,"000")))</f>
        <v>0</v>
      </c>
      <c r="T23" s="20">
        <f>IF(B23="","",ROUND(SUMIFS('Material Usage'!$M$5:$M$904,'Material Usage'!$A$5:$A$904,A23)+SUMIFS(Crochet!$AD$5:$AD$84,Crochet!$A$5:$A$84,A23)+SUMIFS(Jewelry!$AF$5:$AF$84,Jewelry!$A$5:$A$84,A23)+SUMIFS(Candles!$AF$5:$AF$84,Candles!$A$5:$A$84,A23)+SUMIFS(Clothing!$AB$5:$AB$84,Clothing!$A$5:$A$84,A23)+SUMIFS(Woodworking!$AC$5:$AC$84,Woodworking!$A$5:$A$84,A23)+SUMIFS(Digital!$X$5:$X$84,Digital!$A$5:$A$84,A23),2))</f>
        <v>0</v>
      </c>
      <c r="U23" s="20">
        <f>IF(B23="","",ROUND(SUMIFS(Labor!$O$5:$O$304,Labor!$A$5:$A$304,A23)+SUMIFS(Crochet!$AG$5:$AG$84,Crochet!$A$5:$A$84,A23)+SUMIFS(Jewelry!$AI$5:$AI$84,Jewelry!$A$5:$A$84,A23)+SUMIFS(Candles!$AI$5:$AI$84,Candles!$A$5:$A$84,A23)+SUMIFS(Clothing!$AE$5:$AE$84,Clothing!$A$5:$A$84,A23)+SUMIFS(Woodworking!$AF$5:$AF$84,Woodworking!$A$5:$A$84,A23)+SUMIFS(Digital!$Z$5:$Z$84,Digital!$A$5:$A$84,A23),2))</f>
        <v>0</v>
      </c>
      <c r="V23" s="36">
        <f>IF(B23="","",ROUND(SUMIFS(Labor!$P$5:$P$304,Labor!$A$5:$A$304,A23)+SUMIFS(Crochet!$AE$5:$AE$84,Crochet!$A$5:$A$84,A23)+SUMIFS(Jewelry!$AG$5:$AG$84,Jewelry!$A$5:$A$84,A23)+SUMIFS(Candles!$AG$5:$AG$84,Candles!$A$5:$A$84,A23)+SUMIFS(Clothing!$AC$5:$AC$84,Clothing!$A$5:$A$84,A23)+SUMIFS(Woodworking!$AD$5:$AD$84,Woodworking!$A$5:$A$84,A23)+SUMIFS(Digital!$Y$5:$Y$84,Digital!$A$5:$A$84,A23),1))</f>
        <v>0</v>
      </c>
      <c r="W23" s="41">
        <f>IF(B23="","",IFERROR(INDEX(DiffTimeFactors,MATCH(G23,DiffNames,0)),1))</f>
        <v>0</v>
      </c>
      <c r="X23" s="36">
        <f>IF(B23="","",ROUND(V23*W23,1))</f>
        <v>0</v>
      </c>
      <c r="Y23" s="41">
        <f>IF(B23="","",ROUND(X23/60,3))</f>
        <v>0</v>
      </c>
      <c r="Z23" s="20">
        <f>IF(B23="","",ROUND(U23*W23,2))</f>
        <v>0</v>
      </c>
      <c r="AA23" s="20">
        <f>IF(B23="","",ROUND(SUMIFS(Labor!$Q$5:$Q$304,Labor!$A$5:$A$304,A23)+SUMIFS(Crochet!$AH$5:$AH$84,Crochet!$A$5:$A$84,A23)+SUMIFS(Jewelry!$AJ$5:$AJ$84,Jewelry!$A$5:$A$84,A23)+SUMIFS(Candles!$AJ$5:$AJ$84,Candles!$A$5:$A$84,A23)+SUMIFS(Clothing!$AF$5:$AF$84,Clothing!$A$5:$A$84,A23)+SUMIFS(Woodworking!$AH$5:$AH$84,Woodworking!$A$5:$A$84,A23)+SUMIFS(Digital!$AA$5:$AA$84,Digital!$A$5:$A$84,A23),2))</f>
        <v>0</v>
      </c>
      <c r="AB23" s="20">
        <f>IF(B23="","",ROUND(IF(I23="Budget",PackBudget,IF(I23="Standard",PackStandard,IF(I23="Gift",PackGift,IF(I23="Premium",PackPremium,DefaultPackaging)))),2))</f>
        <v>0</v>
      </c>
      <c r="AC23" s="36">
        <f>IF(B23="","",IF(I23="Budget",PackWeightBudget,IF(I23="Standard",PackWeightStandard,IF(I23="Gift",PackWeightGift,IF(I23="Premium",PackWeightPremium,0)))))</f>
        <v>0</v>
      </c>
      <c r="AD23" s="20">
        <f>IF(B23="","",IFERROR(INDEX(Shipping!$M$5:$M$64,MATCH(J23,Shipping!$L$5:$L$64,0)),DefaultShipping))</f>
        <v>0</v>
      </c>
      <c r="AE23" s="20">
        <f>IF(B23="","",IFERROR(INDEX(Shipping!$F$5:$F$64,MATCH(J23,Shipping!$L$5:$L$64,0)),0))</f>
        <v>0</v>
      </c>
      <c r="AF23" s="36">
        <f>IF(B23="","",IFERROR(INDEX(Shipping!$C$5:$C$64,MATCH(J23,Shipping!$L$5:$L$64,0)),""))</f>
        <v>0</v>
      </c>
      <c r="AG23" s="20">
        <f>IF(B23="","",ROUND(MAX(0,AD23-AE23),2))</f>
        <v>0</v>
      </c>
      <c r="AH23" s="20">
        <f>IF(B23="","",ROUND(T23+Z23+AA23+AB23+AG23,2))</f>
        <v>0</v>
      </c>
      <c r="AI23" s="33">
        <f>IF(B23="","",IFERROR(INDEX(Channels!$S$5:$S$18,MATCH(IF(H23="",DefaultChannel,H23),Channels!$A$5:$A$18,0)),0))</f>
        <v>0</v>
      </c>
      <c r="AJ23" s="42">
        <f>IF(B23="","",IFERROR(INDEX(Channels!$O$5:$O$18,MATCH(IF(H23="",DefaultChannel,H23),Channels!$A$5:$A$18,0)),"No"))</f>
        <v>0</v>
      </c>
      <c r="AK23" s="20">
        <f>IF(B23="","",ROUND(IFERROR(INDEX(Channels!$T$5:$T$18,MATCH(IF(H23="",DefaultChannel,H23),Channels!$A$5:$A$18,0)),0)+IF(AJ23="Yes",AE23*AI23,0),4))</f>
        <v>0</v>
      </c>
      <c r="AL23" s="33">
        <f>IF(B23="","",IF(OverheadMethod="Share of revenue",IF(RevenueTargetMonth&lt;=0,0,OverheadMonthly/RevenueTargetMonth),0))</f>
        <v>0</v>
      </c>
      <c r="AM23" s="20">
        <f>IF(B23="","",IF(OverheadMethod="Per hour worked",ROUND(OverheadPerHour*Y23,2),IF(OR(OverheadMethod="Per unit made",OverheadMethod="Per order"),OverheadPerUnit,0)))</f>
        <v>0</v>
      </c>
      <c r="AN23" s="33">
        <f>IF(B23="","",IF(N23&lt;&gt;"",N23,TargetRetailMargin))</f>
        <v>0</v>
      </c>
      <c r="AO23" s="41">
        <f>IF(B23="","",1-AN23-AI23-AL23)</f>
        <v>0</v>
      </c>
      <c r="AP23" s="20">
        <f>IF(B23="","",IF(AO23&lt;=0,"",(AH23+AM23+AK23)/AO23))</f>
        <v>0</v>
      </c>
      <c r="AQ23" s="20">
        <f>IF(B23="","",IF(AP23="","Check the settings",ROUND(IF(RoundingRule="None",AP23,IF(RoundingRule="Nearest 0.99",MAX(0.99,CEILING(AP23,1)-0.01),IF(RoundingRule="Nearest 0.95",MAX(0.95,CEILING(AP23,1)-0.05),IF(RoundingRule="Nearest 0.50",CEILING(AP23,0.5),IF(RoundingRule="Nearest 1",CEILING(AP23,1),IF(RoundingRule="Nearest 5",CEILING(AP23,5),IF(RoundingRule="Up to whole 1",CEILING(AP23,1),IF(RoundingRule="Up to whole 5",CEILING(AP23,5),ROUND(AP23,2))))))))),2)))</f>
        <v>0</v>
      </c>
      <c r="AR23" s="20">
        <f>IF(B23="","",IF(M23&lt;&gt;"",M23,IF(ISNUMBER(AQ23),AQ23,"")))</f>
        <v>0</v>
      </c>
      <c r="AS23" s="20">
        <f>IF(B23="","",IF(AR23="","",ROUND(AM23+AR23*AL23,2)))</f>
        <v>0</v>
      </c>
      <c r="AT23" s="20">
        <f>IF(B23="","",IF(AR23="","",ROUND(AH23+AS23,2)))</f>
        <v>0</v>
      </c>
      <c r="AU23" s="20">
        <f>IF(B23="","",IF(AR23="","",ROUND(AR23*AI23+AK23,2)))</f>
        <v>0</v>
      </c>
      <c r="AV23" s="20">
        <f>IF(B23="","",IF(AR23="","",ROUND(AR23-AT23-AU23,2)))</f>
        <v>0</v>
      </c>
      <c r="AW23" s="33">
        <f>IF(B23="","",IF(OR(AR23="",AR23=0),"",AV23/AR23))</f>
        <v>0</v>
      </c>
      <c r="AX23" s="33">
        <f>IF(B23="","",IF(OR(AT23="",AT23=0),"",AV23/AT23))</f>
        <v>0</v>
      </c>
      <c r="AY23" s="20">
        <f>IF(B23="","",IF(OR(Y23="",Y23=0,AV23=""),"",ROUND(AV23/Y23,2)))</f>
        <v>0</v>
      </c>
      <c r="AZ23" s="20">
        <f>IF(B23="","",IF(OR(Y23="",Y23=0,AV23=""),"",ROUND((AV23+Z23)/Y23,2)))</f>
        <v>0</v>
      </c>
      <c r="BA23" s="20">
        <f>IF(B23="","",IF(1-AI23-AL23&lt;=0,"",ROUND((AH23+AM23+AK23)/(1-AI23-AL23),2)))</f>
        <v>0</v>
      </c>
      <c r="BB23" s="20">
        <f>IF(B23="","",IF(AT23="","",ROUND(AT23*2,2)))</f>
        <v>0</v>
      </c>
      <c r="BC23" s="20">
        <f>IF(B23="","",IF(AR23="","",ROUND(AR23*(1-WholesaleDiscount),2)))</f>
        <v>0</v>
      </c>
      <c r="BD23" s="20">
        <f>IF(B23="","",IF(BC23="","",ROUND(BC23-AH23-AM23,2)))</f>
        <v>0</v>
      </c>
      <c r="BE23" s="33">
        <f>IF(B23="","",IF(OR(BC23="",BC23=0),"",BD23/BC23))</f>
        <v>0</v>
      </c>
      <c r="BF23" s="20">
        <f>IF(B23="","",IFERROR(ROUND(AVERAGEIFS(Competitors!$F$5:$F$154,Competitors!$A$5:$A$154,A23),2),""))</f>
        <v>0</v>
      </c>
      <c r="BG23" s="33">
        <f>IF(B23="","",IF(OR(BF23="",BF23=0,AR23=""),"",AR23/BF23-1))</f>
        <v>0</v>
      </c>
      <c r="BH23" s="32">
        <f>IF(B23="","",SUMIFS(Sales!$D$5:$D$804,Sales!$C$5:$C$804,A23))</f>
        <v>0</v>
      </c>
      <c r="BI23" s="20">
        <f>IF(B23="","",ROUND(SUMIFS(Sales!$V$5:$V$804,Sales!$C$5:$C$804,A23),2))</f>
        <v>0</v>
      </c>
      <c r="BJ23" s="20">
        <f>IF(B23="","",ROUND(SUMIFS(Sales!$AG$5:$AG$804,Sales!$C$5:$C$804,A23),2))</f>
        <v>0</v>
      </c>
      <c r="BK23" s="33">
        <f>IF(B23="","",IF(OR(BI23="",BI23=0),"",BJ23/BI23))</f>
        <v>0</v>
      </c>
      <c r="BL23" s="17">
        <f>IF(B23="","",IF(SUMPRODUCT(MAX((Sales!$C$5:$C$804=A23)*Sales!$B$5:$B$804))=0,"",SUMPRODUCT(MAX((Sales!$C$5:$C$804=A23)*Sales!$B$5:$B$804))))</f>
        <v>0</v>
      </c>
      <c r="BM23" s="17">
        <f>IF(B23="","",IF(SUMPRODUCT(MAX(('Price History'!$B$5:$B$304=A23)*'Price History'!$A$5:$A$304))=0,IF(P23="","",P23),SUMPRODUCT(MAX(('Price History'!$B$5:$B$304=A23)*'Price History'!$A$5:$A$304))))</f>
        <v>0</v>
      </c>
      <c r="BN23" s="32">
        <f>IF(B23="","",IF(BM23="","",TodayDate-BM23))</f>
        <v>0</v>
      </c>
      <c r="BO23" s="32">
        <f>IF(B23="","",COUNTIFS($AV$5:$AV$304,"&gt;"&amp;AV23)+COUNTIFS($AV$5:AV23,AV23))</f>
        <v>0</v>
      </c>
      <c r="BP23" s="32">
        <f>IF(B23="","",COUNTIFS($AW$5:$AW$304,"&gt;"&amp;AW23)+COUNTIFS($AW$5:AW23,AW23))</f>
        <v>0</v>
      </c>
      <c r="BQ23" s="32">
        <f>IF(B23="","",COUNTIFS($BI$5:$BI$304,"&gt;"&amp;BI23)+COUNTIFS($BI$5:BI23,BI23))</f>
        <v>0</v>
      </c>
      <c r="BR23" s="32">
        <f>IF(B23="","",COUNTIFS($AY$5:$AY$304,"&gt;"&amp;AY23)+COUNTIFS($AY$5:AY23,AY23))</f>
        <v>0</v>
      </c>
      <c r="BS23" s="43">
        <f>IF(B23="","",IF(AH23=0,"Add - no costs entered yet",IF(AR23="","Check - no price yet",IF(AV23&lt;0,"Loss - every sale costs you money",IF(AND(AZ23&lt;&gt;"",AZ23&lt;MinimumWage),"Below - pays under minimum wage",IF(AW23&lt;MarginWarning,"Low margin - re-price it",IF(AND(AF23&lt;&gt;"",K23&lt;&gt;"",K23+AC23&gt;AF23),"Check - too heavy for that postage band",IF(AND(BN23&lt;&gt;"",BN23&gt;PriceReviewDays),"Due - price has not been reviewed",IF(AND(BG23&lt;&gt;"",BG23&gt;0.5),"Check - well above the market","OK")))))))) )</f>
        <v>0</v>
      </c>
    </row>
    <row r="24" spans="1:71">
      <c r="A24" s="38">
        <f>IF(B24="","",ProductPrefix&amp;TEXT(ROW()-4,"0000"))</f>
        <v>0</v>
      </c>
      <c r="S24" s="38">
        <f>IF(B24="","",IF(C24&lt;&gt;"",C24,UPPER(LEFT(IF(D24="","GEN",D24),3))&amp;"-"&amp;TEXT(ROW()-4,"000")))</f>
        <v>0</v>
      </c>
      <c r="T24" s="20">
        <f>IF(B24="","",ROUND(SUMIFS('Material Usage'!$M$5:$M$904,'Material Usage'!$A$5:$A$904,A24)+SUMIFS(Crochet!$AD$5:$AD$84,Crochet!$A$5:$A$84,A24)+SUMIFS(Jewelry!$AF$5:$AF$84,Jewelry!$A$5:$A$84,A24)+SUMIFS(Candles!$AF$5:$AF$84,Candles!$A$5:$A$84,A24)+SUMIFS(Clothing!$AB$5:$AB$84,Clothing!$A$5:$A$84,A24)+SUMIFS(Woodworking!$AC$5:$AC$84,Woodworking!$A$5:$A$84,A24)+SUMIFS(Digital!$X$5:$X$84,Digital!$A$5:$A$84,A24),2))</f>
        <v>0</v>
      </c>
      <c r="U24" s="20">
        <f>IF(B24="","",ROUND(SUMIFS(Labor!$O$5:$O$304,Labor!$A$5:$A$304,A24)+SUMIFS(Crochet!$AG$5:$AG$84,Crochet!$A$5:$A$84,A24)+SUMIFS(Jewelry!$AI$5:$AI$84,Jewelry!$A$5:$A$84,A24)+SUMIFS(Candles!$AI$5:$AI$84,Candles!$A$5:$A$84,A24)+SUMIFS(Clothing!$AE$5:$AE$84,Clothing!$A$5:$A$84,A24)+SUMIFS(Woodworking!$AF$5:$AF$84,Woodworking!$A$5:$A$84,A24)+SUMIFS(Digital!$Z$5:$Z$84,Digital!$A$5:$A$84,A24),2))</f>
        <v>0</v>
      </c>
      <c r="V24" s="36">
        <f>IF(B24="","",ROUND(SUMIFS(Labor!$P$5:$P$304,Labor!$A$5:$A$304,A24)+SUMIFS(Crochet!$AE$5:$AE$84,Crochet!$A$5:$A$84,A24)+SUMIFS(Jewelry!$AG$5:$AG$84,Jewelry!$A$5:$A$84,A24)+SUMIFS(Candles!$AG$5:$AG$84,Candles!$A$5:$A$84,A24)+SUMIFS(Clothing!$AC$5:$AC$84,Clothing!$A$5:$A$84,A24)+SUMIFS(Woodworking!$AD$5:$AD$84,Woodworking!$A$5:$A$84,A24)+SUMIFS(Digital!$Y$5:$Y$84,Digital!$A$5:$A$84,A24),1))</f>
        <v>0</v>
      </c>
      <c r="W24" s="41">
        <f>IF(B24="","",IFERROR(INDEX(DiffTimeFactors,MATCH(G24,DiffNames,0)),1))</f>
        <v>0</v>
      </c>
      <c r="X24" s="36">
        <f>IF(B24="","",ROUND(V24*W24,1))</f>
        <v>0</v>
      </c>
      <c r="Y24" s="41">
        <f>IF(B24="","",ROUND(X24/60,3))</f>
        <v>0</v>
      </c>
      <c r="Z24" s="20">
        <f>IF(B24="","",ROUND(U24*W24,2))</f>
        <v>0</v>
      </c>
      <c r="AA24" s="20">
        <f>IF(B24="","",ROUND(SUMIFS(Labor!$Q$5:$Q$304,Labor!$A$5:$A$304,A24)+SUMIFS(Crochet!$AH$5:$AH$84,Crochet!$A$5:$A$84,A24)+SUMIFS(Jewelry!$AJ$5:$AJ$84,Jewelry!$A$5:$A$84,A24)+SUMIFS(Candles!$AJ$5:$AJ$84,Candles!$A$5:$A$84,A24)+SUMIFS(Clothing!$AF$5:$AF$84,Clothing!$A$5:$A$84,A24)+SUMIFS(Woodworking!$AH$5:$AH$84,Woodworking!$A$5:$A$84,A24)+SUMIFS(Digital!$AA$5:$AA$84,Digital!$A$5:$A$84,A24),2))</f>
        <v>0</v>
      </c>
      <c r="AB24" s="20">
        <f>IF(B24="","",ROUND(IF(I24="Budget",PackBudget,IF(I24="Standard",PackStandard,IF(I24="Gift",PackGift,IF(I24="Premium",PackPremium,DefaultPackaging)))),2))</f>
        <v>0</v>
      </c>
      <c r="AC24" s="36">
        <f>IF(B24="","",IF(I24="Budget",PackWeightBudget,IF(I24="Standard",PackWeightStandard,IF(I24="Gift",PackWeightGift,IF(I24="Premium",PackWeightPremium,0)))))</f>
        <v>0</v>
      </c>
      <c r="AD24" s="20">
        <f>IF(B24="","",IFERROR(INDEX(Shipping!$M$5:$M$64,MATCH(J24,Shipping!$L$5:$L$64,0)),DefaultShipping))</f>
        <v>0</v>
      </c>
      <c r="AE24" s="20">
        <f>IF(B24="","",IFERROR(INDEX(Shipping!$F$5:$F$64,MATCH(J24,Shipping!$L$5:$L$64,0)),0))</f>
        <v>0</v>
      </c>
      <c r="AF24" s="36">
        <f>IF(B24="","",IFERROR(INDEX(Shipping!$C$5:$C$64,MATCH(J24,Shipping!$L$5:$L$64,0)),""))</f>
        <v>0</v>
      </c>
      <c r="AG24" s="20">
        <f>IF(B24="","",ROUND(MAX(0,AD24-AE24),2))</f>
        <v>0</v>
      </c>
      <c r="AH24" s="20">
        <f>IF(B24="","",ROUND(T24+Z24+AA24+AB24+AG24,2))</f>
        <v>0</v>
      </c>
      <c r="AI24" s="33">
        <f>IF(B24="","",IFERROR(INDEX(Channels!$S$5:$S$18,MATCH(IF(H24="",DefaultChannel,H24),Channels!$A$5:$A$18,0)),0))</f>
        <v>0</v>
      </c>
      <c r="AJ24" s="42">
        <f>IF(B24="","",IFERROR(INDEX(Channels!$O$5:$O$18,MATCH(IF(H24="",DefaultChannel,H24),Channels!$A$5:$A$18,0)),"No"))</f>
        <v>0</v>
      </c>
      <c r="AK24" s="20">
        <f>IF(B24="","",ROUND(IFERROR(INDEX(Channels!$T$5:$T$18,MATCH(IF(H24="",DefaultChannel,H24),Channels!$A$5:$A$18,0)),0)+IF(AJ24="Yes",AE24*AI24,0),4))</f>
        <v>0</v>
      </c>
      <c r="AL24" s="33">
        <f>IF(B24="","",IF(OverheadMethod="Share of revenue",IF(RevenueTargetMonth&lt;=0,0,OverheadMonthly/RevenueTargetMonth),0))</f>
        <v>0</v>
      </c>
      <c r="AM24" s="20">
        <f>IF(B24="","",IF(OverheadMethod="Per hour worked",ROUND(OverheadPerHour*Y24,2),IF(OR(OverheadMethod="Per unit made",OverheadMethod="Per order"),OverheadPerUnit,0)))</f>
        <v>0</v>
      </c>
      <c r="AN24" s="33">
        <f>IF(B24="","",IF(N24&lt;&gt;"",N24,TargetRetailMargin))</f>
        <v>0</v>
      </c>
      <c r="AO24" s="41">
        <f>IF(B24="","",1-AN24-AI24-AL24)</f>
        <v>0</v>
      </c>
      <c r="AP24" s="20">
        <f>IF(B24="","",IF(AO24&lt;=0,"",(AH24+AM24+AK24)/AO24))</f>
        <v>0</v>
      </c>
      <c r="AQ24" s="20">
        <f>IF(B24="","",IF(AP24="","Check the settings",ROUND(IF(RoundingRule="None",AP24,IF(RoundingRule="Nearest 0.99",MAX(0.99,CEILING(AP24,1)-0.01),IF(RoundingRule="Nearest 0.95",MAX(0.95,CEILING(AP24,1)-0.05),IF(RoundingRule="Nearest 0.50",CEILING(AP24,0.5),IF(RoundingRule="Nearest 1",CEILING(AP24,1),IF(RoundingRule="Nearest 5",CEILING(AP24,5),IF(RoundingRule="Up to whole 1",CEILING(AP24,1),IF(RoundingRule="Up to whole 5",CEILING(AP24,5),ROUND(AP24,2))))))))),2)))</f>
        <v>0</v>
      </c>
      <c r="AR24" s="20">
        <f>IF(B24="","",IF(M24&lt;&gt;"",M24,IF(ISNUMBER(AQ24),AQ24,"")))</f>
        <v>0</v>
      </c>
      <c r="AS24" s="20">
        <f>IF(B24="","",IF(AR24="","",ROUND(AM24+AR24*AL24,2)))</f>
        <v>0</v>
      </c>
      <c r="AT24" s="20">
        <f>IF(B24="","",IF(AR24="","",ROUND(AH24+AS24,2)))</f>
        <v>0</v>
      </c>
      <c r="AU24" s="20">
        <f>IF(B24="","",IF(AR24="","",ROUND(AR24*AI24+AK24,2)))</f>
        <v>0</v>
      </c>
      <c r="AV24" s="20">
        <f>IF(B24="","",IF(AR24="","",ROUND(AR24-AT24-AU24,2)))</f>
        <v>0</v>
      </c>
      <c r="AW24" s="33">
        <f>IF(B24="","",IF(OR(AR24="",AR24=0),"",AV24/AR24))</f>
        <v>0</v>
      </c>
      <c r="AX24" s="33">
        <f>IF(B24="","",IF(OR(AT24="",AT24=0),"",AV24/AT24))</f>
        <v>0</v>
      </c>
      <c r="AY24" s="20">
        <f>IF(B24="","",IF(OR(Y24="",Y24=0,AV24=""),"",ROUND(AV24/Y24,2)))</f>
        <v>0</v>
      </c>
      <c r="AZ24" s="20">
        <f>IF(B24="","",IF(OR(Y24="",Y24=0,AV24=""),"",ROUND((AV24+Z24)/Y24,2)))</f>
        <v>0</v>
      </c>
      <c r="BA24" s="20">
        <f>IF(B24="","",IF(1-AI24-AL24&lt;=0,"",ROUND((AH24+AM24+AK24)/(1-AI24-AL24),2)))</f>
        <v>0</v>
      </c>
      <c r="BB24" s="20">
        <f>IF(B24="","",IF(AT24="","",ROUND(AT24*2,2)))</f>
        <v>0</v>
      </c>
      <c r="BC24" s="20">
        <f>IF(B24="","",IF(AR24="","",ROUND(AR24*(1-WholesaleDiscount),2)))</f>
        <v>0</v>
      </c>
      <c r="BD24" s="20">
        <f>IF(B24="","",IF(BC24="","",ROUND(BC24-AH24-AM24,2)))</f>
        <v>0</v>
      </c>
      <c r="BE24" s="33">
        <f>IF(B24="","",IF(OR(BC24="",BC24=0),"",BD24/BC24))</f>
        <v>0</v>
      </c>
      <c r="BF24" s="20">
        <f>IF(B24="","",IFERROR(ROUND(AVERAGEIFS(Competitors!$F$5:$F$154,Competitors!$A$5:$A$154,A24),2),""))</f>
        <v>0</v>
      </c>
      <c r="BG24" s="33">
        <f>IF(B24="","",IF(OR(BF24="",BF24=0,AR24=""),"",AR24/BF24-1))</f>
        <v>0</v>
      </c>
      <c r="BH24" s="32">
        <f>IF(B24="","",SUMIFS(Sales!$D$5:$D$804,Sales!$C$5:$C$804,A24))</f>
        <v>0</v>
      </c>
      <c r="BI24" s="20">
        <f>IF(B24="","",ROUND(SUMIFS(Sales!$V$5:$V$804,Sales!$C$5:$C$804,A24),2))</f>
        <v>0</v>
      </c>
      <c r="BJ24" s="20">
        <f>IF(B24="","",ROUND(SUMIFS(Sales!$AG$5:$AG$804,Sales!$C$5:$C$804,A24),2))</f>
        <v>0</v>
      </c>
      <c r="BK24" s="33">
        <f>IF(B24="","",IF(OR(BI24="",BI24=0),"",BJ24/BI24))</f>
        <v>0</v>
      </c>
      <c r="BL24" s="17">
        <f>IF(B24="","",IF(SUMPRODUCT(MAX((Sales!$C$5:$C$804=A24)*Sales!$B$5:$B$804))=0,"",SUMPRODUCT(MAX((Sales!$C$5:$C$804=A24)*Sales!$B$5:$B$804))))</f>
        <v>0</v>
      </c>
      <c r="BM24" s="17">
        <f>IF(B24="","",IF(SUMPRODUCT(MAX(('Price History'!$B$5:$B$304=A24)*'Price History'!$A$5:$A$304))=0,IF(P24="","",P24),SUMPRODUCT(MAX(('Price History'!$B$5:$B$304=A24)*'Price History'!$A$5:$A$304))))</f>
        <v>0</v>
      </c>
      <c r="BN24" s="32">
        <f>IF(B24="","",IF(BM24="","",TodayDate-BM24))</f>
        <v>0</v>
      </c>
      <c r="BO24" s="32">
        <f>IF(B24="","",COUNTIFS($AV$5:$AV$304,"&gt;"&amp;AV24)+COUNTIFS($AV$5:AV24,AV24))</f>
        <v>0</v>
      </c>
      <c r="BP24" s="32">
        <f>IF(B24="","",COUNTIFS($AW$5:$AW$304,"&gt;"&amp;AW24)+COUNTIFS($AW$5:AW24,AW24))</f>
        <v>0</v>
      </c>
      <c r="BQ24" s="32">
        <f>IF(B24="","",COUNTIFS($BI$5:$BI$304,"&gt;"&amp;BI24)+COUNTIFS($BI$5:BI24,BI24))</f>
        <v>0</v>
      </c>
      <c r="BR24" s="32">
        <f>IF(B24="","",COUNTIFS($AY$5:$AY$304,"&gt;"&amp;AY24)+COUNTIFS($AY$5:AY24,AY24))</f>
        <v>0</v>
      </c>
      <c r="BS24" s="43">
        <f>IF(B24="","",IF(AH24=0,"Add - no costs entered yet",IF(AR24="","Check - no price yet",IF(AV24&lt;0,"Loss - every sale costs you money",IF(AND(AZ24&lt;&gt;"",AZ24&lt;MinimumWage),"Below - pays under minimum wage",IF(AW24&lt;MarginWarning,"Low margin - re-price it",IF(AND(AF24&lt;&gt;"",K24&lt;&gt;"",K24+AC24&gt;AF24),"Check - too heavy for that postage band",IF(AND(BN24&lt;&gt;"",BN24&gt;PriceReviewDays),"Due - price has not been reviewed",IF(AND(BG24&lt;&gt;"",BG24&gt;0.5),"Check - well above the market","OK")))))))) )</f>
        <v>0</v>
      </c>
    </row>
    <row r="25" spans="1:71">
      <c r="A25" s="38">
        <f>IF(B25="","",ProductPrefix&amp;TEXT(ROW()-4,"0000"))</f>
        <v>0</v>
      </c>
      <c r="S25" s="38">
        <f>IF(B25="","",IF(C25&lt;&gt;"",C25,UPPER(LEFT(IF(D25="","GEN",D25),3))&amp;"-"&amp;TEXT(ROW()-4,"000")))</f>
        <v>0</v>
      </c>
      <c r="T25" s="20">
        <f>IF(B25="","",ROUND(SUMIFS('Material Usage'!$M$5:$M$904,'Material Usage'!$A$5:$A$904,A25)+SUMIFS(Crochet!$AD$5:$AD$84,Crochet!$A$5:$A$84,A25)+SUMIFS(Jewelry!$AF$5:$AF$84,Jewelry!$A$5:$A$84,A25)+SUMIFS(Candles!$AF$5:$AF$84,Candles!$A$5:$A$84,A25)+SUMIFS(Clothing!$AB$5:$AB$84,Clothing!$A$5:$A$84,A25)+SUMIFS(Woodworking!$AC$5:$AC$84,Woodworking!$A$5:$A$84,A25)+SUMIFS(Digital!$X$5:$X$84,Digital!$A$5:$A$84,A25),2))</f>
        <v>0</v>
      </c>
      <c r="U25" s="20">
        <f>IF(B25="","",ROUND(SUMIFS(Labor!$O$5:$O$304,Labor!$A$5:$A$304,A25)+SUMIFS(Crochet!$AG$5:$AG$84,Crochet!$A$5:$A$84,A25)+SUMIFS(Jewelry!$AI$5:$AI$84,Jewelry!$A$5:$A$84,A25)+SUMIFS(Candles!$AI$5:$AI$84,Candles!$A$5:$A$84,A25)+SUMIFS(Clothing!$AE$5:$AE$84,Clothing!$A$5:$A$84,A25)+SUMIFS(Woodworking!$AF$5:$AF$84,Woodworking!$A$5:$A$84,A25)+SUMIFS(Digital!$Z$5:$Z$84,Digital!$A$5:$A$84,A25),2))</f>
        <v>0</v>
      </c>
      <c r="V25" s="36">
        <f>IF(B25="","",ROUND(SUMIFS(Labor!$P$5:$P$304,Labor!$A$5:$A$304,A25)+SUMIFS(Crochet!$AE$5:$AE$84,Crochet!$A$5:$A$84,A25)+SUMIFS(Jewelry!$AG$5:$AG$84,Jewelry!$A$5:$A$84,A25)+SUMIFS(Candles!$AG$5:$AG$84,Candles!$A$5:$A$84,A25)+SUMIFS(Clothing!$AC$5:$AC$84,Clothing!$A$5:$A$84,A25)+SUMIFS(Woodworking!$AD$5:$AD$84,Woodworking!$A$5:$A$84,A25)+SUMIFS(Digital!$Y$5:$Y$84,Digital!$A$5:$A$84,A25),1))</f>
        <v>0</v>
      </c>
      <c r="W25" s="41">
        <f>IF(B25="","",IFERROR(INDEX(DiffTimeFactors,MATCH(G25,DiffNames,0)),1))</f>
        <v>0</v>
      </c>
      <c r="X25" s="36">
        <f>IF(B25="","",ROUND(V25*W25,1))</f>
        <v>0</v>
      </c>
      <c r="Y25" s="41">
        <f>IF(B25="","",ROUND(X25/60,3))</f>
        <v>0</v>
      </c>
      <c r="Z25" s="20">
        <f>IF(B25="","",ROUND(U25*W25,2))</f>
        <v>0</v>
      </c>
      <c r="AA25" s="20">
        <f>IF(B25="","",ROUND(SUMIFS(Labor!$Q$5:$Q$304,Labor!$A$5:$A$304,A25)+SUMIFS(Crochet!$AH$5:$AH$84,Crochet!$A$5:$A$84,A25)+SUMIFS(Jewelry!$AJ$5:$AJ$84,Jewelry!$A$5:$A$84,A25)+SUMIFS(Candles!$AJ$5:$AJ$84,Candles!$A$5:$A$84,A25)+SUMIFS(Clothing!$AF$5:$AF$84,Clothing!$A$5:$A$84,A25)+SUMIFS(Woodworking!$AH$5:$AH$84,Woodworking!$A$5:$A$84,A25)+SUMIFS(Digital!$AA$5:$AA$84,Digital!$A$5:$A$84,A25),2))</f>
        <v>0</v>
      </c>
      <c r="AB25" s="20">
        <f>IF(B25="","",ROUND(IF(I25="Budget",PackBudget,IF(I25="Standard",PackStandard,IF(I25="Gift",PackGift,IF(I25="Premium",PackPremium,DefaultPackaging)))),2))</f>
        <v>0</v>
      </c>
      <c r="AC25" s="36">
        <f>IF(B25="","",IF(I25="Budget",PackWeightBudget,IF(I25="Standard",PackWeightStandard,IF(I25="Gift",PackWeightGift,IF(I25="Premium",PackWeightPremium,0)))))</f>
        <v>0</v>
      </c>
      <c r="AD25" s="20">
        <f>IF(B25="","",IFERROR(INDEX(Shipping!$M$5:$M$64,MATCH(J25,Shipping!$L$5:$L$64,0)),DefaultShipping))</f>
        <v>0</v>
      </c>
      <c r="AE25" s="20">
        <f>IF(B25="","",IFERROR(INDEX(Shipping!$F$5:$F$64,MATCH(J25,Shipping!$L$5:$L$64,0)),0))</f>
        <v>0</v>
      </c>
      <c r="AF25" s="36">
        <f>IF(B25="","",IFERROR(INDEX(Shipping!$C$5:$C$64,MATCH(J25,Shipping!$L$5:$L$64,0)),""))</f>
        <v>0</v>
      </c>
      <c r="AG25" s="20">
        <f>IF(B25="","",ROUND(MAX(0,AD25-AE25),2))</f>
        <v>0</v>
      </c>
      <c r="AH25" s="20">
        <f>IF(B25="","",ROUND(T25+Z25+AA25+AB25+AG25,2))</f>
        <v>0</v>
      </c>
      <c r="AI25" s="33">
        <f>IF(B25="","",IFERROR(INDEX(Channels!$S$5:$S$18,MATCH(IF(H25="",DefaultChannel,H25),Channels!$A$5:$A$18,0)),0))</f>
        <v>0</v>
      </c>
      <c r="AJ25" s="42">
        <f>IF(B25="","",IFERROR(INDEX(Channels!$O$5:$O$18,MATCH(IF(H25="",DefaultChannel,H25),Channels!$A$5:$A$18,0)),"No"))</f>
        <v>0</v>
      </c>
      <c r="AK25" s="20">
        <f>IF(B25="","",ROUND(IFERROR(INDEX(Channels!$T$5:$T$18,MATCH(IF(H25="",DefaultChannel,H25),Channels!$A$5:$A$18,0)),0)+IF(AJ25="Yes",AE25*AI25,0),4))</f>
        <v>0</v>
      </c>
      <c r="AL25" s="33">
        <f>IF(B25="","",IF(OverheadMethod="Share of revenue",IF(RevenueTargetMonth&lt;=0,0,OverheadMonthly/RevenueTargetMonth),0))</f>
        <v>0</v>
      </c>
      <c r="AM25" s="20">
        <f>IF(B25="","",IF(OverheadMethod="Per hour worked",ROUND(OverheadPerHour*Y25,2),IF(OR(OverheadMethod="Per unit made",OverheadMethod="Per order"),OverheadPerUnit,0)))</f>
        <v>0</v>
      </c>
      <c r="AN25" s="33">
        <f>IF(B25="","",IF(N25&lt;&gt;"",N25,TargetRetailMargin))</f>
        <v>0</v>
      </c>
      <c r="AO25" s="41">
        <f>IF(B25="","",1-AN25-AI25-AL25)</f>
        <v>0</v>
      </c>
      <c r="AP25" s="20">
        <f>IF(B25="","",IF(AO25&lt;=0,"",(AH25+AM25+AK25)/AO25))</f>
        <v>0</v>
      </c>
      <c r="AQ25" s="20">
        <f>IF(B25="","",IF(AP25="","Check the settings",ROUND(IF(RoundingRule="None",AP25,IF(RoundingRule="Nearest 0.99",MAX(0.99,CEILING(AP25,1)-0.01),IF(RoundingRule="Nearest 0.95",MAX(0.95,CEILING(AP25,1)-0.05),IF(RoundingRule="Nearest 0.50",CEILING(AP25,0.5),IF(RoundingRule="Nearest 1",CEILING(AP25,1),IF(RoundingRule="Nearest 5",CEILING(AP25,5),IF(RoundingRule="Up to whole 1",CEILING(AP25,1),IF(RoundingRule="Up to whole 5",CEILING(AP25,5),ROUND(AP25,2))))))))),2)))</f>
        <v>0</v>
      </c>
      <c r="AR25" s="20">
        <f>IF(B25="","",IF(M25&lt;&gt;"",M25,IF(ISNUMBER(AQ25),AQ25,"")))</f>
        <v>0</v>
      </c>
      <c r="AS25" s="20">
        <f>IF(B25="","",IF(AR25="","",ROUND(AM25+AR25*AL25,2)))</f>
        <v>0</v>
      </c>
      <c r="AT25" s="20">
        <f>IF(B25="","",IF(AR25="","",ROUND(AH25+AS25,2)))</f>
        <v>0</v>
      </c>
      <c r="AU25" s="20">
        <f>IF(B25="","",IF(AR25="","",ROUND(AR25*AI25+AK25,2)))</f>
        <v>0</v>
      </c>
      <c r="AV25" s="20">
        <f>IF(B25="","",IF(AR25="","",ROUND(AR25-AT25-AU25,2)))</f>
        <v>0</v>
      </c>
      <c r="AW25" s="33">
        <f>IF(B25="","",IF(OR(AR25="",AR25=0),"",AV25/AR25))</f>
        <v>0</v>
      </c>
      <c r="AX25" s="33">
        <f>IF(B25="","",IF(OR(AT25="",AT25=0),"",AV25/AT25))</f>
        <v>0</v>
      </c>
      <c r="AY25" s="20">
        <f>IF(B25="","",IF(OR(Y25="",Y25=0,AV25=""),"",ROUND(AV25/Y25,2)))</f>
        <v>0</v>
      </c>
      <c r="AZ25" s="20">
        <f>IF(B25="","",IF(OR(Y25="",Y25=0,AV25=""),"",ROUND((AV25+Z25)/Y25,2)))</f>
        <v>0</v>
      </c>
      <c r="BA25" s="20">
        <f>IF(B25="","",IF(1-AI25-AL25&lt;=0,"",ROUND((AH25+AM25+AK25)/(1-AI25-AL25),2)))</f>
        <v>0</v>
      </c>
      <c r="BB25" s="20">
        <f>IF(B25="","",IF(AT25="","",ROUND(AT25*2,2)))</f>
        <v>0</v>
      </c>
      <c r="BC25" s="20">
        <f>IF(B25="","",IF(AR25="","",ROUND(AR25*(1-WholesaleDiscount),2)))</f>
        <v>0</v>
      </c>
      <c r="BD25" s="20">
        <f>IF(B25="","",IF(BC25="","",ROUND(BC25-AH25-AM25,2)))</f>
        <v>0</v>
      </c>
      <c r="BE25" s="33">
        <f>IF(B25="","",IF(OR(BC25="",BC25=0),"",BD25/BC25))</f>
        <v>0</v>
      </c>
      <c r="BF25" s="20">
        <f>IF(B25="","",IFERROR(ROUND(AVERAGEIFS(Competitors!$F$5:$F$154,Competitors!$A$5:$A$154,A25),2),""))</f>
        <v>0</v>
      </c>
      <c r="BG25" s="33">
        <f>IF(B25="","",IF(OR(BF25="",BF25=0,AR25=""),"",AR25/BF25-1))</f>
        <v>0</v>
      </c>
      <c r="BH25" s="32">
        <f>IF(B25="","",SUMIFS(Sales!$D$5:$D$804,Sales!$C$5:$C$804,A25))</f>
        <v>0</v>
      </c>
      <c r="BI25" s="20">
        <f>IF(B25="","",ROUND(SUMIFS(Sales!$V$5:$V$804,Sales!$C$5:$C$804,A25),2))</f>
        <v>0</v>
      </c>
      <c r="BJ25" s="20">
        <f>IF(B25="","",ROUND(SUMIFS(Sales!$AG$5:$AG$804,Sales!$C$5:$C$804,A25),2))</f>
        <v>0</v>
      </c>
      <c r="BK25" s="33">
        <f>IF(B25="","",IF(OR(BI25="",BI25=0),"",BJ25/BI25))</f>
        <v>0</v>
      </c>
      <c r="BL25" s="17">
        <f>IF(B25="","",IF(SUMPRODUCT(MAX((Sales!$C$5:$C$804=A25)*Sales!$B$5:$B$804))=0,"",SUMPRODUCT(MAX((Sales!$C$5:$C$804=A25)*Sales!$B$5:$B$804))))</f>
        <v>0</v>
      </c>
      <c r="BM25" s="17">
        <f>IF(B25="","",IF(SUMPRODUCT(MAX(('Price History'!$B$5:$B$304=A25)*'Price History'!$A$5:$A$304))=0,IF(P25="","",P25),SUMPRODUCT(MAX(('Price History'!$B$5:$B$304=A25)*'Price History'!$A$5:$A$304))))</f>
        <v>0</v>
      </c>
      <c r="BN25" s="32">
        <f>IF(B25="","",IF(BM25="","",TodayDate-BM25))</f>
        <v>0</v>
      </c>
      <c r="BO25" s="32">
        <f>IF(B25="","",COUNTIFS($AV$5:$AV$304,"&gt;"&amp;AV25)+COUNTIFS($AV$5:AV25,AV25))</f>
        <v>0</v>
      </c>
      <c r="BP25" s="32">
        <f>IF(B25="","",COUNTIFS($AW$5:$AW$304,"&gt;"&amp;AW25)+COUNTIFS($AW$5:AW25,AW25))</f>
        <v>0</v>
      </c>
      <c r="BQ25" s="32">
        <f>IF(B25="","",COUNTIFS($BI$5:$BI$304,"&gt;"&amp;BI25)+COUNTIFS($BI$5:BI25,BI25))</f>
        <v>0</v>
      </c>
      <c r="BR25" s="32">
        <f>IF(B25="","",COUNTIFS($AY$5:$AY$304,"&gt;"&amp;AY25)+COUNTIFS($AY$5:AY25,AY25))</f>
        <v>0</v>
      </c>
      <c r="BS25" s="43">
        <f>IF(B25="","",IF(AH25=0,"Add - no costs entered yet",IF(AR25="","Check - no price yet",IF(AV25&lt;0,"Loss - every sale costs you money",IF(AND(AZ25&lt;&gt;"",AZ25&lt;MinimumWage),"Below - pays under minimum wage",IF(AW25&lt;MarginWarning,"Low margin - re-price it",IF(AND(AF25&lt;&gt;"",K25&lt;&gt;"",K25+AC25&gt;AF25),"Check - too heavy for that postage band",IF(AND(BN25&lt;&gt;"",BN25&gt;PriceReviewDays),"Due - price has not been reviewed",IF(AND(BG25&lt;&gt;"",BG25&gt;0.5),"Check - well above the market","OK")))))))) )</f>
        <v>0</v>
      </c>
    </row>
    <row r="26" spans="1:71">
      <c r="A26" s="38">
        <f>IF(B26="","",ProductPrefix&amp;TEXT(ROW()-4,"0000"))</f>
        <v>0</v>
      </c>
      <c r="S26" s="38">
        <f>IF(B26="","",IF(C26&lt;&gt;"",C26,UPPER(LEFT(IF(D26="","GEN",D26),3))&amp;"-"&amp;TEXT(ROW()-4,"000")))</f>
        <v>0</v>
      </c>
      <c r="T26" s="20">
        <f>IF(B26="","",ROUND(SUMIFS('Material Usage'!$M$5:$M$904,'Material Usage'!$A$5:$A$904,A26)+SUMIFS(Crochet!$AD$5:$AD$84,Crochet!$A$5:$A$84,A26)+SUMIFS(Jewelry!$AF$5:$AF$84,Jewelry!$A$5:$A$84,A26)+SUMIFS(Candles!$AF$5:$AF$84,Candles!$A$5:$A$84,A26)+SUMIFS(Clothing!$AB$5:$AB$84,Clothing!$A$5:$A$84,A26)+SUMIFS(Woodworking!$AC$5:$AC$84,Woodworking!$A$5:$A$84,A26)+SUMIFS(Digital!$X$5:$X$84,Digital!$A$5:$A$84,A26),2))</f>
        <v>0</v>
      </c>
      <c r="U26" s="20">
        <f>IF(B26="","",ROUND(SUMIFS(Labor!$O$5:$O$304,Labor!$A$5:$A$304,A26)+SUMIFS(Crochet!$AG$5:$AG$84,Crochet!$A$5:$A$84,A26)+SUMIFS(Jewelry!$AI$5:$AI$84,Jewelry!$A$5:$A$84,A26)+SUMIFS(Candles!$AI$5:$AI$84,Candles!$A$5:$A$84,A26)+SUMIFS(Clothing!$AE$5:$AE$84,Clothing!$A$5:$A$84,A26)+SUMIFS(Woodworking!$AF$5:$AF$84,Woodworking!$A$5:$A$84,A26)+SUMIFS(Digital!$Z$5:$Z$84,Digital!$A$5:$A$84,A26),2))</f>
        <v>0</v>
      </c>
      <c r="V26" s="36">
        <f>IF(B26="","",ROUND(SUMIFS(Labor!$P$5:$P$304,Labor!$A$5:$A$304,A26)+SUMIFS(Crochet!$AE$5:$AE$84,Crochet!$A$5:$A$84,A26)+SUMIFS(Jewelry!$AG$5:$AG$84,Jewelry!$A$5:$A$84,A26)+SUMIFS(Candles!$AG$5:$AG$84,Candles!$A$5:$A$84,A26)+SUMIFS(Clothing!$AC$5:$AC$84,Clothing!$A$5:$A$84,A26)+SUMIFS(Woodworking!$AD$5:$AD$84,Woodworking!$A$5:$A$84,A26)+SUMIFS(Digital!$Y$5:$Y$84,Digital!$A$5:$A$84,A26),1))</f>
        <v>0</v>
      </c>
      <c r="W26" s="41">
        <f>IF(B26="","",IFERROR(INDEX(DiffTimeFactors,MATCH(G26,DiffNames,0)),1))</f>
        <v>0</v>
      </c>
      <c r="X26" s="36">
        <f>IF(B26="","",ROUND(V26*W26,1))</f>
        <v>0</v>
      </c>
      <c r="Y26" s="41">
        <f>IF(B26="","",ROUND(X26/60,3))</f>
        <v>0</v>
      </c>
      <c r="Z26" s="20">
        <f>IF(B26="","",ROUND(U26*W26,2))</f>
        <v>0</v>
      </c>
      <c r="AA26" s="20">
        <f>IF(B26="","",ROUND(SUMIFS(Labor!$Q$5:$Q$304,Labor!$A$5:$A$304,A26)+SUMIFS(Crochet!$AH$5:$AH$84,Crochet!$A$5:$A$84,A26)+SUMIFS(Jewelry!$AJ$5:$AJ$84,Jewelry!$A$5:$A$84,A26)+SUMIFS(Candles!$AJ$5:$AJ$84,Candles!$A$5:$A$84,A26)+SUMIFS(Clothing!$AF$5:$AF$84,Clothing!$A$5:$A$84,A26)+SUMIFS(Woodworking!$AH$5:$AH$84,Woodworking!$A$5:$A$84,A26)+SUMIFS(Digital!$AA$5:$AA$84,Digital!$A$5:$A$84,A26),2))</f>
        <v>0</v>
      </c>
      <c r="AB26" s="20">
        <f>IF(B26="","",ROUND(IF(I26="Budget",PackBudget,IF(I26="Standard",PackStandard,IF(I26="Gift",PackGift,IF(I26="Premium",PackPremium,DefaultPackaging)))),2))</f>
        <v>0</v>
      </c>
      <c r="AC26" s="36">
        <f>IF(B26="","",IF(I26="Budget",PackWeightBudget,IF(I26="Standard",PackWeightStandard,IF(I26="Gift",PackWeightGift,IF(I26="Premium",PackWeightPremium,0)))))</f>
        <v>0</v>
      </c>
      <c r="AD26" s="20">
        <f>IF(B26="","",IFERROR(INDEX(Shipping!$M$5:$M$64,MATCH(J26,Shipping!$L$5:$L$64,0)),DefaultShipping))</f>
        <v>0</v>
      </c>
      <c r="AE26" s="20">
        <f>IF(B26="","",IFERROR(INDEX(Shipping!$F$5:$F$64,MATCH(J26,Shipping!$L$5:$L$64,0)),0))</f>
        <v>0</v>
      </c>
      <c r="AF26" s="36">
        <f>IF(B26="","",IFERROR(INDEX(Shipping!$C$5:$C$64,MATCH(J26,Shipping!$L$5:$L$64,0)),""))</f>
        <v>0</v>
      </c>
      <c r="AG26" s="20">
        <f>IF(B26="","",ROUND(MAX(0,AD26-AE26),2))</f>
        <v>0</v>
      </c>
      <c r="AH26" s="20">
        <f>IF(B26="","",ROUND(T26+Z26+AA26+AB26+AG26,2))</f>
        <v>0</v>
      </c>
      <c r="AI26" s="33">
        <f>IF(B26="","",IFERROR(INDEX(Channels!$S$5:$S$18,MATCH(IF(H26="",DefaultChannel,H26),Channels!$A$5:$A$18,0)),0))</f>
        <v>0</v>
      </c>
      <c r="AJ26" s="42">
        <f>IF(B26="","",IFERROR(INDEX(Channels!$O$5:$O$18,MATCH(IF(H26="",DefaultChannel,H26),Channels!$A$5:$A$18,0)),"No"))</f>
        <v>0</v>
      </c>
      <c r="AK26" s="20">
        <f>IF(B26="","",ROUND(IFERROR(INDEX(Channels!$T$5:$T$18,MATCH(IF(H26="",DefaultChannel,H26),Channels!$A$5:$A$18,0)),0)+IF(AJ26="Yes",AE26*AI26,0),4))</f>
        <v>0</v>
      </c>
      <c r="AL26" s="33">
        <f>IF(B26="","",IF(OverheadMethod="Share of revenue",IF(RevenueTargetMonth&lt;=0,0,OverheadMonthly/RevenueTargetMonth),0))</f>
        <v>0</v>
      </c>
      <c r="AM26" s="20">
        <f>IF(B26="","",IF(OverheadMethod="Per hour worked",ROUND(OverheadPerHour*Y26,2),IF(OR(OverheadMethod="Per unit made",OverheadMethod="Per order"),OverheadPerUnit,0)))</f>
        <v>0</v>
      </c>
      <c r="AN26" s="33">
        <f>IF(B26="","",IF(N26&lt;&gt;"",N26,TargetRetailMargin))</f>
        <v>0</v>
      </c>
      <c r="AO26" s="41">
        <f>IF(B26="","",1-AN26-AI26-AL26)</f>
        <v>0</v>
      </c>
      <c r="AP26" s="20">
        <f>IF(B26="","",IF(AO26&lt;=0,"",(AH26+AM26+AK26)/AO26))</f>
        <v>0</v>
      </c>
      <c r="AQ26" s="20">
        <f>IF(B26="","",IF(AP26="","Check the settings",ROUND(IF(RoundingRule="None",AP26,IF(RoundingRule="Nearest 0.99",MAX(0.99,CEILING(AP26,1)-0.01),IF(RoundingRule="Nearest 0.95",MAX(0.95,CEILING(AP26,1)-0.05),IF(RoundingRule="Nearest 0.50",CEILING(AP26,0.5),IF(RoundingRule="Nearest 1",CEILING(AP26,1),IF(RoundingRule="Nearest 5",CEILING(AP26,5),IF(RoundingRule="Up to whole 1",CEILING(AP26,1),IF(RoundingRule="Up to whole 5",CEILING(AP26,5),ROUND(AP26,2))))))))),2)))</f>
        <v>0</v>
      </c>
      <c r="AR26" s="20">
        <f>IF(B26="","",IF(M26&lt;&gt;"",M26,IF(ISNUMBER(AQ26),AQ26,"")))</f>
        <v>0</v>
      </c>
      <c r="AS26" s="20">
        <f>IF(B26="","",IF(AR26="","",ROUND(AM26+AR26*AL26,2)))</f>
        <v>0</v>
      </c>
      <c r="AT26" s="20">
        <f>IF(B26="","",IF(AR26="","",ROUND(AH26+AS26,2)))</f>
        <v>0</v>
      </c>
      <c r="AU26" s="20">
        <f>IF(B26="","",IF(AR26="","",ROUND(AR26*AI26+AK26,2)))</f>
        <v>0</v>
      </c>
      <c r="AV26" s="20">
        <f>IF(B26="","",IF(AR26="","",ROUND(AR26-AT26-AU26,2)))</f>
        <v>0</v>
      </c>
      <c r="AW26" s="33">
        <f>IF(B26="","",IF(OR(AR26="",AR26=0),"",AV26/AR26))</f>
        <v>0</v>
      </c>
      <c r="AX26" s="33">
        <f>IF(B26="","",IF(OR(AT26="",AT26=0),"",AV26/AT26))</f>
        <v>0</v>
      </c>
      <c r="AY26" s="20">
        <f>IF(B26="","",IF(OR(Y26="",Y26=0,AV26=""),"",ROUND(AV26/Y26,2)))</f>
        <v>0</v>
      </c>
      <c r="AZ26" s="20">
        <f>IF(B26="","",IF(OR(Y26="",Y26=0,AV26=""),"",ROUND((AV26+Z26)/Y26,2)))</f>
        <v>0</v>
      </c>
      <c r="BA26" s="20">
        <f>IF(B26="","",IF(1-AI26-AL26&lt;=0,"",ROUND((AH26+AM26+AK26)/(1-AI26-AL26),2)))</f>
        <v>0</v>
      </c>
      <c r="BB26" s="20">
        <f>IF(B26="","",IF(AT26="","",ROUND(AT26*2,2)))</f>
        <v>0</v>
      </c>
      <c r="BC26" s="20">
        <f>IF(B26="","",IF(AR26="","",ROUND(AR26*(1-WholesaleDiscount),2)))</f>
        <v>0</v>
      </c>
      <c r="BD26" s="20">
        <f>IF(B26="","",IF(BC26="","",ROUND(BC26-AH26-AM26,2)))</f>
        <v>0</v>
      </c>
      <c r="BE26" s="33">
        <f>IF(B26="","",IF(OR(BC26="",BC26=0),"",BD26/BC26))</f>
        <v>0</v>
      </c>
      <c r="BF26" s="20">
        <f>IF(B26="","",IFERROR(ROUND(AVERAGEIFS(Competitors!$F$5:$F$154,Competitors!$A$5:$A$154,A26),2),""))</f>
        <v>0</v>
      </c>
      <c r="BG26" s="33">
        <f>IF(B26="","",IF(OR(BF26="",BF26=0,AR26=""),"",AR26/BF26-1))</f>
        <v>0</v>
      </c>
      <c r="BH26" s="32">
        <f>IF(B26="","",SUMIFS(Sales!$D$5:$D$804,Sales!$C$5:$C$804,A26))</f>
        <v>0</v>
      </c>
      <c r="BI26" s="20">
        <f>IF(B26="","",ROUND(SUMIFS(Sales!$V$5:$V$804,Sales!$C$5:$C$804,A26),2))</f>
        <v>0</v>
      </c>
      <c r="BJ26" s="20">
        <f>IF(B26="","",ROUND(SUMIFS(Sales!$AG$5:$AG$804,Sales!$C$5:$C$804,A26),2))</f>
        <v>0</v>
      </c>
      <c r="BK26" s="33">
        <f>IF(B26="","",IF(OR(BI26="",BI26=0),"",BJ26/BI26))</f>
        <v>0</v>
      </c>
      <c r="BL26" s="17">
        <f>IF(B26="","",IF(SUMPRODUCT(MAX((Sales!$C$5:$C$804=A26)*Sales!$B$5:$B$804))=0,"",SUMPRODUCT(MAX((Sales!$C$5:$C$804=A26)*Sales!$B$5:$B$804))))</f>
        <v>0</v>
      </c>
      <c r="BM26" s="17">
        <f>IF(B26="","",IF(SUMPRODUCT(MAX(('Price History'!$B$5:$B$304=A26)*'Price History'!$A$5:$A$304))=0,IF(P26="","",P26),SUMPRODUCT(MAX(('Price History'!$B$5:$B$304=A26)*'Price History'!$A$5:$A$304))))</f>
        <v>0</v>
      </c>
      <c r="BN26" s="32">
        <f>IF(B26="","",IF(BM26="","",TodayDate-BM26))</f>
        <v>0</v>
      </c>
      <c r="BO26" s="32">
        <f>IF(B26="","",COUNTIFS($AV$5:$AV$304,"&gt;"&amp;AV26)+COUNTIFS($AV$5:AV26,AV26))</f>
        <v>0</v>
      </c>
      <c r="BP26" s="32">
        <f>IF(B26="","",COUNTIFS($AW$5:$AW$304,"&gt;"&amp;AW26)+COUNTIFS($AW$5:AW26,AW26))</f>
        <v>0</v>
      </c>
      <c r="BQ26" s="32">
        <f>IF(B26="","",COUNTIFS($BI$5:$BI$304,"&gt;"&amp;BI26)+COUNTIFS($BI$5:BI26,BI26))</f>
        <v>0</v>
      </c>
      <c r="BR26" s="32">
        <f>IF(B26="","",COUNTIFS($AY$5:$AY$304,"&gt;"&amp;AY26)+COUNTIFS($AY$5:AY26,AY26))</f>
        <v>0</v>
      </c>
      <c r="BS26" s="43">
        <f>IF(B26="","",IF(AH26=0,"Add - no costs entered yet",IF(AR26="","Check - no price yet",IF(AV26&lt;0,"Loss - every sale costs you money",IF(AND(AZ26&lt;&gt;"",AZ26&lt;MinimumWage),"Below - pays under minimum wage",IF(AW26&lt;MarginWarning,"Low margin - re-price it",IF(AND(AF26&lt;&gt;"",K26&lt;&gt;"",K26+AC26&gt;AF26),"Check - too heavy for that postage band",IF(AND(BN26&lt;&gt;"",BN26&gt;PriceReviewDays),"Due - price has not been reviewed",IF(AND(BG26&lt;&gt;"",BG26&gt;0.5),"Check - well above the market","OK")))))))) )</f>
        <v>0</v>
      </c>
    </row>
    <row r="27" spans="1:71">
      <c r="A27" s="38">
        <f>IF(B27="","",ProductPrefix&amp;TEXT(ROW()-4,"0000"))</f>
        <v>0</v>
      </c>
      <c r="S27" s="38">
        <f>IF(B27="","",IF(C27&lt;&gt;"",C27,UPPER(LEFT(IF(D27="","GEN",D27),3))&amp;"-"&amp;TEXT(ROW()-4,"000")))</f>
        <v>0</v>
      </c>
      <c r="T27" s="20">
        <f>IF(B27="","",ROUND(SUMIFS('Material Usage'!$M$5:$M$904,'Material Usage'!$A$5:$A$904,A27)+SUMIFS(Crochet!$AD$5:$AD$84,Crochet!$A$5:$A$84,A27)+SUMIFS(Jewelry!$AF$5:$AF$84,Jewelry!$A$5:$A$84,A27)+SUMIFS(Candles!$AF$5:$AF$84,Candles!$A$5:$A$84,A27)+SUMIFS(Clothing!$AB$5:$AB$84,Clothing!$A$5:$A$84,A27)+SUMIFS(Woodworking!$AC$5:$AC$84,Woodworking!$A$5:$A$84,A27)+SUMIFS(Digital!$X$5:$X$84,Digital!$A$5:$A$84,A27),2))</f>
        <v>0</v>
      </c>
      <c r="U27" s="20">
        <f>IF(B27="","",ROUND(SUMIFS(Labor!$O$5:$O$304,Labor!$A$5:$A$304,A27)+SUMIFS(Crochet!$AG$5:$AG$84,Crochet!$A$5:$A$84,A27)+SUMIFS(Jewelry!$AI$5:$AI$84,Jewelry!$A$5:$A$84,A27)+SUMIFS(Candles!$AI$5:$AI$84,Candles!$A$5:$A$84,A27)+SUMIFS(Clothing!$AE$5:$AE$84,Clothing!$A$5:$A$84,A27)+SUMIFS(Woodworking!$AF$5:$AF$84,Woodworking!$A$5:$A$84,A27)+SUMIFS(Digital!$Z$5:$Z$84,Digital!$A$5:$A$84,A27),2))</f>
        <v>0</v>
      </c>
      <c r="V27" s="36">
        <f>IF(B27="","",ROUND(SUMIFS(Labor!$P$5:$P$304,Labor!$A$5:$A$304,A27)+SUMIFS(Crochet!$AE$5:$AE$84,Crochet!$A$5:$A$84,A27)+SUMIFS(Jewelry!$AG$5:$AG$84,Jewelry!$A$5:$A$84,A27)+SUMIFS(Candles!$AG$5:$AG$84,Candles!$A$5:$A$84,A27)+SUMIFS(Clothing!$AC$5:$AC$84,Clothing!$A$5:$A$84,A27)+SUMIFS(Woodworking!$AD$5:$AD$84,Woodworking!$A$5:$A$84,A27)+SUMIFS(Digital!$Y$5:$Y$84,Digital!$A$5:$A$84,A27),1))</f>
        <v>0</v>
      </c>
      <c r="W27" s="41">
        <f>IF(B27="","",IFERROR(INDEX(DiffTimeFactors,MATCH(G27,DiffNames,0)),1))</f>
        <v>0</v>
      </c>
      <c r="X27" s="36">
        <f>IF(B27="","",ROUND(V27*W27,1))</f>
        <v>0</v>
      </c>
      <c r="Y27" s="41">
        <f>IF(B27="","",ROUND(X27/60,3))</f>
        <v>0</v>
      </c>
      <c r="Z27" s="20">
        <f>IF(B27="","",ROUND(U27*W27,2))</f>
        <v>0</v>
      </c>
      <c r="AA27" s="20">
        <f>IF(B27="","",ROUND(SUMIFS(Labor!$Q$5:$Q$304,Labor!$A$5:$A$304,A27)+SUMIFS(Crochet!$AH$5:$AH$84,Crochet!$A$5:$A$84,A27)+SUMIFS(Jewelry!$AJ$5:$AJ$84,Jewelry!$A$5:$A$84,A27)+SUMIFS(Candles!$AJ$5:$AJ$84,Candles!$A$5:$A$84,A27)+SUMIFS(Clothing!$AF$5:$AF$84,Clothing!$A$5:$A$84,A27)+SUMIFS(Woodworking!$AH$5:$AH$84,Woodworking!$A$5:$A$84,A27)+SUMIFS(Digital!$AA$5:$AA$84,Digital!$A$5:$A$84,A27),2))</f>
        <v>0</v>
      </c>
      <c r="AB27" s="20">
        <f>IF(B27="","",ROUND(IF(I27="Budget",PackBudget,IF(I27="Standard",PackStandard,IF(I27="Gift",PackGift,IF(I27="Premium",PackPremium,DefaultPackaging)))),2))</f>
        <v>0</v>
      </c>
      <c r="AC27" s="36">
        <f>IF(B27="","",IF(I27="Budget",PackWeightBudget,IF(I27="Standard",PackWeightStandard,IF(I27="Gift",PackWeightGift,IF(I27="Premium",PackWeightPremium,0)))))</f>
        <v>0</v>
      </c>
      <c r="AD27" s="20">
        <f>IF(B27="","",IFERROR(INDEX(Shipping!$M$5:$M$64,MATCH(J27,Shipping!$L$5:$L$64,0)),DefaultShipping))</f>
        <v>0</v>
      </c>
      <c r="AE27" s="20">
        <f>IF(B27="","",IFERROR(INDEX(Shipping!$F$5:$F$64,MATCH(J27,Shipping!$L$5:$L$64,0)),0))</f>
        <v>0</v>
      </c>
      <c r="AF27" s="36">
        <f>IF(B27="","",IFERROR(INDEX(Shipping!$C$5:$C$64,MATCH(J27,Shipping!$L$5:$L$64,0)),""))</f>
        <v>0</v>
      </c>
      <c r="AG27" s="20">
        <f>IF(B27="","",ROUND(MAX(0,AD27-AE27),2))</f>
        <v>0</v>
      </c>
      <c r="AH27" s="20">
        <f>IF(B27="","",ROUND(T27+Z27+AA27+AB27+AG27,2))</f>
        <v>0</v>
      </c>
      <c r="AI27" s="33">
        <f>IF(B27="","",IFERROR(INDEX(Channels!$S$5:$S$18,MATCH(IF(H27="",DefaultChannel,H27),Channels!$A$5:$A$18,0)),0))</f>
        <v>0</v>
      </c>
      <c r="AJ27" s="42">
        <f>IF(B27="","",IFERROR(INDEX(Channels!$O$5:$O$18,MATCH(IF(H27="",DefaultChannel,H27),Channels!$A$5:$A$18,0)),"No"))</f>
        <v>0</v>
      </c>
      <c r="AK27" s="20">
        <f>IF(B27="","",ROUND(IFERROR(INDEX(Channels!$T$5:$T$18,MATCH(IF(H27="",DefaultChannel,H27),Channels!$A$5:$A$18,0)),0)+IF(AJ27="Yes",AE27*AI27,0),4))</f>
        <v>0</v>
      </c>
      <c r="AL27" s="33">
        <f>IF(B27="","",IF(OverheadMethod="Share of revenue",IF(RevenueTargetMonth&lt;=0,0,OverheadMonthly/RevenueTargetMonth),0))</f>
        <v>0</v>
      </c>
      <c r="AM27" s="20">
        <f>IF(B27="","",IF(OverheadMethod="Per hour worked",ROUND(OverheadPerHour*Y27,2),IF(OR(OverheadMethod="Per unit made",OverheadMethod="Per order"),OverheadPerUnit,0)))</f>
        <v>0</v>
      </c>
      <c r="AN27" s="33">
        <f>IF(B27="","",IF(N27&lt;&gt;"",N27,TargetRetailMargin))</f>
        <v>0</v>
      </c>
      <c r="AO27" s="41">
        <f>IF(B27="","",1-AN27-AI27-AL27)</f>
        <v>0</v>
      </c>
      <c r="AP27" s="20">
        <f>IF(B27="","",IF(AO27&lt;=0,"",(AH27+AM27+AK27)/AO27))</f>
        <v>0</v>
      </c>
      <c r="AQ27" s="20">
        <f>IF(B27="","",IF(AP27="","Check the settings",ROUND(IF(RoundingRule="None",AP27,IF(RoundingRule="Nearest 0.99",MAX(0.99,CEILING(AP27,1)-0.01),IF(RoundingRule="Nearest 0.95",MAX(0.95,CEILING(AP27,1)-0.05),IF(RoundingRule="Nearest 0.50",CEILING(AP27,0.5),IF(RoundingRule="Nearest 1",CEILING(AP27,1),IF(RoundingRule="Nearest 5",CEILING(AP27,5),IF(RoundingRule="Up to whole 1",CEILING(AP27,1),IF(RoundingRule="Up to whole 5",CEILING(AP27,5),ROUND(AP27,2))))))))),2)))</f>
        <v>0</v>
      </c>
      <c r="AR27" s="20">
        <f>IF(B27="","",IF(M27&lt;&gt;"",M27,IF(ISNUMBER(AQ27),AQ27,"")))</f>
        <v>0</v>
      </c>
      <c r="AS27" s="20">
        <f>IF(B27="","",IF(AR27="","",ROUND(AM27+AR27*AL27,2)))</f>
        <v>0</v>
      </c>
      <c r="AT27" s="20">
        <f>IF(B27="","",IF(AR27="","",ROUND(AH27+AS27,2)))</f>
        <v>0</v>
      </c>
      <c r="AU27" s="20">
        <f>IF(B27="","",IF(AR27="","",ROUND(AR27*AI27+AK27,2)))</f>
        <v>0</v>
      </c>
      <c r="AV27" s="20">
        <f>IF(B27="","",IF(AR27="","",ROUND(AR27-AT27-AU27,2)))</f>
        <v>0</v>
      </c>
      <c r="AW27" s="33">
        <f>IF(B27="","",IF(OR(AR27="",AR27=0),"",AV27/AR27))</f>
        <v>0</v>
      </c>
      <c r="AX27" s="33">
        <f>IF(B27="","",IF(OR(AT27="",AT27=0),"",AV27/AT27))</f>
        <v>0</v>
      </c>
      <c r="AY27" s="20">
        <f>IF(B27="","",IF(OR(Y27="",Y27=0,AV27=""),"",ROUND(AV27/Y27,2)))</f>
        <v>0</v>
      </c>
      <c r="AZ27" s="20">
        <f>IF(B27="","",IF(OR(Y27="",Y27=0,AV27=""),"",ROUND((AV27+Z27)/Y27,2)))</f>
        <v>0</v>
      </c>
      <c r="BA27" s="20">
        <f>IF(B27="","",IF(1-AI27-AL27&lt;=0,"",ROUND((AH27+AM27+AK27)/(1-AI27-AL27),2)))</f>
        <v>0</v>
      </c>
      <c r="BB27" s="20">
        <f>IF(B27="","",IF(AT27="","",ROUND(AT27*2,2)))</f>
        <v>0</v>
      </c>
      <c r="BC27" s="20">
        <f>IF(B27="","",IF(AR27="","",ROUND(AR27*(1-WholesaleDiscount),2)))</f>
        <v>0</v>
      </c>
      <c r="BD27" s="20">
        <f>IF(B27="","",IF(BC27="","",ROUND(BC27-AH27-AM27,2)))</f>
        <v>0</v>
      </c>
      <c r="BE27" s="33">
        <f>IF(B27="","",IF(OR(BC27="",BC27=0),"",BD27/BC27))</f>
        <v>0</v>
      </c>
      <c r="BF27" s="20">
        <f>IF(B27="","",IFERROR(ROUND(AVERAGEIFS(Competitors!$F$5:$F$154,Competitors!$A$5:$A$154,A27),2),""))</f>
        <v>0</v>
      </c>
      <c r="BG27" s="33">
        <f>IF(B27="","",IF(OR(BF27="",BF27=0,AR27=""),"",AR27/BF27-1))</f>
        <v>0</v>
      </c>
      <c r="BH27" s="32">
        <f>IF(B27="","",SUMIFS(Sales!$D$5:$D$804,Sales!$C$5:$C$804,A27))</f>
        <v>0</v>
      </c>
      <c r="BI27" s="20">
        <f>IF(B27="","",ROUND(SUMIFS(Sales!$V$5:$V$804,Sales!$C$5:$C$804,A27),2))</f>
        <v>0</v>
      </c>
      <c r="BJ27" s="20">
        <f>IF(B27="","",ROUND(SUMIFS(Sales!$AG$5:$AG$804,Sales!$C$5:$C$804,A27),2))</f>
        <v>0</v>
      </c>
      <c r="BK27" s="33">
        <f>IF(B27="","",IF(OR(BI27="",BI27=0),"",BJ27/BI27))</f>
        <v>0</v>
      </c>
      <c r="BL27" s="17">
        <f>IF(B27="","",IF(SUMPRODUCT(MAX((Sales!$C$5:$C$804=A27)*Sales!$B$5:$B$804))=0,"",SUMPRODUCT(MAX((Sales!$C$5:$C$804=A27)*Sales!$B$5:$B$804))))</f>
        <v>0</v>
      </c>
      <c r="BM27" s="17">
        <f>IF(B27="","",IF(SUMPRODUCT(MAX(('Price History'!$B$5:$B$304=A27)*'Price History'!$A$5:$A$304))=0,IF(P27="","",P27),SUMPRODUCT(MAX(('Price History'!$B$5:$B$304=A27)*'Price History'!$A$5:$A$304))))</f>
        <v>0</v>
      </c>
      <c r="BN27" s="32">
        <f>IF(B27="","",IF(BM27="","",TodayDate-BM27))</f>
        <v>0</v>
      </c>
      <c r="BO27" s="32">
        <f>IF(B27="","",COUNTIFS($AV$5:$AV$304,"&gt;"&amp;AV27)+COUNTIFS($AV$5:AV27,AV27))</f>
        <v>0</v>
      </c>
      <c r="BP27" s="32">
        <f>IF(B27="","",COUNTIFS($AW$5:$AW$304,"&gt;"&amp;AW27)+COUNTIFS($AW$5:AW27,AW27))</f>
        <v>0</v>
      </c>
      <c r="BQ27" s="32">
        <f>IF(B27="","",COUNTIFS($BI$5:$BI$304,"&gt;"&amp;BI27)+COUNTIFS($BI$5:BI27,BI27))</f>
        <v>0</v>
      </c>
      <c r="BR27" s="32">
        <f>IF(B27="","",COUNTIFS($AY$5:$AY$304,"&gt;"&amp;AY27)+COUNTIFS($AY$5:AY27,AY27))</f>
        <v>0</v>
      </c>
      <c r="BS27" s="43">
        <f>IF(B27="","",IF(AH27=0,"Add - no costs entered yet",IF(AR27="","Check - no price yet",IF(AV27&lt;0,"Loss - every sale costs you money",IF(AND(AZ27&lt;&gt;"",AZ27&lt;MinimumWage),"Below - pays under minimum wage",IF(AW27&lt;MarginWarning,"Low margin - re-price it",IF(AND(AF27&lt;&gt;"",K27&lt;&gt;"",K27+AC27&gt;AF27),"Check - too heavy for that postage band",IF(AND(BN27&lt;&gt;"",BN27&gt;PriceReviewDays),"Due - price has not been reviewed",IF(AND(BG27&lt;&gt;"",BG27&gt;0.5),"Check - well above the market","OK")))))))) )</f>
        <v>0</v>
      </c>
    </row>
    <row r="28" spans="1:71">
      <c r="A28" s="38">
        <f>IF(B28="","",ProductPrefix&amp;TEXT(ROW()-4,"0000"))</f>
        <v>0</v>
      </c>
      <c r="S28" s="38">
        <f>IF(B28="","",IF(C28&lt;&gt;"",C28,UPPER(LEFT(IF(D28="","GEN",D28),3))&amp;"-"&amp;TEXT(ROW()-4,"000")))</f>
        <v>0</v>
      </c>
      <c r="T28" s="20">
        <f>IF(B28="","",ROUND(SUMIFS('Material Usage'!$M$5:$M$904,'Material Usage'!$A$5:$A$904,A28)+SUMIFS(Crochet!$AD$5:$AD$84,Crochet!$A$5:$A$84,A28)+SUMIFS(Jewelry!$AF$5:$AF$84,Jewelry!$A$5:$A$84,A28)+SUMIFS(Candles!$AF$5:$AF$84,Candles!$A$5:$A$84,A28)+SUMIFS(Clothing!$AB$5:$AB$84,Clothing!$A$5:$A$84,A28)+SUMIFS(Woodworking!$AC$5:$AC$84,Woodworking!$A$5:$A$84,A28)+SUMIFS(Digital!$X$5:$X$84,Digital!$A$5:$A$84,A28),2))</f>
        <v>0</v>
      </c>
      <c r="U28" s="20">
        <f>IF(B28="","",ROUND(SUMIFS(Labor!$O$5:$O$304,Labor!$A$5:$A$304,A28)+SUMIFS(Crochet!$AG$5:$AG$84,Crochet!$A$5:$A$84,A28)+SUMIFS(Jewelry!$AI$5:$AI$84,Jewelry!$A$5:$A$84,A28)+SUMIFS(Candles!$AI$5:$AI$84,Candles!$A$5:$A$84,A28)+SUMIFS(Clothing!$AE$5:$AE$84,Clothing!$A$5:$A$84,A28)+SUMIFS(Woodworking!$AF$5:$AF$84,Woodworking!$A$5:$A$84,A28)+SUMIFS(Digital!$Z$5:$Z$84,Digital!$A$5:$A$84,A28),2))</f>
        <v>0</v>
      </c>
      <c r="V28" s="36">
        <f>IF(B28="","",ROUND(SUMIFS(Labor!$P$5:$P$304,Labor!$A$5:$A$304,A28)+SUMIFS(Crochet!$AE$5:$AE$84,Crochet!$A$5:$A$84,A28)+SUMIFS(Jewelry!$AG$5:$AG$84,Jewelry!$A$5:$A$84,A28)+SUMIFS(Candles!$AG$5:$AG$84,Candles!$A$5:$A$84,A28)+SUMIFS(Clothing!$AC$5:$AC$84,Clothing!$A$5:$A$84,A28)+SUMIFS(Woodworking!$AD$5:$AD$84,Woodworking!$A$5:$A$84,A28)+SUMIFS(Digital!$Y$5:$Y$84,Digital!$A$5:$A$84,A28),1))</f>
        <v>0</v>
      </c>
      <c r="W28" s="41">
        <f>IF(B28="","",IFERROR(INDEX(DiffTimeFactors,MATCH(G28,DiffNames,0)),1))</f>
        <v>0</v>
      </c>
      <c r="X28" s="36">
        <f>IF(B28="","",ROUND(V28*W28,1))</f>
        <v>0</v>
      </c>
      <c r="Y28" s="41">
        <f>IF(B28="","",ROUND(X28/60,3))</f>
        <v>0</v>
      </c>
      <c r="Z28" s="20">
        <f>IF(B28="","",ROUND(U28*W28,2))</f>
        <v>0</v>
      </c>
      <c r="AA28" s="20">
        <f>IF(B28="","",ROUND(SUMIFS(Labor!$Q$5:$Q$304,Labor!$A$5:$A$304,A28)+SUMIFS(Crochet!$AH$5:$AH$84,Crochet!$A$5:$A$84,A28)+SUMIFS(Jewelry!$AJ$5:$AJ$84,Jewelry!$A$5:$A$84,A28)+SUMIFS(Candles!$AJ$5:$AJ$84,Candles!$A$5:$A$84,A28)+SUMIFS(Clothing!$AF$5:$AF$84,Clothing!$A$5:$A$84,A28)+SUMIFS(Woodworking!$AH$5:$AH$84,Woodworking!$A$5:$A$84,A28)+SUMIFS(Digital!$AA$5:$AA$84,Digital!$A$5:$A$84,A28),2))</f>
        <v>0</v>
      </c>
      <c r="AB28" s="20">
        <f>IF(B28="","",ROUND(IF(I28="Budget",PackBudget,IF(I28="Standard",PackStandard,IF(I28="Gift",PackGift,IF(I28="Premium",PackPremium,DefaultPackaging)))),2))</f>
        <v>0</v>
      </c>
      <c r="AC28" s="36">
        <f>IF(B28="","",IF(I28="Budget",PackWeightBudget,IF(I28="Standard",PackWeightStandard,IF(I28="Gift",PackWeightGift,IF(I28="Premium",PackWeightPremium,0)))))</f>
        <v>0</v>
      </c>
      <c r="AD28" s="20">
        <f>IF(B28="","",IFERROR(INDEX(Shipping!$M$5:$M$64,MATCH(J28,Shipping!$L$5:$L$64,0)),DefaultShipping))</f>
        <v>0</v>
      </c>
      <c r="AE28" s="20">
        <f>IF(B28="","",IFERROR(INDEX(Shipping!$F$5:$F$64,MATCH(J28,Shipping!$L$5:$L$64,0)),0))</f>
        <v>0</v>
      </c>
      <c r="AF28" s="36">
        <f>IF(B28="","",IFERROR(INDEX(Shipping!$C$5:$C$64,MATCH(J28,Shipping!$L$5:$L$64,0)),""))</f>
        <v>0</v>
      </c>
      <c r="AG28" s="20">
        <f>IF(B28="","",ROUND(MAX(0,AD28-AE28),2))</f>
        <v>0</v>
      </c>
      <c r="AH28" s="20">
        <f>IF(B28="","",ROUND(T28+Z28+AA28+AB28+AG28,2))</f>
        <v>0</v>
      </c>
      <c r="AI28" s="33">
        <f>IF(B28="","",IFERROR(INDEX(Channels!$S$5:$S$18,MATCH(IF(H28="",DefaultChannel,H28),Channels!$A$5:$A$18,0)),0))</f>
        <v>0</v>
      </c>
      <c r="AJ28" s="42">
        <f>IF(B28="","",IFERROR(INDEX(Channels!$O$5:$O$18,MATCH(IF(H28="",DefaultChannel,H28),Channels!$A$5:$A$18,0)),"No"))</f>
        <v>0</v>
      </c>
      <c r="AK28" s="20">
        <f>IF(B28="","",ROUND(IFERROR(INDEX(Channels!$T$5:$T$18,MATCH(IF(H28="",DefaultChannel,H28),Channels!$A$5:$A$18,0)),0)+IF(AJ28="Yes",AE28*AI28,0),4))</f>
        <v>0</v>
      </c>
      <c r="AL28" s="33">
        <f>IF(B28="","",IF(OverheadMethod="Share of revenue",IF(RevenueTargetMonth&lt;=0,0,OverheadMonthly/RevenueTargetMonth),0))</f>
        <v>0</v>
      </c>
      <c r="AM28" s="20">
        <f>IF(B28="","",IF(OverheadMethod="Per hour worked",ROUND(OverheadPerHour*Y28,2),IF(OR(OverheadMethod="Per unit made",OverheadMethod="Per order"),OverheadPerUnit,0)))</f>
        <v>0</v>
      </c>
      <c r="AN28" s="33">
        <f>IF(B28="","",IF(N28&lt;&gt;"",N28,TargetRetailMargin))</f>
        <v>0</v>
      </c>
      <c r="AO28" s="41">
        <f>IF(B28="","",1-AN28-AI28-AL28)</f>
        <v>0</v>
      </c>
      <c r="AP28" s="20">
        <f>IF(B28="","",IF(AO28&lt;=0,"",(AH28+AM28+AK28)/AO28))</f>
        <v>0</v>
      </c>
      <c r="AQ28" s="20">
        <f>IF(B28="","",IF(AP28="","Check the settings",ROUND(IF(RoundingRule="None",AP28,IF(RoundingRule="Nearest 0.99",MAX(0.99,CEILING(AP28,1)-0.01),IF(RoundingRule="Nearest 0.95",MAX(0.95,CEILING(AP28,1)-0.05),IF(RoundingRule="Nearest 0.50",CEILING(AP28,0.5),IF(RoundingRule="Nearest 1",CEILING(AP28,1),IF(RoundingRule="Nearest 5",CEILING(AP28,5),IF(RoundingRule="Up to whole 1",CEILING(AP28,1),IF(RoundingRule="Up to whole 5",CEILING(AP28,5),ROUND(AP28,2))))))))),2)))</f>
        <v>0</v>
      </c>
      <c r="AR28" s="20">
        <f>IF(B28="","",IF(M28&lt;&gt;"",M28,IF(ISNUMBER(AQ28),AQ28,"")))</f>
        <v>0</v>
      </c>
      <c r="AS28" s="20">
        <f>IF(B28="","",IF(AR28="","",ROUND(AM28+AR28*AL28,2)))</f>
        <v>0</v>
      </c>
      <c r="AT28" s="20">
        <f>IF(B28="","",IF(AR28="","",ROUND(AH28+AS28,2)))</f>
        <v>0</v>
      </c>
      <c r="AU28" s="20">
        <f>IF(B28="","",IF(AR28="","",ROUND(AR28*AI28+AK28,2)))</f>
        <v>0</v>
      </c>
      <c r="AV28" s="20">
        <f>IF(B28="","",IF(AR28="","",ROUND(AR28-AT28-AU28,2)))</f>
        <v>0</v>
      </c>
      <c r="AW28" s="33">
        <f>IF(B28="","",IF(OR(AR28="",AR28=0),"",AV28/AR28))</f>
        <v>0</v>
      </c>
      <c r="AX28" s="33">
        <f>IF(B28="","",IF(OR(AT28="",AT28=0),"",AV28/AT28))</f>
        <v>0</v>
      </c>
      <c r="AY28" s="20">
        <f>IF(B28="","",IF(OR(Y28="",Y28=0,AV28=""),"",ROUND(AV28/Y28,2)))</f>
        <v>0</v>
      </c>
      <c r="AZ28" s="20">
        <f>IF(B28="","",IF(OR(Y28="",Y28=0,AV28=""),"",ROUND((AV28+Z28)/Y28,2)))</f>
        <v>0</v>
      </c>
      <c r="BA28" s="20">
        <f>IF(B28="","",IF(1-AI28-AL28&lt;=0,"",ROUND((AH28+AM28+AK28)/(1-AI28-AL28),2)))</f>
        <v>0</v>
      </c>
      <c r="BB28" s="20">
        <f>IF(B28="","",IF(AT28="","",ROUND(AT28*2,2)))</f>
        <v>0</v>
      </c>
      <c r="BC28" s="20">
        <f>IF(B28="","",IF(AR28="","",ROUND(AR28*(1-WholesaleDiscount),2)))</f>
        <v>0</v>
      </c>
      <c r="BD28" s="20">
        <f>IF(B28="","",IF(BC28="","",ROUND(BC28-AH28-AM28,2)))</f>
        <v>0</v>
      </c>
      <c r="BE28" s="33">
        <f>IF(B28="","",IF(OR(BC28="",BC28=0),"",BD28/BC28))</f>
        <v>0</v>
      </c>
      <c r="BF28" s="20">
        <f>IF(B28="","",IFERROR(ROUND(AVERAGEIFS(Competitors!$F$5:$F$154,Competitors!$A$5:$A$154,A28),2),""))</f>
        <v>0</v>
      </c>
      <c r="BG28" s="33">
        <f>IF(B28="","",IF(OR(BF28="",BF28=0,AR28=""),"",AR28/BF28-1))</f>
        <v>0</v>
      </c>
      <c r="BH28" s="32">
        <f>IF(B28="","",SUMIFS(Sales!$D$5:$D$804,Sales!$C$5:$C$804,A28))</f>
        <v>0</v>
      </c>
      <c r="BI28" s="20">
        <f>IF(B28="","",ROUND(SUMIFS(Sales!$V$5:$V$804,Sales!$C$5:$C$804,A28),2))</f>
        <v>0</v>
      </c>
      <c r="BJ28" s="20">
        <f>IF(B28="","",ROUND(SUMIFS(Sales!$AG$5:$AG$804,Sales!$C$5:$C$804,A28),2))</f>
        <v>0</v>
      </c>
      <c r="BK28" s="33">
        <f>IF(B28="","",IF(OR(BI28="",BI28=0),"",BJ28/BI28))</f>
        <v>0</v>
      </c>
      <c r="BL28" s="17">
        <f>IF(B28="","",IF(SUMPRODUCT(MAX((Sales!$C$5:$C$804=A28)*Sales!$B$5:$B$804))=0,"",SUMPRODUCT(MAX((Sales!$C$5:$C$804=A28)*Sales!$B$5:$B$804))))</f>
        <v>0</v>
      </c>
      <c r="BM28" s="17">
        <f>IF(B28="","",IF(SUMPRODUCT(MAX(('Price History'!$B$5:$B$304=A28)*'Price History'!$A$5:$A$304))=0,IF(P28="","",P28),SUMPRODUCT(MAX(('Price History'!$B$5:$B$304=A28)*'Price History'!$A$5:$A$304))))</f>
        <v>0</v>
      </c>
      <c r="BN28" s="32">
        <f>IF(B28="","",IF(BM28="","",TodayDate-BM28))</f>
        <v>0</v>
      </c>
      <c r="BO28" s="32">
        <f>IF(B28="","",COUNTIFS($AV$5:$AV$304,"&gt;"&amp;AV28)+COUNTIFS($AV$5:AV28,AV28))</f>
        <v>0</v>
      </c>
      <c r="BP28" s="32">
        <f>IF(B28="","",COUNTIFS($AW$5:$AW$304,"&gt;"&amp;AW28)+COUNTIFS($AW$5:AW28,AW28))</f>
        <v>0</v>
      </c>
      <c r="BQ28" s="32">
        <f>IF(B28="","",COUNTIFS($BI$5:$BI$304,"&gt;"&amp;BI28)+COUNTIFS($BI$5:BI28,BI28))</f>
        <v>0</v>
      </c>
      <c r="BR28" s="32">
        <f>IF(B28="","",COUNTIFS($AY$5:$AY$304,"&gt;"&amp;AY28)+COUNTIFS($AY$5:AY28,AY28))</f>
        <v>0</v>
      </c>
      <c r="BS28" s="43">
        <f>IF(B28="","",IF(AH28=0,"Add - no costs entered yet",IF(AR28="","Check - no price yet",IF(AV28&lt;0,"Loss - every sale costs you money",IF(AND(AZ28&lt;&gt;"",AZ28&lt;MinimumWage),"Below - pays under minimum wage",IF(AW28&lt;MarginWarning,"Low margin - re-price it",IF(AND(AF28&lt;&gt;"",K28&lt;&gt;"",K28+AC28&gt;AF28),"Check - too heavy for that postage band",IF(AND(BN28&lt;&gt;"",BN28&gt;PriceReviewDays),"Due - price has not been reviewed",IF(AND(BG28&lt;&gt;"",BG28&gt;0.5),"Check - well above the market","OK")))))))) )</f>
        <v>0</v>
      </c>
    </row>
    <row r="29" spans="1:71">
      <c r="A29" s="38">
        <f>IF(B29="","",ProductPrefix&amp;TEXT(ROW()-4,"0000"))</f>
        <v>0</v>
      </c>
      <c r="S29" s="38">
        <f>IF(B29="","",IF(C29&lt;&gt;"",C29,UPPER(LEFT(IF(D29="","GEN",D29),3))&amp;"-"&amp;TEXT(ROW()-4,"000")))</f>
        <v>0</v>
      </c>
      <c r="T29" s="20">
        <f>IF(B29="","",ROUND(SUMIFS('Material Usage'!$M$5:$M$904,'Material Usage'!$A$5:$A$904,A29)+SUMIFS(Crochet!$AD$5:$AD$84,Crochet!$A$5:$A$84,A29)+SUMIFS(Jewelry!$AF$5:$AF$84,Jewelry!$A$5:$A$84,A29)+SUMIFS(Candles!$AF$5:$AF$84,Candles!$A$5:$A$84,A29)+SUMIFS(Clothing!$AB$5:$AB$84,Clothing!$A$5:$A$84,A29)+SUMIFS(Woodworking!$AC$5:$AC$84,Woodworking!$A$5:$A$84,A29)+SUMIFS(Digital!$X$5:$X$84,Digital!$A$5:$A$84,A29),2))</f>
        <v>0</v>
      </c>
      <c r="U29" s="20">
        <f>IF(B29="","",ROUND(SUMIFS(Labor!$O$5:$O$304,Labor!$A$5:$A$304,A29)+SUMIFS(Crochet!$AG$5:$AG$84,Crochet!$A$5:$A$84,A29)+SUMIFS(Jewelry!$AI$5:$AI$84,Jewelry!$A$5:$A$84,A29)+SUMIFS(Candles!$AI$5:$AI$84,Candles!$A$5:$A$84,A29)+SUMIFS(Clothing!$AE$5:$AE$84,Clothing!$A$5:$A$84,A29)+SUMIFS(Woodworking!$AF$5:$AF$84,Woodworking!$A$5:$A$84,A29)+SUMIFS(Digital!$Z$5:$Z$84,Digital!$A$5:$A$84,A29),2))</f>
        <v>0</v>
      </c>
      <c r="V29" s="36">
        <f>IF(B29="","",ROUND(SUMIFS(Labor!$P$5:$P$304,Labor!$A$5:$A$304,A29)+SUMIFS(Crochet!$AE$5:$AE$84,Crochet!$A$5:$A$84,A29)+SUMIFS(Jewelry!$AG$5:$AG$84,Jewelry!$A$5:$A$84,A29)+SUMIFS(Candles!$AG$5:$AG$84,Candles!$A$5:$A$84,A29)+SUMIFS(Clothing!$AC$5:$AC$84,Clothing!$A$5:$A$84,A29)+SUMIFS(Woodworking!$AD$5:$AD$84,Woodworking!$A$5:$A$84,A29)+SUMIFS(Digital!$Y$5:$Y$84,Digital!$A$5:$A$84,A29),1))</f>
        <v>0</v>
      </c>
      <c r="W29" s="41">
        <f>IF(B29="","",IFERROR(INDEX(DiffTimeFactors,MATCH(G29,DiffNames,0)),1))</f>
        <v>0</v>
      </c>
      <c r="X29" s="36">
        <f>IF(B29="","",ROUND(V29*W29,1))</f>
        <v>0</v>
      </c>
      <c r="Y29" s="41">
        <f>IF(B29="","",ROUND(X29/60,3))</f>
        <v>0</v>
      </c>
      <c r="Z29" s="20">
        <f>IF(B29="","",ROUND(U29*W29,2))</f>
        <v>0</v>
      </c>
      <c r="AA29" s="20">
        <f>IF(B29="","",ROUND(SUMIFS(Labor!$Q$5:$Q$304,Labor!$A$5:$A$304,A29)+SUMIFS(Crochet!$AH$5:$AH$84,Crochet!$A$5:$A$84,A29)+SUMIFS(Jewelry!$AJ$5:$AJ$84,Jewelry!$A$5:$A$84,A29)+SUMIFS(Candles!$AJ$5:$AJ$84,Candles!$A$5:$A$84,A29)+SUMIFS(Clothing!$AF$5:$AF$84,Clothing!$A$5:$A$84,A29)+SUMIFS(Woodworking!$AH$5:$AH$84,Woodworking!$A$5:$A$84,A29)+SUMIFS(Digital!$AA$5:$AA$84,Digital!$A$5:$A$84,A29),2))</f>
        <v>0</v>
      </c>
      <c r="AB29" s="20">
        <f>IF(B29="","",ROUND(IF(I29="Budget",PackBudget,IF(I29="Standard",PackStandard,IF(I29="Gift",PackGift,IF(I29="Premium",PackPremium,DefaultPackaging)))),2))</f>
        <v>0</v>
      </c>
      <c r="AC29" s="36">
        <f>IF(B29="","",IF(I29="Budget",PackWeightBudget,IF(I29="Standard",PackWeightStandard,IF(I29="Gift",PackWeightGift,IF(I29="Premium",PackWeightPremium,0)))))</f>
        <v>0</v>
      </c>
      <c r="AD29" s="20">
        <f>IF(B29="","",IFERROR(INDEX(Shipping!$M$5:$M$64,MATCH(J29,Shipping!$L$5:$L$64,0)),DefaultShipping))</f>
        <v>0</v>
      </c>
      <c r="AE29" s="20">
        <f>IF(B29="","",IFERROR(INDEX(Shipping!$F$5:$F$64,MATCH(J29,Shipping!$L$5:$L$64,0)),0))</f>
        <v>0</v>
      </c>
      <c r="AF29" s="36">
        <f>IF(B29="","",IFERROR(INDEX(Shipping!$C$5:$C$64,MATCH(J29,Shipping!$L$5:$L$64,0)),""))</f>
        <v>0</v>
      </c>
      <c r="AG29" s="20">
        <f>IF(B29="","",ROUND(MAX(0,AD29-AE29),2))</f>
        <v>0</v>
      </c>
      <c r="AH29" s="20">
        <f>IF(B29="","",ROUND(T29+Z29+AA29+AB29+AG29,2))</f>
        <v>0</v>
      </c>
      <c r="AI29" s="33">
        <f>IF(B29="","",IFERROR(INDEX(Channels!$S$5:$S$18,MATCH(IF(H29="",DefaultChannel,H29),Channels!$A$5:$A$18,0)),0))</f>
        <v>0</v>
      </c>
      <c r="AJ29" s="42">
        <f>IF(B29="","",IFERROR(INDEX(Channels!$O$5:$O$18,MATCH(IF(H29="",DefaultChannel,H29),Channels!$A$5:$A$18,0)),"No"))</f>
        <v>0</v>
      </c>
      <c r="AK29" s="20">
        <f>IF(B29="","",ROUND(IFERROR(INDEX(Channels!$T$5:$T$18,MATCH(IF(H29="",DefaultChannel,H29),Channels!$A$5:$A$18,0)),0)+IF(AJ29="Yes",AE29*AI29,0),4))</f>
        <v>0</v>
      </c>
      <c r="AL29" s="33">
        <f>IF(B29="","",IF(OverheadMethod="Share of revenue",IF(RevenueTargetMonth&lt;=0,0,OverheadMonthly/RevenueTargetMonth),0))</f>
        <v>0</v>
      </c>
      <c r="AM29" s="20">
        <f>IF(B29="","",IF(OverheadMethod="Per hour worked",ROUND(OverheadPerHour*Y29,2),IF(OR(OverheadMethod="Per unit made",OverheadMethod="Per order"),OverheadPerUnit,0)))</f>
        <v>0</v>
      </c>
      <c r="AN29" s="33">
        <f>IF(B29="","",IF(N29&lt;&gt;"",N29,TargetRetailMargin))</f>
        <v>0</v>
      </c>
      <c r="AO29" s="41">
        <f>IF(B29="","",1-AN29-AI29-AL29)</f>
        <v>0</v>
      </c>
      <c r="AP29" s="20">
        <f>IF(B29="","",IF(AO29&lt;=0,"",(AH29+AM29+AK29)/AO29))</f>
        <v>0</v>
      </c>
      <c r="AQ29" s="20">
        <f>IF(B29="","",IF(AP29="","Check the settings",ROUND(IF(RoundingRule="None",AP29,IF(RoundingRule="Nearest 0.99",MAX(0.99,CEILING(AP29,1)-0.01),IF(RoundingRule="Nearest 0.95",MAX(0.95,CEILING(AP29,1)-0.05),IF(RoundingRule="Nearest 0.50",CEILING(AP29,0.5),IF(RoundingRule="Nearest 1",CEILING(AP29,1),IF(RoundingRule="Nearest 5",CEILING(AP29,5),IF(RoundingRule="Up to whole 1",CEILING(AP29,1),IF(RoundingRule="Up to whole 5",CEILING(AP29,5),ROUND(AP29,2))))))))),2)))</f>
        <v>0</v>
      </c>
      <c r="AR29" s="20">
        <f>IF(B29="","",IF(M29&lt;&gt;"",M29,IF(ISNUMBER(AQ29),AQ29,"")))</f>
        <v>0</v>
      </c>
      <c r="AS29" s="20">
        <f>IF(B29="","",IF(AR29="","",ROUND(AM29+AR29*AL29,2)))</f>
        <v>0</v>
      </c>
      <c r="AT29" s="20">
        <f>IF(B29="","",IF(AR29="","",ROUND(AH29+AS29,2)))</f>
        <v>0</v>
      </c>
      <c r="AU29" s="20">
        <f>IF(B29="","",IF(AR29="","",ROUND(AR29*AI29+AK29,2)))</f>
        <v>0</v>
      </c>
      <c r="AV29" s="20">
        <f>IF(B29="","",IF(AR29="","",ROUND(AR29-AT29-AU29,2)))</f>
        <v>0</v>
      </c>
      <c r="AW29" s="33">
        <f>IF(B29="","",IF(OR(AR29="",AR29=0),"",AV29/AR29))</f>
        <v>0</v>
      </c>
      <c r="AX29" s="33">
        <f>IF(B29="","",IF(OR(AT29="",AT29=0),"",AV29/AT29))</f>
        <v>0</v>
      </c>
      <c r="AY29" s="20">
        <f>IF(B29="","",IF(OR(Y29="",Y29=0,AV29=""),"",ROUND(AV29/Y29,2)))</f>
        <v>0</v>
      </c>
      <c r="AZ29" s="20">
        <f>IF(B29="","",IF(OR(Y29="",Y29=0,AV29=""),"",ROUND((AV29+Z29)/Y29,2)))</f>
        <v>0</v>
      </c>
      <c r="BA29" s="20">
        <f>IF(B29="","",IF(1-AI29-AL29&lt;=0,"",ROUND((AH29+AM29+AK29)/(1-AI29-AL29),2)))</f>
        <v>0</v>
      </c>
      <c r="BB29" s="20">
        <f>IF(B29="","",IF(AT29="","",ROUND(AT29*2,2)))</f>
        <v>0</v>
      </c>
      <c r="BC29" s="20">
        <f>IF(B29="","",IF(AR29="","",ROUND(AR29*(1-WholesaleDiscount),2)))</f>
        <v>0</v>
      </c>
      <c r="BD29" s="20">
        <f>IF(B29="","",IF(BC29="","",ROUND(BC29-AH29-AM29,2)))</f>
        <v>0</v>
      </c>
      <c r="BE29" s="33">
        <f>IF(B29="","",IF(OR(BC29="",BC29=0),"",BD29/BC29))</f>
        <v>0</v>
      </c>
      <c r="BF29" s="20">
        <f>IF(B29="","",IFERROR(ROUND(AVERAGEIFS(Competitors!$F$5:$F$154,Competitors!$A$5:$A$154,A29),2),""))</f>
        <v>0</v>
      </c>
      <c r="BG29" s="33">
        <f>IF(B29="","",IF(OR(BF29="",BF29=0,AR29=""),"",AR29/BF29-1))</f>
        <v>0</v>
      </c>
      <c r="BH29" s="32">
        <f>IF(B29="","",SUMIFS(Sales!$D$5:$D$804,Sales!$C$5:$C$804,A29))</f>
        <v>0</v>
      </c>
      <c r="BI29" s="20">
        <f>IF(B29="","",ROUND(SUMIFS(Sales!$V$5:$V$804,Sales!$C$5:$C$804,A29),2))</f>
        <v>0</v>
      </c>
      <c r="BJ29" s="20">
        <f>IF(B29="","",ROUND(SUMIFS(Sales!$AG$5:$AG$804,Sales!$C$5:$C$804,A29),2))</f>
        <v>0</v>
      </c>
      <c r="BK29" s="33">
        <f>IF(B29="","",IF(OR(BI29="",BI29=0),"",BJ29/BI29))</f>
        <v>0</v>
      </c>
      <c r="BL29" s="17">
        <f>IF(B29="","",IF(SUMPRODUCT(MAX((Sales!$C$5:$C$804=A29)*Sales!$B$5:$B$804))=0,"",SUMPRODUCT(MAX((Sales!$C$5:$C$804=A29)*Sales!$B$5:$B$804))))</f>
        <v>0</v>
      </c>
      <c r="BM29" s="17">
        <f>IF(B29="","",IF(SUMPRODUCT(MAX(('Price History'!$B$5:$B$304=A29)*'Price History'!$A$5:$A$304))=0,IF(P29="","",P29),SUMPRODUCT(MAX(('Price History'!$B$5:$B$304=A29)*'Price History'!$A$5:$A$304))))</f>
        <v>0</v>
      </c>
      <c r="BN29" s="32">
        <f>IF(B29="","",IF(BM29="","",TodayDate-BM29))</f>
        <v>0</v>
      </c>
      <c r="BO29" s="32">
        <f>IF(B29="","",COUNTIFS($AV$5:$AV$304,"&gt;"&amp;AV29)+COUNTIFS($AV$5:AV29,AV29))</f>
        <v>0</v>
      </c>
      <c r="BP29" s="32">
        <f>IF(B29="","",COUNTIFS($AW$5:$AW$304,"&gt;"&amp;AW29)+COUNTIFS($AW$5:AW29,AW29))</f>
        <v>0</v>
      </c>
      <c r="BQ29" s="32">
        <f>IF(B29="","",COUNTIFS($BI$5:$BI$304,"&gt;"&amp;BI29)+COUNTIFS($BI$5:BI29,BI29))</f>
        <v>0</v>
      </c>
      <c r="BR29" s="32">
        <f>IF(B29="","",COUNTIFS($AY$5:$AY$304,"&gt;"&amp;AY29)+COUNTIFS($AY$5:AY29,AY29))</f>
        <v>0</v>
      </c>
      <c r="BS29" s="43">
        <f>IF(B29="","",IF(AH29=0,"Add - no costs entered yet",IF(AR29="","Check - no price yet",IF(AV29&lt;0,"Loss - every sale costs you money",IF(AND(AZ29&lt;&gt;"",AZ29&lt;MinimumWage),"Below - pays under minimum wage",IF(AW29&lt;MarginWarning,"Low margin - re-price it",IF(AND(AF29&lt;&gt;"",K29&lt;&gt;"",K29+AC29&gt;AF29),"Check - too heavy for that postage band",IF(AND(BN29&lt;&gt;"",BN29&gt;PriceReviewDays),"Due - price has not been reviewed",IF(AND(BG29&lt;&gt;"",BG29&gt;0.5),"Check - well above the market","OK")))))))) )</f>
        <v>0</v>
      </c>
    </row>
    <row r="30" spans="1:71">
      <c r="A30" s="38">
        <f>IF(B30="","",ProductPrefix&amp;TEXT(ROW()-4,"0000"))</f>
        <v>0</v>
      </c>
      <c r="S30" s="38">
        <f>IF(B30="","",IF(C30&lt;&gt;"",C30,UPPER(LEFT(IF(D30="","GEN",D30),3))&amp;"-"&amp;TEXT(ROW()-4,"000")))</f>
        <v>0</v>
      </c>
      <c r="T30" s="20">
        <f>IF(B30="","",ROUND(SUMIFS('Material Usage'!$M$5:$M$904,'Material Usage'!$A$5:$A$904,A30)+SUMIFS(Crochet!$AD$5:$AD$84,Crochet!$A$5:$A$84,A30)+SUMIFS(Jewelry!$AF$5:$AF$84,Jewelry!$A$5:$A$84,A30)+SUMIFS(Candles!$AF$5:$AF$84,Candles!$A$5:$A$84,A30)+SUMIFS(Clothing!$AB$5:$AB$84,Clothing!$A$5:$A$84,A30)+SUMIFS(Woodworking!$AC$5:$AC$84,Woodworking!$A$5:$A$84,A30)+SUMIFS(Digital!$X$5:$X$84,Digital!$A$5:$A$84,A30),2))</f>
        <v>0</v>
      </c>
      <c r="U30" s="20">
        <f>IF(B30="","",ROUND(SUMIFS(Labor!$O$5:$O$304,Labor!$A$5:$A$304,A30)+SUMIFS(Crochet!$AG$5:$AG$84,Crochet!$A$5:$A$84,A30)+SUMIFS(Jewelry!$AI$5:$AI$84,Jewelry!$A$5:$A$84,A30)+SUMIFS(Candles!$AI$5:$AI$84,Candles!$A$5:$A$84,A30)+SUMIFS(Clothing!$AE$5:$AE$84,Clothing!$A$5:$A$84,A30)+SUMIFS(Woodworking!$AF$5:$AF$84,Woodworking!$A$5:$A$84,A30)+SUMIFS(Digital!$Z$5:$Z$84,Digital!$A$5:$A$84,A30),2))</f>
        <v>0</v>
      </c>
      <c r="V30" s="36">
        <f>IF(B30="","",ROUND(SUMIFS(Labor!$P$5:$P$304,Labor!$A$5:$A$304,A30)+SUMIFS(Crochet!$AE$5:$AE$84,Crochet!$A$5:$A$84,A30)+SUMIFS(Jewelry!$AG$5:$AG$84,Jewelry!$A$5:$A$84,A30)+SUMIFS(Candles!$AG$5:$AG$84,Candles!$A$5:$A$84,A30)+SUMIFS(Clothing!$AC$5:$AC$84,Clothing!$A$5:$A$84,A30)+SUMIFS(Woodworking!$AD$5:$AD$84,Woodworking!$A$5:$A$84,A30)+SUMIFS(Digital!$Y$5:$Y$84,Digital!$A$5:$A$84,A30),1))</f>
        <v>0</v>
      </c>
      <c r="W30" s="41">
        <f>IF(B30="","",IFERROR(INDEX(DiffTimeFactors,MATCH(G30,DiffNames,0)),1))</f>
        <v>0</v>
      </c>
      <c r="X30" s="36">
        <f>IF(B30="","",ROUND(V30*W30,1))</f>
        <v>0</v>
      </c>
      <c r="Y30" s="41">
        <f>IF(B30="","",ROUND(X30/60,3))</f>
        <v>0</v>
      </c>
      <c r="Z30" s="20">
        <f>IF(B30="","",ROUND(U30*W30,2))</f>
        <v>0</v>
      </c>
      <c r="AA30" s="20">
        <f>IF(B30="","",ROUND(SUMIFS(Labor!$Q$5:$Q$304,Labor!$A$5:$A$304,A30)+SUMIFS(Crochet!$AH$5:$AH$84,Crochet!$A$5:$A$84,A30)+SUMIFS(Jewelry!$AJ$5:$AJ$84,Jewelry!$A$5:$A$84,A30)+SUMIFS(Candles!$AJ$5:$AJ$84,Candles!$A$5:$A$84,A30)+SUMIFS(Clothing!$AF$5:$AF$84,Clothing!$A$5:$A$84,A30)+SUMIFS(Woodworking!$AH$5:$AH$84,Woodworking!$A$5:$A$84,A30)+SUMIFS(Digital!$AA$5:$AA$84,Digital!$A$5:$A$84,A30),2))</f>
        <v>0</v>
      </c>
      <c r="AB30" s="20">
        <f>IF(B30="","",ROUND(IF(I30="Budget",PackBudget,IF(I30="Standard",PackStandard,IF(I30="Gift",PackGift,IF(I30="Premium",PackPremium,DefaultPackaging)))),2))</f>
        <v>0</v>
      </c>
      <c r="AC30" s="36">
        <f>IF(B30="","",IF(I30="Budget",PackWeightBudget,IF(I30="Standard",PackWeightStandard,IF(I30="Gift",PackWeightGift,IF(I30="Premium",PackWeightPremium,0)))))</f>
        <v>0</v>
      </c>
      <c r="AD30" s="20">
        <f>IF(B30="","",IFERROR(INDEX(Shipping!$M$5:$M$64,MATCH(J30,Shipping!$L$5:$L$64,0)),DefaultShipping))</f>
        <v>0</v>
      </c>
      <c r="AE30" s="20">
        <f>IF(B30="","",IFERROR(INDEX(Shipping!$F$5:$F$64,MATCH(J30,Shipping!$L$5:$L$64,0)),0))</f>
        <v>0</v>
      </c>
      <c r="AF30" s="36">
        <f>IF(B30="","",IFERROR(INDEX(Shipping!$C$5:$C$64,MATCH(J30,Shipping!$L$5:$L$64,0)),""))</f>
        <v>0</v>
      </c>
      <c r="AG30" s="20">
        <f>IF(B30="","",ROUND(MAX(0,AD30-AE30),2))</f>
        <v>0</v>
      </c>
      <c r="AH30" s="20">
        <f>IF(B30="","",ROUND(T30+Z30+AA30+AB30+AG30,2))</f>
        <v>0</v>
      </c>
      <c r="AI30" s="33">
        <f>IF(B30="","",IFERROR(INDEX(Channels!$S$5:$S$18,MATCH(IF(H30="",DefaultChannel,H30),Channels!$A$5:$A$18,0)),0))</f>
        <v>0</v>
      </c>
      <c r="AJ30" s="42">
        <f>IF(B30="","",IFERROR(INDEX(Channels!$O$5:$O$18,MATCH(IF(H30="",DefaultChannel,H30),Channels!$A$5:$A$18,0)),"No"))</f>
        <v>0</v>
      </c>
      <c r="AK30" s="20">
        <f>IF(B30="","",ROUND(IFERROR(INDEX(Channels!$T$5:$T$18,MATCH(IF(H30="",DefaultChannel,H30),Channels!$A$5:$A$18,0)),0)+IF(AJ30="Yes",AE30*AI30,0),4))</f>
        <v>0</v>
      </c>
      <c r="AL30" s="33">
        <f>IF(B30="","",IF(OverheadMethod="Share of revenue",IF(RevenueTargetMonth&lt;=0,0,OverheadMonthly/RevenueTargetMonth),0))</f>
        <v>0</v>
      </c>
      <c r="AM30" s="20">
        <f>IF(B30="","",IF(OverheadMethod="Per hour worked",ROUND(OverheadPerHour*Y30,2),IF(OR(OverheadMethod="Per unit made",OverheadMethod="Per order"),OverheadPerUnit,0)))</f>
        <v>0</v>
      </c>
      <c r="AN30" s="33">
        <f>IF(B30="","",IF(N30&lt;&gt;"",N30,TargetRetailMargin))</f>
        <v>0</v>
      </c>
      <c r="AO30" s="41">
        <f>IF(B30="","",1-AN30-AI30-AL30)</f>
        <v>0</v>
      </c>
      <c r="AP30" s="20">
        <f>IF(B30="","",IF(AO30&lt;=0,"",(AH30+AM30+AK30)/AO30))</f>
        <v>0</v>
      </c>
      <c r="AQ30" s="20">
        <f>IF(B30="","",IF(AP30="","Check the settings",ROUND(IF(RoundingRule="None",AP30,IF(RoundingRule="Nearest 0.99",MAX(0.99,CEILING(AP30,1)-0.01),IF(RoundingRule="Nearest 0.95",MAX(0.95,CEILING(AP30,1)-0.05),IF(RoundingRule="Nearest 0.50",CEILING(AP30,0.5),IF(RoundingRule="Nearest 1",CEILING(AP30,1),IF(RoundingRule="Nearest 5",CEILING(AP30,5),IF(RoundingRule="Up to whole 1",CEILING(AP30,1),IF(RoundingRule="Up to whole 5",CEILING(AP30,5),ROUND(AP30,2))))))))),2)))</f>
        <v>0</v>
      </c>
      <c r="AR30" s="20">
        <f>IF(B30="","",IF(M30&lt;&gt;"",M30,IF(ISNUMBER(AQ30),AQ30,"")))</f>
        <v>0</v>
      </c>
      <c r="AS30" s="20">
        <f>IF(B30="","",IF(AR30="","",ROUND(AM30+AR30*AL30,2)))</f>
        <v>0</v>
      </c>
      <c r="AT30" s="20">
        <f>IF(B30="","",IF(AR30="","",ROUND(AH30+AS30,2)))</f>
        <v>0</v>
      </c>
      <c r="AU30" s="20">
        <f>IF(B30="","",IF(AR30="","",ROUND(AR30*AI30+AK30,2)))</f>
        <v>0</v>
      </c>
      <c r="AV30" s="20">
        <f>IF(B30="","",IF(AR30="","",ROUND(AR30-AT30-AU30,2)))</f>
        <v>0</v>
      </c>
      <c r="AW30" s="33">
        <f>IF(B30="","",IF(OR(AR30="",AR30=0),"",AV30/AR30))</f>
        <v>0</v>
      </c>
      <c r="AX30" s="33">
        <f>IF(B30="","",IF(OR(AT30="",AT30=0),"",AV30/AT30))</f>
        <v>0</v>
      </c>
      <c r="AY30" s="20">
        <f>IF(B30="","",IF(OR(Y30="",Y30=0,AV30=""),"",ROUND(AV30/Y30,2)))</f>
        <v>0</v>
      </c>
      <c r="AZ30" s="20">
        <f>IF(B30="","",IF(OR(Y30="",Y30=0,AV30=""),"",ROUND((AV30+Z30)/Y30,2)))</f>
        <v>0</v>
      </c>
      <c r="BA30" s="20">
        <f>IF(B30="","",IF(1-AI30-AL30&lt;=0,"",ROUND((AH30+AM30+AK30)/(1-AI30-AL30),2)))</f>
        <v>0</v>
      </c>
      <c r="BB30" s="20">
        <f>IF(B30="","",IF(AT30="","",ROUND(AT30*2,2)))</f>
        <v>0</v>
      </c>
      <c r="BC30" s="20">
        <f>IF(B30="","",IF(AR30="","",ROUND(AR30*(1-WholesaleDiscount),2)))</f>
        <v>0</v>
      </c>
      <c r="BD30" s="20">
        <f>IF(B30="","",IF(BC30="","",ROUND(BC30-AH30-AM30,2)))</f>
        <v>0</v>
      </c>
      <c r="BE30" s="33">
        <f>IF(B30="","",IF(OR(BC30="",BC30=0),"",BD30/BC30))</f>
        <v>0</v>
      </c>
      <c r="BF30" s="20">
        <f>IF(B30="","",IFERROR(ROUND(AVERAGEIFS(Competitors!$F$5:$F$154,Competitors!$A$5:$A$154,A30),2),""))</f>
        <v>0</v>
      </c>
      <c r="BG30" s="33">
        <f>IF(B30="","",IF(OR(BF30="",BF30=0,AR30=""),"",AR30/BF30-1))</f>
        <v>0</v>
      </c>
      <c r="BH30" s="32">
        <f>IF(B30="","",SUMIFS(Sales!$D$5:$D$804,Sales!$C$5:$C$804,A30))</f>
        <v>0</v>
      </c>
      <c r="BI30" s="20">
        <f>IF(B30="","",ROUND(SUMIFS(Sales!$V$5:$V$804,Sales!$C$5:$C$804,A30),2))</f>
        <v>0</v>
      </c>
      <c r="BJ30" s="20">
        <f>IF(B30="","",ROUND(SUMIFS(Sales!$AG$5:$AG$804,Sales!$C$5:$C$804,A30),2))</f>
        <v>0</v>
      </c>
      <c r="BK30" s="33">
        <f>IF(B30="","",IF(OR(BI30="",BI30=0),"",BJ30/BI30))</f>
        <v>0</v>
      </c>
      <c r="BL30" s="17">
        <f>IF(B30="","",IF(SUMPRODUCT(MAX((Sales!$C$5:$C$804=A30)*Sales!$B$5:$B$804))=0,"",SUMPRODUCT(MAX((Sales!$C$5:$C$804=A30)*Sales!$B$5:$B$804))))</f>
        <v>0</v>
      </c>
      <c r="BM30" s="17">
        <f>IF(B30="","",IF(SUMPRODUCT(MAX(('Price History'!$B$5:$B$304=A30)*'Price History'!$A$5:$A$304))=0,IF(P30="","",P30),SUMPRODUCT(MAX(('Price History'!$B$5:$B$304=A30)*'Price History'!$A$5:$A$304))))</f>
        <v>0</v>
      </c>
      <c r="BN30" s="32">
        <f>IF(B30="","",IF(BM30="","",TodayDate-BM30))</f>
        <v>0</v>
      </c>
      <c r="BO30" s="32">
        <f>IF(B30="","",COUNTIFS($AV$5:$AV$304,"&gt;"&amp;AV30)+COUNTIFS($AV$5:AV30,AV30))</f>
        <v>0</v>
      </c>
      <c r="BP30" s="32">
        <f>IF(B30="","",COUNTIFS($AW$5:$AW$304,"&gt;"&amp;AW30)+COUNTIFS($AW$5:AW30,AW30))</f>
        <v>0</v>
      </c>
      <c r="BQ30" s="32">
        <f>IF(B30="","",COUNTIFS($BI$5:$BI$304,"&gt;"&amp;BI30)+COUNTIFS($BI$5:BI30,BI30))</f>
        <v>0</v>
      </c>
      <c r="BR30" s="32">
        <f>IF(B30="","",COUNTIFS($AY$5:$AY$304,"&gt;"&amp;AY30)+COUNTIFS($AY$5:AY30,AY30))</f>
        <v>0</v>
      </c>
      <c r="BS30" s="43">
        <f>IF(B30="","",IF(AH30=0,"Add - no costs entered yet",IF(AR30="","Check - no price yet",IF(AV30&lt;0,"Loss - every sale costs you money",IF(AND(AZ30&lt;&gt;"",AZ30&lt;MinimumWage),"Below - pays under minimum wage",IF(AW30&lt;MarginWarning,"Low margin - re-price it",IF(AND(AF30&lt;&gt;"",K30&lt;&gt;"",K30+AC30&gt;AF30),"Check - too heavy for that postage band",IF(AND(BN30&lt;&gt;"",BN30&gt;PriceReviewDays),"Due - price has not been reviewed",IF(AND(BG30&lt;&gt;"",BG30&gt;0.5),"Check - well above the market","OK")))))))) )</f>
        <v>0</v>
      </c>
    </row>
    <row r="31" spans="1:71">
      <c r="A31" s="38">
        <f>IF(B31="","",ProductPrefix&amp;TEXT(ROW()-4,"0000"))</f>
        <v>0</v>
      </c>
      <c r="S31" s="38">
        <f>IF(B31="","",IF(C31&lt;&gt;"",C31,UPPER(LEFT(IF(D31="","GEN",D31),3))&amp;"-"&amp;TEXT(ROW()-4,"000")))</f>
        <v>0</v>
      </c>
      <c r="T31" s="20">
        <f>IF(B31="","",ROUND(SUMIFS('Material Usage'!$M$5:$M$904,'Material Usage'!$A$5:$A$904,A31)+SUMIFS(Crochet!$AD$5:$AD$84,Crochet!$A$5:$A$84,A31)+SUMIFS(Jewelry!$AF$5:$AF$84,Jewelry!$A$5:$A$84,A31)+SUMIFS(Candles!$AF$5:$AF$84,Candles!$A$5:$A$84,A31)+SUMIFS(Clothing!$AB$5:$AB$84,Clothing!$A$5:$A$84,A31)+SUMIFS(Woodworking!$AC$5:$AC$84,Woodworking!$A$5:$A$84,A31)+SUMIFS(Digital!$X$5:$X$84,Digital!$A$5:$A$84,A31),2))</f>
        <v>0</v>
      </c>
      <c r="U31" s="20">
        <f>IF(B31="","",ROUND(SUMIFS(Labor!$O$5:$O$304,Labor!$A$5:$A$304,A31)+SUMIFS(Crochet!$AG$5:$AG$84,Crochet!$A$5:$A$84,A31)+SUMIFS(Jewelry!$AI$5:$AI$84,Jewelry!$A$5:$A$84,A31)+SUMIFS(Candles!$AI$5:$AI$84,Candles!$A$5:$A$84,A31)+SUMIFS(Clothing!$AE$5:$AE$84,Clothing!$A$5:$A$84,A31)+SUMIFS(Woodworking!$AF$5:$AF$84,Woodworking!$A$5:$A$84,A31)+SUMIFS(Digital!$Z$5:$Z$84,Digital!$A$5:$A$84,A31),2))</f>
        <v>0</v>
      </c>
      <c r="V31" s="36">
        <f>IF(B31="","",ROUND(SUMIFS(Labor!$P$5:$P$304,Labor!$A$5:$A$304,A31)+SUMIFS(Crochet!$AE$5:$AE$84,Crochet!$A$5:$A$84,A31)+SUMIFS(Jewelry!$AG$5:$AG$84,Jewelry!$A$5:$A$84,A31)+SUMIFS(Candles!$AG$5:$AG$84,Candles!$A$5:$A$84,A31)+SUMIFS(Clothing!$AC$5:$AC$84,Clothing!$A$5:$A$84,A31)+SUMIFS(Woodworking!$AD$5:$AD$84,Woodworking!$A$5:$A$84,A31)+SUMIFS(Digital!$Y$5:$Y$84,Digital!$A$5:$A$84,A31),1))</f>
        <v>0</v>
      </c>
      <c r="W31" s="41">
        <f>IF(B31="","",IFERROR(INDEX(DiffTimeFactors,MATCH(G31,DiffNames,0)),1))</f>
        <v>0</v>
      </c>
      <c r="X31" s="36">
        <f>IF(B31="","",ROUND(V31*W31,1))</f>
        <v>0</v>
      </c>
      <c r="Y31" s="41">
        <f>IF(B31="","",ROUND(X31/60,3))</f>
        <v>0</v>
      </c>
      <c r="Z31" s="20">
        <f>IF(B31="","",ROUND(U31*W31,2))</f>
        <v>0</v>
      </c>
      <c r="AA31" s="20">
        <f>IF(B31="","",ROUND(SUMIFS(Labor!$Q$5:$Q$304,Labor!$A$5:$A$304,A31)+SUMIFS(Crochet!$AH$5:$AH$84,Crochet!$A$5:$A$84,A31)+SUMIFS(Jewelry!$AJ$5:$AJ$84,Jewelry!$A$5:$A$84,A31)+SUMIFS(Candles!$AJ$5:$AJ$84,Candles!$A$5:$A$84,A31)+SUMIFS(Clothing!$AF$5:$AF$84,Clothing!$A$5:$A$84,A31)+SUMIFS(Woodworking!$AH$5:$AH$84,Woodworking!$A$5:$A$84,A31)+SUMIFS(Digital!$AA$5:$AA$84,Digital!$A$5:$A$84,A31),2))</f>
        <v>0</v>
      </c>
      <c r="AB31" s="20">
        <f>IF(B31="","",ROUND(IF(I31="Budget",PackBudget,IF(I31="Standard",PackStandard,IF(I31="Gift",PackGift,IF(I31="Premium",PackPremium,DefaultPackaging)))),2))</f>
        <v>0</v>
      </c>
      <c r="AC31" s="36">
        <f>IF(B31="","",IF(I31="Budget",PackWeightBudget,IF(I31="Standard",PackWeightStandard,IF(I31="Gift",PackWeightGift,IF(I31="Premium",PackWeightPremium,0)))))</f>
        <v>0</v>
      </c>
      <c r="AD31" s="20">
        <f>IF(B31="","",IFERROR(INDEX(Shipping!$M$5:$M$64,MATCH(J31,Shipping!$L$5:$L$64,0)),DefaultShipping))</f>
        <v>0</v>
      </c>
      <c r="AE31" s="20">
        <f>IF(B31="","",IFERROR(INDEX(Shipping!$F$5:$F$64,MATCH(J31,Shipping!$L$5:$L$64,0)),0))</f>
        <v>0</v>
      </c>
      <c r="AF31" s="36">
        <f>IF(B31="","",IFERROR(INDEX(Shipping!$C$5:$C$64,MATCH(J31,Shipping!$L$5:$L$64,0)),""))</f>
        <v>0</v>
      </c>
      <c r="AG31" s="20">
        <f>IF(B31="","",ROUND(MAX(0,AD31-AE31),2))</f>
        <v>0</v>
      </c>
      <c r="AH31" s="20">
        <f>IF(B31="","",ROUND(T31+Z31+AA31+AB31+AG31,2))</f>
        <v>0</v>
      </c>
      <c r="AI31" s="33">
        <f>IF(B31="","",IFERROR(INDEX(Channels!$S$5:$S$18,MATCH(IF(H31="",DefaultChannel,H31),Channels!$A$5:$A$18,0)),0))</f>
        <v>0</v>
      </c>
      <c r="AJ31" s="42">
        <f>IF(B31="","",IFERROR(INDEX(Channels!$O$5:$O$18,MATCH(IF(H31="",DefaultChannel,H31),Channels!$A$5:$A$18,0)),"No"))</f>
        <v>0</v>
      </c>
      <c r="AK31" s="20">
        <f>IF(B31="","",ROUND(IFERROR(INDEX(Channels!$T$5:$T$18,MATCH(IF(H31="",DefaultChannel,H31),Channels!$A$5:$A$18,0)),0)+IF(AJ31="Yes",AE31*AI31,0),4))</f>
        <v>0</v>
      </c>
      <c r="AL31" s="33">
        <f>IF(B31="","",IF(OverheadMethod="Share of revenue",IF(RevenueTargetMonth&lt;=0,0,OverheadMonthly/RevenueTargetMonth),0))</f>
        <v>0</v>
      </c>
      <c r="AM31" s="20">
        <f>IF(B31="","",IF(OverheadMethod="Per hour worked",ROUND(OverheadPerHour*Y31,2),IF(OR(OverheadMethod="Per unit made",OverheadMethod="Per order"),OverheadPerUnit,0)))</f>
        <v>0</v>
      </c>
      <c r="AN31" s="33">
        <f>IF(B31="","",IF(N31&lt;&gt;"",N31,TargetRetailMargin))</f>
        <v>0</v>
      </c>
      <c r="AO31" s="41">
        <f>IF(B31="","",1-AN31-AI31-AL31)</f>
        <v>0</v>
      </c>
      <c r="AP31" s="20">
        <f>IF(B31="","",IF(AO31&lt;=0,"",(AH31+AM31+AK31)/AO31))</f>
        <v>0</v>
      </c>
      <c r="AQ31" s="20">
        <f>IF(B31="","",IF(AP31="","Check the settings",ROUND(IF(RoundingRule="None",AP31,IF(RoundingRule="Nearest 0.99",MAX(0.99,CEILING(AP31,1)-0.01),IF(RoundingRule="Nearest 0.95",MAX(0.95,CEILING(AP31,1)-0.05),IF(RoundingRule="Nearest 0.50",CEILING(AP31,0.5),IF(RoundingRule="Nearest 1",CEILING(AP31,1),IF(RoundingRule="Nearest 5",CEILING(AP31,5),IF(RoundingRule="Up to whole 1",CEILING(AP31,1),IF(RoundingRule="Up to whole 5",CEILING(AP31,5),ROUND(AP31,2))))))))),2)))</f>
        <v>0</v>
      </c>
      <c r="AR31" s="20">
        <f>IF(B31="","",IF(M31&lt;&gt;"",M31,IF(ISNUMBER(AQ31),AQ31,"")))</f>
        <v>0</v>
      </c>
      <c r="AS31" s="20">
        <f>IF(B31="","",IF(AR31="","",ROUND(AM31+AR31*AL31,2)))</f>
        <v>0</v>
      </c>
      <c r="AT31" s="20">
        <f>IF(B31="","",IF(AR31="","",ROUND(AH31+AS31,2)))</f>
        <v>0</v>
      </c>
      <c r="AU31" s="20">
        <f>IF(B31="","",IF(AR31="","",ROUND(AR31*AI31+AK31,2)))</f>
        <v>0</v>
      </c>
      <c r="AV31" s="20">
        <f>IF(B31="","",IF(AR31="","",ROUND(AR31-AT31-AU31,2)))</f>
        <v>0</v>
      </c>
      <c r="AW31" s="33">
        <f>IF(B31="","",IF(OR(AR31="",AR31=0),"",AV31/AR31))</f>
        <v>0</v>
      </c>
      <c r="AX31" s="33">
        <f>IF(B31="","",IF(OR(AT31="",AT31=0),"",AV31/AT31))</f>
        <v>0</v>
      </c>
      <c r="AY31" s="20">
        <f>IF(B31="","",IF(OR(Y31="",Y31=0,AV31=""),"",ROUND(AV31/Y31,2)))</f>
        <v>0</v>
      </c>
      <c r="AZ31" s="20">
        <f>IF(B31="","",IF(OR(Y31="",Y31=0,AV31=""),"",ROUND((AV31+Z31)/Y31,2)))</f>
        <v>0</v>
      </c>
      <c r="BA31" s="20">
        <f>IF(B31="","",IF(1-AI31-AL31&lt;=0,"",ROUND((AH31+AM31+AK31)/(1-AI31-AL31),2)))</f>
        <v>0</v>
      </c>
      <c r="BB31" s="20">
        <f>IF(B31="","",IF(AT31="","",ROUND(AT31*2,2)))</f>
        <v>0</v>
      </c>
      <c r="BC31" s="20">
        <f>IF(B31="","",IF(AR31="","",ROUND(AR31*(1-WholesaleDiscount),2)))</f>
        <v>0</v>
      </c>
      <c r="BD31" s="20">
        <f>IF(B31="","",IF(BC31="","",ROUND(BC31-AH31-AM31,2)))</f>
        <v>0</v>
      </c>
      <c r="BE31" s="33">
        <f>IF(B31="","",IF(OR(BC31="",BC31=0),"",BD31/BC31))</f>
        <v>0</v>
      </c>
      <c r="BF31" s="20">
        <f>IF(B31="","",IFERROR(ROUND(AVERAGEIFS(Competitors!$F$5:$F$154,Competitors!$A$5:$A$154,A31),2),""))</f>
        <v>0</v>
      </c>
      <c r="BG31" s="33">
        <f>IF(B31="","",IF(OR(BF31="",BF31=0,AR31=""),"",AR31/BF31-1))</f>
        <v>0</v>
      </c>
      <c r="BH31" s="32">
        <f>IF(B31="","",SUMIFS(Sales!$D$5:$D$804,Sales!$C$5:$C$804,A31))</f>
        <v>0</v>
      </c>
      <c r="BI31" s="20">
        <f>IF(B31="","",ROUND(SUMIFS(Sales!$V$5:$V$804,Sales!$C$5:$C$804,A31),2))</f>
        <v>0</v>
      </c>
      <c r="BJ31" s="20">
        <f>IF(B31="","",ROUND(SUMIFS(Sales!$AG$5:$AG$804,Sales!$C$5:$C$804,A31),2))</f>
        <v>0</v>
      </c>
      <c r="BK31" s="33">
        <f>IF(B31="","",IF(OR(BI31="",BI31=0),"",BJ31/BI31))</f>
        <v>0</v>
      </c>
      <c r="BL31" s="17">
        <f>IF(B31="","",IF(SUMPRODUCT(MAX((Sales!$C$5:$C$804=A31)*Sales!$B$5:$B$804))=0,"",SUMPRODUCT(MAX((Sales!$C$5:$C$804=A31)*Sales!$B$5:$B$804))))</f>
        <v>0</v>
      </c>
      <c r="BM31" s="17">
        <f>IF(B31="","",IF(SUMPRODUCT(MAX(('Price History'!$B$5:$B$304=A31)*'Price History'!$A$5:$A$304))=0,IF(P31="","",P31),SUMPRODUCT(MAX(('Price History'!$B$5:$B$304=A31)*'Price History'!$A$5:$A$304))))</f>
        <v>0</v>
      </c>
      <c r="BN31" s="32">
        <f>IF(B31="","",IF(BM31="","",TodayDate-BM31))</f>
        <v>0</v>
      </c>
      <c r="BO31" s="32">
        <f>IF(B31="","",COUNTIFS($AV$5:$AV$304,"&gt;"&amp;AV31)+COUNTIFS($AV$5:AV31,AV31))</f>
        <v>0</v>
      </c>
      <c r="BP31" s="32">
        <f>IF(B31="","",COUNTIFS($AW$5:$AW$304,"&gt;"&amp;AW31)+COUNTIFS($AW$5:AW31,AW31))</f>
        <v>0</v>
      </c>
      <c r="BQ31" s="32">
        <f>IF(B31="","",COUNTIFS($BI$5:$BI$304,"&gt;"&amp;BI31)+COUNTIFS($BI$5:BI31,BI31))</f>
        <v>0</v>
      </c>
      <c r="BR31" s="32">
        <f>IF(B31="","",COUNTIFS($AY$5:$AY$304,"&gt;"&amp;AY31)+COUNTIFS($AY$5:AY31,AY31))</f>
        <v>0</v>
      </c>
      <c r="BS31" s="43">
        <f>IF(B31="","",IF(AH31=0,"Add - no costs entered yet",IF(AR31="","Check - no price yet",IF(AV31&lt;0,"Loss - every sale costs you money",IF(AND(AZ31&lt;&gt;"",AZ31&lt;MinimumWage),"Below - pays under minimum wage",IF(AW31&lt;MarginWarning,"Low margin - re-price it",IF(AND(AF31&lt;&gt;"",K31&lt;&gt;"",K31+AC31&gt;AF31),"Check - too heavy for that postage band",IF(AND(BN31&lt;&gt;"",BN31&gt;PriceReviewDays),"Due - price has not been reviewed",IF(AND(BG31&lt;&gt;"",BG31&gt;0.5),"Check - well above the market","OK")))))))) )</f>
        <v>0</v>
      </c>
    </row>
    <row r="32" spans="1:71">
      <c r="A32" s="38">
        <f>IF(B32="","",ProductPrefix&amp;TEXT(ROW()-4,"0000"))</f>
        <v>0</v>
      </c>
      <c r="S32" s="38">
        <f>IF(B32="","",IF(C32&lt;&gt;"",C32,UPPER(LEFT(IF(D32="","GEN",D32),3))&amp;"-"&amp;TEXT(ROW()-4,"000")))</f>
        <v>0</v>
      </c>
      <c r="T32" s="20">
        <f>IF(B32="","",ROUND(SUMIFS('Material Usage'!$M$5:$M$904,'Material Usage'!$A$5:$A$904,A32)+SUMIFS(Crochet!$AD$5:$AD$84,Crochet!$A$5:$A$84,A32)+SUMIFS(Jewelry!$AF$5:$AF$84,Jewelry!$A$5:$A$84,A32)+SUMIFS(Candles!$AF$5:$AF$84,Candles!$A$5:$A$84,A32)+SUMIFS(Clothing!$AB$5:$AB$84,Clothing!$A$5:$A$84,A32)+SUMIFS(Woodworking!$AC$5:$AC$84,Woodworking!$A$5:$A$84,A32)+SUMIFS(Digital!$X$5:$X$84,Digital!$A$5:$A$84,A32),2))</f>
        <v>0</v>
      </c>
      <c r="U32" s="20">
        <f>IF(B32="","",ROUND(SUMIFS(Labor!$O$5:$O$304,Labor!$A$5:$A$304,A32)+SUMIFS(Crochet!$AG$5:$AG$84,Crochet!$A$5:$A$84,A32)+SUMIFS(Jewelry!$AI$5:$AI$84,Jewelry!$A$5:$A$84,A32)+SUMIFS(Candles!$AI$5:$AI$84,Candles!$A$5:$A$84,A32)+SUMIFS(Clothing!$AE$5:$AE$84,Clothing!$A$5:$A$84,A32)+SUMIFS(Woodworking!$AF$5:$AF$84,Woodworking!$A$5:$A$84,A32)+SUMIFS(Digital!$Z$5:$Z$84,Digital!$A$5:$A$84,A32),2))</f>
        <v>0</v>
      </c>
      <c r="V32" s="36">
        <f>IF(B32="","",ROUND(SUMIFS(Labor!$P$5:$P$304,Labor!$A$5:$A$304,A32)+SUMIFS(Crochet!$AE$5:$AE$84,Crochet!$A$5:$A$84,A32)+SUMIFS(Jewelry!$AG$5:$AG$84,Jewelry!$A$5:$A$84,A32)+SUMIFS(Candles!$AG$5:$AG$84,Candles!$A$5:$A$84,A32)+SUMIFS(Clothing!$AC$5:$AC$84,Clothing!$A$5:$A$84,A32)+SUMIFS(Woodworking!$AD$5:$AD$84,Woodworking!$A$5:$A$84,A32)+SUMIFS(Digital!$Y$5:$Y$84,Digital!$A$5:$A$84,A32),1))</f>
        <v>0</v>
      </c>
      <c r="W32" s="41">
        <f>IF(B32="","",IFERROR(INDEX(DiffTimeFactors,MATCH(G32,DiffNames,0)),1))</f>
        <v>0</v>
      </c>
      <c r="X32" s="36">
        <f>IF(B32="","",ROUND(V32*W32,1))</f>
        <v>0</v>
      </c>
      <c r="Y32" s="41">
        <f>IF(B32="","",ROUND(X32/60,3))</f>
        <v>0</v>
      </c>
      <c r="Z32" s="20">
        <f>IF(B32="","",ROUND(U32*W32,2))</f>
        <v>0</v>
      </c>
      <c r="AA32" s="20">
        <f>IF(B32="","",ROUND(SUMIFS(Labor!$Q$5:$Q$304,Labor!$A$5:$A$304,A32)+SUMIFS(Crochet!$AH$5:$AH$84,Crochet!$A$5:$A$84,A32)+SUMIFS(Jewelry!$AJ$5:$AJ$84,Jewelry!$A$5:$A$84,A32)+SUMIFS(Candles!$AJ$5:$AJ$84,Candles!$A$5:$A$84,A32)+SUMIFS(Clothing!$AF$5:$AF$84,Clothing!$A$5:$A$84,A32)+SUMIFS(Woodworking!$AH$5:$AH$84,Woodworking!$A$5:$A$84,A32)+SUMIFS(Digital!$AA$5:$AA$84,Digital!$A$5:$A$84,A32),2))</f>
        <v>0</v>
      </c>
      <c r="AB32" s="20">
        <f>IF(B32="","",ROUND(IF(I32="Budget",PackBudget,IF(I32="Standard",PackStandard,IF(I32="Gift",PackGift,IF(I32="Premium",PackPremium,DefaultPackaging)))),2))</f>
        <v>0</v>
      </c>
      <c r="AC32" s="36">
        <f>IF(B32="","",IF(I32="Budget",PackWeightBudget,IF(I32="Standard",PackWeightStandard,IF(I32="Gift",PackWeightGift,IF(I32="Premium",PackWeightPremium,0)))))</f>
        <v>0</v>
      </c>
      <c r="AD32" s="20">
        <f>IF(B32="","",IFERROR(INDEX(Shipping!$M$5:$M$64,MATCH(J32,Shipping!$L$5:$L$64,0)),DefaultShipping))</f>
        <v>0</v>
      </c>
      <c r="AE32" s="20">
        <f>IF(B32="","",IFERROR(INDEX(Shipping!$F$5:$F$64,MATCH(J32,Shipping!$L$5:$L$64,0)),0))</f>
        <v>0</v>
      </c>
      <c r="AF32" s="36">
        <f>IF(B32="","",IFERROR(INDEX(Shipping!$C$5:$C$64,MATCH(J32,Shipping!$L$5:$L$64,0)),""))</f>
        <v>0</v>
      </c>
      <c r="AG32" s="20">
        <f>IF(B32="","",ROUND(MAX(0,AD32-AE32),2))</f>
        <v>0</v>
      </c>
      <c r="AH32" s="20">
        <f>IF(B32="","",ROUND(T32+Z32+AA32+AB32+AG32,2))</f>
        <v>0</v>
      </c>
      <c r="AI32" s="33">
        <f>IF(B32="","",IFERROR(INDEX(Channels!$S$5:$S$18,MATCH(IF(H32="",DefaultChannel,H32),Channels!$A$5:$A$18,0)),0))</f>
        <v>0</v>
      </c>
      <c r="AJ32" s="42">
        <f>IF(B32="","",IFERROR(INDEX(Channels!$O$5:$O$18,MATCH(IF(H32="",DefaultChannel,H32),Channels!$A$5:$A$18,0)),"No"))</f>
        <v>0</v>
      </c>
      <c r="AK32" s="20">
        <f>IF(B32="","",ROUND(IFERROR(INDEX(Channels!$T$5:$T$18,MATCH(IF(H32="",DefaultChannel,H32),Channels!$A$5:$A$18,0)),0)+IF(AJ32="Yes",AE32*AI32,0),4))</f>
        <v>0</v>
      </c>
      <c r="AL32" s="33">
        <f>IF(B32="","",IF(OverheadMethod="Share of revenue",IF(RevenueTargetMonth&lt;=0,0,OverheadMonthly/RevenueTargetMonth),0))</f>
        <v>0</v>
      </c>
      <c r="AM32" s="20">
        <f>IF(B32="","",IF(OverheadMethod="Per hour worked",ROUND(OverheadPerHour*Y32,2),IF(OR(OverheadMethod="Per unit made",OverheadMethod="Per order"),OverheadPerUnit,0)))</f>
        <v>0</v>
      </c>
      <c r="AN32" s="33">
        <f>IF(B32="","",IF(N32&lt;&gt;"",N32,TargetRetailMargin))</f>
        <v>0</v>
      </c>
      <c r="AO32" s="41">
        <f>IF(B32="","",1-AN32-AI32-AL32)</f>
        <v>0</v>
      </c>
      <c r="AP32" s="20">
        <f>IF(B32="","",IF(AO32&lt;=0,"",(AH32+AM32+AK32)/AO32))</f>
        <v>0</v>
      </c>
      <c r="AQ32" s="20">
        <f>IF(B32="","",IF(AP32="","Check the settings",ROUND(IF(RoundingRule="None",AP32,IF(RoundingRule="Nearest 0.99",MAX(0.99,CEILING(AP32,1)-0.01),IF(RoundingRule="Nearest 0.95",MAX(0.95,CEILING(AP32,1)-0.05),IF(RoundingRule="Nearest 0.50",CEILING(AP32,0.5),IF(RoundingRule="Nearest 1",CEILING(AP32,1),IF(RoundingRule="Nearest 5",CEILING(AP32,5),IF(RoundingRule="Up to whole 1",CEILING(AP32,1),IF(RoundingRule="Up to whole 5",CEILING(AP32,5),ROUND(AP32,2))))))))),2)))</f>
        <v>0</v>
      </c>
      <c r="AR32" s="20">
        <f>IF(B32="","",IF(M32&lt;&gt;"",M32,IF(ISNUMBER(AQ32),AQ32,"")))</f>
        <v>0</v>
      </c>
      <c r="AS32" s="20">
        <f>IF(B32="","",IF(AR32="","",ROUND(AM32+AR32*AL32,2)))</f>
        <v>0</v>
      </c>
      <c r="AT32" s="20">
        <f>IF(B32="","",IF(AR32="","",ROUND(AH32+AS32,2)))</f>
        <v>0</v>
      </c>
      <c r="AU32" s="20">
        <f>IF(B32="","",IF(AR32="","",ROUND(AR32*AI32+AK32,2)))</f>
        <v>0</v>
      </c>
      <c r="AV32" s="20">
        <f>IF(B32="","",IF(AR32="","",ROUND(AR32-AT32-AU32,2)))</f>
        <v>0</v>
      </c>
      <c r="AW32" s="33">
        <f>IF(B32="","",IF(OR(AR32="",AR32=0),"",AV32/AR32))</f>
        <v>0</v>
      </c>
      <c r="AX32" s="33">
        <f>IF(B32="","",IF(OR(AT32="",AT32=0),"",AV32/AT32))</f>
        <v>0</v>
      </c>
      <c r="AY32" s="20">
        <f>IF(B32="","",IF(OR(Y32="",Y32=0,AV32=""),"",ROUND(AV32/Y32,2)))</f>
        <v>0</v>
      </c>
      <c r="AZ32" s="20">
        <f>IF(B32="","",IF(OR(Y32="",Y32=0,AV32=""),"",ROUND((AV32+Z32)/Y32,2)))</f>
        <v>0</v>
      </c>
      <c r="BA32" s="20">
        <f>IF(B32="","",IF(1-AI32-AL32&lt;=0,"",ROUND((AH32+AM32+AK32)/(1-AI32-AL32),2)))</f>
        <v>0</v>
      </c>
      <c r="BB32" s="20">
        <f>IF(B32="","",IF(AT32="","",ROUND(AT32*2,2)))</f>
        <v>0</v>
      </c>
      <c r="BC32" s="20">
        <f>IF(B32="","",IF(AR32="","",ROUND(AR32*(1-WholesaleDiscount),2)))</f>
        <v>0</v>
      </c>
      <c r="BD32" s="20">
        <f>IF(B32="","",IF(BC32="","",ROUND(BC32-AH32-AM32,2)))</f>
        <v>0</v>
      </c>
      <c r="BE32" s="33">
        <f>IF(B32="","",IF(OR(BC32="",BC32=0),"",BD32/BC32))</f>
        <v>0</v>
      </c>
      <c r="BF32" s="20">
        <f>IF(B32="","",IFERROR(ROUND(AVERAGEIFS(Competitors!$F$5:$F$154,Competitors!$A$5:$A$154,A32),2),""))</f>
        <v>0</v>
      </c>
      <c r="BG32" s="33">
        <f>IF(B32="","",IF(OR(BF32="",BF32=0,AR32=""),"",AR32/BF32-1))</f>
        <v>0</v>
      </c>
      <c r="BH32" s="32">
        <f>IF(B32="","",SUMIFS(Sales!$D$5:$D$804,Sales!$C$5:$C$804,A32))</f>
        <v>0</v>
      </c>
      <c r="BI32" s="20">
        <f>IF(B32="","",ROUND(SUMIFS(Sales!$V$5:$V$804,Sales!$C$5:$C$804,A32),2))</f>
        <v>0</v>
      </c>
      <c r="BJ32" s="20">
        <f>IF(B32="","",ROUND(SUMIFS(Sales!$AG$5:$AG$804,Sales!$C$5:$C$804,A32),2))</f>
        <v>0</v>
      </c>
      <c r="BK32" s="33">
        <f>IF(B32="","",IF(OR(BI32="",BI32=0),"",BJ32/BI32))</f>
        <v>0</v>
      </c>
      <c r="BL32" s="17">
        <f>IF(B32="","",IF(SUMPRODUCT(MAX((Sales!$C$5:$C$804=A32)*Sales!$B$5:$B$804))=0,"",SUMPRODUCT(MAX((Sales!$C$5:$C$804=A32)*Sales!$B$5:$B$804))))</f>
        <v>0</v>
      </c>
      <c r="BM32" s="17">
        <f>IF(B32="","",IF(SUMPRODUCT(MAX(('Price History'!$B$5:$B$304=A32)*'Price History'!$A$5:$A$304))=0,IF(P32="","",P32),SUMPRODUCT(MAX(('Price History'!$B$5:$B$304=A32)*'Price History'!$A$5:$A$304))))</f>
        <v>0</v>
      </c>
      <c r="BN32" s="32">
        <f>IF(B32="","",IF(BM32="","",TodayDate-BM32))</f>
        <v>0</v>
      </c>
      <c r="BO32" s="32">
        <f>IF(B32="","",COUNTIFS($AV$5:$AV$304,"&gt;"&amp;AV32)+COUNTIFS($AV$5:AV32,AV32))</f>
        <v>0</v>
      </c>
      <c r="BP32" s="32">
        <f>IF(B32="","",COUNTIFS($AW$5:$AW$304,"&gt;"&amp;AW32)+COUNTIFS($AW$5:AW32,AW32))</f>
        <v>0</v>
      </c>
      <c r="BQ32" s="32">
        <f>IF(B32="","",COUNTIFS($BI$5:$BI$304,"&gt;"&amp;BI32)+COUNTIFS($BI$5:BI32,BI32))</f>
        <v>0</v>
      </c>
      <c r="BR32" s="32">
        <f>IF(B32="","",COUNTIFS($AY$5:$AY$304,"&gt;"&amp;AY32)+COUNTIFS($AY$5:AY32,AY32))</f>
        <v>0</v>
      </c>
      <c r="BS32" s="43">
        <f>IF(B32="","",IF(AH32=0,"Add - no costs entered yet",IF(AR32="","Check - no price yet",IF(AV32&lt;0,"Loss - every sale costs you money",IF(AND(AZ32&lt;&gt;"",AZ32&lt;MinimumWage),"Below - pays under minimum wage",IF(AW32&lt;MarginWarning,"Low margin - re-price it",IF(AND(AF32&lt;&gt;"",K32&lt;&gt;"",K32+AC32&gt;AF32),"Check - too heavy for that postage band",IF(AND(BN32&lt;&gt;"",BN32&gt;PriceReviewDays),"Due - price has not been reviewed",IF(AND(BG32&lt;&gt;"",BG32&gt;0.5),"Check - well above the market","OK")))))))) )</f>
        <v>0</v>
      </c>
    </row>
    <row r="33" spans="1:71">
      <c r="A33" s="38">
        <f>IF(B33="","",ProductPrefix&amp;TEXT(ROW()-4,"0000"))</f>
        <v>0</v>
      </c>
      <c r="S33" s="38">
        <f>IF(B33="","",IF(C33&lt;&gt;"",C33,UPPER(LEFT(IF(D33="","GEN",D33),3))&amp;"-"&amp;TEXT(ROW()-4,"000")))</f>
        <v>0</v>
      </c>
      <c r="T33" s="20">
        <f>IF(B33="","",ROUND(SUMIFS('Material Usage'!$M$5:$M$904,'Material Usage'!$A$5:$A$904,A33)+SUMIFS(Crochet!$AD$5:$AD$84,Crochet!$A$5:$A$84,A33)+SUMIFS(Jewelry!$AF$5:$AF$84,Jewelry!$A$5:$A$84,A33)+SUMIFS(Candles!$AF$5:$AF$84,Candles!$A$5:$A$84,A33)+SUMIFS(Clothing!$AB$5:$AB$84,Clothing!$A$5:$A$84,A33)+SUMIFS(Woodworking!$AC$5:$AC$84,Woodworking!$A$5:$A$84,A33)+SUMIFS(Digital!$X$5:$X$84,Digital!$A$5:$A$84,A33),2))</f>
        <v>0</v>
      </c>
      <c r="U33" s="20">
        <f>IF(B33="","",ROUND(SUMIFS(Labor!$O$5:$O$304,Labor!$A$5:$A$304,A33)+SUMIFS(Crochet!$AG$5:$AG$84,Crochet!$A$5:$A$84,A33)+SUMIFS(Jewelry!$AI$5:$AI$84,Jewelry!$A$5:$A$84,A33)+SUMIFS(Candles!$AI$5:$AI$84,Candles!$A$5:$A$84,A33)+SUMIFS(Clothing!$AE$5:$AE$84,Clothing!$A$5:$A$84,A33)+SUMIFS(Woodworking!$AF$5:$AF$84,Woodworking!$A$5:$A$84,A33)+SUMIFS(Digital!$Z$5:$Z$84,Digital!$A$5:$A$84,A33),2))</f>
        <v>0</v>
      </c>
      <c r="V33" s="36">
        <f>IF(B33="","",ROUND(SUMIFS(Labor!$P$5:$P$304,Labor!$A$5:$A$304,A33)+SUMIFS(Crochet!$AE$5:$AE$84,Crochet!$A$5:$A$84,A33)+SUMIFS(Jewelry!$AG$5:$AG$84,Jewelry!$A$5:$A$84,A33)+SUMIFS(Candles!$AG$5:$AG$84,Candles!$A$5:$A$84,A33)+SUMIFS(Clothing!$AC$5:$AC$84,Clothing!$A$5:$A$84,A33)+SUMIFS(Woodworking!$AD$5:$AD$84,Woodworking!$A$5:$A$84,A33)+SUMIFS(Digital!$Y$5:$Y$84,Digital!$A$5:$A$84,A33),1))</f>
        <v>0</v>
      </c>
      <c r="W33" s="41">
        <f>IF(B33="","",IFERROR(INDEX(DiffTimeFactors,MATCH(G33,DiffNames,0)),1))</f>
        <v>0</v>
      </c>
      <c r="X33" s="36">
        <f>IF(B33="","",ROUND(V33*W33,1))</f>
        <v>0</v>
      </c>
      <c r="Y33" s="41">
        <f>IF(B33="","",ROUND(X33/60,3))</f>
        <v>0</v>
      </c>
      <c r="Z33" s="20">
        <f>IF(B33="","",ROUND(U33*W33,2))</f>
        <v>0</v>
      </c>
      <c r="AA33" s="20">
        <f>IF(B33="","",ROUND(SUMIFS(Labor!$Q$5:$Q$304,Labor!$A$5:$A$304,A33)+SUMIFS(Crochet!$AH$5:$AH$84,Crochet!$A$5:$A$84,A33)+SUMIFS(Jewelry!$AJ$5:$AJ$84,Jewelry!$A$5:$A$84,A33)+SUMIFS(Candles!$AJ$5:$AJ$84,Candles!$A$5:$A$84,A33)+SUMIFS(Clothing!$AF$5:$AF$84,Clothing!$A$5:$A$84,A33)+SUMIFS(Woodworking!$AH$5:$AH$84,Woodworking!$A$5:$A$84,A33)+SUMIFS(Digital!$AA$5:$AA$84,Digital!$A$5:$A$84,A33),2))</f>
        <v>0</v>
      </c>
      <c r="AB33" s="20">
        <f>IF(B33="","",ROUND(IF(I33="Budget",PackBudget,IF(I33="Standard",PackStandard,IF(I33="Gift",PackGift,IF(I33="Premium",PackPremium,DefaultPackaging)))),2))</f>
        <v>0</v>
      </c>
      <c r="AC33" s="36">
        <f>IF(B33="","",IF(I33="Budget",PackWeightBudget,IF(I33="Standard",PackWeightStandard,IF(I33="Gift",PackWeightGift,IF(I33="Premium",PackWeightPremium,0)))))</f>
        <v>0</v>
      </c>
      <c r="AD33" s="20">
        <f>IF(B33="","",IFERROR(INDEX(Shipping!$M$5:$M$64,MATCH(J33,Shipping!$L$5:$L$64,0)),DefaultShipping))</f>
        <v>0</v>
      </c>
      <c r="AE33" s="20">
        <f>IF(B33="","",IFERROR(INDEX(Shipping!$F$5:$F$64,MATCH(J33,Shipping!$L$5:$L$64,0)),0))</f>
        <v>0</v>
      </c>
      <c r="AF33" s="36">
        <f>IF(B33="","",IFERROR(INDEX(Shipping!$C$5:$C$64,MATCH(J33,Shipping!$L$5:$L$64,0)),""))</f>
        <v>0</v>
      </c>
      <c r="AG33" s="20">
        <f>IF(B33="","",ROUND(MAX(0,AD33-AE33),2))</f>
        <v>0</v>
      </c>
      <c r="AH33" s="20">
        <f>IF(B33="","",ROUND(T33+Z33+AA33+AB33+AG33,2))</f>
        <v>0</v>
      </c>
      <c r="AI33" s="33">
        <f>IF(B33="","",IFERROR(INDEX(Channels!$S$5:$S$18,MATCH(IF(H33="",DefaultChannel,H33),Channels!$A$5:$A$18,0)),0))</f>
        <v>0</v>
      </c>
      <c r="AJ33" s="42">
        <f>IF(B33="","",IFERROR(INDEX(Channels!$O$5:$O$18,MATCH(IF(H33="",DefaultChannel,H33),Channels!$A$5:$A$18,0)),"No"))</f>
        <v>0</v>
      </c>
      <c r="AK33" s="20">
        <f>IF(B33="","",ROUND(IFERROR(INDEX(Channels!$T$5:$T$18,MATCH(IF(H33="",DefaultChannel,H33),Channels!$A$5:$A$18,0)),0)+IF(AJ33="Yes",AE33*AI33,0),4))</f>
        <v>0</v>
      </c>
      <c r="AL33" s="33">
        <f>IF(B33="","",IF(OverheadMethod="Share of revenue",IF(RevenueTargetMonth&lt;=0,0,OverheadMonthly/RevenueTargetMonth),0))</f>
        <v>0</v>
      </c>
      <c r="AM33" s="20">
        <f>IF(B33="","",IF(OverheadMethod="Per hour worked",ROUND(OverheadPerHour*Y33,2),IF(OR(OverheadMethod="Per unit made",OverheadMethod="Per order"),OverheadPerUnit,0)))</f>
        <v>0</v>
      </c>
      <c r="AN33" s="33">
        <f>IF(B33="","",IF(N33&lt;&gt;"",N33,TargetRetailMargin))</f>
        <v>0</v>
      </c>
      <c r="AO33" s="41">
        <f>IF(B33="","",1-AN33-AI33-AL33)</f>
        <v>0</v>
      </c>
      <c r="AP33" s="20">
        <f>IF(B33="","",IF(AO33&lt;=0,"",(AH33+AM33+AK33)/AO33))</f>
        <v>0</v>
      </c>
      <c r="AQ33" s="20">
        <f>IF(B33="","",IF(AP33="","Check the settings",ROUND(IF(RoundingRule="None",AP33,IF(RoundingRule="Nearest 0.99",MAX(0.99,CEILING(AP33,1)-0.01),IF(RoundingRule="Nearest 0.95",MAX(0.95,CEILING(AP33,1)-0.05),IF(RoundingRule="Nearest 0.50",CEILING(AP33,0.5),IF(RoundingRule="Nearest 1",CEILING(AP33,1),IF(RoundingRule="Nearest 5",CEILING(AP33,5),IF(RoundingRule="Up to whole 1",CEILING(AP33,1),IF(RoundingRule="Up to whole 5",CEILING(AP33,5),ROUND(AP33,2))))))))),2)))</f>
        <v>0</v>
      </c>
      <c r="AR33" s="20">
        <f>IF(B33="","",IF(M33&lt;&gt;"",M33,IF(ISNUMBER(AQ33),AQ33,"")))</f>
        <v>0</v>
      </c>
      <c r="AS33" s="20">
        <f>IF(B33="","",IF(AR33="","",ROUND(AM33+AR33*AL33,2)))</f>
        <v>0</v>
      </c>
      <c r="AT33" s="20">
        <f>IF(B33="","",IF(AR33="","",ROUND(AH33+AS33,2)))</f>
        <v>0</v>
      </c>
      <c r="AU33" s="20">
        <f>IF(B33="","",IF(AR33="","",ROUND(AR33*AI33+AK33,2)))</f>
        <v>0</v>
      </c>
      <c r="AV33" s="20">
        <f>IF(B33="","",IF(AR33="","",ROUND(AR33-AT33-AU33,2)))</f>
        <v>0</v>
      </c>
      <c r="AW33" s="33">
        <f>IF(B33="","",IF(OR(AR33="",AR33=0),"",AV33/AR33))</f>
        <v>0</v>
      </c>
      <c r="AX33" s="33">
        <f>IF(B33="","",IF(OR(AT33="",AT33=0),"",AV33/AT33))</f>
        <v>0</v>
      </c>
      <c r="AY33" s="20">
        <f>IF(B33="","",IF(OR(Y33="",Y33=0,AV33=""),"",ROUND(AV33/Y33,2)))</f>
        <v>0</v>
      </c>
      <c r="AZ33" s="20">
        <f>IF(B33="","",IF(OR(Y33="",Y33=0,AV33=""),"",ROUND((AV33+Z33)/Y33,2)))</f>
        <v>0</v>
      </c>
      <c r="BA33" s="20">
        <f>IF(B33="","",IF(1-AI33-AL33&lt;=0,"",ROUND((AH33+AM33+AK33)/(1-AI33-AL33),2)))</f>
        <v>0</v>
      </c>
      <c r="BB33" s="20">
        <f>IF(B33="","",IF(AT33="","",ROUND(AT33*2,2)))</f>
        <v>0</v>
      </c>
      <c r="BC33" s="20">
        <f>IF(B33="","",IF(AR33="","",ROUND(AR33*(1-WholesaleDiscount),2)))</f>
        <v>0</v>
      </c>
      <c r="BD33" s="20">
        <f>IF(B33="","",IF(BC33="","",ROUND(BC33-AH33-AM33,2)))</f>
        <v>0</v>
      </c>
      <c r="BE33" s="33">
        <f>IF(B33="","",IF(OR(BC33="",BC33=0),"",BD33/BC33))</f>
        <v>0</v>
      </c>
      <c r="BF33" s="20">
        <f>IF(B33="","",IFERROR(ROUND(AVERAGEIFS(Competitors!$F$5:$F$154,Competitors!$A$5:$A$154,A33),2),""))</f>
        <v>0</v>
      </c>
      <c r="BG33" s="33">
        <f>IF(B33="","",IF(OR(BF33="",BF33=0,AR33=""),"",AR33/BF33-1))</f>
        <v>0</v>
      </c>
      <c r="BH33" s="32">
        <f>IF(B33="","",SUMIFS(Sales!$D$5:$D$804,Sales!$C$5:$C$804,A33))</f>
        <v>0</v>
      </c>
      <c r="BI33" s="20">
        <f>IF(B33="","",ROUND(SUMIFS(Sales!$V$5:$V$804,Sales!$C$5:$C$804,A33),2))</f>
        <v>0</v>
      </c>
      <c r="BJ33" s="20">
        <f>IF(B33="","",ROUND(SUMIFS(Sales!$AG$5:$AG$804,Sales!$C$5:$C$804,A33),2))</f>
        <v>0</v>
      </c>
      <c r="BK33" s="33">
        <f>IF(B33="","",IF(OR(BI33="",BI33=0),"",BJ33/BI33))</f>
        <v>0</v>
      </c>
      <c r="BL33" s="17">
        <f>IF(B33="","",IF(SUMPRODUCT(MAX((Sales!$C$5:$C$804=A33)*Sales!$B$5:$B$804))=0,"",SUMPRODUCT(MAX((Sales!$C$5:$C$804=A33)*Sales!$B$5:$B$804))))</f>
        <v>0</v>
      </c>
      <c r="BM33" s="17">
        <f>IF(B33="","",IF(SUMPRODUCT(MAX(('Price History'!$B$5:$B$304=A33)*'Price History'!$A$5:$A$304))=0,IF(P33="","",P33),SUMPRODUCT(MAX(('Price History'!$B$5:$B$304=A33)*'Price History'!$A$5:$A$304))))</f>
        <v>0</v>
      </c>
      <c r="BN33" s="32">
        <f>IF(B33="","",IF(BM33="","",TodayDate-BM33))</f>
        <v>0</v>
      </c>
      <c r="BO33" s="32">
        <f>IF(B33="","",COUNTIFS($AV$5:$AV$304,"&gt;"&amp;AV33)+COUNTIFS($AV$5:AV33,AV33))</f>
        <v>0</v>
      </c>
      <c r="BP33" s="32">
        <f>IF(B33="","",COUNTIFS($AW$5:$AW$304,"&gt;"&amp;AW33)+COUNTIFS($AW$5:AW33,AW33))</f>
        <v>0</v>
      </c>
      <c r="BQ33" s="32">
        <f>IF(B33="","",COUNTIFS($BI$5:$BI$304,"&gt;"&amp;BI33)+COUNTIFS($BI$5:BI33,BI33))</f>
        <v>0</v>
      </c>
      <c r="BR33" s="32">
        <f>IF(B33="","",COUNTIFS($AY$5:$AY$304,"&gt;"&amp;AY33)+COUNTIFS($AY$5:AY33,AY33))</f>
        <v>0</v>
      </c>
      <c r="BS33" s="43">
        <f>IF(B33="","",IF(AH33=0,"Add - no costs entered yet",IF(AR33="","Check - no price yet",IF(AV33&lt;0,"Loss - every sale costs you money",IF(AND(AZ33&lt;&gt;"",AZ33&lt;MinimumWage),"Below - pays under minimum wage",IF(AW33&lt;MarginWarning,"Low margin - re-price it",IF(AND(AF33&lt;&gt;"",K33&lt;&gt;"",K33+AC33&gt;AF33),"Check - too heavy for that postage band",IF(AND(BN33&lt;&gt;"",BN33&gt;PriceReviewDays),"Due - price has not been reviewed",IF(AND(BG33&lt;&gt;"",BG33&gt;0.5),"Check - well above the market","OK")))))))) )</f>
        <v>0</v>
      </c>
    </row>
    <row r="34" spans="1:71">
      <c r="A34" s="38">
        <f>IF(B34="","",ProductPrefix&amp;TEXT(ROW()-4,"0000"))</f>
        <v>0</v>
      </c>
      <c r="S34" s="38">
        <f>IF(B34="","",IF(C34&lt;&gt;"",C34,UPPER(LEFT(IF(D34="","GEN",D34),3))&amp;"-"&amp;TEXT(ROW()-4,"000")))</f>
        <v>0</v>
      </c>
      <c r="T34" s="20">
        <f>IF(B34="","",ROUND(SUMIFS('Material Usage'!$M$5:$M$904,'Material Usage'!$A$5:$A$904,A34)+SUMIFS(Crochet!$AD$5:$AD$84,Crochet!$A$5:$A$84,A34)+SUMIFS(Jewelry!$AF$5:$AF$84,Jewelry!$A$5:$A$84,A34)+SUMIFS(Candles!$AF$5:$AF$84,Candles!$A$5:$A$84,A34)+SUMIFS(Clothing!$AB$5:$AB$84,Clothing!$A$5:$A$84,A34)+SUMIFS(Woodworking!$AC$5:$AC$84,Woodworking!$A$5:$A$84,A34)+SUMIFS(Digital!$X$5:$X$84,Digital!$A$5:$A$84,A34),2))</f>
        <v>0</v>
      </c>
      <c r="U34" s="20">
        <f>IF(B34="","",ROUND(SUMIFS(Labor!$O$5:$O$304,Labor!$A$5:$A$304,A34)+SUMIFS(Crochet!$AG$5:$AG$84,Crochet!$A$5:$A$84,A34)+SUMIFS(Jewelry!$AI$5:$AI$84,Jewelry!$A$5:$A$84,A34)+SUMIFS(Candles!$AI$5:$AI$84,Candles!$A$5:$A$84,A34)+SUMIFS(Clothing!$AE$5:$AE$84,Clothing!$A$5:$A$84,A34)+SUMIFS(Woodworking!$AF$5:$AF$84,Woodworking!$A$5:$A$84,A34)+SUMIFS(Digital!$Z$5:$Z$84,Digital!$A$5:$A$84,A34),2))</f>
        <v>0</v>
      </c>
      <c r="V34" s="36">
        <f>IF(B34="","",ROUND(SUMIFS(Labor!$P$5:$P$304,Labor!$A$5:$A$304,A34)+SUMIFS(Crochet!$AE$5:$AE$84,Crochet!$A$5:$A$84,A34)+SUMIFS(Jewelry!$AG$5:$AG$84,Jewelry!$A$5:$A$84,A34)+SUMIFS(Candles!$AG$5:$AG$84,Candles!$A$5:$A$84,A34)+SUMIFS(Clothing!$AC$5:$AC$84,Clothing!$A$5:$A$84,A34)+SUMIFS(Woodworking!$AD$5:$AD$84,Woodworking!$A$5:$A$84,A34)+SUMIFS(Digital!$Y$5:$Y$84,Digital!$A$5:$A$84,A34),1))</f>
        <v>0</v>
      </c>
      <c r="W34" s="41">
        <f>IF(B34="","",IFERROR(INDEX(DiffTimeFactors,MATCH(G34,DiffNames,0)),1))</f>
        <v>0</v>
      </c>
      <c r="X34" s="36">
        <f>IF(B34="","",ROUND(V34*W34,1))</f>
        <v>0</v>
      </c>
      <c r="Y34" s="41">
        <f>IF(B34="","",ROUND(X34/60,3))</f>
        <v>0</v>
      </c>
      <c r="Z34" s="20">
        <f>IF(B34="","",ROUND(U34*W34,2))</f>
        <v>0</v>
      </c>
      <c r="AA34" s="20">
        <f>IF(B34="","",ROUND(SUMIFS(Labor!$Q$5:$Q$304,Labor!$A$5:$A$304,A34)+SUMIFS(Crochet!$AH$5:$AH$84,Crochet!$A$5:$A$84,A34)+SUMIFS(Jewelry!$AJ$5:$AJ$84,Jewelry!$A$5:$A$84,A34)+SUMIFS(Candles!$AJ$5:$AJ$84,Candles!$A$5:$A$84,A34)+SUMIFS(Clothing!$AF$5:$AF$84,Clothing!$A$5:$A$84,A34)+SUMIFS(Woodworking!$AH$5:$AH$84,Woodworking!$A$5:$A$84,A34)+SUMIFS(Digital!$AA$5:$AA$84,Digital!$A$5:$A$84,A34),2))</f>
        <v>0</v>
      </c>
      <c r="AB34" s="20">
        <f>IF(B34="","",ROUND(IF(I34="Budget",PackBudget,IF(I34="Standard",PackStandard,IF(I34="Gift",PackGift,IF(I34="Premium",PackPremium,DefaultPackaging)))),2))</f>
        <v>0</v>
      </c>
      <c r="AC34" s="36">
        <f>IF(B34="","",IF(I34="Budget",PackWeightBudget,IF(I34="Standard",PackWeightStandard,IF(I34="Gift",PackWeightGift,IF(I34="Premium",PackWeightPremium,0)))))</f>
        <v>0</v>
      </c>
      <c r="AD34" s="20">
        <f>IF(B34="","",IFERROR(INDEX(Shipping!$M$5:$M$64,MATCH(J34,Shipping!$L$5:$L$64,0)),DefaultShipping))</f>
        <v>0</v>
      </c>
      <c r="AE34" s="20">
        <f>IF(B34="","",IFERROR(INDEX(Shipping!$F$5:$F$64,MATCH(J34,Shipping!$L$5:$L$64,0)),0))</f>
        <v>0</v>
      </c>
      <c r="AF34" s="36">
        <f>IF(B34="","",IFERROR(INDEX(Shipping!$C$5:$C$64,MATCH(J34,Shipping!$L$5:$L$64,0)),""))</f>
        <v>0</v>
      </c>
      <c r="AG34" s="20">
        <f>IF(B34="","",ROUND(MAX(0,AD34-AE34),2))</f>
        <v>0</v>
      </c>
      <c r="AH34" s="20">
        <f>IF(B34="","",ROUND(T34+Z34+AA34+AB34+AG34,2))</f>
        <v>0</v>
      </c>
      <c r="AI34" s="33">
        <f>IF(B34="","",IFERROR(INDEX(Channels!$S$5:$S$18,MATCH(IF(H34="",DefaultChannel,H34),Channels!$A$5:$A$18,0)),0))</f>
        <v>0</v>
      </c>
      <c r="AJ34" s="42">
        <f>IF(B34="","",IFERROR(INDEX(Channels!$O$5:$O$18,MATCH(IF(H34="",DefaultChannel,H34),Channels!$A$5:$A$18,0)),"No"))</f>
        <v>0</v>
      </c>
      <c r="AK34" s="20">
        <f>IF(B34="","",ROUND(IFERROR(INDEX(Channels!$T$5:$T$18,MATCH(IF(H34="",DefaultChannel,H34),Channels!$A$5:$A$18,0)),0)+IF(AJ34="Yes",AE34*AI34,0),4))</f>
        <v>0</v>
      </c>
      <c r="AL34" s="33">
        <f>IF(B34="","",IF(OverheadMethod="Share of revenue",IF(RevenueTargetMonth&lt;=0,0,OverheadMonthly/RevenueTargetMonth),0))</f>
        <v>0</v>
      </c>
      <c r="AM34" s="20">
        <f>IF(B34="","",IF(OverheadMethod="Per hour worked",ROUND(OverheadPerHour*Y34,2),IF(OR(OverheadMethod="Per unit made",OverheadMethod="Per order"),OverheadPerUnit,0)))</f>
        <v>0</v>
      </c>
      <c r="AN34" s="33">
        <f>IF(B34="","",IF(N34&lt;&gt;"",N34,TargetRetailMargin))</f>
        <v>0</v>
      </c>
      <c r="AO34" s="41">
        <f>IF(B34="","",1-AN34-AI34-AL34)</f>
        <v>0</v>
      </c>
      <c r="AP34" s="20">
        <f>IF(B34="","",IF(AO34&lt;=0,"",(AH34+AM34+AK34)/AO34))</f>
        <v>0</v>
      </c>
      <c r="AQ34" s="20">
        <f>IF(B34="","",IF(AP34="","Check the settings",ROUND(IF(RoundingRule="None",AP34,IF(RoundingRule="Nearest 0.99",MAX(0.99,CEILING(AP34,1)-0.01),IF(RoundingRule="Nearest 0.95",MAX(0.95,CEILING(AP34,1)-0.05),IF(RoundingRule="Nearest 0.50",CEILING(AP34,0.5),IF(RoundingRule="Nearest 1",CEILING(AP34,1),IF(RoundingRule="Nearest 5",CEILING(AP34,5),IF(RoundingRule="Up to whole 1",CEILING(AP34,1),IF(RoundingRule="Up to whole 5",CEILING(AP34,5),ROUND(AP34,2))))))))),2)))</f>
        <v>0</v>
      </c>
      <c r="AR34" s="20">
        <f>IF(B34="","",IF(M34&lt;&gt;"",M34,IF(ISNUMBER(AQ34),AQ34,"")))</f>
        <v>0</v>
      </c>
      <c r="AS34" s="20">
        <f>IF(B34="","",IF(AR34="","",ROUND(AM34+AR34*AL34,2)))</f>
        <v>0</v>
      </c>
      <c r="AT34" s="20">
        <f>IF(B34="","",IF(AR34="","",ROUND(AH34+AS34,2)))</f>
        <v>0</v>
      </c>
      <c r="AU34" s="20">
        <f>IF(B34="","",IF(AR34="","",ROUND(AR34*AI34+AK34,2)))</f>
        <v>0</v>
      </c>
      <c r="AV34" s="20">
        <f>IF(B34="","",IF(AR34="","",ROUND(AR34-AT34-AU34,2)))</f>
        <v>0</v>
      </c>
      <c r="AW34" s="33">
        <f>IF(B34="","",IF(OR(AR34="",AR34=0),"",AV34/AR34))</f>
        <v>0</v>
      </c>
      <c r="AX34" s="33">
        <f>IF(B34="","",IF(OR(AT34="",AT34=0),"",AV34/AT34))</f>
        <v>0</v>
      </c>
      <c r="AY34" s="20">
        <f>IF(B34="","",IF(OR(Y34="",Y34=0,AV34=""),"",ROUND(AV34/Y34,2)))</f>
        <v>0</v>
      </c>
      <c r="AZ34" s="20">
        <f>IF(B34="","",IF(OR(Y34="",Y34=0,AV34=""),"",ROUND((AV34+Z34)/Y34,2)))</f>
        <v>0</v>
      </c>
      <c r="BA34" s="20">
        <f>IF(B34="","",IF(1-AI34-AL34&lt;=0,"",ROUND((AH34+AM34+AK34)/(1-AI34-AL34),2)))</f>
        <v>0</v>
      </c>
      <c r="BB34" s="20">
        <f>IF(B34="","",IF(AT34="","",ROUND(AT34*2,2)))</f>
        <v>0</v>
      </c>
      <c r="BC34" s="20">
        <f>IF(B34="","",IF(AR34="","",ROUND(AR34*(1-WholesaleDiscount),2)))</f>
        <v>0</v>
      </c>
      <c r="BD34" s="20">
        <f>IF(B34="","",IF(BC34="","",ROUND(BC34-AH34-AM34,2)))</f>
        <v>0</v>
      </c>
      <c r="BE34" s="33">
        <f>IF(B34="","",IF(OR(BC34="",BC34=0),"",BD34/BC34))</f>
        <v>0</v>
      </c>
      <c r="BF34" s="20">
        <f>IF(B34="","",IFERROR(ROUND(AVERAGEIFS(Competitors!$F$5:$F$154,Competitors!$A$5:$A$154,A34),2),""))</f>
        <v>0</v>
      </c>
      <c r="BG34" s="33">
        <f>IF(B34="","",IF(OR(BF34="",BF34=0,AR34=""),"",AR34/BF34-1))</f>
        <v>0</v>
      </c>
      <c r="BH34" s="32">
        <f>IF(B34="","",SUMIFS(Sales!$D$5:$D$804,Sales!$C$5:$C$804,A34))</f>
        <v>0</v>
      </c>
      <c r="BI34" s="20">
        <f>IF(B34="","",ROUND(SUMIFS(Sales!$V$5:$V$804,Sales!$C$5:$C$804,A34),2))</f>
        <v>0</v>
      </c>
      <c r="BJ34" s="20">
        <f>IF(B34="","",ROUND(SUMIFS(Sales!$AG$5:$AG$804,Sales!$C$5:$C$804,A34),2))</f>
        <v>0</v>
      </c>
      <c r="BK34" s="33">
        <f>IF(B34="","",IF(OR(BI34="",BI34=0),"",BJ34/BI34))</f>
        <v>0</v>
      </c>
      <c r="BL34" s="17">
        <f>IF(B34="","",IF(SUMPRODUCT(MAX((Sales!$C$5:$C$804=A34)*Sales!$B$5:$B$804))=0,"",SUMPRODUCT(MAX((Sales!$C$5:$C$804=A34)*Sales!$B$5:$B$804))))</f>
        <v>0</v>
      </c>
      <c r="BM34" s="17">
        <f>IF(B34="","",IF(SUMPRODUCT(MAX(('Price History'!$B$5:$B$304=A34)*'Price History'!$A$5:$A$304))=0,IF(P34="","",P34),SUMPRODUCT(MAX(('Price History'!$B$5:$B$304=A34)*'Price History'!$A$5:$A$304))))</f>
        <v>0</v>
      </c>
      <c r="BN34" s="32">
        <f>IF(B34="","",IF(BM34="","",TodayDate-BM34))</f>
        <v>0</v>
      </c>
      <c r="BO34" s="32">
        <f>IF(B34="","",COUNTIFS($AV$5:$AV$304,"&gt;"&amp;AV34)+COUNTIFS($AV$5:AV34,AV34))</f>
        <v>0</v>
      </c>
      <c r="BP34" s="32">
        <f>IF(B34="","",COUNTIFS($AW$5:$AW$304,"&gt;"&amp;AW34)+COUNTIFS($AW$5:AW34,AW34))</f>
        <v>0</v>
      </c>
      <c r="BQ34" s="32">
        <f>IF(B34="","",COUNTIFS($BI$5:$BI$304,"&gt;"&amp;BI34)+COUNTIFS($BI$5:BI34,BI34))</f>
        <v>0</v>
      </c>
      <c r="BR34" s="32">
        <f>IF(B34="","",COUNTIFS($AY$5:$AY$304,"&gt;"&amp;AY34)+COUNTIFS($AY$5:AY34,AY34))</f>
        <v>0</v>
      </c>
      <c r="BS34" s="43">
        <f>IF(B34="","",IF(AH34=0,"Add - no costs entered yet",IF(AR34="","Check - no price yet",IF(AV34&lt;0,"Loss - every sale costs you money",IF(AND(AZ34&lt;&gt;"",AZ34&lt;MinimumWage),"Below - pays under minimum wage",IF(AW34&lt;MarginWarning,"Low margin - re-price it",IF(AND(AF34&lt;&gt;"",K34&lt;&gt;"",K34+AC34&gt;AF34),"Check - too heavy for that postage band",IF(AND(BN34&lt;&gt;"",BN34&gt;PriceReviewDays),"Due - price has not been reviewed",IF(AND(BG34&lt;&gt;"",BG34&gt;0.5),"Check - well above the market","OK")))))))) )</f>
        <v>0</v>
      </c>
    </row>
    <row r="35" spans="1:71">
      <c r="A35" s="38">
        <f>IF(B35="","",ProductPrefix&amp;TEXT(ROW()-4,"0000"))</f>
        <v>0</v>
      </c>
      <c r="S35" s="38">
        <f>IF(B35="","",IF(C35&lt;&gt;"",C35,UPPER(LEFT(IF(D35="","GEN",D35),3))&amp;"-"&amp;TEXT(ROW()-4,"000")))</f>
        <v>0</v>
      </c>
      <c r="T35" s="20">
        <f>IF(B35="","",ROUND(SUMIFS('Material Usage'!$M$5:$M$904,'Material Usage'!$A$5:$A$904,A35)+SUMIFS(Crochet!$AD$5:$AD$84,Crochet!$A$5:$A$84,A35)+SUMIFS(Jewelry!$AF$5:$AF$84,Jewelry!$A$5:$A$84,A35)+SUMIFS(Candles!$AF$5:$AF$84,Candles!$A$5:$A$84,A35)+SUMIFS(Clothing!$AB$5:$AB$84,Clothing!$A$5:$A$84,A35)+SUMIFS(Woodworking!$AC$5:$AC$84,Woodworking!$A$5:$A$84,A35)+SUMIFS(Digital!$X$5:$X$84,Digital!$A$5:$A$84,A35),2))</f>
        <v>0</v>
      </c>
      <c r="U35" s="20">
        <f>IF(B35="","",ROUND(SUMIFS(Labor!$O$5:$O$304,Labor!$A$5:$A$304,A35)+SUMIFS(Crochet!$AG$5:$AG$84,Crochet!$A$5:$A$84,A35)+SUMIFS(Jewelry!$AI$5:$AI$84,Jewelry!$A$5:$A$84,A35)+SUMIFS(Candles!$AI$5:$AI$84,Candles!$A$5:$A$84,A35)+SUMIFS(Clothing!$AE$5:$AE$84,Clothing!$A$5:$A$84,A35)+SUMIFS(Woodworking!$AF$5:$AF$84,Woodworking!$A$5:$A$84,A35)+SUMIFS(Digital!$Z$5:$Z$84,Digital!$A$5:$A$84,A35),2))</f>
        <v>0</v>
      </c>
      <c r="V35" s="36">
        <f>IF(B35="","",ROUND(SUMIFS(Labor!$P$5:$P$304,Labor!$A$5:$A$304,A35)+SUMIFS(Crochet!$AE$5:$AE$84,Crochet!$A$5:$A$84,A35)+SUMIFS(Jewelry!$AG$5:$AG$84,Jewelry!$A$5:$A$84,A35)+SUMIFS(Candles!$AG$5:$AG$84,Candles!$A$5:$A$84,A35)+SUMIFS(Clothing!$AC$5:$AC$84,Clothing!$A$5:$A$84,A35)+SUMIFS(Woodworking!$AD$5:$AD$84,Woodworking!$A$5:$A$84,A35)+SUMIFS(Digital!$Y$5:$Y$84,Digital!$A$5:$A$84,A35),1))</f>
        <v>0</v>
      </c>
      <c r="W35" s="41">
        <f>IF(B35="","",IFERROR(INDEX(DiffTimeFactors,MATCH(G35,DiffNames,0)),1))</f>
        <v>0</v>
      </c>
      <c r="X35" s="36">
        <f>IF(B35="","",ROUND(V35*W35,1))</f>
        <v>0</v>
      </c>
      <c r="Y35" s="41">
        <f>IF(B35="","",ROUND(X35/60,3))</f>
        <v>0</v>
      </c>
      <c r="Z35" s="20">
        <f>IF(B35="","",ROUND(U35*W35,2))</f>
        <v>0</v>
      </c>
      <c r="AA35" s="20">
        <f>IF(B35="","",ROUND(SUMIFS(Labor!$Q$5:$Q$304,Labor!$A$5:$A$304,A35)+SUMIFS(Crochet!$AH$5:$AH$84,Crochet!$A$5:$A$84,A35)+SUMIFS(Jewelry!$AJ$5:$AJ$84,Jewelry!$A$5:$A$84,A35)+SUMIFS(Candles!$AJ$5:$AJ$84,Candles!$A$5:$A$84,A35)+SUMIFS(Clothing!$AF$5:$AF$84,Clothing!$A$5:$A$84,A35)+SUMIFS(Woodworking!$AH$5:$AH$84,Woodworking!$A$5:$A$84,A35)+SUMIFS(Digital!$AA$5:$AA$84,Digital!$A$5:$A$84,A35),2))</f>
        <v>0</v>
      </c>
      <c r="AB35" s="20">
        <f>IF(B35="","",ROUND(IF(I35="Budget",PackBudget,IF(I35="Standard",PackStandard,IF(I35="Gift",PackGift,IF(I35="Premium",PackPremium,DefaultPackaging)))),2))</f>
        <v>0</v>
      </c>
      <c r="AC35" s="36">
        <f>IF(B35="","",IF(I35="Budget",PackWeightBudget,IF(I35="Standard",PackWeightStandard,IF(I35="Gift",PackWeightGift,IF(I35="Premium",PackWeightPremium,0)))))</f>
        <v>0</v>
      </c>
      <c r="AD35" s="20">
        <f>IF(B35="","",IFERROR(INDEX(Shipping!$M$5:$M$64,MATCH(J35,Shipping!$L$5:$L$64,0)),DefaultShipping))</f>
        <v>0</v>
      </c>
      <c r="AE35" s="20">
        <f>IF(B35="","",IFERROR(INDEX(Shipping!$F$5:$F$64,MATCH(J35,Shipping!$L$5:$L$64,0)),0))</f>
        <v>0</v>
      </c>
      <c r="AF35" s="36">
        <f>IF(B35="","",IFERROR(INDEX(Shipping!$C$5:$C$64,MATCH(J35,Shipping!$L$5:$L$64,0)),""))</f>
        <v>0</v>
      </c>
      <c r="AG35" s="20">
        <f>IF(B35="","",ROUND(MAX(0,AD35-AE35),2))</f>
        <v>0</v>
      </c>
      <c r="AH35" s="20">
        <f>IF(B35="","",ROUND(T35+Z35+AA35+AB35+AG35,2))</f>
        <v>0</v>
      </c>
      <c r="AI35" s="33">
        <f>IF(B35="","",IFERROR(INDEX(Channels!$S$5:$S$18,MATCH(IF(H35="",DefaultChannel,H35),Channels!$A$5:$A$18,0)),0))</f>
        <v>0</v>
      </c>
      <c r="AJ35" s="42">
        <f>IF(B35="","",IFERROR(INDEX(Channels!$O$5:$O$18,MATCH(IF(H35="",DefaultChannel,H35),Channels!$A$5:$A$18,0)),"No"))</f>
        <v>0</v>
      </c>
      <c r="AK35" s="20">
        <f>IF(B35="","",ROUND(IFERROR(INDEX(Channels!$T$5:$T$18,MATCH(IF(H35="",DefaultChannel,H35),Channels!$A$5:$A$18,0)),0)+IF(AJ35="Yes",AE35*AI35,0),4))</f>
        <v>0</v>
      </c>
      <c r="AL35" s="33">
        <f>IF(B35="","",IF(OverheadMethod="Share of revenue",IF(RevenueTargetMonth&lt;=0,0,OverheadMonthly/RevenueTargetMonth),0))</f>
        <v>0</v>
      </c>
      <c r="AM35" s="20">
        <f>IF(B35="","",IF(OverheadMethod="Per hour worked",ROUND(OverheadPerHour*Y35,2),IF(OR(OverheadMethod="Per unit made",OverheadMethod="Per order"),OverheadPerUnit,0)))</f>
        <v>0</v>
      </c>
      <c r="AN35" s="33">
        <f>IF(B35="","",IF(N35&lt;&gt;"",N35,TargetRetailMargin))</f>
        <v>0</v>
      </c>
      <c r="AO35" s="41">
        <f>IF(B35="","",1-AN35-AI35-AL35)</f>
        <v>0</v>
      </c>
      <c r="AP35" s="20">
        <f>IF(B35="","",IF(AO35&lt;=0,"",(AH35+AM35+AK35)/AO35))</f>
        <v>0</v>
      </c>
      <c r="AQ35" s="20">
        <f>IF(B35="","",IF(AP35="","Check the settings",ROUND(IF(RoundingRule="None",AP35,IF(RoundingRule="Nearest 0.99",MAX(0.99,CEILING(AP35,1)-0.01),IF(RoundingRule="Nearest 0.95",MAX(0.95,CEILING(AP35,1)-0.05),IF(RoundingRule="Nearest 0.50",CEILING(AP35,0.5),IF(RoundingRule="Nearest 1",CEILING(AP35,1),IF(RoundingRule="Nearest 5",CEILING(AP35,5),IF(RoundingRule="Up to whole 1",CEILING(AP35,1),IF(RoundingRule="Up to whole 5",CEILING(AP35,5),ROUND(AP35,2))))))))),2)))</f>
        <v>0</v>
      </c>
      <c r="AR35" s="20">
        <f>IF(B35="","",IF(M35&lt;&gt;"",M35,IF(ISNUMBER(AQ35),AQ35,"")))</f>
        <v>0</v>
      </c>
      <c r="AS35" s="20">
        <f>IF(B35="","",IF(AR35="","",ROUND(AM35+AR35*AL35,2)))</f>
        <v>0</v>
      </c>
      <c r="AT35" s="20">
        <f>IF(B35="","",IF(AR35="","",ROUND(AH35+AS35,2)))</f>
        <v>0</v>
      </c>
      <c r="AU35" s="20">
        <f>IF(B35="","",IF(AR35="","",ROUND(AR35*AI35+AK35,2)))</f>
        <v>0</v>
      </c>
      <c r="AV35" s="20">
        <f>IF(B35="","",IF(AR35="","",ROUND(AR35-AT35-AU35,2)))</f>
        <v>0</v>
      </c>
      <c r="AW35" s="33">
        <f>IF(B35="","",IF(OR(AR35="",AR35=0),"",AV35/AR35))</f>
        <v>0</v>
      </c>
      <c r="AX35" s="33">
        <f>IF(B35="","",IF(OR(AT35="",AT35=0),"",AV35/AT35))</f>
        <v>0</v>
      </c>
      <c r="AY35" s="20">
        <f>IF(B35="","",IF(OR(Y35="",Y35=0,AV35=""),"",ROUND(AV35/Y35,2)))</f>
        <v>0</v>
      </c>
      <c r="AZ35" s="20">
        <f>IF(B35="","",IF(OR(Y35="",Y35=0,AV35=""),"",ROUND((AV35+Z35)/Y35,2)))</f>
        <v>0</v>
      </c>
      <c r="BA35" s="20">
        <f>IF(B35="","",IF(1-AI35-AL35&lt;=0,"",ROUND((AH35+AM35+AK35)/(1-AI35-AL35),2)))</f>
        <v>0</v>
      </c>
      <c r="BB35" s="20">
        <f>IF(B35="","",IF(AT35="","",ROUND(AT35*2,2)))</f>
        <v>0</v>
      </c>
      <c r="BC35" s="20">
        <f>IF(B35="","",IF(AR35="","",ROUND(AR35*(1-WholesaleDiscount),2)))</f>
        <v>0</v>
      </c>
      <c r="BD35" s="20">
        <f>IF(B35="","",IF(BC35="","",ROUND(BC35-AH35-AM35,2)))</f>
        <v>0</v>
      </c>
      <c r="BE35" s="33">
        <f>IF(B35="","",IF(OR(BC35="",BC35=0),"",BD35/BC35))</f>
        <v>0</v>
      </c>
      <c r="BF35" s="20">
        <f>IF(B35="","",IFERROR(ROUND(AVERAGEIFS(Competitors!$F$5:$F$154,Competitors!$A$5:$A$154,A35),2),""))</f>
        <v>0</v>
      </c>
      <c r="BG35" s="33">
        <f>IF(B35="","",IF(OR(BF35="",BF35=0,AR35=""),"",AR35/BF35-1))</f>
        <v>0</v>
      </c>
      <c r="BH35" s="32">
        <f>IF(B35="","",SUMIFS(Sales!$D$5:$D$804,Sales!$C$5:$C$804,A35))</f>
        <v>0</v>
      </c>
      <c r="BI35" s="20">
        <f>IF(B35="","",ROUND(SUMIFS(Sales!$V$5:$V$804,Sales!$C$5:$C$804,A35),2))</f>
        <v>0</v>
      </c>
      <c r="BJ35" s="20">
        <f>IF(B35="","",ROUND(SUMIFS(Sales!$AG$5:$AG$804,Sales!$C$5:$C$804,A35),2))</f>
        <v>0</v>
      </c>
      <c r="BK35" s="33">
        <f>IF(B35="","",IF(OR(BI35="",BI35=0),"",BJ35/BI35))</f>
        <v>0</v>
      </c>
      <c r="BL35" s="17">
        <f>IF(B35="","",IF(SUMPRODUCT(MAX((Sales!$C$5:$C$804=A35)*Sales!$B$5:$B$804))=0,"",SUMPRODUCT(MAX((Sales!$C$5:$C$804=A35)*Sales!$B$5:$B$804))))</f>
        <v>0</v>
      </c>
      <c r="BM35" s="17">
        <f>IF(B35="","",IF(SUMPRODUCT(MAX(('Price History'!$B$5:$B$304=A35)*'Price History'!$A$5:$A$304))=0,IF(P35="","",P35),SUMPRODUCT(MAX(('Price History'!$B$5:$B$304=A35)*'Price History'!$A$5:$A$304))))</f>
        <v>0</v>
      </c>
      <c r="BN35" s="32">
        <f>IF(B35="","",IF(BM35="","",TodayDate-BM35))</f>
        <v>0</v>
      </c>
      <c r="BO35" s="32">
        <f>IF(B35="","",COUNTIFS($AV$5:$AV$304,"&gt;"&amp;AV35)+COUNTIFS($AV$5:AV35,AV35))</f>
        <v>0</v>
      </c>
      <c r="BP35" s="32">
        <f>IF(B35="","",COUNTIFS($AW$5:$AW$304,"&gt;"&amp;AW35)+COUNTIFS($AW$5:AW35,AW35))</f>
        <v>0</v>
      </c>
      <c r="BQ35" s="32">
        <f>IF(B35="","",COUNTIFS($BI$5:$BI$304,"&gt;"&amp;BI35)+COUNTIFS($BI$5:BI35,BI35))</f>
        <v>0</v>
      </c>
      <c r="BR35" s="32">
        <f>IF(B35="","",COUNTIFS($AY$5:$AY$304,"&gt;"&amp;AY35)+COUNTIFS($AY$5:AY35,AY35))</f>
        <v>0</v>
      </c>
      <c r="BS35" s="43">
        <f>IF(B35="","",IF(AH35=0,"Add - no costs entered yet",IF(AR35="","Check - no price yet",IF(AV35&lt;0,"Loss - every sale costs you money",IF(AND(AZ35&lt;&gt;"",AZ35&lt;MinimumWage),"Below - pays under minimum wage",IF(AW35&lt;MarginWarning,"Low margin - re-price it",IF(AND(AF35&lt;&gt;"",K35&lt;&gt;"",K35+AC35&gt;AF35),"Check - too heavy for that postage band",IF(AND(BN35&lt;&gt;"",BN35&gt;PriceReviewDays),"Due - price has not been reviewed",IF(AND(BG35&lt;&gt;"",BG35&gt;0.5),"Check - well above the market","OK")))))))) )</f>
        <v>0</v>
      </c>
    </row>
    <row r="36" spans="1:71">
      <c r="A36" s="38">
        <f>IF(B36="","",ProductPrefix&amp;TEXT(ROW()-4,"0000"))</f>
        <v>0</v>
      </c>
      <c r="S36" s="38">
        <f>IF(B36="","",IF(C36&lt;&gt;"",C36,UPPER(LEFT(IF(D36="","GEN",D36),3))&amp;"-"&amp;TEXT(ROW()-4,"000")))</f>
        <v>0</v>
      </c>
      <c r="T36" s="20">
        <f>IF(B36="","",ROUND(SUMIFS('Material Usage'!$M$5:$M$904,'Material Usage'!$A$5:$A$904,A36)+SUMIFS(Crochet!$AD$5:$AD$84,Crochet!$A$5:$A$84,A36)+SUMIFS(Jewelry!$AF$5:$AF$84,Jewelry!$A$5:$A$84,A36)+SUMIFS(Candles!$AF$5:$AF$84,Candles!$A$5:$A$84,A36)+SUMIFS(Clothing!$AB$5:$AB$84,Clothing!$A$5:$A$84,A36)+SUMIFS(Woodworking!$AC$5:$AC$84,Woodworking!$A$5:$A$84,A36)+SUMIFS(Digital!$X$5:$X$84,Digital!$A$5:$A$84,A36),2))</f>
        <v>0</v>
      </c>
      <c r="U36" s="20">
        <f>IF(B36="","",ROUND(SUMIFS(Labor!$O$5:$O$304,Labor!$A$5:$A$304,A36)+SUMIFS(Crochet!$AG$5:$AG$84,Crochet!$A$5:$A$84,A36)+SUMIFS(Jewelry!$AI$5:$AI$84,Jewelry!$A$5:$A$84,A36)+SUMIFS(Candles!$AI$5:$AI$84,Candles!$A$5:$A$84,A36)+SUMIFS(Clothing!$AE$5:$AE$84,Clothing!$A$5:$A$84,A36)+SUMIFS(Woodworking!$AF$5:$AF$84,Woodworking!$A$5:$A$84,A36)+SUMIFS(Digital!$Z$5:$Z$84,Digital!$A$5:$A$84,A36),2))</f>
        <v>0</v>
      </c>
      <c r="V36" s="36">
        <f>IF(B36="","",ROUND(SUMIFS(Labor!$P$5:$P$304,Labor!$A$5:$A$304,A36)+SUMIFS(Crochet!$AE$5:$AE$84,Crochet!$A$5:$A$84,A36)+SUMIFS(Jewelry!$AG$5:$AG$84,Jewelry!$A$5:$A$84,A36)+SUMIFS(Candles!$AG$5:$AG$84,Candles!$A$5:$A$84,A36)+SUMIFS(Clothing!$AC$5:$AC$84,Clothing!$A$5:$A$84,A36)+SUMIFS(Woodworking!$AD$5:$AD$84,Woodworking!$A$5:$A$84,A36)+SUMIFS(Digital!$Y$5:$Y$84,Digital!$A$5:$A$84,A36),1))</f>
        <v>0</v>
      </c>
      <c r="W36" s="41">
        <f>IF(B36="","",IFERROR(INDEX(DiffTimeFactors,MATCH(G36,DiffNames,0)),1))</f>
        <v>0</v>
      </c>
      <c r="X36" s="36">
        <f>IF(B36="","",ROUND(V36*W36,1))</f>
        <v>0</v>
      </c>
      <c r="Y36" s="41">
        <f>IF(B36="","",ROUND(X36/60,3))</f>
        <v>0</v>
      </c>
      <c r="Z36" s="20">
        <f>IF(B36="","",ROUND(U36*W36,2))</f>
        <v>0</v>
      </c>
      <c r="AA36" s="20">
        <f>IF(B36="","",ROUND(SUMIFS(Labor!$Q$5:$Q$304,Labor!$A$5:$A$304,A36)+SUMIFS(Crochet!$AH$5:$AH$84,Crochet!$A$5:$A$84,A36)+SUMIFS(Jewelry!$AJ$5:$AJ$84,Jewelry!$A$5:$A$84,A36)+SUMIFS(Candles!$AJ$5:$AJ$84,Candles!$A$5:$A$84,A36)+SUMIFS(Clothing!$AF$5:$AF$84,Clothing!$A$5:$A$84,A36)+SUMIFS(Woodworking!$AH$5:$AH$84,Woodworking!$A$5:$A$84,A36)+SUMIFS(Digital!$AA$5:$AA$84,Digital!$A$5:$A$84,A36),2))</f>
        <v>0</v>
      </c>
      <c r="AB36" s="20">
        <f>IF(B36="","",ROUND(IF(I36="Budget",PackBudget,IF(I36="Standard",PackStandard,IF(I36="Gift",PackGift,IF(I36="Premium",PackPremium,DefaultPackaging)))),2))</f>
        <v>0</v>
      </c>
      <c r="AC36" s="36">
        <f>IF(B36="","",IF(I36="Budget",PackWeightBudget,IF(I36="Standard",PackWeightStandard,IF(I36="Gift",PackWeightGift,IF(I36="Premium",PackWeightPremium,0)))))</f>
        <v>0</v>
      </c>
      <c r="AD36" s="20">
        <f>IF(B36="","",IFERROR(INDEX(Shipping!$M$5:$M$64,MATCH(J36,Shipping!$L$5:$L$64,0)),DefaultShipping))</f>
        <v>0</v>
      </c>
      <c r="AE36" s="20">
        <f>IF(B36="","",IFERROR(INDEX(Shipping!$F$5:$F$64,MATCH(J36,Shipping!$L$5:$L$64,0)),0))</f>
        <v>0</v>
      </c>
      <c r="AF36" s="36">
        <f>IF(B36="","",IFERROR(INDEX(Shipping!$C$5:$C$64,MATCH(J36,Shipping!$L$5:$L$64,0)),""))</f>
        <v>0</v>
      </c>
      <c r="AG36" s="20">
        <f>IF(B36="","",ROUND(MAX(0,AD36-AE36),2))</f>
        <v>0</v>
      </c>
      <c r="AH36" s="20">
        <f>IF(B36="","",ROUND(T36+Z36+AA36+AB36+AG36,2))</f>
        <v>0</v>
      </c>
      <c r="AI36" s="33">
        <f>IF(B36="","",IFERROR(INDEX(Channels!$S$5:$S$18,MATCH(IF(H36="",DefaultChannel,H36),Channels!$A$5:$A$18,0)),0))</f>
        <v>0</v>
      </c>
      <c r="AJ36" s="42">
        <f>IF(B36="","",IFERROR(INDEX(Channels!$O$5:$O$18,MATCH(IF(H36="",DefaultChannel,H36),Channels!$A$5:$A$18,0)),"No"))</f>
        <v>0</v>
      </c>
      <c r="AK36" s="20">
        <f>IF(B36="","",ROUND(IFERROR(INDEX(Channels!$T$5:$T$18,MATCH(IF(H36="",DefaultChannel,H36),Channels!$A$5:$A$18,0)),0)+IF(AJ36="Yes",AE36*AI36,0),4))</f>
        <v>0</v>
      </c>
      <c r="AL36" s="33">
        <f>IF(B36="","",IF(OverheadMethod="Share of revenue",IF(RevenueTargetMonth&lt;=0,0,OverheadMonthly/RevenueTargetMonth),0))</f>
        <v>0</v>
      </c>
      <c r="AM36" s="20">
        <f>IF(B36="","",IF(OverheadMethod="Per hour worked",ROUND(OverheadPerHour*Y36,2),IF(OR(OverheadMethod="Per unit made",OverheadMethod="Per order"),OverheadPerUnit,0)))</f>
        <v>0</v>
      </c>
      <c r="AN36" s="33">
        <f>IF(B36="","",IF(N36&lt;&gt;"",N36,TargetRetailMargin))</f>
        <v>0</v>
      </c>
      <c r="AO36" s="41">
        <f>IF(B36="","",1-AN36-AI36-AL36)</f>
        <v>0</v>
      </c>
      <c r="AP36" s="20">
        <f>IF(B36="","",IF(AO36&lt;=0,"",(AH36+AM36+AK36)/AO36))</f>
        <v>0</v>
      </c>
      <c r="AQ36" s="20">
        <f>IF(B36="","",IF(AP36="","Check the settings",ROUND(IF(RoundingRule="None",AP36,IF(RoundingRule="Nearest 0.99",MAX(0.99,CEILING(AP36,1)-0.01),IF(RoundingRule="Nearest 0.95",MAX(0.95,CEILING(AP36,1)-0.05),IF(RoundingRule="Nearest 0.50",CEILING(AP36,0.5),IF(RoundingRule="Nearest 1",CEILING(AP36,1),IF(RoundingRule="Nearest 5",CEILING(AP36,5),IF(RoundingRule="Up to whole 1",CEILING(AP36,1),IF(RoundingRule="Up to whole 5",CEILING(AP36,5),ROUND(AP36,2))))))))),2)))</f>
        <v>0</v>
      </c>
      <c r="AR36" s="20">
        <f>IF(B36="","",IF(M36&lt;&gt;"",M36,IF(ISNUMBER(AQ36),AQ36,"")))</f>
        <v>0</v>
      </c>
      <c r="AS36" s="20">
        <f>IF(B36="","",IF(AR36="","",ROUND(AM36+AR36*AL36,2)))</f>
        <v>0</v>
      </c>
      <c r="AT36" s="20">
        <f>IF(B36="","",IF(AR36="","",ROUND(AH36+AS36,2)))</f>
        <v>0</v>
      </c>
      <c r="AU36" s="20">
        <f>IF(B36="","",IF(AR36="","",ROUND(AR36*AI36+AK36,2)))</f>
        <v>0</v>
      </c>
      <c r="AV36" s="20">
        <f>IF(B36="","",IF(AR36="","",ROUND(AR36-AT36-AU36,2)))</f>
        <v>0</v>
      </c>
      <c r="AW36" s="33">
        <f>IF(B36="","",IF(OR(AR36="",AR36=0),"",AV36/AR36))</f>
        <v>0</v>
      </c>
      <c r="AX36" s="33">
        <f>IF(B36="","",IF(OR(AT36="",AT36=0),"",AV36/AT36))</f>
        <v>0</v>
      </c>
      <c r="AY36" s="20">
        <f>IF(B36="","",IF(OR(Y36="",Y36=0,AV36=""),"",ROUND(AV36/Y36,2)))</f>
        <v>0</v>
      </c>
      <c r="AZ36" s="20">
        <f>IF(B36="","",IF(OR(Y36="",Y36=0,AV36=""),"",ROUND((AV36+Z36)/Y36,2)))</f>
        <v>0</v>
      </c>
      <c r="BA36" s="20">
        <f>IF(B36="","",IF(1-AI36-AL36&lt;=0,"",ROUND((AH36+AM36+AK36)/(1-AI36-AL36),2)))</f>
        <v>0</v>
      </c>
      <c r="BB36" s="20">
        <f>IF(B36="","",IF(AT36="","",ROUND(AT36*2,2)))</f>
        <v>0</v>
      </c>
      <c r="BC36" s="20">
        <f>IF(B36="","",IF(AR36="","",ROUND(AR36*(1-WholesaleDiscount),2)))</f>
        <v>0</v>
      </c>
      <c r="BD36" s="20">
        <f>IF(B36="","",IF(BC36="","",ROUND(BC36-AH36-AM36,2)))</f>
        <v>0</v>
      </c>
      <c r="BE36" s="33">
        <f>IF(B36="","",IF(OR(BC36="",BC36=0),"",BD36/BC36))</f>
        <v>0</v>
      </c>
      <c r="BF36" s="20">
        <f>IF(B36="","",IFERROR(ROUND(AVERAGEIFS(Competitors!$F$5:$F$154,Competitors!$A$5:$A$154,A36),2),""))</f>
        <v>0</v>
      </c>
      <c r="BG36" s="33">
        <f>IF(B36="","",IF(OR(BF36="",BF36=0,AR36=""),"",AR36/BF36-1))</f>
        <v>0</v>
      </c>
      <c r="BH36" s="32">
        <f>IF(B36="","",SUMIFS(Sales!$D$5:$D$804,Sales!$C$5:$C$804,A36))</f>
        <v>0</v>
      </c>
      <c r="BI36" s="20">
        <f>IF(B36="","",ROUND(SUMIFS(Sales!$V$5:$V$804,Sales!$C$5:$C$804,A36),2))</f>
        <v>0</v>
      </c>
      <c r="BJ36" s="20">
        <f>IF(B36="","",ROUND(SUMIFS(Sales!$AG$5:$AG$804,Sales!$C$5:$C$804,A36),2))</f>
        <v>0</v>
      </c>
      <c r="BK36" s="33">
        <f>IF(B36="","",IF(OR(BI36="",BI36=0),"",BJ36/BI36))</f>
        <v>0</v>
      </c>
      <c r="BL36" s="17">
        <f>IF(B36="","",IF(SUMPRODUCT(MAX((Sales!$C$5:$C$804=A36)*Sales!$B$5:$B$804))=0,"",SUMPRODUCT(MAX((Sales!$C$5:$C$804=A36)*Sales!$B$5:$B$804))))</f>
        <v>0</v>
      </c>
      <c r="BM36" s="17">
        <f>IF(B36="","",IF(SUMPRODUCT(MAX(('Price History'!$B$5:$B$304=A36)*'Price History'!$A$5:$A$304))=0,IF(P36="","",P36),SUMPRODUCT(MAX(('Price History'!$B$5:$B$304=A36)*'Price History'!$A$5:$A$304))))</f>
        <v>0</v>
      </c>
      <c r="BN36" s="32">
        <f>IF(B36="","",IF(BM36="","",TodayDate-BM36))</f>
        <v>0</v>
      </c>
      <c r="BO36" s="32">
        <f>IF(B36="","",COUNTIFS($AV$5:$AV$304,"&gt;"&amp;AV36)+COUNTIFS($AV$5:AV36,AV36))</f>
        <v>0</v>
      </c>
      <c r="BP36" s="32">
        <f>IF(B36="","",COUNTIFS($AW$5:$AW$304,"&gt;"&amp;AW36)+COUNTIFS($AW$5:AW36,AW36))</f>
        <v>0</v>
      </c>
      <c r="BQ36" s="32">
        <f>IF(B36="","",COUNTIFS($BI$5:$BI$304,"&gt;"&amp;BI36)+COUNTIFS($BI$5:BI36,BI36))</f>
        <v>0</v>
      </c>
      <c r="BR36" s="32">
        <f>IF(B36="","",COUNTIFS($AY$5:$AY$304,"&gt;"&amp;AY36)+COUNTIFS($AY$5:AY36,AY36))</f>
        <v>0</v>
      </c>
      <c r="BS36" s="43">
        <f>IF(B36="","",IF(AH36=0,"Add - no costs entered yet",IF(AR36="","Check - no price yet",IF(AV36&lt;0,"Loss - every sale costs you money",IF(AND(AZ36&lt;&gt;"",AZ36&lt;MinimumWage),"Below - pays under minimum wage",IF(AW36&lt;MarginWarning,"Low margin - re-price it",IF(AND(AF36&lt;&gt;"",K36&lt;&gt;"",K36+AC36&gt;AF36),"Check - too heavy for that postage band",IF(AND(BN36&lt;&gt;"",BN36&gt;PriceReviewDays),"Due - price has not been reviewed",IF(AND(BG36&lt;&gt;"",BG36&gt;0.5),"Check - well above the market","OK")))))))) )</f>
        <v>0</v>
      </c>
    </row>
    <row r="37" spans="1:71">
      <c r="A37" s="38">
        <f>IF(B37="","",ProductPrefix&amp;TEXT(ROW()-4,"0000"))</f>
        <v>0</v>
      </c>
      <c r="S37" s="38">
        <f>IF(B37="","",IF(C37&lt;&gt;"",C37,UPPER(LEFT(IF(D37="","GEN",D37),3))&amp;"-"&amp;TEXT(ROW()-4,"000")))</f>
        <v>0</v>
      </c>
      <c r="T37" s="20">
        <f>IF(B37="","",ROUND(SUMIFS('Material Usage'!$M$5:$M$904,'Material Usage'!$A$5:$A$904,A37)+SUMIFS(Crochet!$AD$5:$AD$84,Crochet!$A$5:$A$84,A37)+SUMIFS(Jewelry!$AF$5:$AF$84,Jewelry!$A$5:$A$84,A37)+SUMIFS(Candles!$AF$5:$AF$84,Candles!$A$5:$A$84,A37)+SUMIFS(Clothing!$AB$5:$AB$84,Clothing!$A$5:$A$84,A37)+SUMIFS(Woodworking!$AC$5:$AC$84,Woodworking!$A$5:$A$84,A37)+SUMIFS(Digital!$X$5:$X$84,Digital!$A$5:$A$84,A37),2))</f>
        <v>0</v>
      </c>
      <c r="U37" s="20">
        <f>IF(B37="","",ROUND(SUMIFS(Labor!$O$5:$O$304,Labor!$A$5:$A$304,A37)+SUMIFS(Crochet!$AG$5:$AG$84,Crochet!$A$5:$A$84,A37)+SUMIFS(Jewelry!$AI$5:$AI$84,Jewelry!$A$5:$A$84,A37)+SUMIFS(Candles!$AI$5:$AI$84,Candles!$A$5:$A$84,A37)+SUMIFS(Clothing!$AE$5:$AE$84,Clothing!$A$5:$A$84,A37)+SUMIFS(Woodworking!$AF$5:$AF$84,Woodworking!$A$5:$A$84,A37)+SUMIFS(Digital!$Z$5:$Z$84,Digital!$A$5:$A$84,A37),2))</f>
        <v>0</v>
      </c>
      <c r="V37" s="36">
        <f>IF(B37="","",ROUND(SUMIFS(Labor!$P$5:$P$304,Labor!$A$5:$A$304,A37)+SUMIFS(Crochet!$AE$5:$AE$84,Crochet!$A$5:$A$84,A37)+SUMIFS(Jewelry!$AG$5:$AG$84,Jewelry!$A$5:$A$84,A37)+SUMIFS(Candles!$AG$5:$AG$84,Candles!$A$5:$A$84,A37)+SUMIFS(Clothing!$AC$5:$AC$84,Clothing!$A$5:$A$84,A37)+SUMIFS(Woodworking!$AD$5:$AD$84,Woodworking!$A$5:$A$84,A37)+SUMIFS(Digital!$Y$5:$Y$84,Digital!$A$5:$A$84,A37),1))</f>
        <v>0</v>
      </c>
      <c r="W37" s="41">
        <f>IF(B37="","",IFERROR(INDEX(DiffTimeFactors,MATCH(G37,DiffNames,0)),1))</f>
        <v>0</v>
      </c>
      <c r="X37" s="36">
        <f>IF(B37="","",ROUND(V37*W37,1))</f>
        <v>0</v>
      </c>
      <c r="Y37" s="41">
        <f>IF(B37="","",ROUND(X37/60,3))</f>
        <v>0</v>
      </c>
      <c r="Z37" s="20">
        <f>IF(B37="","",ROUND(U37*W37,2))</f>
        <v>0</v>
      </c>
      <c r="AA37" s="20">
        <f>IF(B37="","",ROUND(SUMIFS(Labor!$Q$5:$Q$304,Labor!$A$5:$A$304,A37)+SUMIFS(Crochet!$AH$5:$AH$84,Crochet!$A$5:$A$84,A37)+SUMIFS(Jewelry!$AJ$5:$AJ$84,Jewelry!$A$5:$A$84,A37)+SUMIFS(Candles!$AJ$5:$AJ$84,Candles!$A$5:$A$84,A37)+SUMIFS(Clothing!$AF$5:$AF$84,Clothing!$A$5:$A$84,A37)+SUMIFS(Woodworking!$AH$5:$AH$84,Woodworking!$A$5:$A$84,A37)+SUMIFS(Digital!$AA$5:$AA$84,Digital!$A$5:$A$84,A37),2))</f>
        <v>0</v>
      </c>
      <c r="AB37" s="20">
        <f>IF(B37="","",ROUND(IF(I37="Budget",PackBudget,IF(I37="Standard",PackStandard,IF(I37="Gift",PackGift,IF(I37="Premium",PackPremium,DefaultPackaging)))),2))</f>
        <v>0</v>
      </c>
      <c r="AC37" s="36">
        <f>IF(B37="","",IF(I37="Budget",PackWeightBudget,IF(I37="Standard",PackWeightStandard,IF(I37="Gift",PackWeightGift,IF(I37="Premium",PackWeightPremium,0)))))</f>
        <v>0</v>
      </c>
      <c r="AD37" s="20">
        <f>IF(B37="","",IFERROR(INDEX(Shipping!$M$5:$M$64,MATCH(J37,Shipping!$L$5:$L$64,0)),DefaultShipping))</f>
        <v>0</v>
      </c>
      <c r="AE37" s="20">
        <f>IF(B37="","",IFERROR(INDEX(Shipping!$F$5:$F$64,MATCH(J37,Shipping!$L$5:$L$64,0)),0))</f>
        <v>0</v>
      </c>
      <c r="AF37" s="36">
        <f>IF(B37="","",IFERROR(INDEX(Shipping!$C$5:$C$64,MATCH(J37,Shipping!$L$5:$L$64,0)),""))</f>
        <v>0</v>
      </c>
      <c r="AG37" s="20">
        <f>IF(B37="","",ROUND(MAX(0,AD37-AE37),2))</f>
        <v>0</v>
      </c>
      <c r="AH37" s="20">
        <f>IF(B37="","",ROUND(T37+Z37+AA37+AB37+AG37,2))</f>
        <v>0</v>
      </c>
      <c r="AI37" s="33">
        <f>IF(B37="","",IFERROR(INDEX(Channels!$S$5:$S$18,MATCH(IF(H37="",DefaultChannel,H37),Channels!$A$5:$A$18,0)),0))</f>
        <v>0</v>
      </c>
      <c r="AJ37" s="42">
        <f>IF(B37="","",IFERROR(INDEX(Channels!$O$5:$O$18,MATCH(IF(H37="",DefaultChannel,H37),Channels!$A$5:$A$18,0)),"No"))</f>
        <v>0</v>
      </c>
      <c r="AK37" s="20">
        <f>IF(B37="","",ROUND(IFERROR(INDEX(Channels!$T$5:$T$18,MATCH(IF(H37="",DefaultChannel,H37),Channels!$A$5:$A$18,0)),0)+IF(AJ37="Yes",AE37*AI37,0),4))</f>
        <v>0</v>
      </c>
      <c r="AL37" s="33">
        <f>IF(B37="","",IF(OverheadMethod="Share of revenue",IF(RevenueTargetMonth&lt;=0,0,OverheadMonthly/RevenueTargetMonth),0))</f>
        <v>0</v>
      </c>
      <c r="AM37" s="20">
        <f>IF(B37="","",IF(OverheadMethod="Per hour worked",ROUND(OverheadPerHour*Y37,2),IF(OR(OverheadMethod="Per unit made",OverheadMethod="Per order"),OverheadPerUnit,0)))</f>
        <v>0</v>
      </c>
      <c r="AN37" s="33">
        <f>IF(B37="","",IF(N37&lt;&gt;"",N37,TargetRetailMargin))</f>
        <v>0</v>
      </c>
      <c r="AO37" s="41">
        <f>IF(B37="","",1-AN37-AI37-AL37)</f>
        <v>0</v>
      </c>
      <c r="AP37" s="20">
        <f>IF(B37="","",IF(AO37&lt;=0,"",(AH37+AM37+AK37)/AO37))</f>
        <v>0</v>
      </c>
      <c r="AQ37" s="20">
        <f>IF(B37="","",IF(AP37="","Check the settings",ROUND(IF(RoundingRule="None",AP37,IF(RoundingRule="Nearest 0.99",MAX(0.99,CEILING(AP37,1)-0.01),IF(RoundingRule="Nearest 0.95",MAX(0.95,CEILING(AP37,1)-0.05),IF(RoundingRule="Nearest 0.50",CEILING(AP37,0.5),IF(RoundingRule="Nearest 1",CEILING(AP37,1),IF(RoundingRule="Nearest 5",CEILING(AP37,5),IF(RoundingRule="Up to whole 1",CEILING(AP37,1),IF(RoundingRule="Up to whole 5",CEILING(AP37,5),ROUND(AP37,2))))))))),2)))</f>
        <v>0</v>
      </c>
      <c r="AR37" s="20">
        <f>IF(B37="","",IF(M37&lt;&gt;"",M37,IF(ISNUMBER(AQ37),AQ37,"")))</f>
        <v>0</v>
      </c>
      <c r="AS37" s="20">
        <f>IF(B37="","",IF(AR37="","",ROUND(AM37+AR37*AL37,2)))</f>
        <v>0</v>
      </c>
      <c r="AT37" s="20">
        <f>IF(B37="","",IF(AR37="","",ROUND(AH37+AS37,2)))</f>
        <v>0</v>
      </c>
      <c r="AU37" s="20">
        <f>IF(B37="","",IF(AR37="","",ROUND(AR37*AI37+AK37,2)))</f>
        <v>0</v>
      </c>
      <c r="AV37" s="20">
        <f>IF(B37="","",IF(AR37="","",ROUND(AR37-AT37-AU37,2)))</f>
        <v>0</v>
      </c>
      <c r="AW37" s="33">
        <f>IF(B37="","",IF(OR(AR37="",AR37=0),"",AV37/AR37))</f>
        <v>0</v>
      </c>
      <c r="AX37" s="33">
        <f>IF(B37="","",IF(OR(AT37="",AT37=0),"",AV37/AT37))</f>
        <v>0</v>
      </c>
      <c r="AY37" s="20">
        <f>IF(B37="","",IF(OR(Y37="",Y37=0,AV37=""),"",ROUND(AV37/Y37,2)))</f>
        <v>0</v>
      </c>
      <c r="AZ37" s="20">
        <f>IF(B37="","",IF(OR(Y37="",Y37=0,AV37=""),"",ROUND((AV37+Z37)/Y37,2)))</f>
        <v>0</v>
      </c>
      <c r="BA37" s="20">
        <f>IF(B37="","",IF(1-AI37-AL37&lt;=0,"",ROUND((AH37+AM37+AK37)/(1-AI37-AL37),2)))</f>
        <v>0</v>
      </c>
      <c r="BB37" s="20">
        <f>IF(B37="","",IF(AT37="","",ROUND(AT37*2,2)))</f>
        <v>0</v>
      </c>
      <c r="BC37" s="20">
        <f>IF(B37="","",IF(AR37="","",ROUND(AR37*(1-WholesaleDiscount),2)))</f>
        <v>0</v>
      </c>
      <c r="BD37" s="20">
        <f>IF(B37="","",IF(BC37="","",ROUND(BC37-AH37-AM37,2)))</f>
        <v>0</v>
      </c>
      <c r="BE37" s="33">
        <f>IF(B37="","",IF(OR(BC37="",BC37=0),"",BD37/BC37))</f>
        <v>0</v>
      </c>
      <c r="BF37" s="20">
        <f>IF(B37="","",IFERROR(ROUND(AVERAGEIFS(Competitors!$F$5:$F$154,Competitors!$A$5:$A$154,A37),2),""))</f>
        <v>0</v>
      </c>
      <c r="BG37" s="33">
        <f>IF(B37="","",IF(OR(BF37="",BF37=0,AR37=""),"",AR37/BF37-1))</f>
        <v>0</v>
      </c>
      <c r="BH37" s="32">
        <f>IF(B37="","",SUMIFS(Sales!$D$5:$D$804,Sales!$C$5:$C$804,A37))</f>
        <v>0</v>
      </c>
      <c r="BI37" s="20">
        <f>IF(B37="","",ROUND(SUMIFS(Sales!$V$5:$V$804,Sales!$C$5:$C$804,A37),2))</f>
        <v>0</v>
      </c>
      <c r="BJ37" s="20">
        <f>IF(B37="","",ROUND(SUMIFS(Sales!$AG$5:$AG$804,Sales!$C$5:$C$804,A37),2))</f>
        <v>0</v>
      </c>
      <c r="BK37" s="33">
        <f>IF(B37="","",IF(OR(BI37="",BI37=0),"",BJ37/BI37))</f>
        <v>0</v>
      </c>
      <c r="BL37" s="17">
        <f>IF(B37="","",IF(SUMPRODUCT(MAX((Sales!$C$5:$C$804=A37)*Sales!$B$5:$B$804))=0,"",SUMPRODUCT(MAX((Sales!$C$5:$C$804=A37)*Sales!$B$5:$B$804))))</f>
        <v>0</v>
      </c>
      <c r="BM37" s="17">
        <f>IF(B37="","",IF(SUMPRODUCT(MAX(('Price History'!$B$5:$B$304=A37)*'Price History'!$A$5:$A$304))=0,IF(P37="","",P37),SUMPRODUCT(MAX(('Price History'!$B$5:$B$304=A37)*'Price History'!$A$5:$A$304))))</f>
        <v>0</v>
      </c>
      <c r="BN37" s="32">
        <f>IF(B37="","",IF(BM37="","",TodayDate-BM37))</f>
        <v>0</v>
      </c>
      <c r="BO37" s="32">
        <f>IF(B37="","",COUNTIFS($AV$5:$AV$304,"&gt;"&amp;AV37)+COUNTIFS($AV$5:AV37,AV37))</f>
        <v>0</v>
      </c>
      <c r="BP37" s="32">
        <f>IF(B37="","",COUNTIFS($AW$5:$AW$304,"&gt;"&amp;AW37)+COUNTIFS($AW$5:AW37,AW37))</f>
        <v>0</v>
      </c>
      <c r="BQ37" s="32">
        <f>IF(B37="","",COUNTIFS($BI$5:$BI$304,"&gt;"&amp;BI37)+COUNTIFS($BI$5:BI37,BI37))</f>
        <v>0</v>
      </c>
      <c r="BR37" s="32">
        <f>IF(B37="","",COUNTIFS($AY$5:$AY$304,"&gt;"&amp;AY37)+COUNTIFS($AY$5:AY37,AY37))</f>
        <v>0</v>
      </c>
      <c r="BS37" s="43">
        <f>IF(B37="","",IF(AH37=0,"Add - no costs entered yet",IF(AR37="","Check - no price yet",IF(AV37&lt;0,"Loss - every sale costs you money",IF(AND(AZ37&lt;&gt;"",AZ37&lt;MinimumWage),"Below - pays under minimum wage",IF(AW37&lt;MarginWarning,"Low margin - re-price it",IF(AND(AF37&lt;&gt;"",K37&lt;&gt;"",K37+AC37&gt;AF37),"Check - too heavy for that postage band",IF(AND(BN37&lt;&gt;"",BN37&gt;PriceReviewDays),"Due - price has not been reviewed",IF(AND(BG37&lt;&gt;"",BG37&gt;0.5),"Check - well above the market","OK")))))))) )</f>
        <v>0</v>
      </c>
    </row>
    <row r="38" spans="1:71">
      <c r="A38" s="38">
        <f>IF(B38="","",ProductPrefix&amp;TEXT(ROW()-4,"0000"))</f>
        <v>0</v>
      </c>
      <c r="S38" s="38">
        <f>IF(B38="","",IF(C38&lt;&gt;"",C38,UPPER(LEFT(IF(D38="","GEN",D38),3))&amp;"-"&amp;TEXT(ROW()-4,"000")))</f>
        <v>0</v>
      </c>
      <c r="T38" s="20">
        <f>IF(B38="","",ROUND(SUMIFS('Material Usage'!$M$5:$M$904,'Material Usage'!$A$5:$A$904,A38)+SUMIFS(Crochet!$AD$5:$AD$84,Crochet!$A$5:$A$84,A38)+SUMIFS(Jewelry!$AF$5:$AF$84,Jewelry!$A$5:$A$84,A38)+SUMIFS(Candles!$AF$5:$AF$84,Candles!$A$5:$A$84,A38)+SUMIFS(Clothing!$AB$5:$AB$84,Clothing!$A$5:$A$84,A38)+SUMIFS(Woodworking!$AC$5:$AC$84,Woodworking!$A$5:$A$84,A38)+SUMIFS(Digital!$X$5:$X$84,Digital!$A$5:$A$84,A38),2))</f>
        <v>0</v>
      </c>
      <c r="U38" s="20">
        <f>IF(B38="","",ROUND(SUMIFS(Labor!$O$5:$O$304,Labor!$A$5:$A$304,A38)+SUMIFS(Crochet!$AG$5:$AG$84,Crochet!$A$5:$A$84,A38)+SUMIFS(Jewelry!$AI$5:$AI$84,Jewelry!$A$5:$A$84,A38)+SUMIFS(Candles!$AI$5:$AI$84,Candles!$A$5:$A$84,A38)+SUMIFS(Clothing!$AE$5:$AE$84,Clothing!$A$5:$A$84,A38)+SUMIFS(Woodworking!$AF$5:$AF$84,Woodworking!$A$5:$A$84,A38)+SUMIFS(Digital!$Z$5:$Z$84,Digital!$A$5:$A$84,A38),2))</f>
        <v>0</v>
      </c>
      <c r="V38" s="36">
        <f>IF(B38="","",ROUND(SUMIFS(Labor!$P$5:$P$304,Labor!$A$5:$A$304,A38)+SUMIFS(Crochet!$AE$5:$AE$84,Crochet!$A$5:$A$84,A38)+SUMIFS(Jewelry!$AG$5:$AG$84,Jewelry!$A$5:$A$84,A38)+SUMIFS(Candles!$AG$5:$AG$84,Candles!$A$5:$A$84,A38)+SUMIFS(Clothing!$AC$5:$AC$84,Clothing!$A$5:$A$84,A38)+SUMIFS(Woodworking!$AD$5:$AD$84,Woodworking!$A$5:$A$84,A38)+SUMIFS(Digital!$Y$5:$Y$84,Digital!$A$5:$A$84,A38),1))</f>
        <v>0</v>
      </c>
      <c r="W38" s="41">
        <f>IF(B38="","",IFERROR(INDEX(DiffTimeFactors,MATCH(G38,DiffNames,0)),1))</f>
        <v>0</v>
      </c>
      <c r="X38" s="36">
        <f>IF(B38="","",ROUND(V38*W38,1))</f>
        <v>0</v>
      </c>
      <c r="Y38" s="41">
        <f>IF(B38="","",ROUND(X38/60,3))</f>
        <v>0</v>
      </c>
      <c r="Z38" s="20">
        <f>IF(B38="","",ROUND(U38*W38,2))</f>
        <v>0</v>
      </c>
      <c r="AA38" s="20">
        <f>IF(B38="","",ROUND(SUMIFS(Labor!$Q$5:$Q$304,Labor!$A$5:$A$304,A38)+SUMIFS(Crochet!$AH$5:$AH$84,Crochet!$A$5:$A$84,A38)+SUMIFS(Jewelry!$AJ$5:$AJ$84,Jewelry!$A$5:$A$84,A38)+SUMIFS(Candles!$AJ$5:$AJ$84,Candles!$A$5:$A$84,A38)+SUMIFS(Clothing!$AF$5:$AF$84,Clothing!$A$5:$A$84,A38)+SUMIFS(Woodworking!$AH$5:$AH$84,Woodworking!$A$5:$A$84,A38)+SUMIFS(Digital!$AA$5:$AA$84,Digital!$A$5:$A$84,A38),2))</f>
        <v>0</v>
      </c>
      <c r="AB38" s="20">
        <f>IF(B38="","",ROUND(IF(I38="Budget",PackBudget,IF(I38="Standard",PackStandard,IF(I38="Gift",PackGift,IF(I38="Premium",PackPremium,DefaultPackaging)))),2))</f>
        <v>0</v>
      </c>
      <c r="AC38" s="36">
        <f>IF(B38="","",IF(I38="Budget",PackWeightBudget,IF(I38="Standard",PackWeightStandard,IF(I38="Gift",PackWeightGift,IF(I38="Premium",PackWeightPremium,0)))))</f>
        <v>0</v>
      </c>
      <c r="AD38" s="20">
        <f>IF(B38="","",IFERROR(INDEX(Shipping!$M$5:$M$64,MATCH(J38,Shipping!$L$5:$L$64,0)),DefaultShipping))</f>
        <v>0</v>
      </c>
      <c r="AE38" s="20">
        <f>IF(B38="","",IFERROR(INDEX(Shipping!$F$5:$F$64,MATCH(J38,Shipping!$L$5:$L$64,0)),0))</f>
        <v>0</v>
      </c>
      <c r="AF38" s="36">
        <f>IF(B38="","",IFERROR(INDEX(Shipping!$C$5:$C$64,MATCH(J38,Shipping!$L$5:$L$64,0)),""))</f>
        <v>0</v>
      </c>
      <c r="AG38" s="20">
        <f>IF(B38="","",ROUND(MAX(0,AD38-AE38),2))</f>
        <v>0</v>
      </c>
      <c r="AH38" s="20">
        <f>IF(B38="","",ROUND(T38+Z38+AA38+AB38+AG38,2))</f>
        <v>0</v>
      </c>
      <c r="AI38" s="33">
        <f>IF(B38="","",IFERROR(INDEX(Channels!$S$5:$S$18,MATCH(IF(H38="",DefaultChannel,H38),Channels!$A$5:$A$18,0)),0))</f>
        <v>0</v>
      </c>
      <c r="AJ38" s="42">
        <f>IF(B38="","",IFERROR(INDEX(Channels!$O$5:$O$18,MATCH(IF(H38="",DefaultChannel,H38),Channels!$A$5:$A$18,0)),"No"))</f>
        <v>0</v>
      </c>
      <c r="AK38" s="20">
        <f>IF(B38="","",ROUND(IFERROR(INDEX(Channels!$T$5:$T$18,MATCH(IF(H38="",DefaultChannel,H38),Channels!$A$5:$A$18,0)),0)+IF(AJ38="Yes",AE38*AI38,0),4))</f>
        <v>0</v>
      </c>
      <c r="AL38" s="33">
        <f>IF(B38="","",IF(OverheadMethod="Share of revenue",IF(RevenueTargetMonth&lt;=0,0,OverheadMonthly/RevenueTargetMonth),0))</f>
        <v>0</v>
      </c>
      <c r="AM38" s="20">
        <f>IF(B38="","",IF(OverheadMethod="Per hour worked",ROUND(OverheadPerHour*Y38,2),IF(OR(OverheadMethod="Per unit made",OverheadMethod="Per order"),OverheadPerUnit,0)))</f>
        <v>0</v>
      </c>
      <c r="AN38" s="33">
        <f>IF(B38="","",IF(N38&lt;&gt;"",N38,TargetRetailMargin))</f>
        <v>0</v>
      </c>
      <c r="AO38" s="41">
        <f>IF(B38="","",1-AN38-AI38-AL38)</f>
        <v>0</v>
      </c>
      <c r="AP38" s="20">
        <f>IF(B38="","",IF(AO38&lt;=0,"",(AH38+AM38+AK38)/AO38))</f>
        <v>0</v>
      </c>
      <c r="AQ38" s="20">
        <f>IF(B38="","",IF(AP38="","Check the settings",ROUND(IF(RoundingRule="None",AP38,IF(RoundingRule="Nearest 0.99",MAX(0.99,CEILING(AP38,1)-0.01),IF(RoundingRule="Nearest 0.95",MAX(0.95,CEILING(AP38,1)-0.05),IF(RoundingRule="Nearest 0.50",CEILING(AP38,0.5),IF(RoundingRule="Nearest 1",CEILING(AP38,1),IF(RoundingRule="Nearest 5",CEILING(AP38,5),IF(RoundingRule="Up to whole 1",CEILING(AP38,1),IF(RoundingRule="Up to whole 5",CEILING(AP38,5),ROUND(AP38,2))))))))),2)))</f>
        <v>0</v>
      </c>
      <c r="AR38" s="20">
        <f>IF(B38="","",IF(M38&lt;&gt;"",M38,IF(ISNUMBER(AQ38),AQ38,"")))</f>
        <v>0</v>
      </c>
      <c r="AS38" s="20">
        <f>IF(B38="","",IF(AR38="","",ROUND(AM38+AR38*AL38,2)))</f>
        <v>0</v>
      </c>
      <c r="AT38" s="20">
        <f>IF(B38="","",IF(AR38="","",ROUND(AH38+AS38,2)))</f>
        <v>0</v>
      </c>
      <c r="AU38" s="20">
        <f>IF(B38="","",IF(AR38="","",ROUND(AR38*AI38+AK38,2)))</f>
        <v>0</v>
      </c>
      <c r="AV38" s="20">
        <f>IF(B38="","",IF(AR38="","",ROUND(AR38-AT38-AU38,2)))</f>
        <v>0</v>
      </c>
      <c r="AW38" s="33">
        <f>IF(B38="","",IF(OR(AR38="",AR38=0),"",AV38/AR38))</f>
        <v>0</v>
      </c>
      <c r="AX38" s="33">
        <f>IF(B38="","",IF(OR(AT38="",AT38=0),"",AV38/AT38))</f>
        <v>0</v>
      </c>
      <c r="AY38" s="20">
        <f>IF(B38="","",IF(OR(Y38="",Y38=0,AV38=""),"",ROUND(AV38/Y38,2)))</f>
        <v>0</v>
      </c>
      <c r="AZ38" s="20">
        <f>IF(B38="","",IF(OR(Y38="",Y38=0,AV38=""),"",ROUND((AV38+Z38)/Y38,2)))</f>
        <v>0</v>
      </c>
      <c r="BA38" s="20">
        <f>IF(B38="","",IF(1-AI38-AL38&lt;=0,"",ROUND((AH38+AM38+AK38)/(1-AI38-AL38),2)))</f>
        <v>0</v>
      </c>
      <c r="BB38" s="20">
        <f>IF(B38="","",IF(AT38="","",ROUND(AT38*2,2)))</f>
        <v>0</v>
      </c>
      <c r="BC38" s="20">
        <f>IF(B38="","",IF(AR38="","",ROUND(AR38*(1-WholesaleDiscount),2)))</f>
        <v>0</v>
      </c>
      <c r="BD38" s="20">
        <f>IF(B38="","",IF(BC38="","",ROUND(BC38-AH38-AM38,2)))</f>
        <v>0</v>
      </c>
      <c r="BE38" s="33">
        <f>IF(B38="","",IF(OR(BC38="",BC38=0),"",BD38/BC38))</f>
        <v>0</v>
      </c>
      <c r="BF38" s="20">
        <f>IF(B38="","",IFERROR(ROUND(AVERAGEIFS(Competitors!$F$5:$F$154,Competitors!$A$5:$A$154,A38),2),""))</f>
        <v>0</v>
      </c>
      <c r="BG38" s="33">
        <f>IF(B38="","",IF(OR(BF38="",BF38=0,AR38=""),"",AR38/BF38-1))</f>
        <v>0</v>
      </c>
      <c r="BH38" s="32">
        <f>IF(B38="","",SUMIFS(Sales!$D$5:$D$804,Sales!$C$5:$C$804,A38))</f>
        <v>0</v>
      </c>
      <c r="BI38" s="20">
        <f>IF(B38="","",ROUND(SUMIFS(Sales!$V$5:$V$804,Sales!$C$5:$C$804,A38),2))</f>
        <v>0</v>
      </c>
      <c r="BJ38" s="20">
        <f>IF(B38="","",ROUND(SUMIFS(Sales!$AG$5:$AG$804,Sales!$C$5:$C$804,A38),2))</f>
        <v>0</v>
      </c>
      <c r="BK38" s="33">
        <f>IF(B38="","",IF(OR(BI38="",BI38=0),"",BJ38/BI38))</f>
        <v>0</v>
      </c>
      <c r="BL38" s="17">
        <f>IF(B38="","",IF(SUMPRODUCT(MAX((Sales!$C$5:$C$804=A38)*Sales!$B$5:$B$804))=0,"",SUMPRODUCT(MAX((Sales!$C$5:$C$804=A38)*Sales!$B$5:$B$804))))</f>
        <v>0</v>
      </c>
      <c r="BM38" s="17">
        <f>IF(B38="","",IF(SUMPRODUCT(MAX(('Price History'!$B$5:$B$304=A38)*'Price History'!$A$5:$A$304))=0,IF(P38="","",P38),SUMPRODUCT(MAX(('Price History'!$B$5:$B$304=A38)*'Price History'!$A$5:$A$304))))</f>
        <v>0</v>
      </c>
      <c r="BN38" s="32">
        <f>IF(B38="","",IF(BM38="","",TodayDate-BM38))</f>
        <v>0</v>
      </c>
      <c r="BO38" s="32">
        <f>IF(B38="","",COUNTIFS($AV$5:$AV$304,"&gt;"&amp;AV38)+COUNTIFS($AV$5:AV38,AV38))</f>
        <v>0</v>
      </c>
      <c r="BP38" s="32">
        <f>IF(B38="","",COUNTIFS($AW$5:$AW$304,"&gt;"&amp;AW38)+COUNTIFS($AW$5:AW38,AW38))</f>
        <v>0</v>
      </c>
      <c r="BQ38" s="32">
        <f>IF(B38="","",COUNTIFS($BI$5:$BI$304,"&gt;"&amp;BI38)+COUNTIFS($BI$5:BI38,BI38))</f>
        <v>0</v>
      </c>
      <c r="BR38" s="32">
        <f>IF(B38="","",COUNTIFS($AY$5:$AY$304,"&gt;"&amp;AY38)+COUNTIFS($AY$5:AY38,AY38))</f>
        <v>0</v>
      </c>
      <c r="BS38" s="43">
        <f>IF(B38="","",IF(AH38=0,"Add - no costs entered yet",IF(AR38="","Check - no price yet",IF(AV38&lt;0,"Loss - every sale costs you money",IF(AND(AZ38&lt;&gt;"",AZ38&lt;MinimumWage),"Below - pays under minimum wage",IF(AW38&lt;MarginWarning,"Low margin - re-price it",IF(AND(AF38&lt;&gt;"",K38&lt;&gt;"",K38+AC38&gt;AF38),"Check - too heavy for that postage band",IF(AND(BN38&lt;&gt;"",BN38&gt;PriceReviewDays),"Due - price has not been reviewed",IF(AND(BG38&lt;&gt;"",BG38&gt;0.5),"Check - well above the market","OK")))))))) )</f>
        <v>0</v>
      </c>
    </row>
    <row r="39" spans="1:71">
      <c r="A39" s="38">
        <f>IF(B39="","",ProductPrefix&amp;TEXT(ROW()-4,"0000"))</f>
        <v>0</v>
      </c>
      <c r="S39" s="38">
        <f>IF(B39="","",IF(C39&lt;&gt;"",C39,UPPER(LEFT(IF(D39="","GEN",D39),3))&amp;"-"&amp;TEXT(ROW()-4,"000")))</f>
        <v>0</v>
      </c>
      <c r="T39" s="20">
        <f>IF(B39="","",ROUND(SUMIFS('Material Usage'!$M$5:$M$904,'Material Usage'!$A$5:$A$904,A39)+SUMIFS(Crochet!$AD$5:$AD$84,Crochet!$A$5:$A$84,A39)+SUMIFS(Jewelry!$AF$5:$AF$84,Jewelry!$A$5:$A$84,A39)+SUMIFS(Candles!$AF$5:$AF$84,Candles!$A$5:$A$84,A39)+SUMIFS(Clothing!$AB$5:$AB$84,Clothing!$A$5:$A$84,A39)+SUMIFS(Woodworking!$AC$5:$AC$84,Woodworking!$A$5:$A$84,A39)+SUMIFS(Digital!$X$5:$X$84,Digital!$A$5:$A$84,A39),2))</f>
        <v>0</v>
      </c>
      <c r="U39" s="20">
        <f>IF(B39="","",ROUND(SUMIFS(Labor!$O$5:$O$304,Labor!$A$5:$A$304,A39)+SUMIFS(Crochet!$AG$5:$AG$84,Crochet!$A$5:$A$84,A39)+SUMIFS(Jewelry!$AI$5:$AI$84,Jewelry!$A$5:$A$84,A39)+SUMIFS(Candles!$AI$5:$AI$84,Candles!$A$5:$A$84,A39)+SUMIFS(Clothing!$AE$5:$AE$84,Clothing!$A$5:$A$84,A39)+SUMIFS(Woodworking!$AF$5:$AF$84,Woodworking!$A$5:$A$84,A39)+SUMIFS(Digital!$Z$5:$Z$84,Digital!$A$5:$A$84,A39),2))</f>
        <v>0</v>
      </c>
      <c r="V39" s="36">
        <f>IF(B39="","",ROUND(SUMIFS(Labor!$P$5:$P$304,Labor!$A$5:$A$304,A39)+SUMIFS(Crochet!$AE$5:$AE$84,Crochet!$A$5:$A$84,A39)+SUMIFS(Jewelry!$AG$5:$AG$84,Jewelry!$A$5:$A$84,A39)+SUMIFS(Candles!$AG$5:$AG$84,Candles!$A$5:$A$84,A39)+SUMIFS(Clothing!$AC$5:$AC$84,Clothing!$A$5:$A$84,A39)+SUMIFS(Woodworking!$AD$5:$AD$84,Woodworking!$A$5:$A$84,A39)+SUMIFS(Digital!$Y$5:$Y$84,Digital!$A$5:$A$84,A39),1))</f>
        <v>0</v>
      </c>
      <c r="W39" s="41">
        <f>IF(B39="","",IFERROR(INDEX(DiffTimeFactors,MATCH(G39,DiffNames,0)),1))</f>
        <v>0</v>
      </c>
      <c r="X39" s="36">
        <f>IF(B39="","",ROUND(V39*W39,1))</f>
        <v>0</v>
      </c>
      <c r="Y39" s="41">
        <f>IF(B39="","",ROUND(X39/60,3))</f>
        <v>0</v>
      </c>
      <c r="Z39" s="20">
        <f>IF(B39="","",ROUND(U39*W39,2))</f>
        <v>0</v>
      </c>
      <c r="AA39" s="20">
        <f>IF(B39="","",ROUND(SUMIFS(Labor!$Q$5:$Q$304,Labor!$A$5:$A$304,A39)+SUMIFS(Crochet!$AH$5:$AH$84,Crochet!$A$5:$A$84,A39)+SUMIFS(Jewelry!$AJ$5:$AJ$84,Jewelry!$A$5:$A$84,A39)+SUMIFS(Candles!$AJ$5:$AJ$84,Candles!$A$5:$A$84,A39)+SUMIFS(Clothing!$AF$5:$AF$84,Clothing!$A$5:$A$84,A39)+SUMIFS(Woodworking!$AH$5:$AH$84,Woodworking!$A$5:$A$84,A39)+SUMIFS(Digital!$AA$5:$AA$84,Digital!$A$5:$A$84,A39),2))</f>
        <v>0</v>
      </c>
      <c r="AB39" s="20">
        <f>IF(B39="","",ROUND(IF(I39="Budget",PackBudget,IF(I39="Standard",PackStandard,IF(I39="Gift",PackGift,IF(I39="Premium",PackPremium,DefaultPackaging)))),2))</f>
        <v>0</v>
      </c>
      <c r="AC39" s="36">
        <f>IF(B39="","",IF(I39="Budget",PackWeightBudget,IF(I39="Standard",PackWeightStandard,IF(I39="Gift",PackWeightGift,IF(I39="Premium",PackWeightPremium,0)))))</f>
        <v>0</v>
      </c>
      <c r="AD39" s="20">
        <f>IF(B39="","",IFERROR(INDEX(Shipping!$M$5:$M$64,MATCH(J39,Shipping!$L$5:$L$64,0)),DefaultShipping))</f>
        <v>0</v>
      </c>
      <c r="AE39" s="20">
        <f>IF(B39="","",IFERROR(INDEX(Shipping!$F$5:$F$64,MATCH(J39,Shipping!$L$5:$L$64,0)),0))</f>
        <v>0</v>
      </c>
      <c r="AF39" s="36">
        <f>IF(B39="","",IFERROR(INDEX(Shipping!$C$5:$C$64,MATCH(J39,Shipping!$L$5:$L$64,0)),""))</f>
        <v>0</v>
      </c>
      <c r="AG39" s="20">
        <f>IF(B39="","",ROUND(MAX(0,AD39-AE39),2))</f>
        <v>0</v>
      </c>
      <c r="AH39" s="20">
        <f>IF(B39="","",ROUND(T39+Z39+AA39+AB39+AG39,2))</f>
        <v>0</v>
      </c>
      <c r="AI39" s="33">
        <f>IF(B39="","",IFERROR(INDEX(Channels!$S$5:$S$18,MATCH(IF(H39="",DefaultChannel,H39),Channels!$A$5:$A$18,0)),0))</f>
        <v>0</v>
      </c>
      <c r="AJ39" s="42">
        <f>IF(B39="","",IFERROR(INDEX(Channels!$O$5:$O$18,MATCH(IF(H39="",DefaultChannel,H39),Channels!$A$5:$A$18,0)),"No"))</f>
        <v>0</v>
      </c>
      <c r="AK39" s="20">
        <f>IF(B39="","",ROUND(IFERROR(INDEX(Channels!$T$5:$T$18,MATCH(IF(H39="",DefaultChannel,H39),Channels!$A$5:$A$18,0)),0)+IF(AJ39="Yes",AE39*AI39,0),4))</f>
        <v>0</v>
      </c>
      <c r="AL39" s="33">
        <f>IF(B39="","",IF(OverheadMethod="Share of revenue",IF(RevenueTargetMonth&lt;=0,0,OverheadMonthly/RevenueTargetMonth),0))</f>
        <v>0</v>
      </c>
      <c r="AM39" s="20">
        <f>IF(B39="","",IF(OverheadMethod="Per hour worked",ROUND(OverheadPerHour*Y39,2),IF(OR(OverheadMethod="Per unit made",OverheadMethod="Per order"),OverheadPerUnit,0)))</f>
        <v>0</v>
      </c>
      <c r="AN39" s="33">
        <f>IF(B39="","",IF(N39&lt;&gt;"",N39,TargetRetailMargin))</f>
        <v>0</v>
      </c>
      <c r="AO39" s="41">
        <f>IF(B39="","",1-AN39-AI39-AL39)</f>
        <v>0</v>
      </c>
      <c r="AP39" s="20">
        <f>IF(B39="","",IF(AO39&lt;=0,"",(AH39+AM39+AK39)/AO39))</f>
        <v>0</v>
      </c>
      <c r="AQ39" s="20">
        <f>IF(B39="","",IF(AP39="","Check the settings",ROUND(IF(RoundingRule="None",AP39,IF(RoundingRule="Nearest 0.99",MAX(0.99,CEILING(AP39,1)-0.01),IF(RoundingRule="Nearest 0.95",MAX(0.95,CEILING(AP39,1)-0.05),IF(RoundingRule="Nearest 0.50",CEILING(AP39,0.5),IF(RoundingRule="Nearest 1",CEILING(AP39,1),IF(RoundingRule="Nearest 5",CEILING(AP39,5),IF(RoundingRule="Up to whole 1",CEILING(AP39,1),IF(RoundingRule="Up to whole 5",CEILING(AP39,5),ROUND(AP39,2))))))))),2)))</f>
        <v>0</v>
      </c>
      <c r="AR39" s="20">
        <f>IF(B39="","",IF(M39&lt;&gt;"",M39,IF(ISNUMBER(AQ39),AQ39,"")))</f>
        <v>0</v>
      </c>
      <c r="AS39" s="20">
        <f>IF(B39="","",IF(AR39="","",ROUND(AM39+AR39*AL39,2)))</f>
        <v>0</v>
      </c>
      <c r="AT39" s="20">
        <f>IF(B39="","",IF(AR39="","",ROUND(AH39+AS39,2)))</f>
        <v>0</v>
      </c>
      <c r="AU39" s="20">
        <f>IF(B39="","",IF(AR39="","",ROUND(AR39*AI39+AK39,2)))</f>
        <v>0</v>
      </c>
      <c r="AV39" s="20">
        <f>IF(B39="","",IF(AR39="","",ROUND(AR39-AT39-AU39,2)))</f>
        <v>0</v>
      </c>
      <c r="AW39" s="33">
        <f>IF(B39="","",IF(OR(AR39="",AR39=0),"",AV39/AR39))</f>
        <v>0</v>
      </c>
      <c r="AX39" s="33">
        <f>IF(B39="","",IF(OR(AT39="",AT39=0),"",AV39/AT39))</f>
        <v>0</v>
      </c>
      <c r="AY39" s="20">
        <f>IF(B39="","",IF(OR(Y39="",Y39=0,AV39=""),"",ROUND(AV39/Y39,2)))</f>
        <v>0</v>
      </c>
      <c r="AZ39" s="20">
        <f>IF(B39="","",IF(OR(Y39="",Y39=0,AV39=""),"",ROUND((AV39+Z39)/Y39,2)))</f>
        <v>0</v>
      </c>
      <c r="BA39" s="20">
        <f>IF(B39="","",IF(1-AI39-AL39&lt;=0,"",ROUND((AH39+AM39+AK39)/(1-AI39-AL39),2)))</f>
        <v>0</v>
      </c>
      <c r="BB39" s="20">
        <f>IF(B39="","",IF(AT39="","",ROUND(AT39*2,2)))</f>
        <v>0</v>
      </c>
      <c r="BC39" s="20">
        <f>IF(B39="","",IF(AR39="","",ROUND(AR39*(1-WholesaleDiscount),2)))</f>
        <v>0</v>
      </c>
      <c r="BD39" s="20">
        <f>IF(B39="","",IF(BC39="","",ROUND(BC39-AH39-AM39,2)))</f>
        <v>0</v>
      </c>
      <c r="BE39" s="33">
        <f>IF(B39="","",IF(OR(BC39="",BC39=0),"",BD39/BC39))</f>
        <v>0</v>
      </c>
      <c r="BF39" s="20">
        <f>IF(B39="","",IFERROR(ROUND(AVERAGEIFS(Competitors!$F$5:$F$154,Competitors!$A$5:$A$154,A39),2),""))</f>
        <v>0</v>
      </c>
      <c r="BG39" s="33">
        <f>IF(B39="","",IF(OR(BF39="",BF39=0,AR39=""),"",AR39/BF39-1))</f>
        <v>0</v>
      </c>
      <c r="BH39" s="32">
        <f>IF(B39="","",SUMIFS(Sales!$D$5:$D$804,Sales!$C$5:$C$804,A39))</f>
        <v>0</v>
      </c>
      <c r="BI39" s="20">
        <f>IF(B39="","",ROUND(SUMIFS(Sales!$V$5:$V$804,Sales!$C$5:$C$804,A39),2))</f>
        <v>0</v>
      </c>
      <c r="BJ39" s="20">
        <f>IF(B39="","",ROUND(SUMIFS(Sales!$AG$5:$AG$804,Sales!$C$5:$C$804,A39),2))</f>
        <v>0</v>
      </c>
      <c r="BK39" s="33">
        <f>IF(B39="","",IF(OR(BI39="",BI39=0),"",BJ39/BI39))</f>
        <v>0</v>
      </c>
      <c r="BL39" s="17">
        <f>IF(B39="","",IF(SUMPRODUCT(MAX((Sales!$C$5:$C$804=A39)*Sales!$B$5:$B$804))=0,"",SUMPRODUCT(MAX((Sales!$C$5:$C$804=A39)*Sales!$B$5:$B$804))))</f>
        <v>0</v>
      </c>
      <c r="BM39" s="17">
        <f>IF(B39="","",IF(SUMPRODUCT(MAX(('Price History'!$B$5:$B$304=A39)*'Price History'!$A$5:$A$304))=0,IF(P39="","",P39),SUMPRODUCT(MAX(('Price History'!$B$5:$B$304=A39)*'Price History'!$A$5:$A$304))))</f>
        <v>0</v>
      </c>
      <c r="BN39" s="32">
        <f>IF(B39="","",IF(BM39="","",TodayDate-BM39))</f>
        <v>0</v>
      </c>
      <c r="BO39" s="32">
        <f>IF(B39="","",COUNTIFS($AV$5:$AV$304,"&gt;"&amp;AV39)+COUNTIFS($AV$5:AV39,AV39))</f>
        <v>0</v>
      </c>
      <c r="BP39" s="32">
        <f>IF(B39="","",COUNTIFS($AW$5:$AW$304,"&gt;"&amp;AW39)+COUNTIFS($AW$5:AW39,AW39))</f>
        <v>0</v>
      </c>
      <c r="BQ39" s="32">
        <f>IF(B39="","",COUNTIFS($BI$5:$BI$304,"&gt;"&amp;BI39)+COUNTIFS($BI$5:BI39,BI39))</f>
        <v>0</v>
      </c>
      <c r="BR39" s="32">
        <f>IF(B39="","",COUNTIFS($AY$5:$AY$304,"&gt;"&amp;AY39)+COUNTIFS($AY$5:AY39,AY39))</f>
        <v>0</v>
      </c>
      <c r="BS39" s="43">
        <f>IF(B39="","",IF(AH39=0,"Add - no costs entered yet",IF(AR39="","Check - no price yet",IF(AV39&lt;0,"Loss - every sale costs you money",IF(AND(AZ39&lt;&gt;"",AZ39&lt;MinimumWage),"Below - pays under minimum wage",IF(AW39&lt;MarginWarning,"Low margin - re-price it",IF(AND(AF39&lt;&gt;"",K39&lt;&gt;"",K39+AC39&gt;AF39),"Check - too heavy for that postage band",IF(AND(BN39&lt;&gt;"",BN39&gt;PriceReviewDays),"Due - price has not been reviewed",IF(AND(BG39&lt;&gt;"",BG39&gt;0.5),"Check - well above the market","OK")))))))) )</f>
        <v>0</v>
      </c>
    </row>
    <row r="40" spans="1:71">
      <c r="A40" s="38">
        <f>IF(B40="","",ProductPrefix&amp;TEXT(ROW()-4,"0000"))</f>
        <v>0</v>
      </c>
      <c r="S40" s="38">
        <f>IF(B40="","",IF(C40&lt;&gt;"",C40,UPPER(LEFT(IF(D40="","GEN",D40),3))&amp;"-"&amp;TEXT(ROW()-4,"000")))</f>
        <v>0</v>
      </c>
      <c r="T40" s="20">
        <f>IF(B40="","",ROUND(SUMIFS('Material Usage'!$M$5:$M$904,'Material Usage'!$A$5:$A$904,A40)+SUMIFS(Crochet!$AD$5:$AD$84,Crochet!$A$5:$A$84,A40)+SUMIFS(Jewelry!$AF$5:$AF$84,Jewelry!$A$5:$A$84,A40)+SUMIFS(Candles!$AF$5:$AF$84,Candles!$A$5:$A$84,A40)+SUMIFS(Clothing!$AB$5:$AB$84,Clothing!$A$5:$A$84,A40)+SUMIFS(Woodworking!$AC$5:$AC$84,Woodworking!$A$5:$A$84,A40)+SUMIFS(Digital!$X$5:$X$84,Digital!$A$5:$A$84,A40),2))</f>
        <v>0</v>
      </c>
      <c r="U40" s="20">
        <f>IF(B40="","",ROUND(SUMIFS(Labor!$O$5:$O$304,Labor!$A$5:$A$304,A40)+SUMIFS(Crochet!$AG$5:$AG$84,Crochet!$A$5:$A$84,A40)+SUMIFS(Jewelry!$AI$5:$AI$84,Jewelry!$A$5:$A$84,A40)+SUMIFS(Candles!$AI$5:$AI$84,Candles!$A$5:$A$84,A40)+SUMIFS(Clothing!$AE$5:$AE$84,Clothing!$A$5:$A$84,A40)+SUMIFS(Woodworking!$AF$5:$AF$84,Woodworking!$A$5:$A$84,A40)+SUMIFS(Digital!$Z$5:$Z$84,Digital!$A$5:$A$84,A40),2))</f>
        <v>0</v>
      </c>
      <c r="V40" s="36">
        <f>IF(B40="","",ROUND(SUMIFS(Labor!$P$5:$P$304,Labor!$A$5:$A$304,A40)+SUMIFS(Crochet!$AE$5:$AE$84,Crochet!$A$5:$A$84,A40)+SUMIFS(Jewelry!$AG$5:$AG$84,Jewelry!$A$5:$A$84,A40)+SUMIFS(Candles!$AG$5:$AG$84,Candles!$A$5:$A$84,A40)+SUMIFS(Clothing!$AC$5:$AC$84,Clothing!$A$5:$A$84,A40)+SUMIFS(Woodworking!$AD$5:$AD$84,Woodworking!$A$5:$A$84,A40)+SUMIFS(Digital!$Y$5:$Y$84,Digital!$A$5:$A$84,A40),1))</f>
        <v>0</v>
      </c>
      <c r="W40" s="41">
        <f>IF(B40="","",IFERROR(INDEX(DiffTimeFactors,MATCH(G40,DiffNames,0)),1))</f>
        <v>0</v>
      </c>
      <c r="X40" s="36">
        <f>IF(B40="","",ROUND(V40*W40,1))</f>
        <v>0</v>
      </c>
      <c r="Y40" s="41">
        <f>IF(B40="","",ROUND(X40/60,3))</f>
        <v>0</v>
      </c>
      <c r="Z40" s="20">
        <f>IF(B40="","",ROUND(U40*W40,2))</f>
        <v>0</v>
      </c>
      <c r="AA40" s="20">
        <f>IF(B40="","",ROUND(SUMIFS(Labor!$Q$5:$Q$304,Labor!$A$5:$A$304,A40)+SUMIFS(Crochet!$AH$5:$AH$84,Crochet!$A$5:$A$84,A40)+SUMIFS(Jewelry!$AJ$5:$AJ$84,Jewelry!$A$5:$A$84,A40)+SUMIFS(Candles!$AJ$5:$AJ$84,Candles!$A$5:$A$84,A40)+SUMIFS(Clothing!$AF$5:$AF$84,Clothing!$A$5:$A$84,A40)+SUMIFS(Woodworking!$AH$5:$AH$84,Woodworking!$A$5:$A$84,A40)+SUMIFS(Digital!$AA$5:$AA$84,Digital!$A$5:$A$84,A40),2))</f>
        <v>0</v>
      </c>
      <c r="AB40" s="20">
        <f>IF(B40="","",ROUND(IF(I40="Budget",PackBudget,IF(I40="Standard",PackStandard,IF(I40="Gift",PackGift,IF(I40="Premium",PackPremium,DefaultPackaging)))),2))</f>
        <v>0</v>
      </c>
      <c r="AC40" s="36">
        <f>IF(B40="","",IF(I40="Budget",PackWeightBudget,IF(I40="Standard",PackWeightStandard,IF(I40="Gift",PackWeightGift,IF(I40="Premium",PackWeightPremium,0)))))</f>
        <v>0</v>
      </c>
      <c r="AD40" s="20">
        <f>IF(B40="","",IFERROR(INDEX(Shipping!$M$5:$M$64,MATCH(J40,Shipping!$L$5:$L$64,0)),DefaultShipping))</f>
        <v>0</v>
      </c>
      <c r="AE40" s="20">
        <f>IF(B40="","",IFERROR(INDEX(Shipping!$F$5:$F$64,MATCH(J40,Shipping!$L$5:$L$64,0)),0))</f>
        <v>0</v>
      </c>
      <c r="AF40" s="36">
        <f>IF(B40="","",IFERROR(INDEX(Shipping!$C$5:$C$64,MATCH(J40,Shipping!$L$5:$L$64,0)),""))</f>
        <v>0</v>
      </c>
      <c r="AG40" s="20">
        <f>IF(B40="","",ROUND(MAX(0,AD40-AE40),2))</f>
        <v>0</v>
      </c>
      <c r="AH40" s="20">
        <f>IF(B40="","",ROUND(T40+Z40+AA40+AB40+AG40,2))</f>
        <v>0</v>
      </c>
      <c r="AI40" s="33">
        <f>IF(B40="","",IFERROR(INDEX(Channels!$S$5:$S$18,MATCH(IF(H40="",DefaultChannel,H40),Channels!$A$5:$A$18,0)),0))</f>
        <v>0</v>
      </c>
      <c r="AJ40" s="42">
        <f>IF(B40="","",IFERROR(INDEX(Channels!$O$5:$O$18,MATCH(IF(H40="",DefaultChannel,H40),Channels!$A$5:$A$18,0)),"No"))</f>
        <v>0</v>
      </c>
      <c r="AK40" s="20">
        <f>IF(B40="","",ROUND(IFERROR(INDEX(Channels!$T$5:$T$18,MATCH(IF(H40="",DefaultChannel,H40),Channels!$A$5:$A$18,0)),0)+IF(AJ40="Yes",AE40*AI40,0),4))</f>
        <v>0</v>
      </c>
      <c r="AL40" s="33">
        <f>IF(B40="","",IF(OverheadMethod="Share of revenue",IF(RevenueTargetMonth&lt;=0,0,OverheadMonthly/RevenueTargetMonth),0))</f>
        <v>0</v>
      </c>
      <c r="AM40" s="20">
        <f>IF(B40="","",IF(OverheadMethod="Per hour worked",ROUND(OverheadPerHour*Y40,2),IF(OR(OverheadMethod="Per unit made",OverheadMethod="Per order"),OverheadPerUnit,0)))</f>
        <v>0</v>
      </c>
      <c r="AN40" s="33">
        <f>IF(B40="","",IF(N40&lt;&gt;"",N40,TargetRetailMargin))</f>
        <v>0</v>
      </c>
      <c r="AO40" s="41">
        <f>IF(B40="","",1-AN40-AI40-AL40)</f>
        <v>0</v>
      </c>
      <c r="AP40" s="20">
        <f>IF(B40="","",IF(AO40&lt;=0,"",(AH40+AM40+AK40)/AO40))</f>
        <v>0</v>
      </c>
      <c r="AQ40" s="20">
        <f>IF(B40="","",IF(AP40="","Check the settings",ROUND(IF(RoundingRule="None",AP40,IF(RoundingRule="Nearest 0.99",MAX(0.99,CEILING(AP40,1)-0.01),IF(RoundingRule="Nearest 0.95",MAX(0.95,CEILING(AP40,1)-0.05),IF(RoundingRule="Nearest 0.50",CEILING(AP40,0.5),IF(RoundingRule="Nearest 1",CEILING(AP40,1),IF(RoundingRule="Nearest 5",CEILING(AP40,5),IF(RoundingRule="Up to whole 1",CEILING(AP40,1),IF(RoundingRule="Up to whole 5",CEILING(AP40,5),ROUND(AP40,2))))))))),2)))</f>
        <v>0</v>
      </c>
      <c r="AR40" s="20">
        <f>IF(B40="","",IF(M40&lt;&gt;"",M40,IF(ISNUMBER(AQ40),AQ40,"")))</f>
        <v>0</v>
      </c>
      <c r="AS40" s="20">
        <f>IF(B40="","",IF(AR40="","",ROUND(AM40+AR40*AL40,2)))</f>
        <v>0</v>
      </c>
      <c r="AT40" s="20">
        <f>IF(B40="","",IF(AR40="","",ROUND(AH40+AS40,2)))</f>
        <v>0</v>
      </c>
      <c r="AU40" s="20">
        <f>IF(B40="","",IF(AR40="","",ROUND(AR40*AI40+AK40,2)))</f>
        <v>0</v>
      </c>
      <c r="AV40" s="20">
        <f>IF(B40="","",IF(AR40="","",ROUND(AR40-AT40-AU40,2)))</f>
        <v>0</v>
      </c>
      <c r="AW40" s="33">
        <f>IF(B40="","",IF(OR(AR40="",AR40=0),"",AV40/AR40))</f>
        <v>0</v>
      </c>
      <c r="AX40" s="33">
        <f>IF(B40="","",IF(OR(AT40="",AT40=0),"",AV40/AT40))</f>
        <v>0</v>
      </c>
      <c r="AY40" s="20">
        <f>IF(B40="","",IF(OR(Y40="",Y40=0,AV40=""),"",ROUND(AV40/Y40,2)))</f>
        <v>0</v>
      </c>
      <c r="AZ40" s="20">
        <f>IF(B40="","",IF(OR(Y40="",Y40=0,AV40=""),"",ROUND((AV40+Z40)/Y40,2)))</f>
        <v>0</v>
      </c>
      <c r="BA40" s="20">
        <f>IF(B40="","",IF(1-AI40-AL40&lt;=0,"",ROUND((AH40+AM40+AK40)/(1-AI40-AL40),2)))</f>
        <v>0</v>
      </c>
      <c r="BB40" s="20">
        <f>IF(B40="","",IF(AT40="","",ROUND(AT40*2,2)))</f>
        <v>0</v>
      </c>
      <c r="BC40" s="20">
        <f>IF(B40="","",IF(AR40="","",ROUND(AR40*(1-WholesaleDiscount),2)))</f>
        <v>0</v>
      </c>
      <c r="BD40" s="20">
        <f>IF(B40="","",IF(BC40="","",ROUND(BC40-AH40-AM40,2)))</f>
        <v>0</v>
      </c>
      <c r="BE40" s="33">
        <f>IF(B40="","",IF(OR(BC40="",BC40=0),"",BD40/BC40))</f>
        <v>0</v>
      </c>
      <c r="BF40" s="20">
        <f>IF(B40="","",IFERROR(ROUND(AVERAGEIFS(Competitors!$F$5:$F$154,Competitors!$A$5:$A$154,A40),2),""))</f>
        <v>0</v>
      </c>
      <c r="BG40" s="33">
        <f>IF(B40="","",IF(OR(BF40="",BF40=0,AR40=""),"",AR40/BF40-1))</f>
        <v>0</v>
      </c>
      <c r="BH40" s="32">
        <f>IF(B40="","",SUMIFS(Sales!$D$5:$D$804,Sales!$C$5:$C$804,A40))</f>
        <v>0</v>
      </c>
      <c r="BI40" s="20">
        <f>IF(B40="","",ROUND(SUMIFS(Sales!$V$5:$V$804,Sales!$C$5:$C$804,A40),2))</f>
        <v>0</v>
      </c>
      <c r="BJ40" s="20">
        <f>IF(B40="","",ROUND(SUMIFS(Sales!$AG$5:$AG$804,Sales!$C$5:$C$804,A40),2))</f>
        <v>0</v>
      </c>
      <c r="BK40" s="33">
        <f>IF(B40="","",IF(OR(BI40="",BI40=0),"",BJ40/BI40))</f>
        <v>0</v>
      </c>
      <c r="BL40" s="17">
        <f>IF(B40="","",IF(SUMPRODUCT(MAX((Sales!$C$5:$C$804=A40)*Sales!$B$5:$B$804))=0,"",SUMPRODUCT(MAX((Sales!$C$5:$C$804=A40)*Sales!$B$5:$B$804))))</f>
        <v>0</v>
      </c>
      <c r="BM40" s="17">
        <f>IF(B40="","",IF(SUMPRODUCT(MAX(('Price History'!$B$5:$B$304=A40)*'Price History'!$A$5:$A$304))=0,IF(P40="","",P40),SUMPRODUCT(MAX(('Price History'!$B$5:$B$304=A40)*'Price History'!$A$5:$A$304))))</f>
        <v>0</v>
      </c>
      <c r="BN40" s="32">
        <f>IF(B40="","",IF(BM40="","",TodayDate-BM40))</f>
        <v>0</v>
      </c>
      <c r="BO40" s="32">
        <f>IF(B40="","",COUNTIFS($AV$5:$AV$304,"&gt;"&amp;AV40)+COUNTIFS($AV$5:AV40,AV40))</f>
        <v>0</v>
      </c>
      <c r="BP40" s="32">
        <f>IF(B40="","",COUNTIFS($AW$5:$AW$304,"&gt;"&amp;AW40)+COUNTIFS($AW$5:AW40,AW40))</f>
        <v>0</v>
      </c>
      <c r="BQ40" s="32">
        <f>IF(B40="","",COUNTIFS($BI$5:$BI$304,"&gt;"&amp;BI40)+COUNTIFS($BI$5:BI40,BI40))</f>
        <v>0</v>
      </c>
      <c r="BR40" s="32">
        <f>IF(B40="","",COUNTIFS($AY$5:$AY$304,"&gt;"&amp;AY40)+COUNTIFS($AY$5:AY40,AY40))</f>
        <v>0</v>
      </c>
      <c r="BS40" s="43">
        <f>IF(B40="","",IF(AH40=0,"Add - no costs entered yet",IF(AR40="","Check - no price yet",IF(AV40&lt;0,"Loss - every sale costs you money",IF(AND(AZ40&lt;&gt;"",AZ40&lt;MinimumWage),"Below - pays under minimum wage",IF(AW40&lt;MarginWarning,"Low margin - re-price it",IF(AND(AF40&lt;&gt;"",K40&lt;&gt;"",K40+AC40&gt;AF40),"Check - too heavy for that postage band",IF(AND(BN40&lt;&gt;"",BN40&gt;PriceReviewDays),"Due - price has not been reviewed",IF(AND(BG40&lt;&gt;"",BG40&gt;0.5),"Check - well above the market","OK")))))))) )</f>
        <v>0</v>
      </c>
    </row>
    <row r="41" spans="1:71">
      <c r="A41" s="38">
        <f>IF(B41="","",ProductPrefix&amp;TEXT(ROW()-4,"0000"))</f>
        <v>0</v>
      </c>
      <c r="S41" s="38">
        <f>IF(B41="","",IF(C41&lt;&gt;"",C41,UPPER(LEFT(IF(D41="","GEN",D41),3))&amp;"-"&amp;TEXT(ROW()-4,"000")))</f>
        <v>0</v>
      </c>
      <c r="T41" s="20">
        <f>IF(B41="","",ROUND(SUMIFS('Material Usage'!$M$5:$M$904,'Material Usage'!$A$5:$A$904,A41)+SUMIFS(Crochet!$AD$5:$AD$84,Crochet!$A$5:$A$84,A41)+SUMIFS(Jewelry!$AF$5:$AF$84,Jewelry!$A$5:$A$84,A41)+SUMIFS(Candles!$AF$5:$AF$84,Candles!$A$5:$A$84,A41)+SUMIFS(Clothing!$AB$5:$AB$84,Clothing!$A$5:$A$84,A41)+SUMIFS(Woodworking!$AC$5:$AC$84,Woodworking!$A$5:$A$84,A41)+SUMIFS(Digital!$X$5:$X$84,Digital!$A$5:$A$84,A41),2))</f>
        <v>0</v>
      </c>
      <c r="U41" s="20">
        <f>IF(B41="","",ROUND(SUMIFS(Labor!$O$5:$O$304,Labor!$A$5:$A$304,A41)+SUMIFS(Crochet!$AG$5:$AG$84,Crochet!$A$5:$A$84,A41)+SUMIFS(Jewelry!$AI$5:$AI$84,Jewelry!$A$5:$A$84,A41)+SUMIFS(Candles!$AI$5:$AI$84,Candles!$A$5:$A$84,A41)+SUMIFS(Clothing!$AE$5:$AE$84,Clothing!$A$5:$A$84,A41)+SUMIFS(Woodworking!$AF$5:$AF$84,Woodworking!$A$5:$A$84,A41)+SUMIFS(Digital!$Z$5:$Z$84,Digital!$A$5:$A$84,A41),2))</f>
        <v>0</v>
      </c>
      <c r="V41" s="36">
        <f>IF(B41="","",ROUND(SUMIFS(Labor!$P$5:$P$304,Labor!$A$5:$A$304,A41)+SUMIFS(Crochet!$AE$5:$AE$84,Crochet!$A$5:$A$84,A41)+SUMIFS(Jewelry!$AG$5:$AG$84,Jewelry!$A$5:$A$84,A41)+SUMIFS(Candles!$AG$5:$AG$84,Candles!$A$5:$A$84,A41)+SUMIFS(Clothing!$AC$5:$AC$84,Clothing!$A$5:$A$84,A41)+SUMIFS(Woodworking!$AD$5:$AD$84,Woodworking!$A$5:$A$84,A41)+SUMIFS(Digital!$Y$5:$Y$84,Digital!$A$5:$A$84,A41),1))</f>
        <v>0</v>
      </c>
      <c r="W41" s="41">
        <f>IF(B41="","",IFERROR(INDEX(DiffTimeFactors,MATCH(G41,DiffNames,0)),1))</f>
        <v>0</v>
      </c>
      <c r="X41" s="36">
        <f>IF(B41="","",ROUND(V41*W41,1))</f>
        <v>0</v>
      </c>
      <c r="Y41" s="41">
        <f>IF(B41="","",ROUND(X41/60,3))</f>
        <v>0</v>
      </c>
      <c r="Z41" s="20">
        <f>IF(B41="","",ROUND(U41*W41,2))</f>
        <v>0</v>
      </c>
      <c r="AA41" s="20">
        <f>IF(B41="","",ROUND(SUMIFS(Labor!$Q$5:$Q$304,Labor!$A$5:$A$304,A41)+SUMIFS(Crochet!$AH$5:$AH$84,Crochet!$A$5:$A$84,A41)+SUMIFS(Jewelry!$AJ$5:$AJ$84,Jewelry!$A$5:$A$84,A41)+SUMIFS(Candles!$AJ$5:$AJ$84,Candles!$A$5:$A$84,A41)+SUMIFS(Clothing!$AF$5:$AF$84,Clothing!$A$5:$A$84,A41)+SUMIFS(Woodworking!$AH$5:$AH$84,Woodworking!$A$5:$A$84,A41)+SUMIFS(Digital!$AA$5:$AA$84,Digital!$A$5:$A$84,A41),2))</f>
        <v>0</v>
      </c>
      <c r="AB41" s="20">
        <f>IF(B41="","",ROUND(IF(I41="Budget",PackBudget,IF(I41="Standard",PackStandard,IF(I41="Gift",PackGift,IF(I41="Premium",PackPremium,DefaultPackaging)))),2))</f>
        <v>0</v>
      </c>
      <c r="AC41" s="36">
        <f>IF(B41="","",IF(I41="Budget",PackWeightBudget,IF(I41="Standard",PackWeightStandard,IF(I41="Gift",PackWeightGift,IF(I41="Premium",PackWeightPremium,0)))))</f>
        <v>0</v>
      </c>
      <c r="AD41" s="20">
        <f>IF(B41="","",IFERROR(INDEX(Shipping!$M$5:$M$64,MATCH(J41,Shipping!$L$5:$L$64,0)),DefaultShipping))</f>
        <v>0</v>
      </c>
      <c r="AE41" s="20">
        <f>IF(B41="","",IFERROR(INDEX(Shipping!$F$5:$F$64,MATCH(J41,Shipping!$L$5:$L$64,0)),0))</f>
        <v>0</v>
      </c>
      <c r="AF41" s="36">
        <f>IF(B41="","",IFERROR(INDEX(Shipping!$C$5:$C$64,MATCH(J41,Shipping!$L$5:$L$64,0)),""))</f>
        <v>0</v>
      </c>
      <c r="AG41" s="20">
        <f>IF(B41="","",ROUND(MAX(0,AD41-AE41),2))</f>
        <v>0</v>
      </c>
      <c r="AH41" s="20">
        <f>IF(B41="","",ROUND(T41+Z41+AA41+AB41+AG41,2))</f>
        <v>0</v>
      </c>
      <c r="AI41" s="33">
        <f>IF(B41="","",IFERROR(INDEX(Channels!$S$5:$S$18,MATCH(IF(H41="",DefaultChannel,H41),Channels!$A$5:$A$18,0)),0))</f>
        <v>0</v>
      </c>
      <c r="AJ41" s="42">
        <f>IF(B41="","",IFERROR(INDEX(Channels!$O$5:$O$18,MATCH(IF(H41="",DefaultChannel,H41),Channels!$A$5:$A$18,0)),"No"))</f>
        <v>0</v>
      </c>
      <c r="AK41" s="20">
        <f>IF(B41="","",ROUND(IFERROR(INDEX(Channels!$T$5:$T$18,MATCH(IF(H41="",DefaultChannel,H41),Channels!$A$5:$A$18,0)),0)+IF(AJ41="Yes",AE41*AI41,0),4))</f>
        <v>0</v>
      </c>
      <c r="AL41" s="33">
        <f>IF(B41="","",IF(OverheadMethod="Share of revenue",IF(RevenueTargetMonth&lt;=0,0,OverheadMonthly/RevenueTargetMonth),0))</f>
        <v>0</v>
      </c>
      <c r="AM41" s="20">
        <f>IF(B41="","",IF(OverheadMethod="Per hour worked",ROUND(OverheadPerHour*Y41,2),IF(OR(OverheadMethod="Per unit made",OverheadMethod="Per order"),OverheadPerUnit,0)))</f>
        <v>0</v>
      </c>
      <c r="AN41" s="33">
        <f>IF(B41="","",IF(N41&lt;&gt;"",N41,TargetRetailMargin))</f>
        <v>0</v>
      </c>
      <c r="AO41" s="41">
        <f>IF(B41="","",1-AN41-AI41-AL41)</f>
        <v>0</v>
      </c>
      <c r="AP41" s="20">
        <f>IF(B41="","",IF(AO41&lt;=0,"",(AH41+AM41+AK41)/AO41))</f>
        <v>0</v>
      </c>
      <c r="AQ41" s="20">
        <f>IF(B41="","",IF(AP41="","Check the settings",ROUND(IF(RoundingRule="None",AP41,IF(RoundingRule="Nearest 0.99",MAX(0.99,CEILING(AP41,1)-0.01),IF(RoundingRule="Nearest 0.95",MAX(0.95,CEILING(AP41,1)-0.05),IF(RoundingRule="Nearest 0.50",CEILING(AP41,0.5),IF(RoundingRule="Nearest 1",CEILING(AP41,1),IF(RoundingRule="Nearest 5",CEILING(AP41,5),IF(RoundingRule="Up to whole 1",CEILING(AP41,1),IF(RoundingRule="Up to whole 5",CEILING(AP41,5),ROUND(AP41,2))))))))),2)))</f>
        <v>0</v>
      </c>
      <c r="AR41" s="20">
        <f>IF(B41="","",IF(M41&lt;&gt;"",M41,IF(ISNUMBER(AQ41),AQ41,"")))</f>
        <v>0</v>
      </c>
      <c r="AS41" s="20">
        <f>IF(B41="","",IF(AR41="","",ROUND(AM41+AR41*AL41,2)))</f>
        <v>0</v>
      </c>
      <c r="AT41" s="20">
        <f>IF(B41="","",IF(AR41="","",ROUND(AH41+AS41,2)))</f>
        <v>0</v>
      </c>
      <c r="AU41" s="20">
        <f>IF(B41="","",IF(AR41="","",ROUND(AR41*AI41+AK41,2)))</f>
        <v>0</v>
      </c>
      <c r="AV41" s="20">
        <f>IF(B41="","",IF(AR41="","",ROUND(AR41-AT41-AU41,2)))</f>
        <v>0</v>
      </c>
      <c r="AW41" s="33">
        <f>IF(B41="","",IF(OR(AR41="",AR41=0),"",AV41/AR41))</f>
        <v>0</v>
      </c>
      <c r="AX41" s="33">
        <f>IF(B41="","",IF(OR(AT41="",AT41=0),"",AV41/AT41))</f>
        <v>0</v>
      </c>
      <c r="AY41" s="20">
        <f>IF(B41="","",IF(OR(Y41="",Y41=0,AV41=""),"",ROUND(AV41/Y41,2)))</f>
        <v>0</v>
      </c>
      <c r="AZ41" s="20">
        <f>IF(B41="","",IF(OR(Y41="",Y41=0,AV41=""),"",ROUND((AV41+Z41)/Y41,2)))</f>
        <v>0</v>
      </c>
      <c r="BA41" s="20">
        <f>IF(B41="","",IF(1-AI41-AL41&lt;=0,"",ROUND((AH41+AM41+AK41)/(1-AI41-AL41),2)))</f>
        <v>0</v>
      </c>
      <c r="BB41" s="20">
        <f>IF(B41="","",IF(AT41="","",ROUND(AT41*2,2)))</f>
        <v>0</v>
      </c>
      <c r="BC41" s="20">
        <f>IF(B41="","",IF(AR41="","",ROUND(AR41*(1-WholesaleDiscount),2)))</f>
        <v>0</v>
      </c>
      <c r="BD41" s="20">
        <f>IF(B41="","",IF(BC41="","",ROUND(BC41-AH41-AM41,2)))</f>
        <v>0</v>
      </c>
      <c r="BE41" s="33">
        <f>IF(B41="","",IF(OR(BC41="",BC41=0),"",BD41/BC41))</f>
        <v>0</v>
      </c>
      <c r="BF41" s="20">
        <f>IF(B41="","",IFERROR(ROUND(AVERAGEIFS(Competitors!$F$5:$F$154,Competitors!$A$5:$A$154,A41),2),""))</f>
        <v>0</v>
      </c>
      <c r="BG41" s="33">
        <f>IF(B41="","",IF(OR(BF41="",BF41=0,AR41=""),"",AR41/BF41-1))</f>
        <v>0</v>
      </c>
      <c r="BH41" s="32">
        <f>IF(B41="","",SUMIFS(Sales!$D$5:$D$804,Sales!$C$5:$C$804,A41))</f>
        <v>0</v>
      </c>
      <c r="BI41" s="20">
        <f>IF(B41="","",ROUND(SUMIFS(Sales!$V$5:$V$804,Sales!$C$5:$C$804,A41),2))</f>
        <v>0</v>
      </c>
      <c r="BJ41" s="20">
        <f>IF(B41="","",ROUND(SUMIFS(Sales!$AG$5:$AG$804,Sales!$C$5:$C$804,A41),2))</f>
        <v>0</v>
      </c>
      <c r="BK41" s="33">
        <f>IF(B41="","",IF(OR(BI41="",BI41=0),"",BJ41/BI41))</f>
        <v>0</v>
      </c>
      <c r="BL41" s="17">
        <f>IF(B41="","",IF(SUMPRODUCT(MAX((Sales!$C$5:$C$804=A41)*Sales!$B$5:$B$804))=0,"",SUMPRODUCT(MAX((Sales!$C$5:$C$804=A41)*Sales!$B$5:$B$804))))</f>
        <v>0</v>
      </c>
      <c r="BM41" s="17">
        <f>IF(B41="","",IF(SUMPRODUCT(MAX(('Price History'!$B$5:$B$304=A41)*'Price History'!$A$5:$A$304))=0,IF(P41="","",P41),SUMPRODUCT(MAX(('Price History'!$B$5:$B$304=A41)*'Price History'!$A$5:$A$304))))</f>
        <v>0</v>
      </c>
      <c r="BN41" s="32">
        <f>IF(B41="","",IF(BM41="","",TodayDate-BM41))</f>
        <v>0</v>
      </c>
      <c r="BO41" s="32">
        <f>IF(B41="","",COUNTIFS($AV$5:$AV$304,"&gt;"&amp;AV41)+COUNTIFS($AV$5:AV41,AV41))</f>
        <v>0</v>
      </c>
      <c r="BP41" s="32">
        <f>IF(B41="","",COUNTIFS($AW$5:$AW$304,"&gt;"&amp;AW41)+COUNTIFS($AW$5:AW41,AW41))</f>
        <v>0</v>
      </c>
      <c r="BQ41" s="32">
        <f>IF(B41="","",COUNTIFS($BI$5:$BI$304,"&gt;"&amp;BI41)+COUNTIFS($BI$5:BI41,BI41))</f>
        <v>0</v>
      </c>
      <c r="BR41" s="32">
        <f>IF(B41="","",COUNTIFS($AY$5:$AY$304,"&gt;"&amp;AY41)+COUNTIFS($AY$5:AY41,AY41))</f>
        <v>0</v>
      </c>
      <c r="BS41" s="43">
        <f>IF(B41="","",IF(AH41=0,"Add - no costs entered yet",IF(AR41="","Check - no price yet",IF(AV41&lt;0,"Loss - every sale costs you money",IF(AND(AZ41&lt;&gt;"",AZ41&lt;MinimumWage),"Below - pays under minimum wage",IF(AW41&lt;MarginWarning,"Low margin - re-price it",IF(AND(AF41&lt;&gt;"",K41&lt;&gt;"",K41+AC41&gt;AF41),"Check - too heavy for that postage band",IF(AND(BN41&lt;&gt;"",BN41&gt;PriceReviewDays),"Due - price has not been reviewed",IF(AND(BG41&lt;&gt;"",BG41&gt;0.5),"Check - well above the market","OK")))))))) )</f>
        <v>0</v>
      </c>
    </row>
    <row r="42" spans="1:71">
      <c r="A42" s="38">
        <f>IF(B42="","",ProductPrefix&amp;TEXT(ROW()-4,"0000"))</f>
        <v>0</v>
      </c>
      <c r="S42" s="38">
        <f>IF(B42="","",IF(C42&lt;&gt;"",C42,UPPER(LEFT(IF(D42="","GEN",D42),3))&amp;"-"&amp;TEXT(ROW()-4,"000")))</f>
        <v>0</v>
      </c>
      <c r="T42" s="20">
        <f>IF(B42="","",ROUND(SUMIFS('Material Usage'!$M$5:$M$904,'Material Usage'!$A$5:$A$904,A42)+SUMIFS(Crochet!$AD$5:$AD$84,Crochet!$A$5:$A$84,A42)+SUMIFS(Jewelry!$AF$5:$AF$84,Jewelry!$A$5:$A$84,A42)+SUMIFS(Candles!$AF$5:$AF$84,Candles!$A$5:$A$84,A42)+SUMIFS(Clothing!$AB$5:$AB$84,Clothing!$A$5:$A$84,A42)+SUMIFS(Woodworking!$AC$5:$AC$84,Woodworking!$A$5:$A$84,A42)+SUMIFS(Digital!$X$5:$X$84,Digital!$A$5:$A$84,A42),2))</f>
        <v>0</v>
      </c>
      <c r="U42" s="20">
        <f>IF(B42="","",ROUND(SUMIFS(Labor!$O$5:$O$304,Labor!$A$5:$A$304,A42)+SUMIFS(Crochet!$AG$5:$AG$84,Crochet!$A$5:$A$84,A42)+SUMIFS(Jewelry!$AI$5:$AI$84,Jewelry!$A$5:$A$84,A42)+SUMIFS(Candles!$AI$5:$AI$84,Candles!$A$5:$A$84,A42)+SUMIFS(Clothing!$AE$5:$AE$84,Clothing!$A$5:$A$84,A42)+SUMIFS(Woodworking!$AF$5:$AF$84,Woodworking!$A$5:$A$84,A42)+SUMIFS(Digital!$Z$5:$Z$84,Digital!$A$5:$A$84,A42),2))</f>
        <v>0</v>
      </c>
      <c r="V42" s="36">
        <f>IF(B42="","",ROUND(SUMIFS(Labor!$P$5:$P$304,Labor!$A$5:$A$304,A42)+SUMIFS(Crochet!$AE$5:$AE$84,Crochet!$A$5:$A$84,A42)+SUMIFS(Jewelry!$AG$5:$AG$84,Jewelry!$A$5:$A$84,A42)+SUMIFS(Candles!$AG$5:$AG$84,Candles!$A$5:$A$84,A42)+SUMIFS(Clothing!$AC$5:$AC$84,Clothing!$A$5:$A$84,A42)+SUMIFS(Woodworking!$AD$5:$AD$84,Woodworking!$A$5:$A$84,A42)+SUMIFS(Digital!$Y$5:$Y$84,Digital!$A$5:$A$84,A42),1))</f>
        <v>0</v>
      </c>
      <c r="W42" s="41">
        <f>IF(B42="","",IFERROR(INDEX(DiffTimeFactors,MATCH(G42,DiffNames,0)),1))</f>
        <v>0</v>
      </c>
      <c r="X42" s="36">
        <f>IF(B42="","",ROUND(V42*W42,1))</f>
        <v>0</v>
      </c>
      <c r="Y42" s="41">
        <f>IF(B42="","",ROUND(X42/60,3))</f>
        <v>0</v>
      </c>
      <c r="Z42" s="20">
        <f>IF(B42="","",ROUND(U42*W42,2))</f>
        <v>0</v>
      </c>
      <c r="AA42" s="20">
        <f>IF(B42="","",ROUND(SUMIFS(Labor!$Q$5:$Q$304,Labor!$A$5:$A$304,A42)+SUMIFS(Crochet!$AH$5:$AH$84,Crochet!$A$5:$A$84,A42)+SUMIFS(Jewelry!$AJ$5:$AJ$84,Jewelry!$A$5:$A$84,A42)+SUMIFS(Candles!$AJ$5:$AJ$84,Candles!$A$5:$A$84,A42)+SUMIFS(Clothing!$AF$5:$AF$84,Clothing!$A$5:$A$84,A42)+SUMIFS(Woodworking!$AH$5:$AH$84,Woodworking!$A$5:$A$84,A42)+SUMIFS(Digital!$AA$5:$AA$84,Digital!$A$5:$A$84,A42),2))</f>
        <v>0</v>
      </c>
      <c r="AB42" s="20">
        <f>IF(B42="","",ROUND(IF(I42="Budget",PackBudget,IF(I42="Standard",PackStandard,IF(I42="Gift",PackGift,IF(I42="Premium",PackPremium,DefaultPackaging)))),2))</f>
        <v>0</v>
      </c>
      <c r="AC42" s="36">
        <f>IF(B42="","",IF(I42="Budget",PackWeightBudget,IF(I42="Standard",PackWeightStandard,IF(I42="Gift",PackWeightGift,IF(I42="Premium",PackWeightPremium,0)))))</f>
        <v>0</v>
      </c>
      <c r="AD42" s="20">
        <f>IF(B42="","",IFERROR(INDEX(Shipping!$M$5:$M$64,MATCH(J42,Shipping!$L$5:$L$64,0)),DefaultShipping))</f>
        <v>0</v>
      </c>
      <c r="AE42" s="20">
        <f>IF(B42="","",IFERROR(INDEX(Shipping!$F$5:$F$64,MATCH(J42,Shipping!$L$5:$L$64,0)),0))</f>
        <v>0</v>
      </c>
      <c r="AF42" s="36">
        <f>IF(B42="","",IFERROR(INDEX(Shipping!$C$5:$C$64,MATCH(J42,Shipping!$L$5:$L$64,0)),""))</f>
        <v>0</v>
      </c>
      <c r="AG42" s="20">
        <f>IF(B42="","",ROUND(MAX(0,AD42-AE42),2))</f>
        <v>0</v>
      </c>
      <c r="AH42" s="20">
        <f>IF(B42="","",ROUND(T42+Z42+AA42+AB42+AG42,2))</f>
        <v>0</v>
      </c>
      <c r="AI42" s="33">
        <f>IF(B42="","",IFERROR(INDEX(Channels!$S$5:$S$18,MATCH(IF(H42="",DefaultChannel,H42),Channels!$A$5:$A$18,0)),0))</f>
        <v>0</v>
      </c>
      <c r="AJ42" s="42">
        <f>IF(B42="","",IFERROR(INDEX(Channels!$O$5:$O$18,MATCH(IF(H42="",DefaultChannel,H42),Channels!$A$5:$A$18,0)),"No"))</f>
        <v>0</v>
      </c>
      <c r="AK42" s="20">
        <f>IF(B42="","",ROUND(IFERROR(INDEX(Channels!$T$5:$T$18,MATCH(IF(H42="",DefaultChannel,H42),Channels!$A$5:$A$18,0)),0)+IF(AJ42="Yes",AE42*AI42,0),4))</f>
        <v>0</v>
      </c>
      <c r="AL42" s="33">
        <f>IF(B42="","",IF(OverheadMethod="Share of revenue",IF(RevenueTargetMonth&lt;=0,0,OverheadMonthly/RevenueTargetMonth),0))</f>
        <v>0</v>
      </c>
      <c r="AM42" s="20">
        <f>IF(B42="","",IF(OverheadMethod="Per hour worked",ROUND(OverheadPerHour*Y42,2),IF(OR(OverheadMethod="Per unit made",OverheadMethod="Per order"),OverheadPerUnit,0)))</f>
        <v>0</v>
      </c>
      <c r="AN42" s="33">
        <f>IF(B42="","",IF(N42&lt;&gt;"",N42,TargetRetailMargin))</f>
        <v>0</v>
      </c>
      <c r="AO42" s="41">
        <f>IF(B42="","",1-AN42-AI42-AL42)</f>
        <v>0</v>
      </c>
      <c r="AP42" s="20">
        <f>IF(B42="","",IF(AO42&lt;=0,"",(AH42+AM42+AK42)/AO42))</f>
        <v>0</v>
      </c>
      <c r="AQ42" s="20">
        <f>IF(B42="","",IF(AP42="","Check the settings",ROUND(IF(RoundingRule="None",AP42,IF(RoundingRule="Nearest 0.99",MAX(0.99,CEILING(AP42,1)-0.01),IF(RoundingRule="Nearest 0.95",MAX(0.95,CEILING(AP42,1)-0.05),IF(RoundingRule="Nearest 0.50",CEILING(AP42,0.5),IF(RoundingRule="Nearest 1",CEILING(AP42,1),IF(RoundingRule="Nearest 5",CEILING(AP42,5),IF(RoundingRule="Up to whole 1",CEILING(AP42,1),IF(RoundingRule="Up to whole 5",CEILING(AP42,5),ROUND(AP42,2))))))))),2)))</f>
        <v>0</v>
      </c>
      <c r="AR42" s="20">
        <f>IF(B42="","",IF(M42&lt;&gt;"",M42,IF(ISNUMBER(AQ42),AQ42,"")))</f>
        <v>0</v>
      </c>
      <c r="AS42" s="20">
        <f>IF(B42="","",IF(AR42="","",ROUND(AM42+AR42*AL42,2)))</f>
        <v>0</v>
      </c>
      <c r="AT42" s="20">
        <f>IF(B42="","",IF(AR42="","",ROUND(AH42+AS42,2)))</f>
        <v>0</v>
      </c>
      <c r="AU42" s="20">
        <f>IF(B42="","",IF(AR42="","",ROUND(AR42*AI42+AK42,2)))</f>
        <v>0</v>
      </c>
      <c r="AV42" s="20">
        <f>IF(B42="","",IF(AR42="","",ROUND(AR42-AT42-AU42,2)))</f>
        <v>0</v>
      </c>
      <c r="AW42" s="33">
        <f>IF(B42="","",IF(OR(AR42="",AR42=0),"",AV42/AR42))</f>
        <v>0</v>
      </c>
      <c r="AX42" s="33">
        <f>IF(B42="","",IF(OR(AT42="",AT42=0),"",AV42/AT42))</f>
        <v>0</v>
      </c>
      <c r="AY42" s="20">
        <f>IF(B42="","",IF(OR(Y42="",Y42=0,AV42=""),"",ROUND(AV42/Y42,2)))</f>
        <v>0</v>
      </c>
      <c r="AZ42" s="20">
        <f>IF(B42="","",IF(OR(Y42="",Y42=0,AV42=""),"",ROUND((AV42+Z42)/Y42,2)))</f>
        <v>0</v>
      </c>
      <c r="BA42" s="20">
        <f>IF(B42="","",IF(1-AI42-AL42&lt;=0,"",ROUND((AH42+AM42+AK42)/(1-AI42-AL42),2)))</f>
        <v>0</v>
      </c>
      <c r="BB42" s="20">
        <f>IF(B42="","",IF(AT42="","",ROUND(AT42*2,2)))</f>
        <v>0</v>
      </c>
      <c r="BC42" s="20">
        <f>IF(B42="","",IF(AR42="","",ROUND(AR42*(1-WholesaleDiscount),2)))</f>
        <v>0</v>
      </c>
      <c r="BD42" s="20">
        <f>IF(B42="","",IF(BC42="","",ROUND(BC42-AH42-AM42,2)))</f>
        <v>0</v>
      </c>
      <c r="BE42" s="33">
        <f>IF(B42="","",IF(OR(BC42="",BC42=0),"",BD42/BC42))</f>
        <v>0</v>
      </c>
      <c r="BF42" s="20">
        <f>IF(B42="","",IFERROR(ROUND(AVERAGEIFS(Competitors!$F$5:$F$154,Competitors!$A$5:$A$154,A42),2),""))</f>
        <v>0</v>
      </c>
      <c r="BG42" s="33">
        <f>IF(B42="","",IF(OR(BF42="",BF42=0,AR42=""),"",AR42/BF42-1))</f>
        <v>0</v>
      </c>
      <c r="BH42" s="32">
        <f>IF(B42="","",SUMIFS(Sales!$D$5:$D$804,Sales!$C$5:$C$804,A42))</f>
        <v>0</v>
      </c>
      <c r="BI42" s="20">
        <f>IF(B42="","",ROUND(SUMIFS(Sales!$V$5:$V$804,Sales!$C$5:$C$804,A42),2))</f>
        <v>0</v>
      </c>
      <c r="BJ42" s="20">
        <f>IF(B42="","",ROUND(SUMIFS(Sales!$AG$5:$AG$804,Sales!$C$5:$C$804,A42),2))</f>
        <v>0</v>
      </c>
      <c r="BK42" s="33">
        <f>IF(B42="","",IF(OR(BI42="",BI42=0),"",BJ42/BI42))</f>
        <v>0</v>
      </c>
      <c r="BL42" s="17">
        <f>IF(B42="","",IF(SUMPRODUCT(MAX((Sales!$C$5:$C$804=A42)*Sales!$B$5:$B$804))=0,"",SUMPRODUCT(MAX((Sales!$C$5:$C$804=A42)*Sales!$B$5:$B$804))))</f>
        <v>0</v>
      </c>
      <c r="BM42" s="17">
        <f>IF(B42="","",IF(SUMPRODUCT(MAX(('Price History'!$B$5:$B$304=A42)*'Price History'!$A$5:$A$304))=0,IF(P42="","",P42),SUMPRODUCT(MAX(('Price History'!$B$5:$B$304=A42)*'Price History'!$A$5:$A$304))))</f>
        <v>0</v>
      </c>
      <c r="BN42" s="32">
        <f>IF(B42="","",IF(BM42="","",TodayDate-BM42))</f>
        <v>0</v>
      </c>
      <c r="BO42" s="32">
        <f>IF(B42="","",COUNTIFS($AV$5:$AV$304,"&gt;"&amp;AV42)+COUNTIFS($AV$5:AV42,AV42))</f>
        <v>0</v>
      </c>
      <c r="BP42" s="32">
        <f>IF(B42="","",COUNTIFS($AW$5:$AW$304,"&gt;"&amp;AW42)+COUNTIFS($AW$5:AW42,AW42))</f>
        <v>0</v>
      </c>
      <c r="BQ42" s="32">
        <f>IF(B42="","",COUNTIFS($BI$5:$BI$304,"&gt;"&amp;BI42)+COUNTIFS($BI$5:BI42,BI42))</f>
        <v>0</v>
      </c>
      <c r="BR42" s="32">
        <f>IF(B42="","",COUNTIFS($AY$5:$AY$304,"&gt;"&amp;AY42)+COUNTIFS($AY$5:AY42,AY42))</f>
        <v>0</v>
      </c>
      <c r="BS42" s="43">
        <f>IF(B42="","",IF(AH42=0,"Add - no costs entered yet",IF(AR42="","Check - no price yet",IF(AV42&lt;0,"Loss - every sale costs you money",IF(AND(AZ42&lt;&gt;"",AZ42&lt;MinimumWage),"Below - pays under minimum wage",IF(AW42&lt;MarginWarning,"Low margin - re-price it",IF(AND(AF42&lt;&gt;"",K42&lt;&gt;"",K42+AC42&gt;AF42),"Check - too heavy for that postage band",IF(AND(BN42&lt;&gt;"",BN42&gt;PriceReviewDays),"Due - price has not been reviewed",IF(AND(BG42&lt;&gt;"",BG42&gt;0.5),"Check - well above the market","OK")))))))) )</f>
        <v>0</v>
      </c>
    </row>
    <row r="43" spans="1:71">
      <c r="A43" s="38">
        <f>IF(B43="","",ProductPrefix&amp;TEXT(ROW()-4,"0000"))</f>
        <v>0</v>
      </c>
      <c r="S43" s="38">
        <f>IF(B43="","",IF(C43&lt;&gt;"",C43,UPPER(LEFT(IF(D43="","GEN",D43),3))&amp;"-"&amp;TEXT(ROW()-4,"000")))</f>
        <v>0</v>
      </c>
      <c r="T43" s="20">
        <f>IF(B43="","",ROUND(SUMIFS('Material Usage'!$M$5:$M$904,'Material Usage'!$A$5:$A$904,A43)+SUMIFS(Crochet!$AD$5:$AD$84,Crochet!$A$5:$A$84,A43)+SUMIFS(Jewelry!$AF$5:$AF$84,Jewelry!$A$5:$A$84,A43)+SUMIFS(Candles!$AF$5:$AF$84,Candles!$A$5:$A$84,A43)+SUMIFS(Clothing!$AB$5:$AB$84,Clothing!$A$5:$A$84,A43)+SUMIFS(Woodworking!$AC$5:$AC$84,Woodworking!$A$5:$A$84,A43)+SUMIFS(Digital!$X$5:$X$84,Digital!$A$5:$A$84,A43),2))</f>
        <v>0</v>
      </c>
      <c r="U43" s="20">
        <f>IF(B43="","",ROUND(SUMIFS(Labor!$O$5:$O$304,Labor!$A$5:$A$304,A43)+SUMIFS(Crochet!$AG$5:$AG$84,Crochet!$A$5:$A$84,A43)+SUMIFS(Jewelry!$AI$5:$AI$84,Jewelry!$A$5:$A$84,A43)+SUMIFS(Candles!$AI$5:$AI$84,Candles!$A$5:$A$84,A43)+SUMIFS(Clothing!$AE$5:$AE$84,Clothing!$A$5:$A$84,A43)+SUMIFS(Woodworking!$AF$5:$AF$84,Woodworking!$A$5:$A$84,A43)+SUMIFS(Digital!$Z$5:$Z$84,Digital!$A$5:$A$84,A43),2))</f>
        <v>0</v>
      </c>
      <c r="V43" s="36">
        <f>IF(B43="","",ROUND(SUMIFS(Labor!$P$5:$P$304,Labor!$A$5:$A$304,A43)+SUMIFS(Crochet!$AE$5:$AE$84,Crochet!$A$5:$A$84,A43)+SUMIFS(Jewelry!$AG$5:$AG$84,Jewelry!$A$5:$A$84,A43)+SUMIFS(Candles!$AG$5:$AG$84,Candles!$A$5:$A$84,A43)+SUMIFS(Clothing!$AC$5:$AC$84,Clothing!$A$5:$A$84,A43)+SUMIFS(Woodworking!$AD$5:$AD$84,Woodworking!$A$5:$A$84,A43)+SUMIFS(Digital!$Y$5:$Y$84,Digital!$A$5:$A$84,A43),1))</f>
        <v>0</v>
      </c>
      <c r="W43" s="41">
        <f>IF(B43="","",IFERROR(INDEX(DiffTimeFactors,MATCH(G43,DiffNames,0)),1))</f>
        <v>0</v>
      </c>
      <c r="X43" s="36">
        <f>IF(B43="","",ROUND(V43*W43,1))</f>
        <v>0</v>
      </c>
      <c r="Y43" s="41">
        <f>IF(B43="","",ROUND(X43/60,3))</f>
        <v>0</v>
      </c>
      <c r="Z43" s="20">
        <f>IF(B43="","",ROUND(U43*W43,2))</f>
        <v>0</v>
      </c>
      <c r="AA43" s="20">
        <f>IF(B43="","",ROUND(SUMIFS(Labor!$Q$5:$Q$304,Labor!$A$5:$A$304,A43)+SUMIFS(Crochet!$AH$5:$AH$84,Crochet!$A$5:$A$84,A43)+SUMIFS(Jewelry!$AJ$5:$AJ$84,Jewelry!$A$5:$A$84,A43)+SUMIFS(Candles!$AJ$5:$AJ$84,Candles!$A$5:$A$84,A43)+SUMIFS(Clothing!$AF$5:$AF$84,Clothing!$A$5:$A$84,A43)+SUMIFS(Woodworking!$AH$5:$AH$84,Woodworking!$A$5:$A$84,A43)+SUMIFS(Digital!$AA$5:$AA$84,Digital!$A$5:$A$84,A43),2))</f>
        <v>0</v>
      </c>
      <c r="AB43" s="20">
        <f>IF(B43="","",ROUND(IF(I43="Budget",PackBudget,IF(I43="Standard",PackStandard,IF(I43="Gift",PackGift,IF(I43="Premium",PackPremium,DefaultPackaging)))),2))</f>
        <v>0</v>
      </c>
      <c r="AC43" s="36">
        <f>IF(B43="","",IF(I43="Budget",PackWeightBudget,IF(I43="Standard",PackWeightStandard,IF(I43="Gift",PackWeightGift,IF(I43="Premium",PackWeightPremium,0)))))</f>
        <v>0</v>
      </c>
      <c r="AD43" s="20">
        <f>IF(B43="","",IFERROR(INDEX(Shipping!$M$5:$M$64,MATCH(J43,Shipping!$L$5:$L$64,0)),DefaultShipping))</f>
        <v>0</v>
      </c>
      <c r="AE43" s="20">
        <f>IF(B43="","",IFERROR(INDEX(Shipping!$F$5:$F$64,MATCH(J43,Shipping!$L$5:$L$64,0)),0))</f>
        <v>0</v>
      </c>
      <c r="AF43" s="36">
        <f>IF(B43="","",IFERROR(INDEX(Shipping!$C$5:$C$64,MATCH(J43,Shipping!$L$5:$L$64,0)),""))</f>
        <v>0</v>
      </c>
      <c r="AG43" s="20">
        <f>IF(B43="","",ROUND(MAX(0,AD43-AE43),2))</f>
        <v>0</v>
      </c>
      <c r="AH43" s="20">
        <f>IF(B43="","",ROUND(T43+Z43+AA43+AB43+AG43,2))</f>
        <v>0</v>
      </c>
      <c r="AI43" s="33">
        <f>IF(B43="","",IFERROR(INDEX(Channels!$S$5:$S$18,MATCH(IF(H43="",DefaultChannel,H43),Channels!$A$5:$A$18,0)),0))</f>
        <v>0</v>
      </c>
      <c r="AJ43" s="42">
        <f>IF(B43="","",IFERROR(INDEX(Channels!$O$5:$O$18,MATCH(IF(H43="",DefaultChannel,H43),Channels!$A$5:$A$18,0)),"No"))</f>
        <v>0</v>
      </c>
      <c r="AK43" s="20">
        <f>IF(B43="","",ROUND(IFERROR(INDEX(Channels!$T$5:$T$18,MATCH(IF(H43="",DefaultChannel,H43),Channels!$A$5:$A$18,0)),0)+IF(AJ43="Yes",AE43*AI43,0),4))</f>
        <v>0</v>
      </c>
      <c r="AL43" s="33">
        <f>IF(B43="","",IF(OverheadMethod="Share of revenue",IF(RevenueTargetMonth&lt;=0,0,OverheadMonthly/RevenueTargetMonth),0))</f>
        <v>0</v>
      </c>
      <c r="AM43" s="20">
        <f>IF(B43="","",IF(OverheadMethod="Per hour worked",ROUND(OverheadPerHour*Y43,2),IF(OR(OverheadMethod="Per unit made",OverheadMethod="Per order"),OverheadPerUnit,0)))</f>
        <v>0</v>
      </c>
      <c r="AN43" s="33">
        <f>IF(B43="","",IF(N43&lt;&gt;"",N43,TargetRetailMargin))</f>
        <v>0</v>
      </c>
      <c r="AO43" s="41">
        <f>IF(B43="","",1-AN43-AI43-AL43)</f>
        <v>0</v>
      </c>
      <c r="AP43" s="20">
        <f>IF(B43="","",IF(AO43&lt;=0,"",(AH43+AM43+AK43)/AO43))</f>
        <v>0</v>
      </c>
      <c r="AQ43" s="20">
        <f>IF(B43="","",IF(AP43="","Check the settings",ROUND(IF(RoundingRule="None",AP43,IF(RoundingRule="Nearest 0.99",MAX(0.99,CEILING(AP43,1)-0.01),IF(RoundingRule="Nearest 0.95",MAX(0.95,CEILING(AP43,1)-0.05),IF(RoundingRule="Nearest 0.50",CEILING(AP43,0.5),IF(RoundingRule="Nearest 1",CEILING(AP43,1),IF(RoundingRule="Nearest 5",CEILING(AP43,5),IF(RoundingRule="Up to whole 1",CEILING(AP43,1),IF(RoundingRule="Up to whole 5",CEILING(AP43,5),ROUND(AP43,2))))))))),2)))</f>
        <v>0</v>
      </c>
      <c r="AR43" s="20">
        <f>IF(B43="","",IF(M43&lt;&gt;"",M43,IF(ISNUMBER(AQ43),AQ43,"")))</f>
        <v>0</v>
      </c>
      <c r="AS43" s="20">
        <f>IF(B43="","",IF(AR43="","",ROUND(AM43+AR43*AL43,2)))</f>
        <v>0</v>
      </c>
      <c r="AT43" s="20">
        <f>IF(B43="","",IF(AR43="","",ROUND(AH43+AS43,2)))</f>
        <v>0</v>
      </c>
      <c r="AU43" s="20">
        <f>IF(B43="","",IF(AR43="","",ROUND(AR43*AI43+AK43,2)))</f>
        <v>0</v>
      </c>
      <c r="AV43" s="20">
        <f>IF(B43="","",IF(AR43="","",ROUND(AR43-AT43-AU43,2)))</f>
        <v>0</v>
      </c>
      <c r="AW43" s="33">
        <f>IF(B43="","",IF(OR(AR43="",AR43=0),"",AV43/AR43))</f>
        <v>0</v>
      </c>
      <c r="AX43" s="33">
        <f>IF(B43="","",IF(OR(AT43="",AT43=0),"",AV43/AT43))</f>
        <v>0</v>
      </c>
      <c r="AY43" s="20">
        <f>IF(B43="","",IF(OR(Y43="",Y43=0,AV43=""),"",ROUND(AV43/Y43,2)))</f>
        <v>0</v>
      </c>
      <c r="AZ43" s="20">
        <f>IF(B43="","",IF(OR(Y43="",Y43=0,AV43=""),"",ROUND((AV43+Z43)/Y43,2)))</f>
        <v>0</v>
      </c>
      <c r="BA43" s="20">
        <f>IF(B43="","",IF(1-AI43-AL43&lt;=0,"",ROUND((AH43+AM43+AK43)/(1-AI43-AL43),2)))</f>
        <v>0</v>
      </c>
      <c r="BB43" s="20">
        <f>IF(B43="","",IF(AT43="","",ROUND(AT43*2,2)))</f>
        <v>0</v>
      </c>
      <c r="BC43" s="20">
        <f>IF(B43="","",IF(AR43="","",ROUND(AR43*(1-WholesaleDiscount),2)))</f>
        <v>0</v>
      </c>
      <c r="BD43" s="20">
        <f>IF(B43="","",IF(BC43="","",ROUND(BC43-AH43-AM43,2)))</f>
        <v>0</v>
      </c>
      <c r="BE43" s="33">
        <f>IF(B43="","",IF(OR(BC43="",BC43=0),"",BD43/BC43))</f>
        <v>0</v>
      </c>
      <c r="BF43" s="20">
        <f>IF(B43="","",IFERROR(ROUND(AVERAGEIFS(Competitors!$F$5:$F$154,Competitors!$A$5:$A$154,A43),2),""))</f>
        <v>0</v>
      </c>
      <c r="BG43" s="33">
        <f>IF(B43="","",IF(OR(BF43="",BF43=0,AR43=""),"",AR43/BF43-1))</f>
        <v>0</v>
      </c>
      <c r="BH43" s="32">
        <f>IF(B43="","",SUMIFS(Sales!$D$5:$D$804,Sales!$C$5:$C$804,A43))</f>
        <v>0</v>
      </c>
      <c r="BI43" s="20">
        <f>IF(B43="","",ROUND(SUMIFS(Sales!$V$5:$V$804,Sales!$C$5:$C$804,A43),2))</f>
        <v>0</v>
      </c>
      <c r="BJ43" s="20">
        <f>IF(B43="","",ROUND(SUMIFS(Sales!$AG$5:$AG$804,Sales!$C$5:$C$804,A43),2))</f>
        <v>0</v>
      </c>
      <c r="BK43" s="33">
        <f>IF(B43="","",IF(OR(BI43="",BI43=0),"",BJ43/BI43))</f>
        <v>0</v>
      </c>
      <c r="BL43" s="17">
        <f>IF(B43="","",IF(SUMPRODUCT(MAX((Sales!$C$5:$C$804=A43)*Sales!$B$5:$B$804))=0,"",SUMPRODUCT(MAX((Sales!$C$5:$C$804=A43)*Sales!$B$5:$B$804))))</f>
        <v>0</v>
      </c>
      <c r="BM43" s="17">
        <f>IF(B43="","",IF(SUMPRODUCT(MAX(('Price History'!$B$5:$B$304=A43)*'Price History'!$A$5:$A$304))=0,IF(P43="","",P43),SUMPRODUCT(MAX(('Price History'!$B$5:$B$304=A43)*'Price History'!$A$5:$A$304))))</f>
        <v>0</v>
      </c>
      <c r="BN43" s="32">
        <f>IF(B43="","",IF(BM43="","",TodayDate-BM43))</f>
        <v>0</v>
      </c>
      <c r="BO43" s="32">
        <f>IF(B43="","",COUNTIFS($AV$5:$AV$304,"&gt;"&amp;AV43)+COUNTIFS($AV$5:AV43,AV43))</f>
        <v>0</v>
      </c>
      <c r="BP43" s="32">
        <f>IF(B43="","",COUNTIFS($AW$5:$AW$304,"&gt;"&amp;AW43)+COUNTIFS($AW$5:AW43,AW43))</f>
        <v>0</v>
      </c>
      <c r="BQ43" s="32">
        <f>IF(B43="","",COUNTIFS($BI$5:$BI$304,"&gt;"&amp;BI43)+COUNTIFS($BI$5:BI43,BI43))</f>
        <v>0</v>
      </c>
      <c r="BR43" s="32">
        <f>IF(B43="","",COUNTIFS($AY$5:$AY$304,"&gt;"&amp;AY43)+COUNTIFS($AY$5:AY43,AY43))</f>
        <v>0</v>
      </c>
      <c r="BS43" s="43">
        <f>IF(B43="","",IF(AH43=0,"Add - no costs entered yet",IF(AR43="","Check - no price yet",IF(AV43&lt;0,"Loss - every sale costs you money",IF(AND(AZ43&lt;&gt;"",AZ43&lt;MinimumWage),"Below - pays under minimum wage",IF(AW43&lt;MarginWarning,"Low margin - re-price it",IF(AND(AF43&lt;&gt;"",K43&lt;&gt;"",K43+AC43&gt;AF43),"Check - too heavy for that postage band",IF(AND(BN43&lt;&gt;"",BN43&gt;PriceReviewDays),"Due - price has not been reviewed",IF(AND(BG43&lt;&gt;"",BG43&gt;0.5),"Check - well above the market","OK")))))))) )</f>
        <v>0</v>
      </c>
    </row>
    <row r="44" spans="1:71">
      <c r="A44" s="38">
        <f>IF(B44="","",ProductPrefix&amp;TEXT(ROW()-4,"0000"))</f>
        <v>0</v>
      </c>
      <c r="S44" s="38">
        <f>IF(B44="","",IF(C44&lt;&gt;"",C44,UPPER(LEFT(IF(D44="","GEN",D44),3))&amp;"-"&amp;TEXT(ROW()-4,"000")))</f>
        <v>0</v>
      </c>
      <c r="T44" s="20">
        <f>IF(B44="","",ROUND(SUMIFS('Material Usage'!$M$5:$M$904,'Material Usage'!$A$5:$A$904,A44)+SUMIFS(Crochet!$AD$5:$AD$84,Crochet!$A$5:$A$84,A44)+SUMIFS(Jewelry!$AF$5:$AF$84,Jewelry!$A$5:$A$84,A44)+SUMIFS(Candles!$AF$5:$AF$84,Candles!$A$5:$A$84,A44)+SUMIFS(Clothing!$AB$5:$AB$84,Clothing!$A$5:$A$84,A44)+SUMIFS(Woodworking!$AC$5:$AC$84,Woodworking!$A$5:$A$84,A44)+SUMIFS(Digital!$X$5:$X$84,Digital!$A$5:$A$84,A44),2))</f>
        <v>0</v>
      </c>
      <c r="U44" s="20">
        <f>IF(B44="","",ROUND(SUMIFS(Labor!$O$5:$O$304,Labor!$A$5:$A$304,A44)+SUMIFS(Crochet!$AG$5:$AG$84,Crochet!$A$5:$A$84,A44)+SUMIFS(Jewelry!$AI$5:$AI$84,Jewelry!$A$5:$A$84,A44)+SUMIFS(Candles!$AI$5:$AI$84,Candles!$A$5:$A$84,A44)+SUMIFS(Clothing!$AE$5:$AE$84,Clothing!$A$5:$A$84,A44)+SUMIFS(Woodworking!$AF$5:$AF$84,Woodworking!$A$5:$A$84,A44)+SUMIFS(Digital!$Z$5:$Z$84,Digital!$A$5:$A$84,A44),2))</f>
        <v>0</v>
      </c>
      <c r="V44" s="36">
        <f>IF(B44="","",ROUND(SUMIFS(Labor!$P$5:$P$304,Labor!$A$5:$A$304,A44)+SUMIFS(Crochet!$AE$5:$AE$84,Crochet!$A$5:$A$84,A44)+SUMIFS(Jewelry!$AG$5:$AG$84,Jewelry!$A$5:$A$84,A44)+SUMIFS(Candles!$AG$5:$AG$84,Candles!$A$5:$A$84,A44)+SUMIFS(Clothing!$AC$5:$AC$84,Clothing!$A$5:$A$84,A44)+SUMIFS(Woodworking!$AD$5:$AD$84,Woodworking!$A$5:$A$84,A44)+SUMIFS(Digital!$Y$5:$Y$84,Digital!$A$5:$A$84,A44),1))</f>
        <v>0</v>
      </c>
      <c r="W44" s="41">
        <f>IF(B44="","",IFERROR(INDEX(DiffTimeFactors,MATCH(G44,DiffNames,0)),1))</f>
        <v>0</v>
      </c>
      <c r="X44" s="36">
        <f>IF(B44="","",ROUND(V44*W44,1))</f>
        <v>0</v>
      </c>
      <c r="Y44" s="41">
        <f>IF(B44="","",ROUND(X44/60,3))</f>
        <v>0</v>
      </c>
      <c r="Z44" s="20">
        <f>IF(B44="","",ROUND(U44*W44,2))</f>
        <v>0</v>
      </c>
      <c r="AA44" s="20">
        <f>IF(B44="","",ROUND(SUMIFS(Labor!$Q$5:$Q$304,Labor!$A$5:$A$304,A44)+SUMIFS(Crochet!$AH$5:$AH$84,Crochet!$A$5:$A$84,A44)+SUMIFS(Jewelry!$AJ$5:$AJ$84,Jewelry!$A$5:$A$84,A44)+SUMIFS(Candles!$AJ$5:$AJ$84,Candles!$A$5:$A$84,A44)+SUMIFS(Clothing!$AF$5:$AF$84,Clothing!$A$5:$A$84,A44)+SUMIFS(Woodworking!$AH$5:$AH$84,Woodworking!$A$5:$A$84,A44)+SUMIFS(Digital!$AA$5:$AA$84,Digital!$A$5:$A$84,A44),2))</f>
        <v>0</v>
      </c>
      <c r="AB44" s="20">
        <f>IF(B44="","",ROUND(IF(I44="Budget",PackBudget,IF(I44="Standard",PackStandard,IF(I44="Gift",PackGift,IF(I44="Premium",PackPremium,DefaultPackaging)))),2))</f>
        <v>0</v>
      </c>
      <c r="AC44" s="36">
        <f>IF(B44="","",IF(I44="Budget",PackWeightBudget,IF(I44="Standard",PackWeightStandard,IF(I44="Gift",PackWeightGift,IF(I44="Premium",PackWeightPremium,0)))))</f>
        <v>0</v>
      </c>
      <c r="AD44" s="20">
        <f>IF(B44="","",IFERROR(INDEX(Shipping!$M$5:$M$64,MATCH(J44,Shipping!$L$5:$L$64,0)),DefaultShipping))</f>
        <v>0</v>
      </c>
      <c r="AE44" s="20">
        <f>IF(B44="","",IFERROR(INDEX(Shipping!$F$5:$F$64,MATCH(J44,Shipping!$L$5:$L$64,0)),0))</f>
        <v>0</v>
      </c>
      <c r="AF44" s="36">
        <f>IF(B44="","",IFERROR(INDEX(Shipping!$C$5:$C$64,MATCH(J44,Shipping!$L$5:$L$64,0)),""))</f>
        <v>0</v>
      </c>
      <c r="AG44" s="20">
        <f>IF(B44="","",ROUND(MAX(0,AD44-AE44),2))</f>
        <v>0</v>
      </c>
      <c r="AH44" s="20">
        <f>IF(B44="","",ROUND(T44+Z44+AA44+AB44+AG44,2))</f>
        <v>0</v>
      </c>
      <c r="AI44" s="33">
        <f>IF(B44="","",IFERROR(INDEX(Channels!$S$5:$S$18,MATCH(IF(H44="",DefaultChannel,H44),Channels!$A$5:$A$18,0)),0))</f>
        <v>0</v>
      </c>
      <c r="AJ44" s="42">
        <f>IF(B44="","",IFERROR(INDEX(Channels!$O$5:$O$18,MATCH(IF(H44="",DefaultChannel,H44),Channels!$A$5:$A$18,0)),"No"))</f>
        <v>0</v>
      </c>
      <c r="AK44" s="20">
        <f>IF(B44="","",ROUND(IFERROR(INDEX(Channels!$T$5:$T$18,MATCH(IF(H44="",DefaultChannel,H44),Channels!$A$5:$A$18,0)),0)+IF(AJ44="Yes",AE44*AI44,0),4))</f>
        <v>0</v>
      </c>
      <c r="AL44" s="33">
        <f>IF(B44="","",IF(OverheadMethod="Share of revenue",IF(RevenueTargetMonth&lt;=0,0,OverheadMonthly/RevenueTargetMonth),0))</f>
        <v>0</v>
      </c>
      <c r="AM44" s="20">
        <f>IF(B44="","",IF(OverheadMethod="Per hour worked",ROUND(OverheadPerHour*Y44,2),IF(OR(OverheadMethod="Per unit made",OverheadMethod="Per order"),OverheadPerUnit,0)))</f>
        <v>0</v>
      </c>
      <c r="AN44" s="33">
        <f>IF(B44="","",IF(N44&lt;&gt;"",N44,TargetRetailMargin))</f>
        <v>0</v>
      </c>
      <c r="AO44" s="41">
        <f>IF(B44="","",1-AN44-AI44-AL44)</f>
        <v>0</v>
      </c>
      <c r="AP44" s="20">
        <f>IF(B44="","",IF(AO44&lt;=0,"",(AH44+AM44+AK44)/AO44))</f>
        <v>0</v>
      </c>
      <c r="AQ44" s="20">
        <f>IF(B44="","",IF(AP44="","Check the settings",ROUND(IF(RoundingRule="None",AP44,IF(RoundingRule="Nearest 0.99",MAX(0.99,CEILING(AP44,1)-0.01),IF(RoundingRule="Nearest 0.95",MAX(0.95,CEILING(AP44,1)-0.05),IF(RoundingRule="Nearest 0.50",CEILING(AP44,0.5),IF(RoundingRule="Nearest 1",CEILING(AP44,1),IF(RoundingRule="Nearest 5",CEILING(AP44,5),IF(RoundingRule="Up to whole 1",CEILING(AP44,1),IF(RoundingRule="Up to whole 5",CEILING(AP44,5),ROUND(AP44,2))))))))),2)))</f>
        <v>0</v>
      </c>
      <c r="AR44" s="20">
        <f>IF(B44="","",IF(M44&lt;&gt;"",M44,IF(ISNUMBER(AQ44),AQ44,"")))</f>
        <v>0</v>
      </c>
      <c r="AS44" s="20">
        <f>IF(B44="","",IF(AR44="","",ROUND(AM44+AR44*AL44,2)))</f>
        <v>0</v>
      </c>
      <c r="AT44" s="20">
        <f>IF(B44="","",IF(AR44="","",ROUND(AH44+AS44,2)))</f>
        <v>0</v>
      </c>
      <c r="AU44" s="20">
        <f>IF(B44="","",IF(AR44="","",ROUND(AR44*AI44+AK44,2)))</f>
        <v>0</v>
      </c>
      <c r="AV44" s="20">
        <f>IF(B44="","",IF(AR44="","",ROUND(AR44-AT44-AU44,2)))</f>
        <v>0</v>
      </c>
      <c r="AW44" s="33">
        <f>IF(B44="","",IF(OR(AR44="",AR44=0),"",AV44/AR44))</f>
        <v>0</v>
      </c>
      <c r="AX44" s="33">
        <f>IF(B44="","",IF(OR(AT44="",AT44=0),"",AV44/AT44))</f>
        <v>0</v>
      </c>
      <c r="AY44" s="20">
        <f>IF(B44="","",IF(OR(Y44="",Y44=0,AV44=""),"",ROUND(AV44/Y44,2)))</f>
        <v>0</v>
      </c>
      <c r="AZ44" s="20">
        <f>IF(B44="","",IF(OR(Y44="",Y44=0,AV44=""),"",ROUND((AV44+Z44)/Y44,2)))</f>
        <v>0</v>
      </c>
      <c r="BA44" s="20">
        <f>IF(B44="","",IF(1-AI44-AL44&lt;=0,"",ROUND((AH44+AM44+AK44)/(1-AI44-AL44),2)))</f>
        <v>0</v>
      </c>
      <c r="BB44" s="20">
        <f>IF(B44="","",IF(AT44="","",ROUND(AT44*2,2)))</f>
        <v>0</v>
      </c>
      <c r="BC44" s="20">
        <f>IF(B44="","",IF(AR44="","",ROUND(AR44*(1-WholesaleDiscount),2)))</f>
        <v>0</v>
      </c>
      <c r="BD44" s="20">
        <f>IF(B44="","",IF(BC44="","",ROUND(BC44-AH44-AM44,2)))</f>
        <v>0</v>
      </c>
      <c r="BE44" s="33">
        <f>IF(B44="","",IF(OR(BC44="",BC44=0),"",BD44/BC44))</f>
        <v>0</v>
      </c>
      <c r="BF44" s="20">
        <f>IF(B44="","",IFERROR(ROUND(AVERAGEIFS(Competitors!$F$5:$F$154,Competitors!$A$5:$A$154,A44),2),""))</f>
        <v>0</v>
      </c>
      <c r="BG44" s="33">
        <f>IF(B44="","",IF(OR(BF44="",BF44=0,AR44=""),"",AR44/BF44-1))</f>
        <v>0</v>
      </c>
      <c r="BH44" s="32">
        <f>IF(B44="","",SUMIFS(Sales!$D$5:$D$804,Sales!$C$5:$C$804,A44))</f>
        <v>0</v>
      </c>
      <c r="BI44" s="20">
        <f>IF(B44="","",ROUND(SUMIFS(Sales!$V$5:$V$804,Sales!$C$5:$C$804,A44),2))</f>
        <v>0</v>
      </c>
      <c r="BJ44" s="20">
        <f>IF(B44="","",ROUND(SUMIFS(Sales!$AG$5:$AG$804,Sales!$C$5:$C$804,A44),2))</f>
        <v>0</v>
      </c>
      <c r="BK44" s="33">
        <f>IF(B44="","",IF(OR(BI44="",BI44=0),"",BJ44/BI44))</f>
        <v>0</v>
      </c>
      <c r="BL44" s="17">
        <f>IF(B44="","",IF(SUMPRODUCT(MAX((Sales!$C$5:$C$804=A44)*Sales!$B$5:$B$804))=0,"",SUMPRODUCT(MAX((Sales!$C$5:$C$804=A44)*Sales!$B$5:$B$804))))</f>
        <v>0</v>
      </c>
      <c r="BM44" s="17">
        <f>IF(B44="","",IF(SUMPRODUCT(MAX(('Price History'!$B$5:$B$304=A44)*'Price History'!$A$5:$A$304))=0,IF(P44="","",P44),SUMPRODUCT(MAX(('Price History'!$B$5:$B$304=A44)*'Price History'!$A$5:$A$304))))</f>
        <v>0</v>
      </c>
      <c r="BN44" s="32">
        <f>IF(B44="","",IF(BM44="","",TodayDate-BM44))</f>
        <v>0</v>
      </c>
      <c r="BO44" s="32">
        <f>IF(B44="","",COUNTIFS($AV$5:$AV$304,"&gt;"&amp;AV44)+COUNTIFS($AV$5:AV44,AV44))</f>
        <v>0</v>
      </c>
      <c r="BP44" s="32">
        <f>IF(B44="","",COUNTIFS($AW$5:$AW$304,"&gt;"&amp;AW44)+COUNTIFS($AW$5:AW44,AW44))</f>
        <v>0</v>
      </c>
      <c r="BQ44" s="32">
        <f>IF(B44="","",COUNTIFS($BI$5:$BI$304,"&gt;"&amp;BI44)+COUNTIFS($BI$5:BI44,BI44))</f>
        <v>0</v>
      </c>
      <c r="BR44" s="32">
        <f>IF(B44="","",COUNTIFS($AY$5:$AY$304,"&gt;"&amp;AY44)+COUNTIFS($AY$5:AY44,AY44))</f>
        <v>0</v>
      </c>
      <c r="BS44" s="43">
        <f>IF(B44="","",IF(AH44=0,"Add - no costs entered yet",IF(AR44="","Check - no price yet",IF(AV44&lt;0,"Loss - every sale costs you money",IF(AND(AZ44&lt;&gt;"",AZ44&lt;MinimumWage),"Below - pays under minimum wage",IF(AW44&lt;MarginWarning,"Low margin - re-price it",IF(AND(AF44&lt;&gt;"",K44&lt;&gt;"",K44+AC44&gt;AF44),"Check - too heavy for that postage band",IF(AND(BN44&lt;&gt;"",BN44&gt;PriceReviewDays),"Due - price has not been reviewed",IF(AND(BG44&lt;&gt;"",BG44&gt;0.5),"Check - well above the market","OK")))))))) )</f>
        <v>0</v>
      </c>
    </row>
    <row r="45" spans="1:71">
      <c r="A45" s="38">
        <f>IF(B45="","",ProductPrefix&amp;TEXT(ROW()-4,"0000"))</f>
        <v>0</v>
      </c>
      <c r="S45" s="38">
        <f>IF(B45="","",IF(C45&lt;&gt;"",C45,UPPER(LEFT(IF(D45="","GEN",D45),3))&amp;"-"&amp;TEXT(ROW()-4,"000")))</f>
        <v>0</v>
      </c>
      <c r="T45" s="20">
        <f>IF(B45="","",ROUND(SUMIFS('Material Usage'!$M$5:$M$904,'Material Usage'!$A$5:$A$904,A45)+SUMIFS(Crochet!$AD$5:$AD$84,Crochet!$A$5:$A$84,A45)+SUMIFS(Jewelry!$AF$5:$AF$84,Jewelry!$A$5:$A$84,A45)+SUMIFS(Candles!$AF$5:$AF$84,Candles!$A$5:$A$84,A45)+SUMIFS(Clothing!$AB$5:$AB$84,Clothing!$A$5:$A$84,A45)+SUMIFS(Woodworking!$AC$5:$AC$84,Woodworking!$A$5:$A$84,A45)+SUMIFS(Digital!$X$5:$X$84,Digital!$A$5:$A$84,A45),2))</f>
        <v>0</v>
      </c>
      <c r="U45" s="20">
        <f>IF(B45="","",ROUND(SUMIFS(Labor!$O$5:$O$304,Labor!$A$5:$A$304,A45)+SUMIFS(Crochet!$AG$5:$AG$84,Crochet!$A$5:$A$84,A45)+SUMIFS(Jewelry!$AI$5:$AI$84,Jewelry!$A$5:$A$84,A45)+SUMIFS(Candles!$AI$5:$AI$84,Candles!$A$5:$A$84,A45)+SUMIFS(Clothing!$AE$5:$AE$84,Clothing!$A$5:$A$84,A45)+SUMIFS(Woodworking!$AF$5:$AF$84,Woodworking!$A$5:$A$84,A45)+SUMIFS(Digital!$Z$5:$Z$84,Digital!$A$5:$A$84,A45),2))</f>
        <v>0</v>
      </c>
      <c r="V45" s="36">
        <f>IF(B45="","",ROUND(SUMIFS(Labor!$P$5:$P$304,Labor!$A$5:$A$304,A45)+SUMIFS(Crochet!$AE$5:$AE$84,Crochet!$A$5:$A$84,A45)+SUMIFS(Jewelry!$AG$5:$AG$84,Jewelry!$A$5:$A$84,A45)+SUMIFS(Candles!$AG$5:$AG$84,Candles!$A$5:$A$84,A45)+SUMIFS(Clothing!$AC$5:$AC$84,Clothing!$A$5:$A$84,A45)+SUMIFS(Woodworking!$AD$5:$AD$84,Woodworking!$A$5:$A$84,A45)+SUMIFS(Digital!$Y$5:$Y$84,Digital!$A$5:$A$84,A45),1))</f>
        <v>0</v>
      </c>
      <c r="W45" s="41">
        <f>IF(B45="","",IFERROR(INDEX(DiffTimeFactors,MATCH(G45,DiffNames,0)),1))</f>
        <v>0</v>
      </c>
      <c r="X45" s="36">
        <f>IF(B45="","",ROUND(V45*W45,1))</f>
        <v>0</v>
      </c>
      <c r="Y45" s="41">
        <f>IF(B45="","",ROUND(X45/60,3))</f>
        <v>0</v>
      </c>
      <c r="Z45" s="20">
        <f>IF(B45="","",ROUND(U45*W45,2))</f>
        <v>0</v>
      </c>
      <c r="AA45" s="20">
        <f>IF(B45="","",ROUND(SUMIFS(Labor!$Q$5:$Q$304,Labor!$A$5:$A$304,A45)+SUMIFS(Crochet!$AH$5:$AH$84,Crochet!$A$5:$A$84,A45)+SUMIFS(Jewelry!$AJ$5:$AJ$84,Jewelry!$A$5:$A$84,A45)+SUMIFS(Candles!$AJ$5:$AJ$84,Candles!$A$5:$A$84,A45)+SUMIFS(Clothing!$AF$5:$AF$84,Clothing!$A$5:$A$84,A45)+SUMIFS(Woodworking!$AH$5:$AH$84,Woodworking!$A$5:$A$84,A45)+SUMIFS(Digital!$AA$5:$AA$84,Digital!$A$5:$A$84,A45),2))</f>
        <v>0</v>
      </c>
      <c r="AB45" s="20">
        <f>IF(B45="","",ROUND(IF(I45="Budget",PackBudget,IF(I45="Standard",PackStandard,IF(I45="Gift",PackGift,IF(I45="Premium",PackPremium,DefaultPackaging)))),2))</f>
        <v>0</v>
      </c>
      <c r="AC45" s="36">
        <f>IF(B45="","",IF(I45="Budget",PackWeightBudget,IF(I45="Standard",PackWeightStandard,IF(I45="Gift",PackWeightGift,IF(I45="Premium",PackWeightPremium,0)))))</f>
        <v>0</v>
      </c>
      <c r="AD45" s="20">
        <f>IF(B45="","",IFERROR(INDEX(Shipping!$M$5:$M$64,MATCH(J45,Shipping!$L$5:$L$64,0)),DefaultShipping))</f>
        <v>0</v>
      </c>
      <c r="AE45" s="20">
        <f>IF(B45="","",IFERROR(INDEX(Shipping!$F$5:$F$64,MATCH(J45,Shipping!$L$5:$L$64,0)),0))</f>
        <v>0</v>
      </c>
      <c r="AF45" s="36">
        <f>IF(B45="","",IFERROR(INDEX(Shipping!$C$5:$C$64,MATCH(J45,Shipping!$L$5:$L$64,0)),""))</f>
        <v>0</v>
      </c>
      <c r="AG45" s="20">
        <f>IF(B45="","",ROUND(MAX(0,AD45-AE45),2))</f>
        <v>0</v>
      </c>
      <c r="AH45" s="20">
        <f>IF(B45="","",ROUND(T45+Z45+AA45+AB45+AG45,2))</f>
        <v>0</v>
      </c>
      <c r="AI45" s="33">
        <f>IF(B45="","",IFERROR(INDEX(Channels!$S$5:$S$18,MATCH(IF(H45="",DefaultChannel,H45),Channels!$A$5:$A$18,0)),0))</f>
        <v>0</v>
      </c>
      <c r="AJ45" s="42">
        <f>IF(B45="","",IFERROR(INDEX(Channels!$O$5:$O$18,MATCH(IF(H45="",DefaultChannel,H45),Channels!$A$5:$A$18,0)),"No"))</f>
        <v>0</v>
      </c>
      <c r="AK45" s="20">
        <f>IF(B45="","",ROUND(IFERROR(INDEX(Channels!$T$5:$T$18,MATCH(IF(H45="",DefaultChannel,H45),Channels!$A$5:$A$18,0)),0)+IF(AJ45="Yes",AE45*AI45,0),4))</f>
        <v>0</v>
      </c>
      <c r="AL45" s="33">
        <f>IF(B45="","",IF(OverheadMethod="Share of revenue",IF(RevenueTargetMonth&lt;=0,0,OverheadMonthly/RevenueTargetMonth),0))</f>
        <v>0</v>
      </c>
      <c r="AM45" s="20">
        <f>IF(B45="","",IF(OverheadMethod="Per hour worked",ROUND(OverheadPerHour*Y45,2),IF(OR(OverheadMethod="Per unit made",OverheadMethod="Per order"),OverheadPerUnit,0)))</f>
        <v>0</v>
      </c>
      <c r="AN45" s="33">
        <f>IF(B45="","",IF(N45&lt;&gt;"",N45,TargetRetailMargin))</f>
        <v>0</v>
      </c>
      <c r="AO45" s="41">
        <f>IF(B45="","",1-AN45-AI45-AL45)</f>
        <v>0</v>
      </c>
      <c r="AP45" s="20">
        <f>IF(B45="","",IF(AO45&lt;=0,"",(AH45+AM45+AK45)/AO45))</f>
        <v>0</v>
      </c>
      <c r="AQ45" s="20">
        <f>IF(B45="","",IF(AP45="","Check the settings",ROUND(IF(RoundingRule="None",AP45,IF(RoundingRule="Nearest 0.99",MAX(0.99,CEILING(AP45,1)-0.01),IF(RoundingRule="Nearest 0.95",MAX(0.95,CEILING(AP45,1)-0.05),IF(RoundingRule="Nearest 0.50",CEILING(AP45,0.5),IF(RoundingRule="Nearest 1",CEILING(AP45,1),IF(RoundingRule="Nearest 5",CEILING(AP45,5),IF(RoundingRule="Up to whole 1",CEILING(AP45,1),IF(RoundingRule="Up to whole 5",CEILING(AP45,5),ROUND(AP45,2))))))))),2)))</f>
        <v>0</v>
      </c>
      <c r="AR45" s="20">
        <f>IF(B45="","",IF(M45&lt;&gt;"",M45,IF(ISNUMBER(AQ45),AQ45,"")))</f>
        <v>0</v>
      </c>
      <c r="AS45" s="20">
        <f>IF(B45="","",IF(AR45="","",ROUND(AM45+AR45*AL45,2)))</f>
        <v>0</v>
      </c>
      <c r="AT45" s="20">
        <f>IF(B45="","",IF(AR45="","",ROUND(AH45+AS45,2)))</f>
        <v>0</v>
      </c>
      <c r="AU45" s="20">
        <f>IF(B45="","",IF(AR45="","",ROUND(AR45*AI45+AK45,2)))</f>
        <v>0</v>
      </c>
      <c r="AV45" s="20">
        <f>IF(B45="","",IF(AR45="","",ROUND(AR45-AT45-AU45,2)))</f>
        <v>0</v>
      </c>
      <c r="AW45" s="33">
        <f>IF(B45="","",IF(OR(AR45="",AR45=0),"",AV45/AR45))</f>
        <v>0</v>
      </c>
      <c r="AX45" s="33">
        <f>IF(B45="","",IF(OR(AT45="",AT45=0),"",AV45/AT45))</f>
        <v>0</v>
      </c>
      <c r="AY45" s="20">
        <f>IF(B45="","",IF(OR(Y45="",Y45=0,AV45=""),"",ROUND(AV45/Y45,2)))</f>
        <v>0</v>
      </c>
      <c r="AZ45" s="20">
        <f>IF(B45="","",IF(OR(Y45="",Y45=0,AV45=""),"",ROUND((AV45+Z45)/Y45,2)))</f>
        <v>0</v>
      </c>
      <c r="BA45" s="20">
        <f>IF(B45="","",IF(1-AI45-AL45&lt;=0,"",ROUND((AH45+AM45+AK45)/(1-AI45-AL45),2)))</f>
        <v>0</v>
      </c>
      <c r="BB45" s="20">
        <f>IF(B45="","",IF(AT45="","",ROUND(AT45*2,2)))</f>
        <v>0</v>
      </c>
      <c r="BC45" s="20">
        <f>IF(B45="","",IF(AR45="","",ROUND(AR45*(1-WholesaleDiscount),2)))</f>
        <v>0</v>
      </c>
      <c r="BD45" s="20">
        <f>IF(B45="","",IF(BC45="","",ROUND(BC45-AH45-AM45,2)))</f>
        <v>0</v>
      </c>
      <c r="BE45" s="33">
        <f>IF(B45="","",IF(OR(BC45="",BC45=0),"",BD45/BC45))</f>
        <v>0</v>
      </c>
      <c r="BF45" s="20">
        <f>IF(B45="","",IFERROR(ROUND(AVERAGEIFS(Competitors!$F$5:$F$154,Competitors!$A$5:$A$154,A45),2),""))</f>
        <v>0</v>
      </c>
      <c r="BG45" s="33">
        <f>IF(B45="","",IF(OR(BF45="",BF45=0,AR45=""),"",AR45/BF45-1))</f>
        <v>0</v>
      </c>
      <c r="BH45" s="32">
        <f>IF(B45="","",SUMIFS(Sales!$D$5:$D$804,Sales!$C$5:$C$804,A45))</f>
        <v>0</v>
      </c>
      <c r="BI45" s="20">
        <f>IF(B45="","",ROUND(SUMIFS(Sales!$V$5:$V$804,Sales!$C$5:$C$804,A45),2))</f>
        <v>0</v>
      </c>
      <c r="BJ45" s="20">
        <f>IF(B45="","",ROUND(SUMIFS(Sales!$AG$5:$AG$804,Sales!$C$5:$C$804,A45),2))</f>
        <v>0</v>
      </c>
      <c r="BK45" s="33">
        <f>IF(B45="","",IF(OR(BI45="",BI45=0),"",BJ45/BI45))</f>
        <v>0</v>
      </c>
      <c r="BL45" s="17">
        <f>IF(B45="","",IF(SUMPRODUCT(MAX((Sales!$C$5:$C$804=A45)*Sales!$B$5:$B$804))=0,"",SUMPRODUCT(MAX((Sales!$C$5:$C$804=A45)*Sales!$B$5:$B$804))))</f>
        <v>0</v>
      </c>
      <c r="BM45" s="17">
        <f>IF(B45="","",IF(SUMPRODUCT(MAX(('Price History'!$B$5:$B$304=A45)*'Price History'!$A$5:$A$304))=0,IF(P45="","",P45),SUMPRODUCT(MAX(('Price History'!$B$5:$B$304=A45)*'Price History'!$A$5:$A$304))))</f>
        <v>0</v>
      </c>
      <c r="BN45" s="32">
        <f>IF(B45="","",IF(BM45="","",TodayDate-BM45))</f>
        <v>0</v>
      </c>
      <c r="BO45" s="32">
        <f>IF(B45="","",COUNTIFS($AV$5:$AV$304,"&gt;"&amp;AV45)+COUNTIFS($AV$5:AV45,AV45))</f>
        <v>0</v>
      </c>
      <c r="BP45" s="32">
        <f>IF(B45="","",COUNTIFS($AW$5:$AW$304,"&gt;"&amp;AW45)+COUNTIFS($AW$5:AW45,AW45))</f>
        <v>0</v>
      </c>
      <c r="BQ45" s="32">
        <f>IF(B45="","",COUNTIFS($BI$5:$BI$304,"&gt;"&amp;BI45)+COUNTIFS($BI$5:BI45,BI45))</f>
        <v>0</v>
      </c>
      <c r="BR45" s="32">
        <f>IF(B45="","",COUNTIFS($AY$5:$AY$304,"&gt;"&amp;AY45)+COUNTIFS($AY$5:AY45,AY45))</f>
        <v>0</v>
      </c>
      <c r="BS45" s="43">
        <f>IF(B45="","",IF(AH45=0,"Add - no costs entered yet",IF(AR45="","Check - no price yet",IF(AV45&lt;0,"Loss - every sale costs you money",IF(AND(AZ45&lt;&gt;"",AZ45&lt;MinimumWage),"Below - pays under minimum wage",IF(AW45&lt;MarginWarning,"Low margin - re-price it",IF(AND(AF45&lt;&gt;"",K45&lt;&gt;"",K45+AC45&gt;AF45),"Check - too heavy for that postage band",IF(AND(BN45&lt;&gt;"",BN45&gt;PriceReviewDays),"Due - price has not been reviewed",IF(AND(BG45&lt;&gt;"",BG45&gt;0.5),"Check - well above the market","OK")))))))) )</f>
        <v>0</v>
      </c>
    </row>
    <row r="46" spans="1:71">
      <c r="A46" s="38">
        <f>IF(B46="","",ProductPrefix&amp;TEXT(ROW()-4,"0000"))</f>
        <v>0</v>
      </c>
      <c r="S46" s="38">
        <f>IF(B46="","",IF(C46&lt;&gt;"",C46,UPPER(LEFT(IF(D46="","GEN",D46),3))&amp;"-"&amp;TEXT(ROW()-4,"000")))</f>
        <v>0</v>
      </c>
      <c r="T46" s="20">
        <f>IF(B46="","",ROUND(SUMIFS('Material Usage'!$M$5:$M$904,'Material Usage'!$A$5:$A$904,A46)+SUMIFS(Crochet!$AD$5:$AD$84,Crochet!$A$5:$A$84,A46)+SUMIFS(Jewelry!$AF$5:$AF$84,Jewelry!$A$5:$A$84,A46)+SUMIFS(Candles!$AF$5:$AF$84,Candles!$A$5:$A$84,A46)+SUMIFS(Clothing!$AB$5:$AB$84,Clothing!$A$5:$A$84,A46)+SUMIFS(Woodworking!$AC$5:$AC$84,Woodworking!$A$5:$A$84,A46)+SUMIFS(Digital!$X$5:$X$84,Digital!$A$5:$A$84,A46),2))</f>
        <v>0</v>
      </c>
      <c r="U46" s="20">
        <f>IF(B46="","",ROUND(SUMIFS(Labor!$O$5:$O$304,Labor!$A$5:$A$304,A46)+SUMIFS(Crochet!$AG$5:$AG$84,Crochet!$A$5:$A$84,A46)+SUMIFS(Jewelry!$AI$5:$AI$84,Jewelry!$A$5:$A$84,A46)+SUMIFS(Candles!$AI$5:$AI$84,Candles!$A$5:$A$84,A46)+SUMIFS(Clothing!$AE$5:$AE$84,Clothing!$A$5:$A$84,A46)+SUMIFS(Woodworking!$AF$5:$AF$84,Woodworking!$A$5:$A$84,A46)+SUMIFS(Digital!$Z$5:$Z$84,Digital!$A$5:$A$84,A46),2))</f>
        <v>0</v>
      </c>
      <c r="V46" s="36">
        <f>IF(B46="","",ROUND(SUMIFS(Labor!$P$5:$P$304,Labor!$A$5:$A$304,A46)+SUMIFS(Crochet!$AE$5:$AE$84,Crochet!$A$5:$A$84,A46)+SUMIFS(Jewelry!$AG$5:$AG$84,Jewelry!$A$5:$A$84,A46)+SUMIFS(Candles!$AG$5:$AG$84,Candles!$A$5:$A$84,A46)+SUMIFS(Clothing!$AC$5:$AC$84,Clothing!$A$5:$A$84,A46)+SUMIFS(Woodworking!$AD$5:$AD$84,Woodworking!$A$5:$A$84,A46)+SUMIFS(Digital!$Y$5:$Y$84,Digital!$A$5:$A$84,A46),1))</f>
        <v>0</v>
      </c>
      <c r="W46" s="41">
        <f>IF(B46="","",IFERROR(INDEX(DiffTimeFactors,MATCH(G46,DiffNames,0)),1))</f>
        <v>0</v>
      </c>
      <c r="X46" s="36">
        <f>IF(B46="","",ROUND(V46*W46,1))</f>
        <v>0</v>
      </c>
      <c r="Y46" s="41">
        <f>IF(B46="","",ROUND(X46/60,3))</f>
        <v>0</v>
      </c>
      <c r="Z46" s="20">
        <f>IF(B46="","",ROUND(U46*W46,2))</f>
        <v>0</v>
      </c>
      <c r="AA46" s="20">
        <f>IF(B46="","",ROUND(SUMIFS(Labor!$Q$5:$Q$304,Labor!$A$5:$A$304,A46)+SUMIFS(Crochet!$AH$5:$AH$84,Crochet!$A$5:$A$84,A46)+SUMIFS(Jewelry!$AJ$5:$AJ$84,Jewelry!$A$5:$A$84,A46)+SUMIFS(Candles!$AJ$5:$AJ$84,Candles!$A$5:$A$84,A46)+SUMIFS(Clothing!$AF$5:$AF$84,Clothing!$A$5:$A$84,A46)+SUMIFS(Woodworking!$AH$5:$AH$84,Woodworking!$A$5:$A$84,A46)+SUMIFS(Digital!$AA$5:$AA$84,Digital!$A$5:$A$84,A46),2))</f>
        <v>0</v>
      </c>
      <c r="AB46" s="20">
        <f>IF(B46="","",ROUND(IF(I46="Budget",PackBudget,IF(I46="Standard",PackStandard,IF(I46="Gift",PackGift,IF(I46="Premium",PackPremium,DefaultPackaging)))),2))</f>
        <v>0</v>
      </c>
      <c r="AC46" s="36">
        <f>IF(B46="","",IF(I46="Budget",PackWeightBudget,IF(I46="Standard",PackWeightStandard,IF(I46="Gift",PackWeightGift,IF(I46="Premium",PackWeightPremium,0)))))</f>
        <v>0</v>
      </c>
      <c r="AD46" s="20">
        <f>IF(B46="","",IFERROR(INDEX(Shipping!$M$5:$M$64,MATCH(J46,Shipping!$L$5:$L$64,0)),DefaultShipping))</f>
        <v>0</v>
      </c>
      <c r="AE46" s="20">
        <f>IF(B46="","",IFERROR(INDEX(Shipping!$F$5:$F$64,MATCH(J46,Shipping!$L$5:$L$64,0)),0))</f>
        <v>0</v>
      </c>
      <c r="AF46" s="36">
        <f>IF(B46="","",IFERROR(INDEX(Shipping!$C$5:$C$64,MATCH(J46,Shipping!$L$5:$L$64,0)),""))</f>
        <v>0</v>
      </c>
      <c r="AG46" s="20">
        <f>IF(B46="","",ROUND(MAX(0,AD46-AE46),2))</f>
        <v>0</v>
      </c>
      <c r="AH46" s="20">
        <f>IF(B46="","",ROUND(T46+Z46+AA46+AB46+AG46,2))</f>
        <v>0</v>
      </c>
      <c r="AI46" s="33">
        <f>IF(B46="","",IFERROR(INDEX(Channels!$S$5:$S$18,MATCH(IF(H46="",DefaultChannel,H46),Channels!$A$5:$A$18,0)),0))</f>
        <v>0</v>
      </c>
      <c r="AJ46" s="42">
        <f>IF(B46="","",IFERROR(INDEX(Channels!$O$5:$O$18,MATCH(IF(H46="",DefaultChannel,H46),Channels!$A$5:$A$18,0)),"No"))</f>
        <v>0</v>
      </c>
      <c r="AK46" s="20">
        <f>IF(B46="","",ROUND(IFERROR(INDEX(Channels!$T$5:$T$18,MATCH(IF(H46="",DefaultChannel,H46),Channels!$A$5:$A$18,0)),0)+IF(AJ46="Yes",AE46*AI46,0),4))</f>
        <v>0</v>
      </c>
      <c r="AL46" s="33">
        <f>IF(B46="","",IF(OverheadMethod="Share of revenue",IF(RevenueTargetMonth&lt;=0,0,OverheadMonthly/RevenueTargetMonth),0))</f>
        <v>0</v>
      </c>
      <c r="AM46" s="20">
        <f>IF(B46="","",IF(OverheadMethod="Per hour worked",ROUND(OverheadPerHour*Y46,2),IF(OR(OverheadMethod="Per unit made",OverheadMethod="Per order"),OverheadPerUnit,0)))</f>
        <v>0</v>
      </c>
      <c r="AN46" s="33">
        <f>IF(B46="","",IF(N46&lt;&gt;"",N46,TargetRetailMargin))</f>
        <v>0</v>
      </c>
      <c r="AO46" s="41">
        <f>IF(B46="","",1-AN46-AI46-AL46)</f>
        <v>0</v>
      </c>
      <c r="AP46" s="20">
        <f>IF(B46="","",IF(AO46&lt;=0,"",(AH46+AM46+AK46)/AO46))</f>
        <v>0</v>
      </c>
      <c r="AQ46" s="20">
        <f>IF(B46="","",IF(AP46="","Check the settings",ROUND(IF(RoundingRule="None",AP46,IF(RoundingRule="Nearest 0.99",MAX(0.99,CEILING(AP46,1)-0.01),IF(RoundingRule="Nearest 0.95",MAX(0.95,CEILING(AP46,1)-0.05),IF(RoundingRule="Nearest 0.50",CEILING(AP46,0.5),IF(RoundingRule="Nearest 1",CEILING(AP46,1),IF(RoundingRule="Nearest 5",CEILING(AP46,5),IF(RoundingRule="Up to whole 1",CEILING(AP46,1),IF(RoundingRule="Up to whole 5",CEILING(AP46,5),ROUND(AP46,2))))))))),2)))</f>
        <v>0</v>
      </c>
      <c r="AR46" s="20">
        <f>IF(B46="","",IF(M46&lt;&gt;"",M46,IF(ISNUMBER(AQ46),AQ46,"")))</f>
        <v>0</v>
      </c>
      <c r="AS46" s="20">
        <f>IF(B46="","",IF(AR46="","",ROUND(AM46+AR46*AL46,2)))</f>
        <v>0</v>
      </c>
      <c r="AT46" s="20">
        <f>IF(B46="","",IF(AR46="","",ROUND(AH46+AS46,2)))</f>
        <v>0</v>
      </c>
      <c r="AU46" s="20">
        <f>IF(B46="","",IF(AR46="","",ROUND(AR46*AI46+AK46,2)))</f>
        <v>0</v>
      </c>
      <c r="AV46" s="20">
        <f>IF(B46="","",IF(AR46="","",ROUND(AR46-AT46-AU46,2)))</f>
        <v>0</v>
      </c>
      <c r="AW46" s="33">
        <f>IF(B46="","",IF(OR(AR46="",AR46=0),"",AV46/AR46))</f>
        <v>0</v>
      </c>
      <c r="AX46" s="33">
        <f>IF(B46="","",IF(OR(AT46="",AT46=0),"",AV46/AT46))</f>
        <v>0</v>
      </c>
      <c r="AY46" s="20">
        <f>IF(B46="","",IF(OR(Y46="",Y46=0,AV46=""),"",ROUND(AV46/Y46,2)))</f>
        <v>0</v>
      </c>
      <c r="AZ46" s="20">
        <f>IF(B46="","",IF(OR(Y46="",Y46=0,AV46=""),"",ROUND((AV46+Z46)/Y46,2)))</f>
        <v>0</v>
      </c>
      <c r="BA46" s="20">
        <f>IF(B46="","",IF(1-AI46-AL46&lt;=0,"",ROUND((AH46+AM46+AK46)/(1-AI46-AL46),2)))</f>
        <v>0</v>
      </c>
      <c r="BB46" s="20">
        <f>IF(B46="","",IF(AT46="","",ROUND(AT46*2,2)))</f>
        <v>0</v>
      </c>
      <c r="BC46" s="20">
        <f>IF(B46="","",IF(AR46="","",ROUND(AR46*(1-WholesaleDiscount),2)))</f>
        <v>0</v>
      </c>
      <c r="BD46" s="20">
        <f>IF(B46="","",IF(BC46="","",ROUND(BC46-AH46-AM46,2)))</f>
        <v>0</v>
      </c>
      <c r="BE46" s="33">
        <f>IF(B46="","",IF(OR(BC46="",BC46=0),"",BD46/BC46))</f>
        <v>0</v>
      </c>
      <c r="BF46" s="20">
        <f>IF(B46="","",IFERROR(ROUND(AVERAGEIFS(Competitors!$F$5:$F$154,Competitors!$A$5:$A$154,A46),2),""))</f>
        <v>0</v>
      </c>
      <c r="BG46" s="33">
        <f>IF(B46="","",IF(OR(BF46="",BF46=0,AR46=""),"",AR46/BF46-1))</f>
        <v>0</v>
      </c>
      <c r="BH46" s="32">
        <f>IF(B46="","",SUMIFS(Sales!$D$5:$D$804,Sales!$C$5:$C$804,A46))</f>
        <v>0</v>
      </c>
      <c r="BI46" s="20">
        <f>IF(B46="","",ROUND(SUMIFS(Sales!$V$5:$V$804,Sales!$C$5:$C$804,A46),2))</f>
        <v>0</v>
      </c>
      <c r="BJ46" s="20">
        <f>IF(B46="","",ROUND(SUMIFS(Sales!$AG$5:$AG$804,Sales!$C$5:$C$804,A46),2))</f>
        <v>0</v>
      </c>
      <c r="BK46" s="33">
        <f>IF(B46="","",IF(OR(BI46="",BI46=0),"",BJ46/BI46))</f>
        <v>0</v>
      </c>
      <c r="BL46" s="17">
        <f>IF(B46="","",IF(SUMPRODUCT(MAX((Sales!$C$5:$C$804=A46)*Sales!$B$5:$B$804))=0,"",SUMPRODUCT(MAX((Sales!$C$5:$C$804=A46)*Sales!$B$5:$B$804))))</f>
        <v>0</v>
      </c>
      <c r="BM46" s="17">
        <f>IF(B46="","",IF(SUMPRODUCT(MAX(('Price History'!$B$5:$B$304=A46)*'Price History'!$A$5:$A$304))=0,IF(P46="","",P46),SUMPRODUCT(MAX(('Price History'!$B$5:$B$304=A46)*'Price History'!$A$5:$A$304))))</f>
        <v>0</v>
      </c>
      <c r="BN46" s="32">
        <f>IF(B46="","",IF(BM46="","",TodayDate-BM46))</f>
        <v>0</v>
      </c>
      <c r="BO46" s="32">
        <f>IF(B46="","",COUNTIFS($AV$5:$AV$304,"&gt;"&amp;AV46)+COUNTIFS($AV$5:AV46,AV46))</f>
        <v>0</v>
      </c>
      <c r="BP46" s="32">
        <f>IF(B46="","",COUNTIFS($AW$5:$AW$304,"&gt;"&amp;AW46)+COUNTIFS($AW$5:AW46,AW46))</f>
        <v>0</v>
      </c>
      <c r="BQ46" s="32">
        <f>IF(B46="","",COUNTIFS($BI$5:$BI$304,"&gt;"&amp;BI46)+COUNTIFS($BI$5:BI46,BI46))</f>
        <v>0</v>
      </c>
      <c r="BR46" s="32">
        <f>IF(B46="","",COUNTIFS($AY$5:$AY$304,"&gt;"&amp;AY46)+COUNTIFS($AY$5:AY46,AY46))</f>
        <v>0</v>
      </c>
      <c r="BS46" s="43">
        <f>IF(B46="","",IF(AH46=0,"Add - no costs entered yet",IF(AR46="","Check - no price yet",IF(AV46&lt;0,"Loss - every sale costs you money",IF(AND(AZ46&lt;&gt;"",AZ46&lt;MinimumWage),"Below - pays under minimum wage",IF(AW46&lt;MarginWarning,"Low margin - re-price it",IF(AND(AF46&lt;&gt;"",K46&lt;&gt;"",K46+AC46&gt;AF46),"Check - too heavy for that postage band",IF(AND(BN46&lt;&gt;"",BN46&gt;PriceReviewDays),"Due - price has not been reviewed",IF(AND(BG46&lt;&gt;"",BG46&gt;0.5),"Check - well above the market","OK")))))))) )</f>
        <v>0</v>
      </c>
    </row>
    <row r="47" spans="1:71">
      <c r="A47" s="38">
        <f>IF(B47="","",ProductPrefix&amp;TEXT(ROW()-4,"0000"))</f>
        <v>0</v>
      </c>
      <c r="S47" s="38">
        <f>IF(B47="","",IF(C47&lt;&gt;"",C47,UPPER(LEFT(IF(D47="","GEN",D47),3))&amp;"-"&amp;TEXT(ROW()-4,"000")))</f>
        <v>0</v>
      </c>
      <c r="T47" s="20">
        <f>IF(B47="","",ROUND(SUMIFS('Material Usage'!$M$5:$M$904,'Material Usage'!$A$5:$A$904,A47)+SUMIFS(Crochet!$AD$5:$AD$84,Crochet!$A$5:$A$84,A47)+SUMIFS(Jewelry!$AF$5:$AF$84,Jewelry!$A$5:$A$84,A47)+SUMIFS(Candles!$AF$5:$AF$84,Candles!$A$5:$A$84,A47)+SUMIFS(Clothing!$AB$5:$AB$84,Clothing!$A$5:$A$84,A47)+SUMIFS(Woodworking!$AC$5:$AC$84,Woodworking!$A$5:$A$84,A47)+SUMIFS(Digital!$X$5:$X$84,Digital!$A$5:$A$84,A47),2))</f>
        <v>0</v>
      </c>
      <c r="U47" s="20">
        <f>IF(B47="","",ROUND(SUMIFS(Labor!$O$5:$O$304,Labor!$A$5:$A$304,A47)+SUMIFS(Crochet!$AG$5:$AG$84,Crochet!$A$5:$A$84,A47)+SUMIFS(Jewelry!$AI$5:$AI$84,Jewelry!$A$5:$A$84,A47)+SUMIFS(Candles!$AI$5:$AI$84,Candles!$A$5:$A$84,A47)+SUMIFS(Clothing!$AE$5:$AE$84,Clothing!$A$5:$A$84,A47)+SUMIFS(Woodworking!$AF$5:$AF$84,Woodworking!$A$5:$A$84,A47)+SUMIFS(Digital!$Z$5:$Z$84,Digital!$A$5:$A$84,A47),2))</f>
        <v>0</v>
      </c>
      <c r="V47" s="36">
        <f>IF(B47="","",ROUND(SUMIFS(Labor!$P$5:$P$304,Labor!$A$5:$A$304,A47)+SUMIFS(Crochet!$AE$5:$AE$84,Crochet!$A$5:$A$84,A47)+SUMIFS(Jewelry!$AG$5:$AG$84,Jewelry!$A$5:$A$84,A47)+SUMIFS(Candles!$AG$5:$AG$84,Candles!$A$5:$A$84,A47)+SUMIFS(Clothing!$AC$5:$AC$84,Clothing!$A$5:$A$84,A47)+SUMIFS(Woodworking!$AD$5:$AD$84,Woodworking!$A$5:$A$84,A47)+SUMIFS(Digital!$Y$5:$Y$84,Digital!$A$5:$A$84,A47),1))</f>
        <v>0</v>
      </c>
      <c r="W47" s="41">
        <f>IF(B47="","",IFERROR(INDEX(DiffTimeFactors,MATCH(G47,DiffNames,0)),1))</f>
        <v>0</v>
      </c>
      <c r="X47" s="36">
        <f>IF(B47="","",ROUND(V47*W47,1))</f>
        <v>0</v>
      </c>
      <c r="Y47" s="41">
        <f>IF(B47="","",ROUND(X47/60,3))</f>
        <v>0</v>
      </c>
      <c r="Z47" s="20">
        <f>IF(B47="","",ROUND(U47*W47,2))</f>
        <v>0</v>
      </c>
      <c r="AA47" s="20">
        <f>IF(B47="","",ROUND(SUMIFS(Labor!$Q$5:$Q$304,Labor!$A$5:$A$304,A47)+SUMIFS(Crochet!$AH$5:$AH$84,Crochet!$A$5:$A$84,A47)+SUMIFS(Jewelry!$AJ$5:$AJ$84,Jewelry!$A$5:$A$84,A47)+SUMIFS(Candles!$AJ$5:$AJ$84,Candles!$A$5:$A$84,A47)+SUMIFS(Clothing!$AF$5:$AF$84,Clothing!$A$5:$A$84,A47)+SUMIFS(Woodworking!$AH$5:$AH$84,Woodworking!$A$5:$A$84,A47)+SUMIFS(Digital!$AA$5:$AA$84,Digital!$A$5:$A$84,A47),2))</f>
        <v>0</v>
      </c>
      <c r="AB47" s="20">
        <f>IF(B47="","",ROUND(IF(I47="Budget",PackBudget,IF(I47="Standard",PackStandard,IF(I47="Gift",PackGift,IF(I47="Premium",PackPremium,DefaultPackaging)))),2))</f>
        <v>0</v>
      </c>
      <c r="AC47" s="36">
        <f>IF(B47="","",IF(I47="Budget",PackWeightBudget,IF(I47="Standard",PackWeightStandard,IF(I47="Gift",PackWeightGift,IF(I47="Premium",PackWeightPremium,0)))))</f>
        <v>0</v>
      </c>
      <c r="AD47" s="20">
        <f>IF(B47="","",IFERROR(INDEX(Shipping!$M$5:$M$64,MATCH(J47,Shipping!$L$5:$L$64,0)),DefaultShipping))</f>
        <v>0</v>
      </c>
      <c r="AE47" s="20">
        <f>IF(B47="","",IFERROR(INDEX(Shipping!$F$5:$F$64,MATCH(J47,Shipping!$L$5:$L$64,0)),0))</f>
        <v>0</v>
      </c>
      <c r="AF47" s="36">
        <f>IF(B47="","",IFERROR(INDEX(Shipping!$C$5:$C$64,MATCH(J47,Shipping!$L$5:$L$64,0)),""))</f>
        <v>0</v>
      </c>
      <c r="AG47" s="20">
        <f>IF(B47="","",ROUND(MAX(0,AD47-AE47),2))</f>
        <v>0</v>
      </c>
      <c r="AH47" s="20">
        <f>IF(B47="","",ROUND(T47+Z47+AA47+AB47+AG47,2))</f>
        <v>0</v>
      </c>
      <c r="AI47" s="33">
        <f>IF(B47="","",IFERROR(INDEX(Channels!$S$5:$S$18,MATCH(IF(H47="",DefaultChannel,H47),Channels!$A$5:$A$18,0)),0))</f>
        <v>0</v>
      </c>
      <c r="AJ47" s="42">
        <f>IF(B47="","",IFERROR(INDEX(Channels!$O$5:$O$18,MATCH(IF(H47="",DefaultChannel,H47),Channels!$A$5:$A$18,0)),"No"))</f>
        <v>0</v>
      </c>
      <c r="AK47" s="20">
        <f>IF(B47="","",ROUND(IFERROR(INDEX(Channels!$T$5:$T$18,MATCH(IF(H47="",DefaultChannel,H47),Channels!$A$5:$A$18,0)),0)+IF(AJ47="Yes",AE47*AI47,0),4))</f>
        <v>0</v>
      </c>
      <c r="AL47" s="33">
        <f>IF(B47="","",IF(OverheadMethod="Share of revenue",IF(RevenueTargetMonth&lt;=0,0,OverheadMonthly/RevenueTargetMonth),0))</f>
        <v>0</v>
      </c>
      <c r="AM47" s="20">
        <f>IF(B47="","",IF(OverheadMethod="Per hour worked",ROUND(OverheadPerHour*Y47,2),IF(OR(OverheadMethod="Per unit made",OverheadMethod="Per order"),OverheadPerUnit,0)))</f>
        <v>0</v>
      </c>
      <c r="AN47" s="33">
        <f>IF(B47="","",IF(N47&lt;&gt;"",N47,TargetRetailMargin))</f>
        <v>0</v>
      </c>
      <c r="AO47" s="41">
        <f>IF(B47="","",1-AN47-AI47-AL47)</f>
        <v>0</v>
      </c>
      <c r="AP47" s="20">
        <f>IF(B47="","",IF(AO47&lt;=0,"",(AH47+AM47+AK47)/AO47))</f>
        <v>0</v>
      </c>
      <c r="AQ47" s="20">
        <f>IF(B47="","",IF(AP47="","Check the settings",ROUND(IF(RoundingRule="None",AP47,IF(RoundingRule="Nearest 0.99",MAX(0.99,CEILING(AP47,1)-0.01),IF(RoundingRule="Nearest 0.95",MAX(0.95,CEILING(AP47,1)-0.05),IF(RoundingRule="Nearest 0.50",CEILING(AP47,0.5),IF(RoundingRule="Nearest 1",CEILING(AP47,1),IF(RoundingRule="Nearest 5",CEILING(AP47,5),IF(RoundingRule="Up to whole 1",CEILING(AP47,1),IF(RoundingRule="Up to whole 5",CEILING(AP47,5),ROUND(AP47,2))))))))),2)))</f>
        <v>0</v>
      </c>
      <c r="AR47" s="20">
        <f>IF(B47="","",IF(M47&lt;&gt;"",M47,IF(ISNUMBER(AQ47),AQ47,"")))</f>
        <v>0</v>
      </c>
      <c r="AS47" s="20">
        <f>IF(B47="","",IF(AR47="","",ROUND(AM47+AR47*AL47,2)))</f>
        <v>0</v>
      </c>
      <c r="AT47" s="20">
        <f>IF(B47="","",IF(AR47="","",ROUND(AH47+AS47,2)))</f>
        <v>0</v>
      </c>
      <c r="AU47" s="20">
        <f>IF(B47="","",IF(AR47="","",ROUND(AR47*AI47+AK47,2)))</f>
        <v>0</v>
      </c>
      <c r="AV47" s="20">
        <f>IF(B47="","",IF(AR47="","",ROUND(AR47-AT47-AU47,2)))</f>
        <v>0</v>
      </c>
      <c r="AW47" s="33">
        <f>IF(B47="","",IF(OR(AR47="",AR47=0),"",AV47/AR47))</f>
        <v>0</v>
      </c>
      <c r="AX47" s="33">
        <f>IF(B47="","",IF(OR(AT47="",AT47=0),"",AV47/AT47))</f>
        <v>0</v>
      </c>
      <c r="AY47" s="20">
        <f>IF(B47="","",IF(OR(Y47="",Y47=0,AV47=""),"",ROUND(AV47/Y47,2)))</f>
        <v>0</v>
      </c>
      <c r="AZ47" s="20">
        <f>IF(B47="","",IF(OR(Y47="",Y47=0,AV47=""),"",ROUND((AV47+Z47)/Y47,2)))</f>
        <v>0</v>
      </c>
      <c r="BA47" s="20">
        <f>IF(B47="","",IF(1-AI47-AL47&lt;=0,"",ROUND((AH47+AM47+AK47)/(1-AI47-AL47),2)))</f>
        <v>0</v>
      </c>
      <c r="BB47" s="20">
        <f>IF(B47="","",IF(AT47="","",ROUND(AT47*2,2)))</f>
        <v>0</v>
      </c>
      <c r="BC47" s="20">
        <f>IF(B47="","",IF(AR47="","",ROUND(AR47*(1-WholesaleDiscount),2)))</f>
        <v>0</v>
      </c>
      <c r="BD47" s="20">
        <f>IF(B47="","",IF(BC47="","",ROUND(BC47-AH47-AM47,2)))</f>
        <v>0</v>
      </c>
      <c r="BE47" s="33">
        <f>IF(B47="","",IF(OR(BC47="",BC47=0),"",BD47/BC47))</f>
        <v>0</v>
      </c>
      <c r="BF47" s="20">
        <f>IF(B47="","",IFERROR(ROUND(AVERAGEIFS(Competitors!$F$5:$F$154,Competitors!$A$5:$A$154,A47),2),""))</f>
        <v>0</v>
      </c>
      <c r="BG47" s="33">
        <f>IF(B47="","",IF(OR(BF47="",BF47=0,AR47=""),"",AR47/BF47-1))</f>
        <v>0</v>
      </c>
      <c r="BH47" s="32">
        <f>IF(B47="","",SUMIFS(Sales!$D$5:$D$804,Sales!$C$5:$C$804,A47))</f>
        <v>0</v>
      </c>
      <c r="BI47" s="20">
        <f>IF(B47="","",ROUND(SUMIFS(Sales!$V$5:$V$804,Sales!$C$5:$C$804,A47),2))</f>
        <v>0</v>
      </c>
      <c r="BJ47" s="20">
        <f>IF(B47="","",ROUND(SUMIFS(Sales!$AG$5:$AG$804,Sales!$C$5:$C$804,A47),2))</f>
        <v>0</v>
      </c>
      <c r="BK47" s="33">
        <f>IF(B47="","",IF(OR(BI47="",BI47=0),"",BJ47/BI47))</f>
        <v>0</v>
      </c>
      <c r="BL47" s="17">
        <f>IF(B47="","",IF(SUMPRODUCT(MAX((Sales!$C$5:$C$804=A47)*Sales!$B$5:$B$804))=0,"",SUMPRODUCT(MAX((Sales!$C$5:$C$804=A47)*Sales!$B$5:$B$804))))</f>
        <v>0</v>
      </c>
      <c r="BM47" s="17">
        <f>IF(B47="","",IF(SUMPRODUCT(MAX(('Price History'!$B$5:$B$304=A47)*'Price History'!$A$5:$A$304))=0,IF(P47="","",P47),SUMPRODUCT(MAX(('Price History'!$B$5:$B$304=A47)*'Price History'!$A$5:$A$304))))</f>
        <v>0</v>
      </c>
      <c r="BN47" s="32">
        <f>IF(B47="","",IF(BM47="","",TodayDate-BM47))</f>
        <v>0</v>
      </c>
      <c r="BO47" s="32">
        <f>IF(B47="","",COUNTIFS($AV$5:$AV$304,"&gt;"&amp;AV47)+COUNTIFS($AV$5:AV47,AV47))</f>
        <v>0</v>
      </c>
      <c r="BP47" s="32">
        <f>IF(B47="","",COUNTIFS($AW$5:$AW$304,"&gt;"&amp;AW47)+COUNTIFS($AW$5:AW47,AW47))</f>
        <v>0</v>
      </c>
      <c r="BQ47" s="32">
        <f>IF(B47="","",COUNTIFS($BI$5:$BI$304,"&gt;"&amp;BI47)+COUNTIFS($BI$5:BI47,BI47))</f>
        <v>0</v>
      </c>
      <c r="BR47" s="32">
        <f>IF(B47="","",COUNTIFS($AY$5:$AY$304,"&gt;"&amp;AY47)+COUNTIFS($AY$5:AY47,AY47))</f>
        <v>0</v>
      </c>
      <c r="BS47" s="43">
        <f>IF(B47="","",IF(AH47=0,"Add - no costs entered yet",IF(AR47="","Check - no price yet",IF(AV47&lt;0,"Loss - every sale costs you money",IF(AND(AZ47&lt;&gt;"",AZ47&lt;MinimumWage),"Below - pays under minimum wage",IF(AW47&lt;MarginWarning,"Low margin - re-price it",IF(AND(AF47&lt;&gt;"",K47&lt;&gt;"",K47+AC47&gt;AF47),"Check - too heavy for that postage band",IF(AND(BN47&lt;&gt;"",BN47&gt;PriceReviewDays),"Due - price has not been reviewed",IF(AND(BG47&lt;&gt;"",BG47&gt;0.5),"Check - well above the market","OK")))))))) )</f>
        <v>0</v>
      </c>
    </row>
    <row r="48" spans="1:71">
      <c r="A48" s="38">
        <f>IF(B48="","",ProductPrefix&amp;TEXT(ROW()-4,"0000"))</f>
        <v>0</v>
      </c>
      <c r="S48" s="38">
        <f>IF(B48="","",IF(C48&lt;&gt;"",C48,UPPER(LEFT(IF(D48="","GEN",D48),3))&amp;"-"&amp;TEXT(ROW()-4,"000")))</f>
        <v>0</v>
      </c>
      <c r="T48" s="20">
        <f>IF(B48="","",ROUND(SUMIFS('Material Usage'!$M$5:$M$904,'Material Usage'!$A$5:$A$904,A48)+SUMIFS(Crochet!$AD$5:$AD$84,Crochet!$A$5:$A$84,A48)+SUMIFS(Jewelry!$AF$5:$AF$84,Jewelry!$A$5:$A$84,A48)+SUMIFS(Candles!$AF$5:$AF$84,Candles!$A$5:$A$84,A48)+SUMIFS(Clothing!$AB$5:$AB$84,Clothing!$A$5:$A$84,A48)+SUMIFS(Woodworking!$AC$5:$AC$84,Woodworking!$A$5:$A$84,A48)+SUMIFS(Digital!$X$5:$X$84,Digital!$A$5:$A$84,A48),2))</f>
        <v>0</v>
      </c>
      <c r="U48" s="20">
        <f>IF(B48="","",ROUND(SUMIFS(Labor!$O$5:$O$304,Labor!$A$5:$A$304,A48)+SUMIFS(Crochet!$AG$5:$AG$84,Crochet!$A$5:$A$84,A48)+SUMIFS(Jewelry!$AI$5:$AI$84,Jewelry!$A$5:$A$84,A48)+SUMIFS(Candles!$AI$5:$AI$84,Candles!$A$5:$A$84,A48)+SUMIFS(Clothing!$AE$5:$AE$84,Clothing!$A$5:$A$84,A48)+SUMIFS(Woodworking!$AF$5:$AF$84,Woodworking!$A$5:$A$84,A48)+SUMIFS(Digital!$Z$5:$Z$84,Digital!$A$5:$A$84,A48),2))</f>
        <v>0</v>
      </c>
      <c r="V48" s="36">
        <f>IF(B48="","",ROUND(SUMIFS(Labor!$P$5:$P$304,Labor!$A$5:$A$304,A48)+SUMIFS(Crochet!$AE$5:$AE$84,Crochet!$A$5:$A$84,A48)+SUMIFS(Jewelry!$AG$5:$AG$84,Jewelry!$A$5:$A$84,A48)+SUMIFS(Candles!$AG$5:$AG$84,Candles!$A$5:$A$84,A48)+SUMIFS(Clothing!$AC$5:$AC$84,Clothing!$A$5:$A$84,A48)+SUMIFS(Woodworking!$AD$5:$AD$84,Woodworking!$A$5:$A$84,A48)+SUMIFS(Digital!$Y$5:$Y$84,Digital!$A$5:$A$84,A48),1))</f>
        <v>0</v>
      </c>
      <c r="W48" s="41">
        <f>IF(B48="","",IFERROR(INDEX(DiffTimeFactors,MATCH(G48,DiffNames,0)),1))</f>
        <v>0</v>
      </c>
      <c r="X48" s="36">
        <f>IF(B48="","",ROUND(V48*W48,1))</f>
        <v>0</v>
      </c>
      <c r="Y48" s="41">
        <f>IF(B48="","",ROUND(X48/60,3))</f>
        <v>0</v>
      </c>
      <c r="Z48" s="20">
        <f>IF(B48="","",ROUND(U48*W48,2))</f>
        <v>0</v>
      </c>
      <c r="AA48" s="20">
        <f>IF(B48="","",ROUND(SUMIFS(Labor!$Q$5:$Q$304,Labor!$A$5:$A$304,A48)+SUMIFS(Crochet!$AH$5:$AH$84,Crochet!$A$5:$A$84,A48)+SUMIFS(Jewelry!$AJ$5:$AJ$84,Jewelry!$A$5:$A$84,A48)+SUMIFS(Candles!$AJ$5:$AJ$84,Candles!$A$5:$A$84,A48)+SUMIFS(Clothing!$AF$5:$AF$84,Clothing!$A$5:$A$84,A48)+SUMIFS(Woodworking!$AH$5:$AH$84,Woodworking!$A$5:$A$84,A48)+SUMIFS(Digital!$AA$5:$AA$84,Digital!$A$5:$A$84,A48),2))</f>
        <v>0</v>
      </c>
      <c r="AB48" s="20">
        <f>IF(B48="","",ROUND(IF(I48="Budget",PackBudget,IF(I48="Standard",PackStandard,IF(I48="Gift",PackGift,IF(I48="Premium",PackPremium,DefaultPackaging)))),2))</f>
        <v>0</v>
      </c>
      <c r="AC48" s="36">
        <f>IF(B48="","",IF(I48="Budget",PackWeightBudget,IF(I48="Standard",PackWeightStandard,IF(I48="Gift",PackWeightGift,IF(I48="Premium",PackWeightPremium,0)))))</f>
        <v>0</v>
      </c>
      <c r="AD48" s="20">
        <f>IF(B48="","",IFERROR(INDEX(Shipping!$M$5:$M$64,MATCH(J48,Shipping!$L$5:$L$64,0)),DefaultShipping))</f>
        <v>0</v>
      </c>
      <c r="AE48" s="20">
        <f>IF(B48="","",IFERROR(INDEX(Shipping!$F$5:$F$64,MATCH(J48,Shipping!$L$5:$L$64,0)),0))</f>
        <v>0</v>
      </c>
      <c r="AF48" s="36">
        <f>IF(B48="","",IFERROR(INDEX(Shipping!$C$5:$C$64,MATCH(J48,Shipping!$L$5:$L$64,0)),""))</f>
        <v>0</v>
      </c>
      <c r="AG48" s="20">
        <f>IF(B48="","",ROUND(MAX(0,AD48-AE48),2))</f>
        <v>0</v>
      </c>
      <c r="AH48" s="20">
        <f>IF(B48="","",ROUND(T48+Z48+AA48+AB48+AG48,2))</f>
        <v>0</v>
      </c>
      <c r="AI48" s="33">
        <f>IF(B48="","",IFERROR(INDEX(Channels!$S$5:$S$18,MATCH(IF(H48="",DefaultChannel,H48),Channels!$A$5:$A$18,0)),0))</f>
        <v>0</v>
      </c>
      <c r="AJ48" s="42">
        <f>IF(B48="","",IFERROR(INDEX(Channels!$O$5:$O$18,MATCH(IF(H48="",DefaultChannel,H48),Channels!$A$5:$A$18,0)),"No"))</f>
        <v>0</v>
      </c>
      <c r="AK48" s="20">
        <f>IF(B48="","",ROUND(IFERROR(INDEX(Channels!$T$5:$T$18,MATCH(IF(H48="",DefaultChannel,H48),Channels!$A$5:$A$18,0)),0)+IF(AJ48="Yes",AE48*AI48,0),4))</f>
        <v>0</v>
      </c>
      <c r="AL48" s="33">
        <f>IF(B48="","",IF(OverheadMethod="Share of revenue",IF(RevenueTargetMonth&lt;=0,0,OverheadMonthly/RevenueTargetMonth),0))</f>
        <v>0</v>
      </c>
      <c r="AM48" s="20">
        <f>IF(B48="","",IF(OverheadMethod="Per hour worked",ROUND(OverheadPerHour*Y48,2),IF(OR(OverheadMethod="Per unit made",OverheadMethod="Per order"),OverheadPerUnit,0)))</f>
        <v>0</v>
      </c>
      <c r="AN48" s="33">
        <f>IF(B48="","",IF(N48&lt;&gt;"",N48,TargetRetailMargin))</f>
        <v>0</v>
      </c>
      <c r="AO48" s="41">
        <f>IF(B48="","",1-AN48-AI48-AL48)</f>
        <v>0</v>
      </c>
      <c r="AP48" s="20">
        <f>IF(B48="","",IF(AO48&lt;=0,"",(AH48+AM48+AK48)/AO48))</f>
        <v>0</v>
      </c>
      <c r="AQ48" s="20">
        <f>IF(B48="","",IF(AP48="","Check the settings",ROUND(IF(RoundingRule="None",AP48,IF(RoundingRule="Nearest 0.99",MAX(0.99,CEILING(AP48,1)-0.01),IF(RoundingRule="Nearest 0.95",MAX(0.95,CEILING(AP48,1)-0.05),IF(RoundingRule="Nearest 0.50",CEILING(AP48,0.5),IF(RoundingRule="Nearest 1",CEILING(AP48,1),IF(RoundingRule="Nearest 5",CEILING(AP48,5),IF(RoundingRule="Up to whole 1",CEILING(AP48,1),IF(RoundingRule="Up to whole 5",CEILING(AP48,5),ROUND(AP48,2))))))))),2)))</f>
        <v>0</v>
      </c>
      <c r="AR48" s="20">
        <f>IF(B48="","",IF(M48&lt;&gt;"",M48,IF(ISNUMBER(AQ48),AQ48,"")))</f>
        <v>0</v>
      </c>
      <c r="AS48" s="20">
        <f>IF(B48="","",IF(AR48="","",ROUND(AM48+AR48*AL48,2)))</f>
        <v>0</v>
      </c>
      <c r="AT48" s="20">
        <f>IF(B48="","",IF(AR48="","",ROUND(AH48+AS48,2)))</f>
        <v>0</v>
      </c>
      <c r="AU48" s="20">
        <f>IF(B48="","",IF(AR48="","",ROUND(AR48*AI48+AK48,2)))</f>
        <v>0</v>
      </c>
      <c r="AV48" s="20">
        <f>IF(B48="","",IF(AR48="","",ROUND(AR48-AT48-AU48,2)))</f>
        <v>0</v>
      </c>
      <c r="AW48" s="33">
        <f>IF(B48="","",IF(OR(AR48="",AR48=0),"",AV48/AR48))</f>
        <v>0</v>
      </c>
      <c r="AX48" s="33">
        <f>IF(B48="","",IF(OR(AT48="",AT48=0),"",AV48/AT48))</f>
        <v>0</v>
      </c>
      <c r="AY48" s="20">
        <f>IF(B48="","",IF(OR(Y48="",Y48=0,AV48=""),"",ROUND(AV48/Y48,2)))</f>
        <v>0</v>
      </c>
      <c r="AZ48" s="20">
        <f>IF(B48="","",IF(OR(Y48="",Y48=0,AV48=""),"",ROUND((AV48+Z48)/Y48,2)))</f>
        <v>0</v>
      </c>
      <c r="BA48" s="20">
        <f>IF(B48="","",IF(1-AI48-AL48&lt;=0,"",ROUND((AH48+AM48+AK48)/(1-AI48-AL48),2)))</f>
        <v>0</v>
      </c>
      <c r="BB48" s="20">
        <f>IF(B48="","",IF(AT48="","",ROUND(AT48*2,2)))</f>
        <v>0</v>
      </c>
      <c r="BC48" s="20">
        <f>IF(B48="","",IF(AR48="","",ROUND(AR48*(1-WholesaleDiscount),2)))</f>
        <v>0</v>
      </c>
      <c r="BD48" s="20">
        <f>IF(B48="","",IF(BC48="","",ROUND(BC48-AH48-AM48,2)))</f>
        <v>0</v>
      </c>
      <c r="BE48" s="33">
        <f>IF(B48="","",IF(OR(BC48="",BC48=0),"",BD48/BC48))</f>
        <v>0</v>
      </c>
      <c r="BF48" s="20">
        <f>IF(B48="","",IFERROR(ROUND(AVERAGEIFS(Competitors!$F$5:$F$154,Competitors!$A$5:$A$154,A48),2),""))</f>
        <v>0</v>
      </c>
      <c r="BG48" s="33">
        <f>IF(B48="","",IF(OR(BF48="",BF48=0,AR48=""),"",AR48/BF48-1))</f>
        <v>0</v>
      </c>
      <c r="BH48" s="32">
        <f>IF(B48="","",SUMIFS(Sales!$D$5:$D$804,Sales!$C$5:$C$804,A48))</f>
        <v>0</v>
      </c>
      <c r="BI48" s="20">
        <f>IF(B48="","",ROUND(SUMIFS(Sales!$V$5:$V$804,Sales!$C$5:$C$804,A48),2))</f>
        <v>0</v>
      </c>
      <c r="BJ48" s="20">
        <f>IF(B48="","",ROUND(SUMIFS(Sales!$AG$5:$AG$804,Sales!$C$5:$C$804,A48),2))</f>
        <v>0</v>
      </c>
      <c r="BK48" s="33">
        <f>IF(B48="","",IF(OR(BI48="",BI48=0),"",BJ48/BI48))</f>
        <v>0</v>
      </c>
      <c r="BL48" s="17">
        <f>IF(B48="","",IF(SUMPRODUCT(MAX((Sales!$C$5:$C$804=A48)*Sales!$B$5:$B$804))=0,"",SUMPRODUCT(MAX((Sales!$C$5:$C$804=A48)*Sales!$B$5:$B$804))))</f>
        <v>0</v>
      </c>
      <c r="BM48" s="17">
        <f>IF(B48="","",IF(SUMPRODUCT(MAX(('Price History'!$B$5:$B$304=A48)*'Price History'!$A$5:$A$304))=0,IF(P48="","",P48),SUMPRODUCT(MAX(('Price History'!$B$5:$B$304=A48)*'Price History'!$A$5:$A$304))))</f>
        <v>0</v>
      </c>
      <c r="BN48" s="32">
        <f>IF(B48="","",IF(BM48="","",TodayDate-BM48))</f>
        <v>0</v>
      </c>
      <c r="BO48" s="32">
        <f>IF(B48="","",COUNTIFS($AV$5:$AV$304,"&gt;"&amp;AV48)+COUNTIFS($AV$5:AV48,AV48))</f>
        <v>0</v>
      </c>
      <c r="BP48" s="32">
        <f>IF(B48="","",COUNTIFS($AW$5:$AW$304,"&gt;"&amp;AW48)+COUNTIFS($AW$5:AW48,AW48))</f>
        <v>0</v>
      </c>
      <c r="BQ48" s="32">
        <f>IF(B48="","",COUNTIFS($BI$5:$BI$304,"&gt;"&amp;BI48)+COUNTIFS($BI$5:BI48,BI48))</f>
        <v>0</v>
      </c>
      <c r="BR48" s="32">
        <f>IF(B48="","",COUNTIFS($AY$5:$AY$304,"&gt;"&amp;AY48)+COUNTIFS($AY$5:AY48,AY48))</f>
        <v>0</v>
      </c>
      <c r="BS48" s="43">
        <f>IF(B48="","",IF(AH48=0,"Add - no costs entered yet",IF(AR48="","Check - no price yet",IF(AV48&lt;0,"Loss - every sale costs you money",IF(AND(AZ48&lt;&gt;"",AZ48&lt;MinimumWage),"Below - pays under minimum wage",IF(AW48&lt;MarginWarning,"Low margin - re-price it",IF(AND(AF48&lt;&gt;"",K48&lt;&gt;"",K48+AC48&gt;AF48),"Check - too heavy for that postage band",IF(AND(BN48&lt;&gt;"",BN48&gt;PriceReviewDays),"Due - price has not been reviewed",IF(AND(BG48&lt;&gt;"",BG48&gt;0.5),"Check - well above the market","OK")))))))) )</f>
        <v>0</v>
      </c>
    </row>
    <row r="49" spans="1:71">
      <c r="A49" s="38">
        <f>IF(B49="","",ProductPrefix&amp;TEXT(ROW()-4,"0000"))</f>
        <v>0</v>
      </c>
      <c r="S49" s="38">
        <f>IF(B49="","",IF(C49&lt;&gt;"",C49,UPPER(LEFT(IF(D49="","GEN",D49),3))&amp;"-"&amp;TEXT(ROW()-4,"000")))</f>
        <v>0</v>
      </c>
      <c r="T49" s="20">
        <f>IF(B49="","",ROUND(SUMIFS('Material Usage'!$M$5:$M$904,'Material Usage'!$A$5:$A$904,A49)+SUMIFS(Crochet!$AD$5:$AD$84,Crochet!$A$5:$A$84,A49)+SUMIFS(Jewelry!$AF$5:$AF$84,Jewelry!$A$5:$A$84,A49)+SUMIFS(Candles!$AF$5:$AF$84,Candles!$A$5:$A$84,A49)+SUMIFS(Clothing!$AB$5:$AB$84,Clothing!$A$5:$A$84,A49)+SUMIFS(Woodworking!$AC$5:$AC$84,Woodworking!$A$5:$A$84,A49)+SUMIFS(Digital!$X$5:$X$84,Digital!$A$5:$A$84,A49),2))</f>
        <v>0</v>
      </c>
      <c r="U49" s="20">
        <f>IF(B49="","",ROUND(SUMIFS(Labor!$O$5:$O$304,Labor!$A$5:$A$304,A49)+SUMIFS(Crochet!$AG$5:$AG$84,Crochet!$A$5:$A$84,A49)+SUMIFS(Jewelry!$AI$5:$AI$84,Jewelry!$A$5:$A$84,A49)+SUMIFS(Candles!$AI$5:$AI$84,Candles!$A$5:$A$84,A49)+SUMIFS(Clothing!$AE$5:$AE$84,Clothing!$A$5:$A$84,A49)+SUMIFS(Woodworking!$AF$5:$AF$84,Woodworking!$A$5:$A$84,A49)+SUMIFS(Digital!$Z$5:$Z$84,Digital!$A$5:$A$84,A49),2))</f>
        <v>0</v>
      </c>
      <c r="V49" s="36">
        <f>IF(B49="","",ROUND(SUMIFS(Labor!$P$5:$P$304,Labor!$A$5:$A$304,A49)+SUMIFS(Crochet!$AE$5:$AE$84,Crochet!$A$5:$A$84,A49)+SUMIFS(Jewelry!$AG$5:$AG$84,Jewelry!$A$5:$A$84,A49)+SUMIFS(Candles!$AG$5:$AG$84,Candles!$A$5:$A$84,A49)+SUMIFS(Clothing!$AC$5:$AC$84,Clothing!$A$5:$A$84,A49)+SUMIFS(Woodworking!$AD$5:$AD$84,Woodworking!$A$5:$A$84,A49)+SUMIFS(Digital!$Y$5:$Y$84,Digital!$A$5:$A$84,A49),1))</f>
        <v>0</v>
      </c>
      <c r="W49" s="41">
        <f>IF(B49="","",IFERROR(INDEX(DiffTimeFactors,MATCH(G49,DiffNames,0)),1))</f>
        <v>0</v>
      </c>
      <c r="X49" s="36">
        <f>IF(B49="","",ROUND(V49*W49,1))</f>
        <v>0</v>
      </c>
      <c r="Y49" s="41">
        <f>IF(B49="","",ROUND(X49/60,3))</f>
        <v>0</v>
      </c>
      <c r="Z49" s="20">
        <f>IF(B49="","",ROUND(U49*W49,2))</f>
        <v>0</v>
      </c>
      <c r="AA49" s="20">
        <f>IF(B49="","",ROUND(SUMIFS(Labor!$Q$5:$Q$304,Labor!$A$5:$A$304,A49)+SUMIFS(Crochet!$AH$5:$AH$84,Crochet!$A$5:$A$84,A49)+SUMIFS(Jewelry!$AJ$5:$AJ$84,Jewelry!$A$5:$A$84,A49)+SUMIFS(Candles!$AJ$5:$AJ$84,Candles!$A$5:$A$84,A49)+SUMIFS(Clothing!$AF$5:$AF$84,Clothing!$A$5:$A$84,A49)+SUMIFS(Woodworking!$AH$5:$AH$84,Woodworking!$A$5:$A$84,A49)+SUMIFS(Digital!$AA$5:$AA$84,Digital!$A$5:$A$84,A49),2))</f>
        <v>0</v>
      </c>
      <c r="AB49" s="20">
        <f>IF(B49="","",ROUND(IF(I49="Budget",PackBudget,IF(I49="Standard",PackStandard,IF(I49="Gift",PackGift,IF(I49="Premium",PackPremium,DefaultPackaging)))),2))</f>
        <v>0</v>
      </c>
      <c r="AC49" s="36">
        <f>IF(B49="","",IF(I49="Budget",PackWeightBudget,IF(I49="Standard",PackWeightStandard,IF(I49="Gift",PackWeightGift,IF(I49="Premium",PackWeightPremium,0)))))</f>
        <v>0</v>
      </c>
      <c r="AD49" s="20">
        <f>IF(B49="","",IFERROR(INDEX(Shipping!$M$5:$M$64,MATCH(J49,Shipping!$L$5:$L$64,0)),DefaultShipping))</f>
        <v>0</v>
      </c>
      <c r="AE49" s="20">
        <f>IF(B49="","",IFERROR(INDEX(Shipping!$F$5:$F$64,MATCH(J49,Shipping!$L$5:$L$64,0)),0))</f>
        <v>0</v>
      </c>
      <c r="AF49" s="36">
        <f>IF(B49="","",IFERROR(INDEX(Shipping!$C$5:$C$64,MATCH(J49,Shipping!$L$5:$L$64,0)),""))</f>
        <v>0</v>
      </c>
      <c r="AG49" s="20">
        <f>IF(B49="","",ROUND(MAX(0,AD49-AE49),2))</f>
        <v>0</v>
      </c>
      <c r="AH49" s="20">
        <f>IF(B49="","",ROUND(T49+Z49+AA49+AB49+AG49,2))</f>
        <v>0</v>
      </c>
      <c r="AI49" s="33">
        <f>IF(B49="","",IFERROR(INDEX(Channels!$S$5:$S$18,MATCH(IF(H49="",DefaultChannel,H49),Channels!$A$5:$A$18,0)),0))</f>
        <v>0</v>
      </c>
      <c r="AJ49" s="42">
        <f>IF(B49="","",IFERROR(INDEX(Channels!$O$5:$O$18,MATCH(IF(H49="",DefaultChannel,H49),Channels!$A$5:$A$18,0)),"No"))</f>
        <v>0</v>
      </c>
      <c r="AK49" s="20">
        <f>IF(B49="","",ROUND(IFERROR(INDEX(Channels!$T$5:$T$18,MATCH(IF(H49="",DefaultChannel,H49),Channels!$A$5:$A$18,0)),0)+IF(AJ49="Yes",AE49*AI49,0),4))</f>
        <v>0</v>
      </c>
      <c r="AL49" s="33">
        <f>IF(B49="","",IF(OverheadMethod="Share of revenue",IF(RevenueTargetMonth&lt;=0,0,OverheadMonthly/RevenueTargetMonth),0))</f>
        <v>0</v>
      </c>
      <c r="AM49" s="20">
        <f>IF(B49="","",IF(OverheadMethod="Per hour worked",ROUND(OverheadPerHour*Y49,2),IF(OR(OverheadMethod="Per unit made",OverheadMethod="Per order"),OverheadPerUnit,0)))</f>
        <v>0</v>
      </c>
      <c r="AN49" s="33">
        <f>IF(B49="","",IF(N49&lt;&gt;"",N49,TargetRetailMargin))</f>
        <v>0</v>
      </c>
      <c r="AO49" s="41">
        <f>IF(B49="","",1-AN49-AI49-AL49)</f>
        <v>0</v>
      </c>
      <c r="AP49" s="20">
        <f>IF(B49="","",IF(AO49&lt;=0,"",(AH49+AM49+AK49)/AO49))</f>
        <v>0</v>
      </c>
      <c r="AQ49" s="20">
        <f>IF(B49="","",IF(AP49="","Check the settings",ROUND(IF(RoundingRule="None",AP49,IF(RoundingRule="Nearest 0.99",MAX(0.99,CEILING(AP49,1)-0.01),IF(RoundingRule="Nearest 0.95",MAX(0.95,CEILING(AP49,1)-0.05),IF(RoundingRule="Nearest 0.50",CEILING(AP49,0.5),IF(RoundingRule="Nearest 1",CEILING(AP49,1),IF(RoundingRule="Nearest 5",CEILING(AP49,5),IF(RoundingRule="Up to whole 1",CEILING(AP49,1),IF(RoundingRule="Up to whole 5",CEILING(AP49,5),ROUND(AP49,2))))))))),2)))</f>
        <v>0</v>
      </c>
      <c r="AR49" s="20">
        <f>IF(B49="","",IF(M49&lt;&gt;"",M49,IF(ISNUMBER(AQ49),AQ49,"")))</f>
        <v>0</v>
      </c>
      <c r="AS49" s="20">
        <f>IF(B49="","",IF(AR49="","",ROUND(AM49+AR49*AL49,2)))</f>
        <v>0</v>
      </c>
      <c r="AT49" s="20">
        <f>IF(B49="","",IF(AR49="","",ROUND(AH49+AS49,2)))</f>
        <v>0</v>
      </c>
      <c r="AU49" s="20">
        <f>IF(B49="","",IF(AR49="","",ROUND(AR49*AI49+AK49,2)))</f>
        <v>0</v>
      </c>
      <c r="AV49" s="20">
        <f>IF(B49="","",IF(AR49="","",ROUND(AR49-AT49-AU49,2)))</f>
        <v>0</v>
      </c>
      <c r="AW49" s="33">
        <f>IF(B49="","",IF(OR(AR49="",AR49=0),"",AV49/AR49))</f>
        <v>0</v>
      </c>
      <c r="AX49" s="33">
        <f>IF(B49="","",IF(OR(AT49="",AT49=0),"",AV49/AT49))</f>
        <v>0</v>
      </c>
      <c r="AY49" s="20">
        <f>IF(B49="","",IF(OR(Y49="",Y49=0,AV49=""),"",ROUND(AV49/Y49,2)))</f>
        <v>0</v>
      </c>
      <c r="AZ49" s="20">
        <f>IF(B49="","",IF(OR(Y49="",Y49=0,AV49=""),"",ROUND((AV49+Z49)/Y49,2)))</f>
        <v>0</v>
      </c>
      <c r="BA49" s="20">
        <f>IF(B49="","",IF(1-AI49-AL49&lt;=0,"",ROUND((AH49+AM49+AK49)/(1-AI49-AL49),2)))</f>
        <v>0</v>
      </c>
      <c r="BB49" s="20">
        <f>IF(B49="","",IF(AT49="","",ROUND(AT49*2,2)))</f>
        <v>0</v>
      </c>
      <c r="BC49" s="20">
        <f>IF(B49="","",IF(AR49="","",ROUND(AR49*(1-WholesaleDiscount),2)))</f>
        <v>0</v>
      </c>
      <c r="BD49" s="20">
        <f>IF(B49="","",IF(BC49="","",ROUND(BC49-AH49-AM49,2)))</f>
        <v>0</v>
      </c>
      <c r="BE49" s="33">
        <f>IF(B49="","",IF(OR(BC49="",BC49=0),"",BD49/BC49))</f>
        <v>0</v>
      </c>
      <c r="BF49" s="20">
        <f>IF(B49="","",IFERROR(ROUND(AVERAGEIFS(Competitors!$F$5:$F$154,Competitors!$A$5:$A$154,A49),2),""))</f>
        <v>0</v>
      </c>
      <c r="BG49" s="33">
        <f>IF(B49="","",IF(OR(BF49="",BF49=0,AR49=""),"",AR49/BF49-1))</f>
        <v>0</v>
      </c>
      <c r="BH49" s="32">
        <f>IF(B49="","",SUMIFS(Sales!$D$5:$D$804,Sales!$C$5:$C$804,A49))</f>
        <v>0</v>
      </c>
      <c r="BI49" s="20">
        <f>IF(B49="","",ROUND(SUMIFS(Sales!$V$5:$V$804,Sales!$C$5:$C$804,A49),2))</f>
        <v>0</v>
      </c>
      <c r="BJ49" s="20">
        <f>IF(B49="","",ROUND(SUMIFS(Sales!$AG$5:$AG$804,Sales!$C$5:$C$804,A49),2))</f>
        <v>0</v>
      </c>
      <c r="BK49" s="33">
        <f>IF(B49="","",IF(OR(BI49="",BI49=0),"",BJ49/BI49))</f>
        <v>0</v>
      </c>
      <c r="BL49" s="17">
        <f>IF(B49="","",IF(SUMPRODUCT(MAX((Sales!$C$5:$C$804=A49)*Sales!$B$5:$B$804))=0,"",SUMPRODUCT(MAX((Sales!$C$5:$C$804=A49)*Sales!$B$5:$B$804))))</f>
        <v>0</v>
      </c>
      <c r="BM49" s="17">
        <f>IF(B49="","",IF(SUMPRODUCT(MAX(('Price History'!$B$5:$B$304=A49)*'Price History'!$A$5:$A$304))=0,IF(P49="","",P49),SUMPRODUCT(MAX(('Price History'!$B$5:$B$304=A49)*'Price History'!$A$5:$A$304))))</f>
        <v>0</v>
      </c>
      <c r="BN49" s="32">
        <f>IF(B49="","",IF(BM49="","",TodayDate-BM49))</f>
        <v>0</v>
      </c>
      <c r="BO49" s="32">
        <f>IF(B49="","",COUNTIFS($AV$5:$AV$304,"&gt;"&amp;AV49)+COUNTIFS($AV$5:AV49,AV49))</f>
        <v>0</v>
      </c>
      <c r="BP49" s="32">
        <f>IF(B49="","",COUNTIFS($AW$5:$AW$304,"&gt;"&amp;AW49)+COUNTIFS($AW$5:AW49,AW49))</f>
        <v>0</v>
      </c>
      <c r="BQ49" s="32">
        <f>IF(B49="","",COUNTIFS($BI$5:$BI$304,"&gt;"&amp;BI49)+COUNTIFS($BI$5:BI49,BI49))</f>
        <v>0</v>
      </c>
      <c r="BR49" s="32">
        <f>IF(B49="","",COUNTIFS($AY$5:$AY$304,"&gt;"&amp;AY49)+COUNTIFS($AY$5:AY49,AY49))</f>
        <v>0</v>
      </c>
      <c r="BS49" s="43">
        <f>IF(B49="","",IF(AH49=0,"Add - no costs entered yet",IF(AR49="","Check - no price yet",IF(AV49&lt;0,"Loss - every sale costs you money",IF(AND(AZ49&lt;&gt;"",AZ49&lt;MinimumWage),"Below - pays under minimum wage",IF(AW49&lt;MarginWarning,"Low margin - re-price it",IF(AND(AF49&lt;&gt;"",K49&lt;&gt;"",K49+AC49&gt;AF49),"Check - too heavy for that postage band",IF(AND(BN49&lt;&gt;"",BN49&gt;PriceReviewDays),"Due - price has not been reviewed",IF(AND(BG49&lt;&gt;"",BG49&gt;0.5),"Check - well above the market","OK")))))))) )</f>
        <v>0</v>
      </c>
    </row>
    <row r="50" spans="1:71">
      <c r="A50" s="38">
        <f>IF(B50="","",ProductPrefix&amp;TEXT(ROW()-4,"0000"))</f>
        <v>0</v>
      </c>
      <c r="S50" s="38">
        <f>IF(B50="","",IF(C50&lt;&gt;"",C50,UPPER(LEFT(IF(D50="","GEN",D50),3))&amp;"-"&amp;TEXT(ROW()-4,"000")))</f>
        <v>0</v>
      </c>
      <c r="T50" s="20">
        <f>IF(B50="","",ROUND(SUMIFS('Material Usage'!$M$5:$M$904,'Material Usage'!$A$5:$A$904,A50)+SUMIFS(Crochet!$AD$5:$AD$84,Crochet!$A$5:$A$84,A50)+SUMIFS(Jewelry!$AF$5:$AF$84,Jewelry!$A$5:$A$84,A50)+SUMIFS(Candles!$AF$5:$AF$84,Candles!$A$5:$A$84,A50)+SUMIFS(Clothing!$AB$5:$AB$84,Clothing!$A$5:$A$84,A50)+SUMIFS(Woodworking!$AC$5:$AC$84,Woodworking!$A$5:$A$84,A50)+SUMIFS(Digital!$X$5:$X$84,Digital!$A$5:$A$84,A50),2))</f>
        <v>0</v>
      </c>
      <c r="U50" s="20">
        <f>IF(B50="","",ROUND(SUMIFS(Labor!$O$5:$O$304,Labor!$A$5:$A$304,A50)+SUMIFS(Crochet!$AG$5:$AG$84,Crochet!$A$5:$A$84,A50)+SUMIFS(Jewelry!$AI$5:$AI$84,Jewelry!$A$5:$A$84,A50)+SUMIFS(Candles!$AI$5:$AI$84,Candles!$A$5:$A$84,A50)+SUMIFS(Clothing!$AE$5:$AE$84,Clothing!$A$5:$A$84,A50)+SUMIFS(Woodworking!$AF$5:$AF$84,Woodworking!$A$5:$A$84,A50)+SUMIFS(Digital!$Z$5:$Z$84,Digital!$A$5:$A$84,A50),2))</f>
        <v>0</v>
      </c>
      <c r="V50" s="36">
        <f>IF(B50="","",ROUND(SUMIFS(Labor!$P$5:$P$304,Labor!$A$5:$A$304,A50)+SUMIFS(Crochet!$AE$5:$AE$84,Crochet!$A$5:$A$84,A50)+SUMIFS(Jewelry!$AG$5:$AG$84,Jewelry!$A$5:$A$84,A50)+SUMIFS(Candles!$AG$5:$AG$84,Candles!$A$5:$A$84,A50)+SUMIFS(Clothing!$AC$5:$AC$84,Clothing!$A$5:$A$84,A50)+SUMIFS(Woodworking!$AD$5:$AD$84,Woodworking!$A$5:$A$84,A50)+SUMIFS(Digital!$Y$5:$Y$84,Digital!$A$5:$A$84,A50),1))</f>
        <v>0</v>
      </c>
      <c r="W50" s="41">
        <f>IF(B50="","",IFERROR(INDEX(DiffTimeFactors,MATCH(G50,DiffNames,0)),1))</f>
        <v>0</v>
      </c>
      <c r="X50" s="36">
        <f>IF(B50="","",ROUND(V50*W50,1))</f>
        <v>0</v>
      </c>
      <c r="Y50" s="41">
        <f>IF(B50="","",ROUND(X50/60,3))</f>
        <v>0</v>
      </c>
      <c r="Z50" s="20">
        <f>IF(B50="","",ROUND(U50*W50,2))</f>
        <v>0</v>
      </c>
      <c r="AA50" s="20">
        <f>IF(B50="","",ROUND(SUMIFS(Labor!$Q$5:$Q$304,Labor!$A$5:$A$304,A50)+SUMIFS(Crochet!$AH$5:$AH$84,Crochet!$A$5:$A$84,A50)+SUMIFS(Jewelry!$AJ$5:$AJ$84,Jewelry!$A$5:$A$84,A50)+SUMIFS(Candles!$AJ$5:$AJ$84,Candles!$A$5:$A$84,A50)+SUMIFS(Clothing!$AF$5:$AF$84,Clothing!$A$5:$A$84,A50)+SUMIFS(Woodworking!$AH$5:$AH$84,Woodworking!$A$5:$A$84,A50)+SUMIFS(Digital!$AA$5:$AA$84,Digital!$A$5:$A$84,A50),2))</f>
        <v>0</v>
      </c>
      <c r="AB50" s="20">
        <f>IF(B50="","",ROUND(IF(I50="Budget",PackBudget,IF(I50="Standard",PackStandard,IF(I50="Gift",PackGift,IF(I50="Premium",PackPremium,DefaultPackaging)))),2))</f>
        <v>0</v>
      </c>
      <c r="AC50" s="36">
        <f>IF(B50="","",IF(I50="Budget",PackWeightBudget,IF(I50="Standard",PackWeightStandard,IF(I50="Gift",PackWeightGift,IF(I50="Premium",PackWeightPremium,0)))))</f>
        <v>0</v>
      </c>
      <c r="AD50" s="20">
        <f>IF(B50="","",IFERROR(INDEX(Shipping!$M$5:$M$64,MATCH(J50,Shipping!$L$5:$L$64,0)),DefaultShipping))</f>
        <v>0</v>
      </c>
      <c r="AE50" s="20">
        <f>IF(B50="","",IFERROR(INDEX(Shipping!$F$5:$F$64,MATCH(J50,Shipping!$L$5:$L$64,0)),0))</f>
        <v>0</v>
      </c>
      <c r="AF50" s="36">
        <f>IF(B50="","",IFERROR(INDEX(Shipping!$C$5:$C$64,MATCH(J50,Shipping!$L$5:$L$64,0)),""))</f>
        <v>0</v>
      </c>
      <c r="AG50" s="20">
        <f>IF(B50="","",ROUND(MAX(0,AD50-AE50),2))</f>
        <v>0</v>
      </c>
      <c r="AH50" s="20">
        <f>IF(B50="","",ROUND(T50+Z50+AA50+AB50+AG50,2))</f>
        <v>0</v>
      </c>
      <c r="AI50" s="33">
        <f>IF(B50="","",IFERROR(INDEX(Channels!$S$5:$S$18,MATCH(IF(H50="",DefaultChannel,H50),Channels!$A$5:$A$18,0)),0))</f>
        <v>0</v>
      </c>
      <c r="AJ50" s="42">
        <f>IF(B50="","",IFERROR(INDEX(Channels!$O$5:$O$18,MATCH(IF(H50="",DefaultChannel,H50),Channels!$A$5:$A$18,0)),"No"))</f>
        <v>0</v>
      </c>
      <c r="AK50" s="20">
        <f>IF(B50="","",ROUND(IFERROR(INDEX(Channels!$T$5:$T$18,MATCH(IF(H50="",DefaultChannel,H50),Channels!$A$5:$A$18,0)),0)+IF(AJ50="Yes",AE50*AI50,0),4))</f>
        <v>0</v>
      </c>
      <c r="AL50" s="33">
        <f>IF(B50="","",IF(OverheadMethod="Share of revenue",IF(RevenueTargetMonth&lt;=0,0,OverheadMonthly/RevenueTargetMonth),0))</f>
        <v>0</v>
      </c>
      <c r="AM50" s="20">
        <f>IF(B50="","",IF(OverheadMethod="Per hour worked",ROUND(OverheadPerHour*Y50,2),IF(OR(OverheadMethod="Per unit made",OverheadMethod="Per order"),OverheadPerUnit,0)))</f>
        <v>0</v>
      </c>
      <c r="AN50" s="33">
        <f>IF(B50="","",IF(N50&lt;&gt;"",N50,TargetRetailMargin))</f>
        <v>0</v>
      </c>
      <c r="AO50" s="41">
        <f>IF(B50="","",1-AN50-AI50-AL50)</f>
        <v>0</v>
      </c>
      <c r="AP50" s="20">
        <f>IF(B50="","",IF(AO50&lt;=0,"",(AH50+AM50+AK50)/AO50))</f>
        <v>0</v>
      </c>
      <c r="AQ50" s="20">
        <f>IF(B50="","",IF(AP50="","Check the settings",ROUND(IF(RoundingRule="None",AP50,IF(RoundingRule="Nearest 0.99",MAX(0.99,CEILING(AP50,1)-0.01),IF(RoundingRule="Nearest 0.95",MAX(0.95,CEILING(AP50,1)-0.05),IF(RoundingRule="Nearest 0.50",CEILING(AP50,0.5),IF(RoundingRule="Nearest 1",CEILING(AP50,1),IF(RoundingRule="Nearest 5",CEILING(AP50,5),IF(RoundingRule="Up to whole 1",CEILING(AP50,1),IF(RoundingRule="Up to whole 5",CEILING(AP50,5),ROUND(AP50,2))))))))),2)))</f>
        <v>0</v>
      </c>
      <c r="AR50" s="20">
        <f>IF(B50="","",IF(M50&lt;&gt;"",M50,IF(ISNUMBER(AQ50),AQ50,"")))</f>
        <v>0</v>
      </c>
      <c r="AS50" s="20">
        <f>IF(B50="","",IF(AR50="","",ROUND(AM50+AR50*AL50,2)))</f>
        <v>0</v>
      </c>
      <c r="AT50" s="20">
        <f>IF(B50="","",IF(AR50="","",ROUND(AH50+AS50,2)))</f>
        <v>0</v>
      </c>
      <c r="AU50" s="20">
        <f>IF(B50="","",IF(AR50="","",ROUND(AR50*AI50+AK50,2)))</f>
        <v>0</v>
      </c>
      <c r="AV50" s="20">
        <f>IF(B50="","",IF(AR50="","",ROUND(AR50-AT50-AU50,2)))</f>
        <v>0</v>
      </c>
      <c r="AW50" s="33">
        <f>IF(B50="","",IF(OR(AR50="",AR50=0),"",AV50/AR50))</f>
        <v>0</v>
      </c>
      <c r="AX50" s="33">
        <f>IF(B50="","",IF(OR(AT50="",AT50=0),"",AV50/AT50))</f>
        <v>0</v>
      </c>
      <c r="AY50" s="20">
        <f>IF(B50="","",IF(OR(Y50="",Y50=0,AV50=""),"",ROUND(AV50/Y50,2)))</f>
        <v>0</v>
      </c>
      <c r="AZ50" s="20">
        <f>IF(B50="","",IF(OR(Y50="",Y50=0,AV50=""),"",ROUND((AV50+Z50)/Y50,2)))</f>
        <v>0</v>
      </c>
      <c r="BA50" s="20">
        <f>IF(B50="","",IF(1-AI50-AL50&lt;=0,"",ROUND((AH50+AM50+AK50)/(1-AI50-AL50),2)))</f>
        <v>0</v>
      </c>
      <c r="BB50" s="20">
        <f>IF(B50="","",IF(AT50="","",ROUND(AT50*2,2)))</f>
        <v>0</v>
      </c>
      <c r="BC50" s="20">
        <f>IF(B50="","",IF(AR50="","",ROUND(AR50*(1-WholesaleDiscount),2)))</f>
        <v>0</v>
      </c>
      <c r="BD50" s="20">
        <f>IF(B50="","",IF(BC50="","",ROUND(BC50-AH50-AM50,2)))</f>
        <v>0</v>
      </c>
      <c r="BE50" s="33">
        <f>IF(B50="","",IF(OR(BC50="",BC50=0),"",BD50/BC50))</f>
        <v>0</v>
      </c>
      <c r="BF50" s="20">
        <f>IF(B50="","",IFERROR(ROUND(AVERAGEIFS(Competitors!$F$5:$F$154,Competitors!$A$5:$A$154,A50),2),""))</f>
        <v>0</v>
      </c>
      <c r="BG50" s="33">
        <f>IF(B50="","",IF(OR(BF50="",BF50=0,AR50=""),"",AR50/BF50-1))</f>
        <v>0</v>
      </c>
      <c r="BH50" s="32">
        <f>IF(B50="","",SUMIFS(Sales!$D$5:$D$804,Sales!$C$5:$C$804,A50))</f>
        <v>0</v>
      </c>
      <c r="BI50" s="20">
        <f>IF(B50="","",ROUND(SUMIFS(Sales!$V$5:$V$804,Sales!$C$5:$C$804,A50),2))</f>
        <v>0</v>
      </c>
      <c r="BJ50" s="20">
        <f>IF(B50="","",ROUND(SUMIFS(Sales!$AG$5:$AG$804,Sales!$C$5:$C$804,A50),2))</f>
        <v>0</v>
      </c>
      <c r="BK50" s="33">
        <f>IF(B50="","",IF(OR(BI50="",BI50=0),"",BJ50/BI50))</f>
        <v>0</v>
      </c>
      <c r="BL50" s="17">
        <f>IF(B50="","",IF(SUMPRODUCT(MAX((Sales!$C$5:$C$804=A50)*Sales!$B$5:$B$804))=0,"",SUMPRODUCT(MAX((Sales!$C$5:$C$804=A50)*Sales!$B$5:$B$804))))</f>
        <v>0</v>
      </c>
      <c r="BM50" s="17">
        <f>IF(B50="","",IF(SUMPRODUCT(MAX(('Price History'!$B$5:$B$304=A50)*'Price History'!$A$5:$A$304))=0,IF(P50="","",P50),SUMPRODUCT(MAX(('Price History'!$B$5:$B$304=A50)*'Price History'!$A$5:$A$304))))</f>
        <v>0</v>
      </c>
      <c r="BN50" s="32">
        <f>IF(B50="","",IF(BM50="","",TodayDate-BM50))</f>
        <v>0</v>
      </c>
      <c r="BO50" s="32">
        <f>IF(B50="","",COUNTIFS($AV$5:$AV$304,"&gt;"&amp;AV50)+COUNTIFS($AV$5:AV50,AV50))</f>
        <v>0</v>
      </c>
      <c r="BP50" s="32">
        <f>IF(B50="","",COUNTIFS($AW$5:$AW$304,"&gt;"&amp;AW50)+COUNTIFS($AW$5:AW50,AW50))</f>
        <v>0</v>
      </c>
      <c r="BQ50" s="32">
        <f>IF(B50="","",COUNTIFS($BI$5:$BI$304,"&gt;"&amp;BI50)+COUNTIFS($BI$5:BI50,BI50))</f>
        <v>0</v>
      </c>
      <c r="BR50" s="32">
        <f>IF(B50="","",COUNTIFS($AY$5:$AY$304,"&gt;"&amp;AY50)+COUNTIFS($AY$5:AY50,AY50))</f>
        <v>0</v>
      </c>
      <c r="BS50" s="43">
        <f>IF(B50="","",IF(AH50=0,"Add - no costs entered yet",IF(AR50="","Check - no price yet",IF(AV50&lt;0,"Loss - every sale costs you money",IF(AND(AZ50&lt;&gt;"",AZ50&lt;MinimumWage),"Below - pays under minimum wage",IF(AW50&lt;MarginWarning,"Low margin - re-price it",IF(AND(AF50&lt;&gt;"",K50&lt;&gt;"",K50+AC50&gt;AF50),"Check - too heavy for that postage band",IF(AND(BN50&lt;&gt;"",BN50&gt;PriceReviewDays),"Due - price has not been reviewed",IF(AND(BG50&lt;&gt;"",BG50&gt;0.5),"Check - well above the market","OK")))))))) )</f>
        <v>0</v>
      </c>
    </row>
    <row r="51" spans="1:71">
      <c r="A51" s="38">
        <f>IF(B51="","",ProductPrefix&amp;TEXT(ROW()-4,"0000"))</f>
        <v>0</v>
      </c>
      <c r="S51" s="38">
        <f>IF(B51="","",IF(C51&lt;&gt;"",C51,UPPER(LEFT(IF(D51="","GEN",D51),3))&amp;"-"&amp;TEXT(ROW()-4,"000")))</f>
        <v>0</v>
      </c>
      <c r="T51" s="20">
        <f>IF(B51="","",ROUND(SUMIFS('Material Usage'!$M$5:$M$904,'Material Usage'!$A$5:$A$904,A51)+SUMIFS(Crochet!$AD$5:$AD$84,Crochet!$A$5:$A$84,A51)+SUMIFS(Jewelry!$AF$5:$AF$84,Jewelry!$A$5:$A$84,A51)+SUMIFS(Candles!$AF$5:$AF$84,Candles!$A$5:$A$84,A51)+SUMIFS(Clothing!$AB$5:$AB$84,Clothing!$A$5:$A$84,A51)+SUMIFS(Woodworking!$AC$5:$AC$84,Woodworking!$A$5:$A$84,A51)+SUMIFS(Digital!$X$5:$X$84,Digital!$A$5:$A$84,A51),2))</f>
        <v>0</v>
      </c>
      <c r="U51" s="20">
        <f>IF(B51="","",ROUND(SUMIFS(Labor!$O$5:$O$304,Labor!$A$5:$A$304,A51)+SUMIFS(Crochet!$AG$5:$AG$84,Crochet!$A$5:$A$84,A51)+SUMIFS(Jewelry!$AI$5:$AI$84,Jewelry!$A$5:$A$84,A51)+SUMIFS(Candles!$AI$5:$AI$84,Candles!$A$5:$A$84,A51)+SUMIFS(Clothing!$AE$5:$AE$84,Clothing!$A$5:$A$84,A51)+SUMIFS(Woodworking!$AF$5:$AF$84,Woodworking!$A$5:$A$84,A51)+SUMIFS(Digital!$Z$5:$Z$84,Digital!$A$5:$A$84,A51),2))</f>
        <v>0</v>
      </c>
      <c r="V51" s="36">
        <f>IF(B51="","",ROUND(SUMIFS(Labor!$P$5:$P$304,Labor!$A$5:$A$304,A51)+SUMIFS(Crochet!$AE$5:$AE$84,Crochet!$A$5:$A$84,A51)+SUMIFS(Jewelry!$AG$5:$AG$84,Jewelry!$A$5:$A$84,A51)+SUMIFS(Candles!$AG$5:$AG$84,Candles!$A$5:$A$84,A51)+SUMIFS(Clothing!$AC$5:$AC$84,Clothing!$A$5:$A$84,A51)+SUMIFS(Woodworking!$AD$5:$AD$84,Woodworking!$A$5:$A$84,A51)+SUMIFS(Digital!$Y$5:$Y$84,Digital!$A$5:$A$84,A51),1))</f>
        <v>0</v>
      </c>
      <c r="W51" s="41">
        <f>IF(B51="","",IFERROR(INDEX(DiffTimeFactors,MATCH(G51,DiffNames,0)),1))</f>
        <v>0</v>
      </c>
      <c r="X51" s="36">
        <f>IF(B51="","",ROUND(V51*W51,1))</f>
        <v>0</v>
      </c>
      <c r="Y51" s="41">
        <f>IF(B51="","",ROUND(X51/60,3))</f>
        <v>0</v>
      </c>
      <c r="Z51" s="20">
        <f>IF(B51="","",ROUND(U51*W51,2))</f>
        <v>0</v>
      </c>
      <c r="AA51" s="20">
        <f>IF(B51="","",ROUND(SUMIFS(Labor!$Q$5:$Q$304,Labor!$A$5:$A$304,A51)+SUMIFS(Crochet!$AH$5:$AH$84,Crochet!$A$5:$A$84,A51)+SUMIFS(Jewelry!$AJ$5:$AJ$84,Jewelry!$A$5:$A$84,A51)+SUMIFS(Candles!$AJ$5:$AJ$84,Candles!$A$5:$A$84,A51)+SUMIFS(Clothing!$AF$5:$AF$84,Clothing!$A$5:$A$84,A51)+SUMIFS(Woodworking!$AH$5:$AH$84,Woodworking!$A$5:$A$84,A51)+SUMIFS(Digital!$AA$5:$AA$84,Digital!$A$5:$A$84,A51),2))</f>
        <v>0</v>
      </c>
      <c r="AB51" s="20">
        <f>IF(B51="","",ROUND(IF(I51="Budget",PackBudget,IF(I51="Standard",PackStandard,IF(I51="Gift",PackGift,IF(I51="Premium",PackPremium,DefaultPackaging)))),2))</f>
        <v>0</v>
      </c>
      <c r="AC51" s="36">
        <f>IF(B51="","",IF(I51="Budget",PackWeightBudget,IF(I51="Standard",PackWeightStandard,IF(I51="Gift",PackWeightGift,IF(I51="Premium",PackWeightPremium,0)))))</f>
        <v>0</v>
      </c>
      <c r="AD51" s="20">
        <f>IF(B51="","",IFERROR(INDEX(Shipping!$M$5:$M$64,MATCH(J51,Shipping!$L$5:$L$64,0)),DefaultShipping))</f>
        <v>0</v>
      </c>
      <c r="AE51" s="20">
        <f>IF(B51="","",IFERROR(INDEX(Shipping!$F$5:$F$64,MATCH(J51,Shipping!$L$5:$L$64,0)),0))</f>
        <v>0</v>
      </c>
      <c r="AF51" s="36">
        <f>IF(B51="","",IFERROR(INDEX(Shipping!$C$5:$C$64,MATCH(J51,Shipping!$L$5:$L$64,0)),""))</f>
        <v>0</v>
      </c>
      <c r="AG51" s="20">
        <f>IF(B51="","",ROUND(MAX(0,AD51-AE51),2))</f>
        <v>0</v>
      </c>
      <c r="AH51" s="20">
        <f>IF(B51="","",ROUND(T51+Z51+AA51+AB51+AG51,2))</f>
        <v>0</v>
      </c>
      <c r="AI51" s="33">
        <f>IF(B51="","",IFERROR(INDEX(Channels!$S$5:$S$18,MATCH(IF(H51="",DefaultChannel,H51),Channels!$A$5:$A$18,0)),0))</f>
        <v>0</v>
      </c>
      <c r="AJ51" s="42">
        <f>IF(B51="","",IFERROR(INDEX(Channels!$O$5:$O$18,MATCH(IF(H51="",DefaultChannel,H51),Channels!$A$5:$A$18,0)),"No"))</f>
        <v>0</v>
      </c>
      <c r="AK51" s="20">
        <f>IF(B51="","",ROUND(IFERROR(INDEX(Channels!$T$5:$T$18,MATCH(IF(H51="",DefaultChannel,H51),Channels!$A$5:$A$18,0)),0)+IF(AJ51="Yes",AE51*AI51,0),4))</f>
        <v>0</v>
      </c>
      <c r="AL51" s="33">
        <f>IF(B51="","",IF(OverheadMethod="Share of revenue",IF(RevenueTargetMonth&lt;=0,0,OverheadMonthly/RevenueTargetMonth),0))</f>
        <v>0</v>
      </c>
      <c r="AM51" s="20">
        <f>IF(B51="","",IF(OverheadMethod="Per hour worked",ROUND(OverheadPerHour*Y51,2),IF(OR(OverheadMethod="Per unit made",OverheadMethod="Per order"),OverheadPerUnit,0)))</f>
        <v>0</v>
      </c>
      <c r="AN51" s="33">
        <f>IF(B51="","",IF(N51&lt;&gt;"",N51,TargetRetailMargin))</f>
        <v>0</v>
      </c>
      <c r="AO51" s="41">
        <f>IF(B51="","",1-AN51-AI51-AL51)</f>
        <v>0</v>
      </c>
      <c r="AP51" s="20">
        <f>IF(B51="","",IF(AO51&lt;=0,"",(AH51+AM51+AK51)/AO51))</f>
        <v>0</v>
      </c>
      <c r="AQ51" s="20">
        <f>IF(B51="","",IF(AP51="","Check the settings",ROUND(IF(RoundingRule="None",AP51,IF(RoundingRule="Nearest 0.99",MAX(0.99,CEILING(AP51,1)-0.01),IF(RoundingRule="Nearest 0.95",MAX(0.95,CEILING(AP51,1)-0.05),IF(RoundingRule="Nearest 0.50",CEILING(AP51,0.5),IF(RoundingRule="Nearest 1",CEILING(AP51,1),IF(RoundingRule="Nearest 5",CEILING(AP51,5),IF(RoundingRule="Up to whole 1",CEILING(AP51,1),IF(RoundingRule="Up to whole 5",CEILING(AP51,5),ROUND(AP51,2))))))))),2)))</f>
        <v>0</v>
      </c>
      <c r="AR51" s="20">
        <f>IF(B51="","",IF(M51&lt;&gt;"",M51,IF(ISNUMBER(AQ51),AQ51,"")))</f>
        <v>0</v>
      </c>
      <c r="AS51" s="20">
        <f>IF(B51="","",IF(AR51="","",ROUND(AM51+AR51*AL51,2)))</f>
        <v>0</v>
      </c>
      <c r="AT51" s="20">
        <f>IF(B51="","",IF(AR51="","",ROUND(AH51+AS51,2)))</f>
        <v>0</v>
      </c>
      <c r="AU51" s="20">
        <f>IF(B51="","",IF(AR51="","",ROUND(AR51*AI51+AK51,2)))</f>
        <v>0</v>
      </c>
      <c r="AV51" s="20">
        <f>IF(B51="","",IF(AR51="","",ROUND(AR51-AT51-AU51,2)))</f>
        <v>0</v>
      </c>
      <c r="AW51" s="33">
        <f>IF(B51="","",IF(OR(AR51="",AR51=0),"",AV51/AR51))</f>
        <v>0</v>
      </c>
      <c r="AX51" s="33">
        <f>IF(B51="","",IF(OR(AT51="",AT51=0),"",AV51/AT51))</f>
        <v>0</v>
      </c>
      <c r="AY51" s="20">
        <f>IF(B51="","",IF(OR(Y51="",Y51=0,AV51=""),"",ROUND(AV51/Y51,2)))</f>
        <v>0</v>
      </c>
      <c r="AZ51" s="20">
        <f>IF(B51="","",IF(OR(Y51="",Y51=0,AV51=""),"",ROUND((AV51+Z51)/Y51,2)))</f>
        <v>0</v>
      </c>
      <c r="BA51" s="20">
        <f>IF(B51="","",IF(1-AI51-AL51&lt;=0,"",ROUND((AH51+AM51+AK51)/(1-AI51-AL51),2)))</f>
        <v>0</v>
      </c>
      <c r="BB51" s="20">
        <f>IF(B51="","",IF(AT51="","",ROUND(AT51*2,2)))</f>
        <v>0</v>
      </c>
      <c r="BC51" s="20">
        <f>IF(B51="","",IF(AR51="","",ROUND(AR51*(1-WholesaleDiscount),2)))</f>
        <v>0</v>
      </c>
      <c r="BD51" s="20">
        <f>IF(B51="","",IF(BC51="","",ROUND(BC51-AH51-AM51,2)))</f>
        <v>0</v>
      </c>
      <c r="BE51" s="33">
        <f>IF(B51="","",IF(OR(BC51="",BC51=0),"",BD51/BC51))</f>
        <v>0</v>
      </c>
      <c r="BF51" s="20">
        <f>IF(B51="","",IFERROR(ROUND(AVERAGEIFS(Competitors!$F$5:$F$154,Competitors!$A$5:$A$154,A51),2),""))</f>
        <v>0</v>
      </c>
      <c r="BG51" s="33">
        <f>IF(B51="","",IF(OR(BF51="",BF51=0,AR51=""),"",AR51/BF51-1))</f>
        <v>0</v>
      </c>
      <c r="BH51" s="32">
        <f>IF(B51="","",SUMIFS(Sales!$D$5:$D$804,Sales!$C$5:$C$804,A51))</f>
        <v>0</v>
      </c>
      <c r="BI51" s="20">
        <f>IF(B51="","",ROUND(SUMIFS(Sales!$V$5:$V$804,Sales!$C$5:$C$804,A51),2))</f>
        <v>0</v>
      </c>
      <c r="BJ51" s="20">
        <f>IF(B51="","",ROUND(SUMIFS(Sales!$AG$5:$AG$804,Sales!$C$5:$C$804,A51),2))</f>
        <v>0</v>
      </c>
      <c r="BK51" s="33">
        <f>IF(B51="","",IF(OR(BI51="",BI51=0),"",BJ51/BI51))</f>
        <v>0</v>
      </c>
      <c r="BL51" s="17">
        <f>IF(B51="","",IF(SUMPRODUCT(MAX((Sales!$C$5:$C$804=A51)*Sales!$B$5:$B$804))=0,"",SUMPRODUCT(MAX((Sales!$C$5:$C$804=A51)*Sales!$B$5:$B$804))))</f>
        <v>0</v>
      </c>
      <c r="BM51" s="17">
        <f>IF(B51="","",IF(SUMPRODUCT(MAX(('Price History'!$B$5:$B$304=A51)*'Price History'!$A$5:$A$304))=0,IF(P51="","",P51),SUMPRODUCT(MAX(('Price History'!$B$5:$B$304=A51)*'Price History'!$A$5:$A$304))))</f>
        <v>0</v>
      </c>
      <c r="BN51" s="32">
        <f>IF(B51="","",IF(BM51="","",TodayDate-BM51))</f>
        <v>0</v>
      </c>
      <c r="BO51" s="32">
        <f>IF(B51="","",COUNTIFS($AV$5:$AV$304,"&gt;"&amp;AV51)+COUNTIFS($AV$5:AV51,AV51))</f>
        <v>0</v>
      </c>
      <c r="BP51" s="32">
        <f>IF(B51="","",COUNTIFS($AW$5:$AW$304,"&gt;"&amp;AW51)+COUNTIFS($AW$5:AW51,AW51))</f>
        <v>0</v>
      </c>
      <c r="BQ51" s="32">
        <f>IF(B51="","",COUNTIFS($BI$5:$BI$304,"&gt;"&amp;BI51)+COUNTIFS($BI$5:BI51,BI51))</f>
        <v>0</v>
      </c>
      <c r="BR51" s="32">
        <f>IF(B51="","",COUNTIFS($AY$5:$AY$304,"&gt;"&amp;AY51)+COUNTIFS($AY$5:AY51,AY51))</f>
        <v>0</v>
      </c>
      <c r="BS51" s="43">
        <f>IF(B51="","",IF(AH51=0,"Add - no costs entered yet",IF(AR51="","Check - no price yet",IF(AV51&lt;0,"Loss - every sale costs you money",IF(AND(AZ51&lt;&gt;"",AZ51&lt;MinimumWage),"Below - pays under minimum wage",IF(AW51&lt;MarginWarning,"Low margin - re-price it",IF(AND(AF51&lt;&gt;"",K51&lt;&gt;"",K51+AC51&gt;AF51),"Check - too heavy for that postage band",IF(AND(BN51&lt;&gt;"",BN51&gt;PriceReviewDays),"Due - price has not been reviewed",IF(AND(BG51&lt;&gt;"",BG51&gt;0.5),"Check - well above the market","OK")))))))) )</f>
        <v>0</v>
      </c>
    </row>
    <row r="52" spans="1:71">
      <c r="A52" s="38">
        <f>IF(B52="","",ProductPrefix&amp;TEXT(ROW()-4,"0000"))</f>
        <v>0</v>
      </c>
      <c r="S52" s="38">
        <f>IF(B52="","",IF(C52&lt;&gt;"",C52,UPPER(LEFT(IF(D52="","GEN",D52),3))&amp;"-"&amp;TEXT(ROW()-4,"000")))</f>
        <v>0</v>
      </c>
      <c r="T52" s="20">
        <f>IF(B52="","",ROUND(SUMIFS('Material Usage'!$M$5:$M$904,'Material Usage'!$A$5:$A$904,A52)+SUMIFS(Crochet!$AD$5:$AD$84,Crochet!$A$5:$A$84,A52)+SUMIFS(Jewelry!$AF$5:$AF$84,Jewelry!$A$5:$A$84,A52)+SUMIFS(Candles!$AF$5:$AF$84,Candles!$A$5:$A$84,A52)+SUMIFS(Clothing!$AB$5:$AB$84,Clothing!$A$5:$A$84,A52)+SUMIFS(Woodworking!$AC$5:$AC$84,Woodworking!$A$5:$A$84,A52)+SUMIFS(Digital!$X$5:$X$84,Digital!$A$5:$A$84,A52),2))</f>
        <v>0</v>
      </c>
      <c r="U52" s="20">
        <f>IF(B52="","",ROUND(SUMIFS(Labor!$O$5:$O$304,Labor!$A$5:$A$304,A52)+SUMIFS(Crochet!$AG$5:$AG$84,Crochet!$A$5:$A$84,A52)+SUMIFS(Jewelry!$AI$5:$AI$84,Jewelry!$A$5:$A$84,A52)+SUMIFS(Candles!$AI$5:$AI$84,Candles!$A$5:$A$84,A52)+SUMIFS(Clothing!$AE$5:$AE$84,Clothing!$A$5:$A$84,A52)+SUMIFS(Woodworking!$AF$5:$AF$84,Woodworking!$A$5:$A$84,A52)+SUMIFS(Digital!$Z$5:$Z$84,Digital!$A$5:$A$84,A52),2))</f>
        <v>0</v>
      </c>
      <c r="V52" s="36">
        <f>IF(B52="","",ROUND(SUMIFS(Labor!$P$5:$P$304,Labor!$A$5:$A$304,A52)+SUMIFS(Crochet!$AE$5:$AE$84,Crochet!$A$5:$A$84,A52)+SUMIFS(Jewelry!$AG$5:$AG$84,Jewelry!$A$5:$A$84,A52)+SUMIFS(Candles!$AG$5:$AG$84,Candles!$A$5:$A$84,A52)+SUMIFS(Clothing!$AC$5:$AC$84,Clothing!$A$5:$A$84,A52)+SUMIFS(Woodworking!$AD$5:$AD$84,Woodworking!$A$5:$A$84,A52)+SUMIFS(Digital!$Y$5:$Y$84,Digital!$A$5:$A$84,A52),1))</f>
        <v>0</v>
      </c>
      <c r="W52" s="41">
        <f>IF(B52="","",IFERROR(INDEX(DiffTimeFactors,MATCH(G52,DiffNames,0)),1))</f>
        <v>0</v>
      </c>
      <c r="X52" s="36">
        <f>IF(B52="","",ROUND(V52*W52,1))</f>
        <v>0</v>
      </c>
      <c r="Y52" s="41">
        <f>IF(B52="","",ROUND(X52/60,3))</f>
        <v>0</v>
      </c>
      <c r="Z52" s="20">
        <f>IF(B52="","",ROUND(U52*W52,2))</f>
        <v>0</v>
      </c>
      <c r="AA52" s="20">
        <f>IF(B52="","",ROUND(SUMIFS(Labor!$Q$5:$Q$304,Labor!$A$5:$A$304,A52)+SUMIFS(Crochet!$AH$5:$AH$84,Crochet!$A$5:$A$84,A52)+SUMIFS(Jewelry!$AJ$5:$AJ$84,Jewelry!$A$5:$A$84,A52)+SUMIFS(Candles!$AJ$5:$AJ$84,Candles!$A$5:$A$84,A52)+SUMIFS(Clothing!$AF$5:$AF$84,Clothing!$A$5:$A$84,A52)+SUMIFS(Woodworking!$AH$5:$AH$84,Woodworking!$A$5:$A$84,A52)+SUMIFS(Digital!$AA$5:$AA$84,Digital!$A$5:$A$84,A52),2))</f>
        <v>0</v>
      </c>
      <c r="AB52" s="20">
        <f>IF(B52="","",ROUND(IF(I52="Budget",PackBudget,IF(I52="Standard",PackStandard,IF(I52="Gift",PackGift,IF(I52="Premium",PackPremium,DefaultPackaging)))),2))</f>
        <v>0</v>
      </c>
      <c r="AC52" s="36">
        <f>IF(B52="","",IF(I52="Budget",PackWeightBudget,IF(I52="Standard",PackWeightStandard,IF(I52="Gift",PackWeightGift,IF(I52="Premium",PackWeightPremium,0)))))</f>
        <v>0</v>
      </c>
      <c r="AD52" s="20">
        <f>IF(B52="","",IFERROR(INDEX(Shipping!$M$5:$M$64,MATCH(J52,Shipping!$L$5:$L$64,0)),DefaultShipping))</f>
        <v>0</v>
      </c>
      <c r="AE52" s="20">
        <f>IF(B52="","",IFERROR(INDEX(Shipping!$F$5:$F$64,MATCH(J52,Shipping!$L$5:$L$64,0)),0))</f>
        <v>0</v>
      </c>
      <c r="AF52" s="36">
        <f>IF(B52="","",IFERROR(INDEX(Shipping!$C$5:$C$64,MATCH(J52,Shipping!$L$5:$L$64,0)),""))</f>
        <v>0</v>
      </c>
      <c r="AG52" s="20">
        <f>IF(B52="","",ROUND(MAX(0,AD52-AE52),2))</f>
        <v>0</v>
      </c>
      <c r="AH52" s="20">
        <f>IF(B52="","",ROUND(T52+Z52+AA52+AB52+AG52,2))</f>
        <v>0</v>
      </c>
      <c r="AI52" s="33">
        <f>IF(B52="","",IFERROR(INDEX(Channels!$S$5:$S$18,MATCH(IF(H52="",DefaultChannel,H52),Channels!$A$5:$A$18,0)),0))</f>
        <v>0</v>
      </c>
      <c r="AJ52" s="42">
        <f>IF(B52="","",IFERROR(INDEX(Channels!$O$5:$O$18,MATCH(IF(H52="",DefaultChannel,H52),Channels!$A$5:$A$18,0)),"No"))</f>
        <v>0</v>
      </c>
      <c r="AK52" s="20">
        <f>IF(B52="","",ROUND(IFERROR(INDEX(Channels!$T$5:$T$18,MATCH(IF(H52="",DefaultChannel,H52),Channels!$A$5:$A$18,0)),0)+IF(AJ52="Yes",AE52*AI52,0),4))</f>
        <v>0</v>
      </c>
      <c r="AL52" s="33">
        <f>IF(B52="","",IF(OverheadMethod="Share of revenue",IF(RevenueTargetMonth&lt;=0,0,OverheadMonthly/RevenueTargetMonth),0))</f>
        <v>0</v>
      </c>
      <c r="AM52" s="20">
        <f>IF(B52="","",IF(OverheadMethod="Per hour worked",ROUND(OverheadPerHour*Y52,2),IF(OR(OverheadMethod="Per unit made",OverheadMethod="Per order"),OverheadPerUnit,0)))</f>
        <v>0</v>
      </c>
      <c r="AN52" s="33">
        <f>IF(B52="","",IF(N52&lt;&gt;"",N52,TargetRetailMargin))</f>
        <v>0</v>
      </c>
      <c r="AO52" s="41">
        <f>IF(B52="","",1-AN52-AI52-AL52)</f>
        <v>0</v>
      </c>
      <c r="AP52" s="20">
        <f>IF(B52="","",IF(AO52&lt;=0,"",(AH52+AM52+AK52)/AO52))</f>
        <v>0</v>
      </c>
      <c r="AQ52" s="20">
        <f>IF(B52="","",IF(AP52="","Check the settings",ROUND(IF(RoundingRule="None",AP52,IF(RoundingRule="Nearest 0.99",MAX(0.99,CEILING(AP52,1)-0.01),IF(RoundingRule="Nearest 0.95",MAX(0.95,CEILING(AP52,1)-0.05),IF(RoundingRule="Nearest 0.50",CEILING(AP52,0.5),IF(RoundingRule="Nearest 1",CEILING(AP52,1),IF(RoundingRule="Nearest 5",CEILING(AP52,5),IF(RoundingRule="Up to whole 1",CEILING(AP52,1),IF(RoundingRule="Up to whole 5",CEILING(AP52,5),ROUND(AP52,2))))))))),2)))</f>
        <v>0</v>
      </c>
      <c r="AR52" s="20">
        <f>IF(B52="","",IF(M52&lt;&gt;"",M52,IF(ISNUMBER(AQ52),AQ52,"")))</f>
        <v>0</v>
      </c>
      <c r="AS52" s="20">
        <f>IF(B52="","",IF(AR52="","",ROUND(AM52+AR52*AL52,2)))</f>
        <v>0</v>
      </c>
      <c r="AT52" s="20">
        <f>IF(B52="","",IF(AR52="","",ROUND(AH52+AS52,2)))</f>
        <v>0</v>
      </c>
      <c r="AU52" s="20">
        <f>IF(B52="","",IF(AR52="","",ROUND(AR52*AI52+AK52,2)))</f>
        <v>0</v>
      </c>
      <c r="AV52" s="20">
        <f>IF(B52="","",IF(AR52="","",ROUND(AR52-AT52-AU52,2)))</f>
        <v>0</v>
      </c>
      <c r="AW52" s="33">
        <f>IF(B52="","",IF(OR(AR52="",AR52=0),"",AV52/AR52))</f>
        <v>0</v>
      </c>
      <c r="AX52" s="33">
        <f>IF(B52="","",IF(OR(AT52="",AT52=0),"",AV52/AT52))</f>
        <v>0</v>
      </c>
      <c r="AY52" s="20">
        <f>IF(B52="","",IF(OR(Y52="",Y52=0,AV52=""),"",ROUND(AV52/Y52,2)))</f>
        <v>0</v>
      </c>
      <c r="AZ52" s="20">
        <f>IF(B52="","",IF(OR(Y52="",Y52=0,AV52=""),"",ROUND((AV52+Z52)/Y52,2)))</f>
        <v>0</v>
      </c>
      <c r="BA52" s="20">
        <f>IF(B52="","",IF(1-AI52-AL52&lt;=0,"",ROUND((AH52+AM52+AK52)/(1-AI52-AL52),2)))</f>
        <v>0</v>
      </c>
      <c r="BB52" s="20">
        <f>IF(B52="","",IF(AT52="","",ROUND(AT52*2,2)))</f>
        <v>0</v>
      </c>
      <c r="BC52" s="20">
        <f>IF(B52="","",IF(AR52="","",ROUND(AR52*(1-WholesaleDiscount),2)))</f>
        <v>0</v>
      </c>
      <c r="BD52" s="20">
        <f>IF(B52="","",IF(BC52="","",ROUND(BC52-AH52-AM52,2)))</f>
        <v>0</v>
      </c>
      <c r="BE52" s="33">
        <f>IF(B52="","",IF(OR(BC52="",BC52=0),"",BD52/BC52))</f>
        <v>0</v>
      </c>
      <c r="BF52" s="20">
        <f>IF(B52="","",IFERROR(ROUND(AVERAGEIFS(Competitors!$F$5:$F$154,Competitors!$A$5:$A$154,A52),2),""))</f>
        <v>0</v>
      </c>
      <c r="BG52" s="33">
        <f>IF(B52="","",IF(OR(BF52="",BF52=0,AR52=""),"",AR52/BF52-1))</f>
        <v>0</v>
      </c>
      <c r="BH52" s="32">
        <f>IF(B52="","",SUMIFS(Sales!$D$5:$D$804,Sales!$C$5:$C$804,A52))</f>
        <v>0</v>
      </c>
      <c r="BI52" s="20">
        <f>IF(B52="","",ROUND(SUMIFS(Sales!$V$5:$V$804,Sales!$C$5:$C$804,A52),2))</f>
        <v>0</v>
      </c>
      <c r="BJ52" s="20">
        <f>IF(B52="","",ROUND(SUMIFS(Sales!$AG$5:$AG$804,Sales!$C$5:$C$804,A52),2))</f>
        <v>0</v>
      </c>
      <c r="BK52" s="33">
        <f>IF(B52="","",IF(OR(BI52="",BI52=0),"",BJ52/BI52))</f>
        <v>0</v>
      </c>
      <c r="BL52" s="17">
        <f>IF(B52="","",IF(SUMPRODUCT(MAX((Sales!$C$5:$C$804=A52)*Sales!$B$5:$B$804))=0,"",SUMPRODUCT(MAX((Sales!$C$5:$C$804=A52)*Sales!$B$5:$B$804))))</f>
        <v>0</v>
      </c>
      <c r="BM52" s="17">
        <f>IF(B52="","",IF(SUMPRODUCT(MAX(('Price History'!$B$5:$B$304=A52)*'Price History'!$A$5:$A$304))=0,IF(P52="","",P52),SUMPRODUCT(MAX(('Price History'!$B$5:$B$304=A52)*'Price History'!$A$5:$A$304))))</f>
        <v>0</v>
      </c>
      <c r="BN52" s="32">
        <f>IF(B52="","",IF(BM52="","",TodayDate-BM52))</f>
        <v>0</v>
      </c>
      <c r="BO52" s="32">
        <f>IF(B52="","",COUNTIFS($AV$5:$AV$304,"&gt;"&amp;AV52)+COUNTIFS($AV$5:AV52,AV52))</f>
        <v>0</v>
      </c>
      <c r="BP52" s="32">
        <f>IF(B52="","",COUNTIFS($AW$5:$AW$304,"&gt;"&amp;AW52)+COUNTIFS($AW$5:AW52,AW52))</f>
        <v>0</v>
      </c>
      <c r="BQ52" s="32">
        <f>IF(B52="","",COUNTIFS($BI$5:$BI$304,"&gt;"&amp;BI52)+COUNTIFS($BI$5:BI52,BI52))</f>
        <v>0</v>
      </c>
      <c r="BR52" s="32">
        <f>IF(B52="","",COUNTIFS($AY$5:$AY$304,"&gt;"&amp;AY52)+COUNTIFS($AY$5:AY52,AY52))</f>
        <v>0</v>
      </c>
      <c r="BS52" s="43">
        <f>IF(B52="","",IF(AH52=0,"Add - no costs entered yet",IF(AR52="","Check - no price yet",IF(AV52&lt;0,"Loss - every sale costs you money",IF(AND(AZ52&lt;&gt;"",AZ52&lt;MinimumWage),"Below - pays under minimum wage",IF(AW52&lt;MarginWarning,"Low margin - re-price it",IF(AND(AF52&lt;&gt;"",K52&lt;&gt;"",K52+AC52&gt;AF52),"Check - too heavy for that postage band",IF(AND(BN52&lt;&gt;"",BN52&gt;PriceReviewDays),"Due - price has not been reviewed",IF(AND(BG52&lt;&gt;"",BG52&gt;0.5),"Check - well above the market","OK")))))))) )</f>
        <v>0</v>
      </c>
    </row>
    <row r="53" spans="1:71">
      <c r="A53" s="38">
        <f>IF(B53="","",ProductPrefix&amp;TEXT(ROW()-4,"0000"))</f>
        <v>0</v>
      </c>
      <c r="S53" s="38">
        <f>IF(B53="","",IF(C53&lt;&gt;"",C53,UPPER(LEFT(IF(D53="","GEN",D53),3))&amp;"-"&amp;TEXT(ROW()-4,"000")))</f>
        <v>0</v>
      </c>
      <c r="T53" s="20">
        <f>IF(B53="","",ROUND(SUMIFS('Material Usage'!$M$5:$M$904,'Material Usage'!$A$5:$A$904,A53)+SUMIFS(Crochet!$AD$5:$AD$84,Crochet!$A$5:$A$84,A53)+SUMIFS(Jewelry!$AF$5:$AF$84,Jewelry!$A$5:$A$84,A53)+SUMIFS(Candles!$AF$5:$AF$84,Candles!$A$5:$A$84,A53)+SUMIFS(Clothing!$AB$5:$AB$84,Clothing!$A$5:$A$84,A53)+SUMIFS(Woodworking!$AC$5:$AC$84,Woodworking!$A$5:$A$84,A53)+SUMIFS(Digital!$X$5:$X$84,Digital!$A$5:$A$84,A53),2))</f>
        <v>0</v>
      </c>
      <c r="U53" s="20">
        <f>IF(B53="","",ROUND(SUMIFS(Labor!$O$5:$O$304,Labor!$A$5:$A$304,A53)+SUMIFS(Crochet!$AG$5:$AG$84,Crochet!$A$5:$A$84,A53)+SUMIFS(Jewelry!$AI$5:$AI$84,Jewelry!$A$5:$A$84,A53)+SUMIFS(Candles!$AI$5:$AI$84,Candles!$A$5:$A$84,A53)+SUMIFS(Clothing!$AE$5:$AE$84,Clothing!$A$5:$A$84,A53)+SUMIFS(Woodworking!$AF$5:$AF$84,Woodworking!$A$5:$A$84,A53)+SUMIFS(Digital!$Z$5:$Z$84,Digital!$A$5:$A$84,A53),2))</f>
        <v>0</v>
      </c>
      <c r="V53" s="36">
        <f>IF(B53="","",ROUND(SUMIFS(Labor!$P$5:$P$304,Labor!$A$5:$A$304,A53)+SUMIFS(Crochet!$AE$5:$AE$84,Crochet!$A$5:$A$84,A53)+SUMIFS(Jewelry!$AG$5:$AG$84,Jewelry!$A$5:$A$84,A53)+SUMIFS(Candles!$AG$5:$AG$84,Candles!$A$5:$A$84,A53)+SUMIFS(Clothing!$AC$5:$AC$84,Clothing!$A$5:$A$84,A53)+SUMIFS(Woodworking!$AD$5:$AD$84,Woodworking!$A$5:$A$84,A53)+SUMIFS(Digital!$Y$5:$Y$84,Digital!$A$5:$A$84,A53),1))</f>
        <v>0</v>
      </c>
      <c r="W53" s="41">
        <f>IF(B53="","",IFERROR(INDEX(DiffTimeFactors,MATCH(G53,DiffNames,0)),1))</f>
        <v>0</v>
      </c>
      <c r="X53" s="36">
        <f>IF(B53="","",ROUND(V53*W53,1))</f>
        <v>0</v>
      </c>
      <c r="Y53" s="41">
        <f>IF(B53="","",ROUND(X53/60,3))</f>
        <v>0</v>
      </c>
      <c r="Z53" s="20">
        <f>IF(B53="","",ROUND(U53*W53,2))</f>
        <v>0</v>
      </c>
      <c r="AA53" s="20">
        <f>IF(B53="","",ROUND(SUMIFS(Labor!$Q$5:$Q$304,Labor!$A$5:$A$304,A53)+SUMIFS(Crochet!$AH$5:$AH$84,Crochet!$A$5:$A$84,A53)+SUMIFS(Jewelry!$AJ$5:$AJ$84,Jewelry!$A$5:$A$84,A53)+SUMIFS(Candles!$AJ$5:$AJ$84,Candles!$A$5:$A$84,A53)+SUMIFS(Clothing!$AF$5:$AF$84,Clothing!$A$5:$A$84,A53)+SUMIFS(Woodworking!$AH$5:$AH$84,Woodworking!$A$5:$A$84,A53)+SUMIFS(Digital!$AA$5:$AA$84,Digital!$A$5:$A$84,A53),2))</f>
        <v>0</v>
      </c>
      <c r="AB53" s="20">
        <f>IF(B53="","",ROUND(IF(I53="Budget",PackBudget,IF(I53="Standard",PackStandard,IF(I53="Gift",PackGift,IF(I53="Premium",PackPremium,DefaultPackaging)))),2))</f>
        <v>0</v>
      </c>
      <c r="AC53" s="36">
        <f>IF(B53="","",IF(I53="Budget",PackWeightBudget,IF(I53="Standard",PackWeightStandard,IF(I53="Gift",PackWeightGift,IF(I53="Premium",PackWeightPremium,0)))))</f>
        <v>0</v>
      </c>
      <c r="AD53" s="20">
        <f>IF(B53="","",IFERROR(INDEX(Shipping!$M$5:$M$64,MATCH(J53,Shipping!$L$5:$L$64,0)),DefaultShipping))</f>
        <v>0</v>
      </c>
      <c r="AE53" s="20">
        <f>IF(B53="","",IFERROR(INDEX(Shipping!$F$5:$F$64,MATCH(J53,Shipping!$L$5:$L$64,0)),0))</f>
        <v>0</v>
      </c>
      <c r="AF53" s="36">
        <f>IF(B53="","",IFERROR(INDEX(Shipping!$C$5:$C$64,MATCH(J53,Shipping!$L$5:$L$64,0)),""))</f>
        <v>0</v>
      </c>
      <c r="AG53" s="20">
        <f>IF(B53="","",ROUND(MAX(0,AD53-AE53),2))</f>
        <v>0</v>
      </c>
      <c r="AH53" s="20">
        <f>IF(B53="","",ROUND(T53+Z53+AA53+AB53+AG53,2))</f>
        <v>0</v>
      </c>
      <c r="AI53" s="33">
        <f>IF(B53="","",IFERROR(INDEX(Channels!$S$5:$S$18,MATCH(IF(H53="",DefaultChannel,H53),Channels!$A$5:$A$18,0)),0))</f>
        <v>0</v>
      </c>
      <c r="AJ53" s="42">
        <f>IF(B53="","",IFERROR(INDEX(Channels!$O$5:$O$18,MATCH(IF(H53="",DefaultChannel,H53),Channels!$A$5:$A$18,0)),"No"))</f>
        <v>0</v>
      </c>
      <c r="AK53" s="20">
        <f>IF(B53="","",ROUND(IFERROR(INDEX(Channels!$T$5:$T$18,MATCH(IF(H53="",DefaultChannel,H53),Channels!$A$5:$A$18,0)),0)+IF(AJ53="Yes",AE53*AI53,0),4))</f>
        <v>0</v>
      </c>
      <c r="AL53" s="33">
        <f>IF(B53="","",IF(OverheadMethod="Share of revenue",IF(RevenueTargetMonth&lt;=0,0,OverheadMonthly/RevenueTargetMonth),0))</f>
        <v>0</v>
      </c>
      <c r="AM53" s="20">
        <f>IF(B53="","",IF(OverheadMethod="Per hour worked",ROUND(OverheadPerHour*Y53,2),IF(OR(OverheadMethod="Per unit made",OverheadMethod="Per order"),OverheadPerUnit,0)))</f>
        <v>0</v>
      </c>
      <c r="AN53" s="33">
        <f>IF(B53="","",IF(N53&lt;&gt;"",N53,TargetRetailMargin))</f>
        <v>0</v>
      </c>
      <c r="AO53" s="41">
        <f>IF(B53="","",1-AN53-AI53-AL53)</f>
        <v>0</v>
      </c>
      <c r="AP53" s="20">
        <f>IF(B53="","",IF(AO53&lt;=0,"",(AH53+AM53+AK53)/AO53))</f>
        <v>0</v>
      </c>
      <c r="AQ53" s="20">
        <f>IF(B53="","",IF(AP53="","Check the settings",ROUND(IF(RoundingRule="None",AP53,IF(RoundingRule="Nearest 0.99",MAX(0.99,CEILING(AP53,1)-0.01),IF(RoundingRule="Nearest 0.95",MAX(0.95,CEILING(AP53,1)-0.05),IF(RoundingRule="Nearest 0.50",CEILING(AP53,0.5),IF(RoundingRule="Nearest 1",CEILING(AP53,1),IF(RoundingRule="Nearest 5",CEILING(AP53,5),IF(RoundingRule="Up to whole 1",CEILING(AP53,1),IF(RoundingRule="Up to whole 5",CEILING(AP53,5),ROUND(AP53,2))))))))),2)))</f>
        <v>0</v>
      </c>
      <c r="AR53" s="20">
        <f>IF(B53="","",IF(M53&lt;&gt;"",M53,IF(ISNUMBER(AQ53),AQ53,"")))</f>
        <v>0</v>
      </c>
      <c r="AS53" s="20">
        <f>IF(B53="","",IF(AR53="","",ROUND(AM53+AR53*AL53,2)))</f>
        <v>0</v>
      </c>
      <c r="AT53" s="20">
        <f>IF(B53="","",IF(AR53="","",ROUND(AH53+AS53,2)))</f>
        <v>0</v>
      </c>
      <c r="AU53" s="20">
        <f>IF(B53="","",IF(AR53="","",ROUND(AR53*AI53+AK53,2)))</f>
        <v>0</v>
      </c>
      <c r="AV53" s="20">
        <f>IF(B53="","",IF(AR53="","",ROUND(AR53-AT53-AU53,2)))</f>
        <v>0</v>
      </c>
      <c r="AW53" s="33">
        <f>IF(B53="","",IF(OR(AR53="",AR53=0),"",AV53/AR53))</f>
        <v>0</v>
      </c>
      <c r="AX53" s="33">
        <f>IF(B53="","",IF(OR(AT53="",AT53=0),"",AV53/AT53))</f>
        <v>0</v>
      </c>
      <c r="AY53" s="20">
        <f>IF(B53="","",IF(OR(Y53="",Y53=0,AV53=""),"",ROUND(AV53/Y53,2)))</f>
        <v>0</v>
      </c>
      <c r="AZ53" s="20">
        <f>IF(B53="","",IF(OR(Y53="",Y53=0,AV53=""),"",ROUND((AV53+Z53)/Y53,2)))</f>
        <v>0</v>
      </c>
      <c r="BA53" s="20">
        <f>IF(B53="","",IF(1-AI53-AL53&lt;=0,"",ROUND((AH53+AM53+AK53)/(1-AI53-AL53),2)))</f>
        <v>0</v>
      </c>
      <c r="BB53" s="20">
        <f>IF(B53="","",IF(AT53="","",ROUND(AT53*2,2)))</f>
        <v>0</v>
      </c>
      <c r="BC53" s="20">
        <f>IF(B53="","",IF(AR53="","",ROUND(AR53*(1-WholesaleDiscount),2)))</f>
        <v>0</v>
      </c>
      <c r="BD53" s="20">
        <f>IF(B53="","",IF(BC53="","",ROUND(BC53-AH53-AM53,2)))</f>
        <v>0</v>
      </c>
      <c r="BE53" s="33">
        <f>IF(B53="","",IF(OR(BC53="",BC53=0),"",BD53/BC53))</f>
        <v>0</v>
      </c>
      <c r="BF53" s="20">
        <f>IF(B53="","",IFERROR(ROUND(AVERAGEIFS(Competitors!$F$5:$F$154,Competitors!$A$5:$A$154,A53),2),""))</f>
        <v>0</v>
      </c>
      <c r="BG53" s="33">
        <f>IF(B53="","",IF(OR(BF53="",BF53=0,AR53=""),"",AR53/BF53-1))</f>
        <v>0</v>
      </c>
      <c r="BH53" s="32">
        <f>IF(B53="","",SUMIFS(Sales!$D$5:$D$804,Sales!$C$5:$C$804,A53))</f>
        <v>0</v>
      </c>
      <c r="BI53" s="20">
        <f>IF(B53="","",ROUND(SUMIFS(Sales!$V$5:$V$804,Sales!$C$5:$C$804,A53),2))</f>
        <v>0</v>
      </c>
      <c r="BJ53" s="20">
        <f>IF(B53="","",ROUND(SUMIFS(Sales!$AG$5:$AG$804,Sales!$C$5:$C$804,A53),2))</f>
        <v>0</v>
      </c>
      <c r="BK53" s="33">
        <f>IF(B53="","",IF(OR(BI53="",BI53=0),"",BJ53/BI53))</f>
        <v>0</v>
      </c>
      <c r="BL53" s="17">
        <f>IF(B53="","",IF(SUMPRODUCT(MAX((Sales!$C$5:$C$804=A53)*Sales!$B$5:$B$804))=0,"",SUMPRODUCT(MAX((Sales!$C$5:$C$804=A53)*Sales!$B$5:$B$804))))</f>
        <v>0</v>
      </c>
      <c r="BM53" s="17">
        <f>IF(B53="","",IF(SUMPRODUCT(MAX(('Price History'!$B$5:$B$304=A53)*'Price History'!$A$5:$A$304))=0,IF(P53="","",P53),SUMPRODUCT(MAX(('Price History'!$B$5:$B$304=A53)*'Price History'!$A$5:$A$304))))</f>
        <v>0</v>
      </c>
      <c r="BN53" s="32">
        <f>IF(B53="","",IF(BM53="","",TodayDate-BM53))</f>
        <v>0</v>
      </c>
      <c r="BO53" s="32">
        <f>IF(B53="","",COUNTIFS($AV$5:$AV$304,"&gt;"&amp;AV53)+COUNTIFS($AV$5:AV53,AV53))</f>
        <v>0</v>
      </c>
      <c r="BP53" s="32">
        <f>IF(B53="","",COUNTIFS($AW$5:$AW$304,"&gt;"&amp;AW53)+COUNTIFS($AW$5:AW53,AW53))</f>
        <v>0</v>
      </c>
      <c r="BQ53" s="32">
        <f>IF(B53="","",COUNTIFS($BI$5:$BI$304,"&gt;"&amp;BI53)+COUNTIFS($BI$5:BI53,BI53))</f>
        <v>0</v>
      </c>
      <c r="BR53" s="32">
        <f>IF(B53="","",COUNTIFS($AY$5:$AY$304,"&gt;"&amp;AY53)+COUNTIFS($AY$5:AY53,AY53))</f>
        <v>0</v>
      </c>
      <c r="BS53" s="43">
        <f>IF(B53="","",IF(AH53=0,"Add - no costs entered yet",IF(AR53="","Check - no price yet",IF(AV53&lt;0,"Loss - every sale costs you money",IF(AND(AZ53&lt;&gt;"",AZ53&lt;MinimumWage),"Below - pays under minimum wage",IF(AW53&lt;MarginWarning,"Low margin - re-price it",IF(AND(AF53&lt;&gt;"",K53&lt;&gt;"",K53+AC53&gt;AF53),"Check - too heavy for that postage band",IF(AND(BN53&lt;&gt;"",BN53&gt;PriceReviewDays),"Due - price has not been reviewed",IF(AND(BG53&lt;&gt;"",BG53&gt;0.5),"Check - well above the market","OK")))))))) )</f>
        <v>0</v>
      </c>
    </row>
    <row r="54" spans="1:71">
      <c r="A54" s="38">
        <f>IF(B54="","",ProductPrefix&amp;TEXT(ROW()-4,"0000"))</f>
        <v>0</v>
      </c>
      <c r="S54" s="38">
        <f>IF(B54="","",IF(C54&lt;&gt;"",C54,UPPER(LEFT(IF(D54="","GEN",D54),3))&amp;"-"&amp;TEXT(ROW()-4,"000")))</f>
        <v>0</v>
      </c>
      <c r="T54" s="20">
        <f>IF(B54="","",ROUND(SUMIFS('Material Usage'!$M$5:$M$904,'Material Usage'!$A$5:$A$904,A54)+SUMIFS(Crochet!$AD$5:$AD$84,Crochet!$A$5:$A$84,A54)+SUMIFS(Jewelry!$AF$5:$AF$84,Jewelry!$A$5:$A$84,A54)+SUMIFS(Candles!$AF$5:$AF$84,Candles!$A$5:$A$84,A54)+SUMIFS(Clothing!$AB$5:$AB$84,Clothing!$A$5:$A$84,A54)+SUMIFS(Woodworking!$AC$5:$AC$84,Woodworking!$A$5:$A$84,A54)+SUMIFS(Digital!$X$5:$X$84,Digital!$A$5:$A$84,A54),2))</f>
        <v>0</v>
      </c>
      <c r="U54" s="20">
        <f>IF(B54="","",ROUND(SUMIFS(Labor!$O$5:$O$304,Labor!$A$5:$A$304,A54)+SUMIFS(Crochet!$AG$5:$AG$84,Crochet!$A$5:$A$84,A54)+SUMIFS(Jewelry!$AI$5:$AI$84,Jewelry!$A$5:$A$84,A54)+SUMIFS(Candles!$AI$5:$AI$84,Candles!$A$5:$A$84,A54)+SUMIFS(Clothing!$AE$5:$AE$84,Clothing!$A$5:$A$84,A54)+SUMIFS(Woodworking!$AF$5:$AF$84,Woodworking!$A$5:$A$84,A54)+SUMIFS(Digital!$Z$5:$Z$84,Digital!$A$5:$A$84,A54),2))</f>
        <v>0</v>
      </c>
      <c r="V54" s="36">
        <f>IF(B54="","",ROUND(SUMIFS(Labor!$P$5:$P$304,Labor!$A$5:$A$304,A54)+SUMIFS(Crochet!$AE$5:$AE$84,Crochet!$A$5:$A$84,A54)+SUMIFS(Jewelry!$AG$5:$AG$84,Jewelry!$A$5:$A$84,A54)+SUMIFS(Candles!$AG$5:$AG$84,Candles!$A$5:$A$84,A54)+SUMIFS(Clothing!$AC$5:$AC$84,Clothing!$A$5:$A$84,A54)+SUMIFS(Woodworking!$AD$5:$AD$84,Woodworking!$A$5:$A$84,A54)+SUMIFS(Digital!$Y$5:$Y$84,Digital!$A$5:$A$84,A54),1))</f>
        <v>0</v>
      </c>
      <c r="W54" s="41">
        <f>IF(B54="","",IFERROR(INDEX(DiffTimeFactors,MATCH(G54,DiffNames,0)),1))</f>
        <v>0</v>
      </c>
      <c r="X54" s="36">
        <f>IF(B54="","",ROUND(V54*W54,1))</f>
        <v>0</v>
      </c>
      <c r="Y54" s="41">
        <f>IF(B54="","",ROUND(X54/60,3))</f>
        <v>0</v>
      </c>
      <c r="Z54" s="20">
        <f>IF(B54="","",ROUND(U54*W54,2))</f>
        <v>0</v>
      </c>
      <c r="AA54" s="20">
        <f>IF(B54="","",ROUND(SUMIFS(Labor!$Q$5:$Q$304,Labor!$A$5:$A$304,A54)+SUMIFS(Crochet!$AH$5:$AH$84,Crochet!$A$5:$A$84,A54)+SUMIFS(Jewelry!$AJ$5:$AJ$84,Jewelry!$A$5:$A$84,A54)+SUMIFS(Candles!$AJ$5:$AJ$84,Candles!$A$5:$A$84,A54)+SUMIFS(Clothing!$AF$5:$AF$84,Clothing!$A$5:$A$84,A54)+SUMIFS(Woodworking!$AH$5:$AH$84,Woodworking!$A$5:$A$84,A54)+SUMIFS(Digital!$AA$5:$AA$84,Digital!$A$5:$A$84,A54),2))</f>
        <v>0</v>
      </c>
      <c r="AB54" s="20">
        <f>IF(B54="","",ROUND(IF(I54="Budget",PackBudget,IF(I54="Standard",PackStandard,IF(I54="Gift",PackGift,IF(I54="Premium",PackPremium,DefaultPackaging)))),2))</f>
        <v>0</v>
      </c>
      <c r="AC54" s="36">
        <f>IF(B54="","",IF(I54="Budget",PackWeightBudget,IF(I54="Standard",PackWeightStandard,IF(I54="Gift",PackWeightGift,IF(I54="Premium",PackWeightPremium,0)))))</f>
        <v>0</v>
      </c>
      <c r="AD54" s="20">
        <f>IF(B54="","",IFERROR(INDEX(Shipping!$M$5:$M$64,MATCH(J54,Shipping!$L$5:$L$64,0)),DefaultShipping))</f>
        <v>0</v>
      </c>
      <c r="AE54" s="20">
        <f>IF(B54="","",IFERROR(INDEX(Shipping!$F$5:$F$64,MATCH(J54,Shipping!$L$5:$L$64,0)),0))</f>
        <v>0</v>
      </c>
      <c r="AF54" s="36">
        <f>IF(B54="","",IFERROR(INDEX(Shipping!$C$5:$C$64,MATCH(J54,Shipping!$L$5:$L$64,0)),""))</f>
        <v>0</v>
      </c>
      <c r="AG54" s="20">
        <f>IF(B54="","",ROUND(MAX(0,AD54-AE54),2))</f>
        <v>0</v>
      </c>
      <c r="AH54" s="20">
        <f>IF(B54="","",ROUND(T54+Z54+AA54+AB54+AG54,2))</f>
        <v>0</v>
      </c>
      <c r="AI54" s="33">
        <f>IF(B54="","",IFERROR(INDEX(Channels!$S$5:$S$18,MATCH(IF(H54="",DefaultChannel,H54),Channels!$A$5:$A$18,0)),0))</f>
        <v>0</v>
      </c>
      <c r="AJ54" s="42">
        <f>IF(B54="","",IFERROR(INDEX(Channels!$O$5:$O$18,MATCH(IF(H54="",DefaultChannel,H54),Channels!$A$5:$A$18,0)),"No"))</f>
        <v>0</v>
      </c>
      <c r="AK54" s="20">
        <f>IF(B54="","",ROUND(IFERROR(INDEX(Channels!$T$5:$T$18,MATCH(IF(H54="",DefaultChannel,H54),Channels!$A$5:$A$18,0)),0)+IF(AJ54="Yes",AE54*AI54,0),4))</f>
        <v>0</v>
      </c>
      <c r="AL54" s="33">
        <f>IF(B54="","",IF(OverheadMethod="Share of revenue",IF(RevenueTargetMonth&lt;=0,0,OverheadMonthly/RevenueTargetMonth),0))</f>
        <v>0</v>
      </c>
      <c r="AM54" s="20">
        <f>IF(B54="","",IF(OverheadMethod="Per hour worked",ROUND(OverheadPerHour*Y54,2),IF(OR(OverheadMethod="Per unit made",OverheadMethod="Per order"),OverheadPerUnit,0)))</f>
        <v>0</v>
      </c>
      <c r="AN54" s="33">
        <f>IF(B54="","",IF(N54&lt;&gt;"",N54,TargetRetailMargin))</f>
        <v>0</v>
      </c>
      <c r="AO54" s="41">
        <f>IF(B54="","",1-AN54-AI54-AL54)</f>
        <v>0</v>
      </c>
      <c r="AP54" s="20">
        <f>IF(B54="","",IF(AO54&lt;=0,"",(AH54+AM54+AK54)/AO54))</f>
        <v>0</v>
      </c>
      <c r="AQ54" s="20">
        <f>IF(B54="","",IF(AP54="","Check the settings",ROUND(IF(RoundingRule="None",AP54,IF(RoundingRule="Nearest 0.99",MAX(0.99,CEILING(AP54,1)-0.01),IF(RoundingRule="Nearest 0.95",MAX(0.95,CEILING(AP54,1)-0.05),IF(RoundingRule="Nearest 0.50",CEILING(AP54,0.5),IF(RoundingRule="Nearest 1",CEILING(AP54,1),IF(RoundingRule="Nearest 5",CEILING(AP54,5),IF(RoundingRule="Up to whole 1",CEILING(AP54,1),IF(RoundingRule="Up to whole 5",CEILING(AP54,5),ROUND(AP54,2))))))))),2)))</f>
        <v>0</v>
      </c>
      <c r="AR54" s="20">
        <f>IF(B54="","",IF(M54&lt;&gt;"",M54,IF(ISNUMBER(AQ54),AQ54,"")))</f>
        <v>0</v>
      </c>
      <c r="AS54" s="20">
        <f>IF(B54="","",IF(AR54="","",ROUND(AM54+AR54*AL54,2)))</f>
        <v>0</v>
      </c>
      <c r="AT54" s="20">
        <f>IF(B54="","",IF(AR54="","",ROUND(AH54+AS54,2)))</f>
        <v>0</v>
      </c>
      <c r="AU54" s="20">
        <f>IF(B54="","",IF(AR54="","",ROUND(AR54*AI54+AK54,2)))</f>
        <v>0</v>
      </c>
      <c r="AV54" s="20">
        <f>IF(B54="","",IF(AR54="","",ROUND(AR54-AT54-AU54,2)))</f>
        <v>0</v>
      </c>
      <c r="AW54" s="33">
        <f>IF(B54="","",IF(OR(AR54="",AR54=0),"",AV54/AR54))</f>
        <v>0</v>
      </c>
      <c r="AX54" s="33">
        <f>IF(B54="","",IF(OR(AT54="",AT54=0),"",AV54/AT54))</f>
        <v>0</v>
      </c>
      <c r="AY54" s="20">
        <f>IF(B54="","",IF(OR(Y54="",Y54=0,AV54=""),"",ROUND(AV54/Y54,2)))</f>
        <v>0</v>
      </c>
      <c r="AZ54" s="20">
        <f>IF(B54="","",IF(OR(Y54="",Y54=0,AV54=""),"",ROUND((AV54+Z54)/Y54,2)))</f>
        <v>0</v>
      </c>
      <c r="BA54" s="20">
        <f>IF(B54="","",IF(1-AI54-AL54&lt;=0,"",ROUND((AH54+AM54+AK54)/(1-AI54-AL54),2)))</f>
        <v>0</v>
      </c>
      <c r="BB54" s="20">
        <f>IF(B54="","",IF(AT54="","",ROUND(AT54*2,2)))</f>
        <v>0</v>
      </c>
      <c r="BC54" s="20">
        <f>IF(B54="","",IF(AR54="","",ROUND(AR54*(1-WholesaleDiscount),2)))</f>
        <v>0</v>
      </c>
      <c r="BD54" s="20">
        <f>IF(B54="","",IF(BC54="","",ROUND(BC54-AH54-AM54,2)))</f>
        <v>0</v>
      </c>
      <c r="BE54" s="33">
        <f>IF(B54="","",IF(OR(BC54="",BC54=0),"",BD54/BC54))</f>
        <v>0</v>
      </c>
      <c r="BF54" s="20">
        <f>IF(B54="","",IFERROR(ROUND(AVERAGEIFS(Competitors!$F$5:$F$154,Competitors!$A$5:$A$154,A54),2),""))</f>
        <v>0</v>
      </c>
      <c r="BG54" s="33">
        <f>IF(B54="","",IF(OR(BF54="",BF54=0,AR54=""),"",AR54/BF54-1))</f>
        <v>0</v>
      </c>
      <c r="BH54" s="32">
        <f>IF(B54="","",SUMIFS(Sales!$D$5:$D$804,Sales!$C$5:$C$804,A54))</f>
        <v>0</v>
      </c>
      <c r="BI54" s="20">
        <f>IF(B54="","",ROUND(SUMIFS(Sales!$V$5:$V$804,Sales!$C$5:$C$804,A54),2))</f>
        <v>0</v>
      </c>
      <c r="BJ54" s="20">
        <f>IF(B54="","",ROUND(SUMIFS(Sales!$AG$5:$AG$804,Sales!$C$5:$C$804,A54),2))</f>
        <v>0</v>
      </c>
      <c r="BK54" s="33">
        <f>IF(B54="","",IF(OR(BI54="",BI54=0),"",BJ54/BI54))</f>
        <v>0</v>
      </c>
      <c r="BL54" s="17">
        <f>IF(B54="","",IF(SUMPRODUCT(MAX((Sales!$C$5:$C$804=A54)*Sales!$B$5:$B$804))=0,"",SUMPRODUCT(MAX((Sales!$C$5:$C$804=A54)*Sales!$B$5:$B$804))))</f>
        <v>0</v>
      </c>
      <c r="BM54" s="17">
        <f>IF(B54="","",IF(SUMPRODUCT(MAX(('Price History'!$B$5:$B$304=A54)*'Price History'!$A$5:$A$304))=0,IF(P54="","",P54),SUMPRODUCT(MAX(('Price History'!$B$5:$B$304=A54)*'Price History'!$A$5:$A$304))))</f>
        <v>0</v>
      </c>
      <c r="BN54" s="32">
        <f>IF(B54="","",IF(BM54="","",TodayDate-BM54))</f>
        <v>0</v>
      </c>
      <c r="BO54" s="32">
        <f>IF(B54="","",COUNTIFS($AV$5:$AV$304,"&gt;"&amp;AV54)+COUNTIFS($AV$5:AV54,AV54))</f>
        <v>0</v>
      </c>
      <c r="BP54" s="32">
        <f>IF(B54="","",COUNTIFS($AW$5:$AW$304,"&gt;"&amp;AW54)+COUNTIFS($AW$5:AW54,AW54))</f>
        <v>0</v>
      </c>
      <c r="BQ54" s="32">
        <f>IF(B54="","",COUNTIFS($BI$5:$BI$304,"&gt;"&amp;BI54)+COUNTIFS($BI$5:BI54,BI54))</f>
        <v>0</v>
      </c>
      <c r="BR54" s="32">
        <f>IF(B54="","",COUNTIFS($AY$5:$AY$304,"&gt;"&amp;AY54)+COUNTIFS($AY$5:AY54,AY54))</f>
        <v>0</v>
      </c>
      <c r="BS54" s="43">
        <f>IF(B54="","",IF(AH54=0,"Add - no costs entered yet",IF(AR54="","Check - no price yet",IF(AV54&lt;0,"Loss - every sale costs you money",IF(AND(AZ54&lt;&gt;"",AZ54&lt;MinimumWage),"Below - pays under minimum wage",IF(AW54&lt;MarginWarning,"Low margin - re-price it",IF(AND(AF54&lt;&gt;"",K54&lt;&gt;"",K54+AC54&gt;AF54),"Check - too heavy for that postage band",IF(AND(BN54&lt;&gt;"",BN54&gt;PriceReviewDays),"Due - price has not been reviewed",IF(AND(BG54&lt;&gt;"",BG54&gt;0.5),"Check - well above the market","OK")))))))) )</f>
        <v>0</v>
      </c>
    </row>
    <row r="55" spans="1:71">
      <c r="A55" s="38">
        <f>IF(B55="","",ProductPrefix&amp;TEXT(ROW()-4,"0000"))</f>
        <v>0</v>
      </c>
      <c r="S55" s="38">
        <f>IF(B55="","",IF(C55&lt;&gt;"",C55,UPPER(LEFT(IF(D55="","GEN",D55),3))&amp;"-"&amp;TEXT(ROW()-4,"000")))</f>
        <v>0</v>
      </c>
      <c r="T55" s="20">
        <f>IF(B55="","",ROUND(SUMIFS('Material Usage'!$M$5:$M$904,'Material Usage'!$A$5:$A$904,A55)+SUMIFS(Crochet!$AD$5:$AD$84,Crochet!$A$5:$A$84,A55)+SUMIFS(Jewelry!$AF$5:$AF$84,Jewelry!$A$5:$A$84,A55)+SUMIFS(Candles!$AF$5:$AF$84,Candles!$A$5:$A$84,A55)+SUMIFS(Clothing!$AB$5:$AB$84,Clothing!$A$5:$A$84,A55)+SUMIFS(Woodworking!$AC$5:$AC$84,Woodworking!$A$5:$A$84,A55)+SUMIFS(Digital!$X$5:$X$84,Digital!$A$5:$A$84,A55),2))</f>
        <v>0</v>
      </c>
      <c r="U55" s="20">
        <f>IF(B55="","",ROUND(SUMIFS(Labor!$O$5:$O$304,Labor!$A$5:$A$304,A55)+SUMIFS(Crochet!$AG$5:$AG$84,Crochet!$A$5:$A$84,A55)+SUMIFS(Jewelry!$AI$5:$AI$84,Jewelry!$A$5:$A$84,A55)+SUMIFS(Candles!$AI$5:$AI$84,Candles!$A$5:$A$84,A55)+SUMIFS(Clothing!$AE$5:$AE$84,Clothing!$A$5:$A$84,A55)+SUMIFS(Woodworking!$AF$5:$AF$84,Woodworking!$A$5:$A$84,A55)+SUMIFS(Digital!$Z$5:$Z$84,Digital!$A$5:$A$84,A55),2))</f>
        <v>0</v>
      </c>
      <c r="V55" s="36">
        <f>IF(B55="","",ROUND(SUMIFS(Labor!$P$5:$P$304,Labor!$A$5:$A$304,A55)+SUMIFS(Crochet!$AE$5:$AE$84,Crochet!$A$5:$A$84,A55)+SUMIFS(Jewelry!$AG$5:$AG$84,Jewelry!$A$5:$A$84,A55)+SUMIFS(Candles!$AG$5:$AG$84,Candles!$A$5:$A$84,A55)+SUMIFS(Clothing!$AC$5:$AC$84,Clothing!$A$5:$A$84,A55)+SUMIFS(Woodworking!$AD$5:$AD$84,Woodworking!$A$5:$A$84,A55)+SUMIFS(Digital!$Y$5:$Y$84,Digital!$A$5:$A$84,A55),1))</f>
        <v>0</v>
      </c>
      <c r="W55" s="41">
        <f>IF(B55="","",IFERROR(INDEX(DiffTimeFactors,MATCH(G55,DiffNames,0)),1))</f>
        <v>0</v>
      </c>
      <c r="X55" s="36">
        <f>IF(B55="","",ROUND(V55*W55,1))</f>
        <v>0</v>
      </c>
      <c r="Y55" s="41">
        <f>IF(B55="","",ROUND(X55/60,3))</f>
        <v>0</v>
      </c>
      <c r="Z55" s="20">
        <f>IF(B55="","",ROUND(U55*W55,2))</f>
        <v>0</v>
      </c>
      <c r="AA55" s="20">
        <f>IF(B55="","",ROUND(SUMIFS(Labor!$Q$5:$Q$304,Labor!$A$5:$A$304,A55)+SUMIFS(Crochet!$AH$5:$AH$84,Crochet!$A$5:$A$84,A55)+SUMIFS(Jewelry!$AJ$5:$AJ$84,Jewelry!$A$5:$A$84,A55)+SUMIFS(Candles!$AJ$5:$AJ$84,Candles!$A$5:$A$84,A55)+SUMIFS(Clothing!$AF$5:$AF$84,Clothing!$A$5:$A$84,A55)+SUMIFS(Woodworking!$AH$5:$AH$84,Woodworking!$A$5:$A$84,A55)+SUMIFS(Digital!$AA$5:$AA$84,Digital!$A$5:$A$84,A55),2))</f>
        <v>0</v>
      </c>
      <c r="AB55" s="20">
        <f>IF(B55="","",ROUND(IF(I55="Budget",PackBudget,IF(I55="Standard",PackStandard,IF(I55="Gift",PackGift,IF(I55="Premium",PackPremium,DefaultPackaging)))),2))</f>
        <v>0</v>
      </c>
      <c r="AC55" s="36">
        <f>IF(B55="","",IF(I55="Budget",PackWeightBudget,IF(I55="Standard",PackWeightStandard,IF(I55="Gift",PackWeightGift,IF(I55="Premium",PackWeightPremium,0)))))</f>
        <v>0</v>
      </c>
      <c r="AD55" s="20">
        <f>IF(B55="","",IFERROR(INDEX(Shipping!$M$5:$M$64,MATCH(J55,Shipping!$L$5:$L$64,0)),DefaultShipping))</f>
        <v>0</v>
      </c>
      <c r="AE55" s="20">
        <f>IF(B55="","",IFERROR(INDEX(Shipping!$F$5:$F$64,MATCH(J55,Shipping!$L$5:$L$64,0)),0))</f>
        <v>0</v>
      </c>
      <c r="AF55" s="36">
        <f>IF(B55="","",IFERROR(INDEX(Shipping!$C$5:$C$64,MATCH(J55,Shipping!$L$5:$L$64,0)),""))</f>
        <v>0</v>
      </c>
      <c r="AG55" s="20">
        <f>IF(B55="","",ROUND(MAX(0,AD55-AE55),2))</f>
        <v>0</v>
      </c>
      <c r="AH55" s="20">
        <f>IF(B55="","",ROUND(T55+Z55+AA55+AB55+AG55,2))</f>
        <v>0</v>
      </c>
      <c r="AI55" s="33">
        <f>IF(B55="","",IFERROR(INDEX(Channels!$S$5:$S$18,MATCH(IF(H55="",DefaultChannel,H55),Channels!$A$5:$A$18,0)),0))</f>
        <v>0</v>
      </c>
      <c r="AJ55" s="42">
        <f>IF(B55="","",IFERROR(INDEX(Channels!$O$5:$O$18,MATCH(IF(H55="",DefaultChannel,H55),Channels!$A$5:$A$18,0)),"No"))</f>
        <v>0</v>
      </c>
      <c r="AK55" s="20">
        <f>IF(B55="","",ROUND(IFERROR(INDEX(Channels!$T$5:$T$18,MATCH(IF(H55="",DefaultChannel,H55),Channels!$A$5:$A$18,0)),0)+IF(AJ55="Yes",AE55*AI55,0),4))</f>
        <v>0</v>
      </c>
      <c r="AL55" s="33">
        <f>IF(B55="","",IF(OverheadMethod="Share of revenue",IF(RevenueTargetMonth&lt;=0,0,OverheadMonthly/RevenueTargetMonth),0))</f>
        <v>0</v>
      </c>
      <c r="AM55" s="20">
        <f>IF(B55="","",IF(OverheadMethod="Per hour worked",ROUND(OverheadPerHour*Y55,2),IF(OR(OverheadMethod="Per unit made",OverheadMethod="Per order"),OverheadPerUnit,0)))</f>
        <v>0</v>
      </c>
      <c r="AN55" s="33">
        <f>IF(B55="","",IF(N55&lt;&gt;"",N55,TargetRetailMargin))</f>
        <v>0</v>
      </c>
      <c r="AO55" s="41">
        <f>IF(B55="","",1-AN55-AI55-AL55)</f>
        <v>0</v>
      </c>
      <c r="AP55" s="20">
        <f>IF(B55="","",IF(AO55&lt;=0,"",(AH55+AM55+AK55)/AO55))</f>
        <v>0</v>
      </c>
      <c r="AQ55" s="20">
        <f>IF(B55="","",IF(AP55="","Check the settings",ROUND(IF(RoundingRule="None",AP55,IF(RoundingRule="Nearest 0.99",MAX(0.99,CEILING(AP55,1)-0.01),IF(RoundingRule="Nearest 0.95",MAX(0.95,CEILING(AP55,1)-0.05),IF(RoundingRule="Nearest 0.50",CEILING(AP55,0.5),IF(RoundingRule="Nearest 1",CEILING(AP55,1),IF(RoundingRule="Nearest 5",CEILING(AP55,5),IF(RoundingRule="Up to whole 1",CEILING(AP55,1),IF(RoundingRule="Up to whole 5",CEILING(AP55,5),ROUND(AP55,2))))))))),2)))</f>
        <v>0</v>
      </c>
      <c r="AR55" s="20">
        <f>IF(B55="","",IF(M55&lt;&gt;"",M55,IF(ISNUMBER(AQ55),AQ55,"")))</f>
        <v>0</v>
      </c>
      <c r="AS55" s="20">
        <f>IF(B55="","",IF(AR55="","",ROUND(AM55+AR55*AL55,2)))</f>
        <v>0</v>
      </c>
      <c r="AT55" s="20">
        <f>IF(B55="","",IF(AR55="","",ROUND(AH55+AS55,2)))</f>
        <v>0</v>
      </c>
      <c r="AU55" s="20">
        <f>IF(B55="","",IF(AR55="","",ROUND(AR55*AI55+AK55,2)))</f>
        <v>0</v>
      </c>
      <c r="AV55" s="20">
        <f>IF(B55="","",IF(AR55="","",ROUND(AR55-AT55-AU55,2)))</f>
        <v>0</v>
      </c>
      <c r="AW55" s="33">
        <f>IF(B55="","",IF(OR(AR55="",AR55=0),"",AV55/AR55))</f>
        <v>0</v>
      </c>
      <c r="AX55" s="33">
        <f>IF(B55="","",IF(OR(AT55="",AT55=0),"",AV55/AT55))</f>
        <v>0</v>
      </c>
      <c r="AY55" s="20">
        <f>IF(B55="","",IF(OR(Y55="",Y55=0,AV55=""),"",ROUND(AV55/Y55,2)))</f>
        <v>0</v>
      </c>
      <c r="AZ55" s="20">
        <f>IF(B55="","",IF(OR(Y55="",Y55=0,AV55=""),"",ROUND((AV55+Z55)/Y55,2)))</f>
        <v>0</v>
      </c>
      <c r="BA55" s="20">
        <f>IF(B55="","",IF(1-AI55-AL55&lt;=0,"",ROUND((AH55+AM55+AK55)/(1-AI55-AL55),2)))</f>
        <v>0</v>
      </c>
      <c r="BB55" s="20">
        <f>IF(B55="","",IF(AT55="","",ROUND(AT55*2,2)))</f>
        <v>0</v>
      </c>
      <c r="BC55" s="20">
        <f>IF(B55="","",IF(AR55="","",ROUND(AR55*(1-WholesaleDiscount),2)))</f>
        <v>0</v>
      </c>
      <c r="BD55" s="20">
        <f>IF(B55="","",IF(BC55="","",ROUND(BC55-AH55-AM55,2)))</f>
        <v>0</v>
      </c>
      <c r="BE55" s="33">
        <f>IF(B55="","",IF(OR(BC55="",BC55=0),"",BD55/BC55))</f>
        <v>0</v>
      </c>
      <c r="BF55" s="20">
        <f>IF(B55="","",IFERROR(ROUND(AVERAGEIFS(Competitors!$F$5:$F$154,Competitors!$A$5:$A$154,A55),2),""))</f>
        <v>0</v>
      </c>
      <c r="BG55" s="33">
        <f>IF(B55="","",IF(OR(BF55="",BF55=0,AR55=""),"",AR55/BF55-1))</f>
        <v>0</v>
      </c>
      <c r="BH55" s="32">
        <f>IF(B55="","",SUMIFS(Sales!$D$5:$D$804,Sales!$C$5:$C$804,A55))</f>
        <v>0</v>
      </c>
      <c r="BI55" s="20">
        <f>IF(B55="","",ROUND(SUMIFS(Sales!$V$5:$V$804,Sales!$C$5:$C$804,A55),2))</f>
        <v>0</v>
      </c>
      <c r="BJ55" s="20">
        <f>IF(B55="","",ROUND(SUMIFS(Sales!$AG$5:$AG$804,Sales!$C$5:$C$804,A55),2))</f>
        <v>0</v>
      </c>
      <c r="BK55" s="33">
        <f>IF(B55="","",IF(OR(BI55="",BI55=0),"",BJ55/BI55))</f>
        <v>0</v>
      </c>
      <c r="BL55" s="17">
        <f>IF(B55="","",IF(SUMPRODUCT(MAX((Sales!$C$5:$C$804=A55)*Sales!$B$5:$B$804))=0,"",SUMPRODUCT(MAX((Sales!$C$5:$C$804=A55)*Sales!$B$5:$B$804))))</f>
        <v>0</v>
      </c>
      <c r="BM55" s="17">
        <f>IF(B55="","",IF(SUMPRODUCT(MAX(('Price History'!$B$5:$B$304=A55)*'Price History'!$A$5:$A$304))=0,IF(P55="","",P55),SUMPRODUCT(MAX(('Price History'!$B$5:$B$304=A55)*'Price History'!$A$5:$A$304))))</f>
        <v>0</v>
      </c>
      <c r="BN55" s="32">
        <f>IF(B55="","",IF(BM55="","",TodayDate-BM55))</f>
        <v>0</v>
      </c>
      <c r="BO55" s="32">
        <f>IF(B55="","",COUNTIFS($AV$5:$AV$304,"&gt;"&amp;AV55)+COUNTIFS($AV$5:AV55,AV55))</f>
        <v>0</v>
      </c>
      <c r="BP55" s="32">
        <f>IF(B55="","",COUNTIFS($AW$5:$AW$304,"&gt;"&amp;AW55)+COUNTIFS($AW$5:AW55,AW55))</f>
        <v>0</v>
      </c>
      <c r="BQ55" s="32">
        <f>IF(B55="","",COUNTIFS($BI$5:$BI$304,"&gt;"&amp;BI55)+COUNTIFS($BI$5:BI55,BI55))</f>
        <v>0</v>
      </c>
      <c r="BR55" s="32">
        <f>IF(B55="","",COUNTIFS($AY$5:$AY$304,"&gt;"&amp;AY55)+COUNTIFS($AY$5:AY55,AY55))</f>
        <v>0</v>
      </c>
      <c r="BS55" s="43">
        <f>IF(B55="","",IF(AH55=0,"Add - no costs entered yet",IF(AR55="","Check - no price yet",IF(AV55&lt;0,"Loss - every sale costs you money",IF(AND(AZ55&lt;&gt;"",AZ55&lt;MinimumWage),"Below - pays under minimum wage",IF(AW55&lt;MarginWarning,"Low margin - re-price it",IF(AND(AF55&lt;&gt;"",K55&lt;&gt;"",K55+AC55&gt;AF55),"Check - too heavy for that postage band",IF(AND(BN55&lt;&gt;"",BN55&gt;PriceReviewDays),"Due - price has not been reviewed",IF(AND(BG55&lt;&gt;"",BG55&gt;0.5),"Check - well above the market","OK")))))))) )</f>
        <v>0</v>
      </c>
    </row>
    <row r="56" spans="1:71">
      <c r="A56" s="38">
        <f>IF(B56="","",ProductPrefix&amp;TEXT(ROW()-4,"0000"))</f>
        <v>0</v>
      </c>
      <c r="S56" s="38">
        <f>IF(B56="","",IF(C56&lt;&gt;"",C56,UPPER(LEFT(IF(D56="","GEN",D56),3))&amp;"-"&amp;TEXT(ROW()-4,"000")))</f>
        <v>0</v>
      </c>
      <c r="T56" s="20">
        <f>IF(B56="","",ROUND(SUMIFS('Material Usage'!$M$5:$M$904,'Material Usage'!$A$5:$A$904,A56)+SUMIFS(Crochet!$AD$5:$AD$84,Crochet!$A$5:$A$84,A56)+SUMIFS(Jewelry!$AF$5:$AF$84,Jewelry!$A$5:$A$84,A56)+SUMIFS(Candles!$AF$5:$AF$84,Candles!$A$5:$A$84,A56)+SUMIFS(Clothing!$AB$5:$AB$84,Clothing!$A$5:$A$84,A56)+SUMIFS(Woodworking!$AC$5:$AC$84,Woodworking!$A$5:$A$84,A56)+SUMIFS(Digital!$X$5:$X$84,Digital!$A$5:$A$84,A56),2))</f>
        <v>0</v>
      </c>
      <c r="U56" s="20">
        <f>IF(B56="","",ROUND(SUMIFS(Labor!$O$5:$O$304,Labor!$A$5:$A$304,A56)+SUMIFS(Crochet!$AG$5:$AG$84,Crochet!$A$5:$A$84,A56)+SUMIFS(Jewelry!$AI$5:$AI$84,Jewelry!$A$5:$A$84,A56)+SUMIFS(Candles!$AI$5:$AI$84,Candles!$A$5:$A$84,A56)+SUMIFS(Clothing!$AE$5:$AE$84,Clothing!$A$5:$A$84,A56)+SUMIFS(Woodworking!$AF$5:$AF$84,Woodworking!$A$5:$A$84,A56)+SUMIFS(Digital!$Z$5:$Z$84,Digital!$A$5:$A$84,A56),2))</f>
        <v>0</v>
      </c>
      <c r="V56" s="36">
        <f>IF(B56="","",ROUND(SUMIFS(Labor!$P$5:$P$304,Labor!$A$5:$A$304,A56)+SUMIFS(Crochet!$AE$5:$AE$84,Crochet!$A$5:$A$84,A56)+SUMIFS(Jewelry!$AG$5:$AG$84,Jewelry!$A$5:$A$84,A56)+SUMIFS(Candles!$AG$5:$AG$84,Candles!$A$5:$A$84,A56)+SUMIFS(Clothing!$AC$5:$AC$84,Clothing!$A$5:$A$84,A56)+SUMIFS(Woodworking!$AD$5:$AD$84,Woodworking!$A$5:$A$84,A56)+SUMIFS(Digital!$Y$5:$Y$84,Digital!$A$5:$A$84,A56),1))</f>
        <v>0</v>
      </c>
      <c r="W56" s="41">
        <f>IF(B56="","",IFERROR(INDEX(DiffTimeFactors,MATCH(G56,DiffNames,0)),1))</f>
        <v>0</v>
      </c>
      <c r="X56" s="36">
        <f>IF(B56="","",ROUND(V56*W56,1))</f>
        <v>0</v>
      </c>
      <c r="Y56" s="41">
        <f>IF(B56="","",ROUND(X56/60,3))</f>
        <v>0</v>
      </c>
      <c r="Z56" s="20">
        <f>IF(B56="","",ROUND(U56*W56,2))</f>
        <v>0</v>
      </c>
      <c r="AA56" s="20">
        <f>IF(B56="","",ROUND(SUMIFS(Labor!$Q$5:$Q$304,Labor!$A$5:$A$304,A56)+SUMIFS(Crochet!$AH$5:$AH$84,Crochet!$A$5:$A$84,A56)+SUMIFS(Jewelry!$AJ$5:$AJ$84,Jewelry!$A$5:$A$84,A56)+SUMIFS(Candles!$AJ$5:$AJ$84,Candles!$A$5:$A$84,A56)+SUMIFS(Clothing!$AF$5:$AF$84,Clothing!$A$5:$A$84,A56)+SUMIFS(Woodworking!$AH$5:$AH$84,Woodworking!$A$5:$A$84,A56)+SUMIFS(Digital!$AA$5:$AA$84,Digital!$A$5:$A$84,A56),2))</f>
        <v>0</v>
      </c>
      <c r="AB56" s="20">
        <f>IF(B56="","",ROUND(IF(I56="Budget",PackBudget,IF(I56="Standard",PackStandard,IF(I56="Gift",PackGift,IF(I56="Premium",PackPremium,DefaultPackaging)))),2))</f>
        <v>0</v>
      </c>
      <c r="AC56" s="36">
        <f>IF(B56="","",IF(I56="Budget",PackWeightBudget,IF(I56="Standard",PackWeightStandard,IF(I56="Gift",PackWeightGift,IF(I56="Premium",PackWeightPremium,0)))))</f>
        <v>0</v>
      </c>
      <c r="AD56" s="20">
        <f>IF(B56="","",IFERROR(INDEX(Shipping!$M$5:$M$64,MATCH(J56,Shipping!$L$5:$L$64,0)),DefaultShipping))</f>
        <v>0</v>
      </c>
      <c r="AE56" s="20">
        <f>IF(B56="","",IFERROR(INDEX(Shipping!$F$5:$F$64,MATCH(J56,Shipping!$L$5:$L$64,0)),0))</f>
        <v>0</v>
      </c>
      <c r="AF56" s="36">
        <f>IF(B56="","",IFERROR(INDEX(Shipping!$C$5:$C$64,MATCH(J56,Shipping!$L$5:$L$64,0)),""))</f>
        <v>0</v>
      </c>
      <c r="AG56" s="20">
        <f>IF(B56="","",ROUND(MAX(0,AD56-AE56),2))</f>
        <v>0</v>
      </c>
      <c r="AH56" s="20">
        <f>IF(B56="","",ROUND(T56+Z56+AA56+AB56+AG56,2))</f>
        <v>0</v>
      </c>
      <c r="AI56" s="33">
        <f>IF(B56="","",IFERROR(INDEX(Channels!$S$5:$S$18,MATCH(IF(H56="",DefaultChannel,H56),Channels!$A$5:$A$18,0)),0))</f>
        <v>0</v>
      </c>
      <c r="AJ56" s="42">
        <f>IF(B56="","",IFERROR(INDEX(Channels!$O$5:$O$18,MATCH(IF(H56="",DefaultChannel,H56),Channels!$A$5:$A$18,0)),"No"))</f>
        <v>0</v>
      </c>
      <c r="AK56" s="20">
        <f>IF(B56="","",ROUND(IFERROR(INDEX(Channels!$T$5:$T$18,MATCH(IF(H56="",DefaultChannel,H56),Channels!$A$5:$A$18,0)),0)+IF(AJ56="Yes",AE56*AI56,0),4))</f>
        <v>0</v>
      </c>
      <c r="AL56" s="33">
        <f>IF(B56="","",IF(OverheadMethod="Share of revenue",IF(RevenueTargetMonth&lt;=0,0,OverheadMonthly/RevenueTargetMonth),0))</f>
        <v>0</v>
      </c>
      <c r="AM56" s="20">
        <f>IF(B56="","",IF(OverheadMethod="Per hour worked",ROUND(OverheadPerHour*Y56,2),IF(OR(OverheadMethod="Per unit made",OverheadMethod="Per order"),OverheadPerUnit,0)))</f>
        <v>0</v>
      </c>
      <c r="AN56" s="33">
        <f>IF(B56="","",IF(N56&lt;&gt;"",N56,TargetRetailMargin))</f>
        <v>0</v>
      </c>
      <c r="AO56" s="41">
        <f>IF(B56="","",1-AN56-AI56-AL56)</f>
        <v>0</v>
      </c>
      <c r="AP56" s="20">
        <f>IF(B56="","",IF(AO56&lt;=0,"",(AH56+AM56+AK56)/AO56))</f>
        <v>0</v>
      </c>
      <c r="AQ56" s="20">
        <f>IF(B56="","",IF(AP56="","Check the settings",ROUND(IF(RoundingRule="None",AP56,IF(RoundingRule="Nearest 0.99",MAX(0.99,CEILING(AP56,1)-0.01),IF(RoundingRule="Nearest 0.95",MAX(0.95,CEILING(AP56,1)-0.05),IF(RoundingRule="Nearest 0.50",CEILING(AP56,0.5),IF(RoundingRule="Nearest 1",CEILING(AP56,1),IF(RoundingRule="Nearest 5",CEILING(AP56,5),IF(RoundingRule="Up to whole 1",CEILING(AP56,1),IF(RoundingRule="Up to whole 5",CEILING(AP56,5),ROUND(AP56,2))))))))),2)))</f>
        <v>0</v>
      </c>
      <c r="AR56" s="20">
        <f>IF(B56="","",IF(M56&lt;&gt;"",M56,IF(ISNUMBER(AQ56),AQ56,"")))</f>
        <v>0</v>
      </c>
      <c r="AS56" s="20">
        <f>IF(B56="","",IF(AR56="","",ROUND(AM56+AR56*AL56,2)))</f>
        <v>0</v>
      </c>
      <c r="AT56" s="20">
        <f>IF(B56="","",IF(AR56="","",ROUND(AH56+AS56,2)))</f>
        <v>0</v>
      </c>
      <c r="AU56" s="20">
        <f>IF(B56="","",IF(AR56="","",ROUND(AR56*AI56+AK56,2)))</f>
        <v>0</v>
      </c>
      <c r="AV56" s="20">
        <f>IF(B56="","",IF(AR56="","",ROUND(AR56-AT56-AU56,2)))</f>
        <v>0</v>
      </c>
      <c r="AW56" s="33">
        <f>IF(B56="","",IF(OR(AR56="",AR56=0),"",AV56/AR56))</f>
        <v>0</v>
      </c>
      <c r="AX56" s="33">
        <f>IF(B56="","",IF(OR(AT56="",AT56=0),"",AV56/AT56))</f>
        <v>0</v>
      </c>
      <c r="AY56" s="20">
        <f>IF(B56="","",IF(OR(Y56="",Y56=0,AV56=""),"",ROUND(AV56/Y56,2)))</f>
        <v>0</v>
      </c>
      <c r="AZ56" s="20">
        <f>IF(B56="","",IF(OR(Y56="",Y56=0,AV56=""),"",ROUND((AV56+Z56)/Y56,2)))</f>
        <v>0</v>
      </c>
      <c r="BA56" s="20">
        <f>IF(B56="","",IF(1-AI56-AL56&lt;=0,"",ROUND((AH56+AM56+AK56)/(1-AI56-AL56),2)))</f>
        <v>0</v>
      </c>
      <c r="BB56" s="20">
        <f>IF(B56="","",IF(AT56="","",ROUND(AT56*2,2)))</f>
        <v>0</v>
      </c>
      <c r="BC56" s="20">
        <f>IF(B56="","",IF(AR56="","",ROUND(AR56*(1-WholesaleDiscount),2)))</f>
        <v>0</v>
      </c>
      <c r="BD56" s="20">
        <f>IF(B56="","",IF(BC56="","",ROUND(BC56-AH56-AM56,2)))</f>
        <v>0</v>
      </c>
      <c r="BE56" s="33">
        <f>IF(B56="","",IF(OR(BC56="",BC56=0),"",BD56/BC56))</f>
        <v>0</v>
      </c>
      <c r="BF56" s="20">
        <f>IF(B56="","",IFERROR(ROUND(AVERAGEIFS(Competitors!$F$5:$F$154,Competitors!$A$5:$A$154,A56),2),""))</f>
        <v>0</v>
      </c>
      <c r="BG56" s="33">
        <f>IF(B56="","",IF(OR(BF56="",BF56=0,AR56=""),"",AR56/BF56-1))</f>
        <v>0</v>
      </c>
      <c r="BH56" s="32">
        <f>IF(B56="","",SUMIFS(Sales!$D$5:$D$804,Sales!$C$5:$C$804,A56))</f>
        <v>0</v>
      </c>
      <c r="BI56" s="20">
        <f>IF(B56="","",ROUND(SUMIFS(Sales!$V$5:$V$804,Sales!$C$5:$C$804,A56),2))</f>
        <v>0</v>
      </c>
      <c r="BJ56" s="20">
        <f>IF(B56="","",ROUND(SUMIFS(Sales!$AG$5:$AG$804,Sales!$C$5:$C$804,A56),2))</f>
        <v>0</v>
      </c>
      <c r="BK56" s="33">
        <f>IF(B56="","",IF(OR(BI56="",BI56=0),"",BJ56/BI56))</f>
        <v>0</v>
      </c>
      <c r="BL56" s="17">
        <f>IF(B56="","",IF(SUMPRODUCT(MAX((Sales!$C$5:$C$804=A56)*Sales!$B$5:$B$804))=0,"",SUMPRODUCT(MAX((Sales!$C$5:$C$804=A56)*Sales!$B$5:$B$804))))</f>
        <v>0</v>
      </c>
      <c r="BM56" s="17">
        <f>IF(B56="","",IF(SUMPRODUCT(MAX(('Price History'!$B$5:$B$304=A56)*'Price History'!$A$5:$A$304))=0,IF(P56="","",P56),SUMPRODUCT(MAX(('Price History'!$B$5:$B$304=A56)*'Price History'!$A$5:$A$304))))</f>
        <v>0</v>
      </c>
      <c r="BN56" s="32">
        <f>IF(B56="","",IF(BM56="","",TodayDate-BM56))</f>
        <v>0</v>
      </c>
      <c r="BO56" s="32">
        <f>IF(B56="","",COUNTIFS($AV$5:$AV$304,"&gt;"&amp;AV56)+COUNTIFS($AV$5:AV56,AV56))</f>
        <v>0</v>
      </c>
      <c r="BP56" s="32">
        <f>IF(B56="","",COUNTIFS($AW$5:$AW$304,"&gt;"&amp;AW56)+COUNTIFS($AW$5:AW56,AW56))</f>
        <v>0</v>
      </c>
      <c r="BQ56" s="32">
        <f>IF(B56="","",COUNTIFS($BI$5:$BI$304,"&gt;"&amp;BI56)+COUNTIFS($BI$5:BI56,BI56))</f>
        <v>0</v>
      </c>
      <c r="BR56" s="32">
        <f>IF(B56="","",COUNTIFS($AY$5:$AY$304,"&gt;"&amp;AY56)+COUNTIFS($AY$5:AY56,AY56))</f>
        <v>0</v>
      </c>
      <c r="BS56" s="43">
        <f>IF(B56="","",IF(AH56=0,"Add - no costs entered yet",IF(AR56="","Check - no price yet",IF(AV56&lt;0,"Loss - every sale costs you money",IF(AND(AZ56&lt;&gt;"",AZ56&lt;MinimumWage),"Below - pays under minimum wage",IF(AW56&lt;MarginWarning,"Low margin - re-price it",IF(AND(AF56&lt;&gt;"",K56&lt;&gt;"",K56+AC56&gt;AF56),"Check - too heavy for that postage band",IF(AND(BN56&lt;&gt;"",BN56&gt;PriceReviewDays),"Due - price has not been reviewed",IF(AND(BG56&lt;&gt;"",BG56&gt;0.5),"Check - well above the market","OK")))))))) )</f>
        <v>0</v>
      </c>
    </row>
    <row r="57" spans="1:71">
      <c r="A57" s="38">
        <f>IF(B57="","",ProductPrefix&amp;TEXT(ROW()-4,"0000"))</f>
        <v>0</v>
      </c>
      <c r="S57" s="38">
        <f>IF(B57="","",IF(C57&lt;&gt;"",C57,UPPER(LEFT(IF(D57="","GEN",D57),3))&amp;"-"&amp;TEXT(ROW()-4,"000")))</f>
        <v>0</v>
      </c>
      <c r="T57" s="20">
        <f>IF(B57="","",ROUND(SUMIFS('Material Usage'!$M$5:$M$904,'Material Usage'!$A$5:$A$904,A57)+SUMIFS(Crochet!$AD$5:$AD$84,Crochet!$A$5:$A$84,A57)+SUMIFS(Jewelry!$AF$5:$AF$84,Jewelry!$A$5:$A$84,A57)+SUMIFS(Candles!$AF$5:$AF$84,Candles!$A$5:$A$84,A57)+SUMIFS(Clothing!$AB$5:$AB$84,Clothing!$A$5:$A$84,A57)+SUMIFS(Woodworking!$AC$5:$AC$84,Woodworking!$A$5:$A$84,A57)+SUMIFS(Digital!$X$5:$X$84,Digital!$A$5:$A$84,A57),2))</f>
        <v>0</v>
      </c>
      <c r="U57" s="20">
        <f>IF(B57="","",ROUND(SUMIFS(Labor!$O$5:$O$304,Labor!$A$5:$A$304,A57)+SUMIFS(Crochet!$AG$5:$AG$84,Crochet!$A$5:$A$84,A57)+SUMIFS(Jewelry!$AI$5:$AI$84,Jewelry!$A$5:$A$84,A57)+SUMIFS(Candles!$AI$5:$AI$84,Candles!$A$5:$A$84,A57)+SUMIFS(Clothing!$AE$5:$AE$84,Clothing!$A$5:$A$84,A57)+SUMIFS(Woodworking!$AF$5:$AF$84,Woodworking!$A$5:$A$84,A57)+SUMIFS(Digital!$Z$5:$Z$84,Digital!$A$5:$A$84,A57),2))</f>
        <v>0</v>
      </c>
      <c r="V57" s="36">
        <f>IF(B57="","",ROUND(SUMIFS(Labor!$P$5:$P$304,Labor!$A$5:$A$304,A57)+SUMIFS(Crochet!$AE$5:$AE$84,Crochet!$A$5:$A$84,A57)+SUMIFS(Jewelry!$AG$5:$AG$84,Jewelry!$A$5:$A$84,A57)+SUMIFS(Candles!$AG$5:$AG$84,Candles!$A$5:$A$84,A57)+SUMIFS(Clothing!$AC$5:$AC$84,Clothing!$A$5:$A$84,A57)+SUMIFS(Woodworking!$AD$5:$AD$84,Woodworking!$A$5:$A$84,A57)+SUMIFS(Digital!$Y$5:$Y$84,Digital!$A$5:$A$84,A57),1))</f>
        <v>0</v>
      </c>
      <c r="W57" s="41">
        <f>IF(B57="","",IFERROR(INDEX(DiffTimeFactors,MATCH(G57,DiffNames,0)),1))</f>
        <v>0</v>
      </c>
      <c r="X57" s="36">
        <f>IF(B57="","",ROUND(V57*W57,1))</f>
        <v>0</v>
      </c>
      <c r="Y57" s="41">
        <f>IF(B57="","",ROUND(X57/60,3))</f>
        <v>0</v>
      </c>
      <c r="Z57" s="20">
        <f>IF(B57="","",ROUND(U57*W57,2))</f>
        <v>0</v>
      </c>
      <c r="AA57" s="20">
        <f>IF(B57="","",ROUND(SUMIFS(Labor!$Q$5:$Q$304,Labor!$A$5:$A$304,A57)+SUMIFS(Crochet!$AH$5:$AH$84,Crochet!$A$5:$A$84,A57)+SUMIFS(Jewelry!$AJ$5:$AJ$84,Jewelry!$A$5:$A$84,A57)+SUMIFS(Candles!$AJ$5:$AJ$84,Candles!$A$5:$A$84,A57)+SUMIFS(Clothing!$AF$5:$AF$84,Clothing!$A$5:$A$84,A57)+SUMIFS(Woodworking!$AH$5:$AH$84,Woodworking!$A$5:$A$84,A57)+SUMIFS(Digital!$AA$5:$AA$84,Digital!$A$5:$A$84,A57),2))</f>
        <v>0</v>
      </c>
      <c r="AB57" s="20">
        <f>IF(B57="","",ROUND(IF(I57="Budget",PackBudget,IF(I57="Standard",PackStandard,IF(I57="Gift",PackGift,IF(I57="Premium",PackPremium,DefaultPackaging)))),2))</f>
        <v>0</v>
      </c>
      <c r="AC57" s="36">
        <f>IF(B57="","",IF(I57="Budget",PackWeightBudget,IF(I57="Standard",PackWeightStandard,IF(I57="Gift",PackWeightGift,IF(I57="Premium",PackWeightPremium,0)))))</f>
        <v>0</v>
      </c>
      <c r="AD57" s="20">
        <f>IF(B57="","",IFERROR(INDEX(Shipping!$M$5:$M$64,MATCH(J57,Shipping!$L$5:$L$64,0)),DefaultShipping))</f>
        <v>0</v>
      </c>
      <c r="AE57" s="20">
        <f>IF(B57="","",IFERROR(INDEX(Shipping!$F$5:$F$64,MATCH(J57,Shipping!$L$5:$L$64,0)),0))</f>
        <v>0</v>
      </c>
      <c r="AF57" s="36">
        <f>IF(B57="","",IFERROR(INDEX(Shipping!$C$5:$C$64,MATCH(J57,Shipping!$L$5:$L$64,0)),""))</f>
        <v>0</v>
      </c>
      <c r="AG57" s="20">
        <f>IF(B57="","",ROUND(MAX(0,AD57-AE57),2))</f>
        <v>0</v>
      </c>
      <c r="AH57" s="20">
        <f>IF(B57="","",ROUND(T57+Z57+AA57+AB57+AG57,2))</f>
        <v>0</v>
      </c>
      <c r="AI57" s="33">
        <f>IF(B57="","",IFERROR(INDEX(Channels!$S$5:$S$18,MATCH(IF(H57="",DefaultChannel,H57),Channels!$A$5:$A$18,0)),0))</f>
        <v>0</v>
      </c>
      <c r="AJ57" s="42">
        <f>IF(B57="","",IFERROR(INDEX(Channels!$O$5:$O$18,MATCH(IF(H57="",DefaultChannel,H57),Channels!$A$5:$A$18,0)),"No"))</f>
        <v>0</v>
      </c>
      <c r="AK57" s="20">
        <f>IF(B57="","",ROUND(IFERROR(INDEX(Channels!$T$5:$T$18,MATCH(IF(H57="",DefaultChannel,H57),Channels!$A$5:$A$18,0)),0)+IF(AJ57="Yes",AE57*AI57,0),4))</f>
        <v>0</v>
      </c>
      <c r="AL57" s="33">
        <f>IF(B57="","",IF(OverheadMethod="Share of revenue",IF(RevenueTargetMonth&lt;=0,0,OverheadMonthly/RevenueTargetMonth),0))</f>
        <v>0</v>
      </c>
      <c r="AM57" s="20">
        <f>IF(B57="","",IF(OverheadMethod="Per hour worked",ROUND(OverheadPerHour*Y57,2),IF(OR(OverheadMethod="Per unit made",OverheadMethod="Per order"),OverheadPerUnit,0)))</f>
        <v>0</v>
      </c>
      <c r="AN57" s="33">
        <f>IF(B57="","",IF(N57&lt;&gt;"",N57,TargetRetailMargin))</f>
        <v>0</v>
      </c>
      <c r="AO57" s="41">
        <f>IF(B57="","",1-AN57-AI57-AL57)</f>
        <v>0</v>
      </c>
      <c r="AP57" s="20">
        <f>IF(B57="","",IF(AO57&lt;=0,"",(AH57+AM57+AK57)/AO57))</f>
        <v>0</v>
      </c>
      <c r="AQ57" s="20">
        <f>IF(B57="","",IF(AP57="","Check the settings",ROUND(IF(RoundingRule="None",AP57,IF(RoundingRule="Nearest 0.99",MAX(0.99,CEILING(AP57,1)-0.01),IF(RoundingRule="Nearest 0.95",MAX(0.95,CEILING(AP57,1)-0.05),IF(RoundingRule="Nearest 0.50",CEILING(AP57,0.5),IF(RoundingRule="Nearest 1",CEILING(AP57,1),IF(RoundingRule="Nearest 5",CEILING(AP57,5),IF(RoundingRule="Up to whole 1",CEILING(AP57,1),IF(RoundingRule="Up to whole 5",CEILING(AP57,5),ROUND(AP57,2))))))))),2)))</f>
        <v>0</v>
      </c>
      <c r="AR57" s="20">
        <f>IF(B57="","",IF(M57&lt;&gt;"",M57,IF(ISNUMBER(AQ57),AQ57,"")))</f>
        <v>0</v>
      </c>
      <c r="AS57" s="20">
        <f>IF(B57="","",IF(AR57="","",ROUND(AM57+AR57*AL57,2)))</f>
        <v>0</v>
      </c>
      <c r="AT57" s="20">
        <f>IF(B57="","",IF(AR57="","",ROUND(AH57+AS57,2)))</f>
        <v>0</v>
      </c>
      <c r="AU57" s="20">
        <f>IF(B57="","",IF(AR57="","",ROUND(AR57*AI57+AK57,2)))</f>
        <v>0</v>
      </c>
      <c r="AV57" s="20">
        <f>IF(B57="","",IF(AR57="","",ROUND(AR57-AT57-AU57,2)))</f>
        <v>0</v>
      </c>
      <c r="AW57" s="33">
        <f>IF(B57="","",IF(OR(AR57="",AR57=0),"",AV57/AR57))</f>
        <v>0</v>
      </c>
      <c r="AX57" s="33">
        <f>IF(B57="","",IF(OR(AT57="",AT57=0),"",AV57/AT57))</f>
        <v>0</v>
      </c>
      <c r="AY57" s="20">
        <f>IF(B57="","",IF(OR(Y57="",Y57=0,AV57=""),"",ROUND(AV57/Y57,2)))</f>
        <v>0</v>
      </c>
      <c r="AZ57" s="20">
        <f>IF(B57="","",IF(OR(Y57="",Y57=0,AV57=""),"",ROUND((AV57+Z57)/Y57,2)))</f>
        <v>0</v>
      </c>
      <c r="BA57" s="20">
        <f>IF(B57="","",IF(1-AI57-AL57&lt;=0,"",ROUND((AH57+AM57+AK57)/(1-AI57-AL57),2)))</f>
        <v>0</v>
      </c>
      <c r="BB57" s="20">
        <f>IF(B57="","",IF(AT57="","",ROUND(AT57*2,2)))</f>
        <v>0</v>
      </c>
      <c r="BC57" s="20">
        <f>IF(B57="","",IF(AR57="","",ROUND(AR57*(1-WholesaleDiscount),2)))</f>
        <v>0</v>
      </c>
      <c r="BD57" s="20">
        <f>IF(B57="","",IF(BC57="","",ROUND(BC57-AH57-AM57,2)))</f>
        <v>0</v>
      </c>
      <c r="BE57" s="33">
        <f>IF(B57="","",IF(OR(BC57="",BC57=0),"",BD57/BC57))</f>
        <v>0</v>
      </c>
      <c r="BF57" s="20">
        <f>IF(B57="","",IFERROR(ROUND(AVERAGEIFS(Competitors!$F$5:$F$154,Competitors!$A$5:$A$154,A57),2),""))</f>
        <v>0</v>
      </c>
      <c r="BG57" s="33">
        <f>IF(B57="","",IF(OR(BF57="",BF57=0,AR57=""),"",AR57/BF57-1))</f>
        <v>0</v>
      </c>
      <c r="BH57" s="32">
        <f>IF(B57="","",SUMIFS(Sales!$D$5:$D$804,Sales!$C$5:$C$804,A57))</f>
        <v>0</v>
      </c>
      <c r="BI57" s="20">
        <f>IF(B57="","",ROUND(SUMIFS(Sales!$V$5:$V$804,Sales!$C$5:$C$804,A57),2))</f>
        <v>0</v>
      </c>
      <c r="BJ57" s="20">
        <f>IF(B57="","",ROUND(SUMIFS(Sales!$AG$5:$AG$804,Sales!$C$5:$C$804,A57),2))</f>
        <v>0</v>
      </c>
      <c r="BK57" s="33">
        <f>IF(B57="","",IF(OR(BI57="",BI57=0),"",BJ57/BI57))</f>
        <v>0</v>
      </c>
      <c r="BL57" s="17">
        <f>IF(B57="","",IF(SUMPRODUCT(MAX((Sales!$C$5:$C$804=A57)*Sales!$B$5:$B$804))=0,"",SUMPRODUCT(MAX((Sales!$C$5:$C$804=A57)*Sales!$B$5:$B$804))))</f>
        <v>0</v>
      </c>
      <c r="BM57" s="17">
        <f>IF(B57="","",IF(SUMPRODUCT(MAX(('Price History'!$B$5:$B$304=A57)*'Price History'!$A$5:$A$304))=0,IF(P57="","",P57),SUMPRODUCT(MAX(('Price History'!$B$5:$B$304=A57)*'Price History'!$A$5:$A$304))))</f>
        <v>0</v>
      </c>
      <c r="BN57" s="32">
        <f>IF(B57="","",IF(BM57="","",TodayDate-BM57))</f>
        <v>0</v>
      </c>
      <c r="BO57" s="32">
        <f>IF(B57="","",COUNTIFS($AV$5:$AV$304,"&gt;"&amp;AV57)+COUNTIFS($AV$5:AV57,AV57))</f>
        <v>0</v>
      </c>
      <c r="BP57" s="32">
        <f>IF(B57="","",COUNTIFS($AW$5:$AW$304,"&gt;"&amp;AW57)+COUNTIFS($AW$5:AW57,AW57))</f>
        <v>0</v>
      </c>
      <c r="BQ57" s="32">
        <f>IF(B57="","",COUNTIFS($BI$5:$BI$304,"&gt;"&amp;BI57)+COUNTIFS($BI$5:BI57,BI57))</f>
        <v>0</v>
      </c>
      <c r="BR57" s="32">
        <f>IF(B57="","",COUNTIFS($AY$5:$AY$304,"&gt;"&amp;AY57)+COUNTIFS($AY$5:AY57,AY57))</f>
        <v>0</v>
      </c>
      <c r="BS57" s="43">
        <f>IF(B57="","",IF(AH57=0,"Add - no costs entered yet",IF(AR57="","Check - no price yet",IF(AV57&lt;0,"Loss - every sale costs you money",IF(AND(AZ57&lt;&gt;"",AZ57&lt;MinimumWage),"Below - pays under minimum wage",IF(AW57&lt;MarginWarning,"Low margin - re-price it",IF(AND(AF57&lt;&gt;"",K57&lt;&gt;"",K57+AC57&gt;AF57),"Check - too heavy for that postage band",IF(AND(BN57&lt;&gt;"",BN57&gt;PriceReviewDays),"Due - price has not been reviewed",IF(AND(BG57&lt;&gt;"",BG57&gt;0.5),"Check - well above the market","OK")))))))) )</f>
        <v>0</v>
      </c>
    </row>
    <row r="58" spans="1:71">
      <c r="A58" s="38">
        <f>IF(B58="","",ProductPrefix&amp;TEXT(ROW()-4,"0000"))</f>
        <v>0</v>
      </c>
      <c r="S58" s="38">
        <f>IF(B58="","",IF(C58&lt;&gt;"",C58,UPPER(LEFT(IF(D58="","GEN",D58),3))&amp;"-"&amp;TEXT(ROW()-4,"000")))</f>
        <v>0</v>
      </c>
      <c r="T58" s="20">
        <f>IF(B58="","",ROUND(SUMIFS('Material Usage'!$M$5:$M$904,'Material Usage'!$A$5:$A$904,A58)+SUMIFS(Crochet!$AD$5:$AD$84,Crochet!$A$5:$A$84,A58)+SUMIFS(Jewelry!$AF$5:$AF$84,Jewelry!$A$5:$A$84,A58)+SUMIFS(Candles!$AF$5:$AF$84,Candles!$A$5:$A$84,A58)+SUMIFS(Clothing!$AB$5:$AB$84,Clothing!$A$5:$A$84,A58)+SUMIFS(Woodworking!$AC$5:$AC$84,Woodworking!$A$5:$A$84,A58)+SUMIFS(Digital!$X$5:$X$84,Digital!$A$5:$A$84,A58),2))</f>
        <v>0</v>
      </c>
      <c r="U58" s="20">
        <f>IF(B58="","",ROUND(SUMIFS(Labor!$O$5:$O$304,Labor!$A$5:$A$304,A58)+SUMIFS(Crochet!$AG$5:$AG$84,Crochet!$A$5:$A$84,A58)+SUMIFS(Jewelry!$AI$5:$AI$84,Jewelry!$A$5:$A$84,A58)+SUMIFS(Candles!$AI$5:$AI$84,Candles!$A$5:$A$84,A58)+SUMIFS(Clothing!$AE$5:$AE$84,Clothing!$A$5:$A$84,A58)+SUMIFS(Woodworking!$AF$5:$AF$84,Woodworking!$A$5:$A$84,A58)+SUMIFS(Digital!$Z$5:$Z$84,Digital!$A$5:$A$84,A58),2))</f>
        <v>0</v>
      </c>
      <c r="V58" s="36">
        <f>IF(B58="","",ROUND(SUMIFS(Labor!$P$5:$P$304,Labor!$A$5:$A$304,A58)+SUMIFS(Crochet!$AE$5:$AE$84,Crochet!$A$5:$A$84,A58)+SUMIFS(Jewelry!$AG$5:$AG$84,Jewelry!$A$5:$A$84,A58)+SUMIFS(Candles!$AG$5:$AG$84,Candles!$A$5:$A$84,A58)+SUMIFS(Clothing!$AC$5:$AC$84,Clothing!$A$5:$A$84,A58)+SUMIFS(Woodworking!$AD$5:$AD$84,Woodworking!$A$5:$A$84,A58)+SUMIFS(Digital!$Y$5:$Y$84,Digital!$A$5:$A$84,A58),1))</f>
        <v>0</v>
      </c>
      <c r="W58" s="41">
        <f>IF(B58="","",IFERROR(INDEX(DiffTimeFactors,MATCH(G58,DiffNames,0)),1))</f>
        <v>0</v>
      </c>
      <c r="X58" s="36">
        <f>IF(B58="","",ROUND(V58*W58,1))</f>
        <v>0</v>
      </c>
      <c r="Y58" s="41">
        <f>IF(B58="","",ROUND(X58/60,3))</f>
        <v>0</v>
      </c>
      <c r="Z58" s="20">
        <f>IF(B58="","",ROUND(U58*W58,2))</f>
        <v>0</v>
      </c>
      <c r="AA58" s="20">
        <f>IF(B58="","",ROUND(SUMIFS(Labor!$Q$5:$Q$304,Labor!$A$5:$A$304,A58)+SUMIFS(Crochet!$AH$5:$AH$84,Crochet!$A$5:$A$84,A58)+SUMIFS(Jewelry!$AJ$5:$AJ$84,Jewelry!$A$5:$A$84,A58)+SUMIFS(Candles!$AJ$5:$AJ$84,Candles!$A$5:$A$84,A58)+SUMIFS(Clothing!$AF$5:$AF$84,Clothing!$A$5:$A$84,A58)+SUMIFS(Woodworking!$AH$5:$AH$84,Woodworking!$A$5:$A$84,A58)+SUMIFS(Digital!$AA$5:$AA$84,Digital!$A$5:$A$84,A58),2))</f>
        <v>0</v>
      </c>
      <c r="AB58" s="20">
        <f>IF(B58="","",ROUND(IF(I58="Budget",PackBudget,IF(I58="Standard",PackStandard,IF(I58="Gift",PackGift,IF(I58="Premium",PackPremium,DefaultPackaging)))),2))</f>
        <v>0</v>
      </c>
      <c r="AC58" s="36">
        <f>IF(B58="","",IF(I58="Budget",PackWeightBudget,IF(I58="Standard",PackWeightStandard,IF(I58="Gift",PackWeightGift,IF(I58="Premium",PackWeightPremium,0)))))</f>
        <v>0</v>
      </c>
      <c r="AD58" s="20">
        <f>IF(B58="","",IFERROR(INDEX(Shipping!$M$5:$M$64,MATCH(J58,Shipping!$L$5:$L$64,0)),DefaultShipping))</f>
        <v>0</v>
      </c>
      <c r="AE58" s="20">
        <f>IF(B58="","",IFERROR(INDEX(Shipping!$F$5:$F$64,MATCH(J58,Shipping!$L$5:$L$64,0)),0))</f>
        <v>0</v>
      </c>
      <c r="AF58" s="36">
        <f>IF(B58="","",IFERROR(INDEX(Shipping!$C$5:$C$64,MATCH(J58,Shipping!$L$5:$L$64,0)),""))</f>
        <v>0</v>
      </c>
      <c r="AG58" s="20">
        <f>IF(B58="","",ROUND(MAX(0,AD58-AE58),2))</f>
        <v>0</v>
      </c>
      <c r="AH58" s="20">
        <f>IF(B58="","",ROUND(T58+Z58+AA58+AB58+AG58,2))</f>
        <v>0</v>
      </c>
      <c r="AI58" s="33">
        <f>IF(B58="","",IFERROR(INDEX(Channels!$S$5:$S$18,MATCH(IF(H58="",DefaultChannel,H58),Channels!$A$5:$A$18,0)),0))</f>
        <v>0</v>
      </c>
      <c r="AJ58" s="42">
        <f>IF(B58="","",IFERROR(INDEX(Channels!$O$5:$O$18,MATCH(IF(H58="",DefaultChannel,H58),Channels!$A$5:$A$18,0)),"No"))</f>
        <v>0</v>
      </c>
      <c r="AK58" s="20">
        <f>IF(B58="","",ROUND(IFERROR(INDEX(Channels!$T$5:$T$18,MATCH(IF(H58="",DefaultChannel,H58),Channels!$A$5:$A$18,0)),0)+IF(AJ58="Yes",AE58*AI58,0),4))</f>
        <v>0</v>
      </c>
      <c r="AL58" s="33">
        <f>IF(B58="","",IF(OverheadMethod="Share of revenue",IF(RevenueTargetMonth&lt;=0,0,OverheadMonthly/RevenueTargetMonth),0))</f>
        <v>0</v>
      </c>
      <c r="AM58" s="20">
        <f>IF(B58="","",IF(OverheadMethod="Per hour worked",ROUND(OverheadPerHour*Y58,2),IF(OR(OverheadMethod="Per unit made",OverheadMethod="Per order"),OverheadPerUnit,0)))</f>
        <v>0</v>
      </c>
      <c r="AN58" s="33">
        <f>IF(B58="","",IF(N58&lt;&gt;"",N58,TargetRetailMargin))</f>
        <v>0</v>
      </c>
      <c r="AO58" s="41">
        <f>IF(B58="","",1-AN58-AI58-AL58)</f>
        <v>0</v>
      </c>
      <c r="AP58" s="20">
        <f>IF(B58="","",IF(AO58&lt;=0,"",(AH58+AM58+AK58)/AO58))</f>
        <v>0</v>
      </c>
      <c r="AQ58" s="20">
        <f>IF(B58="","",IF(AP58="","Check the settings",ROUND(IF(RoundingRule="None",AP58,IF(RoundingRule="Nearest 0.99",MAX(0.99,CEILING(AP58,1)-0.01),IF(RoundingRule="Nearest 0.95",MAX(0.95,CEILING(AP58,1)-0.05),IF(RoundingRule="Nearest 0.50",CEILING(AP58,0.5),IF(RoundingRule="Nearest 1",CEILING(AP58,1),IF(RoundingRule="Nearest 5",CEILING(AP58,5),IF(RoundingRule="Up to whole 1",CEILING(AP58,1),IF(RoundingRule="Up to whole 5",CEILING(AP58,5),ROUND(AP58,2))))))))),2)))</f>
        <v>0</v>
      </c>
      <c r="AR58" s="20">
        <f>IF(B58="","",IF(M58&lt;&gt;"",M58,IF(ISNUMBER(AQ58),AQ58,"")))</f>
        <v>0</v>
      </c>
      <c r="AS58" s="20">
        <f>IF(B58="","",IF(AR58="","",ROUND(AM58+AR58*AL58,2)))</f>
        <v>0</v>
      </c>
      <c r="AT58" s="20">
        <f>IF(B58="","",IF(AR58="","",ROUND(AH58+AS58,2)))</f>
        <v>0</v>
      </c>
      <c r="AU58" s="20">
        <f>IF(B58="","",IF(AR58="","",ROUND(AR58*AI58+AK58,2)))</f>
        <v>0</v>
      </c>
      <c r="AV58" s="20">
        <f>IF(B58="","",IF(AR58="","",ROUND(AR58-AT58-AU58,2)))</f>
        <v>0</v>
      </c>
      <c r="AW58" s="33">
        <f>IF(B58="","",IF(OR(AR58="",AR58=0),"",AV58/AR58))</f>
        <v>0</v>
      </c>
      <c r="AX58" s="33">
        <f>IF(B58="","",IF(OR(AT58="",AT58=0),"",AV58/AT58))</f>
        <v>0</v>
      </c>
      <c r="AY58" s="20">
        <f>IF(B58="","",IF(OR(Y58="",Y58=0,AV58=""),"",ROUND(AV58/Y58,2)))</f>
        <v>0</v>
      </c>
      <c r="AZ58" s="20">
        <f>IF(B58="","",IF(OR(Y58="",Y58=0,AV58=""),"",ROUND((AV58+Z58)/Y58,2)))</f>
        <v>0</v>
      </c>
      <c r="BA58" s="20">
        <f>IF(B58="","",IF(1-AI58-AL58&lt;=0,"",ROUND((AH58+AM58+AK58)/(1-AI58-AL58),2)))</f>
        <v>0</v>
      </c>
      <c r="BB58" s="20">
        <f>IF(B58="","",IF(AT58="","",ROUND(AT58*2,2)))</f>
        <v>0</v>
      </c>
      <c r="BC58" s="20">
        <f>IF(B58="","",IF(AR58="","",ROUND(AR58*(1-WholesaleDiscount),2)))</f>
        <v>0</v>
      </c>
      <c r="BD58" s="20">
        <f>IF(B58="","",IF(BC58="","",ROUND(BC58-AH58-AM58,2)))</f>
        <v>0</v>
      </c>
      <c r="BE58" s="33">
        <f>IF(B58="","",IF(OR(BC58="",BC58=0),"",BD58/BC58))</f>
        <v>0</v>
      </c>
      <c r="BF58" s="20">
        <f>IF(B58="","",IFERROR(ROUND(AVERAGEIFS(Competitors!$F$5:$F$154,Competitors!$A$5:$A$154,A58),2),""))</f>
        <v>0</v>
      </c>
      <c r="BG58" s="33">
        <f>IF(B58="","",IF(OR(BF58="",BF58=0,AR58=""),"",AR58/BF58-1))</f>
        <v>0</v>
      </c>
      <c r="BH58" s="32">
        <f>IF(B58="","",SUMIFS(Sales!$D$5:$D$804,Sales!$C$5:$C$804,A58))</f>
        <v>0</v>
      </c>
      <c r="BI58" s="20">
        <f>IF(B58="","",ROUND(SUMIFS(Sales!$V$5:$V$804,Sales!$C$5:$C$804,A58),2))</f>
        <v>0</v>
      </c>
      <c r="BJ58" s="20">
        <f>IF(B58="","",ROUND(SUMIFS(Sales!$AG$5:$AG$804,Sales!$C$5:$C$804,A58),2))</f>
        <v>0</v>
      </c>
      <c r="BK58" s="33">
        <f>IF(B58="","",IF(OR(BI58="",BI58=0),"",BJ58/BI58))</f>
        <v>0</v>
      </c>
      <c r="BL58" s="17">
        <f>IF(B58="","",IF(SUMPRODUCT(MAX((Sales!$C$5:$C$804=A58)*Sales!$B$5:$B$804))=0,"",SUMPRODUCT(MAX((Sales!$C$5:$C$804=A58)*Sales!$B$5:$B$804))))</f>
        <v>0</v>
      </c>
      <c r="BM58" s="17">
        <f>IF(B58="","",IF(SUMPRODUCT(MAX(('Price History'!$B$5:$B$304=A58)*'Price History'!$A$5:$A$304))=0,IF(P58="","",P58),SUMPRODUCT(MAX(('Price History'!$B$5:$B$304=A58)*'Price History'!$A$5:$A$304))))</f>
        <v>0</v>
      </c>
      <c r="BN58" s="32">
        <f>IF(B58="","",IF(BM58="","",TodayDate-BM58))</f>
        <v>0</v>
      </c>
      <c r="BO58" s="32">
        <f>IF(B58="","",COUNTIFS($AV$5:$AV$304,"&gt;"&amp;AV58)+COUNTIFS($AV$5:AV58,AV58))</f>
        <v>0</v>
      </c>
      <c r="BP58" s="32">
        <f>IF(B58="","",COUNTIFS($AW$5:$AW$304,"&gt;"&amp;AW58)+COUNTIFS($AW$5:AW58,AW58))</f>
        <v>0</v>
      </c>
      <c r="BQ58" s="32">
        <f>IF(B58="","",COUNTIFS($BI$5:$BI$304,"&gt;"&amp;BI58)+COUNTIFS($BI$5:BI58,BI58))</f>
        <v>0</v>
      </c>
      <c r="BR58" s="32">
        <f>IF(B58="","",COUNTIFS($AY$5:$AY$304,"&gt;"&amp;AY58)+COUNTIFS($AY$5:AY58,AY58))</f>
        <v>0</v>
      </c>
      <c r="BS58" s="43">
        <f>IF(B58="","",IF(AH58=0,"Add - no costs entered yet",IF(AR58="","Check - no price yet",IF(AV58&lt;0,"Loss - every sale costs you money",IF(AND(AZ58&lt;&gt;"",AZ58&lt;MinimumWage),"Below - pays under minimum wage",IF(AW58&lt;MarginWarning,"Low margin - re-price it",IF(AND(AF58&lt;&gt;"",K58&lt;&gt;"",K58+AC58&gt;AF58),"Check - too heavy for that postage band",IF(AND(BN58&lt;&gt;"",BN58&gt;PriceReviewDays),"Due - price has not been reviewed",IF(AND(BG58&lt;&gt;"",BG58&gt;0.5),"Check - well above the market","OK")))))))) )</f>
        <v>0</v>
      </c>
    </row>
    <row r="59" spans="1:71">
      <c r="A59" s="38">
        <f>IF(B59="","",ProductPrefix&amp;TEXT(ROW()-4,"0000"))</f>
        <v>0</v>
      </c>
      <c r="S59" s="38">
        <f>IF(B59="","",IF(C59&lt;&gt;"",C59,UPPER(LEFT(IF(D59="","GEN",D59),3))&amp;"-"&amp;TEXT(ROW()-4,"000")))</f>
        <v>0</v>
      </c>
      <c r="T59" s="20">
        <f>IF(B59="","",ROUND(SUMIFS('Material Usage'!$M$5:$M$904,'Material Usage'!$A$5:$A$904,A59)+SUMIFS(Crochet!$AD$5:$AD$84,Crochet!$A$5:$A$84,A59)+SUMIFS(Jewelry!$AF$5:$AF$84,Jewelry!$A$5:$A$84,A59)+SUMIFS(Candles!$AF$5:$AF$84,Candles!$A$5:$A$84,A59)+SUMIFS(Clothing!$AB$5:$AB$84,Clothing!$A$5:$A$84,A59)+SUMIFS(Woodworking!$AC$5:$AC$84,Woodworking!$A$5:$A$84,A59)+SUMIFS(Digital!$X$5:$X$84,Digital!$A$5:$A$84,A59),2))</f>
        <v>0</v>
      </c>
      <c r="U59" s="20">
        <f>IF(B59="","",ROUND(SUMIFS(Labor!$O$5:$O$304,Labor!$A$5:$A$304,A59)+SUMIFS(Crochet!$AG$5:$AG$84,Crochet!$A$5:$A$84,A59)+SUMIFS(Jewelry!$AI$5:$AI$84,Jewelry!$A$5:$A$84,A59)+SUMIFS(Candles!$AI$5:$AI$84,Candles!$A$5:$A$84,A59)+SUMIFS(Clothing!$AE$5:$AE$84,Clothing!$A$5:$A$84,A59)+SUMIFS(Woodworking!$AF$5:$AF$84,Woodworking!$A$5:$A$84,A59)+SUMIFS(Digital!$Z$5:$Z$84,Digital!$A$5:$A$84,A59),2))</f>
        <v>0</v>
      </c>
      <c r="V59" s="36">
        <f>IF(B59="","",ROUND(SUMIFS(Labor!$P$5:$P$304,Labor!$A$5:$A$304,A59)+SUMIFS(Crochet!$AE$5:$AE$84,Crochet!$A$5:$A$84,A59)+SUMIFS(Jewelry!$AG$5:$AG$84,Jewelry!$A$5:$A$84,A59)+SUMIFS(Candles!$AG$5:$AG$84,Candles!$A$5:$A$84,A59)+SUMIFS(Clothing!$AC$5:$AC$84,Clothing!$A$5:$A$84,A59)+SUMIFS(Woodworking!$AD$5:$AD$84,Woodworking!$A$5:$A$84,A59)+SUMIFS(Digital!$Y$5:$Y$84,Digital!$A$5:$A$84,A59),1))</f>
        <v>0</v>
      </c>
      <c r="W59" s="41">
        <f>IF(B59="","",IFERROR(INDEX(DiffTimeFactors,MATCH(G59,DiffNames,0)),1))</f>
        <v>0</v>
      </c>
      <c r="X59" s="36">
        <f>IF(B59="","",ROUND(V59*W59,1))</f>
        <v>0</v>
      </c>
      <c r="Y59" s="41">
        <f>IF(B59="","",ROUND(X59/60,3))</f>
        <v>0</v>
      </c>
      <c r="Z59" s="20">
        <f>IF(B59="","",ROUND(U59*W59,2))</f>
        <v>0</v>
      </c>
      <c r="AA59" s="20">
        <f>IF(B59="","",ROUND(SUMIFS(Labor!$Q$5:$Q$304,Labor!$A$5:$A$304,A59)+SUMIFS(Crochet!$AH$5:$AH$84,Crochet!$A$5:$A$84,A59)+SUMIFS(Jewelry!$AJ$5:$AJ$84,Jewelry!$A$5:$A$84,A59)+SUMIFS(Candles!$AJ$5:$AJ$84,Candles!$A$5:$A$84,A59)+SUMIFS(Clothing!$AF$5:$AF$84,Clothing!$A$5:$A$84,A59)+SUMIFS(Woodworking!$AH$5:$AH$84,Woodworking!$A$5:$A$84,A59)+SUMIFS(Digital!$AA$5:$AA$84,Digital!$A$5:$A$84,A59),2))</f>
        <v>0</v>
      </c>
      <c r="AB59" s="20">
        <f>IF(B59="","",ROUND(IF(I59="Budget",PackBudget,IF(I59="Standard",PackStandard,IF(I59="Gift",PackGift,IF(I59="Premium",PackPremium,DefaultPackaging)))),2))</f>
        <v>0</v>
      </c>
      <c r="AC59" s="36">
        <f>IF(B59="","",IF(I59="Budget",PackWeightBudget,IF(I59="Standard",PackWeightStandard,IF(I59="Gift",PackWeightGift,IF(I59="Premium",PackWeightPremium,0)))))</f>
        <v>0</v>
      </c>
      <c r="AD59" s="20">
        <f>IF(B59="","",IFERROR(INDEX(Shipping!$M$5:$M$64,MATCH(J59,Shipping!$L$5:$L$64,0)),DefaultShipping))</f>
        <v>0</v>
      </c>
      <c r="AE59" s="20">
        <f>IF(B59="","",IFERROR(INDEX(Shipping!$F$5:$F$64,MATCH(J59,Shipping!$L$5:$L$64,0)),0))</f>
        <v>0</v>
      </c>
      <c r="AF59" s="36">
        <f>IF(B59="","",IFERROR(INDEX(Shipping!$C$5:$C$64,MATCH(J59,Shipping!$L$5:$L$64,0)),""))</f>
        <v>0</v>
      </c>
      <c r="AG59" s="20">
        <f>IF(B59="","",ROUND(MAX(0,AD59-AE59),2))</f>
        <v>0</v>
      </c>
      <c r="AH59" s="20">
        <f>IF(B59="","",ROUND(T59+Z59+AA59+AB59+AG59,2))</f>
        <v>0</v>
      </c>
      <c r="AI59" s="33">
        <f>IF(B59="","",IFERROR(INDEX(Channels!$S$5:$S$18,MATCH(IF(H59="",DefaultChannel,H59),Channels!$A$5:$A$18,0)),0))</f>
        <v>0</v>
      </c>
      <c r="AJ59" s="42">
        <f>IF(B59="","",IFERROR(INDEX(Channels!$O$5:$O$18,MATCH(IF(H59="",DefaultChannel,H59),Channels!$A$5:$A$18,0)),"No"))</f>
        <v>0</v>
      </c>
      <c r="AK59" s="20">
        <f>IF(B59="","",ROUND(IFERROR(INDEX(Channels!$T$5:$T$18,MATCH(IF(H59="",DefaultChannel,H59),Channels!$A$5:$A$18,0)),0)+IF(AJ59="Yes",AE59*AI59,0),4))</f>
        <v>0</v>
      </c>
      <c r="AL59" s="33">
        <f>IF(B59="","",IF(OverheadMethod="Share of revenue",IF(RevenueTargetMonth&lt;=0,0,OverheadMonthly/RevenueTargetMonth),0))</f>
        <v>0</v>
      </c>
      <c r="AM59" s="20">
        <f>IF(B59="","",IF(OverheadMethod="Per hour worked",ROUND(OverheadPerHour*Y59,2),IF(OR(OverheadMethod="Per unit made",OverheadMethod="Per order"),OverheadPerUnit,0)))</f>
        <v>0</v>
      </c>
      <c r="AN59" s="33">
        <f>IF(B59="","",IF(N59&lt;&gt;"",N59,TargetRetailMargin))</f>
        <v>0</v>
      </c>
      <c r="AO59" s="41">
        <f>IF(B59="","",1-AN59-AI59-AL59)</f>
        <v>0</v>
      </c>
      <c r="AP59" s="20">
        <f>IF(B59="","",IF(AO59&lt;=0,"",(AH59+AM59+AK59)/AO59))</f>
        <v>0</v>
      </c>
      <c r="AQ59" s="20">
        <f>IF(B59="","",IF(AP59="","Check the settings",ROUND(IF(RoundingRule="None",AP59,IF(RoundingRule="Nearest 0.99",MAX(0.99,CEILING(AP59,1)-0.01),IF(RoundingRule="Nearest 0.95",MAX(0.95,CEILING(AP59,1)-0.05),IF(RoundingRule="Nearest 0.50",CEILING(AP59,0.5),IF(RoundingRule="Nearest 1",CEILING(AP59,1),IF(RoundingRule="Nearest 5",CEILING(AP59,5),IF(RoundingRule="Up to whole 1",CEILING(AP59,1),IF(RoundingRule="Up to whole 5",CEILING(AP59,5),ROUND(AP59,2))))))))),2)))</f>
        <v>0</v>
      </c>
      <c r="AR59" s="20">
        <f>IF(B59="","",IF(M59&lt;&gt;"",M59,IF(ISNUMBER(AQ59),AQ59,"")))</f>
        <v>0</v>
      </c>
      <c r="AS59" s="20">
        <f>IF(B59="","",IF(AR59="","",ROUND(AM59+AR59*AL59,2)))</f>
        <v>0</v>
      </c>
      <c r="AT59" s="20">
        <f>IF(B59="","",IF(AR59="","",ROUND(AH59+AS59,2)))</f>
        <v>0</v>
      </c>
      <c r="AU59" s="20">
        <f>IF(B59="","",IF(AR59="","",ROUND(AR59*AI59+AK59,2)))</f>
        <v>0</v>
      </c>
      <c r="AV59" s="20">
        <f>IF(B59="","",IF(AR59="","",ROUND(AR59-AT59-AU59,2)))</f>
        <v>0</v>
      </c>
      <c r="AW59" s="33">
        <f>IF(B59="","",IF(OR(AR59="",AR59=0),"",AV59/AR59))</f>
        <v>0</v>
      </c>
      <c r="AX59" s="33">
        <f>IF(B59="","",IF(OR(AT59="",AT59=0),"",AV59/AT59))</f>
        <v>0</v>
      </c>
      <c r="AY59" s="20">
        <f>IF(B59="","",IF(OR(Y59="",Y59=0,AV59=""),"",ROUND(AV59/Y59,2)))</f>
        <v>0</v>
      </c>
      <c r="AZ59" s="20">
        <f>IF(B59="","",IF(OR(Y59="",Y59=0,AV59=""),"",ROUND((AV59+Z59)/Y59,2)))</f>
        <v>0</v>
      </c>
      <c r="BA59" s="20">
        <f>IF(B59="","",IF(1-AI59-AL59&lt;=0,"",ROUND((AH59+AM59+AK59)/(1-AI59-AL59),2)))</f>
        <v>0</v>
      </c>
      <c r="BB59" s="20">
        <f>IF(B59="","",IF(AT59="","",ROUND(AT59*2,2)))</f>
        <v>0</v>
      </c>
      <c r="BC59" s="20">
        <f>IF(B59="","",IF(AR59="","",ROUND(AR59*(1-WholesaleDiscount),2)))</f>
        <v>0</v>
      </c>
      <c r="BD59" s="20">
        <f>IF(B59="","",IF(BC59="","",ROUND(BC59-AH59-AM59,2)))</f>
        <v>0</v>
      </c>
      <c r="BE59" s="33">
        <f>IF(B59="","",IF(OR(BC59="",BC59=0),"",BD59/BC59))</f>
        <v>0</v>
      </c>
      <c r="BF59" s="20">
        <f>IF(B59="","",IFERROR(ROUND(AVERAGEIFS(Competitors!$F$5:$F$154,Competitors!$A$5:$A$154,A59),2),""))</f>
        <v>0</v>
      </c>
      <c r="BG59" s="33">
        <f>IF(B59="","",IF(OR(BF59="",BF59=0,AR59=""),"",AR59/BF59-1))</f>
        <v>0</v>
      </c>
      <c r="BH59" s="32">
        <f>IF(B59="","",SUMIFS(Sales!$D$5:$D$804,Sales!$C$5:$C$804,A59))</f>
        <v>0</v>
      </c>
      <c r="BI59" s="20">
        <f>IF(B59="","",ROUND(SUMIFS(Sales!$V$5:$V$804,Sales!$C$5:$C$804,A59),2))</f>
        <v>0</v>
      </c>
      <c r="BJ59" s="20">
        <f>IF(B59="","",ROUND(SUMIFS(Sales!$AG$5:$AG$804,Sales!$C$5:$C$804,A59),2))</f>
        <v>0</v>
      </c>
      <c r="BK59" s="33">
        <f>IF(B59="","",IF(OR(BI59="",BI59=0),"",BJ59/BI59))</f>
        <v>0</v>
      </c>
      <c r="BL59" s="17">
        <f>IF(B59="","",IF(SUMPRODUCT(MAX((Sales!$C$5:$C$804=A59)*Sales!$B$5:$B$804))=0,"",SUMPRODUCT(MAX((Sales!$C$5:$C$804=A59)*Sales!$B$5:$B$804))))</f>
        <v>0</v>
      </c>
      <c r="BM59" s="17">
        <f>IF(B59="","",IF(SUMPRODUCT(MAX(('Price History'!$B$5:$B$304=A59)*'Price History'!$A$5:$A$304))=0,IF(P59="","",P59),SUMPRODUCT(MAX(('Price History'!$B$5:$B$304=A59)*'Price History'!$A$5:$A$304))))</f>
        <v>0</v>
      </c>
      <c r="BN59" s="32">
        <f>IF(B59="","",IF(BM59="","",TodayDate-BM59))</f>
        <v>0</v>
      </c>
      <c r="BO59" s="32">
        <f>IF(B59="","",COUNTIFS($AV$5:$AV$304,"&gt;"&amp;AV59)+COUNTIFS($AV$5:AV59,AV59))</f>
        <v>0</v>
      </c>
      <c r="BP59" s="32">
        <f>IF(B59="","",COUNTIFS($AW$5:$AW$304,"&gt;"&amp;AW59)+COUNTIFS($AW$5:AW59,AW59))</f>
        <v>0</v>
      </c>
      <c r="BQ59" s="32">
        <f>IF(B59="","",COUNTIFS($BI$5:$BI$304,"&gt;"&amp;BI59)+COUNTIFS($BI$5:BI59,BI59))</f>
        <v>0</v>
      </c>
      <c r="BR59" s="32">
        <f>IF(B59="","",COUNTIFS($AY$5:$AY$304,"&gt;"&amp;AY59)+COUNTIFS($AY$5:AY59,AY59))</f>
        <v>0</v>
      </c>
      <c r="BS59" s="43">
        <f>IF(B59="","",IF(AH59=0,"Add - no costs entered yet",IF(AR59="","Check - no price yet",IF(AV59&lt;0,"Loss - every sale costs you money",IF(AND(AZ59&lt;&gt;"",AZ59&lt;MinimumWage),"Below - pays under minimum wage",IF(AW59&lt;MarginWarning,"Low margin - re-price it",IF(AND(AF59&lt;&gt;"",K59&lt;&gt;"",K59+AC59&gt;AF59),"Check - too heavy for that postage band",IF(AND(BN59&lt;&gt;"",BN59&gt;PriceReviewDays),"Due - price has not been reviewed",IF(AND(BG59&lt;&gt;"",BG59&gt;0.5),"Check - well above the market","OK")))))))) )</f>
        <v>0</v>
      </c>
    </row>
    <row r="60" spans="1:71">
      <c r="A60" s="38">
        <f>IF(B60="","",ProductPrefix&amp;TEXT(ROW()-4,"0000"))</f>
        <v>0</v>
      </c>
      <c r="S60" s="38">
        <f>IF(B60="","",IF(C60&lt;&gt;"",C60,UPPER(LEFT(IF(D60="","GEN",D60),3))&amp;"-"&amp;TEXT(ROW()-4,"000")))</f>
        <v>0</v>
      </c>
      <c r="T60" s="20">
        <f>IF(B60="","",ROUND(SUMIFS('Material Usage'!$M$5:$M$904,'Material Usage'!$A$5:$A$904,A60)+SUMIFS(Crochet!$AD$5:$AD$84,Crochet!$A$5:$A$84,A60)+SUMIFS(Jewelry!$AF$5:$AF$84,Jewelry!$A$5:$A$84,A60)+SUMIFS(Candles!$AF$5:$AF$84,Candles!$A$5:$A$84,A60)+SUMIFS(Clothing!$AB$5:$AB$84,Clothing!$A$5:$A$84,A60)+SUMIFS(Woodworking!$AC$5:$AC$84,Woodworking!$A$5:$A$84,A60)+SUMIFS(Digital!$X$5:$X$84,Digital!$A$5:$A$84,A60),2))</f>
        <v>0</v>
      </c>
      <c r="U60" s="20">
        <f>IF(B60="","",ROUND(SUMIFS(Labor!$O$5:$O$304,Labor!$A$5:$A$304,A60)+SUMIFS(Crochet!$AG$5:$AG$84,Crochet!$A$5:$A$84,A60)+SUMIFS(Jewelry!$AI$5:$AI$84,Jewelry!$A$5:$A$84,A60)+SUMIFS(Candles!$AI$5:$AI$84,Candles!$A$5:$A$84,A60)+SUMIFS(Clothing!$AE$5:$AE$84,Clothing!$A$5:$A$84,A60)+SUMIFS(Woodworking!$AF$5:$AF$84,Woodworking!$A$5:$A$84,A60)+SUMIFS(Digital!$Z$5:$Z$84,Digital!$A$5:$A$84,A60),2))</f>
        <v>0</v>
      </c>
      <c r="V60" s="36">
        <f>IF(B60="","",ROUND(SUMIFS(Labor!$P$5:$P$304,Labor!$A$5:$A$304,A60)+SUMIFS(Crochet!$AE$5:$AE$84,Crochet!$A$5:$A$84,A60)+SUMIFS(Jewelry!$AG$5:$AG$84,Jewelry!$A$5:$A$84,A60)+SUMIFS(Candles!$AG$5:$AG$84,Candles!$A$5:$A$84,A60)+SUMIFS(Clothing!$AC$5:$AC$84,Clothing!$A$5:$A$84,A60)+SUMIFS(Woodworking!$AD$5:$AD$84,Woodworking!$A$5:$A$84,A60)+SUMIFS(Digital!$Y$5:$Y$84,Digital!$A$5:$A$84,A60),1))</f>
        <v>0</v>
      </c>
      <c r="W60" s="41">
        <f>IF(B60="","",IFERROR(INDEX(DiffTimeFactors,MATCH(G60,DiffNames,0)),1))</f>
        <v>0</v>
      </c>
      <c r="X60" s="36">
        <f>IF(B60="","",ROUND(V60*W60,1))</f>
        <v>0</v>
      </c>
      <c r="Y60" s="41">
        <f>IF(B60="","",ROUND(X60/60,3))</f>
        <v>0</v>
      </c>
      <c r="Z60" s="20">
        <f>IF(B60="","",ROUND(U60*W60,2))</f>
        <v>0</v>
      </c>
      <c r="AA60" s="20">
        <f>IF(B60="","",ROUND(SUMIFS(Labor!$Q$5:$Q$304,Labor!$A$5:$A$304,A60)+SUMIFS(Crochet!$AH$5:$AH$84,Crochet!$A$5:$A$84,A60)+SUMIFS(Jewelry!$AJ$5:$AJ$84,Jewelry!$A$5:$A$84,A60)+SUMIFS(Candles!$AJ$5:$AJ$84,Candles!$A$5:$A$84,A60)+SUMIFS(Clothing!$AF$5:$AF$84,Clothing!$A$5:$A$84,A60)+SUMIFS(Woodworking!$AH$5:$AH$84,Woodworking!$A$5:$A$84,A60)+SUMIFS(Digital!$AA$5:$AA$84,Digital!$A$5:$A$84,A60),2))</f>
        <v>0</v>
      </c>
      <c r="AB60" s="20">
        <f>IF(B60="","",ROUND(IF(I60="Budget",PackBudget,IF(I60="Standard",PackStandard,IF(I60="Gift",PackGift,IF(I60="Premium",PackPremium,DefaultPackaging)))),2))</f>
        <v>0</v>
      </c>
      <c r="AC60" s="36">
        <f>IF(B60="","",IF(I60="Budget",PackWeightBudget,IF(I60="Standard",PackWeightStandard,IF(I60="Gift",PackWeightGift,IF(I60="Premium",PackWeightPremium,0)))))</f>
        <v>0</v>
      </c>
      <c r="AD60" s="20">
        <f>IF(B60="","",IFERROR(INDEX(Shipping!$M$5:$M$64,MATCH(J60,Shipping!$L$5:$L$64,0)),DefaultShipping))</f>
        <v>0</v>
      </c>
      <c r="AE60" s="20">
        <f>IF(B60="","",IFERROR(INDEX(Shipping!$F$5:$F$64,MATCH(J60,Shipping!$L$5:$L$64,0)),0))</f>
        <v>0</v>
      </c>
      <c r="AF60" s="36">
        <f>IF(B60="","",IFERROR(INDEX(Shipping!$C$5:$C$64,MATCH(J60,Shipping!$L$5:$L$64,0)),""))</f>
        <v>0</v>
      </c>
      <c r="AG60" s="20">
        <f>IF(B60="","",ROUND(MAX(0,AD60-AE60),2))</f>
        <v>0</v>
      </c>
      <c r="AH60" s="20">
        <f>IF(B60="","",ROUND(T60+Z60+AA60+AB60+AG60,2))</f>
        <v>0</v>
      </c>
      <c r="AI60" s="33">
        <f>IF(B60="","",IFERROR(INDEX(Channels!$S$5:$S$18,MATCH(IF(H60="",DefaultChannel,H60),Channels!$A$5:$A$18,0)),0))</f>
        <v>0</v>
      </c>
      <c r="AJ60" s="42">
        <f>IF(B60="","",IFERROR(INDEX(Channels!$O$5:$O$18,MATCH(IF(H60="",DefaultChannel,H60),Channels!$A$5:$A$18,0)),"No"))</f>
        <v>0</v>
      </c>
      <c r="AK60" s="20">
        <f>IF(B60="","",ROUND(IFERROR(INDEX(Channels!$T$5:$T$18,MATCH(IF(H60="",DefaultChannel,H60),Channels!$A$5:$A$18,0)),0)+IF(AJ60="Yes",AE60*AI60,0),4))</f>
        <v>0</v>
      </c>
      <c r="AL60" s="33">
        <f>IF(B60="","",IF(OverheadMethod="Share of revenue",IF(RevenueTargetMonth&lt;=0,0,OverheadMonthly/RevenueTargetMonth),0))</f>
        <v>0</v>
      </c>
      <c r="AM60" s="20">
        <f>IF(B60="","",IF(OverheadMethod="Per hour worked",ROUND(OverheadPerHour*Y60,2),IF(OR(OverheadMethod="Per unit made",OverheadMethod="Per order"),OverheadPerUnit,0)))</f>
        <v>0</v>
      </c>
      <c r="AN60" s="33">
        <f>IF(B60="","",IF(N60&lt;&gt;"",N60,TargetRetailMargin))</f>
        <v>0</v>
      </c>
      <c r="AO60" s="41">
        <f>IF(B60="","",1-AN60-AI60-AL60)</f>
        <v>0</v>
      </c>
      <c r="AP60" s="20">
        <f>IF(B60="","",IF(AO60&lt;=0,"",(AH60+AM60+AK60)/AO60))</f>
        <v>0</v>
      </c>
      <c r="AQ60" s="20">
        <f>IF(B60="","",IF(AP60="","Check the settings",ROUND(IF(RoundingRule="None",AP60,IF(RoundingRule="Nearest 0.99",MAX(0.99,CEILING(AP60,1)-0.01),IF(RoundingRule="Nearest 0.95",MAX(0.95,CEILING(AP60,1)-0.05),IF(RoundingRule="Nearest 0.50",CEILING(AP60,0.5),IF(RoundingRule="Nearest 1",CEILING(AP60,1),IF(RoundingRule="Nearest 5",CEILING(AP60,5),IF(RoundingRule="Up to whole 1",CEILING(AP60,1),IF(RoundingRule="Up to whole 5",CEILING(AP60,5),ROUND(AP60,2))))))))),2)))</f>
        <v>0</v>
      </c>
      <c r="AR60" s="20">
        <f>IF(B60="","",IF(M60&lt;&gt;"",M60,IF(ISNUMBER(AQ60),AQ60,"")))</f>
        <v>0</v>
      </c>
      <c r="AS60" s="20">
        <f>IF(B60="","",IF(AR60="","",ROUND(AM60+AR60*AL60,2)))</f>
        <v>0</v>
      </c>
      <c r="AT60" s="20">
        <f>IF(B60="","",IF(AR60="","",ROUND(AH60+AS60,2)))</f>
        <v>0</v>
      </c>
      <c r="AU60" s="20">
        <f>IF(B60="","",IF(AR60="","",ROUND(AR60*AI60+AK60,2)))</f>
        <v>0</v>
      </c>
      <c r="AV60" s="20">
        <f>IF(B60="","",IF(AR60="","",ROUND(AR60-AT60-AU60,2)))</f>
        <v>0</v>
      </c>
      <c r="AW60" s="33">
        <f>IF(B60="","",IF(OR(AR60="",AR60=0),"",AV60/AR60))</f>
        <v>0</v>
      </c>
      <c r="AX60" s="33">
        <f>IF(B60="","",IF(OR(AT60="",AT60=0),"",AV60/AT60))</f>
        <v>0</v>
      </c>
      <c r="AY60" s="20">
        <f>IF(B60="","",IF(OR(Y60="",Y60=0,AV60=""),"",ROUND(AV60/Y60,2)))</f>
        <v>0</v>
      </c>
      <c r="AZ60" s="20">
        <f>IF(B60="","",IF(OR(Y60="",Y60=0,AV60=""),"",ROUND((AV60+Z60)/Y60,2)))</f>
        <v>0</v>
      </c>
      <c r="BA60" s="20">
        <f>IF(B60="","",IF(1-AI60-AL60&lt;=0,"",ROUND((AH60+AM60+AK60)/(1-AI60-AL60),2)))</f>
        <v>0</v>
      </c>
      <c r="BB60" s="20">
        <f>IF(B60="","",IF(AT60="","",ROUND(AT60*2,2)))</f>
        <v>0</v>
      </c>
      <c r="BC60" s="20">
        <f>IF(B60="","",IF(AR60="","",ROUND(AR60*(1-WholesaleDiscount),2)))</f>
        <v>0</v>
      </c>
      <c r="BD60" s="20">
        <f>IF(B60="","",IF(BC60="","",ROUND(BC60-AH60-AM60,2)))</f>
        <v>0</v>
      </c>
      <c r="BE60" s="33">
        <f>IF(B60="","",IF(OR(BC60="",BC60=0),"",BD60/BC60))</f>
        <v>0</v>
      </c>
      <c r="BF60" s="20">
        <f>IF(B60="","",IFERROR(ROUND(AVERAGEIFS(Competitors!$F$5:$F$154,Competitors!$A$5:$A$154,A60),2),""))</f>
        <v>0</v>
      </c>
      <c r="BG60" s="33">
        <f>IF(B60="","",IF(OR(BF60="",BF60=0,AR60=""),"",AR60/BF60-1))</f>
        <v>0</v>
      </c>
      <c r="BH60" s="32">
        <f>IF(B60="","",SUMIFS(Sales!$D$5:$D$804,Sales!$C$5:$C$804,A60))</f>
        <v>0</v>
      </c>
      <c r="BI60" s="20">
        <f>IF(B60="","",ROUND(SUMIFS(Sales!$V$5:$V$804,Sales!$C$5:$C$804,A60),2))</f>
        <v>0</v>
      </c>
      <c r="BJ60" s="20">
        <f>IF(B60="","",ROUND(SUMIFS(Sales!$AG$5:$AG$804,Sales!$C$5:$C$804,A60),2))</f>
        <v>0</v>
      </c>
      <c r="BK60" s="33">
        <f>IF(B60="","",IF(OR(BI60="",BI60=0),"",BJ60/BI60))</f>
        <v>0</v>
      </c>
      <c r="BL60" s="17">
        <f>IF(B60="","",IF(SUMPRODUCT(MAX((Sales!$C$5:$C$804=A60)*Sales!$B$5:$B$804))=0,"",SUMPRODUCT(MAX((Sales!$C$5:$C$804=A60)*Sales!$B$5:$B$804))))</f>
        <v>0</v>
      </c>
      <c r="BM60" s="17">
        <f>IF(B60="","",IF(SUMPRODUCT(MAX(('Price History'!$B$5:$B$304=A60)*'Price History'!$A$5:$A$304))=0,IF(P60="","",P60),SUMPRODUCT(MAX(('Price History'!$B$5:$B$304=A60)*'Price History'!$A$5:$A$304))))</f>
        <v>0</v>
      </c>
      <c r="BN60" s="32">
        <f>IF(B60="","",IF(BM60="","",TodayDate-BM60))</f>
        <v>0</v>
      </c>
      <c r="BO60" s="32">
        <f>IF(B60="","",COUNTIFS($AV$5:$AV$304,"&gt;"&amp;AV60)+COUNTIFS($AV$5:AV60,AV60))</f>
        <v>0</v>
      </c>
      <c r="BP60" s="32">
        <f>IF(B60="","",COUNTIFS($AW$5:$AW$304,"&gt;"&amp;AW60)+COUNTIFS($AW$5:AW60,AW60))</f>
        <v>0</v>
      </c>
      <c r="BQ60" s="32">
        <f>IF(B60="","",COUNTIFS($BI$5:$BI$304,"&gt;"&amp;BI60)+COUNTIFS($BI$5:BI60,BI60))</f>
        <v>0</v>
      </c>
      <c r="BR60" s="32">
        <f>IF(B60="","",COUNTIFS($AY$5:$AY$304,"&gt;"&amp;AY60)+COUNTIFS($AY$5:AY60,AY60))</f>
        <v>0</v>
      </c>
      <c r="BS60" s="43">
        <f>IF(B60="","",IF(AH60=0,"Add - no costs entered yet",IF(AR60="","Check - no price yet",IF(AV60&lt;0,"Loss - every sale costs you money",IF(AND(AZ60&lt;&gt;"",AZ60&lt;MinimumWage),"Below - pays under minimum wage",IF(AW60&lt;MarginWarning,"Low margin - re-price it",IF(AND(AF60&lt;&gt;"",K60&lt;&gt;"",K60+AC60&gt;AF60),"Check - too heavy for that postage band",IF(AND(BN60&lt;&gt;"",BN60&gt;PriceReviewDays),"Due - price has not been reviewed",IF(AND(BG60&lt;&gt;"",BG60&gt;0.5),"Check - well above the market","OK")))))))) )</f>
        <v>0</v>
      </c>
    </row>
    <row r="61" spans="1:71">
      <c r="A61" s="38">
        <f>IF(B61="","",ProductPrefix&amp;TEXT(ROW()-4,"0000"))</f>
        <v>0</v>
      </c>
      <c r="S61" s="38">
        <f>IF(B61="","",IF(C61&lt;&gt;"",C61,UPPER(LEFT(IF(D61="","GEN",D61),3))&amp;"-"&amp;TEXT(ROW()-4,"000")))</f>
        <v>0</v>
      </c>
      <c r="T61" s="20">
        <f>IF(B61="","",ROUND(SUMIFS('Material Usage'!$M$5:$M$904,'Material Usage'!$A$5:$A$904,A61)+SUMIFS(Crochet!$AD$5:$AD$84,Crochet!$A$5:$A$84,A61)+SUMIFS(Jewelry!$AF$5:$AF$84,Jewelry!$A$5:$A$84,A61)+SUMIFS(Candles!$AF$5:$AF$84,Candles!$A$5:$A$84,A61)+SUMIFS(Clothing!$AB$5:$AB$84,Clothing!$A$5:$A$84,A61)+SUMIFS(Woodworking!$AC$5:$AC$84,Woodworking!$A$5:$A$84,A61)+SUMIFS(Digital!$X$5:$X$84,Digital!$A$5:$A$84,A61),2))</f>
        <v>0</v>
      </c>
      <c r="U61" s="20">
        <f>IF(B61="","",ROUND(SUMIFS(Labor!$O$5:$O$304,Labor!$A$5:$A$304,A61)+SUMIFS(Crochet!$AG$5:$AG$84,Crochet!$A$5:$A$84,A61)+SUMIFS(Jewelry!$AI$5:$AI$84,Jewelry!$A$5:$A$84,A61)+SUMIFS(Candles!$AI$5:$AI$84,Candles!$A$5:$A$84,A61)+SUMIFS(Clothing!$AE$5:$AE$84,Clothing!$A$5:$A$84,A61)+SUMIFS(Woodworking!$AF$5:$AF$84,Woodworking!$A$5:$A$84,A61)+SUMIFS(Digital!$Z$5:$Z$84,Digital!$A$5:$A$84,A61),2))</f>
        <v>0</v>
      </c>
      <c r="V61" s="36">
        <f>IF(B61="","",ROUND(SUMIFS(Labor!$P$5:$P$304,Labor!$A$5:$A$304,A61)+SUMIFS(Crochet!$AE$5:$AE$84,Crochet!$A$5:$A$84,A61)+SUMIFS(Jewelry!$AG$5:$AG$84,Jewelry!$A$5:$A$84,A61)+SUMIFS(Candles!$AG$5:$AG$84,Candles!$A$5:$A$84,A61)+SUMIFS(Clothing!$AC$5:$AC$84,Clothing!$A$5:$A$84,A61)+SUMIFS(Woodworking!$AD$5:$AD$84,Woodworking!$A$5:$A$84,A61)+SUMIFS(Digital!$Y$5:$Y$84,Digital!$A$5:$A$84,A61),1))</f>
        <v>0</v>
      </c>
      <c r="W61" s="41">
        <f>IF(B61="","",IFERROR(INDEX(DiffTimeFactors,MATCH(G61,DiffNames,0)),1))</f>
        <v>0</v>
      </c>
      <c r="X61" s="36">
        <f>IF(B61="","",ROUND(V61*W61,1))</f>
        <v>0</v>
      </c>
      <c r="Y61" s="41">
        <f>IF(B61="","",ROUND(X61/60,3))</f>
        <v>0</v>
      </c>
      <c r="Z61" s="20">
        <f>IF(B61="","",ROUND(U61*W61,2))</f>
        <v>0</v>
      </c>
      <c r="AA61" s="20">
        <f>IF(B61="","",ROUND(SUMIFS(Labor!$Q$5:$Q$304,Labor!$A$5:$A$304,A61)+SUMIFS(Crochet!$AH$5:$AH$84,Crochet!$A$5:$A$84,A61)+SUMIFS(Jewelry!$AJ$5:$AJ$84,Jewelry!$A$5:$A$84,A61)+SUMIFS(Candles!$AJ$5:$AJ$84,Candles!$A$5:$A$84,A61)+SUMIFS(Clothing!$AF$5:$AF$84,Clothing!$A$5:$A$84,A61)+SUMIFS(Woodworking!$AH$5:$AH$84,Woodworking!$A$5:$A$84,A61)+SUMIFS(Digital!$AA$5:$AA$84,Digital!$A$5:$A$84,A61),2))</f>
        <v>0</v>
      </c>
      <c r="AB61" s="20">
        <f>IF(B61="","",ROUND(IF(I61="Budget",PackBudget,IF(I61="Standard",PackStandard,IF(I61="Gift",PackGift,IF(I61="Premium",PackPremium,DefaultPackaging)))),2))</f>
        <v>0</v>
      </c>
      <c r="AC61" s="36">
        <f>IF(B61="","",IF(I61="Budget",PackWeightBudget,IF(I61="Standard",PackWeightStandard,IF(I61="Gift",PackWeightGift,IF(I61="Premium",PackWeightPremium,0)))))</f>
        <v>0</v>
      </c>
      <c r="AD61" s="20">
        <f>IF(B61="","",IFERROR(INDEX(Shipping!$M$5:$M$64,MATCH(J61,Shipping!$L$5:$L$64,0)),DefaultShipping))</f>
        <v>0</v>
      </c>
      <c r="AE61" s="20">
        <f>IF(B61="","",IFERROR(INDEX(Shipping!$F$5:$F$64,MATCH(J61,Shipping!$L$5:$L$64,0)),0))</f>
        <v>0</v>
      </c>
      <c r="AF61" s="36">
        <f>IF(B61="","",IFERROR(INDEX(Shipping!$C$5:$C$64,MATCH(J61,Shipping!$L$5:$L$64,0)),""))</f>
        <v>0</v>
      </c>
      <c r="AG61" s="20">
        <f>IF(B61="","",ROUND(MAX(0,AD61-AE61),2))</f>
        <v>0</v>
      </c>
      <c r="AH61" s="20">
        <f>IF(B61="","",ROUND(T61+Z61+AA61+AB61+AG61,2))</f>
        <v>0</v>
      </c>
      <c r="AI61" s="33">
        <f>IF(B61="","",IFERROR(INDEX(Channels!$S$5:$S$18,MATCH(IF(H61="",DefaultChannel,H61),Channels!$A$5:$A$18,0)),0))</f>
        <v>0</v>
      </c>
      <c r="AJ61" s="42">
        <f>IF(B61="","",IFERROR(INDEX(Channels!$O$5:$O$18,MATCH(IF(H61="",DefaultChannel,H61),Channels!$A$5:$A$18,0)),"No"))</f>
        <v>0</v>
      </c>
      <c r="AK61" s="20">
        <f>IF(B61="","",ROUND(IFERROR(INDEX(Channels!$T$5:$T$18,MATCH(IF(H61="",DefaultChannel,H61),Channels!$A$5:$A$18,0)),0)+IF(AJ61="Yes",AE61*AI61,0),4))</f>
        <v>0</v>
      </c>
      <c r="AL61" s="33">
        <f>IF(B61="","",IF(OverheadMethod="Share of revenue",IF(RevenueTargetMonth&lt;=0,0,OverheadMonthly/RevenueTargetMonth),0))</f>
        <v>0</v>
      </c>
      <c r="AM61" s="20">
        <f>IF(B61="","",IF(OverheadMethod="Per hour worked",ROUND(OverheadPerHour*Y61,2),IF(OR(OverheadMethod="Per unit made",OverheadMethod="Per order"),OverheadPerUnit,0)))</f>
        <v>0</v>
      </c>
      <c r="AN61" s="33">
        <f>IF(B61="","",IF(N61&lt;&gt;"",N61,TargetRetailMargin))</f>
        <v>0</v>
      </c>
      <c r="AO61" s="41">
        <f>IF(B61="","",1-AN61-AI61-AL61)</f>
        <v>0</v>
      </c>
      <c r="AP61" s="20">
        <f>IF(B61="","",IF(AO61&lt;=0,"",(AH61+AM61+AK61)/AO61))</f>
        <v>0</v>
      </c>
      <c r="AQ61" s="20">
        <f>IF(B61="","",IF(AP61="","Check the settings",ROUND(IF(RoundingRule="None",AP61,IF(RoundingRule="Nearest 0.99",MAX(0.99,CEILING(AP61,1)-0.01),IF(RoundingRule="Nearest 0.95",MAX(0.95,CEILING(AP61,1)-0.05),IF(RoundingRule="Nearest 0.50",CEILING(AP61,0.5),IF(RoundingRule="Nearest 1",CEILING(AP61,1),IF(RoundingRule="Nearest 5",CEILING(AP61,5),IF(RoundingRule="Up to whole 1",CEILING(AP61,1),IF(RoundingRule="Up to whole 5",CEILING(AP61,5),ROUND(AP61,2))))))))),2)))</f>
        <v>0</v>
      </c>
      <c r="AR61" s="20">
        <f>IF(B61="","",IF(M61&lt;&gt;"",M61,IF(ISNUMBER(AQ61),AQ61,"")))</f>
        <v>0</v>
      </c>
      <c r="AS61" s="20">
        <f>IF(B61="","",IF(AR61="","",ROUND(AM61+AR61*AL61,2)))</f>
        <v>0</v>
      </c>
      <c r="AT61" s="20">
        <f>IF(B61="","",IF(AR61="","",ROUND(AH61+AS61,2)))</f>
        <v>0</v>
      </c>
      <c r="AU61" s="20">
        <f>IF(B61="","",IF(AR61="","",ROUND(AR61*AI61+AK61,2)))</f>
        <v>0</v>
      </c>
      <c r="AV61" s="20">
        <f>IF(B61="","",IF(AR61="","",ROUND(AR61-AT61-AU61,2)))</f>
        <v>0</v>
      </c>
      <c r="AW61" s="33">
        <f>IF(B61="","",IF(OR(AR61="",AR61=0),"",AV61/AR61))</f>
        <v>0</v>
      </c>
      <c r="AX61" s="33">
        <f>IF(B61="","",IF(OR(AT61="",AT61=0),"",AV61/AT61))</f>
        <v>0</v>
      </c>
      <c r="AY61" s="20">
        <f>IF(B61="","",IF(OR(Y61="",Y61=0,AV61=""),"",ROUND(AV61/Y61,2)))</f>
        <v>0</v>
      </c>
      <c r="AZ61" s="20">
        <f>IF(B61="","",IF(OR(Y61="",Y61=0,AV61=""),"",ROUND((AV61+Z61)/Y61,2)))</f>
        <v>0</v>
      </c>
      <c r="BA61" s="20">
        <f>IF(B61="","",IF(1-AI61-AL61&lt;=0,"",ROUND((AH61+AM61+AK61)/(1-AI61-AL61),2)))</f>
        <v>0</v>
      </c>
      <c r="BB61" s="20">
        <f>IF(B61="","",IF(AT61="","",ROUND(AT61*2,2)))</f>
        <v>0</v>
      </c>
      <c r="BC61" s="20">
        <f>IF(B61="","",IF(AR61="","",ROUND(AR61*(1-WholesaleDiscount),2)))</f>
        <v>0</v>
      </c>
      <c r="BD61" s="20">
        <f>IF(B61="","",IF(BC61="","",ROUND(BC61-AH61-AM61,2)))</f>
        <v>0</v>
      </c>
      <c r="BE61" s="33">
        <f>IF(B61="","",IF(OR(BC61="",BC61=0),"",BD61/BC61))</f>
        <v>0</v>
      </c>
      <c r="BF61" s="20">
        <f>IF(B61="","",IFERROR(ROUND(AVERAGEIFS(Competitors!$F$5:$F$154,Competitors!$A$5:$A$154,A61),2),""))</f>
        <v>0</v>
      </c>
      <c r="BG61" s="33">
        <f>IF(B61="","",IF(OR(BF61="",BF61=0,AR61=""),"",AR61/BF61-1))</f>
        <v>0</v>
      </c>
      <c r="BH61" s="32">
        <f>IF(B61="","",SUMIFS(Sales!$D$5:$D$804,Sales!$C$5:$C$804,A61))</f>
        <v>0</v>
      </c>
      <c r="BI61" s="20">
        <f>IF(B61="","",ROUND(SUMIFS(Sales!$V$5:$V$804,Sales!$C$5:$C$804,A61),2))</f>
        <v>0</v>
      </c>
      <c r="BJ61" s="20">
        <f>IF(B61="","",ROUND(SUMIFS(Sales!$AG$5:$AG$804,Sales!$C$5:$C$804,A61),2))</f>
        <v>0</v>
      </c>
      <c r="BK61" s="33">
        <f>IF(B61="","",IF(OR(BI61="",BI61=0),"",BJ61/BI61))</f>
        <v>0</v>
      </c>
      <c r="BL61" s="17">
        <f>IF(B61="","",IF(SUMPRODUCT(MAX((Sales!$C$5:$C$804=A61)*Sales!$B$5:$B$804))=0,"",SUMPRODUCT(MAX((Sales!$C$5:$C$804=A61)*Sales!$B$5:$B$804))))</f>
        <v>0</v>
      </c>
      <c r="BM61" s="17">
        <f>IF(B61="","",IF(SUMPRODUCT(MAX(('Price History'!$B$5:$B$304=A61)*'Price History'!$A$5:$A$304))=0,IF(P61="","",P61),SUMPRODUCT(MAX(('Price History'!$B$5:$B$304=A61)*'Price History'!$A$5:$A$304))))</f>
        <v>0</v>
      </c>
      <c r="BN61" s="32">
        <f>IF(B61="","",IF(BM61="","",TodayDate-BM61))</f>
        <v>0</v>
      </c>
      <c r="BO61" s="32">
        <f>IF(B61="","",COUNTIFS($AV$5:$AV$304,"&gt;"&amp;AV61)+COUNTIFS($AV$5:AV61,AV61))</f>
        <v>0</v>
      </c>
      <c r="BP61" s="32">
        <f>IF(B61="","",COUNTIFS($AW$5:$AW$304,"&gt;"&amp;AW61)+COUNTIFS($AW$5:AW61,AW61))</f>
        <v>0</v>
      </c>
      <c r="BQ61" s="32">
        <f>IF(B61="","",COUNTIFS($BI$5:$BI$304,"&gt;"&amp;BI61)+COUNTIFS($BI$5:BI61,BI61))</f>
        <v>0</v>
      </c>
      <c r="BR61" s="32">
        <f>IF(B61="","",COUNTIFS($AY$5:$AY$304,"&gt;"&amp;AY61)+COUNTIFS($AY$5:AY61,AY61))</f>
        <v>0</v>
      </c>
      <c r="BS61" s="43">
        <f>IF(B61="","",IF(AH61=0,"Add - no costs entered yet",IF(AR61="","Check - no price yet",IF(AV61&lt;0,"Loss - every sale costs you money",IF(AND(AZ61&lt;&gt;"",AZ61&lt;MinimumWage),"Below - pays under minimum wage",IF(AW61&lt;MarginWarning,"Low margin - re-price it",IF(AND(AF61&lt;&gt;"",K61&lt;&gt;"",K61+AC61&gt;AF61),"Check - too heavy for that postage band",IF(AND(BN61&lt;&gt;"",BN61&gt;PriceReviewDays),"Due - price has not been reviewed",IF(AND(BG61&lt;&gt;"",BG61&gt;0.5),"Check - well above the market","OK")))))))) )</f>
        <v>0</v>
      </c>
    </row>
    <row r="62" spans="1:71">
      <c r="A62" s="38">
        <f>IF(B62="","",ProductPrefix&amp;TEXT(ROW()-4,"0000"))</f>
        <v>0</v>
      </c>
      <c r="S62" s="38">
        <f>IF(B62="","",IF(C62&lt;&gt;"",C62,UPPER(LEFT(IF(D62="","GEN",D62),3))&amp;"-"&amp;TEXT(ROW()-4,"000")))</f>
        <v>0</v>
      </c>
      <c r="T62" s="20">
        <f>IF(B62="","",ROUND(SUMIFS('Material Usage'!$M$5:$M$904,'Material Usage'!$A$5:$A$904,A62)+SUMIFS(Crochet!$AD$5:$AD$84,Crochet!$A$5:$A$84,A62)+SUMIFS(Jewelry!$AF$5:$AF$84,Jewelry!$A$5:$A$84,A62)+SUMIFS(Candles!$AF$5:$AF$84,Candles!$A$5:$A$84,A62)+SUMIFS(Clothing!$AB$5:$AB$84,Clothing!$A$5:$A$84,A62)+SUMIFS(Woodworking!$AC$5:$AC$84,Woodworking!$A$5:$A$84,A62)+SUMIFS(Digital!$X$5:$X$84,Digital!$A$5:$A$84,A62),2))</f>
        <v>0</v>
      </c>
      <c r="U62" s="20">
        <f>IF(B62="","",ROUND(SUMIFS(Labor!$O$5:$O$304,Labor!$A$5:$A$304,A62)+SUMIFS(Crochet!$AG$5:$AG$84,Crochet!$A$5:$A$84,A62)+SUMIFS(Jewelry!$AI$5:$AI$84,Jewelry!$A$5:$A$84,A62)+SUMIFS(Candles!$AI$5:$AI$84,Candles!$A$5:$A$84,A62)+SUMIFS(Clothing!$AE$5:$AE$84,Clothing!$A$5:$A$84,A62)+SUMIFS(Woodworking!$AF$5:$AF$84,Woodworking!$A$5:$A$84,A62)+SUMIFS(Digital!$Z$5:$Z$84,Digital!$A$5:$A$84,A62),2))</f>
        <v>0</v>
      </c>
      <c r="V62" s="36">
        <f>IF(B62="","",ROUND(SUMIFS(Labor!$P$5:$P$304,Labor!$A$5:$A$304,A62)+SUMIFS(Crochet!$AE$5:$AE$84,Crochet!$A$5:$A$84,A62)+SUMIFS(Jewelry!$AG$5:$AG$84,Jewelry!$A$5:$A$84,A62)+SUMIFS(Candles!$AG$5:$AG$84,Candles!$A$5:$A$84,A62)+SUMIFS(Clothing!$AC$5:$AC$84,Clothing!$A$5:$A$84,A62)+SUMIFS(Woodworking!$AD$5:$AD$84,Woodworking!$A$5:$A$84,A62)+SUMIFS(Digital!$Y$5:$Y$84,Digital!$A$5:$A$84,A62),1))</f>
        <v>0</v>
      </c>
      <c r="W62" s="41">
        <f>IF(B62="","",IFERROR(INDEX(DiffTimeFactors,MATCH(G62,DiffNames,0)),1))</f>
        <v>0</v>
      </c>
      <c r="X62" s="36">
        <f>IF(B62="","",ROUND(V62*W62,1))</f>
        <v>0</v>
      </c>
      <c r="Y62" s="41">
        <f>IF(B62="","",ROUND(X62/60,3))</f>
        <v>0</v>
      </c>
      <c r="Z62" s="20">
        <f>IF(B62="","",ROUND(U62*W62,2))</f>
        <v>0</v>
      </c>
      <c r="AA62" s="20">
        <f>IF(B62="","",ROUND(SUMIFS(Labor!$Q$5:$Q$304,Labor!$A$5:$A$304,A62)+SUMIFS(Crochet!$AH$5:$AH$84,Crochet!$A$5:$A$84,A62)+SUMIFS(Jewelry!$AJ$5:$AJ$84,Jewelry!$A$5:$A$84,A62)+SUMIFS(Candles!$AJ$5:$AJ$84,Candles!$A$5:$A$84,A62)+SUMIFS(Clothing!$AF$5:$AF$84,Clothing!$A$5:$A$84,A62)+SUMIFS(Woodworking!$AH$5:$AH$84,Woodworking!$A$5:$A$84,A62)+SUMIFS(Digital!$AA$5:$AA$84,Digital!$A$5:$A$84,A62),2))</f>
        <v>0</v>
      </c>
      <c r="AB62" s="20">
        <f>IF(B62="","",ROUND(IF(I62="Budget",PackBudget,IF(I62="Standard",PackStandard,IF(I62="Gift",PackGift,IF(I62="Premium",PackPremium,DefaultPackaging)))),2))</f>
        <v>0</v>
      </c>
      <c r="AC62" s="36">
        <f>IF(B62="","",IF(I62="Budget",PackWeightBudget,IF(I62="Standard",PackWeightStandard,IF(I62="Gift",PackWeightGift,IF(I62="Premium",PackWeightPremium,0)))))</f>
        <v>0</v>
      </c>
      <c r="AD62" s="20">
        <f>IF(B62="","",IFERROR(INDEX(Shipping!$M$5:$M$64,MATCH(J62,Shipping!$L$5:$L$64,0)),DefaultShipping))</f>
        <v>0</v>
      </c>
      <c r="AE62" s="20">
        <f>IF(B62="","",IFERROR(INDEX(Shipping!$F$5:$F$64,MATCH(J62,Shipping!$L$5:$L$64,0)),0))</f>
        <v>0</v>
      </c>
      <c r="AF62" s="36">
        <f>IF(B62="","",IFERROR(INDEX(Shipping!$C$5:$C$64,MATCH(J62,Shipping!$L$5:$L$64,0)),""))</f>
        <v>0</v>
      </c>
      <c r="AG62" s="20">
        <f>IF(B62="","",ROUND(MAX(0,AD62-AE62),2))</f>
        <v>0</v>
      </c>
      <c r="AH62" s="20">
        <f>IF(B62="","",ROUND(T62+Z62+AA62+AB62+AG62,2))</f>
        <v>0</v>
      </c>
      <c r="AI62" s="33">
        <f>IF(B62="","",IFERROR(INDEX(Channels!$S$5:$S$18,MATCH(IF(H62="",DefaultChannel,H62),Channels!$A$5:$A$18,0)),0))</f>
        <v>0</v>
      </c>
      <c r="AJ62" s="42">
        <f>IF(B62="","",IFERROR(INDEX(Channels!$O$5:$O$18,MATCH(IF(H62="",DefaultChannel,H62),Channels!$A$5:$A$18,0)),"No"))</f>
        <v>0</v>
      </c>
      <c r="AK62" s="20">
        <f>IF(B62="","",ROUND(IFERROR(INDEX(Channels!$T$5:$T$18,MATCH(IF(H62="",DefaultChannel,H62),Channels!$A$5:$A$18,0)),0)+IF(AJ62="Yes",AE62*AI62,0),4))</f>
        <v>0</v>
      </c>
      <c r="AL62" s="33">
        <f>IF(B62="","",IF(OverheadMethod="Share of revenue",IF(RevenueTargetMonth&lt;=0,0,OverheadMonthly/RevenueTargetMonth),0))</f>
        <v>0</v>
      </c>
      <c r="AM62" s="20">
        <f>IF(B62="","",IF(OverheadMethod="Per hour worked",ROUND(OverheadPerHour*Y62,2),IF(OR(OverheadMethod="Per unit made",OverheadMethod="Per order"),OverheadPerUnit,0)))</f>
        <v>0</v>
      </c>
      <c r="AN62" s="33">
        <f>IF(B62="","",IF(N62&lt;&gt;"",N62,TargetRetailMargin))</f>
        <v>0</v>
      </c>
      <c r="AO62" s="41">
        <f>IF(B62="","",1-AN62-AI62-AL62)</f>
        <v>0</v>
      </c>
      <c r="AP62" s="20">
        <f>IF(B62="","",IF(AO62&lt;=0,"",(AH62+AM62+AK62)/AO62))</f>
        <v>0</v>
      </c>
      <c r="AQ62" s="20">
        <f>IF(B62="","",IF(AP62="","Check the settings",ROUND(IF(RoundingRule="None",AP62,IF(RoundingRule="Nearest 0.99",MAX(0.99,CEILING(AP62,1)-0.01),IF(RoundingRule="Nearest 0.95",MAX(0.95,CEILING(AP62,1)-0.05),IF(RoundingRule="Nearest 0.50",CEILING(AP62,0.5),IF(RoundingRule="Nearest 1",CEILING(AP62,1),IF(RoundingRule="Nearest 5",CEILING(AP62,5),IF(RoundingRule="Up to whole 1",CEILING(AP62,1),IF(RoundingRule="Up to whole 5",CEILING(AP62,5),ROUND(AP62,2))))))))),2)))</f>
        <v>0</v>
      </c>
      <c r="AR62" s="20">
        <f>IF(B62="","",IF(M62&lt;&gt;"",M62,IF(ISNUMBER(AQ62),AQ62,"")))</f>
        <v>0</v>
      </c>
      <c r="AS62" s="20">
        <f>IF(B62="","",IF(AR62="","",ROUND(AM62+AR62*AL62,2)))</f>
        <v>0</v>
      </c>
      <c r="AT62" s="20">
        <f>IF(B62="","",IF(AR62="","",ROUND(AH62+AS62,2)))</f>
        <v>0</v>
      </c>
      <c r="AU62" s="20">
        <f>IF(B62="","",IF(AR62="","",ROUND(AR62*AI62+AK62,2)))</f>
        <v>0</v>
      </c>
      <c r="AV62" s="20">
        <f>IF(B62="","",IF(AR62="","",ROUND(AR62-AT62-AU62,2)))</f>
        <v>0</v>
      </c>
      <c r="AW62" s="33">
        <f>IF(B62="","",IF(OR(AR62="",AR62=0),"",AV62/AR62))</f>
        <v>0</v>
      </c>
      <c r="AX62" s="33">
        <f>IF(B62="","",IF(OR(AT62="",AT62=0),"",AV62/AT62))</f>
        <v>0</v>
      </c>
      <c r="AY62" s="20">
        <f>IF(B62="","",IF(OR(Y62="",Y62=0,AV62=""),"",ROUND(AV62/Y62,2)))</f>
        <v>0</v>
      </c>
      <c r="AZ62" s="20">
        <f>IF(B62="","",IF(OR(Y62="",Y62=0,AV62=""),"",ROUND((AV62+Z62)/Y62,2)))</f>
        <v>0</v>
      </c>
      <c r="BA62" s="20">
        <f>IF(B62="","",IF(1-AI62-AL62&lt;=0,"",ROUND((AH62+AM62+AK62)/(1-AI62-AL62),2)))</f>
        <v>0</v>
      </c>
      <c r="BB62" s="20">
        <f>IF(B62="","",IF(AT62="","",ROUND(AT62*2,2)))</f>
        <v>0</v>
      </c>
      <c r="BC62" s="20">
        <f>IF(B62="","",IF(AR62="","",ROUND(AR62*(1-WholesaleDiscount),2)))</f>
        <v>0</v>
      </c>
      <c r="BD62" s="20">
        <f>IF(B62="","",IF(BC62="","",ROUND(BC62-AH62-AM62,2)))</f>
        <v>0</v>
      </c>
      <c r="BE62" s="33">
        <f>IF(B62="","",IF(OR(BC62="",BC62=0),"",BD62/BC62))</f>
        <v>0</v>
      </c>
      <c r="BF62" s="20">
        <f>IF(B62="","",IFERROR(ROUND(AVERAGEIFS(Competitors!$F$5:$F$154,Competitors!$A$5:$A$154,A62),2),""))</f>
        <v>0</v>
      </c>
      <c r="BG62" s="33">
        <f>IF(B62="","",IF(OR(BF62="",BF62=0,AR62=""),"",AR62/BF62-1))</f>
        <v>0</v>
      </c>
      <c r="BH62" s="32">
        <f>IF(B62="","",SUMIFS(Sales!$D$5:$D$804,Sales!$C$5:$C$804,A62))</f>
        <v>0</v>
      </c>
      <c r="BI62" s="20">
        <f>IF(B62="","",ROUND(SUMIFS(Sales!$V$5:$V$804,Sales!$C$5:$C$804,A62),2))</f>
        <v>0</v>
      </c>
      <c r="BJ62" s="20">
        <f>IF(B62="","",ROUND(SUMIFS(Sales!$AG$5:$AG$804,Sales!$C$5:$C$804,A62),2))</f>
        <v>0</v>
      </c>
      <c r="BK62" s="33">
        <f>IF(B62="","",IF(OR(BI62="",BI62=0),"",BJ62/BI62))</f>
        <v>0</v>
      </c>
      <c r="BL62" s="17">
        <f>IF(B62="","",IF(SUMPRODUCT(MAX((Sales!$C$5:$C$804=A62)*Sales!$B$5:$B$804))=0,"",SUMPRODUCT(MAX((Sales!$C$5:$C$804=A62)*Sales!$B$5:$B$804))))</f>
        <v>0</v>
      </c>
      <c r="BM62" s="17">
        <f>IF(B62="","",IF(SUMPRODUCT(MAX(('Price History'!$B$5:$B$304=A62)*'Price History'!$A$5:$A$304))=0,IF(P62="","",P62),SUMPRODUCT(MAX(('Price History'!$B$5:$B$304=A62)*'Price History'!$A$5:$A$304))))</f>
        <v>0</v>
      </c>
      <c r="BN62" s="32">
        <f>IF(B62="","",IF(BM62="","",TodayDate-BM62))</f>
        <v>0</v>
      </c>
      <c r="BO62" s="32">
        <f>IF(B62="","",COUNTIFS($AV$5:$AV$304,"&gt;"&amp;AV62)+COUNTIFS($AV$5:AV62,AV62))</f>
        <v>0</v>
      </c>
      <c r="BP62" s="32">
        <f>IF(B62="","",COUNTIFS($AW$5:$AW$304,"&gt;"&amp;AW62)+COUNTIFS($AW$5:AW62,AW62))</f>
        <v>0</v>
      </c>
      <c r="BQ62" s="32">
        <f>IF(B62="","",COUNTIFS($BI$5:$BI$304,"&gt;"&amp;BI62)+COUNTIFS($BI$5:BI62,BI62))</f>
        <v>0</v>
      </c>
      <c r="BR62" s="32">
        <f>IF(B62="","",COUNTIFS($AY$5:$AY$304,"&gt;"&amp;AY62)+COUNTIFS($AY$5:AY62,AY62))</f>
        <v>0</v>
      </c>
      <c r="BS62" s="43">
        <f>IF(B62="","",IF(AH62=0,"Add - no costs entered yet",IF(AR62="","Check - no price yet",IF(AV62&lt;0,"Loss - every sale costs you money",IF(AND(AZ62&lt;&gt;"",AZ62&lt;MinimumWage),"Below - pays under minimum wage",IF(AW62&lt;MarginWarning,"Low margin - re-price it",IF(AND(AF62&lt;&gt;"",K62&lt;&gt;"",K62+AC62&gt;AF62),"Check - too heavy for that postage band",IF(AND(BN62&lt;&gt;"",BN62&gt;PriceReviewDays),"Due - price has not been reviewed",IF(AND(BG62&lt;&gt;"",BG62&gt;0.5),"Check - well above the market","OK")))))))) )</f>
        <v>0</v>
      </c>
    </row>
    <row r="63" spans="1:71">
      <c r="A63" s="38">
        <f>IF(B63="","",ProductPrefix&amp;TEXT(ROW()-4,"0000"))</f>
        <v>0</v>
      </c>
      <c r="S63" s="38">
        <f>IF(B63="","",IF(C63&lt;&gt;"",C63,UPPER(LEFT(IF(D63="","GEN",D63),3))&amp;"-"&amp;TEXT(ROW()-4,"000")))</f>
        <v>0</v>
      </c>
      <c r="T63" s="20">
        <f>IF(B63="","",ROUND(SUMIFS('Material Usage'!$M$5:$M$904,'Material Usage'!$A$5:$A$904,A63)+SUMIFS(Crochet!$AD$5:$AD$84,Crochet!$A$5:$A$84,A63)+SUMIFS(Jewelry!$AF$5:$AF$84,Jewelry!$A$5:$A$84,A63)+SUMIFS(Candles!$AF$5:$AF$84,Candles!$A$5:$A$84,A63)+SUMIFS(Clothing!$AB$5:$AB$84,Clothing!$A$5:$A$84,A63)+SUMIFS(Woodworking!$AC$5:$AC$84,Woodworking!$A$5:$A$84,A63)+SUMIFS(Digital!$X$5:$X$84,Digital!$A$5:$A$84,A63),2))</f>
        <v>0</v>
      </c>
      <c r="U63" s="20">
        <f>IF(B63="","",ROUND(SUMIFS(Labor!$O$5:$O$304,Labor!$A$5:$A$304,A63)+SUMIFS(Crochet!$AG$5:$AG$84,Crochet!$A$5:$A$84,A63)+SUMIFS(Jewelry!$AI$5:$AI$84,Jewelry!$A$5:$A$84,A63)+SUMIFS(Candles!$AI$5:$AI$84,Candles!$A$5:$A$84,A63)+SUMIFS(Clothing!$AE$5:$AE$84,Clothing!$A$5:$A$84,A63)+SUMIFS(Woodworking!$AF$5:$AF$84,Woodworking!$A$5:$A$84,A63)+SUMIFS(Digital!$Z$5:$Z$84,Digital!$A$5:$A$84,A63),2))</f>
        <v>0</v>
      </c>
      <c r="V63" s="36">
        <f>IF(B63="","",ROUND(SUMIFS(Labor!$P$5:$P$304,Labor!$A$5:$A$304,A63)+SUMIFS(Crochet!$AE$5:$AE$84,Crochet!$A$5:$A$84,A63)+SUMIFS(Jewelry!$AG$5:$AG$84,Jewelry!$A$5:$A$84,A63)+SUMIFS(Candles!$AG$5:$AG$84,Candles!$A$5:$A$84,A63)+SUMIFS(Clothing!$AC$5:$AC$84,Clothing!$A$5:$A$84,A63)+SUMIFS(Woodworking!$AD$5:$AD$84,Woodworking!$A$5:$A$84,A63)+SUMIFS(Digital!$Y$5:$Y$84,Digital!$A$5:$A$84,A63),1))</f>
        <v>0</v>
      </c>
      <c r="W63" s="41">
        <f>IF(B63="","",IFERROR(INDEX(DiffTimeFactors,MATCH(G63,DiffNames,0)),1))</f>
        <v>0</v>
      </c>
      <c r="X63" s="36">
        <f>IF(B63="","",ROUND(V63*W63,1))</f>
        <v>0</v>
      </c>
      <c r="Y63" s="41">
        <f>IF(B63="","",ROUND(X63/60,3))</f>
        <v>0</v>
      </c>
      <c r="Z63" s="20">
        <f>IF(B63="","",ROUND(U63*W63,2))</f>
        <v>0</v>
      </c>
      <c r="AA63" s="20">
        <f>IF(B63="","",ROUND(SUMIFS(Labor!$Q$5:$Q$304,Labor!$A$5:$A$304,A63)+SUMIFS(Crochet!$AH$5:$AH$84,Crochet!$A$5:$A$84,A63)+SUMIFS(Jewelry!$AJ$5:$AJ$84,Jewelry!$A$5:$A$84,A63)+SUMIFS(Candles!$AJ$5:$AJ$84,Candles!$A$5:$A$84,A63)+SUMIFS(Clothing!$AF$5:$AF$84,Clothing!$A$5:$A$84,A63)+SUMIFS(Woodworking!$AH$5:$AH$84,Woodworking!$A$5:$A$84,A63)+SUMIFS(Digital!$AA$5:$AA$84,Digital!$A$5:$A$84,A63),2))</f>
        <v>0</v>
      </c>
      <c r="AB63" s="20">
        <f>IF(B63="","",ROUND(IF(I63="Budget",PackBudget,IF(I63="Standard",PackStandard,IF(I63="Gift",PackGift,IF(I63="Premium",PackPremium,DefaultPackaging)))),2))</f>
        <v>0</v>
      </c>
      <c r="AC63" s="36">
        <f>IF(B63="","",IF(I63="Budget",PackWeightBudget,IF(I63="Standard",PackWeightStandard,IF(I63="Gift",PackWeightGift,IF(I63="Premium",PackWeightPremium,0)))))</f>
        <v>0</v>
      </c>
      <c r="AD63" s="20">
        <f>IF(B63="","",IFERROR(INDEX(Shipping!$M$5:$M$64,MATCH(J63,Shipping!$L$5:$L$64,0)),DefaultShipping))</f>
        <v>0</v>
      </c>
      <c r="AE63" s="20">
        <f>IF(B63="","",IFERROR(INDEX(Shipping!$F$5:$F$64,MATCH(J63,Shipping!$L$5:$L$64,0)),0))</f>
        <v>0</v>
      </c>
      <c r="AF63" s="36">
        <f>IF(B63="","",IFERROR(INDEX(Shipping!$C$5:$C$64,MATCH(J63,Shipping!$L$5:$L$64,0)),""))</f>
        <v>0</v>
      </c>
      <c r="AG63" s="20">
        <f>IF(B63="","",ROUND(MAX(0,AD63-AE63),2))</f>
        <v>0</v>
      </c>
      <c r="AH63" s="20">
        <f>IF(B63="","",ROUND(T63+Z63+AA63+AB63+AG63,2))</f>
        <v>0</v>
      </c>
      <c r="AI63" s="33">
        <f>IF(B63="","",IFERROR(INDEX(Channels!$S$5:$S$18,MATCH(IF(H63="",DefaultChannel,H63),Channels!$A$5:$A$18,0)),0))</f>
        <v>0</v>
      </c>
      <c r="AJ63" s="42">
        <f>IF(B63="","",IFERROR(INDEX(Channels!$O$5:$O$18,MATCH(IF(H63="",DefaultChannel,H63),Channels!$A$5:$A$18,0)),"No"))</f>
        <v>0</v>
      </c>
      <c r="AK63" s="20">
        <f>IF(B63="","",ROUND(IFERROR(INDEX(Channels!$T$5:$T$18,MATCH(IF(H63="",DefaultChannel,H63),Channels!$A$5:$A$18,0)),0)+IF(AJ63="Yes",AE63*AI63,0),4))</f>
        <v>0</v>
      </c>
      <c r="AL63" s="33">
        <f>IF(B63="","",IF(OverheadMethod="Share of revenue",IF(RevenueTargetMonth&lt;=0,0,OverheadMonthly/RevenueTargetMonth),0))</f>
        <v>0</v>
      </c>
      <c r="AM63" s="20">
        <f>IF(B63="","",IF(OverheadMethod="Per hour worked",ROUND(OverheadPerHour*Y63,2),IF(OR(OverheadMethod="Per unit made",OverheadMethod="Per order"),OverheadPerUnit,0)))</f>
        <v>0</v>
      </c>
      <c r="AN63" s="33">
        <f>IF(B63="","",IF(N63&lt;&gt;"",N63,TargetRetailMargin))</f>
        <v>0</v>
      </c>
      <c r="AO63" s="41">
        <f>IF(B63="","",1-AN63-AI63-AL63)</f>
        <v>0</v>
      </c>
      <c r="AP63" s="20">
        <f>IF(B63="","",IF(AO63&lt;=0,"",(AH63+AM63+AK63)/AO63))</f>
        <v>0</v>
      </c>
      <c r="AQ63" s="20">
        <f>IF(B63="","",IF(AP63="","Check the settings",ROUND(IF(RoundingRule="None",AP63,IF(RoundingRule="Nearest 0.99",MAX(0.99,CEILING(AP63,1)-0.01),IF(RoundingRule="Nearest 0.95",MAX(0.95,CEILING(AP63,1)-0.05),IF(RoundingRule="Nearest 0.50",CEILING(AP63,0.5),IF(RoundingRule="Nearest 1",CEILING(AP63,1),IF(RoundingRule="Nearest 5",CEILING(AP63,5),IF(RoundingRule="Up to whole 1",CEILING(AP63,1),IF(RoundingRule="Up to whole 5",CEILING(AP63,5),ROUND(AP63,2))))))))),2)))</f>
        <v>0</v>
      </c>
      <c r="AR63" s="20">
        <f>IF(B63="","",IF(M63&lt;&gt;"",M63,IF(ISNUMBER(AQ63),AQ63,"")))</f>
        <v>0</v>
      </c>
      <c r="AS63" s="20">
        <f>IF(B63="","",IF(AR63="","",ROUND(AM63+AR63*AL63,2)))</f>
        <v>0</v>
      </c>
      <c r="AT63" s="20">
        <f>IF(B63="","",IF(AR63="","",ROUND(AH63+AS63,2)))</f>
        <v>0</v>
      </c>
      <c r="AU63" s="20">
        <f>IF(B63="","",IF(AR63="","",ROUND(AR63*AI63+AK63,2)))</f>
        <v>0</v>
      </c>
      <c r="AV63" s="20">
        <f>IF(B63="","",IF(AR63="","",ROUND(AR63-AT63-AU63,2)))</f>
        <v>0</v>
      </c>
      <c r="AW63" s="33">
        <f>IF(B63="","",IF(OR(AR63="",AR63=0),"",AV63/AR63))</f>
        <v>0</v>
      </c>
      <c r="AX63" s="33">
        <f>IF(B63="","",IF(OR(AT63="",AT63=0),"",AV63/AT63))</f>
        <v>0</v>
      </c>
      <c r="AY63" s="20">
        <f>IF(B63="","",IF(OR(Y63="",Y63=0,AV63=""),"",ROUND(AV63/Y63,2)))</f>
        <v>0</v>
      </c>
      <c r="AZ63" s="20">
        <f>IF(B63="","",IF(OR(Y63="",Y63=0,AV63=""),"",ROUND((AV63+Z63)/Y63,2)))</f>
        <v>0</v>
      </c>
      <c r="BA63" s="20">
        <f>IF(B63="","",IF(1-AI63-AL63&lt;=0,"",ROUND((AH63+AM63+AK63)/(1-AI63-AL63),2)))</f>
        <v>0</v>
      </c>
      <c r="BB63" s="20">
        <f>IF(B63="","",IF(AT63="","",ROUND(AT63*2,2)))</f>
        <v>0</v>
      </c>
      <c r="BC63" s="20">
        <f>IF(B63="","",IF(AR63="","",ROUND(AR63*(1-WholesaleDiscount),2)))</f>
        <v>0</v>
      </c>
      <c r="BD63" s="20">
        <f>IF(B63="","",IF(BC63="","",ROUND(BC63-AH63-AM63,2)))</f>
        <v>0</v>
      </c>
      <c r="BE63" s="33">
        <f>IF(B63="","",IF(OR(BC63="",BC63=0),"",BD63/BC63))</f>
        <v>0</v>
      </c>
      <c r="BF63" s="20">
        <f>IF(B63="","",IFERROR(ROUND(AVERAGEIFS(Competitors!$F$5:$F$154,Competitors!$A$5:$A$154,A63),2),""))</f>
        <v>0</v>
      </c>
      <c r="BG63" s="33">
        <f>IF(B63="","",IF(OR(BF63="",BF63=0,AR63=""),"",AR63/BF63-1))</f>
        <v>0</v>
      </c>
      <c r="BH63" s="32">
        <f>IF(B63="","",SUMIFS(Sales!$D$5:$D$804,Sales!$C$5:$C$804,A63))</f>
        <v>0</v>
      </c>
      <c r="BI63" s="20">
        <f>IF(B63="","",ROUND(SUMIFS(Sales!$V$5:$V$804,Sales!$C$5:$C$804,A63),2))</f>
        <v>0</v>
      </c>
      <c r="BJ63" s="20">
        <f>IF(B63="","",ROUND(SUMIFS(Sales!$AG$5:$AG$804,Sales!$C$5:$C$804,A63),2))</f>
        <v>0</v>
      </c>
      <c r="BK63" s="33">
        <f>IF(B63="","",IF(OR(BI63="",BI63=0),"",BJ63/BI63))</f>
        <v>0</v>
      </c>
      <c r="BL63" s="17">
        <f>IF(B63="","",IF(SUMPRODUCT(MAX((Sales!$C$5:$C$804=A63)*Sales!$B$5:$B$804))=0,"",SUMPRODUCT(MAX((Sales!$C$5:$C$804=A63)*Sales!$B$5:$B$804))))</f>
        <v>0</v>
      </c>
      <c r="BM63" s="17">
        <f>IF(B63="","",IF(SUMPRODUCT(MAX(('Price History'!$B$5:$B$304=A63)*'Price History'!$A$5:$A$304))=0,IF(P63="","",P63),SUMPRODUCT(MAX(('Price History'!$B$5:$B$304=A63)*'Price History'!$A$5:$A$304))))</f>
        <v>0</v>
      </c>
      <c r="BN63" s="32">
        <f>IF(B63="","",IF(BM63="","",TodayDate-BM63))</f>
        <v>0</v>
      </c>
      <c r="BO63" s="32">
        <f>IF(B63="","",COUNTIFS($AV$5:$AV$304,"&gt;"&amp;AV63)+COUNTIFS($AV$5:AV63,AV63))</f>
        <v>0</v>
      </c>
      <c r="BP63" s="32">
        <f>IF(B63="","",COUNTIFS($AW$5:$AW$304,"&gt;"&amp;AW63)+COUNTIFS($AW$5:AW63,AW63))</f>
        <v>0</v>
      </c>
      <c r="BQ63" s="32">
        <f>IF(B63="","",COUNTIFS($BI$5:$BI$304,"&gt;"&amp;BI63)+COUNTIFS($BI$5:BI63,BI63))</f>
        <v>0</v>
      </c>
      <c r="BR63" s="32">
        <f>IF(B63="","",COUNTIFS($AY$5:$AY$304,"&gt;"&amp;AY63)+COUNTIFS($AY$5:AY63,AY63))</f>
        <v>0</v>
      </c>
      <c r="BS63" s="43">
        <f>IF(B63="","",IF(AH63=0,"Add - no costs entered yet",IF(AR63="","Check - no price yet",IF(AV63&lt;0,"Loss - every sale costs you money",IF(AND(AZ63&lt;&gt;"",AZ63&lt;MinimumWage),"Below - pays under minimum wage",IF(AW63&lt;MarginWarning,"Low margin - re-price it",IF(AND(AF63&lt;&gt;"",K63&lt;&gt;"",K63+AC63&gt;AF63),"Check - too heavy for that postage band",IF(AND(BN63&lt;&gt;"",BN63&gt;PriceReviewDays),"Due - price has not been reviewed",IF(AND(BG63&lt;&gt;"",BG63&gt;0.5),"Check - well above the market","OK")))))))) )</f>
        <v>0</v>
      </c>
    </row>
    <row r="64" spans="1:71">
      <c r="A64" s="38">
        <f>IF(B64="","",ProductPrefix&amp;TEXT(ROW()-4,"0000"))</f>
        <v>0</v>
      </c>
      <c r="S64" s="38">
        <f>IF(B64="","",IF(C64&lt;&gt;"",C64,UPPER(LEFT(IF(D64="","GEN",D64),3))&amp;"-"&amp;TEXT(ROW()-4,"000")))</f>
        <v>0</v>
      </c>
      <c r="T64" s="20">
        <f>IF(B64="","",ROUND(SUMIFS('Material Usage'!$M$5:$M$904,'Material Usage'!$A$5:$A$904,A64)+SUMIFS(Crochet!$AD$5:$AD$84,Crochet!$A$5:$A$84,A64)+SUMIFS(Jewelry!$AF$5:$AF$84,Jewelry!$A$5:$A$84,A64)+SUMIFS(Candles!$AF$5:$AF$84,Candles!$A$5:$A$84,A64)+SUMIFS(Clothing!$AB$5:$AB$84,Clothing!$A$5:$A$84,A64)+SUMIFS(Woodworking!$AC$5:$AC$84,Woodworking!$A$5:$A$84,A64)+SUMIFS(Digital!$X$5:$X$84,Digital!$A$5:$A$84,A64),2))</f>
        <v>0</v>
      </c>
      <c r="U64" s="20">
        <f>IF(B64="","",ROUND(SUMIFS(Labor!$O$5:$O$304,Labor!$A$5:$A$304,A64)+SUMIFS(Crochet!$AG$5:$AG$84,Crochet!$A$5:$A$84,A64)+SUMIFS(Jewelry!$AI$5:$AI$84,Jewelry!$A$5:$A$84,A64)+SUMIFS(Candles!$AI$5:$AI$84,Candles!$A$5:$A$84,A64)+SUMIFS(Clothing!$AE$5:$AE$84,Clothing!$A$5:$A$84,A64)+SUMIFS(Woodworking!$AF$5:$AF$84,Woodworking!$A$5:$A$84,A64)+SUMIFS(Digital!$Z$5:$Z$84,Digital!$A$5:$A$84,A64),2))</f>
        <v>0</v>
      </c>
      <c r="V64" s="36">
        <f>IF(B64="","",ROUND(SUMIFS(Labor!$P$5:$P$304,Labor!$A$5:$A$304,A64)+SUMIFS(Crochet!$AE$5:$AE$84,Crochet!$A$5:$A$84,A64)+SUMIFS(Jewelry!$AG$5:$AG$84,Jewelry!$A$5:$A$84,A64)+SUMIFS(Candles!$AG$5:$AG$84,Candles!$A$5:$A$84,A64)+SUMIFS(Clothing!$AC$5:$AC$84,Clothing!$A$5:$A$84,A64)+SUMIFS(Woodworking!$AD$5:$AD$84,Woodworking!$A$5:$A$84,A64)+SUMIFS(Digital!$Y$5:$Y$84,Digital!$A$5:$A$84,A64),1))</f>
        <v>0</v>
      </c>
      <c r="W64" s="41">
        <f>IF(B64="","",IFERROR(INDEX(DiffTimeFactors,MATCH(G64,DiffNames,0)),1))</f>
        <v>0</v>
      </c>
      <c r="X64" s="36">
        <f>IF(B64="","",ROUND(V64*W64,1))</f>
        <v>0</v>
      </c>
      <c r="Y64" s="41">
        <f>IF(B64="","",ROUND(X64/60,3))</f>
        <v>0</v>
      </c>
      <c r="Z64" s="20">
        <f>IF(B64="","",ROUND(U64*W64,2))</f>
        <v>0</v>
      </c>
      <c r="AA64" s="20">
        <f>IF(B64="","",ROUND(SUMIFS(Labor!$Q$5:$Q$304,Labor!$A$5:$A$304,A64)+SUMIFS(Crochet!$AH$5:$AH$84,Crochet!$A$5:$A$84,A64)+SUMIFS(Jewelry!$AJ$5:$AJ$84,Jewelry!$A$5:$A$84,A64)+SUMIFS(Candles!$AJ$5:$AJ$84,Candles!$A$5:$A$84,A64)+SUMIFS(Clothing!$AF$5:$AF$84,Clothing!$A$5:$A$84,A64)+SUMIFS(Woodworking!$AH$5:$AH$84,Woodworking!$A$5:$A$84,A64)+SUMIFS(Digital!$AA$5:$AA$84,Digital!$A$5:$A$84,A64),2))</f>
        <v>0</v>
      </c>
      <c r="AB64" s="20">
        <f>IF(B64="","",ROUND(IF(I64="Budget",PackBudget,IF(I64="Standard",PackStandard,IF(I64="Gift",PackGift,IF(I64="Premium",PackPremium,DefaultPackaging)))),2))</f>
        <v>0</v>
      </c>
      <c r="AC64" s="36">
        <f>IF(B64="","",IF(I64="Budget",PackWeightBudget,IF(I64="Standard",PackWeightStandard,IF(I64="Gift",PackWeightGift,IF(I64="Premium",PackWeightPremium,0)))))</f>
        <v>0</v>
      </c>
      <c r="AD64" s="20">
        <f>IF(B64="","",IFERROR(INDEX(Shipping!$M$5:$M$64,MATCH(J64,Shipping!$L$5:$L$64,0)),DefaultShipping))</f>
        <v>0</v>
      </c>
      <c r="AE64" s="20">
        <f>IF(B64="","",IFERROR(INDEX(Shipping!$F$5:$F$64,MATCH(J64,Shipping!$L$5:$L$64,0)),0))</f>
        <v>0</v>
      </c>
      <c r="AF64" s="36">
        <f>IF(B64="","",IFERROR(INDEX(Shipping!$C$5:$C$64,MATCH(J64,Shipping!$L$5:$L$64,0)),""))</f>
        <v>0</v>
      </c>
      <c r="AG64" s="20">
        <f>IF(B64="","",ROUND(MAX(0,AD64-AE64),2))</f>
        <v>0</v>
      </c>
      <c r="AH64" s="20">
        <f>IF(B64="","",ROUND(T64+Z64+AA64+AB64+AG64,2))</f>
        <v>0</v>
      </c>
      <c r="AI64" s="33">
        <f>IF(B64="","",IFERROR(INDEX(Channels!$S$5:$S$18,MATCH(IF(H64="",DefaultChannel,H64),Channels!$A$5:$A$18,0)),0))</f>
        <v>0</v>
      </c>
      <c r="AJ64" s="42">
        <f>IF(B64="","",IFERROR(INDEX(Channels!$O$5:$O$18,MATCH(IF(H64="",DefaultChannel,H64),Channels!$A$5:$A$18,0)),"No"))</f>
        <v>0</v>
      </c>
      <c r="AK64" s="20">
        <f>IF(B64="","",ROUND(IFERROR(INDEX(Channels!$T$5:$T$18,MATCH(IF(H64="",DefaultChannel,H64),Channels!$A$5:$A$18,0)),0)+IF(AJ64="Yes",AE64*AI64,0),4))</f>
        <v>0</v>
      </c>
      <c r="AL64" s="33">
        <f>IF(B64="","",IF(OverheadMethod="Share of revenue",IF(RevenueTargetMonth&lt;=0,0,OverheadMonthly/RevenueTargetMonth),0))</f>
        <v>0</v>
      </c>
      <c r="AM64" s="20">
        <f>IF(B64="","",IF(OverheadMethod="Per hour worked",ROUND(OverheadPerHour*Y64,2),IF(OR(OverheadMethod="Per unit made",OverheadMethod="Per order"),OverheadPerUnit,0)))</f>
        <v>0</v>
      </c>
      <c r="AN64" s="33">
        <f>IF(B64="","",IF(N64&lt;&gt;"",N64,TargetRetailMargin))</f>
        <v>0</v>
      </c>
      <c r="AO64" s="41">
        <f>IF(B64="","",1-AN64-AI64-AL64)</f>
        <v>0</v>
      </c>
      <c r="AP64" s="20">
        <f>IF(B64="","",IF(AO64&lt;=0,"",(AH64+AM64+AK64)/AO64))</f>
        <v>0</v>
      </c>
      <c r="AQ64" s="20">
        <f>IF(B64="","",IF(AP64="","Check the settings",ROUND(IF(RoundingRule="None",AP64,IF(RoundingRule="Nearest 0.99",MAX(0.99,CEILING(AP64,1)-0.01),IF(RoundingRule="Nearest 0.95",MAX(0.95,CEILING(AP64,1)-0.05),IF(RoundingRule="Nearest 0.50",CEILING(AP64,0.5),IF(RoundingRule="Nearest 1",CEILING(AP64,1),IF(RoundingRule="Nearest 5",CEILING(AP64,5),IF(RoundingRule="Up to whole 1",CEILING(AP64,1),IF(RoundingRule="Up to whole 5",CEILING(AP64,5),ROUND(AP64,2))))))))),2)))</f>
        <v>0</v>
      </c>
      <c r="AR64" s="20">
        <f>IF(B64="","",IF(M64&lt;&gt;"",M64,IF(ISNUMBER(AQ64),AQ64,"")))</f>
        <v>0</v>
      </c>
      <c r="AS64" s="20">
        <f>IF(B64="","",IF(AR64="","",ROUND(AM64+AR64*AL64,2)))</f>
        <v>0</v>
      </c>
      <c r="AT64" s="20">
        <f>IF(B64="","",IF(AR64="","",ROUND(AH64+AS64,2)))</f>
        <v>0</v>
      </c>
      <c r="AU64" s="20">
        <f>IF(B64="","",IF(AR64="","",ROUND(AR64*AI64+AK64,2)))</f>
        <v>0</v>
      </c>
      <c r="AV64" s="20">
        <f>IF(B64="","",IF(AR64="","",ROUND(AR64-AT64-AU64,2)))</f>
        <v>0</v>
      </c>
      <c r="AW64" s="33">
        <f>IF(B64="","",IF(OR(AR64="",AR64=0),"",AV64/AR64))</f>
        <v>0</v>
      </c>
      <c r="AX64" s="33">
        <f>IF(B64="","",IF(OR(AT64="",AT64=0),"",AV64/AT64))</f>
        <v>0</v>
      </c>
      <c r="AY64" s="20">
        <f>IF(B64="","",IF(OR(Y64="",Y64=0,AV64=""),"",ROUND(AV64/Y64,2)))</f>
        <v>0</v>
      </c>
      <c r="AZ64" s="20">
        <f>IF(B64="","",IF(OR(Y64="",Y64=0,AV64=""),"",ROUND((AV64+Z64)/Y64,2)))</f>
        <v>0</v>
      </c>
      <c r="BA64" s="20">
        <f>IF(B64="","",IF(1-AI64-AL64&lt;=0,"",ROUND((AH64+AM64+AK64)/(1-AI64-AL64),2)))</f>
        <v>0</v>
      </c>
      <c r="BB64" s="20">
        <f>IF(B64="","",IF(AT64="","",ROUND(AT64*2,2)))</f>
        <v>0</v>
      </c>
      <c r="BC64" s="20">
        <f>IF(B64="","",IF(AR64="","",ROUND(AR64*(1-WholesaleDiscount),2)))</f>
        <v>0</v>
      </c>
      <c r="BD64" s="20">
        <f>IF(B64="","",IF(BC64="","",ROUND(BC64-AH64-AM64,2)))</f>
        <v>0</v>
      </c>
      <c r="BE64" s="33">
        <f>IF(B64="","",IF(OR(BC64="",BC64=0),"",BD64/BC64))</f>
        <v>0</v>
      </c>
      <c r="BF64" s="20">
        <f>IF(B64="","",IFERROR(ROUND(AVERAGEIFS(Competitors!$F$5:$F$154,Competitors!$A$5:$A$154,A64),2),""))</f>
        <v>0</v>
      </c>
      <c r="BG64" s="33">
        <f>IF(B64="","",IF(OR(BF64="",BF64=0,AR64=""),"",AR64/BF64-1))</f>
        <v>0</v>
      </c>
      <c r="BH64" s="32">
        <f>IF(B64="","",SUMIFS(Sales!$D$5:$D$804,Sales!$C$5:$C$804,A64))</f>
        <v>0</v>
      </c>
      <c r="BI64" s="20">
        <f>IF(B64="","",ROUND(SUMIFS(Sales!$V$5:$V$804,Sales!$C$5:$C$804,A64),2))</f>
        <v>0</v>
      </c>
      <c r="BJ64" s="20">
        <f>IF(B64="","",ROUND(SUMIFS(Sales!$AG$5:$AG$804,Sales!$C$5:$C$804,A64),2))</f>
        <v>0</v>
      </c>
      <c r="BK64" s="33">
        <f>IF(B64="","",IF(OR(BI64="",BI64=0),"",BJ64/BI64))</f>
        <v>0</v>
      </c>
      <c r="BL64" s="17">
        <f>IF(B64="","",IF(SUMPRODUCT(MAX((Sales!$C$5:$C$804=A64)*Sales!$B$5:$B$804))=0,"",SUMPRODUCT(MAX((Sales!$C$5:$C$804=A64)*Sales!$B$5:$B$804))))</f>
        <v>0</v>
      </c>
      <c r="BM64" s="17">
        <f>IF(B64="","",IF(SUMPRODUCT(MAX(('Price History'!$B$5:$B$304=A64)*'Price History'!$A$5:$A$304))=0,IF(P64="","",P64),SUMPRODUCT(MAX(('Price History'!$B$5:$B$304=A64)*'Price History'!$A$5:$A$304))))</f>
        <v>0</v>
      </c>
      <c r="BN64" s="32">
        <f>IF(B64="","",IF(BM64="","",TodayDate-BM64))</f>
        <v>0</v>
      </c>
      <c r="BO64" s="32">
        <f>IF(B64="","",COUNTIFS($AV$5:$AV$304,"&gt;"&amp;AV64)+COUNTIFS($AV$5:AV64,AV64))</f>
        <v>0</v>
      </c>
      <c r="BP64" s="32">
        <f>IF(B64="","",COUNTIFS($AW$5:$AW$304,"&gt;"&amp;AW64)+COUNTIFS($AW$5:AW64,AW64))</f>
        <v>0</v>
      </c>
      <c r="BQ64" s="32">
        <f>IF(B64="","",COUNTIFS($BI$5:$BI$304,"&gt;"&amp;BI64)+COUNTIFS($BI$5:BI64,BI64))</f>
        <v>0</v>
      </c>
      <c r="BR64" s="32">
        <f>IF(B64="","",COUNTIFS($AY$5:$AY$304,"&gt;"&amp;AY64)+COUNTIFS($AY$5:AY64,AY64))</f>
        <v>0</v>
      </c>
      <c r="BS64" s="43">
        <f>IF(B64="","",IF(AH64=0,"Add - no costs entered yet",IF(AR64="","Check - no price yet",IF(AV64&lt;0,"Loss - every sale costs you money",IF(AND(AZ64&lt;&gt;"",AZ64&lt;MinimumWage),"Below - pays under minimum wage",IF(AW64&lt;MarginWarning,"Low margin - re-price it",IF(AND(AF64&lt;&gt;"",K64&lt;&gt;"",K64+AC64&gt;AF64),"Check - too heavy for that postage band",IF(AND(BN64&lt;&gt;"",BN64&gt;PriceReviewDays),"Due - price has not been reviewed",IF(AND(BG64&lt;&gt;"",BG64&gt;0.5),"Check - well above the market","OK")))))))) )</f>
        <v>0</v>
      </c>
    </row>
    <row r="65" spans="1:71">
      <c r="A65" s="38">
        <f>IF(B65="","",ProductPrefix&amp;TEXT(ROW()-4,"0000"))</f>
        <v>0</v>
      </c>
      <c r="S65" s="38">
        <f>IF(B65="","",IF(C65&lt;&gt;"",C65,UPPER(LEFT(IF(D65="","GEN",D65),3))&amp;"-"&amp;TEXT(ROW()-4,"000")))</f>
        <v>0</v>
      </c>
      <c r="T65" s="20">
        <f>IF(B65="","",ROUND(SUMIFS('Material Usage'!$M$5:$M$904,'Material Usage'!$A$5:$A$904,A65)+SUMIFS(Crochet!$AD$5:$AD$84,Crochet!$A$5:$A$84,A65)+SUMIFS(Jewelry!$AF$5:$AF$84,Jewelry!$A$5:$A$84,A65)+SUMIFS(Candles!$AF$5:$AF$84,Candles!$A$5:$A$84,A65)+SUMIFS(Clothing!$AB$5:$AB$84,Clothing!$A$5:$A$84,A65)+SUMIFS(Woodworking!$AC$5:$AC$84,Woodworking!$A$5:$A$84,A65)+SUMIFS(Digital!$X$5:$X$84,Digital!$A$5:$A$84,A65),2))</f>
        <v>0</v>
      </c>
      <c r="U65" s="20">
        <f>IF(B65="","",ROUND(SUMIFS(Labor!$O$5:$O$304,Labor!$A$5:$A$304,A65)+SUMIFS(Crochet!$AG$5:$AG$84,Crochet!$A$5:$A$84,A65)+SUMIFS(Jewelry!$AI$5:$AI$84,Jewelry!$A$5:$A$84,A65)+SUMIFS(Candles!$AI$5:$AI$84,Candles!$A$5:$A$84,A65)+SUMIFS(Clothing!$AE$5:$AE$84,Clothing!$A$5:$A$84,A65)+SUMIFS(Woodworking!$AF$5:$AF$84,Woodworking!$A$5:$A$84,A65)+SUMIFS(Digital!$Z$5:$Z$84,Digital!$A$5:$A$84,A65),2))</f>
        <v>0</v>
      </c>
      <c r="V65" s="36">
        <f>IF(B65="","",ROUND(SUMIFS(Labor!$P$5:$P$304,Labor!$A$5:$A$304,A65)+SUMIFS(Crochet!$AE$5:$AE$84,Crochet!$A$5:$A$84,A65)+SUMIFS(Jewelry!$AG$5:$AG$84,Jewelry!$A$5:$A$84,A65)+SUMIFS(Candles!$AG$5:$AG$84,Candles!$A$5:$A$84,A65)+SUMIFS(Clothing!$AC$5:$AC$84,Clothing!$A$5:$A$84,A65)+SUMIFS(Woodworking!$AD$5:$AD$84,Woodworking!$A$5:$A$84,A65)+SUMIFS(Digital!$Y$5:$Y$84,Digital!$A$5:$A$84,A65),1))</f>
        <v>0</v>
      </c>
      <c r="W65" s="41">
        <f>IF(B65="","",IFERROR(INDEX(DiffTimeFactors,MATCH(G65,DiffNames,0)),1))</f>
        <v>0</v>
      </c>
      <c r="X65" s="36">
        <f>IF(B65="","",ROUND(V65*W65,1))</f>
        <v>0</v>
      </c>
      <c r="Y65" s="41">
        <f>IF(B65="","",ROUND(X65/60,3))</f>
        <v>0</v>
      </c>
      <c r="Z65" s="20">
        <f>IF(B65="","",ROUND(U65*W65,2))</f>
        <v>0</v>
      </c>
      <c r="AA65" s="20">
        <f>IF(B65="","",ROUND(SUMIFS(Labor!$Q$5:$Q$304,Labor!$A$5:$A$304,A65)+SUMIFS(Crochet!$AH$5:$AH$84,Crochet!$A$5:$A$84,A65)+SUMIFS(Jewelry!$AJ$5:$AJ$84,Jewelry!$A$5:$A$84,A65)+SUMIFS(Candles!$AJ$5:$AJ$84,Candles!$A$5:$A$84,A65)+SUMIFS(Clothing!$AF$5:$AF$84,Clothing!$A$5:$A$84,A65)+SUMIFS(Woodworking!$AH$5:$AH$84,Woodworking!$A$5:$A$84,A65)+SUMIFS(Digital!$AA$5:$AA$84,Digital!$A$5:$A$84,A65),2))</f>
        <v>0</v>
      </c>
      <c r="AB65" s="20">
        <f>IF(B65="","",ROUND(IF(I65="Budget",PackBudget,IF(I65="Standard",PackStandard,IF(I65="Gift",PackGift,IF(I65="Premium",PackPremium,DefaultPackaging)))),2))</f>
        <v>0</v>
      </c>
      <c r="AC65" s="36">
        <f>IF(B65="","",IF(I65="Budget",PackWeightBudget,IF(I65="Standard",PackWeightStandard,IF(I65="Gift",PackWeightGift,IF(I65="Premium",PackWeightPremium,0)))))</f>
        <v>0</v>
      </c>
      <c r="AD65" s="20">
        <f>IF(B65="","",IFERROR(INDEX(Shipping!$M$5:$M$64,MATCH(J65,Shipping!$L$5:$L$64,0)),DefaultShipping))</f>
        <v>0</v>
      </c>
      <c r="AE65" s="20">
        <f>IF(B65="","",IFERROR(INDEX(Shipping!$F$5:$F$64,MATCH(J65,Shipping!$L$5:$L$64,0)),0))</f>
        <v>0</v>
      </c>
      <c r="AF65" s="36">
        <f>IF(B65="","",IFERROR(INDEX(Shipping!$C$5:$C$64,MATCH(J65,Shipping!$L$5:$L$64,0)),""))</f>
        <v>0</v>
      </c>
      <c r="AG65" s="20">
        <f>IF(B65="","",ROUND(MAX(0,AD65-AE65),2))</f>
        <v>0</v>
      </c>
      <c r="AH65" s="20">
        <f>IF(B65="","",ROUND(T65+Z65+AA65+AB65+AG65,2))</f>
        <v>0</v>
      </c>
      <c r="AI65" s="33">
        <f>IF(B65="","",IFERROR(INDEX(Channels!$S$5:$S$18,MATCH(IF(H65="",DefaultChannel,H65),Channels!$A$5:$A$18,0)),0))</f>
        <v>0</v>
      </c>
      <c r="AJ65" s="42">
        <f>IF(B65="","",IFERROR(INDEX(Channels!$O$5:$O$18,MATCH(IF(H65="",DefaultChannel,H65),Channels!$A$5:$A$18,0)),"No"))</f>
        <v>0</v>
      </c>
      <c r="AK65" s="20">
        <f>IF(B65="","",ROUND(IFERROR(INDEX(Channels!$T$5:$T$18,MATCH(IF(H65="",DefaultChannel,H65),Channels!$A$5:$A$18,0)),0)+IF(AJ65="Yes",AE65*AI65,0),4))</f>
        <v>0</v>
      </c>
      <c r="AL65" s="33">
        <f>IF(B65="","",IF(OverheadMethod="Share of revenue",IF(RevenueTargetMonth&lt;=0,0,OverheadMonthly/RevenueTargetMonth),0))</f>
        <v>0</v>
      </c>
      <c r="AM65" s="20">
        <f>IF(B65="","",IF(OverheadMethod="Per hour worked",ROUND(OverheadPerHour*Y65,2),IF(OR(OverheadMethod="Per unit made",OverheadMethod="Per order"),OverheadPerUnit,0)))</f>
        <v>0</v>
      </c>
      <c r="AN65" s="33">
        <f>IF(B65="","",IF(N65&lt;&gt;"",N65,TargetRetailMargin))</f>
        <v>0</v>
      </c>
      <c r="AO65" s="41">
        <f>IF(B65="","",1-AN65-AI65-AL65)</f>
        <v>0</v>
      </c>
      <c r="AP65" s="20">
        <f>IF(B65="","",IF(AO65&lt;=0,"",(AH65+AM65+AK65)/AO65))</f>
        <v>0</v>
      </c>
      <c r="AQ65" s="20">
        <f>IF(B65="","",IF(AP65="","Check the settings",ROUND(IF(RoundingRule="None",AP65,IF(RoundingRule="Nearest 0.99",MAX(0.99,CEILING(AP65,1)-0.01),IF(RoundingRule="Nearest 0.95",MAX(0.95,CEILING(AP65,1)-0.05),IF(RoundingRule="Nearest 0.50",CEILING(AP65,0.5),IF(RoundingRule="Nearest 1",CEILING(AP65,1),IF(RoundingRule="Nearest 5",CEILING(AP65,5),IF(RoundingRule="Up to whole 1",CEILING(AP65,1),IF(RoundingRule="Up to whole 5",CEILING(AP65,5),ROUND(AP65,2))))))))),2)))</f>
        <v>0</v>
      </c>
      <c r="AR65" s="20">
        <f>IF(B65="","",IF(M65&lt;&gt;"",M65,IF(ISNUMBER(AQ65),AQ65,"")))</f>
        <v>0</v>
      </c>
      <c r="AS65" s="20">
        <f>IF(B65="","",IF(AR65="","",ROUND(AM65+AR65*AL65,2)))</f>
        <v>0</v>
      </c>
      <c r="AT65" s="20">
        <f>IF(B65="","",IF(AR65="","",ROUND(AH65+AS65,2)))</f>
        <v>0</v>
      </c>
      <c r="AU65" s="20">
        <f>IF(B65="","",IF(AR65="","",ROUND(AR65*AI65+AK65,2)))</f>
        <v>0</v>
      </c>
      <c r="AV65" s="20">
        <f>IF(B65="","",IF(AR65="","",ROUND(AR65-AT65-AU65,2)))</f>
        <v>0</v>
      </c>
      <c r="AW65" s="33">
        <f>IF(B65="","",IF(OR(AR65="",AR65=0),"",AV65/AR65))</f>
        <v>0</v>
      </c>
      <c r="AX65" s="33">
        <f>IF(B65="","",IF(OR(AT65="",AT65=0),"",AV65/AT65))</f>
        <v>0</v>
      </c>
      <c r="AY65" s="20">
        <f>IF(B65="","",IF(OR(Y65="",Y65=0,AV65=""),"",ROUND(AV65/Y65,2)))</f>
        <v>0</v>
      </c>
      <c r="AZ65" s="20">
        <f>IF(B65="","",IF(OR(Y65="",Y65=0,AV65=""),"",ROUND((AV65+Z65)/Y65,2)))</f>
        <v>0</v>
      </c>
      <c r="BA65" s="20">
        <f>IF(B65="","",IF(1-AI65-AL65&lt;=0,"",ROUND((AH65+AM65+AK65)/(1-AI65-AL65),2)))</f>
        <v>0</v>
      </c>
      <c r="BB65" s="20">
        <f>IF(B65="","",IF(AT65="","",ROUND(AT65*2,2)))</f>
        <v>0</v>
      </c>
      <c r="BC65" s="20">
        <f>IF(B65="","",IF(AR65="","",ROUND(AR65*(1-WholesaleDiscount),2)))</f>
        <v>0</v>
      </c>
      <c r="BD65" s="20">
        <f>IF(B65="","",IF(BC65="","",ROUND(BC65-AH65-AM65,2)))</f>
        <v>0</v>
      </c>
      <c r="BE65" s="33">
        <f>IF(B65="","",IF(OR(BC65="",BC65=0),"",BD65/BC65))</f>
        <v>0</v>
      </c>
      <c r="BF65" s="20">
        <f>IF(B65="","",IFERROR(ROUND(AVERAGEIFS(Competitors!$F$5:$F$154,Competitors!$A$5:$A$154,A65),2),""))</f>
        <v>0</v>
      </c>
      <c r="BG65" s="33">
        <f>IF(B65="","",IF(OR(BF65="",BF65=0,AR65=""),"",AR65/BF65-1))</f>
        <v>0</v>
      </c>
      <c r="BH65" s="32">
        <f>IF(B65="","",SUMIFS(Sales!$D$5:$D$804,Sales!$C$5:$C$804,A65))</f>
        <v>0</v>
      </c>
      <c r="BI65" s="20">
        <f>IF(B65="","",ROUND(SUMIFS(Sales!$V$5:$V$804,Sales!$C$5:$C$804,A65),2))</f>
        <v>0</v>
      </c>
      <c r="BJ65" s="20">
        <f>IF(B65="","",ROUND(SUMIFS(Sales!$AG$5:$AG$804,Sales!$C$5:$C$804,A65),2))</f>
        <v>0</v>
      </c>
      <c r="BK65" s="33">
        <f>IF(B65="","",IF(OR(BI65="",BI65=0),"",BJ65/BI65))</f>
        <v>0</v>
      </c>
      <c r="BL65" s="17">
        <f>IF(B65="","",IF(SUMPRODUCT(MAX((Sales!$C$5:$C$804=A65)*Sales!$B$5:$B$804))=0,"",SUMPRODUCT(MAX((Sales!$C$5:$C$804=A65)*Sales!$B$5:$B$804))))</f>
        <v>0</v>
      </c>
      <c r="BM65" s="17">
        <f>IF(B65="","",IF(SUMPRODUCT(MAX(('Price History'!$B$5:$B$304=A65)*'Price History'!$A$5:$A$304))=0,IF(P65="","",P65),SUMPRODUCT(MAX(('Price History'!$B$5:$B$304=A65)*'Price History'!$A$5:$A$304))))</f>
        <v>0</v>
      </c>
      <c r="BN65" s="32">
        <f>IF(B65="","",IF(BM65="","",TodayDate-BM65))</f>
        <v>0</v>
      </c>
      <c r="BO65" s="32">
        <f>IF(B65="","",COUNTIFS($AV$5:$AV$304,"&gt;"&amp;AV65)+COUNTIFS($AV$5:AV65,AV65))</f>
        <v>0</v>
      </c>
      <c r="BP65" s="32">
        <f>IF(B65="","",COUNTIFS($AW$5:$AW$304,"&gt;"&amp;AW65)+COUNTIFS($AW$5:AW65,AW65))</f>
        <v>0</v>
      </c>
      <c r="BQ65" s="32">
        <f>IF(B65="","",COUNTIFS($BI$5:$BI$304,"&gt;"&amp;BI65)+COUNTIFS($BI$5:BI65,BI65))</f>
        <v>0</v>
      </c>
      <c r="BR65" s="32">
        <f>IF(B65="","",COUNTIFS($AY$5:$AY$304,"&gt;"&amp;AY65)+COUNTIFS($AY$5:AY65,AY65))</f>
        <v>0</v>
      </c>
      <c r="BS65" s="43">
        <f>IF(B65="","",IF(AH65=0,"Add - no costs entered yet",IF(AR65="","Check - no price yet",IF(AV65&lt;0,"Loss - every sale costs you money",IF(AND(AZ65&lt;&gt;"",AZ65&lt;MinimumWage),"Below - pays under minimum wage",IF(AW65&lt;MarginWarning,"Low margin - re-price it",IF(AND(AF65&lt;&gt;"",K65&lt;&gt;"",K65+AC65&gt;AF65),"Check - too heavy for that postage band",IF(AND(BN65&lt;&gt;"",BN65&gt;PriceReviewDays),"Due - price has not been reviewed",IF(AND(BG65&lt;&gt;"",BG65&gt;0.5),"Check - well above the market","OK")))))))) )</f>
        <v>0</v>
      </c>
    </row>
    <row r="66" spans="1:71">
      <c r="A66" s="38">
        <f>IF(B66="","",ProductPrefix&amp;TEXT(ROW()-4,"0000"))</f>
        <v>0</v>
      </c>
      <c r="S66" s="38">
        <f>IF(B66="","",IF(C66&lt;&gt;"",C66,UPPER(LEFT(IF(D66="","GEN",D66),3))&amp;"-"&amp;TEXT(ROW()-4,"000")))</f>
        <v>0</v>
      </c>
      <c r="T66" s="20">
        <f>IF(B66="","",ROUND(SUMIFS('Material Usage'!$M$5:$M$904,'Material Usage'!$A$5:$A$904,A66)+SUMIFS(Crochet!$AD$5:$AD$84,Crochet!$A$5:$A$84,A66)+SUMIFS(Jewelry!$AF$5:$AF$84,Jewelry!$A$5:$A$84,A66)+SUMIFS(Candles!$AF$5:$AF$84,Candles!$A$5:$A$84,A66)+SUMIFS(Clothing!$AB$5:$AB$84,Clothing!$A$5:$A$84,A66)+SUMIFS(Woodworking!$AC$5:$AC$84,Woodworking!$A$5:$A$84,A66)+SUMIFS(Digital!$X$5:$X$84,Digital!$A$5:$A$84,A66),2))</f>
        <v>0</v>
      </c>
      <c r="U66" s="20">
        <f>IF(B66="","",ROUND(SUMIFS(Labor!$O$5:$O$304,Labor!$A$5:$A$304,A66)+SUMIFS(Crochet!$AG$5:$AG$84,Crochet!$A$5:$A$84,A66)+SUMIFS(Jewelry!$AI$5:$AI$84,Jewelry!$A$5:$A$84,A66)+SUMIFS(Candles!$AI$5:$AI$84,Candles!$A$5:$A$84,A66)+SUMIFS(Clothing!$AE$5:$AE$84,Clothing!$A$5:$A$84,A66)+SUMIFS(Woodworking!$AF$5:$AF$84,Woodworking!$A$5:$A$84,A66)+SUMIFS(Digital!$Z$5:$Z$84,Digital!$A$5:$A$84,A66),2))</f>
        <v>0</v>
      </c>
      <c r="V66" s="36">
        <f>IF(B66="","",ROUND(SUMIFS(Labor!$P$5:$P$304,Labor!$A$5:$A$304,A66)+SUMIFS(Crochet!$AE$5:$AE$84,Crochet!$A$5:$A$84,A66)+SUMIFS(Jewelry!$AG$5:$AG$84,Jewelry!$A$5:$A$84,A66)+SUMIFS(Candles!$AG$5:$AG$84,Candles!$A$5:$A$84,A66)+SUMIFS(Clothing!$AC$5:$AC$84,Clothing!$A$5:$A$84,A66)+SUMIFS(Woodworking!$AD$5:$AD$84,Woodworking!$A$5:$A$84,A66)+SUMIFS(Digital!$Y$5:$Y$84,Digital!$A$5:$A$84,A66),1))</f>
        <v>0</v>
      </c>
      <c r="W66" s="41">
        <f>IF(B66="","",IFERROR(INDEX(DiffTimeFactors,MATCH(G66,DiffNames,0)),1))</f>
        <v>0</v>
      </c>
      <c r="X66" s="36">
        <f>IF(B66="","",ROUND(V66*W66,1))</f>
        <v>0</v>
      </c>
      <c r="Y66" s="41">
        <f>IF(B66="","",ROUND(X66/60,3))</f>
        <v>0</v>
      </c>
      <c r="Z66" s="20">
        <f>IF(B66="","",ROUND(U66*W66,2))</f>
        <v>0</v>
      </c>
      <c r="AA66" s="20">
        <f>IF(B66="","",ROUND(SUMIFS(Labor!$Q$5:$Q$304,Labor!$A$5:$A$304,A66)+SUMIFS(Crochet!$AH$5:$AH$84,Crochet!$A$5:$A$84,A66)+SUMIFS(Jewelry!$AJ$5:$AJ$84,Jewelry!$A$5:$A$84,A66)+SUMIFS(Candles!$AJ$5:$AJ$84,Candles!$A$5:$A$84,A66)+SUMIFS(Clothing!$AF$5:$AF$84,Clothing!$A$5:$A$84,A66)+SUMIFS(Woodworking!$AH$5:$AH$84,Woodworking!$A$5:$A$84,A66)+SUMIFS(Digital!$AA$5:$AA$84,Digital!$A$5:$A$84,A66),2))</f>
        <v>0</v>
      </c>
      <c r="AB66" s="20">
        <f>IF(B66="","",ROUND(IF(I66="Budget",PackBudget,IF(I66="Standard",PackStandard,IF(I66="Gift",PackGift,IF(I66="Premium",PackPremium,DefaultPackaging)))),2))</f>
        <v>0</v>
      </c>
      <c r="AC66" s="36">
        <f>IF(B66="","",IF(I66="Budget",PackWeightBudget,IF(I66="Standard",PackWeightStandard,IF(I66="Gift",PackWeightGift,IF(I66="Premium",PackWeightPremium,0)))))</f>
        <v>0</v>
      </c>
      <c r="AD66" s="20">
        <f>IF(B66="","",IFERROR(INDEX(Shipping!$M$5:$M$64,MATCH(J66,Shipping!$L$5:$L$64,0)),DefaultShipping))</f>
        <v>0</v>
      </c>
      <c r="AE66" s="20">
        <f>IF(B66="","",IFERROR(INDEX(Shipping!$F$5:$F$64,MATCH(J66,Shipping!$L$5:$L$64,0)),0))</f>
        <v>0</v>
      </c>
      <c r="AF66" s="36">
        <f>IF(B66="","",IFERROR(INDEX(Shipping!$C$5:$C$64,MATCH(J66,Shipping!$L$5:$L$64,0)),""))</f>
        <v>0</v>
      </c>
      <c r="AG66" s="20">
        <f>IF(B66="","",ROUND(MAX(0,AD66-AE66),2))</f>
        <v>0</v>
      </c>
      <c r="AH66" s="20">
        <f>IF(B66="","",ROUND(T66+Z66+AA66+AB66+AG66,2))</f>
        <v>0</v>
      </c>
      <c r="AI66" s="33">
        <f>IF(B66="","",IFERROR(INDEX(Channels!$S$5:$S$18,MATCH(IF(H66="",DefaultChannel,H66),Channels!$A$5:$A$18,0)),0))</f>
        <v>0</v>
      </c>
      <c r="AJ66" s="42">
        <f>IF(B66="","",IFERROR(INDEX(Channels!$O$5:$O$18,MATCH(IF(H66="",DefaultChannel,H66),Channels!$A$5:$A$18,0)),"No"))</f>
        <v>0</v>
      </c>
      <c r="AK66" s="20">
        <f>IF(B66="","",ROUND(IFERROR(INDEX(Channels!$T$5:$T$18,MATCH(IF(H66="",DefaultChannel,H66),Channels!$A$5:$A$18,0)),0)+IF(AJ66="Yes",AE66*AI66,0),4))</f>
        <v>0</v>
      </c>
      <c r="AL66" s="33">
        <f>IF(B66="","",IF(OverheadMethod="Share of revenue",IF(RevenueTargetMonth&lt;=0,0,OverheadMonthly/RevenueTargetMonth),0))</f>
        <v>0</v>
      </c>
      <c r="AM66" s="20">
        <f>IF(B66="","",IF(OverheadMethod="Per hour worked",ROUND(OverheadPerHour*Y66,2),IF(OR(OverheadMethod="Per unit made",OverheadMethod="Per order"),OverheadPerUnit,0)))</f>
        <v>0</v>
      </c>
      <c r="AN66" s="33">
        <f>IF(B66="","",IF(N66&lt;&gt;"",N66,TargetRetailMargin))</f>
        <v>0</v>
      </c>
      <c r="AO66" s="41">
        <f>IF(B66="","",1-AN66-AI66-AL66)</f>
        <v>0</v>
      </c>
      <c r="AP66" s="20">
        <f>IF(B66="","",IF(AO66&lt;=0,"",(AH66+AM66+AK66)/AO66))</f>
        <v>0</v>
      </c>
      <c r="AQ66" s="20">
        <f>IF(B66="","",IF(AP66="","Check the settings",ROUND(IF(RoundingRule="None",AP66,IF(RoundingRule="Nearest 0.99",MAX(0.99,CEILING(AP66,1)-0.01),IF(RoundingRule="Nearest 0.95",MAX(0.95,CEILING(AP66,1)-0.05),IF(RoundingRule="Nearest 0.50",CEILING(AP66,0.5),IF(RoundingRule="Nearest 1",CEILING(AP66,1),IF(RoundingRule="Nearest 5",CEILING(AP66,5),IF(RoundingRule="Up to whole 1",CEILING(AP66,1),IF(RoundingRule="Up to whole 5",CEILING(AP66,5),ROUND(AP66,2))))))))),2)))</f>
        <v>0</v>
      </c>
      <c r="AR66" s="20">
        <f>IF(B66="","",IF(M66&lt;&gt;"",M66,IF(ISNUMBER(AQ66),AQ66,"")))</f>
        <v>0</v>
      </c>
      <c r="AS66" s="20">
        <f>IF(B66="","",IF(AR66="","",ROUND(AM66+AR66*AL66,2)))</f>
        <v>0</v>
      </c>
      <c r="AT66" s="20">
        <f>IF(B66="","",IF(AR66="","",ROUND(AH66+AS66,2)))</f>
        <v>0</v>
      </c>
      <c r="AU66" s="20">
        <f>IF(B66="","",IF(AR66="","",ROUND(AR66*AI66+AK66,2)))</f>
        <v>0</v>
      </c>
      <c r="AV66" s="20">
        <f>IF(B66="","",IF(AR66="","",ROUND(AR66-AT66-AU66,2)))</f>
        <v>0</v>
      </c>
      <c r="AW66" s="33">
        <f>IF(B66="","",IF(OR(AR66="",AR66=0),"",AV66/AR66))</f>
        <v>0</v>
      </c>
      <c r="AX66" s="33">
        <f>IF(B66="","",IF(OR(AT66="",AT66=0),"",AV66/AT66))</f>
        <v>0</v>
      </c>
      <c r="AY66" s="20">
        <f>IF(B66="","",IF(OR(Y66="",Y66=0,AV66=""),"",ROUND(AV66/Y66,2)))</f>
        <v>0</v>
      </c>
      <c r="AZ66" s="20">
        <f>IF(B66="","",IF(OR(Y66="",Y66=0,AV66=""),"",ROUND((AV66+Z66)/Y66,2)))</f>
        <v>0</v>
      </c>
      <c r="BA66" s="20">
        <f>IF(B66="","",IF(1-AI66-AL66&lt;=0,"",ROUND((AH66+AM66+AK66)/(1-AI66-AL66),2)))</f>
        <v>0</v>
      </c>
      <c r="BB66" s="20">
        <f>IF(B66="","",IF(AT66="","",ROUND(AT66*2,2)))</f>
        <v>0</v>
      </c>
      <c r="BC66" s="20">
        <f>IF(B66="","",IF(AR66="","",ROUND(AR66*(1-WholesaleDiscount),2)))</f>
        <v>0</v>
      </c>
      <c r="BD66" s="20">
        <f>IF(B66="","",IF(BC66="","",ROUND(BC66-AH66-AM66,2)))</f>
        <v>0</v>
      </c>
      <c r="BE66" s="33">
        <f>IF(B66="","",IF(OR(BC66="",BC66=0),"",BD66/BC66))</f>
        <v>0</v>
      </c>
      <c r="BF66" s="20">
        <f>IF(B66="","",IFERROR(ROUND(AVERAGEIFS(Competitors!$F$5:$F$154,Competitors!$A$5:$A$154,A66),2),""))</f>
        <v>0</v>
      </c>
      <c r="BG66" s="33">
        <f>IF(B66="","",IF(OR(BF66="",BF66=0,AR66=""),"",AR66/BF66-1))</f>
        <v>0</v>
      </c>
      <c r="BH66" s="32">
        <f>IF(B66="","",SUMIFS(Sales!$D$5:$D$804,Sales!$C$5:$C$804,A66))</f>
        <v>0</v>
      </c>
      <c r="BI66" s="20">
        <f>IF(B66="","",ROUND(SUMIFS(Sales!$V$5:$V$804,Sales!$C$5:$C$804,A66),2))</f>
        <v>0</v>
      </c>
      <c r="BJ66" s="20">
        <f>IF(B66="","",ROUND(SUMIFS(Sales!$AG$5:$AG$804,Sales!$C$5:$C$804,A66),2))</f>
        <v>0</v>
      </c>
      <c r="BK66" s="33">
        <f>IF(B66="","",IF(OR(BI66="",BI66=0),"",BJ66/BI66))</f>
        <v>0</v>
      </c>
      <c r="BL66" s="17">
        <f>IF(B66="","",IF(SUMPRODUCT(MAX((Sales!$C$5:$C$804=A66)*Sales!$B$5:$B$804))=0,"",SUMPRODUCT(MAX((Sales!$C$5:$C$804=A66)*Sales!$B$5:$B$804))))</f>
        <v>0</v>
      </c>
      <c r="BM66" s="17">
        <f>IF(B66="","",IF(SUMPRODUCT(MAX(('Price History'!$B$5:$B$304=A66)*'Price History'!$A$5:$A$304))=0,IF(P66="","",P66),SUMPRODUCT(MAX(('Price History'!$B$5:$B$304=A66)*'Price History'!$A$5:$A$304))))</f>
        <v>0</v>
      </c>
      <c r="BN66" s="32">
        <f>IF(B66="","",IF(BM66="","",TodayDate-BM66))</f>
        <v>0</v>
      </c>
      <c r="BO66" s="32">
        <f>IF(B66="","",COUNTIFS($AV$5:$AV$304,"&gt;"&amp;AV66)+COUNTIFS($AV$5:AV66,AV66))</f>
        <v>0</v>
      </c>
      <c r="BP66" s="32">
        <f>IF(B66="","",COUNTIFS($AW$5:$AW$304,"&gt;"&amp;AW66)+COUNTIFS($AW$5:AW66,AW66))</f>
        <v>0</v>
      </c>
      <c r="BQ66" s="32">
        <f>IF(B66="","",COUNTIFS($BI$5:$BI$304,"&gt;"&amp;BI66)+COUNTIFS($BI$5:BI66,BI66))</f>
        <v>0</v>
      </c>
      <c r="BR66" s="32">
        <f>IF(B66="","",COUNTIFS($AY$5:$AY$304,"&gt;"&amp;AY66)+COUNTIFS($AY$5:AY66,AY66))</f>
        <v>0</v>
      </c>
      <c r="BS66" s="43">
        <f>IF(B66="","",IF(AH66=0,"Add - no costs entered yet",IF(AR66="","Check - no price yet",IF(AV66&lt;0,"Loss - every sale costs you money",IF(AND(AZ66&lt;&gt;"",AZ66&lt;MinimumWage),"Below - pays under minimum wage",IF(AW66&lt;MarginWarning,"Low margin - re-price it",IF(AND(AF66&lt;&gt;"",K66&lt;&gt;"",K66+AC66&gt;AF66),"Check - too heavy for that postage band",IF(AND(BN66&lt;&gt;"",BN66&gt;PriceReviewDays),"Due - price has not been reviewed",IF(AND(BG66&lt;&gt;"",BG66&gt;0.5),"Check - well above the market","OK")))))))) )</f>
        <v>0</v>
      </c>
    </row>
    <row r="67" spans="1:71">
      <c r="A67" s="38">
        <f>IF(B67="","",ProductPrefix&amp;TEXT(ROW()-4,"0000"))</f>
        <v>0</v>
      </c>
      <c r="S67" s="38">
        <f>IF(B67="","",IF(C67&lt;&gt;"",C67,UPPER(LEFT(IF(D67="","GEN",D67),3))&amp;"-"&amp;TEXT(ROW()-4,"000")))</f>
        <v>0</v>
      </c>
      <c r="T67" s="20">
        <f>IF(B67="","",ROUND(SUMIFS('Material Usage'!$M$5:$M$904,'Material Usage'!$A$5:$A$904,A67)+SUMIFS(Crochet!$AD$5:$AD$84,Crochet!$A$5:$A$84,A67)+SUMIFS(Jewelry!$AF$5:$AF$84,Jewelry!$A$5:$A$84,A67)+SUMIFS(Candles!$AF$5:$AF$84,Candles!$A$5:$A$84,A67)+SUMIFS(Clothing!$AB$5:$AB$84,Clothing!$A$5:$A$84,A67)+SUMIFS(Woodworking!$AC$5:$AC$84,Woodworking!$A$5:$A$84,A67)+SUMIFS(Digital!$X$5:$X$84,Digital!$A$5:$A$84,A67),2))</f>
        <v>0</v>
      </c>
      <c r="U67" s="20">
        <f>IF(B67="","",ROUND(SUMIFS(Labor!$O$5:$O$304,Labor!$A$5:$A$304,A67)+SUMIFS(Crochet!$AG$5:$AG$84,Crochet!$A$5:$A$84,A67)+SUMIFS(Jewelry!$AI$5:$AI$84,Jewelry!$A$5:$A$84,A67)+SUMIFS(Candles!$AI$5:$AI$84,Candles!$A$5:$A$84,A67)+SUMIFS(Clothing!$AE$5:$AE$84,Clothing!$A$5:$A$84,A67)+SUMIFS(Woodworking!$AF$5:$AF$84,Woodworking!$A$5:$A$84,A67)+SUMIFS(Digital!$Z$5:$Z$84,Digital!$A$5:$A$84,A67),2))</f>
        <v>0</v>
      </c>
      <c r="V67" s="36">
        <f>IF(B67="","",ROUND(SUMIFS(Labor!$P$5:$P$304,Labor!$A$5:$A$304,A67)+SUMIFS(Crochet!$AE$5:$AE$84,Crochet!$A$5:$A$84,A67)+SUMIFS(Jewelry!$AG$5:$AG$84,Jewelry!$A$5:$A$84,A67)+SUMIFS(Candles!$AG$5:$AG$84,Candles!$A$5:$A$84,A67)+SUMIFS(Clothing!$AC$5:$AC$84,Clothing!$A$5:$A$84,A67)+SUMIFS(Woodworking!$AD$5:$AD$84,Woodworking!$A$5:$A$84,A67)+SUMIFS(Digital!$Y$5:$Y$84,Digital!$A$5:$A$84,A67),1))</f>
        <v>0</v>
      </c>
      <c r="W67" s="41">
        <f>IF(B67="","",IFERROR(INDEX(DiffTimeFactors,MATCH(G67,DiffNames,0)),1))</f>
        <v>0</v>
      </c>
      <c r="X67" s="36">
        <f>IF(B67="","",ROUND(V67*W67,1))</f>
        <v>0</v>
      </c>
      <c r="Y67" s="41">
        <f>IF(B67="","",ROUND(X67/60,3))</f>
        <v>0</v>
      </c>
      <c r="Z67" s="20">
        <f>IF(B67="","",ROUND(U67*W67,2))</f>
        <v>0</v>
      </c>
      <c r="AA67" s="20">
        <f>IF(B67="","",ROUND(SUMIFS(Labor!$Q$5:$Q$304,Labor!$A$5:$A$304,A67)+SUMIFS(Crochet!$AH$5:$AH$84,Crochet!$A$5:$A$84,A67)+SUMIFS(Jewelry!$AJ$5:$AJ$84,Jewelry!$A$5:$A$84,A67)+SUMIFS(Candles!$AJ$5:$AJ$84,Candles!$A$5:$A$84,A67)+SUMIFS(Clothing!$AF$5:$AF$84,Clothing!$A$5:$A$84,A67)+SUMIFS(Woodworking!$AH$5:$AH$84,Woodworking!$A$5:$A$84,A67)+SUMIFS(Digital!$AA$5:$AA$84,Digital!$A$5:$A$84,A67),2))</f>
        <v>0</v>
      </c>
      <c r="AB67" s="20">
        <f>IF(B67="","",ROUND(IF(I67="Budget",PackBudget,IF(I67="Standard",PackStandard,IF(I67="Gift",PackGift,IF(I67="Premium",PackPremium,DefaultPackaging)))),2))</f>
        <v>0</v>
      </c>
      <c r="AC67" s="36">
        <f>IF(B67="","",IF(I67="Budget",PackWeightBudget,IF(I67="Standard",PackWeightStandard,IF(I67="Gift",PackWeightGift,IF(I67="Premium",PackWeightPremium,0)))))</f>
        <v>0</v>
      </c>
      <c r="AD67" s="20">
        <f>IF(B67="","",IFERROR(INDEX(Shipping!$M$5:$M$64,MATCH(J67,Shipping!$L$5:$L$64,0)),DefaultShipping))</f>
        <v>0</v>
      </c>
      <c r="AE67" s="20">
        <f>IF(B67="","",IFERROR(INDEX(Shipping!$F$5:$F$64,MATCH(J67,Shipping!$L$5:$L$64,0)),0))</f>
        <v>0</v>
      </c>
      <c r="AF67" s="36">
        <f>IF(B67="","",IFERROR(INDEX(Shipping!$C$5:$C$64,MATCH(J67,Shipping!$L$5:$L$64,0)),""))</f>
        <v>0</v>
      </c>
      <c r="AG67" s="20">
        <f>IF(B67="","",ROUND(MAX(0,AD67-AE67),2))</f>
        <v>0</v>
      </c>
      <c r="AH67" s="20">
        <f>IF(B67="","",ROUND(T67+Z67+AA67+AB67+AG67,2))</f>
        <v>0</v>
      </c>
      <c r="AI67" s="33">
        <f>IF(B67="","",IFERROR(INDEX(Channels!$S$5:$S$18,MATCH(IF(H67="",DefaultChannel,H67),Channels!$A$5:$A$18,0)),0))</f>
        <v>0</v>
      </c>
      <c r="AJ67" s="42">
        <f>IF(B67="","",IFERROR(INDEX(Channels!$O$5:$O$18,MATCH(IF(H67="",DefaultChannel,H67),Channels!$A$5:$A$18,0)),"No"))</f>
        <v>0</v>
      </c>
      <c r="AK67" s="20">
        <f>IF(B67="","",ROUND(IFERROR(INDEX(Channels!$T$5:$T$18,MATCH(IF(H67="",DefaultChannel,H67),Channels!$A$5:$A$18,0)),0)+IF(AJ67="Yes",AE67*AI67,0),4))</f>
        <v>0</v>
      </c>
      <c r="AL67" s="33">
        <f>IF(B67="","",IF(OverheadMethod="Share of revenue",IF(RevenueTargetMonth&lt;=0,0,OverheadMonthly/RevenueTargetMonth),0))</f>
        <v>0</v>
      </c>
      <c r="AM67" s="20">
        <f>IF(B67="","",IF(OverheadMethod="Per hour worked",ROUND(OverheadPerHour*Y67,2),IF(OR(OverheadMethod="Per unit made",OverheadMethod="Per order"),OverheadPerUnit,0)))</f>
        <v>0</v>
      </c>
      <c r="AN67" s="33">
        <f>IF(B67="","",IF(N67&lt;&gt;"",N67,TargetRetailMargin))</f>
        <v>0</v>
      </c>
      <c r="AO67" s="41">
        <f>IF(B67="","",1-AN67-AI67-AL67)</f>
        <v>0</v>
      </c>
      <c r="AP67" s="20">
        <f>IF(B67="","",IF(AO67&lt;=0,"",(AH67+AM67+AK67)/AO67))</f>
        <v>0</v>
      </c>
      <c r="AQ67" s="20">
        <f>IF(B67="","",IF(AP67="","Check the settings",ROUND(IF(RoundingRule="None",AP67,IF(RoundingRule="Nearest 0.99",MAX(0.99,CEILING(AP67,1)-0.01),IF(RoundingRule="Nearest 0.95",MAX(0.95,CEILING(AP67,1)-0.05),IF(RoundingRule="Nearest 0.50",CEILING(AP67,0.5),IF(RoundingRule="Nearest 1",CEILING(AP67,1),IF(RoundingRule="Nearest 5",CEILING(AP67,5),IF(RoundingRule="Up to whole 1",CEILING(AP67,1),IF(RoundingRule="Up to whole 5",CEILING(AP67,5),ROUND(AP67,2))))))))),2)))</f>
        <v>0</v>
      </c>
      <c r="AR67" s="20">
        <f>IF(B67="","",IF(M67&lt;&gt;"",M67,IF(ISNUMBER(AQ67),AQ67,"")))</f>
        <v>0</v>
      </c>
      <c r="AS67" s="20">
        <f>IF(B67="","",IF(AR67="","",ROUND(AM67+AR67*AL67,2)))</f>
        <v>0</v>
      </c>
      <c r="AT67" s="20">
        <f>IF(B67="","",IF(AR67="","",ROUND(AH67+AS67,2)))</f>
        <v>0</v>
      </c>
      <c r="AU67" s="20">
        <f>IF(B67="","",IF(AR67="","",ROUND(AR67*AI67+AK67,2)))</f>
        <v>0</v>
      </c>
      <c r="AV67" s="20">
        <f>IF(B67="","",IF(AR67="","",ROUND(AR67-AT67-AU67,2)))</f>
        <v>0</v>
      </c>
      <c r="AW67" s="33">
        <f>IF(B67="","",IF(OR(AR67="",AR67=0),"",AV67/AR67))</f>
        <v>0</v>
      </c>
      <c r="AX67" s="33">
        <f>IF(B67="","",IF(OR(AT67="",AT67=0),"",AV67/AT67))</f>
        <v>0</v>
      </c>
      <c r="AY67" s="20">
        <f>IF(B67="","",IF(OR(Y67="",Y67=0,AV67=""),"",ROUND(AV67/Y67,2)))</f>
        <v>0</v>
      </c>
      <c r="AZ67" s="20">
        <f>IF(B67="","",IF(OR(Y67="",Y67=0,AV67=""),"",ROUND((AV67+Z67)/Y67,2)))</f>
        <v>0</v>
      </c>
      <c r="BA67" s="20">
        <f>IF(B67="","",IF(1-AI67-AL67&lt;=0,"",ROUND((AH67+AM67+AK67)/(1-AI67-AL67),2)))</f>
        <v>0</v>
      </c>
      <c r="BB67" s="20">
        <f>IF(B67="","",IF(AT67="","",ROUND(AT67*2,2)))</f>
        <v>0</v>
      </c>
      <c r="BC67" s="20">
        <f>IF(B67="","",IF(AR67="","",ROUND(AR67*(1-WholesaleDiscount),2)))</f>
        <v>0</v>
      </c>
      <c r="BD67" s="20">
        <f>IF(B67="","",IF(BC67="","",ROUND(BC67-AH67-AM67,2)))</f>
        <v>0</v>
      </c>
      <c r="BE67" s="33">
        <f>IF(B67="","",IF(OR(BC67="",BC67=0),"",BD67/BC67))</f>
        <v>0</v>
      </c>
      <c r="BF67" s="20">
        <f>IF(B67="","",IFERROR(ROUND(AVERAGEIFS(Competitors!$F$5:$F$154,Competitors!$A$5:$A$154,A67),2),""))</f>
        <v>0</v>
      </c>
      <c r="BG67" s="33">
        <f>IF(B67="","",IF(OR(BF67="",BF67=0,AR67=""),"",AR67/BF67-1))</f>
        <v>0</v>
      </c>
      <c r="BH67" s="32">
        <f>IF(B67="","",SUMIFS(Sales!$D$5:$D$804,Sales!$C$5:$C$804,A67))</f>
        <v>0</v>
      </c>
      <c r="BI67" s="20">
        <f>IF(B67="","",ROUND(SUMIFS(Sales!$V$5:$V$804,Sales!$C$5:$C$804,A67),2))</f>
        <v>0</v>
      </c>
      <c r="BJ67" s="20">
        <f>IF(B67="","",ROUND(SUMIFS(Sales!$AG$5:$AG$804,Sales!$C$5:$C$804,A67),2))</f>
        <v>0</v>
      </c>
      <c r="BK67" s="33">
        <f>IF(B67="","",IF(OR(BI67="",BI67=0),"",BJ67/BI67))</f>
        <v>0</v>
      </c>
      <c r="BL67" s="17">
        <f>IF(B67="","",IF(SUMPRODUCT(MAX((Sales!$C$5:$C$804=A67)*Sales!$B$5:$B$804))=0,"",SUMPRODUCT(MAX((Sales!$C$5:$C$804=A67)*Sales!$B$5:$B$804))))</f>
        <v>0</v>
      </c>
      <c r="BM67" s="17">
        <f>IF(B67="","",IF(SUMPRODUCT(MAX(('Price History'!$B$5:$B$304=A67)*'Price History'!$A$5:$A$304))=0,IF(P67="","",P67),SUMPRODUCT(MAX(('Price History'!$B$5:$B$304=A67)*'Price History'!$A$5:$A$304))))</f>
        <v>0</v>
      </c>
      <c r="BN67" s="32">
        <f>IF(B67="","",IF(BM67="","",TodayDate-BM67))</f>
        <v>0</v>
      </c>
      <c r="BO67" s="32">
        <f>IF(B67="","",COUNTIFS($AV$5:$AV$304,"&gt;"&amp;AV67)+COUNTIFS($AV$5:AV67,AV67))</f>
        <v>0</v>
      </c>
      <c r="BP67" s="32">
        <f>IF(B67="","",COUNTIFS($AW$5:$AW$304,"&gt;"&amp;AW67)+COUNTIFS($AW$5:AW67,AW67))</f>
        <v>0</v>
      </c>
      <c r="BQ67" s="32">
        <f>IF(B67="","",COUNTIFS($BI$5:$BI$304,"&gt;"&amp;BI67)+COUNTIFS($BI$5:BI67,BI67))</f>
        <v>0</v>
      </c>
      <c r="BR67" s="32">
        <f>IF(B67="","",COUNTIFS($AY$5:$AY$304,"&gt;"&amp;AY67)+COUNTIFS($AY$5:AY67,AY67))</f>
        <v>0</v>
      </c>
      <c r="BS67" s="43">
        <f>IF(B67="","",IF(AH67=0,"Add - no costs entered yet",IF(AR67="","Check - no price yet",IF(AV67&lt;0,"Loss - every sale costs you money",IF(AND(AZ67&lt;&gt;"",AZ67&lt;MinimumWage),"Below - pays under minimum wage",IF(AW67&lt;MarginWarning,"Low margin - re-price it",IF(AND(AF67&lt;&gt;"",K67&lt;&gt;"",K67+AC67&gt;AF67),"Check - too heavy for that postage band",IF(AND(BN67&lt;&gt;"",BN67&gt;PriceReviewDays),"Due - price has not been reviewed",IF(AND(BG67&lt;&gt;"",BG67&gt;0.5),"Check - well above the market","OK")))))))) )</f>
        <v>0</v>
      </c>
    </row>
    <row r="68" spans="1:71">
      <c r="A68" s="38">
        <f>IF(B68="","",ProductPrefix&amp;TEXT(ROW()-4,"0000"))</f>
        <v>0</v>
      </c>
      <c r="S68" s="38">
        <f>IF(B68="","",IF(C68&lt;&gt;"",C68,UPPER(LEFT(IF(D68="","GEN",D68),3))&amp;"-"&amp;TEXT(ROW()-4,"000")))</f>
        <v>0</v>
      </c>
      <c r="T68" s="20">
        <f>IF(B68="","",ROUND(SUMIFS('Material Usage'!$M$5:$M$904,'Material Usage'!$A$5:$A$904,A68)+SUMIFS(Crochet!$AD$5:$AD$84,Crochet!$A$5:$A$84,A68)+SUMIFS(Jewelry!$AF$5:$AF$84,Jewelry!$A$5:$A$84,A68)+SUMIFS(Candles!$AF$5:$AF$84,Candles!$A$5:$A$84,A68)+SUMIFS(Clothing!$AB$5:$AB$84,Clothing!$A$5:$A$84,A68)+SUMIFS(Woodworking!$AC$5:$AC$84,Woodworking!$A$5:$A$84,A68)+SUMIFS(Digital!$X$5:$X$84,Digital!$A$5:$A$84,A68),2))</f>
        <v>0</v>
      </c>
      <c r="U68" s="20">
        <f>IF(B68="","",ROUND(SUMIFS(Labor!$O$5:$O$304,Labor!$A$5:$A$304,A68)+SUMIFS(Crochet!$AG$5:$AG$84,Crochet!$A$5:$A$84,A68)+SUMIFS(Jewelry!$AI$5:$AI$84,Jewelry!$A$5:$A$84,A68)+SUMIFS(Candles!$AI$5:$AI$84,Candles!$A$5:$A$84,A68)+SUMIFS(Clothing!$AE$5:$AE$84,Clothing!$A$5:$A$84,A68)+SUMIFS(Woodworking!$AF$5:$AF$84,Woodworking!$A$5:$A$84,A68)+SUMIFS(Digital!$Z$5:$Z$84,Digital!$A$5:$A$84,A68),2))</f>
        <v>0</v>
      </c>
      <c r="V68" s="36">
        <f>IF(B68="","",ROUND(SUMIFS(Labor!$P$5:$P$304,Labor!$A$5:$A$304,A68)+SUMIFS(Crochet!$AE$5:$AE$84,Crochet!$A$5:$A$84,A68)+SUMIFS(Jewelry!$AG$5:$AG$84,Jewelry!$A$5:$A$84,A68)+SUMIFS(Candles!$AG$5:$AG$84,Candles!$A$5:$A$84,A68)+SUMIFS(Clothing!$AC$5:$AC$84,Clothing!$A$5:$A$84,A68)+SUMIFS(Woodworking!$AD$5:$AD$84,Woodworking!$A$5:$A$84,A68)+SUMIFS(Digital!$Y$5:$Y$84,Digital!$A$5:$A$84,A68),1))</f>
        <v>0</v>
      </c>
      <c r="W68" s="41">
        <f>IF(B68="","",IFERROR(INDEX(DiffTimeFactors,MATCH(G68,DiffNames,0)),1))</f>
        <v>0</v>
      </c>
      <c r="X68" s="36">
        <f>IF(B68="","",ROUND(V68*W68,1))</f>
        <v>0</v>
      </c>
      <c r="Y68" s="41">
        <f>IF(B68="","",ROUND(X68/60,3))</f>
        <v>0</v>
      </c>
      <c r="Z68" s="20">
        <f>IF(B68="","",ROUND(U68*W68,2))</f>
        <v>0</v>
      </c>
      <c r="AA68" s="20">
        <f>IF(B68="","",ROUND(SUMIFS(Labor!$Q$5:$Q$304,Labor!$A$5:$A$304,A68)+SUMIFS(Crochet!$AH$5:$AH$84,Crochet!$A$5:$A$84,A68)+SUMIFS(Jewelry!$AJ$5:$AJ$84,Jewelry!$A$5:$A$84,A68)+SUMIFS(Candles!$AJ$5:$AJ$84,Candles!$A$5:$A$84,A68)+SUMIFS(Clothing!$AF$5:$AF$84,Clothing!$A$5:$A$84,A68)+SUMIFS(Woodworking!$AH$5:$AH$84,Woodworking!$A$5:$A$84,A68)+SUMIFS(Digital!$AA$5:$AA$84,Digital!$A$5:$A$84,A68),2))</f>
        <v>0</v>
      </c>
      <c r="AB68" s="20">
        <f>IF(B68="","",ROUND(IF(I68="Budget",PackBudget,IF(I68="Standard",PackStandard,IF(I68="Gift",PackGift,IF(I68="Premium",PackPremium,DefaultPackaging)))),2))</f>
        <v>0</v>
      </c>
      <c r="AC68" s="36">
        <f>IF(B68="","",IF(I68="Budget",PackWeightBudget,IF(I68="Standard",PackWeightStandard,IF(I68="Gift",PackWeightGift,IF(I68="Premium",PackWeightPremium,0)))))</f>
        <v>0</v>
      </c>
      <c r="AD68" s="20">
        <f>IF(B68="","",IFERROR(INDEX(Shipping!$M$5:$M$64,MATCH(J68,Shipping!$L$5:$L$64,0)),DefaultShipping))</f>
        <v>0</v>
      </c>
      <c r="AE68" s="20">
        <f>IF(B68="","",IFERROR(INDEX(Shipping!$F$5:$F$64,MATCH(J68,Shipping!$L$5:$L$64,0)),0))</f>
        <v>0</v>
      </c>
      <c r="AF68" s="36">
        <f>IF(B68="","",IFERROR(INDEX(Shipping!$C$5:$C$64,MATCH(J68,Shipping!$L$5:$L$64,0)),""))</f>
        <v>0</v>
      </c>
      <c r="AG68" s="20">
        <f>IF(B68="","",ROUND(MAX(0,AD68-AE68),2))</f>
        <v>0</v>
      </c>
      <c r="AH68" s="20">
        <f>IF(B68="","",ROUND(T68+Z68+AA68+AB68+AG68,2))</f>
        <v>0</v>
      </c>
      <c r="AI68" s="33">
        <f>IF(B68="","",IFERROR(INDEX(Channels!$S$5:$S$18,MATCH(IF(H68="",DefaultChannel,H68),Channels!$A$5:$A$18,0)),0))</f>
        <v>0</v>
      </c>
      <c r="AJ68" s="42">
        <f>IF(B68="","",IFERROR(INDEX(Channels!$O$5:$O$18,MATCH(IF(H68="",DefaultChannel,H68),Channels!$A$5:$A$18,0)),"No"))</f>
        <v>0</v>
      </c>
      <c r="AK68" s="20">
        <f>IF(B68="","",ROUND(IFERROR(INDEX(Channels!$T$5:$T$18,MATCH(IF(H68="",DefaultChannel,H68),Channels!$A$5:$A$18,0)),0)+IF(AJ68="Yes",AE68*AI68,0),4))</f>
        <v>0</v>
      </c>
      <c r="AL68" s="33">
        <f>IF(B68="","",IF(OverheadMethod="Share of revenue",IF(RevenueTargetMonth&lt;=0,0,OverheadMonthly/RevenueTargetMonth),0))</f>
        <v>0</v>
      </c>
      <c r="AM68" s="20">
        <f>IF(B68="","",IF(OverheadMethod="Per hour worked",ROUND(OverheadPerHour*Y68,2),IF(OR(OverheadMethod="Per unit made",OverheadMethod="Per order"),OverheadPerUnit,0)))</f>
        <v>0</v>
      </c>
      <c r="AN68" s="33">
        <f>IF(B68="","",IF(N68&lt;&gt;"",N68,TargetRetailMargin))</f>
        <v>0</v>
      </c>
      <c r="AO68" s="41">
        <f>IF(B68="","",1-AN68-AI68-AL68)</f>
        <v>0</v>
      </c>
      <c r="AP68" s="20">
        <f>IF(B68="","",IF(AO68&lt;=0,"",(AH68+AM68+AK68)/AO68))</f>
        <v>0</v>
      </c>
      <c r="AQ68" s="20">
        <f>IF(B68="","",IF(AP68="","Check the settings",ROUND(IF(RoundingRule="None",AP68,IF(RoundingRule="Nearest 0.99",MAX(0.99,CEILING(AP68,1)-0.01),IF(RoundingRule="Nearest 0.95",MAX(0.95,CEILING(AP68,1)-0.05),IF(RoundingRule="Nearest 0.50",CEILING(AP68,0.5),IF(RoundingRule="Nearest 1",CEILING(AP68,1),IF(RoundingRule="Nearest 5",CEILING(AP68,5),IF(RoundingRule="Up to whole 1",CEILING(AP68,1),IF(RoundingRule="Up to whole 5",CEILING(AP68,5),ROUND(AP68,2))))))))),2)))</f>
        <v>0</v>
      </c>
      <c r="AR68" s="20">
        <f>IF(B68="","",IF(M68&lt;&gt;"",M68,IF(ISNUMBER(AQ68),AQ68,"")))</f>
        <v>0</v>
      </c>
      <c r="AS68" s="20">
        <f>IF(B68="","",IF(AR68="","",ROUND(AM68+AR68*AL68,2)))</f>
        <v>0</v>
      </c>
      <c r="AT68" s="20">
        <f>IF(B68="","",IF(AR68="","",ROUND(AH68+AS68,2)))</f>
        <v>0</v>
      </c>
      <c r="AU68" s="20">
        <f>IF(B68="","",IF(AR68="","",ROUND(AR68*AI68+AK68,2)))</f>
        <v>0</v>
      </c>
      <c r="AV68" s="20">
        <f>IF(B68="","",IF(AR68="","",ROUND(AR68-AT68-AU68,2)))</f>
        <v>0</v>
      </c>
      <c r="AW68" s="33">
        <f>IF(B68="","",IF(OR(AR68="",AR68=0),"",AV68/AR68))</f>
        <v>0</v>
      </c>
      <c r="AX68" s="33">
        <f>IF(B68="","",IF(OR(AT68="",AT68=0),"",AV68/AT68))</f>
        <v>0</v>
      </c>
      <c r="AY68" s="20">
        <f>IF(B68="","",IF(OR(Y68="",Y68=0,AV68=""),"",ROUND(AV68/Y68,2)))</f>
        <v>0</v>
      </c>
      <c r="AZ68" s="20">
        <f>IF(B68="","",IF(OR(Y68="",Y68=0,AV68=""),"",ROUND((AV68+Z68)/Y68,2)))</f>
        <v>0</v>
      </c>
      <c r="BA68" s="20">
        <f>IF(B68="","",IF(1-AI68-AL68&lt;=0,"",ROUND((AH68+AM68+AK68)/(1-AI68-AL68),2)))</f>
        <v>0</v>
      </c>
      <c r="BB68" s="20">
        <f>IF(B68="","",IF(AT68="","",ROUND(AT68*2,2)))</f>
        <v>0</v>
      </c>
      <c r="BC68" s="20">
        <f>IF(B68="","",IF(AR68="","",ROUND(AR68*(1-WholesaleDiscount),2)))</f>
        <v>0</v>
      </c>
      <c r="BD68" s="20">
        <f>IF(B68="","",IF(BC68="","",ROUND(BC68-AH68-AM68,2)))</f>
        <v>0</v>
      </c>
      <c r="BE68" s="33">
        <f>IF(B68="","",IF(OR(BC68="",BC68=0),"",BD68/BC68))</f>
        <v>0</v>
      </c>
      <c r="BF68" s="20">
        <f>IF(B68="","",IFERROR(ROUND(AVERAGEIFS(Competitors!$F$5:$F$154,Competitors!$A$5:$A$154,A68),2),""))</f>
        <v>0</v>
      </c>
      <c r="BG68" s="33">
        <f>IF(B68="","",IF(OR(BF68="",BF68=0,AR68=""),"",AR68/BF68-1))</f>
        <v>0</v>
      </c>
      <c r="BH68" s="32">
        <f>IF(B68="","",SUMIFS(Sales!$D$5:$D$804,Sales!$C$5:$C$804,A68))</f>
        <v>0</v>
      </c>
      <c r="BI68" s="20">
        <f>IF(B68="","",ROUND(SUMIFS(Sales!$V$5:$V$804,Sales!$C$5:$C$804,A68),2))</f>
        <v>0</v>
      </c>
      <c r="BJ68" s="20">
        <f>IF(B68="","",ROUND(SUMIFS(Sales!$AG$5:$AG$804,Sales!$C$5:$C$804,A68),2))</f>
        <v>0</v>
      </c>
      <c r="BK68" s="33">
        <f>IF(B68="","",IF(OR(BI68="",BI68=0),"",BJ68/BI68))</f>
        <v>0</v>
      </c>
      <c r="BL68" s="17">
        <f>IF(B68="","",IF(SUMPRODUCT(MAX((Sales!$C$5:$C$804=A68)*Sales!$B$5:$B$804))=0,"",SUMPRODUCT(MAX((Sales!$C$5:$C$804=A68)*Sales!$B$5:$B$804))))</f>
        <v>0</v>
      </c>
      <c r="BM68" s="17">
        <f>IF(B68="","",IF(SUMPRODUCT(MAX(('Price History'!$B$5:$B$304=A68)*'Price History'!$A$5:$A$304))=0,IF(P68="","",P68),SUMPRODUCT(MAX(('Price History'!$B$5:$B$304=A68)*'Price History'!$A$5:$A$304))))</f>
        <v>0</v>
      </c>
      <c r="BN68" s="32">
        <f>IF(B68="","",IF(BM68="","",TodayDate-BM68))</f>
        <v>0</v>
      </c>
      <c r="BO68" s="32">
        <f>IF(B68="","",COUNTIFS($AV$5:$AV$304,"&gt;"&amp;AV68)+COUNTIFS($AV$5:AV68,AV68))</f>
        <v>0</v>
      </c>
      <c r="BP68" s="32">
        <f>IF(B68="","",COUNTIFS($AW$5:$AW$304,"&gt;"&amp;AW68)+COUNTIFS($AW$5:AW68,AW68))</f>
        <v>0</v>
      </c>
      <c r="BQ68" s="32">
        <f>IF(B68="","",COUNTIFS($BI$5:$BI$304,"&gt;"&amp;BI68)+COUNTIFS($BI$5:BI68,BI68))</f>
        <v>0</v>
      </c>
      <c r="BR68" s="32">
        <f>IF(B68="","",COUNTIFS($AY$5:$AY$304,"&gt;"&amp;AY68)+COUNTIFS($AY$5:AY68,AY68))</f>
        <v>0</v>
      </c>
      <c r="BS68" s="43">
        <f>IF(B68="","",IF(AH68=0,"Add - no costs entered yet",IF(AR68="","Check - no price yet",IF(AV68&lt;0,"Loss - every sale costs you money",IF(AND(AZ68&lt;&gt;"",AZ68&lt;MinimumWage),"Below - pays under minimum wage",IF(AW68&lt;MarginWarning,"Low margin - re-price it",IF(AND(AF68&lt;&gt;"",K68&lt;&gt;"",K68+AC68&gt;AF68),"Check - too heavy for that postage band",IF(AND(BN68&lt;&gt;"",BN68&gt;PriceReviewDays),"Due - price has not been reviewed",IF(AND(BG68&lt;&gt;"",BG68&gt;0.5),"Check - well above the market","OK")))))))) )</f>
        <v>0</v>
      </c>
    </row>
    <row r="69" spans="1:71">
      <c r="A69" s="38">
        <f>IF(B69="","",ProductPrefix&amp;TEXT(ROW()-4,"0000"))</f>
        <v>0</v>
      </c>
      <c r="S69" s="38">
        <f>IF(B69="","",IF(C69&lt;&gt;"",C69,UPPER(LEFT(IF(D69="","GEN",D69),3))&amp;"-"&amp;TEXT(ROW()-4,"000")))</f>
        <v>0</v>
      </c>
      <c r="T69" s="20">
        <f>IF(B69="","",ROUND(SUMIFS('Material Usage'!$M$5:$M$904,'Material Usage'!$A$5:$A$904,A69)+SUMIFS(Crochet!$AD$5:$AD$84,Crochet!$A$5:$A$84,A69)+SUMIFS(Jewelry!$AF$5:$AF$84,Jewelry!$A$5:$A$84,A69)+SUMIFS(Candles!$AF$5:$AF$84,Candles!$A$5:$A$84,A69)+SUMIFS(Clothing!$AB$5:$AB$84,Clothing!$A$5:$A$84,A69)+SUMIFS(Woodworking!$AC$5:$AC$84,Woodworking!$A$5:$A$84,A69)+SUMIFS(Digital!$X$5:$X$84,Digital!$A$5:$A$84,A69),2))</f>
        <v>0</v>
      </c>
      <c r="U69" s="20">
        <f>IF(B69="","",ROUND(SUMIFS(Labor!$O$5:$O$304,Labor!$A$5:$A$304,A69)+SUMIFS(Crochet!$AG$5:$AG$84,Crochet!$A$5:$A$84,A69)+SUMIFS(Jewelry!$AI$5:$AI$84,Jewelry!$A$5:$A$84,A69)+SUMIFS(Candles!$AI$5:$AI$84,Candles!$A$5:$A$84,A69)+SUMIFS(Clothing!$AE$5:$AE$84,Clothing!$A$5:$A$84,A69)+SUMIFS(Woodworking!$AF$5:$AF$84,Woodworking!$A$5:$A$84,A69)+SUMIFS(Digital!$Z$5:$Z$84,Digital!$A$5:$A$84,A69),2))</f>
        <v>0</v>
      </c>
      <c r="V69" s="36">
        <f>IF(B69="","",ROUND(SUMIFS(Labor!$P$5:$P$304,Labor!$A$5:$A$304,A69)+SUMIFS(Crochet!$AE$5:$AE$84,Crochet!$A$5:$A$84,A69)+SUMIFS(Jewelry!$AG$5:$AG$84,Jewelry!$A$5:$A$84,A69)+SUMIFS(Candles!$AG$5:$AG$84,Candles!$A$5:$A$84,A69)+SUMIFS(Clothing!$AC$5:$AC$84,Clothing!$A$5:$A$84,A69)+SUMIFS(Woodworking!$AD$5:$AD$84,Woodworking!$A$5:$A$84,A69)+SUMIFS(Digital!$Y$5:$Y$84,Digital!$A$5:$A$84,A69),1))</f>
        <v>0</v>
      </c>
      <c r="W69" s="41">
        <f>IF(B69="","",IFERROR(INDEX(DiffTimeFactors,MATCH(G69,DiffNames,0)),1))</f>
        <v>0</v>
      </c>
      <c r="X69" s="36">
        <f>IF(B69="","",ROUND(V69*W69,1))</f>
        <v>0</v>
      </c>
      <c r="Y69" s="41">
        <f>IF(B69="","",ROUND(X69/60,3))</f>
        <v>0</v>
      </c>
      <c r="Z69" s="20">
        <f>IF(B69="","",ROUND(U69*W69,2))</f>
        <v>0</v>
      </c>
      <c r="AA69" s="20">
        <f>IF(B69="","",ROUND(SUMIFS(Labor!$Q$5:$Q$304,Labor!$A$5:$A$304,A69)+SUMIFS(Crochet!$AH$5:$AH$84,Crochet!$A$5:$A$84,A69)+SUMIFS(Jewelry!$AJ$5:$AJ$84,Jewelry!$A$5:$A$84,A69)+SUMIFS(Candles!$AJ$5:$AJ$84,Candles!$A$5:$A$84,A69)+SUMIFS(Clothing!$AF$5:$AF$84,Clothing!$A$5:$A$84,A69)+SUMIFS(Woodworking!$AH$5:$AH$84,Woodworking!$A$5:$A$84,A69)+SUMIFS(Digital!$AA$5:$AA$84,Digital!$A$5:$A$84,A69),2))</f>
        <v>0</v>
      </c>
      <c r="AB69" s="20">
        <f>IF(B69="","",ROUND(IF(I69="Budget",PackBudget,IF(I69="Standard",PackStandard,IF(I69="Gift",PackGift,IF(I69="Premium",PackPremium,DefaultPackaging)))),2))</f>
        <v>0</v>
      </c>
      <c r="AC69" s="36">
        <f>IF(B69="","",IF(I69="Budget",PackWeightBudget,IF(I69="Standard",PackWeightStandard,IF(I69="Gift",PackWeightGift,IF(I69="Premium",PackWeightPremium,0)))))</f>
        <v>0</v>
      </c>
      <c r="AD69" s="20">
        <f>IF(B69="","",IFERROR(INDEX(Shipping!$M$5:$M$64,MATCH(J69,Shipping!$L$5:$L$64,0)),DefaultShipping))</f>
        <v>0</v>
      </c>
      <c r="AE69" s="20">
        <f>IF(B69="","",IFERROR(INDEX(Shipping!$F$5:$F$64,MATCH(J69,Shipping!$L$5:$L$64,0)),0))</f>
        <v>0</v>
      </c>
      <c r="AF69" s="36">
        <f>IF(B69="","",IFERROR(INDEX(Shipping!$C$5:$C$64,MATCH(J69,Shipping!$L$5:$L$64,0)),""))</f>
        <v>0</v>
      </c>
      <c r="AG69" s="20">
        <f>IF(B69="","",ROUND(MAX(0,AD69-AE69),2))</f>
        <v>0</v>
      </c>
      <c r="AH69" s="20">
        <f>IF(B69="","",ROUND(T69+Z69+AA69+AB69+AG69,2))</f>
        <v>0</v>
      </c>
      <c r="AI69" s="33">
        <f>IF(B69="","",IFERROR(INDEX(Channels!$S$5:$S$18,MATCH(IF(H69="",DefaultChannel,H69),Channels!$A$5:$A$18,0)),0))</f>
        <v>0</v>
      </c>
      <c r="AJ69" s="42">
        <f>IF(B69="","",IFERROR(INDEX(Channels!$O$5:$O$18,MATCH(IF(H69="",DefaultChannel,H69),Channels!$A$5:$A$18,0)),"No"))</f>
        <v>0</v>
      </c>
      <c r="AK69" s="20">
        <f>IF(B69="","",ROUND(IFERROR(INDEX(Channels!$T$5:$T$18,MATCH(IF(H69="",DefaultChannel,H69),Channels!$A$5:$A$18,0)),0)+IF(AJ69="Yes",AE69*AI69,0),4))</f>
        <v>0</v>
      </c>
      <c r="AL69" s="33">
        <f>IF(B69="","",IF(OverheadMethod="Share of revenue",IF(RevenueTargetMonth&lt;=0,0,OverheadMonthly/RevenueTargetMonth),0))</f>
        <v>0</v>
      </c>
      <c r="AM69" s="20">
        <f>IF(B69="","",IF(OverheadMethod="Per hour worked",ROUND(OverheadPerHour*Y69,2),IF(OR(OverheadMethod="Per unit made",OverheadMethod="Per order"),OverheadPerUnit,0)))</f>
        <v>0</v>
      </c>
      <c r="AN69" s="33">
        <f>IF(B69="","",IF(N69&lt;&gt;"",N69,TargetRetailMargin))</f>
        <v>0</v>
      </c>
      <c r="AO69" s="41">
        <f>IF(B69="","",1-AN69-AI69-AL69)</f>
        <v>0</v>
      </c>
      <c r="AP69" s="20">
        <f>IF(B69="","",IF(AO69&lt;=0,"",(AH69+AM69+AK69)/AO69))</f>
        <v>0</v>
      </c>
      <c r="AQ69" s="20">
        <f>IF(B69="","",IF(AP69="","Check the settings",ROUND(IF(RoundingRule="None",AP69,IF(RoundingRule="Nearest 0.99",MAX(0.99,CEILING(AP69,1)-0.01),IF(RoundingRule="Nearest 0.95",MAX(0.95,CEILING(AP69,1)-0.05),IF(RoundingRule="Nearest 0.50",CEILING(AP69,0.5),IF(RoundingRule="Nearest 1",CEILING(AP69,1),IF(RoundingRule="Nearest 5",CEILING(AP69,5),IF(RoundingRule="Up to whole 1",CEILING(AP69,1),IF(RoundingRule="Up to whole 5",CEILING(AP69,5),ROUND(AP69,2))))))))),2)))</f>
        <v>0</v>
      </c>
      <c r="AR69" s="20">
        <f>IF(B69="","",IF(M69&lt;&gt;"",M69,IF(ISNUMBER(AQ69),AQ69,"")))</f>
        <v>0</v>
      </c>
      <c r="AS69" s="20">
        <f>IF(B69="","",IF(AR69="","",ROUND(AM69+AR69*AL69,2)))</f>
        <v>0</v>
      </c>
      <c r="AT69" s="20">
        <f>IF(B69="","",IF(AR69="","",ROUND(AH69+AS69,2)))</f>
        <v>0</v>
      </c>
      <c r="AU69" s="20">
        <f>IF(B69="","",IF(AR69="","",ROUND(AR69*AI69+AK69,2)))</f>
        <v>0</v>
      </c>
      <c r="AV69" s="20">
        <f>IF(B69="","",IF(AR69="","",ROUND(AR69-AT69-AU69,2)))</f>
        <v>0</v>
      </c>
      <c r="AW69" s="33">
        <f>IF(B69="","",IF(OR(AR69="",AR69=0),"",AV69/AR69))</f>
        <v>0</v>
      </c>
      <c r="AX69" s="33">
        <f>IF(B69="","",IF(OR(AT69="",AT69=0),"",AV69/AT69))</f>
        <v>0</v>
      </c>
      <c r="AY69" s="20">
        <f>IF(B69="","",IF(OR(Y69="",Y69=0,AV69=""),"",ROUND(AV69/Y69,2)))</f>
        <v>0</v>
      </c>
      <c r="AZ69" s="20">
        <f>IF(B69="","",IF(OR(Y69="",Y69=0,AV69=""),"",ROUND((AV69+Z69)/Y69,2)))</f>
        <v>0</v>
      </c>
      <c r="BA69" s="20">
        <f>IF(B69="","",IF(1-AI69-AL69&lt;=0,"",ROUND((AH69+AM69+AK69)/(1-AI69-AL69),2)))</f>
        <v>0</v>
      </c>
      <c r="BB69" s="20">
        <f>IF(B69="","",IF(AT69="","",ROUND(AT69*2,2)))</f>
        <v>0</v>
      </c>
      <c r="BC69" s="20">
        <f>IF(B69="","",IF(AR69="","",ROUND(AR69*(1-WholesaleDiscount),2)))</f>
        <v>0</v>
      </c>
      <c r="BD69" s="20">
        <f>IF(B69="","",IF(BC69="","",ROUND(BC69-AH69-AM69,2)))</f>
        <v>0</v>
      </c>
      <c r="BE69" s="33">
        <f>IF(B69="","",IF(OR(BC69="",BC69=0),"",BD69/BC69))</f>
        <v>0</v>
      </c>
      <c r="BF69" s="20">
        <f>IF(B69="","",IFERROR(ROUND(AVERAGEIFS(Competitors!$F$5:$F$154,Competitors!$A$5:$A$154,A69),2),""))</f>
        <v>0</v>
      </c>
      <c r="BG69" s="33">
        <f>IF(B69="","",IF(OR(BF69="",BF69=0,AR69=""),"",AR69/BF69-1))</f>
        <v>0</v>
      </c>
      <c r="BH69" s="32">
        <f>IF(B69="","",SUMIFS(Sales!$D$5:$D$804,Sales!$C$5:$C$804,A69))</f>
        <v>0</v>
      </c>
      <c r="BI69" s="20">
        <f>IF(B69="","",ROUND(SUMIFS(Sales!$V$5:$V$804,Sales!$C$5:$C$804,A69),2))</f>
        <v>0</v>
      </c>
      <c r="BJ69" s="20">
        <f>IF(B69="","",ROUND(SUMIFS(Sales!$AG$5:$AG$804,Sales!$C$5:$C$804,A69),2))</f>
        <v>0</v>
      </c>
      <c r="BK69" s="33">
        <f>IF(B69="","",IF(OR(BI69="",BI69=0),"",BJ69/BI69))</f>
        <v>0</v>
      </c>
      <c r="BL69" s="17">
        <f>IF(B69="","",IF(SUMPRODUCT(MAX((Sales!$C$5:$C$804=A69)*Sales!$B$5:$B$804))=0,"",SUMPRODUCT(MAX((Sales!$C$5:$C$804=A69)*Sales!$B$5:$B$804))))</f>
        <v>0</v>
      </c>
      <c r="BM69" s="17">
        <f>IF(B69="","",IF(SUMPRODUCT(MAX(('Price History'!$B$5:$B$304=A69)*'Price History'!$A$5:$A$304))=0,IF(P69="","",P69),SUMPRODUCT(MAX(('Price History'!$B$5:$B$304=A69)*'Price History'!$A$5:$A$304))))</f>
        <v>0</v>
      </c>
      <c r="BN69" s="32">
        <f>IF(B69="","",IF(BM69="","",TodayDate-BM69))</f>
        <v>0</v>
      </c>
      <c r="BO69" s="32">
        <f>IF(B69="","",COUNTIFS($AV$5:$AV$304,"&gt;"&amp;AV69)+COUNTIFS($AV$5:AV69,AV69))</f>
        <v>0</v>
      </c>
      <c r="BP69" s="32">
        <f>IF(B69="","",COUNTIFS($AW$5:$AW$304,"&gt;"&amp;AW69)+COUNTIFS($AW$5:AW69,AW69))</f>
        <v>0</v>
      </c>
      <c r="BQ69" s="32">
        <f>IF(B69="","",COUNTIFS($BI$5:$BI$304,"&gt;"&amp;BI69)+COUNTIFS($BI$5:BI69,BI69))</f>
        <v>0</v>
      </c>
      <c r="BR69" s="32">
        <f>IF(B69="","",COUNTIFS($AY$5:$AY$304,"&gt;"&amp;AY69)+COUNTIFS($AY$5:AY69,AY69))</f>
        <v>0</v>
      </c>
      <c r="BS69" s="43">
        <f>IF(B69="","",IF(AH69=0,"Add - no costs entered yet",IF(AR69="","Check - no price yet",IF(AV69&lt;0,"Loss - every sale costs you money",IF(AND(AZ69&lt;&gt;"",AZ69&lt;MinimumWage),"Below - pays under minimum wage",IF(AW69&lt;MarginWarning,"Low margin - re-price it",IF(AND(AF69&lt;&gt;"",K69&lt;&gt;"",K69+AC69&gt;AF69),"Check - too heavy for that postage band",IF(AND(BN69&lt;&gt;"",BN69&gt;PriceReviewDays),"Due - price has not been reviewed",IF(AND(BG69&lt;&gt;"",BG69&gt;0.5),"Check - well above the market","OK")))))))) )</f>
        <v>0</v>
      </c>
    </row>
    <row r="70" spans="1:71">
      <c r="A70" s="38">
        <f>IF(B70="","",ProductPrefix&amp;TEXT(ROW()-4,"0000"))</f>
        <v>0</v>
      </c>
      <c r="S70" s="38">
        <f>IF(B70="","",IF(C70&lt;&gt;"",C70,UPPER(LEFT(IF(D70="","GEN",D70),3))&amp;"-"&amp;TEXT(ROW()-4,"000")))</f>
        <v>0</v>
      </c>
      <c r="T70" s="20">
        <f>IF(B70="","",ROUND(SUMIFS('Material Usage'!$M$5:$M$904,'Material Usage'!$A$5:$A$904,A70)+SUMIFS(Crochet!$AD$5:$AD$84,Crochet!$A$5:$A$84,A70)+SUMIFS(Jewelry!$AF$5:$AF$84,Jewelry!$A$5:$A$84,A70)+SUMIFS(Candles!$AF$5:$AF$84,Candles!$A$5:$A$84,A70)+SUMIFS(Clothing!$AB$5:$AB$84,Clothing!$A$5:$A$84,A70)+SUMIFS(Woodworking!$AC$5:$AC$84,Woodworking!$A$5:$A$84,A70)+SUMIFS(Digital!$X$5:$X$84,Digital!$A$5:$A$84,A70),2))</f>
        <v>0</v>
      </c>
      <c r="U70" s="20">
        <f>IF(B70="","",ROUND(SUMIFS(Labor!$O$5:$O$304,Labor!$A$5:$A$304,A70)+SUMIFS(Crochet!$AG$5:$AG$84,Crochet!$A$5:$A$84,A70)+SUMIFS(Jewelry!$AI$5:$AI$84,Jewelry!$A$5:$A$84,A70)+SUMIFS(Candles!$AI$5:$AI$84,Candles!$A$5:$A$84,A70)+SUMIFS(Clothing!$AE$5:$AE$84,Clothing!$A$5:$A$84,A70)+SUMIFS(Woodworking!$AF$5:$AF$84,Woodworking!$A$5:$A$84,A70)+SUMIFS(Digital!$Z$5:$Z$84,Digital!$A$5:$A$84,A70),2))</f>
        <v>0</v>
      </c>
      <c r="V70" s="36">
        <f>IF(B70="","",ROUND(SUMIFS(Labor!$P$5:$P$304,Labor!$A$5:$A$304,A70)+SUMIFS(Crochet!$AE$5:$AE$84,Crochet!$A$5:$A$84,A70)+SUMIFS(Jewelry!$AG$5:$AG$84,Jewelry!$A$5:$A$84,A70)+SUMIFS(Candles!$AG$5:$AG$84,Candles!$A$5:$A$84,A70)+SUMIFS(Clothing!$AC$5:$AC$84,Clothing!$A$5:$A$84,A70)+SUMIFS(Woodworking!$AD$5:$AD$84,Woodworking!$A$5:$A$84,A70)+SUMIFS(Digital!$Y$5:$Y$84,Digital!$A$5:$A$84,A70),1))</f>
        <v>0</v>
      </c>
      <c r="W70" s="41">
        <f>IF(B70="","",IFERROR(INDEX(DiffTimeFactors,MATCH(G70,DiffNames,0)),1))</f>
        <v>0</v>
      </c>
      <c r="X70" s="36">
        <f>IF(B70="","",ROUND(V70*W70,1))</f>
        <v>0</v>
      </c>
      <c r="Y70" s="41">
        <f>IF(B70="","",ROUND(X70/60,3))</f>
        <v>0</v>
      </c>
      <c r="Z70" s="20">
        <f>IF(B70="","",ROUND(U70*W70,2))</f>
        <v>0</v>
      </c>
      <c r="AA70" s="20">
        <f>IF(B70="","",ROUND(SUMIFS(Labor!$Q$5:$Q$304,Labor!$A$5:$A$304,A70)+SUMIFS(Crochet!$AH$5:$AH$84,Crochet!$A$5:$A$84,A70)+SUMIFS(Jewelry!$AJ$5:$AJ$84,Jewelry!$A$5:$A$84,A70)+SUMIFS(Candles!$AJ$5:$AJ$84,Candles!$A$5:$A$84,A70)+SUMIFS(Clothing!$AF$5:$AF$84,Clothing!$A$5:$A$84,A70)+SUMIFS(Woodworking!$AH$5:$AH$84,Woodworking!$A$5:$A$84,A70)+SUMIFS(Digital!$AA$5:$AA$84,Digital!$A$5:$A$84,A70),2))</f>
        <v>0</v>
      </c>
      <c r="AB70" s="20">
        <f>IF(B70="","",ROUND(IF(I70="Budget",PackBudget,IF(I70="Standard",PackStandard,IF(I70="Gift",PackGift,IF(I70="Premium",PackPremium,DefaultPackaging)))),2))</f>
        <v>0</v>
      </c>
      <c r="AC70" s="36">
        <f>IF(B70="","",IF(I70="Budget",PackWeightBudget,IF(I70="Standard",PackWeightStandard,IF(I70="Gift",PackWeightGift,IF(I70="Premium",PackWeightPremium,0)))))</f>
        <v>0</v>
      </c>
      <c r="AD70" s="20">
        <f>IF(B70="","",IFERROR(INDEX(Shipping!$M$5:$M$64,MATCH(J70,Shipping!$L$5:$L$64,0)),DefaultShipping))</f>
        <v>0</v>
      </c>
      <c r="AE70" s="20">
        <f>IF(B70="","",IFERROR(INDEX(Shipping!$F$5:$F$64,MATCH(J70,Shipping!$L$5:$L$64,0)),0))</f>
        <v>0</v>
      </c>
      <c r="AF70" s="36">
        <f>IF(B70="","",IFERROR(INDEX(Shipping!$C$5:$C$64,MATCH(J70,Shipping!$L$5:$L$64,0)),""))</f>
        <v>0</v>
      </c>
      <c r="AG70" s="20">
        <f>IF(B70="","",ROUND(MAX(0,AD70-AE70),2))</f>
        <v>0</v>
      </c>
      <c r="AH70" s="20">
        <f>IF(B70="","",ROUND(T70+Z70+AA70+AB70+AG70,2))</f>
        <v>0</v>
      </c>
      <c r="AI70" s="33">
        <f>IF(B70="","",IFERROR(INDEX(Channels!$S$5:$S$18,MATCH(IF(H70="",DefaultChannel,H70),Channels!$A$5:$A$18,0)),0))</f>
        <v>0</v>
      </c>
      <c r="AJ70" s="42">
        <f>IF(B70="","",IFERROR(INDEX(Channels!$O$5:$O$18,MATCH(IF(H70="",DefaultChannel,H70),Channels!$A$5:$A$18,0)),"No"))</f>
        <v>0</v>
      </c>
      <c r="AK70" s="20">
        <f>IF(B70="","",ROUND(IFERROR(INDEX(Channels!$T$5:$T$18,MATCH(IF(H70="",DefaultChannel,H70),Channels!$A$5:$A$18,0)),0)+IF(AJ70="Yes",AE70*AI70,0),4))</f>
        <v>0</v>
      </c>
      <c r="AL70" s="33">
        <f>IF(B70="","",IF(OverheadMethod="Share of revenue",IF(RevenueTargetMonth&lt;=0,0,OverheadMonthly/RevenueTargetMonth),0))</f>
        <v>0</v>
      </c>
      <c r="AM70" s="20">
        <f>IF(B70="","",IF(OverheadMethod="Per hour worked",ROUND(OverheadPerHour*Y70,2),IF(OR(OverheadMethod="Per unit made",OverheadMethod="Per order"),OverheadPerUnit,0)))</f>
        <v>0</v>
      </c>
      <c r="AN70" s="33">
        <f>IF(B70="","",IF(N70&lt;&gt;"",N70,TargetRetailMargin))</f>
        <v>0</v>
      </c>
      <c r="AO70" s="41">
        <f>IF(B70="","",1-AN70-AI70-AL70)</f>
        <v>0</v>
      </c>
      <c r="AP70" s="20">
        <f>IF(B70="","",IF(AO70&lt;=0,"",(AH70+AM70+AK70)/AO70))</f>
        <v>0</v>
      </c>
      <c r="AQ70" s="20">
        <f>IF(B70="","",IF(AP70="","Check the settings",ROUND(IF(RoundingRule="None",AP70,IF(RoundingRule="Nearest 0.99",MAX(0.99,CEILING(AP70,1)-0.01),IF(RoundingRule="Nearest 0.95",MAX(0.95,CEILING(AP70,1)-0.05),IF(RoundingRule="Nearest 0.50",CEILING(AP70,0.5),IF(RoundingRule="Nearest 1",CEILING(AP70,1),IF(RoundingRule="Nearest 5",CEILING(AP70,5),IF(RoundingRule="Up to whole 1",CEILING(AP70,1),IF(RoundingRule="Up to whole 5",CEILING(AP70,5),ROUND(AP70,2))))))))),2)))</f>
        <v>0</v>
      </c>
      <c r="AR70" s="20">
        <f>IF(B70="","",IF(M70&lt;&gt;"",M70,IF(ISNUMBER(AQ70),AQ70,"")))</f>
        <v>0</v>
      </c>
      <c r="AS70" s="20">
        <f>IF(B70="","",IF(AR70="","",ROUND(AM70+AR70*AL70,2)))</f>
        <v>0</v>
      </c>
      <c r="AT70" s="20">
        <f>IF(B70="","",IF(AR70="","",ROUND(AH70+AS70,2)))</f>
        <v>0</v>
      </c>
      <c r="AU70" s="20">
        <f>IF(B70="","",IF(AR70="","",ROUND(AR70*AI70+AK70,2)))</f>
        <v>0</v>
      </c>
      <c r="AV70" s="20">
        <f>IF(B70="","",IF(AR70="","",ROUND(AR70-AT70-AU70,2)))</f>
        <v>0</v>
      </c>
      <c r="AW70" s="33">
        <f>IF(B70="","",IF(OR(AR70="",AR70=0),"",AV70/AR70))</f>
        <v>0</v>
      </c>
      <c r="AX70" s="33">
        <f>IF(B70="","",IF(OR(AT70="",AT70=0),"",AV70/AT70))</f>
        <v>0</v>
      </c>
      <c r="AY70" s="20">
        <f>IF(B70="","",IF(OR(Y70="",Y70=0,AV70=""),"",ROUND(AV70/Y70,2)))</f>
        <v>0</v>
      </c>
      <c r="AZ70" s="20">
        <f>IF(B70="","",IF(OR(Y70="",Y70=0,AV70=""),"",ROUND((AV70+Z70)/Y70,2)))</f>
        <v>0</v>
      </c>
      <c r="BA70" s="20">
        <f>IF(B70="","",IF(1-AI70-AL70&lt;=0,"",ROUND((AH70+AM70+AK70)/(1-AI70-AL70),2)))</f>
        <v>0</v>
      </c>
      <c r="BB70" s="20">
        <f>IF(B70="","",IF(AT70="","",ROUND(AT70*2,2)))</f>
        <v>0</v>
      </c>
      <c r="BC70" s="20">
        <f>IF(B70="","",IF(AR70="","",ROUND(AR70*(1-WholesaleDiscount),2)))</f>
        <v>0</v>
      </c>
      <c r="BD70" s="20">
        <f>IF(B70="","",IF(BC70="","",ROUND(BC70-AH70-AM70,2)))</f>
        <v>0</v>
      </c>
      <c r="BE70" s="33">
        <f>IF(B70="","",IF(OR(BC70="",BC70=0),"",BD70/BC70))</f>
        <v>0</v>
      </c>
      <c r="BF70" s="20">
        <f>IF(B70="","",IFERROR(ROUND(AVERAGEIFS(Competitors!$F$5:$F$154,Competitors!$A$5:$A$154,A70),2),""))</f>
        <v>0</v>
      </c>
      <c r="BG70" s="33">
        <f>IF(B70="","",IF(OR(BF70="",BF70=0,AR70=""),"",AR70/BF70-1))</f>
        <v>0</v>
      </c>
      <c r="BH70" s="32">
        <f>IF(B70="","",SUMIFS(Sales!$D$5:$D$804,Sales!$C$5:$C$804,A70))</f>
        <v>0</v>
      </c>
      <c r="BI70" s="20">
        <f>IF(B70="","",ROUND(SUMIFS(Sales!$V$5:$V$804,Sales!$C$5:$C$804,A70),2))</f>
        <v>0</v>
      </c>
      <c r="BJ70" s="20">
        <f>IF(B70="","",ROUND(SUMIFS(Sales!$AG$5:$AG$804,Sales!$C$5:$C$804,A70),2))</f>
        <v>0</v>
      </c>
      <c r="BK70" s="33">
        <f>IF(B70="","",IF(OR(BI70="",BI70=0),"",BJ70/BI70))</f>
        <v>0</v>
      </c>
      <c r="BL70" s="17">
        <f>IF(B70="","",IF(SUMPRODUCT(MAX((Sales!$C$5:$C$804=A70)*Sales!$B$5:$B$804))=0,"",SUMPRODUCT(MAX((Sales!$C$5:$C$804=A70)*Sales!$B$5:$B$804))))</f>
        <v>0</v>
      </c>
      <c r="BM70" s="17">
        <f>IF(B70="","",IF(SUMPRODUCT(MAX(('Price History'!$B$5:$B$304=A70)*'Price History'!$A$5:$A$304))=0,IF(P70="","",P70),SUMPRODUCT(MAX(('Price History'!$B$5:$B$304=A70)*'Price History'!$A$5:$A$304))))</f>
        <v>0</v>
      </c>
      <c r="BN70" s="32">
        <f>IF(B70="","",IF(BM70="","",TodayDate-BM70))</f>
        <v>0</v>
      </c>
      <c r="BO70" s="32">
        <f>IF(B70="","",COUNTIFS($AV$5:$AV$304,"&gt;"&amp;AV70)+COUNTIFS($AV$5:AV70,AV70))</f>
        <v>0</v>
      </c>
      <c r="BP70" s="32">
        <f>IF(B70="","",COUNTIFS($AW$5:$AW$304,"&gt;"&amp;AW70)+COUNTIFS($AW$5:AW70,AW70))</f>
        <v>0</v>
      </c>
      <c r="BQ70" s="32">
        <f>IF(B70="","",COUNTIFS($BI$5:$BI$304,"&gt;"&amp;BI70)+COUNTIFS($BI$5:BI70,BI70))</f>
        <v>0</v>
      </c>
      <c r="BR70" s="32">
        <f>IF(B70="","",COUNTIFS($AY$5:$AY$304,"&gt;"&amp;AY70)+COUNTIFS($AY$5:AY70,AY70))</f>
        <v>0</v>
      </c>
      <c r="BS70" s="43">
        <f>IF(B70="","",IF(AH70=0,"Add - no costs entered yet",IF(AR70="","Check - no price yet",IF(AV70&lt;0,"Loss - every sale costs you money",IF(AND(AZ70&lt;&gt;"",AZ70&lt;MinimumWage),"Below - pays under minimum wage",IF(AW70&lt;MarginWarning,"Low margin - re-price it",IF(AND(AF70&lt;&gt;"",K70&lt;&gt;"",K70+AC70&gt;AF70),"Check - too heavy for that postage band",IF(AND(BN70&lt;&gt;"",BN70&gt;PriceReviewDays),"Due - price has not been reviewed",IF(AND(BG70&lt;&gt;"",BG70&gt;0.5),"Check - well above the market","OK")))))))) )</f>
        <v>0</v>
      </c>
    </row>
    <row r="71" spans="1:71">
      <c r="A71" s="38">
        <f>IF(B71="","",ProductPrefix&amp;TEXT(ROW()-4,"0000"))</f>
        <v>0</v>
      </c>
      <c r="S71" s="38">
        <f>IF(B71="","",IF(C71&lt;&gt;"",C71,UPPER(LEFT(IF(D71="","GEN",D71),3))&amp;"-"&amp;TEXT(ROW()-4,"000")))</f>
        <v>0</v>
      </c>
      <c r="T71" s="20">
        <f>IF(B71="","",ROUND(SUMIFS('Material Usage'!$M$5:$M$904,'Material Usage'!$A$5:$A$904,A71)+SUMIFS(Crochet!$AD$5:$AD$84,Crochet!$A$5:$A$84,A71)+SUMIFS(Jewelry!$AF$5:$AF$84,Jewelry!$A$5:$A$84,A71)+SUMIFS(Candles!$AF$5:$AF$84,Candles!$A$5:$A$84,A71)+SUMIFS(Clothing!$AB$5:$AB$84,Clothing!$A$5:$A$84,A71)+SUMIFS(Woodworking!$AC$5:$AC$84,Woodworking!$A$5:$A$84,A71)+SUMIFS(Digital!$X$5:$X$84,Digital!$A$5:$A$84,A71),2))</f>
        <v>0</v>
      </c>
      <c r="U71" s="20">
        <f>IF(B71="","",ROUND(SUMIFS(Labor!$O$5:$O$304,Labor!$A$5:$A$304,A71)+SUMIFS(Crochet!$AG$5:$AG$84,Crochet!$A$5:$A$84,A71)+SUMIFS(Jewelry!$AI$5:$AI$84,Jewelry!$A$5:$A$84,A71)+SUMIFS(Candles!$AI$5:$AI$84,Candles!$A$5:$A$84,A71)+SUMIFS(Clothing!$AE$5:$AE$84,Clothing!$A$5:$A$84,A71)+SUMIFS(Woodworking!$AF$5:$AF$84,Woodworking!$A$5:$A$84,A71)+SUMIFS(Digital!$Z$5:$Z$84,Digital!$A$5:$A$84,A71),2))</f>
        <v>0</v>
      </c>
      <c r="V71" s="36">
        <f>IF(B71="","",ROUND(SUMIFS(Labor!$P$5:$P$304,Labor!$A$5:$A$304,A71)+SUMIFS(Crochet!$AE$5:$AE$84,Crochet!$A$5:$A$84,A71)+SUMIFS(Jewelry!$AG$5:$AG$84,Jewelry!$A$5:$A$84,A71)+SUMIFS(Candles!$AG$5:$AG$84,Candles!$A$5:$A$84,A71)+SUMIFS(Clothing!$AC$5:$AC$84,Clothing!$A$5:$A$84,A71)+SUMIFS(Woodworking!$AD$5:$AD$84,Woodworking!$A$5:$A$84,A71)+SUMIFS(Digital!$Y$5:$Y$84,Digital!$A$5:$A$84,A71),1))</f>
        <v>0</v>
      </c>
      <c r="W71" s="41">
        <f>IF(B71="","",IFERROR(INDEX(DiffTimeFactors,MATCH(G71,DiffNames,0)),1))</f>
        <v>0</v>
      </c>
      <c r="X71" s="36">
        <f>IF(B71="","",ROUND(V71*W71,1))</f>
        <v>0</v>
      </c>
      <c r="Y71" s="41">
        <f>IF(B71="","",ROUND(X71/60,3))</f>
        <v>0</v>
      </c>
      <c r="Z71" s="20">
        <f>IF(B71="","",ROUND(U71*W71,2))</f>
        <v>0</v>
      </c>
      <c r="AA71" s="20">
        <f>IF(B71="","",ROUND(SUMIFS(Labor!$Q$5:$Q$304,Labor!$A$5:$A$304,A71)+SUMIFS(Crochet!$AH$5:$AH$84,Crochet!$A$5:$A$84,A71)+SUMIFS(Jewelry!$AJ$5:$AJ$84,Jewelry!$A$5:$A$84,A71)+SUMIFS(Candles!$AJ$5:$AJ$84,Candles!$A$5:$A$84,A71)+SUMIFS(Clothing!$AF$5:$AF$84,Clothing!$A$5:$A$84,A71)+SUMIFS(Woodworking!$AH$5:$AH$84,Woodworking!$A$5:$A$84,A71)+SUMIFS(Digital!$AA$5:$AA$84,Digital!$A$5:$A$84,A71),2))</f>
        <v>0</v>
      </c>
      <c r="AB71" s="20">
        <f>IF(B71="","",ROUND(IF(I71="Budget",PackBudget,IF(I71="Standard",PackStandard,IF(I71="Gift",PackGift,IF(I71="Premium",PackPremium,DefaultPackaging)))),2))</f>
        <v>0</v>
      </c>
      <c r="AC71" s="36">
        <f>IF(B71="","",IF(I71="Budget",PackWeightBudget,IF(I71="Standard",PackWeightStandard,IF(I71="Gift",PackWeightGift,IF(I71="Premium",PackWeightPremium,0)))))</f>
        <v>0</v>
      </c>
      <c r="AD71" s="20">
        <f>IF(B71="","",IFERROR(INDEX(Shipping!$M$5:$M$64,MATCH(J71,Shipping!$L$5:$L$64,0)),DefaultShipping))</f>
        <v>0</v>
      </c>
      <c r="AE71" s="20">
        <f>IF(B71="","",IFERROR(INDEX(Shipping!$F$5:$F$64,MATCH(J71,Shipping!$L$5:$L$64,0)),0))</f>
        <v>0</v>
      </c>
      <c r="AF71" s="36">
        <f>IF(B71="","",IFERROR(INDEX(Shipping!$C$5:$C$64,MATCH(J71,Shipping!$L$5:$L$64,0)),""))</f>
        <v>0</v>
      </c>
      <c r="AG71" s="20">
        <f>IF(B71="","",ROUND(MAX(0,AD71-AE71),2))</f>
        <v>0</v>
      </c>
      <c r="AH71" s="20">
        <f>IF(B71="","",ROUND(T71+Z71+AA71+AB71+AG71,2))</f>
        <v>0</v>
      </c>
      <c r="AI71" s="33">
        <f>IF(B71="","",IFERROR(INDEX(Channels!$S$5:$S$18,MATCH(IF(H71="",DefaultChannel,H71),Channels!$A$5:$A$18,0)),0))</f>
        <v>0</v>
      </c>
      <c r="AJ71" s="42">
        <f>IF(B71="","",IFERROR(INDEX(Channels!$O$5:$O$18,MATCH(IF(H71="",DefaultChannel,H71),Channels!$A$5:$A$18,0)),"No"))</f>
        <v>0</v>
      </c>
      <c r="AK71" s="20">
        <f>IF(B71="","",ROUND(IFERROR(INDEX(Channels!$T$5:$T$18,MATCH(IF(H71="",DefaultChannel,H71),Channels!$A$5:$A$18,0)),0)+IF(AJ71="Yes",AE71*AI71,0),4))</f>
        <v>0</v>
      </c>
      <c r="AL71" s="33">
        <f>IF(B71="","",IF(OverheadMethod="Share of revenue",IF(RevenueTargetMonth&lt;=0,0,OverheadMonthly/RevenueTargetMonth),0))</f>
        <v>0</v>
      </c>
      <c r="AM71" s="20">
        <f>IF(B71="","",IF(OverheadMethod="Per hour worked",ROUND(OverheadPerHour*Y71,2),IF(OR(OverheadMethod="Per unit made",OverheadMethod="Per order"),OverheadPerUnit,0)))</f>
        <v>0</v>
      </c>
      <c r="AN71" s="33">
        <f>IF(B71="","",IF(N71&lt;&gt;"",N71,TargetRetailMargin))</f>
        <v>0</v>
      </c>
      <c r="AO71" s="41">
        <f>IF(B71="","",1-AN71-AI71-AL71)</f>
        <v>0</v>
      </c>
      <c r="AP71" s="20">
        <f>IF(B71="","",IF(AO71&lt;=0,"",(AH71+AM71+AK71)/AO71))</f>
        <v>0</v>
      </c>
      <c r="AQ71" s="20">
        <f>IF(B71="","",IF(AP71="","Check the settings",ROUND(IF(RoundingRule="None",AP71,IF(RoundingRule="Nearest 0.99",MAX(0.99,CEILING(AP71,1)-0.01),IF(RoundingRule="Nearest 0.95",MAX(0.95,CEILING(AP71,1)-0.05),IF(RoundingRule="Nearest 0.50",CEILING(AP71,0.5),IF(RoundingRule="Nearest 1",CEILING(AP71,1),IF(RoundingRule="Nearest 5",CEILING(AP71,5),IF(RoundingRule="Up to whole 1",CEILING(AP71,1),IF(RoundingRule="Up to whole 5",CEILING(AP71,5),ROUND(AP71,2))))))))),2)))</f>
        <v>0</v>
      </c>
      <c r="AR71" s="20">
        <f>IF(B71="","",IF(M71&lt;&gt;"",M71,IF(ISNUMBER(AQ71),AQ71,"")))</f>
        <v>0</v>
      </c>
      <c r="AS71" s="20">
        <f>IF(B71="","",IF(AR71="","",ROUND(AM71+AR71*AL71,2)))</f>
        <v>0</v>
      </c>
      <c r="AT71" s="20">
        <f>IF(B71="","",IF(AR71="","",ROUND(AH71+AS71,2)))</f>
        <v>0</v>
      </c>
      <c r="AU71" s="20">
        <f>IF(B71="","",IF(AR71="","",ROUND(AR71*AI71+AK71,2)))</f>
        <v>0</v>
      </c>
      <c r="AV71" s="20">
        <f>IF(B71="","",IF(AR71="","",ROUND(AR71-AT71-AU71,2)))</f>
        <v>0</v>
      </c>
      <c r="AW71" s="33">
        <f>IF(B71="","",IF(OR(AR71="",AR71=0),"",AV71/AR71))</f>
        <v>0</v>
      </c>
      <c r="AX71" s="33">
        <f>IF(B71="","",IF(OR(AT71="",AT71=0),"",AV71/AT71))</f>
        <v>0</v>
      </c>
      <c r="AY71" s="20">
        <f>IF(B71="","",IF(OR(Y71="",Y71=0,AV71=""),"",ROUND(AV71/Y71,2)))</f>
        <v>0</v>
      </c>
      <c r="AZ71" s="20">
        <f>IF(B71="","",IF(OR(Y71="",Y71=0,AV71=""),"",ROUND((AV71+Z71)/Y71,2)))</f>
        <v>0</v>
      </c>
      <c r="BA71" s="20">
        <f>IF(B71="","",IF(1-AI71-AL71&lt;=0,"",ROUND((AH71+AM71+AK71)/(1-AI71-AL71),2)))</f>
        <v>0</v>
      </c>
      <c r="BB71" s="20">
        <f>IF(B71="","",IF(AT71="","",ROUND(AT71*2,2)))</f>
        <v>0</v>
      </c>
      <c r="BC71" s="20">
        <f>IF(B71="","",IF(AR71="","",ROUND(AR71*(1-WholesaleDiscount),2)))</f>
        <v>0</v>
      </c>
      <c r="BD71" s="20">
        <f>IF(B71="","",IF(BC71="","",ROUND(BC71-AH71-AM71,2)))</f>
        <v>0</v>
      </c>
      <c r="BE71" s="33">
        <f>IF(B71="","",IF(OR(BC71="",BC71=0),"",BD71/BC71))</f>
        <v>0</v>
      </c>
      <c r="BF71" s="20">
        <f>IF(B71="","",IFERROR(ROUND(AVERAGEIFS(Competitors!$F$5:$F$154,Competitors!$A$5:$A$154,A71),2),""))</f>
        <v>0</v>
      </c>
      <c r="BG71" s="33">
        <f>IF(B71="","",IF(OR(BF71="",BF71=0,AR71=""),"",AR71/BF71-1))</f>
        <v>0</v>
      </c>
      <c r="BH71" s="32">
        <f>IF(B71="","",SUMIFS(Sales!$D$5:$D$804,Sales!$C$5:$C$804,A71))</f>
        <v>0</v>
      </c>
      <c r="BI71" s="20">
        <f>IF(B71="","",ROUND(SUMIFS(Sales!$V$5:$V$804,Sales!$C$5:$C$804,A71),2))</f>
        <v>0</v>
      </c>
      <c r="BJ71" s="20">
        <f>IF(B71="","",ROUND(SUMIFS(Sales!$AG$5:$AG$804,Sales!$C$5:$C$804,A71),2))</f>
        <v>0</v>
      </c>
      <c r="BK71" s="33">
        <f>IF(B71="","",IF(OR(BI71="",BI71=0),"",BJ71/BI71))</f>
        <v>0</v>
      </c>
      <c r="BL71" s="17">
        <f>IF(B71="","",IF(SUMPRODUCT(MAX((Sales!$C$5:$C$804=A71)*Sales!$B$5:$B$804))=0,"",SUMPRODUCT(MAX((Sales!$C$5:$C$804=A71)*Sales!$B$5:$B$804))))</f>
        <v>0</v>
      </c>
      <c r="BM71" s="17">
        <f>IF(B71="","",IF(SUMPRODUCT(MAX(('Price History'!$B$5:$B$304=A71)*'Price History'!$A$5:$A$304))=0,IF(P71="","",P71),SUMPRODUCT(MAX(('Price History'!$B$5:$B$304=A71)*'Price History'!$A$5:$A$304))))</f>
        <v>0</v>
      </c>
      <c r="BN71" s="32">
        <f>IF(B71="","",IF(BM71="","",TodayDate-BM71))</f>
        <v>0</v>
      </c>
      <c r="BO71" s="32">
        <f>IF(B71="","",COUNTIFS($AV$5:$AV$304,"&gt;"&amp;AV71)+COUNTIFS($AV$5:AV71,AV71))</f>
        <v>0</v>
      </c>
      <c r="BP71" s="32">
        <f>IF(B71="","",COUNTIFS($AW$5:$AW$304,"&gt;"&amp;AW71)+COUNTIFS($AW$5:AW71,AW71))</f>
        <v>0</v>
      </c>
      <c r="BQ71" s="32">
        <f>IF(B71="","",COUNTIFS($BI$5:$BI$304,"&gt;"&amp;BI71)+COUNTIFS($BI$5:BI71,BI71))</f>
        <v>0</v>
      </c>
      <c r="BR71" s="32">
        <f>IF(B71="","",COUNTIFS($AY$5:$AY$304,"&gt;"&amp;AY71)+COUNTIFS($AY$5:AY71,AY71))</f>
        <v>0</v>
      </c>
      <c r="BS71" s="43">
        <f>IF(B71="","",IF(AH71=0,"Add - no costs entered yet",IF(AR71="","Check - no price yet",IF(AV71&lt;0,"Loss - every sale costs you money",IF(AND(AZ71&lt;&gt;"",AZ71&lt;MinimumWage),"Below - pays under minimum wage",IF(AW71&lt;MarginWarning,"Low margin - re-price it",IF(AND(AF71&lt;&gt;"",K71&lt;&gt;"",K71+AC71&gt;AF71),"Check - too heavy for that postage band",IF(AND(BN71&lt;&gt;"",BN71&gt;PriceReviewDays),"Due - price has not been reviewed",IF(AND(BG71&lt;&gt;"",BG71&gt;0.5),"Check - well above the market","OK")))))))) )</f>
        <v>0</v>
      </c>
    </row>
    <row r="72" spans="1:71">
      <c r="A72" s="38">
        <f>IF(B72="","",ProductPrefix&amp;TEXT(ROW()-4,"0000"))</f>
        <v>0</v>
      </c>
      <c r="S72" s="38">
        <f>IF(B72="","",IF(C72&lt;&gt;"",C72,UPPER(LEFT(IF(D72="","GEN",D72),3))&amp;"-"&amp;TEXT(ROW()-4,"000")))</f>
        <v>0</v>
      </c>
      <c r="T72" s="20">
        <f>IF(B72="","",ROUND(SUMIFS('Material Usage'!$M$5:$M$904,'Material Usage'!$A$5:$A$904,A72)+SUMIFS(Crochet!$AD$5:$AD$84,Crochet!$A$5:$A$84,A72)+SUMIFS(Jewelry!$AF$5:$AF$84,Jewelry!$A$5:$A$84,A72)+SUMIFS(Candles!$AF$5:$AF$84,Candles!$A$5:$A$84,A72)+SUMIFS(Clothing!$AB$5:$AB$84,Clothing!$A$5:$A$84,A72)+SUMIFS(Woodworking!$AC$5:$AC$84,Woodworking!$A$5:$A$84,A72)+SUMIFS(Digital!$X$5:$X$84,Digital!$A$5:$A$84,A72),2))</f>
        <v>0</v>
      </c>
      <c r="U72" s="20">
        <f>IF(B72="","",ROUND(SUMIFS(Labor!$O$5:$O$304,Labor!$A$5:$A$304,A72)+SUMIFS(Crochet!$AG$5:$AG$84,Crochet!$A$5:$A$84,A72)+SUMIFS(Jewelry!$AI$5:$AI$84,Jewelry!$A$5:$A$84,A72)+SUMIFS(Candles!$AI$5:$AI$84,Candles!$A$5:$A$84,A72)+SUMIFS(Clothing!$AE$5:$AE$84,Clothing!$A$5:$A$84,A72)+SUMIFS(Woodworking!$AF$5:$AF$84,Woodworking!$A$5:$A$84,A72)+SUMIFS(Digital!$Z$5:$Z$84,Digital!$A$5:$A$84,A72),2))</f>
        <v>0</v>
      </c>
      <c r="V72" s="36">
        <f>IF(B72="","",ROUND(SUMIFS(Labor!$P$5:$P$304,Labor!$A$5:$A$304,A72)+SUMIFS(Crochet!$AE$5:$AE$84,Crochet!$A$5:$A$84,A72)+SUMIFS(Jewelry!$AG$5:$AG$84,Jewelry!$A$5:$A$84,A72)+SUMIFS(Candles!$AG$5:$AG$84,Candles!$A$5:$A$84,A72)+SUMIFS(Clothing!$AC$5:$AC$84,Clothing!$A$5:$A$84,A72)+SUMIFS(Woodworking!$AD$5:$AD$84,Woodworking!$A$5:$A$84,A72)+SUMIFS(Digital!$Y$5:$Y$84,Digital!$A$5:$A$84,A72),1))</f>
        <v>0</v>
      </c>
      <c r="W72" s="41">
        <f>IF(B72="","",IFERROR(INDEX(DiffTimeFactors,MATCH(G72,DiffNames,0)),1))</f>
        <v>0</v>
      </c>
      <c r="X72" s="36">
        <f>IF(B72="","",ROUND(V72*W72,1))</f>
        <v>0</v>
      </c>
      <c r="Y72" s="41">
        <f>IF(B72="","",ROUND(X72/60,3))</f>
        <v>0</v>
      </c>
      <c r="Z72" s="20">
        <f>IF(B72="","",ROUND(U72*W72,2))</f>
        <v>0</v>
      </c>
      <c r="AA72" s="20">
        <f>IF(B72="","",ROUND(SUMIFS(Labor!$Q$5:$Q$304,Labor!$A$5:$A$304,A72)+SUMIFS(Crochet!$AH$5:$AH$84,Crochet!$A$5:$A$84,A72)+SUMIFS(Jewelry!$AJ$5:$AJ$84,Jewelry!$A$5:$A$84,A72)+SUMIFS(Candles!$AJ$5:$AJ$84,Candles!$A$5:$A$84,A72)+SUMIFS(Clothing!$AF$5:$AF$84,Clothing!$A$5:$A$84,A72)+SUMIFS(Woodworking!$AH$5:$AH$84,Woodworking!$A$5:$A$84,A72)+SUMIFS(Digital!$AA$5:$AA$84,Digital!$A$5:$A$84,A72),2))</f>
        <v>0</v>
      </c>
      <c r="AB72" s="20">
        <f>IF(B72="","",ROUND(IF(I72="Budget",PackBudget,IF(I72="Standard",PackStandard,IF(I72="Gift",PackGift,IF(I72="Premium",PackPremium,DefaultPackaging)))),2))</f>
        <v>0</v>
      </c>
      <c r="AC72" s="36">
        <f>IF(B72="","",IF(I72="Budget",PackWeightBudget,IF(I72="Standard",PackWeightStandard,IF(I72="Gift",PackWeightGift,IF(I72="Premium",PackWeightPremium,0)))))</f>
        <v>0</v>
      </c>
      <c r="AD72" s="20">
        <f>IF(B72="","",IFERROR(INDEX(Shipping!$M$5:$M$64,MATCH(J72,Shipping!$L$5:$L$64,0)),DefaultShipping))</f>
        <v>0</v>
      </c>
      <c r="AE72" s="20">
        <f>IF(B72="","",IFERROR(INDEX(Shipping!$F$5:$F$64,MATCH(J72,Shipping!$L$5:$L$64,0)),0))</f>
        <v>0</v>
      </c>
      <c r="AF72" s="36">
        <f>IF(B72="","",IFERROR(INDEX(Shipping!$C$5:$C$64,MATCH(J72,Shipping!$L$5:$L$64,0)),""))</f>
        <v>0</v>
      </c>
      <c r="AG72" s="20">
        <f>IF(B72="","",ROUND(MAX(0,AD72-AE72),2))</f>
        <v>0</v>
      </c>
      <c r="AH72" s="20">
        <f>IF(B72="","",ROUND(T72+Z72+AA72+AB72+AG72,2))</f>
        <v>0</v>
      </c>
      <c r="AI72" s="33">
        <f>IF(B72="","",IFERROR(INDEX(Channels!$S$5:$S$18,MATCH(IF(H72="",DefaultChannel,H72),Channels!$A$5:$A$18,0)),0))</f>
        <v>0</v>
      </c>
      <c r="AJ72" s="42">
        <f>IF(B72="","",IFERROR(INDEX(Channels!$O$5:$O$18,MATCH(IF(H72="",DefaultChannel,H72),Channels!$A$5:$A$18,0)),"No"))</f>
        <v>0</v>
      </c>
      <c r="AK72" s="20">
        <f>IF(B72="","",ROUND(IFERROR(INDEX(Channels!$T$5:$T$18,MATCH(IF(H72="",DefaultChannel,H72),Channels!$A$5:$A$18,0)),0)+IF(AJ72="Yes",AE72*AI72,0),4))</f>
        <v>0</v>
      </c>
      <c r="AL72" s="33">
        <f>IF(B72="","",IF(OverheadMethod="Share of revenue",IF(RevenueTargetMonth&lt;=0,0,OverheadMonthly/RevenueTargetMonth),0))</f>
        <v>0</v>
      </c>
      <c r="AM72" s="20">
        <f>IF(B72="","",IF(OverheadMethod="Per hour worked",ROUND(OverheadPerHour*Y72,2),IF(OR(OverheadMethod="Per unit made",OverheadMethod="Per order"),OverheadPerUnit,0)))</f>
        <v>0</v>
      </c>
      <c r="AN72" s="33">
        <f>IF(B72="","",IF(N72&lt;&gt;"",N72,TargetRetailMargin))</f>
        <v>0</v>
      </c>
      <c r="AO72" s="41">
        <f>IF(B72="","",1-AN72-AI72-AL72)</f>
        <v>0</v>
      </c>
      <c r="AP72" s="20">
        <f>IF(B72="","",IF(AO72&lt;=0,"",(AH72+AM72+AK72)/AO72))</f>
        <v>0</v>
      </c>
      <c r="AQ72" s="20">
        <f>IF(B72="","",IF(AP72="","Check the settings",ROUND(IF(RoundingRule="None",AP72,IF(RoundingRule="Nearest 0.99",MAX(0.99,CEILING(AP72,1)-0.01),IF(RoundingRule="Nearest 0.95",MAX(0.95,CEILING(AP72,1)-0.05),IF(RoundingRule="Nearest 0.50",CEILING(AP72,0.5),IF(RoundingRule="Nearest 1",CEILING(AP72,1),IF(RoundingRule="Nearest 5",CEILING(AP72,5),IF(RoundingRule="Up to whole 1",CEILING(AP72,1),IF(RoundingRule="Up to whole 5",CEILING(AP72,5),ROUND(AP72,2))))))))),2)))</f>
        <v>0</v>
      </c>
      <c r="AR72" s="20">
        <f>IF(B72="","",IF(M72&lt;&gt;"",M72,IF(ISNUMBER(AQ72),AQ72,"")))</f>
        <v>0</v>
      </c>
      <c r="AS72" s="20">
        <f>IF(B72="","",IF(AR72="","",ROUND(AM72+AR72*AL72,2)))</f>
        <v>0</v>
      </c>
      <c r="AT72" s="20">
        <f>IF(B72="","",IF(AR72="","",ROUND(AH72+AS72,2)))</f>
        <v>0</v>
      </c>
      <c r="AU72" s="20">
        <f>IF(B72="","",IF(AR72="","",ROUND(AR72*AI72+AK72,2)))</f>
        <v>0</v>
      </c>
      <c r="AV72" s="20">
        <f>IF(B72="","",IF(AR72="","",ROUND(AR72-AT72-AU72,2)))</f>
        <v>0</v>
      </c>
      <c r="AW72" s="33">
        <f>IF(B72="","",IF(OR(AR72="",AR72=0),"",AV72/AR72))</f>
        <v>0</v>
      </c>
      <c r="AX72" s="33">
        <f>IF(B72="","",IF(OR(AT72="",AT72=0),"",AV72/AT72))</f>
        <v>0</v>
      </c>
      <c r="AY72" s="20">
        <f>IF(B72="","",IF(OR(Y72="",Y72=0,AV72=""),"",ROUND(AV72/Y72,2)))</f>
        <v>0</v>
      </c>
      <c r="AZ72" s="20">
        <f>IF(B72="","",IF(OR(Y72="",Y72=0,AV72=""),"",ROUND((AV72+Z72)/Y72,2)))</f>
        <v>0</v>
      </c>
      <c r="BA72" s="20">
        <f>IF(B72="","",IF(1-AI72-AL72&lt;=0,"",ROUND((AH72+AM72+AK72)/(1-AI72-AL72),2)))</f>
        <v>0</v>
      </c>
      <c r="BB72" s="20">
        <f>IF(B72="","",IF(AT72="","",ROUND(AT72*2,2)))</f>
        <v>0</v>
      </c>
      <c r="BC72" s="20">
        <f>IF(B72="","",IF(AR72="","",ROUND(AR72*(1-WholesaleDiscount),2)))</f>
        <v>0</v>
      </c>
      <c r="BD72" s="20">
        <f>IF(B72="","",IF(BC72="","",ROUND(BC72-AH72-AM72,2)))</f>
        <v>0</v>
      </c>
      <c r="BE72" s="33">
        <f>IF(B72="","",IF(OR(BC72="",BC72=0),"",BD72/BC72))</f>
        <v>0</v>
      </c>
      <c r="BF72" s="20">
        <f>IF(B72="","",IFERROR(ROUND(AVERAGEIFS(Competitors!$F$5:$F$154,Competitors!$A$5:$A$154,A72),2),""))</f>
        <v>0</v>
      </c>
      <c r="BG72" s="33">
        <f>IF(B72="","",IF(OR(BF72="",BF72=0,AR72=""),"",AR72/BF72-1))</f>
        <v>0</v>
      </c>
      <c r="BH72" s="32">
        <f>IF(B72="","",SUMIFS(Sales!$D$5:$D$804,Sales!$C$5:$C$804,A72))</f>
        <v>0</v>
      </c>
      <c r="BI72" s="20">
        <f>IF(B72="","",ROUND(SUMIFS(Sales!$V$5:$V$804,Sales!$C$5:$C$804,A72),2))</f>
        <v>0</v>
      </c>
      <c r="BJ72" s="20">
        <f>IF(B72="","",ROUND(SUMIFS(Sales!$AG$5:$AG$804,Sales!$C$5:$C$804,A72),2))</f>
        <v>0</v>
      </c>
      <c r="BK72" s="33">
        <f>IF(B72="","",IF(OR(BI72="",BI72=0),"",BJ72/BI72))</f>
        <v>0</v>
      </c>
      <c r="BL72" s="17">
        <f>IF(B72="","",IF(SUMPRODUCT(MAX((Sales!$C$5:$C$804=A72)*Sales!$B$5:$B$804))=0,"",SUMPRODUCT(MAX((Sales!$C$5:$C$804=A72)*Sales!$B$5:$B$804))))</f>
        <v>0</v>
      </c>
      <c r="BM72" s="17">
        <f>IF(B72="","",IF(SUMPRODUCT(MAX(('Price History'!$B$5:$B$304=A72)*'Price History'!$A$5:$A$304))=0,IF(P72="","",P72),SUMPRODUCT(MAX(('Price History'!$B$5:$B$304=A72)*'Price History'!$A$5:$A$304))))</f>
        <v>0</v>
      </c>
      <c r="BN72" s="32">
        <f>IF(B72="","",IF(BM72="","",TodayDate-BM72))</f>
        <v>0</v>
      </c>
      <c r="BO72" s="32">
        <f>IF(B72="","",COUNTIFS($AV$5:$AV$304,"&gt;"&amp;AV72)+COUNTIFS($AV$5:AV72,AV72))</f>
        <v>0</v>
      </c>
      <c r="BP72" s="32">
        <f>IF(B72="","",COUNTIFS($AW$5:$AW$304,"&gt;"&amp;AW72)+COUNTIFS($AW$5:AW72,AW72))</f>
        <v>0</v>
      </c>
      <c r="BQ72" s="32">
        <f>IF(B72="","",COUNTIFS($BI$5:$BI$304,"&gt;"&amp;BI72)+COUNTIFS($BI$5:BI72,BI72))</f>
        <v>0</v>
      </c>
      <c r="BR72" s="32">
        <f>IF(B72="","",COUNTIFS($AY$5:$AY$304,"&gt;"&amp;AY72)+COUNTIFS($AY$5:AY72,AY72))</f>
        <v>0</v>
      </c>
      <c r="BS72" s="43">
        <f>IF(B72="","",IF(AH72=0,"Add - no costs entered yet",IF(AR72="","Check - no price yet",IF(AV72&lt;0,"Loss - every sale costs you money",IF(AND(AZ72&lt;&gt;"",AZ72&lt;MinimumWage),"Below - pays under minimum wage",IF(AW72&lt;MarginWarning,"Low margin - re-price it",IF(AND(AF72&lt;&gt;"",K72&lt;&gt;"",K72+AC72&gt;AF72),"Check - too heavy for that postage band",IF(AND(BN72&lt;&gt;"",BN72&gt;PriceReviewDays),"Due - price has not been reviewed",IF(AND(BG72&lt;&gt;"",BG72&gt;0.5),"Check - well above the market","OK")))))))) )</f>
        <v>0</v>
      </c>
    </row>
    <row r="73" spans="1:71">
      <c r="A73" s="38">
        <f>IF(B73="","",ProductPrefix&amp;TEXT(ROW()-4,"0000"))</f>
        <v>0</v>
      </c>
      <c r="S73" s="38">
        <f>IF(B73="","",IF(C73&lt;&gt;"",C73,UPPER(LEFT(IF(D73="","GEN",D73),3))&amp;"-"&amp;TEXT(ROW()-4,"000")))</f>
        <v>0</v>
      </c>
      <c r="T73" s="20">
        <f>IF(B73="","",ROUND(SUMIFS('Material Usage'!$M$5:$M$904,'Material Usage'!$A$5:$A$904,A73)+SUMIFS(Crochet!$AD$5:$AD$84,Crochet!$A$5:$A$84,A73)+SUMIFS(Jewelry!$AF$5:$AF$84,Jewelry!$A$5:$A$84,A73)+SUMIFS(Candles!$AF$5:$AF$84,Candles!$A$5:$A$84,A73)+SUMIFS(Clothing!$AB$5:$AB$84,Clothing!$A$5:$A$84,A73)+SUMIFS(Woodworking!$AC$5:$AC$84,Woodworking!$A$5:$A$84,A73)+SUMIFS(Digital!$X$5:$X$84,Digital!$A$5:$A$84,A73),2))</f>
        <v>0</v>
      </c>
      <c r="U73" s="20">
        <f>IF(B73="","",ROUND(SUMIFS(Labor!$O$5:$O$304,Labor!$A$5:$A$304,A73)+SUMIFS(Crochet!$AG$5:$AG$84,Crochet!$A$5:$A$84,A73)+SUMIFS(Jewelry!$AI$5:$AI$84,Jewelry!$A$5:$A$84,A73)+SUMIFS(Candles!$AI$5:$AI$84,Candles!$A$5:$A$84,A73)+SUMIFS(Clothing!$AE$5:$AE$84,Clothing!$A$5:$A$84,A73)+SUMIFS(Woodworking!$AF$5:$AF$84,Woodworking!$A$5:$A$84,A73)+SUMIFS(Digital!$Z$5:$Z$84,Digital!$A$5:$A$84,A73),2))</f>
        <v>0</v>
      </c>
      <c r="V73" s="36">
        <f>IF(B73="","",ROUND(SUMIFS(Labor!$P$5:$P$304,Labor!$A$5:$A$304,A73)+SUMIFS(Crochet!$AE$5:$AE$84,Crochet!$A$5:$A$84,A73)+SUMIFS(Jewelry!$AG$5:$AG$84,Jewelry!$A$5:$A$84,A73)+SUMIFS(Candles!$AG$5:$AG$84,Candles!$A$5:$A$84,A73)+SUMIFS(Clothing!$AC$5:$AC$84,Clothing!$A$5:$A$84,A73)+SUMIFS(Woodworking!$AD$5:$AD$84,Woodworking!$A$5:$A$84,A73)+SUMIFS(Digital!$Y$5:$Y$84,Digital!$A$5:$A$84,A73),1))</f>
        <v>0</v>
      </c>
      <c r="W73" s="41">
        <f>IF(B73="","",IFERROR(INDEX(DiffTimeFactors,MATCH(G73,DiffNames,0)),1))</f>
        <v>0</v>
      </c>
      <c r="X73" s="36">
        <f>IF(B73="","",ROUND(V73*W73,1))</f>
        <v>0</v>
      </c>
      <c r="Y73" s="41">
        <f>IF(B73="","",ROUND(X73/60,3))</f>
        <v>0</v>
      </c>
      <c r="Z73" s="20">
        <f>IF(B73="","",ROUND(U73*W73,2))</f>
        <v>0</v>
      </c>
      <c r="AA73" s="20">
        <f>IF(B73="","",ROUND(SUMIFS(Labor!$Q$5:$Q$304,Labor!$A$5:$A$304,A73)+SUMIFS(Crochet!$AH$5:$AH$84,Crochet!$A$5:$A$84,A73)+SUMIFS(Jewelry!$AJ$5:$AJ$84,Jewelry!$A$5:$A$84,A73)+SUMIFS(Candles!$AJ$5:$AJ$84,Candles!$A$5:$A$84,A73)+SUMIFS(Clothing!$AF$5:$AF$84,Clothing!$A$5:$A$84,A73)+SUMIFS(Woodworking!$AH$5:$AH$84,Woodworking!$A$5:$A$84,A73)+SUMIFS(Digital!$AA$5:$AA$84,Digital!$A$5:$A$84,A73),2))</f>
        <v>0</v>
      </c>
      <c r="AB73" s="20">
        <f>IF(B73="","",ROUND(IF(I73="Budget",PackBudget,IF(I73="Standard",PackStandard,IF(I73="Gift",PackGift,IF(I73="Premium",PackPremium,DefaultPackaging)))),2))</f>
        <v>0</v>
      </c>
      <c r="AC73" s="36">
        <f>IF(B73="","",IF(I73="Budget",PackWeightBudget,IF(I73="Standard",PackWeightStandard,IF(I73="Gift",PackWeightGift,IF(I73="Premium",PackWeightPremium,0)))))</f>
        <v>0</v>
      </c>
      <c r="AD73" s="20">
        <f>IF(B73="","",IFERROR(INDEX(Shipping!$M$5:$M$64,MATCH(J73,Shipping!$L$5:$L$64,0)),DefaultShipping))</f>
        <v>0</v>
      </c>
      <c r="AE73" s="20">
        <f>IF(B73="","",IFERROR(INDEX(Shipping!$F$5:$F$64,MATCH(J73,Shipping!$L$5:$L$64,0)),0))</f>
        <v>0</v>
      </c>
      <c r="AF73" s="36">
        <f>IF(B73="","",IFERROR(INDEX(Shipping!$C$5:$C$64,MATCH(J73,Shipping!$L$5:$L$64,0)),""))</f>
        <v>0</v>
      </c>
      <c r="AG73" s="20">
        <f>IF(B73="","",ROUND(MAX(0,AD73-AE73),2))</f>
        <v>0</v>
      </c>
      <c r="AH73" s="20">
        <f>IF(B73="","",ROUND(T73+Z73+AA73+AB73+AG73,2))</f>
        <v>0</v>
      </c>
      <c r="AI73" s="33">
        <f>IF(B73="","",IFERROR(INDEX(Channels!$S$5:$S$18,MATCH(IF(H73="",DefaultChannel,H73),Channels!$A$5:$A$18,0)),0))</f>
        <v>0</v>
      </c>
      <c r="AJ73" s="42">
        <f>IF(B73="","",IFERROR(INDEX(Channels!$O$5:$O$18,MATCH(IF(H73="",DefaultChannel,H73),Channels!$A$5:$A$18,0)),"No"))</f>
        <v>0</v>
      </c>
      <c r="AK73" s="20">
        <f>IF(B73="","",ROUND(IFERROR(INDEX(Channels!$T$5:$T$18,MATCH(IF(H73="",DefaultChannel,H73),Channels!$A$5:$A$18,0)),0)+IF(AJ73="Yes",AE73*AI73,0),4))</f>
        <v>0</v>
      </c>
      <c r="AL73" s="33">
        <f>IF(B73="","",IF(OverheadMethod="Share of revenue",IF(RevenueTargetMonth&lt;=0,0,OverheadMonthly/RevenueTargetMonth),0))</f>
        <v>0</v>
      </c>
      <c r="AM73" s="20">
        <f>IF(B73="","",IF(OverheadMethod="Per hour worked",ROUND(OverheadPerHour*Y73,2),IF(OR(OverheadMethod="Per unit made",OverheadMethod="Per order"),OverheadPerUnit,0)))</f>
        <v>0</v>
      </c>
      <c r="AN73" s="33">
        <f>IF(B73="","",IF(N73&lt;&gt;"",N73,TargetRetailMargin))</f>
        <v>0</v>
      </c>
      <c r="AO73" s="41">
        <f>IF(B73="","",1-AN73-AI73-AL73)</f>
        <v>0</v>
      </c>
      <c r="AP73" s="20">
        <f>IF(B73="","",IF(AO73&lt;=0,"",(AH73+AM73+AK73)/AO73))</f>
        <v>0</v>
      </c>
      <c r="AQ73" s="20">
        <f>IF(B73="","",IF(AP73="","Check the settings",ROUND(IF(RoundingRule="None",AP73,IF(RoundingRule="Nearest 0.99",MAX(0.99,CEILING(AP73,1)-0.01),IF(RoundingRule="Nearest 0.95",MAX(0.95,CEILING(AP73,1)-0.05),IF(RoundingRule="Nearest 0.50",CEILING(AP73,0.5),IF(RoundingRule="Nearest 1",CEILING(AP73,1),IF(RoundingRule="Nearest 5",CEILING(AP73,5),IF(RoundingRule="Up to whole 1",CEILING(AP73,1),IF(RoundingRule="Up to whole 5",CEILING(AP73,5),ROUND(AP73,2))))))))),2)))</f>
        <v>0</v>
      </c>
      <c r="AR73" s="20">
        <f>IF(B73="","",IF(M73&lt;&gt;"",M73,IF(ISNUMBER(AQ73),AQ73,"")))</f>
        <v>0</v>
      </c>
      <c r="AS73" s="20">
        <f>IF(B73="","",IF(AR73="","",ROUND(AM73+AR73*AL73,2)))</f>
        <v>0</v>
      </c>
      <c r="AT73" s="20">
        <f>IF(B73="","",IF(AR73="","",ROUND(AH73+AS73,2)))</f>
        <v>0</v>
      </c>
      <c r="AU73" s="20">
        <f>IF(B73="","",IF(AR73="","",ROUND(AR73*AI73+AK73,2)))</f>
        <v>0</v>
      </c>
      <c r="AV73" s="20">
        <f>IF(B73="","",IF(AR73="","",ROUND(AR73-AT73-AU73,2)))</f>
        <v>0</v>
      </c>
      <c r="AW73" s="33">
        <f>IF(B73="","",IF(OR(AR73="",AR73=0),"",AV73/AR73))</f>
        <v>0</v>
      </c>
      <c r="AX73" s="33">
        <f>IF(B73="","",IF(OR(AT73="",AT73=0),"",AV73/AT73))</f>
        <v>0</v>
      </c>
      <c r="AY73" s="20">
        <f>IF(B73="","",IF(OR(Y73="",Y73=0,AV73=""),"",ROUND(AV73/Y73,2)))</f>
        <v>0</v>
      </c>
      <c r="AZ73" s="20">
        <f>IF(B73="","",IF(OR(Y73="",Y73=0,AV73=""),"",ROUND((AV73+Z73)/Y73,2)))</f>
        <v>0</v>
      </c>
      <c r="BA73" s="20">
        <f>IF(B73="","",IF(1-AI73-AL73&lt;=0,"",ROUND((AH73+AM73+AK73)/(1-AI73-AL73),2)))</f>
        <v>0</v>
      </c>
      <c r="BB73" s="20">
        <f>IF(B73="","",IF(AT73="","",ROUND(AT73*2,2)))</f>
        <v>0</v>
      </c>
      <c r="BC73" s="20">
        <f>IF(B73="","",IF(AR73="","",ROUND(AR73*(1-WholesaleDiscount),2)))</f>
        <v>0</v>
      </c>
      <c r="BD73" s="20">
        <f>IF(B73="","",IF(BC73="","",ROUND(BC73-AH73-AM73,2)))</f>
        <v>0</v>
      </c>
      <c r="BE73" s="33">
        <f>IF(B73="","",IF(OR(BC73="",BC73=0),"",BD73/BC73))</f>
        <v>0</v>
      </c>
      <c r="BF73" s="20">
        <f>IF(B73="","",IFERROR(ROUND(AVERAGEIFS(Competitors!$F$5:$F$154,Competitors!$A$5:$A$154,A73),2),""))</f>
        <v>0</v>
      </c>
      <c r="BG73" s="33">
        <f>IF(B73="","",IF(OR(BF73="",BF73=0,AR73=""),"",AR73/BF73-1))</f>
        <v>0</v>
      </c>
      <c r="BH73" s="32">
        <f>IF(B73="","",SUMIFS(Sales!$D$5:$D$804,Sales!$C$5:$C$804,A73))</f>
        <v>0</v>
      </c>
      <c r="BI73" s="20">
        <f>IF(B73="","",ROUND(SUMIFS(Sales!$V$5:$V$804,Sales!$C$5:$C$804,A73),2))</f>
        <v>0</v>
      </c>
      <c r="BJ73" s="20">
        <f>IF(B73="","",ROUND(SUMIFS(Sales!$AG$5:$AG$804,Sales!$C$5:$C$804,A73),2))</f>
        <v>0</v>
      </c>
      <c r="BK73" s="33">
        <f>IF(B73="","",IF(OR(BI73="",BI73=0),"",BJ73/BI73))</f>
        <v>0</v>
      </c>
      <c r="BL73" s="17">
        <f>IF(B73="","",IF(SUMPRODUCT(MAX((Sales!$C$5:$C$804=A73)*Sales!$B$5:$B$804))=0,"",SUMPRODUCT(MAX((Sales!$C$5:$C$804=A73)*Sales!$B$5:$B$804))))</f>
        <v>0</v>
      </c>
      <c r="BM73" s="17">
        <f>IF(B73="","",IF(SUMPRODUCT(MAX(('Price History'!$B$5:$B$304=A73)*'Price History'!$A$5:$A$304))=0,IF(P73="","",P73),SUMPRODUCT(MAX(('Price History'!$B$5:$B$304=A73)*'Price History'!$A$5:$A$304))))</f>
        <v>0</v>
      </c>
      <c r="BN73" s="32">
        <f>IF(B73="","",IF(BM73="","",TodayDate-BM73))</f>
        <v>0</v>
      </c>
      <c r="BO73" s="32">
        <f>IF(B73="","",COUNTIFS($AV$5:$AV$304,"&gt;"&amp;AV73)+COUNTIFS($AV$5:AV73,AV73))</f>
        <v>0</v>
      </c>
      <c r="BP73" s="32">
        <f>IF(B73="","",COUNTIFS($AW$5:$AW$304,"&gt;"&amp;AW73)+COUNTIFS($AW$5:AW73,AW73))</f>
        <v>0</v>
      </c>
      <c r="BQ73" s="32">
        <f>IF(B73="","",COUNTIFS($BI$5:$BI$304,"&gt;"&amp;BI73)+COUNTIFS($BI$5:BI73,BI73))</f>
        <v>0</v>
      </c>
      <c r="BR73" s="32">
        <f>IF(B73="","",COUNTIFS($AY$5:$AY$304,"&gt;"&amp;AY73)+COUNTIFS($AY$5:AY73,AY73))</f>
        <v>0</v>
      </c>
      <c r="BS73" s="43">
        <f>IF(B73="","",IF(AH73=0,"Add - no costs entered yet",IF(AR73="","Check - no price yet",IF(AV73&lt;0,"Loss - every sale costs you money",IF(AND(AZ73&lt;&gt;"",AZ73&lt;MinimumWage),"Below - pays under minimum wage",IF(AW73&lt;MarginWarning,"Low margin - re-price it",IF(AND(AF73&lt;&gt;"",K73&lt;&gt;"",K73+AC73&gt;AF73),"Check - too heavy for that postage band",IF(AND(BN73&lt;&gt;"",BN73&gt;PriceReviewDays),"Due - price has not been reviewed",IF(AND(BG73&lt;&gt;"",BG73&gt;0.5),"Check - well above the market","OK")))))))) )</f>
        <v>0</v>
      </c>
    </row>
    <row r="74" spans="1:71">
      <c r="A74" s="38">
        <f>IF(B74="","",ProductPrefix&amp;TEXT(ROW()-4,"0000"))</f>
        <v>0</v>
      </c>
      <c r="S74" s="38">
        <f>IF(B74="","",IF(C74&lt;&gt;"",C74,UPPER(LEFT(IF(D74="","GEN",D74),3))&amp;"-"&amp;TEXT(ROW()-4,"000")))</f>
        <v>0</v>
      </c>
      <c r="T74" s="20">
        <f>IF(B74="","",ROUND(SUMIFS('Material Usage'!$M$5:$M$904,'Material Usage'!$A$5:$A$904,A74)+SUMIFS(Crochet!$AD$5:$AD$84,Crochet!$A$5:$A$84,A74)+SUMIFS(Jewelry!$AF$5:$AF$84,Jewelry!$A$5:$A$84,A74)+SUMIFS(Candles!$AF$5:$AF$84,Candles!$A$5:$A$84,A74)+SUMIFS(Clothing!$AB$5:$AB$84,Clothing!$A$5:$A$84,A74)+SUMIFS(Woodworking!$AC$5:$AC$84,Woodworking!$A$5:$A$84,A74)+SUMIFS(Digital!$X$5:$X$84,Digital!$A$5:$A$84,A74),2))</f>
        <v>0</v>
      </c>
      <c r="U74" s="20">
        <f>IF(B74="","",ROUND(SUMIFS(Labor!$O$5:$O$304,Labor!$A$5:$A$304,A74)+SUMIFS(Crochet!$AG$5:$AG$84,Crochet!$A$5:$A$84,A74)+SUMIFS(Jewelry!$AI$5:$AI$84,Jewelry!$A$5:$A$84,A74)+SUMIFS(Candles!$AI$5:$AI$84,Candles!$A$5:$A$84,A74)+SUMIFS(Clothing!$AE$5:$AE$84,Clothing!$A$5:$A$84,A74)+SUMIFS(Woodworking!$AF$5:$AF$84,Woodworking!$A$5:$A$84,A74)+SUMIFS(Digital!$Z$5:$Z$84,Digital!$A$5:$A$84,A74),2))</f>
        <v>0</v>
      </c>
      <c r="V74" s="36">
        <f>IF(B74="","",ROUND(SUMIFS(Labor!$P$5:$P$304,Labor!$A$5:$A$304,A74)+SUMIFS(Crochet!$AE$5:$AE$84,Crochet!$A$5:$A$84,A74)+SUMIFS(Jewelry!$AG$5:$AG$84,Jewelry!$A$5:$A$84,A74)+SUMIFS(Candles!$AG$5:$AG$84,Candles!$A$5:$A$84,A74)+SUMIFS(Clothing!$AC$5:$AC$84,Clothing!$A$5:$A$84,A74)+SUMIFS(Woodworking!$AD$5:$AD$84,Woodworking!$A$5:$A$84,A74)+SUMIFS(Digital!$Y$5:$Y$84,Digital!$A$5:$A$84,A74),1))</f>
        <v>0</v>
      </c>
      <c r="W74" s="41">
        <f>IF(B74="","",IFERROR(INDEX(DiffTimeFactors,MATCH(G74,DiffNames,0)),1))</f>
        <v>0</v>
      </c>
      <c r="X74" s="36">
        <f>IF(B74="","",ROUND(V74*W74,1))</f>
        <v>0</v>
      </c>
      <c r="Y74" s="41">
        <f>IF(B74="","",ROUND(X74/60,3))</f>
        <v>0</v>
      </c>
      <c r="Z74" s="20">
        <f>IF(B74="","",ROUND(U74*W74,2))</f>
        <v>0</v>
      </c>
      <c r="AA74" s="20">
        <f>IF(B74="","",ROUND(SUMIFS(Labor!$Q$5:$Q$304,Labor!$A$5:$A$304,A74)+SUMIFS(Crochet!$AH$5:$AH$84,Crochet!$A$5:$A$84,A74)+SUMIFS(Jewelry!$AJ$5:$AJ$84,Jewelry!$A$5:$A$84,A74)+SUMIFS(Candles!$AJ$5:$AJ$84,Candles!$A$5:$A$84,A74)+SUMIFS(Clothing!$AF$5:$AF$84,Clothing!$A$5:$A$84,A74)+SUMIFS(Woodworking!$AH$5:$AH$84,Woodworking!$A$5:$A$84,A74)+SUMIFS(Digital!$AA$5:$AA$84,Digital!$A$5:$A$84,A74),2))</f>
        <v>0</v>
      </c>
      <c r="AB74" s="20">
        <f>IF(B74="","",ROUND(IF(I74="Budget",PackBudget,IF(I74="Standard",PackStandard,IF(I74="Gift",PackGift,IF(I74="Premium",PackPremium,DefaultPackaging)))),2))</f>
        <v>0</v>
      </c>
      <c r="AC74" s="36">
        <f>IF(B74="","",IF(I74="Budget",PackWeightBudget,IF(I74="Standard",PackWeightStandard,IF(I74="Gift",PackWeightGift,IF(I74="Premium",PackWeightPremium,0)))))</f>
        <v>0</v>
      </c>
      <c r="AD74" s="20">
        <f>IF(B74="","",IFERROR(INDEX(Shipping!$M$5:$M$64,MATCH(J74,Shipping!$L$5:$L$64,0)),DefaultShipping))</f>
        <v>0</v>
      </c>
      <c r="AE74" s="20">
        <f>IF(B74="","",IFERROR(INDEX(Shipping!$F$5:$F$64,MATCH(J74,Shipping!$L$5:$L$64,0)),0))</f>
        <v>0</v>
      </c>
      <c r="AF74" s="36">
        <f>IF(B74="","",IFERROR(INDEX(Shipping!$C$5:$C$64,MATCH(J74,Shipping!$L$5:$L$64,0)),""))</f>
        <v>0</v>
      </c>
      <c r="AG74" s="20">
        <f>IF(B74="","",ROUND(MAX(0,AD74-AE74),2))</f>
        <v>0</v>
      </c>
      <c r="AH74" s="20">
        <f>IF(B74="","",ROUND(T74+Z74+AA74+AB74+AG74,2))</f>
        <v>0</v>
      </c>
      <c r="AI74" s="33">
        <f>IF(B74="","",IFERROR(INDEX(Channels!$S$5:$S$18,MATCH(IF(H74="",DefaultChannel,H74),Channels!$A$5:$A$18,0)),0))</f>
        <v>0</v>
      </c>
      <c r="AJ74" s="42">
        <f>IF(B74="","",IFERROR(INDEX(Channels!$O$5:$O$18,MATCH(IF(H74="",DefaultChannel,H74),Channels!$A$5:$A$18,0)),"No"))</f>
        <v>0</v>
      </c>
      <c r="AK74" s="20">
        <f>IF(B74="","",ROUND(IFERROR(INDEX(Channels!$T$5:$T$18,MATCH(IF(H74="",DefaultChannel,H74),Channels!$A$5:$A$18,0)),0)+IF(AJ74="Yes",AE74*AI74,0),4))</f>
        <v>0</v>
      </c>
      <c r="AL74" s="33">
        <f>IF(B74="","",IF(OverheadMethod="Share of revenue",IF(RevenueTargetMonth&lt;=0,0,OverheadMonthly/RevenueTargetMonth),0))</f>
        <v>0</v>
      </c>
      <c r="AM74" s="20">
        <f>IF(B74="","",IF(OverheadMethod="Per hour worked",ROUND(OverheadPerHour*Y74,2),IF(OR(OverheadMethod="Per unit made",OverheadMethod="Per order"),OverheadPerUnit,0)))</f>
        <v>0</v>
      </c>
      <c r="AN74" s="33">
        <f>IF(B74="","",IF(N74&lt;&gt;"",N74,TargetRetailMargin))</f>
        <v>0</v>
      </c>
      <c r="AO74" s="41">
        <f>IF(B74="","",1-AN74-AI74-AL74)</f>
        <v>0</v>
      </c>
      <c r="AP74" s="20">
        <f>IF(B74="","",IF(AO74&lt;=0,"",(AH74+AM74+AK74)/AO74))</f>
        <v>0</v>
      </c>
      <c r="AQ74" s="20">
        <f>IF(B74="","",IF(AP74="","Check the settings",ROUND(IF(RoundingRule="None",AP74,IF(RoundingRule="Nearest 0.99",MAX(0.99,CEILING(AP74,1)-0.01),IF(RoundingRule="Nearest 0.95",MAX(0.95,CEILING(AP74,1)-0.05),IF(RoundingRule="Nearest 0.50",CEILING(AP74,0.5),IF(RoundingRule="Nearest 1",CEILING(AP74,1),IF(RoundingRule="Nearest 5",CEILING(AP74,5),IF(RoundingRule="Up to whole 1",CEILING(AP74,1),IF(RoundingRule="Up to whole 5",CEILING(AP74,5),ROUND(AP74,2))))))))),2)))</f>
        <v>0</v>
      </c>
      <c r="AR74" s="20">
        <f>IF(B74="","",IF(M74&lt;&gt;"",M74,IF(ISNUMBER(AQ74),AQ74,"")))</f>
        <v>0</v>
      </c>
      <c r="AS74" s="20">
        <f>IF(B74="","",IF(AR74="","",ROUND(AM74+AR74*AL74,2)))</f>
        <v>0</v>
      </c>
      <c r="AT74" s="20">
        <f>IF(B74="","",IF(AR74="","",ROUND(AH74+AS74,2)))</f>
        <v>0</v>
      </c>
      <c r="AU74" s="20">
        <f>IF(B74="","",IF(AR74="","",ROUND(AR74*AI74+AK74,2)))</f>
        <v>0</v>
      </c>
      <c r="AV74" s="20">
        <f>IF(B74="","",IF(AR74="","",ROUND(AR74-AT74-AU74,2)))</f>
        <v>0</v>
      </c>
      <c r="AW74" s="33">
        <f>IF(B74="","",IF(OR(AR74="",AR74=0),"",AV74/AR74))</f>
        <v>0</v>
      </c>
      <c r="AX74" s="33">
        <f>IF(B74="","",IF(OR(AT74="",AT74=0),"",AV74/AT74))</f>
        <v>0</v>
      </c>
      <c r="AY74" s="20">
        <f>IF(B74="","",IF(OR(Y74="",Y74=0,AV74=""),"",ROUND(AV74/Y74,2)))</f>
        <v>0</v>
      </c>
      <c r="AZ74" s="20">
        <f>IF(B74="","",IF(OR(Y74="",Y74=0,AV74=""),"",ROUND((AV74+Z74)/Y74,2)))</f>
        <v>0</v>
      </c>
      <c r="BA74" s="20">
        <f>IF(B74="","",IF(1-AI74-AL74&lt;=0,"",ROUND((AH74+AM74+AK74)/(1-AI74-AL74),2)))</f>
        <v>0</v>
      </c>
      <c r="BB74" s="20">
        <f>IF(B74="","",IF(AT74="","",ROUND(AT74*2,2)))</f>
        <v>0</v>
      </c>
      <c r="BC74" s="20">
        <f>IF(B74="","",IF(AR74="","",ROUND(AR74*(1-WholesaleDiscount),2)))</f>
        <v>0</v>
      </c>
      <c r="BD74" s="20">
        <f>IF(B74="","",IF(BC74="","",ROUND(BC74-AH74-AM74,2)))</f>
        <v>0</v>
      </c>
      <c r="BE74" s="33">
        <f>IF(B74="","",IF(OR(BC74="",BC74=0),"",BD74/BC74))</f>
        <v>0</v>
      </c>
      <c r="BF74" s="20">
        <f>IF(B74="","",IFERROR(ROUND(AVERAGEIFS(Competitors!$F$5:$F$154,Competitors!$A$5:$A$154,A74),2),""))</f>
        <v>0</v>
      </c>
      <c r="BG74" s="33">
        <f>IF(B74="","",IF(OR(BF74="",BF74=0,AR74=""),"",AR74/BF74-1))</f>
        <v>0</v>
      </c>
      <c r="BH74" s="32">
        <f>IF(B74="","",SUMIFS(Sales!$D$5:$D$804,Sales!$C$5:$C$804,A74))</f>
        <v>0</v>
      </c>
      <c r="BI74" s="20">
        <f>IF(B74="","",ROUND(SUMIFS(Sales!$V$5:$V$804,Sales!$C$5:$C$804,A74),2))</f>
        <v>0</v>
      </c>
      <c r="BJ74" s="20">
        <f>IF(B74="","",ROUND(SUMIFS(Sales!$AG$5:$AG$804,Sales!$C$5:$C$804,A74),2))</f>
        <v>0</v>
      </c>
      <c r="BK74" s="33">
        <f>IF(B74="","",IF(OR(BI74="",BI74=0),"",BJ74/BI74))</f>
        <v>0</v>
      </c>
      <c r="BL74" s="17">
        <f>IF(B74="","",IF(SUMPRODUCT(MAX((Sales!$C$5:$C$804=A74)*Sales!$B$5:$B$804))=0,"",SUMPRODUCT(MAX((Sales!$C$5:$C$804=A74)*Sales!$B$5:$B$804))))</f>
        <v>0</v>
      </c>
      <c r="BM74" s="17">
        <f>IF(B74="","",IF(SUMPRODUCT(MAX(('Price History'!$B$5:$B$304=A74)*'Price History'!$A$5:$A$304))=0,IF(P74="","",P74),SUMPRODUCT(MAX(('Price History'!$B$5:$B$304=A74)*'Price History'!$A$5:$A$304))))</f>
        <v>0</v>
      </c>
      <c r="BN74" s="32">
        <f>IF(B74="","",IF(BM74="","",TodayDate-BM74))</f>
        <v>0</v>
      </c>
      <c r="BO74" s="32">
        <f>IF(B74="","",COUNTIFS($AV$5:$AV$304,"&gt;"&amp;AV74)+COUNTIFS($AV$5:AV74,AV74))</f>
        <v>0</v>
      </c>
      <c r="BP74" s="32">
        <f>IF(B74="","",COUNTIFS($AW$5:$AW$304,"&gt;"&amp;AW74)+COUNTIFS($AW$5:AW74,AW74))</f>
        <v>0</v>
      </c>
      <c r="BQ74" s="32">
        <f>IF(B74="","",COUNTIFS($BI$5:$BI$304,"&gt;"&amp;BI74)+COUNTIFS($BI$5:BI74,BI74))</f>
        <v>0</v>
      </c>
      <c r="BR74" s="32">
        <f>IF(B74="","",COUNTIFS($AY$5:$AY$304,"&gt;"&amp;AY74)+COUNTIFS($AY$5:AY74,AY74))</f>
        <v>0</v>
      </c>
      <c r="BS74" s="43">
        <f>IF(B74="","",IF(AH74=0,"Add - no costs entered yet",IF(AR74="","Check - no price yet",IF(AV74&lt;0,"Loss - every sale costs you money",IF(AND(AZ74&lt;&gt;"",AZ74&lt;MinimumWage),"Below - pays under minimum wage",IF(AW74&lt;MarginWarning,"Low margin - re-price it",IF(AND(AF74&lt;&gt;"",K74&lt;&gt;"",K74+AC74&gt;AF74),"Check - too heavy for that postage band",IF(AND(BN74&lt;&gt;"",BN74&gt;PriceReviewDays),"Due - price has not been reviewed",IF(AND(BG74&lt;&gt;"",BG74&gt;0.5),"Check - well above the market","OK")))))))) )</f>
        <v>0</v>
      </c>
    </row>
    <row r="75" spans="1:71">
      <c r="A75" s="38">
        <f>IF(B75="","",ProductPrefix&amp;TEXT(ROW()-4,"0000"))</f>
        <v>0</v>
      </c>
      <c r="S75" s="38">
        <f>IF(B75="","",IF(C75&lt;&gt;"",C75,UPPER(LEFT(IF(D75="","GEN",D75),3))&amp;"-"&amp;TEXT(ROW()-4,"000")))</f>
        <v>0</v>
      </c>
      <c r="T75" s="20">
        <f>IF(B75="","",ROUND(SUMIFS('Material Usage'!$M$5:$M$904,'Material Usage'!$A$5:$A$904,A75)+SUMIFS(Crochet!$AD$5:$AD$84,Crochet!$A$5:$A$84,A75)+SUMIFS(Jewelry!$AF$5:$AF$84,Jewelry!$A$5:$A$84,A75)+SUMIFS(Candles!$AF$5:$AF$84,Candles!$A$5:$A$84,A75)+SUMIFS(Clothing!$AB$5:$AB$84,Clothing!$A$5:$A$84,A75)+SUMIFS(Woodworking!$AC$5:$AC$84,Woodworking!$A$5:$A$84,A75)+SUMIFS(Digital!$X$5:$X$84,Digital!$A$5:$A$84,A75),2))</f>
        <v>0</v>
      </c>
      <c r="U75" s="20">
        <f>IF(B75="","",ROUND(SUMIFS(Labor!$O$5:$O$304,Labor!$A$5:$A$304,A75)+SUMIFS(Crochet!$AG$5:$AG$84,Crochet!$A$5:$A$84,A75)+SUMIFS(Jewelry!$AI$5:$AI$84,Jewelry!$A$5:$A$84,A75)+SUMIFS(Candles!$AI$5:$AI$84,Candles!$A$5:$A$84,A75)+SUMIFS(Clothing!$AE$5:$AE$84,Clothing!$A$5:$A$84,A75)+SUMIFS(Woodworking!$AF$5:$AF$84,Woodworking!$A$5:$A$84,A75)+SUMIFS(Digital!$Z$5:$Z$84,Digital!$A$5:$A$84,A75),2))</f>
        <v>0</v>
      </c>
      <c r="V75" s="36">
        <f>IF(B75="","",ROUND(SUMIFS(Labor!$P$5:$P$304,Labor!$A$5:$A$304,A75)+SUMIFS(Crochet!$AE$5:$AE$84,Crochet!$A$5:$A$84,A75)+SUMIFS(Jewelry!$AG$5:$AG$84,Jewelry!$A$5:$A$84,A75)+SUMIFS(Candles!$AG$5:$AG$84,Candles!$A$5:$A$84,A75)+SUMIFS(Clothing!$AC$5:$AC$84,Clothing!$A$5:$A$84,A75)+SUMIFS(Woodworking!$AD$5:$AD$84,Woodworking!$A$5:$A$84,A75)+SUMIFS(Digital!$Y$5:$Y$84,Digital!$A$5:$A$84,A75),1))</f>
        <v>0</v>
      </c>
      <c r="W75" s="41">
        <f>IF(B75="","",IFERROR(INDEX(DiffTimeFactors,MATCH(G75,DiffNames,0)),1))</f>
        <v>0</v>
      </c>
      <c r="X75" s="36">
        <f>IF(B75="","",ROUND(V75*W75,1))</f>
        <v>0</v>
      </c>
      <c r="Y75" s="41">
        <f>IF(B75="","",ROUND(X75/60,3))</f>
        <v>0</v>
      </c>
      <c r="Z75" s="20">
        <f>IF(B75="","",ROUND(U75*W75,2))</f>
        <v>0</v>
      </c>
      <c r="AA75" s="20">
        <f>IF(B75="","",ROUND(SUMIFS(Labor!$Q$5:$Q$304,Labor!$A$5:$A$304,A75)+SUMIFS(Crochet!$AH$5:$AH$84,Crochet!$A$5:$A$84,A75)+SUMIFS(Jewelry!$AJ$5:$AJ$84,Jewelry!$A$5:$A$84,A75)+SUMIFS(Candles!$AJ$5:$AJ$84,Candles!$A$5:$A$84,A75)+SUMIFS(Clothing!$AF$5:$AF$84,Clothing!$A$5:$A$84,A75)+SUMIFS(Woodworking!$AH$5:$AH$84,Woodworking!$A$5:$A$84,A75)+SUMIFS(Digital!$AA$5:$AA$84,Digital!$A$5:$A$84,A75),2))</f>
        <v>0</v>
      </c>
      <c r="AB75" s="20">
        <f>IF(B75="","",ROUND(IF(I75="Budget",PackBudget,IF(I75="Standard",PackStandard,IF(I75="Gift",PackGift,IF(I75="Premium",PackPremium,DefaultPackaging)))),2))</f>
        <v>0</v>
      </c>
      <c r="AC75" s="36">
        <f>IF(B75="","",IF(I75="Budget",PackWeightBudget,IF(I75="Standard",PackWeightStandard,IF(I75="Gift",PackWeightGift,IF(I75="Premium",PackWeightPremium,0)))))</f>
        <v>0</v>
      </c>
      <c r="AD75" s="20">
        <f>IF(B75="","",IFERROR(INDEX(Shipping!$M$5:$M$64,MATCH(J75,Shipping!$L$5:$L$64,0)),DefaultShipping))</f>
        <v>0</v>
      </c>
      <c r="AE75" s="20">
        <f>IF(B75="","",IFERROR(INDEX(Shipping!$F$5:$F$64,MATCH(J75,Shipping!$L$5:$L$64,0)),0))</f>
        <v>0</v>
      </c>
      <c r="AF75" s="36">
        <f>IF(B75="","",IFERROR(INDEX(Shipping!$C$5:$C$64,MATCH(J75,Shipping!$L$5:$L$64,0)),""))</f>
        <v>0</v>
      </c>
      <c r="AG75" s="20">
        <f>IF(B75="","",ROUND(MAX(0,AD75-AE75),2))</f>
        <v>0</v>
      </c>
      <c r="AH75" s="20">
        <f>IF(B75="","",ROUND(T75+Z75+AA75+AB75+AG75,2))</f>
        <v>0</v>
      </c>
      <c r="AI75" s="33">
        <f>IF(B75="","",IFERROR(INDEX(Channels!$S$5:$S$18,MATCH(IF(H75="",DefaultChannel,H75),Channels!$A$5:$A$18,0)),0))</f>
        <v>0</v>
      </c>
      <c r="AJ75" s="42">
        <f>IF(B75="","",IFERROR(INDEX(Channels!$O$5:$O$18,MATCH(IF(H75="",DefaultChannel,H75),Channels!$A$5:$A$18,0)),"No"))</f>
        <v>0</v>
      </c>
      <c r="AK75" s="20">
        <f>IF(B75="","",ROUND(IFERROR(INDEX(Channels!$T$5:$T$18,MATCH(IF(H75="",DefaultChannel,H75),Channels!$A$5:$A$18,0)),0)+IF(AJ75="Yes",AE75*AI75,0),4))</f>
        <v>0</v>
      </c>
      <c r="AL75" s="33">
        <f>IF(B75="","",IF(OverheadMethod="Share of revenue",IF(RevenueTargetMonth&lt;=0,0,OverheadMonthly/RevenueTargetMonth),0))</f>
        <v>0</v>
      </c>
      <c r="AM75" s="20">
        <f>IF(B75="","",IF(OverheadMethod="Per hour worked",ROUND(OverheadPerHour*Y75,2),IF(OR(OverheadMethod="Per unit made",OverheadMethod="Per order"),OverheadPerUnit,0)))</f>
        <v>0</v>
      </c>
      <c r="AN75" s="33">
        <f>IF(B75="","",IF(N75&lt;&gt;"",N75,TargetRetailMargin))</f>
        <v>0</v>
      </c>
      <c r="AO75" s="41">
        <f>IF(B75="","",1-AN75-AI75-AL75)</f>
        <v>0</v>
      </c>
      <c r="AP75" s="20">
        <f>IF(B75="","",IF(AO75&lt;=0,"",(AH75+AM75+AK75)/AO75))</f>
        <v>0</v>
      </c>
      <c r="AQ75" s="20">
        <f>IF(B75="","",IF(AP75="","Check the settings",ROUND(IF(RoundingRule="None",AP75,IF(RoundingRule="Nearest 0.99",MAX(0.99,CEILING(AP75,1)-0.01),IF(RoundingRule="Nearest 0.95",MAX(0.95,CEILING(AP75,1)-0.05),IF(RoundingRule="Nearest 0.50",CEILING(AP75,0.5),IF(RoundingRule="Nearest 1",CEILING(AP75,1),IF(RoundingRule="Nearest 5",CEILING(AP75,5),IF(RoundingRule="Up to whole 1",CEILING(AP75,1),IF(RoundingRule="Up to whole 5",CEILING(AP75,5),ROUND(AP75,2))))))))),2)))</f>
        <v>0</v>
      </c>
      <c r="AR75" s="20">
        <f>IF(B75="","",IF(M75&lt;&gt;"",M75,IF(ISNUMBER(AQ75),AQ75,"")))</f>
        <v>0</v>
      </c>
      <c r="AS75" s="20">
        <f>IF(B75="","",IF(AR75="","",ROUND(AM75+AR75*AL75,2)))</f>
        <v>0</v>
      </c>
      <c r="AT75" s="20">
        <f>IF(B75="","",IF(AR75="","",ROUND(AH75+AS75,2)))</f>
        <v>0</v>
      </c>
      <c r="AU75" s="20">
        <f>IF(B75="","",IF(AR75="","",ROUND(AR75*AI75+AK75,2)))</f>
        <v>0</v>
      </c>
      <c r="AV75" s="20">
        <f>IF(B75="","",IF(AR75="","",ROUND(AR75-AT75-AU75,2)))</f>
        <v>0</v>
      </c>
      <c r="AW75" s="33">
        <f>IF(B75="","",IF(OR(AR75="",AR75=0),"",AV75/AR75))</f>
        <v>0</v>
      </c>
      <c r="AX75" s="33">
        <f>IF(B75="","",IF(OR(AT75="",AT75=0),"",AV75/AT75))</f>
        <v>0</v>
      </c>
      <c r="AY75" s="20">
        <f>IF(B75="","",IF(OR(Y75="",Y75=0,AV75=""),"",ROUND(AV75/Y75,2)))</f>
        <v>0</v>
      </c>
      <c r="AZ75" s="20">
        <f>IF(B75="","",IF(OR(Y75="",Y75=0,AV75=""),"",ROUND((AV75+Z75)/Y75,2)))</f>
        <v>0</v>
      </c>
      <c r="BA75" s="20">
        <f>IF(B75="","",IF(1-AI75-AL75&lt;=0,"",ROUND((AH75+AM75+AK75)/(1-AI75-AL75),2)))</f>
        <v>0</v>
      </c>
      <c r="BB75" s="20">
        <f>IF(B75="","",IF(AT75="","",ROUND(AT75*2,2)))</f>
        <v>0</v>
      </c>
      <c r="BC75" s="20">
        <f>IF(B75="","",IF(AR75="","",ROUND(AR75*(1-WholesaleDiscount),2)))</f>
        <v>0</v>
      </c>
      <c r="BD75" s="20">
        <f>IF(B75="","",IF(BC75="","",ROUND(BC75-AH75-AM75,2)))</f>
        <v>0</v>
      </c>
      <c r="BE75" s="33">
        <f>IF(B75="","",IF(OR(BC75="",BC75=0),"",BD75/BC75))</f>
        <v>0</v>
      </c>
      <c r="BF75" s="20">
        <f>IF(B75="","",IFERROR(ROUND(AVERAGEIFS(Competitors!$F$5:$F$154,Competitors!$A$5:$A$154,A75),2),""))</f>
        <v>0</v>
      </c>
      <c r="BG75" s="33">
        <f>IF(B75="","",IF(OR(BF75="",BF75=0,AR75=""),"",AR75/BF75-1))</f>
        <v>0</v>
      </c>
      <c r="BH75" s="32">
        <f>IF(B75="","",SUMIFS(Sales!$D$5:$D$804,Sales!$C$5:$C$804,A75))</f>
        <v>0</v>
      </c>
      <c r="BI75" s="20">
        <f>IF(B75="","",ROUND(SUMIFS(Sales!$V$5:$V$804,Sales!$C$5:$C$804,A75),2))</f>
        <v>0</v>
      </c>
      <c r="BJ75" s="20">
        <f>IF(B75="","",ROUND(SUMIFS(Sales!$AG$5:$AG$804,Sales!$C$5:$C$804,A75),2))</f>
        <v>0</v>
      </c>
      <c r="BK75" s="33">
        <f>IF(B75="","",IF(OR(BI75="",BI75=0),"",BJ75/BI75))</f>
        <v>0</v>
      </c>
      <c r="BL75" s="17">
        <f>IF(B75="","",IF(SUMPRODUCT(MAX((Sales!$C$5:$C$804=A75)*Sales!$B$5:$B$804))=0,"",SUMPRODUCT(MAX((Sales!$C$5:$C$804=A75)*Sales!$B$5:$B$804))))</f>
        <v>0</v>
      </c>
      <c r="BM75" s="17">
        <f>IF(B75="","",IF(SUMPRODUCT(MAX(('Price History'!$B$5:$B$304=A75)*'Price History'!$A$5:$A$304))=0,IF(P75="","",P75),SUMPRODUCT(MAX(('Price History'!$B$5:$B$304=A75)*'Price History'!$A$5:$A$304))))</f>
        <v>0</v>
      </c>
      <c r="BN75" s="32">
        <f>IF(B75="","",IF(BM75="","",TodayDate-BM75))</f>
        <v>0</v>
      </c>
      <c r="BO75" s="32">
        <f>IF(B75="","",COUNTIFS($AV$5:$AV$304,"&gt;"&amp;AV75)+COUNTIFS($AV$5:AV75,AV75))</f>
        <v>0</v>
      </c>
      <c r="BP75" s="32">
        <f>IF(B75="","",COUNTIFS($AW$5:$AW$304,"&gt;"&amp;AW75)+COUNTIFS($AW$5:AW75,AW75))</f>
        <v>0</v>
      </c>
      <c r="BQ75" s="32">
        <f>IF(B75="","",COUNTIFS($BI$5:$BI$304,"&gt;"&amp;BI75)+COUNTIFS($BI$5:BI75,BI75))</f>
        <v>0</v>
      </c>
      <c r="BR75" s="32">
        <f>IF(B75="","",COUNTIFS($AY$5:$AY$304,"&gt;"&amp;AY75)+COUNTIFS($AY$5:AY75,AY75))</f>
        <v>0</v>
      </c>
      <c r="BS75" s="43">
        <f>IF(B75="","",IF(AH75=0,"Add - no costs entered yet",IF(AR75="","Check - no price yet",IF(AV75&lt;0,"Loss - every sale costs you money",IF(AND(AZ75&lt;&gt;"",AZ75&lt;MinimumWage),"Below - pays under minimum wage",IF(AW75&lt;MarginWarning,"Low margin - re-price it",IF(AND(AF75&lt;&gt;"",K75&lt;&gt;"",K75+AC75&gt;AF75),"Check - too heavy for that postage band",IF(AND(BN75&lt;&gt;"",BN75&gt;PriceReviewDays),"Due - price has not been reviewed",IF(AND(BG75&lt;&gt;"",BG75&gt;0.5),"Check - well above the market","OK")))))))) )</f>
        <v>0</v>
      </c>
    </row>
    <row r="76" spans="1:71">
      <c r="A76" s="38">
        <f>IF(B76="","",ProductPrefix&amp;TEXT(ROW()-4,"0000"))</f>
        <v>0</v>
      </c>
      <c r="S76" s="38">
        <f>IF(B76="","",IF(C76&lt;&gt;"",C76,UPPER(LEFT(IF(D76="","GEN",D76),3))&amp;"-"&amp;TEXT(ROW()-4,"000")))</f>
        <v>0</v>
      </c>
      <c r="T76" s="20">
        <f>IF(B76="","",ROUND(SUMIFS('Material Usage'!$M$5:$M$904,'Material Usage'!$A$5:$A$904,A76)+SUMIFS(Crochet!$AD$5:$AD$84,Crochet!$A$5:$A$84,A76)+SUMIFS(Jewelry!$AF$5:$AF$84,Jewelry!$A$5:$A$84,A76)+SUMIFS(Candles!$AF$5:$AF$84,Candles!$A$5:$A$84,A76)+SUMIFS(Clothing!$AB$5:$AB$84,Clothing!$A$5:$A$84,A76)+SUMIFS(Woodworking!$AC$5:$AC$84,Woodworking!$A$5:$A$84,A76)+SUMIFS(Digital!$X$5:$X$84,Digital!$A$5:$A$84,A76),2))</f>
        <v>0</v>
      </c>
      <c r="U76" s="20">
        <f>IF(B76="","",ROUND(SUMIFS(Labor!$O$5:$O$304,Labor!$A$5:$A$304,A76)+SUMIFS(Crochet!$AG$5:$AG$84,Crochet!$A$5:$A$84,A76)+SUMIFS(Jewelry!$AI$5:$AI$84,Jewelry!$A$5:$A$84,A76)+SUMIFS(Candles!$AI$5:$AI$84,Candles!$A$5:$A$84,A76)+SUMIFS(Clothing!$AE$5:$AE$84,Clothing!$A$5:$A$84,A76)+SUMIFS(Woodworking!$AF$5:$AF$84,Woodworking!$A$5:$A$84,A76)+SUMIFS(Digital!$Z$5:$Z$84,Digital!$A$5:$A$84,A76),2))</f>
        <v>0</v>
      </c>
      <c r="V76" s="36">
        <f>IF(B76="","",ROUND(SUMIFS(Labor!$P$5:$P$304,Labor!$A$5:$A$304,A76)+SUMIFS(Crochet!$AE$5:$AE$84,Crochet!$A$5:$A$84,A76)+SUMIFS(Jewelry!$AG$5:$AG$84,Jewelry!$A$5:$A$84,A76)+SUMIFS(Candles!$AG$5:$AG$84,Candles!$A$5:$A$84,A76)+SUMIFS(Clothing!$AC$5:$AC$84,Clothing!$A$5:$A$84,A76)+SUMIFS(Woodworking!$AD$5:$AD$84,Woodworking!$A$5:$A$84,A76)+SUMIFS(Digital!$Y$5:$Y$84,Digital!$A$5:$A$84,A76),1))</f>
        <v>0</v>
      </c>
      <c r="W76" s="41">
        <f>IF(B76="","",IFERROR(INDEX(DiffTimeFactors,MATCH(G76,DiffNames,0)),1))</f>
        <v>0</v>
      </c>
      <c r="X76" s="36">
        <f>IF(B76="","",ROUND(V76*W76,1))</f>
        <v>0</v>
      </c>
      <c r="Y76" s="41">
        <f>IF(B76="","",ROUND(X76/60,3))</f>
        <v>0</v>
      </c>
      <c r="Z76" s="20">
        <f>IF(B76="","",ROUND(U76*W76,2))</f>
        <v>0</v>
      </c>
      <c r="AA76" s="20">
        <f>IF(B76="","",ROUND(SUMIFS(Labor!$Q$5:$Q$304,Labor!$A$5:$A$304,A76)+SUMIFS(Crochet!$AH$5:$AH$84,Crochet!$A$5:$A$84,A76)+SUMIFS(Jewelry!$AJ$5:$AJ$84,Jewelry!$A$5:$A$84,A76)+SUMIFS(Candles!$AJ$5:$AJ$84,Candles!$A$5:$A$84,A76)+SUMIFS(Clothing!$AF$5:$AF$84,Clothing!$A$5:$A$84,A76)+SUMIFS(Woodworking!$AH$5:$AH$84,Woodworking!$A$5:$A$84,A76)+SUMIFS(Digital!$AA$5:$AA$84,Digital!$A$5:$A$84,A76),2))</f>
        <v>0</v>
      </c>
      <c r="AB76" s="20">
        <f>IF(B76="","",ROUND(IF(I76="Budget",PackBudget,IF(I76="Standard",PackStandard,IF(I76="Gift",PackGift,IF(I76="Premium",PackPremium,DefaultPackaging)))),2))</f>
        <v>0</v>
      </c>
      <c r="AC76" s="36">
        <f>IF(B76="","",IF(I76="Budget",PackWeightBudget,IF(I76="Standard",PackWeightStandard,IF(I76="Gift",PackWeightGift,IF(I76="Premium",PackWeightPremium,0)))))</f>
        <v>0</v>
      </c>
      <c r="AD76" s="20">
        <f>IF(B76="","",IFERROR(INDEX(Shipping!$M$5:$M$64,MATCH(J76,Shipping!$L$5:$L$64,0)),DefaultShipping))</f>
        <v>0</v>
      </c>
      <c r="AE76" s="20">
        <f>IF(B76="","",IFERROR(INDEX(Shipping!$F$5:$F$64,MATCH(J76,Shipping!$L$5:$L$64,0)),0))</f>
        <v>0</v>
      </c>
      <c r="AF76" s="36">
        <f>IF(B76="","",IFERROR(INDEX(Shipping!$C$5:$C$64,MATCH(J76,Shipping!$L$5:$L$64,0)),""))</f>
        <v>0</v>
      </c>
      <c r="AG76" s="20">
        <f>IF(B76="","",ROUND(MAX(0,AD76-AE76),2))</f>
        <v>0</v>
      </c>
      <c r="AH76" s="20">
        <f>IF(B76="","",ROUND(T76+Z76+AA76+AB76+AG76,2))</f>
        <v>0</v>
      </c>
      <c r="AI76" s="33">
        <f>IF(B76="","",IFERROR(INDEX(Channels!$S$5:$S$18,MATCH(IF(H76="",DefaultChannel,H76),Channels!$A$5:$A$18,0)),0))</f>
        <v>0</v>
      </c>
      <c r="AJ76" s="42">
        <f>IF(B76="","",IFERROR(INDEX(Channels!$O$5:$O$18,MATCH(IF(H76="",DefaultChannel,H76),Channels!$A$5:$A$18,0)),"No"))</f>
        <v>0</v>
      </c>
      <c r="AK76" s="20">
        <f>IF(B76="","",ROUND(IFERROR(INDEX(Channels!$T$5:$T$18,MATCH(IF(H76="",DefaultChannel,H76),Channels!$A$5:$A$18,0)),0)+IF(AJ76="Yes",AE76*AI76,0),4))</f>
        <v>0</v>
      </c>
      <c r="AL76" s="33">
        <f>IF(B76="","",IF(OverheadMethod="Share of revenue",IF(RevenueTargetMonth&lt;=0,0,OverheadMonthly/RevenueTargetMonth),0))</f>
        <v>0</v>
      </c>
      <c r="AM76" s="20">
        <f>IF(B76="","",IF(OverheadMethod="Per hour worked",ROUND(OverheadPerHour*Y76,2),IF(OR(OverheadMethod="Per unit made",OverheadMethod="Per order"),OverheadPerUnit,0)))</f>
        <v>0</v>
      </c>
      <c r="AN76" s="33">
        <f>IF(B76="","",IF(N76&lt;&gt;"",N76,TargetRetailMargin))</f>
        <v>0</v>
      </c>
      <c r="AO76" s="41">
        <f>IF(B76="","",1-AN76-AI76-AL76)</f>
        <v>0</v>
      </c>
      <c r="AP76" s="20">
        <f>IF(B76="","",IF(AO76&lt;=0,"",(AH76+AM76+AK76)/AO76))</f>
        <v>0</v>
      </c>
      <c r="AQ76" s="20">
        <f>IF(B76="","",IF(AP76="","Check the settings",ROUND(IF(RoundingRule="None",AP76,IF(RoundingRule="Nearest 0.99",MAX(0.99,CEILING(AP76,1)-0.01),IF(RoundingRule="Nearest 0.95",MAX(0.95,CEILING(AP76,1)-0.05),IF(RoundingRule="Nearest 0.50",CEILING(AP76,0.5),IF(RoundingRule="Nearest 1",CEILING(AP76,1),IF(RoundingRule="Nearest 5",CEILING(AP76,5),IF(RoundingRule="Up to whole 1",CEILING(AP76,1),IF(RoundingRule="Up to whole 5",CEILING(AP76,5),ROUND(AP76,2))))))))),2)))</f>
        <v>0</v>
      </c>
      <c r="AR76" s="20">
        <f>IF(B76="","",IF(M76&lt;&gt;"",M76,IF(ISNUMBER(AQ76),AQ76,"")))</f>
        <v>0</v>
      </c>
      <c r="AS76" s="20">
        <f>IF(B76="","",IF(AR76="","",ROUND(AM76+AR76*AL76,2)))</f>
        <v>0</v>
      </c>
      <c r="AT76" s="20">
        <f>IF(B76="","",IF(AR76="","",ROUND(AH76+AS76,2)))</f>
        <v>0</v>
      </c>
      <c r="AU76" s="20">
        <f>IF(B76="","",IF(AR76="","",ROUND(AR76*AI76+AK76,2)))</f>
        <v>0</v>
      </c>
      <c r="AV76" s="20">
        <f>IF(B76="","",IF(AR76="","",ROUND(AR76-AT76-AU76,2)))</f>
        <v>0</v>
      </c>
      <c r="AW76" s="33">
        <f>IF(B76="","",IF(OR(AR76="",AR76=0),"",AV76/AR76))</f>
        <v>0</v>
      </c>
      <c r="AX76" s="33">
        <f>IF(B76="","",IF(OR(AT76="",AT76=0),"",AV76/AT76))</f>
        <v>0</v>
      </c>
      <c r="AY76" s="20">
        <f>IF(B76="","",IF(OR(Y76="",Y76=0,AV76=""),"",ROUND(AV76/Y76,2)))</f>
        <v>0</v>
      </c>
      <c r="AZ76" s="20">
        <f>IF(B76="","",IF(OR(Y76="",Y76=0,AV76=""),"",ROUND((AV76+Z76)/Y76,2)))</f>
        <v>0</v>
      </c>
      <c r="BA76" s="20">
        <f>IF(B76="","",IF(1-AI76-AL76&lt;=0,"",ROUND((AH76+AM76+AK76)/(1-AI76-AL76),2)))</f>
        <v>0</v>
      </c>
      <c r="BB76" s="20">
        <f>IF(B76="","",IF(AT76="","",ROUND(AT76*2,2)))</f>
        <v>0</v>
      </c>
      <c r="BC76" s="20">
        <f>IF(B76="","",IF(AR76="","",ROUND(AR76*(1-WholesaleDiscount),2)))</f>
        <v>0</v>
      </c>
      <c r="BD76" s="20">
        <f>IF(B76="","",IF(BC76="","",ROUND(BC76-AH76-AM76,2)))</f>
        <v>0</v>
      </c>
      <c r="BE76" s="33">
        <f>IF(B76="","",IF(OR(BC76="",BC76=0),"",BD76/BC76))</f>
        <v>0</v>
      </c>
      <c r="BF76" s="20">
        <f>IF(B76="","",IFERROR(ROUND(AVERAGEIFS(Competitors!$F$5:$F$154,Competitors!$A$5:$A$154,A76),2),""))</f>
        <v>0</v>
      </c>
      <c r="BG76" s="33">
        <f>IF(B76="","",IF(OR(BF76="",BF76=0,AR76=""),"",AR76/BF76-1))</f>
        <v>0</v>
      </c>
      <c r="BH76" s="32">
        <f>IF(B76="","",SUMIFS(Sales!$D$5:$D$804,Sales!$C$5:$C$804,A76))</f>
        <v>0</v>
      </c>
      <c r="BI76" s="20">
        <f>IF(B76="","",ROUND(SUMIFS(Sales!$V$5:$V$804,Sales!$C$5:$C$804,A76),2))</f>
        <v>0</v>
      </c>
      <c r="BJ76" s="20">
        <f>IF(B76="","",ROUND(SUMIFS(Sales!$AG$5:$AG$804,Sales!$C$5:$C$804,A76),2))</f>
        <v>0</v>
      </c>
      <c r="BK76" s="33">
        <f>IF(B76="","",IF(OR(BI76="",BI76=0),"",BJ76/BI76))</f>
        <v>0</v>
      </c>
      <c r="BL76" s="17">
        <f>IF(B76="","",IF(SUMPRODUCT(MAX((Sales!$C$5:$C$804=A76)*Sales!$B$5:$B$804))=0,"",SUMPRODUCT(MAX((Sales!$C$5:$C$804=A76)*Sales!$B$5:$B$804))))</f>
        <v>0</v>
      </c>
      <c r="BM76" s="17">
        <f>IF(B76="","",IF(SUMPRODUCT(MAX(('Price History'!$B$5:$B$304=A76)*'Price History'!$A$5:$A$304))=0,IF(P76="","",P76),SUMPRODUCT(MAX(('Price History'!$B$5:$B$304=A76)*'Price History'!$A$5:$A$304))))</f>
        <v>0</v>
      </c>
      <c r="BN76" s="32">
        <f>IF(B76="","",IF(BM76="","",TodayDate-BM76))</f>
        <v>0</v>
      </c>
      <c r="BO76" s="32">
        <f>IF(B76="","",COUNTIFS($AV$5:$AV$304,"&gt;"&amp;AV76)+COUNTIFS($AV$5:AV76,AV76))</f>
        <v>0</v>
      </c>
      <c r="BP76" s="32">
        <f>IF(B76="","",COUNTIFS($AW$5:$AW$304,"&gt;"&amp;AW76)+COUNTIFS($AW$5:AW76,AW76))</f>
        <v>0</v>
      </c>
      <c r="BQ76" s="32">
        <f>IF(B76="","",COUNTIFS($BI$5:$BI$304,"&gt;"&amp;BI76)+COUNTIFS($BI$5:BI76,BI76))</f>
        <v>0</v>
      </c>
      <c r="BR76" s="32">
        <f>IF(B76="","",COUNTIFS($AY$5:$AY$304,"&gt;"&amp;AY76)+COUNTIFS($AY$5:AY76,AY76))</f>
        <v>0</v>
      </c>
      <c r="BS76" s="43">
        <f>IF(B76="","",IF(AH76=0,"Add - no costs entered yet",IF(AR76="","Check - no price yet",IF(AV76&lt;0,"Loss - every sale costs you money",IF(AND(AZ76&lt;&gt;"",AZ76&lt;MinimumWage),"Below - pays under minimum wage",IF(AW76&lt;MarginWarning,"Low margin - re-price it",IF(AND(AF76&lt;&gt;"",K76&lt;&gt;"",K76+AC76&gt;AF76),"Check - too heavy for that postage band",IF(AND(BN76&lt;&gt;"",BN76&gt;PriceReviewDays),"Due - price has not been reviewed",IF(AND(BG76&lt;&gt;"",BG76&gt;0.5),"Check - well above the market","OK")))))))) )</f>
        <v>0</v>
      </c>
    </row>
    <row r="77" spans="1:71">
      <c r="A77" s="38">
        <f>IF(B77="","",ProductPrefix&amp;TEXT(ROW()-4,"0000"))</f>
        <v>0</v>
      </c>
      <c r="S77" s="38">
        <f>IF(B77="","",IF(C77&lt;&gt;"",C77,UPPER(LEFT(IF(D77="","GEN",D77),3))&amp;"-"&amp;TEXT(ROW()-4,"000")))</f>
        <v>0</v>
      </c>
      <c r="T77" s="20">
        <f>IF(B77="","",ROUND(SUMIFS('Material Usage'!$M$5:$M$904,'Material Usage'!$A$5:$A$904,A77)+SUMIFS(Crochet!$AD$5:$AD$84,Crochet!$A$5:$A$84,A77)+SUMIFS(Jewelry!$AF$5:$AF$84,Jewelry!$A$5:$A$84,A77)+SUMIFS(Candles!$AF$5:$AF$84,Candles!$A$5:$A$84,A77)+SUMIFS(Clothing!$AB$5:$AB$84,Clothing!$A$5:$A$84,A77)+SUMIFS(Woodworking!$AC$5:$AC$84,Woodworking!$A$5:$A$84,A77)+SUMIFS(Digital!$X$5:$X$84,Digital!$A$5:$A$84,A77),2))</f>
        <v>0</v>
      </c>
      <c r="U77" s="20">
        <f>IF(B77="","",ROUND(SUMIFS(Labor!$O$5:$O$304,Labor!$A$5:$A$304,A77)+SUMIFS(Crochet!$AG$5:$AG$84,Crochet!$A$5:$A$84,A77)+SUMIFS(Jewelry!$AI$5:$AI$84,Jewelry!$A$5:$A$84,A77)+SUMIFS(Candles!$AI$5:$AI$84,Candles!$A$5:$A$84,A77)+SUMIFS(Clothing!$AE$5:$AE$84,Clothing!$A$5:$A$84,A77)+SUMIFS(Woodworking!$AF$5:$AF$84,Woodworking!$A$5:$A$84,A77)+SUMIFS(Digital!$Z$5:$Z$84,Digital!$A$5:$A$84,A77),2))</f>
        <v>0</v>
      </c>
      <c r="V77" s="36">
        <f>IF(B77="","",ROUND(SUMIFS(Labor!$P$5:$P$304,Labor!$A$5:$A$304,A77)+SUMIFS(Crochet!$AE$5:$AE$84,Crochet!$A$5:$A$84,A77)+SUMIFS(Jewelry!$AG$5:$AG$84,Jewelry!$A$5:$A$84,A77)+SUMIFS(Candles!$AG$5:$AG$84,Candles!$A$5:$A$84,A77)+SUMIFS(Clothing!$AC$5:$AC$84,Clothing!$A$5:$A$84,A77)+SUMIFS(Woodworking!$AD$5:$AD$84,Woodworking!$A$5:$A$84,A77)+SUMIFS(Digital!$Y$5:$Y$84,Digital!$A$5:$A$84,A77),1))</f>
        <v>0</v>
      </c>
      <c r="W77" s="41">
        <f>IF(B77="","",IFERROR(INDEX(DiffTimeFactors,MATCH(G77,DiffNames,0)),1))</f>
        <v>0</v>
      </c>
      <c r="X77" s="36">
        <f>IF(B77="","",ROUND(V77*W77,1))</f>
        <v>0</v>
      </c>
      <c r="Y77" s="41">
        <f>IF(B77="","",ROUND(X77/60,3))</f>
        <v>0</v>
      </c>
      <c r="Z77" s="20">
        <f>IF(B77="","",ROUND(U77*W77,2))</f>
        <v>0</v>
      </c>
      <c r="AA77" s="20">
        <f>IF(B77="","",ROUND(SUMIFS(Labor!$Q$5:$Q$304,Labor!$A$5:$A$304,A77)+SUMIFS(Crochet!$AH$5:$AH$84,Crochet!$A$5:$A$84,A77)+SUMIFS(Jewelry!$AJ$5:$AJ$84,Jewelry!$A$5:$A$84,A77)+SUMIFS(Candles!$AJ$5:$AJ$84,Candles!$A$5:$A$84,A77)+SUMIFS(Clothing!$AF$5:$AF$84,Clothing!$A$5:$A$84,A77)+SUMIFS(Woodworking!$AH$5:$AH$84,Woodworking!$A$5:$A$84,A77)+SUMIFS(Digital!$AA$5:$AA$84,Digital!$A$5:$A$84,A77),2))</f>
        <v>0</v>
      </c>
      <c r="AB77" s="20">
        <f>IF(B77="","",ROUND(IF(I77="Budget",PackBudget,IF(I77="Standard",PackStandard,IF(I77="Gift",PackGift,IF(I77="Premium",PackPremium,DefaultPackaging)))),2))</f>
        <v>0</v>
      </c>
      <c r="AC77" s="36">
        <f>IF(B77="","",IF(I77="Budget",PackWeightBudget,IF(I77="Standard",PackWeightStandard,IF(I77="Gift",PackWeightGift,IF(I77="Premium",PackWeightPremium,0)))))</f>
        <v>0</v>
      </c>
      <c r="AD77" s="20">
        <f>IF(B77="","",IFERROR(INDEX(Shipping!$M$5:$M$64,MATCH(J77,Shipping!$L$5:$L$64,0)),DefaultShipping))</f>
        <v>0</v>
      </c>
      <c r="AE77" s="20">
        <f>IF(B77="","",IFERROR(INDEX(Shipping!$F$5:$F$64,MATCH(J77,Shipping!$L$5:$L$64,0)),0))</f>
        <v>0</v>
      </c>
      <c r="AF77" s="36">
        <f>IF(B77="","",IFERROR(INDEX(Shipping!$C$5:$C$64,MATCH(J77,Shipping!$L$5:$L$64,0)),""))</f>
        <v>0</v>
      </c>
      <c r="AG77" s="20">
        <f>IF(B77="","",ROUND(MAX(0,AD77-AE77),2))</f>
        <v>0</v>
      </c>
      <c r="AH77" s="20">
        <f>IF(B77="","",ROUND(T77+Z77+AA77+AB77+AG77,2))</f>
        <v>0</v>
      </c>
      <c r="AI77" s="33">
        <f>IF(B77="","",IFERROR(INDEX(Channels!$S$5:$S$18,MATCH(IF(H77="",DefaultChannel,H77),Channels!$A$5:$A$18,0)),0))</f>
        <v>0</v>
      </c>
      <c r="AJ77" s="42">
        <f>IF(B77="","",IFERROR(INDEX(Channels!$O$5:$O$18,MATCH(IF(H77="",DefaultChannel,H77),Channels!$A$5:$A$18,0)),"No"))</f>
        <v>0</v>
      </c>
      <c r="AK77" s="20">
        <f>IF(B77="","",ROUND(IFERROR(INDEX(Channels!$T$5:$T$18,MATCH(IF(H77="",DefaultChannel,H77),Channels!$A$5:$A$18,0)),0)+IF(AJ77="Yes",AE77*AI77,0),4))</f>
        <v>0</v>
      </c>
      <c r="AL77" s="33">
        <f>IF(B77="","",IF(OverheadMethod="Share of revenue",IF(RevenueTargetMonth&lt;=0,0,OverheadMonthly/RevenueTargetMonth),0))</f>
        <v>0</v>
      </c>
      <c r="AM77" s="20">
        <f>IF(B77="","",IF(OverheadMethod="Per hour worked",ROUND(OverheadPerHour*Y77,2),IF(OR(OverheadMethod="Per unit made",OverheadMethod="Per order"),OverheadPerUnit,0)))</f>
        <v>0</v>
      </c>
      <c r="AN77" s="33">
        <f>IF(B77="","",IF(N77&lt;&gt;"",N77,TargetRetailMargin))</f>
        <v>0</v>
      </c>
      <c r="AO77" s="41">
        <f>IF(B77="","",1-AN77-AI77-AL77)</f>
        <v>0</v>
      </c>
      <c r="AP77" s="20">
        <f>IF(B77="","",IF(AO77&lt;=0,"",(AH77+AM77+AK77)/AO77))</f>
        <v>0</v>
      </c>
      <c r="AQ77" s="20">
        <f>IF(B77="","",IF(AP77="","Check the settings",ROUND(IF(RoundingRule="None",AP77,IF(RoundingRule="Nearest 0.99",MAX(0.99,CEILING(AP77,1)-0.01),IF(RoundingRule="Nearest 0.95",MAX(0.95,CEILING(AP77,1)-0.05),IF(RoundingRule="Nearest 0.50",CEILING(AP77,0.5),IF(RoundingRule="Nearest 1",CEILING(AP77,1),IF(RoundingRule="Nearest 5",CEILING(AP77,5),IF(RoundingRule="Up to whole 1",CEILING(AP77,1),IF(RoundingRule="Up to whole 5",CEILING(AP77,5),ROUND(AP77,2))))))))),2)))</f>
        <v>0</v>
      </c>
      <c r="AR77" s="20">
        <f>IF(B77="","",IF(M77&lt;&gt;"",M77,IF(ISNUMBER(AQ77),AQ77,"")))</f>
        <v>0</v>
      </c>
      <c r="AS77" s="20">
        <f>IF(B77="","",IF(AR77="","",ROUND(AM77+AR77*AL77,2)))</f>
        <v>0</v>
      </c>
      <c r="AT77" s="20">
        <f>IF(B77="","",IF(AR77="","",ROUND(AH77+AS77,2)))</f>
        <v>0</v>
      </c>
      <c r="AU77" s="20">
        <f>IF(B77="","",IF(AR77="","",ROUND(AR77*AI77+AK77,2)))</f>
        <v>0</v>
      </c>
      <c r="AV77" s="20">
        <f>IF(B77="","",IF(AR77="","",ROUND(AR77-AT77-AU77,2)))</f>
        <v>0</v>
      </c>
      <c r="AW77" s="33">
        <f>IF(B77="","",IF(OR(AR77="",AR77=0),"",AV77/AR77))</f>
        <v>0</v>
      </c>
      <c r="AX77" s="33">
        <f>IF(B77="","",IF(OR(AT77="",AT77=0),"",AV77/AT77))</f>
        <v>0</v>
      </c>
      <c r="AY77" s="20">
        <f>IF(B77="","",IF(OR(Y77="",Y77=0,AV77=""),"",ROUND(AV77/Y77,2)))</f>
        <v>0</v>
      </c>
      <c r="AZ77" s="20">
        <f>IF(B77="","",IF(OR(Y77="",Y77=0,AV77=""),"",ROUND((AV77+Z77)/Y77,2)))</f>
        <v>0</v>
      </c>
      <c r="BA77" s="20">
        <f>IF(B77="","",IF(1-AI77-AL77&lt;=0,"",ROUND((AH77+AM77+AK77)/(1-AI77-AL77),2)))</f>
        <v>0</v>
      </c>
      <c r="BB77" s="20">
        <f>IF(B77="","",IF(AT77="","",ROUND(AT77*2,2)))</f>
        <v>0</v>
      </c>
      <c r="BC77" s="20">
        <f>IF(B77="","",IF(AR77="","",ROUND(AR77*(1-WholesaleDiscount),2)))</f>
        <v>0</v>
      </c>
      <c r="BD77" s="20">
        <f>IF(B77="","",IF(BC77="","",ROUND(BC77-AH77-AM77,2)))</f>
        <v>0</v>
      </c>
      <c r="BE77" s="33">
        <f>IF(B77="","",IF(OR(BC77="",BC77=0),"",BD77/BC77))</f>
        <v>0</v>
      </c>
      <c r="BF77" s="20">
        <f>IF(B77="","",IFERROR(ROUND(AVERAGEIFS(Competitors!$F$5:$F$154,Competitors!$A$5:$A$154,A77),2),""))</f>
        <v>0</v>
      </c>
      <c r="BG77" s="33">
        <f>IF(B77="","",IF(OR(BF77="",BF77=0,AR77=""),"",AR77/BF77-1))</f>
        <v>0</v>
      </c>
      <c r="BH77" s="32">
        <f>IF(B77="","",SUMIFS(Sales!$D$5:$D$804,Sales!$C$5:$C$804,A77))</f>
        <v>0</v>
      </c>
      <c r="BI77" s="20">
        <f>IF(B77="","",ROUND(SUMIFS(Sales!$V$5:$V$804,Sales!$C$5:$C$804,A77),2))</f>
        <v>0</v>
      </c>
      <c r="BJ77" s="20">
        <f>IF(B77="","",ROUND(SUMIFS(Sales!$AG$5:$AG$804,Sales!$C$5:$C$804,A77),2))</f>
        <v>0</v>
      </c>
      <c r="BK77" s="33">
        <f>IF(B77="","",IF(OR(BI77="",BI77=0),"",BJ77/BI77))</f>
        <v>0</v>
      </c>
      <c r="BL77" s="17">
        <f>IF(B77="","",IF(SUMPRODUCT(MAX((Sales!$C$5:$C$804=A77)*Sales!$B$5:$B$804))=0,"",SUMPRODUCT(MAX((Sales!$C$5:$C$804=A77)*Sales!$B$5:$B$804))))</f>
        <v>0</v>
      </c>
      <c r="BM77" s="17">
        <f>IF(B77="","",IF(SUMPRODUCT(MAX(('Price History'!$B$5:$B$304=A77)*'Price History'!$A$5:$A$304))=0,IF(P77="","",P77),SUMPRODUCT(MAX(('Price History'!$B$5:$B$304=A77)*'Price History'!$A$5:$A$304))))</f>
        <v>0</v>
      </c>
      <c r="BN77" s="32">
        <f>IF(B77="","",IF(BM77="","",TodayDate-BM77))</f>
        <v>0</v>
      </c>
      <c r="BO77" s="32">
        <f>IF(B77="","",COUNTIFS($AV$5:$AV$304,"&gt;"&amp;AV77)+COUNTIFS($AV$5:AV77,AV77))</f>
        <v>0</v>
      </c>
      <c r="BP77" s="32">
        <f>IF(B77="","",COUNTIFS($AW$5:$AW$304,"&gt;"&amp;AW77)+COUNTIFS($AW$5:AW77,AW77))</f>
        <v>0</v>
      </c>
      <c r="BQ77" s="32">
        <f>IF(B77="","",COUNTIFS($BI$5:$BI$304,"&gt;"&amp;BI77)+COUNTIFS($BI$5:BI77,BI77))</f>
        <v>0</v>
      </c>
      <c r="BR77" s="32">
        <f>IF(B77="","",COUNTIFS($AY$5:$AY$304,"&gt;"&amp;AY77)+COUNTIFS($AY$5:AY77,AY77))</f>
        <v>0</v>
      </c>
      <c r="BS77" s="43">
        <f>IF(B77="","",IF(AH77=0,"Add - no costs entered yet",IF(AR77="","Check - no price yet",IF(AV77&lt;0,"Loss - every sale costs you money",IF(AND(AZ77&lt;&gt;"",AZ77&lt;MinimumWage),"Below - pays under minimum wage",IF(AW77&lt;MarginWarning,"Low margin - re-price it",IF(AND(AF77&lt;&gt;"",K77&lt;&gt;"",K77+AC77&gt;AF77),"Check - too heavy for that postage band",IF(AND(BN77&lt;&gt;"",BN77&gt;PriceReviewDays),"Due - price has not been reviewed",IF(AND(BG77&lt;&gt;"",BG77&gt;0.5),"Check - well above the market","OK")))))))) )</f>
        <v>0</v>
      </c>
    </row>
    <row r="78" spans="1:71">
      <c r="A78" s="38">
        <f>IF(B78="","",ProductPrefix&amp;TEXT(ROW()-4,"0000"))</f>
        <v>0</v>
      </c>
      <c r="S78" s="38">
        <f>IF(B78="","",IF(C78&lt;&gt;"",C78,UPPER(LEFT(IF(D78="","GEN",D78),3))&amp;"-"&amp;TEXT(ROW()-4,"000")))</f>
        <v>0</v>
      </c>
      <c r="T78" s="20">
        <f>IF(B78="","",ROUND(SUMIFS('Material Usage'!$M$5:$M$904,'Material Usage'!$A$5:$A$904,A78)+SUMIFS(Crochet!$AD$5:$AD$84,Crochet!$A$5:$A$84,A78)+SUMIFS(Jewelry!$AF$5:$AF$84,Jewelry!$A$5:$A$84,A78)+SUMIFS(Candles!$AF$5:$AF$84,Candles!$A$5:$A$84,A78)+SUMIFS(Clothing!$AB$5:$AB$84,Clothing!$A$5:$A$84,A78)+SUMIFS(Woodworking!$AC$5:$AC$84,Woodworking!$A$5:$A$84,A78)+SUMIFS(Digital!$X$5:$X$84,Digital!$A$5:$A$84,A78),2))</f>
        <v>0</v>
      </c>
      <c r="U78" s="20">
        <f>IF(B78="","",ROUND(SUMIFS(Labor!$O$5:$O$304,Labor!$A$5:$A$304,A78)+SUMIFS(Crochet!$AG$5:$AG$84,Crochet!$A$5:$A$84,A78)+SUMIFS(Jewelry!$AI$5:$AI$84,Jewelry!$A$5:$A$84,A78)+SUMIFS(Candles!$AI$5:$AI$84,Candles!$A$5:$A$84,A78)+SUMIFS(Clothing!$AE$5:$AE$84,Clothing!$A$5:$A$84,A78)+SUMIFS(Woodworking!$AF$5:$AF$84,Woodworking!$A$5:$A$84,A78)+SUMIFS(Digital!$Z$5:$Z$84,Digital!$A$5:$A$84,A78),2))</f>
        <v>0</v>
      </c>
      <c r="V78" s="36">
        <f>IF(B78="","",ROUND(SUMIFS(Labor!$P$5:$P$304,Labor!$A$5:$A$304,A78)+SUMIFS(Crochet!$AE$5:$AE$84,Crochet!$A$5:$A$84,A78)+SUMIFS(Jewelry!$AG$5:$AG$84,Jewelry!$A$5:$A$84,A78)+SUMIFS(Candles!$AG$5:$AG$84,Candles!$A$5:$A$84,A78)+SUMIFS(Clothing!$AC$5:$AC$84,Clothing!$A$5:$A$84,A78)+SUMIFS(Woodworking!$AD$5:$AD$84,Woodworking!$A$5:$A$84,A78)+SUMIFS(Digital!$Y$5:$Y$84,Digital!$A$5:$A$84,A78),1))</f>
        <v>0</v>
      </c>
      <c r="W78" s="41">
        <f>IF(B78="","",IFERROR(INDEX(DiffTimeFactors,MATCH(G78,DiffNames,0)),1))</f>
        <v>0</v>
      </c>
      <c r="X78" s="36">
        <f>IF(B78="","",ROUND(V78*W78,1))</f>
        <v>0</v>
      </c>
      <c r="Y78" s="41">
        <f>IF(B78="","",ROUND(X78/60,3))</f>
        <v>0</v>
      </c>
      <c r="Z78" s="20">
        <f>IF(B78="","",ROUND(U78*W78,2))</f>
        <v>0</v>
      </c>
      <c r="AA78" s="20">
        <f>IF(B78="","",ROUND(SUMIFS(Labor!$Q$5:$Q$304,Labor!$A$5:$A$304,A78)+SUMIFS(Crochet!$AH$5:$AH$84,Crochet!$A$5:$A$84,A78)+SUMIFS(Jewelry!$AJ$5:$AJ$84,Jewelry!$A$5:$A$84,A78)+SUMIFS(Candles!$AJ$5:$AJ$84,Candles!$A$5:$A$84,A78)+SUMIFS(Clothing!$AF$5:$AF$84,Clothing!$A$5:$A$84,A78)+SUMIFS(Woodworking!$AH$5:$AH$84,Woodworking!$A$5:$A$84,A78)+SUMIFS(Digital!$AA$5:$AA$84,Digital!$A$5:$A$84,A78),2))</f>
        <v>0</v>
      </c>
      <c r="AB78" s="20">
        <f>IF(B78="","",ROUND(IF(I78="Budget",PackBudget,IF(I78="Standard",PackStandard,IF(I78="Gift",PackGift,IF(I78="Premium",PackPremium,DefaultPackaging)))),2))</f>
        <v>0</v>
      </c>
      <c r="AC78" s="36">
        <f>IF(B78="","",IF(I78="Budget",PackWeightBudget,IF(I78="Standard",PackWeightStandard,IF(I78="Gift",PackWeightGift,IF(I78="Premium",PackWeightPremium,0)))))</f>
        <v>0</v>
      </c>
      <c r="AD78" s="20">
        <f>IF(B78="","",IFERROR(INDEX(Shipping!$M$5:$M$64,MATCH(J78,Shipping!$L$5:$L$64,0)),DefaultShipping))</f>
        <v>0</v>
      </c>
      <c r="AE78" s="20">
        <f>IF(B78="","",IFERROR(INDEX(Shipping!$F$5:$F$64,MATCH(J78,Shipping!$L$5:$L$64,0)),0))</f>
        <v>0</v>
      </c>
      <c r="AF78" s="36">
        <f>IF(B78="","",IFERROR(INDEX(Shipping!$C$5:$C$64,MATCH(J78,Shipping!$L$5:$L$64,0)),""))</f>
        <v>0</v>
      </c>
      <c r="AG78" s="20">
        <f>IF(B78="","",ROUND(MAX(0,AD78-AE78),2))</f>
        <v>0</v>
      </c>
      <c r="AH78" s="20">
        <f>IF(B78="","",ROUND(T78+Z78+AA78+AB78+AG78,2))</f>
        <v>0</v>
      </c>
      <c r="AI78" s="33">
        <f>IF(B78="","",IFERROR(INDEX(Channels!$S$5:$S$18,MATCH(IF(H78="",DefaultChannel,H78),Channels!$A$5:$A$18,0)),0))</f>
        <v>0</v>
      </c>
      <c r="AJ78" s="42">
        <f>IF(B78="","",IFERROR(INDEX(Channels!$O$5:$O$18,MATCH(IF(H78="",DefaultChannel,H78),Channels!$A$5:$A$18,0)),"No"))</f>
        <v>0</v>
      </c>
      <c r="AK78" s="20">
        <f>IF(B78="","",ROUND(IFERROR(INDEX(Channels!$T$5:$T$18,MATCH(IF(H78="",DefaultChannel,H78),Channels!$A$5:$A$18,0)),0)+IF(AJ78="Yes",AE78*AI78,0),4))</f>
        <v>0</v>
      </c>
      <c r="AL78" s="33">
        <f>IF(B78="","",IF(OverheadMethod="Share of revenue",IF(RevenueTargetMonth&lt;=0,0,OverheadMonthly/RevenueTargetMonth),0))</f>
        <v>0</v>
      </c>
      <c r="AM78" s="20">
        <f>IF(B78="","",IF(OverheadMethod="Per hour worked",ROUND(OverheadPerHour*Y78,2),IF(OR(OverheadMethod="Per unit made",OverheadMethod="Per order"),OverheadPerUnit,0)))</f>
        <v>0</v>
      </c>
      <c r="AN78" s="33">
        <f>IF(B78="","",IF(N78&lt;&gt;"",N78,TargetRetailMargin))</f>
        <v>0</v>
      </c>
      <c r="AO78" s="41">
        <f>IF(B78="","",1-AN78-AI78-AL78)</f>
        <v>0</v>
      </c>
      <c r="AP78" s="20">
        <f>IF(B78="","",IF(AO78&lt;=0,"",(AH78+AM78+AK78)/AO78))</f>
        <v>0</v>
      </c>
      <c r="AQ78" s="20">
        <f>IF(B78="","",IF(AP78="","Check the settings",ROUND(IF(RoundingRule="None",AP78,IF(RoundingRule="Nearest 0.99",MAX(0.99,CEILING(AP78,1)-0.01),IF(RoundingRule="Nearest 0.95",MAX(0.95,CEILING(AP78,1)-0.05),IF(RoundingRule="Nearest 0.50",CEILING(AP78,0.5),IF(RoundingRule="Nearest 1",CEILING(AP78,1),IF(RoundingRule="Nearest 5",CEILING(AP78,5),IF(RoundingRule="Up to whole 1",CEILING(AP78,1),IF(RoundingRule="Up to whole 5",CEILING(AP78,5),ROUND(AP78,2))))))))),2)))</f>
        <v>0</v>
      </c>
      <c r="AR78" s="20">
        <f>IF(B78="","",IF(M78&lt;&gt;"",M78,IF(ISNUMBER(AQ78),AQ78,"")))</f>
        <v>0</v>
      </c>
      <c r="AS78" s="20">
        <f>IF(B78="","",IF(AR78="","",ROUND(AM78+AR78*AL78,2)))</f>
        <v>0</v>
      </c>
      <c r="AT78" s="20">
        <f>IF(B78="","",IF(AR78="","",ROUND(AH78+AS78,2)))</f>
        <v>0</v>
      </c>
      <c r="AU78" s="20">
        <f>IF(B78="","",IF(AR78="","",ROUND(AR78*AI78+AK78,2)))</f>
        <v>0</v>
      </c>
      <c r="AV78" s="20">
        <f>IF(B78="","",IF(AR78="","",ROUND(AR78-AT78-AU78,2)))</f>
        <v>0</v>
      </c>
      <c r="AW78" s="33">
        <f>IF(B78="","",IF(OR(AR78="",AR78=0),"",AV78/AR78))</f>
        <v>0</v>
      </c>
      <c r="AX78" s="33">
        <f>IF(B78="","",IF(OR(AT78="",AT78=0),"",AV78/AT78))</f>
        <v>0</v>
      </c>
      <c r="AY78" s="20">
        <f>IF(B78="","",IF(OR(Y78="",Y78=0,AV78=""),"",ROUND(AV78/Y78,2)))</f>
        <v>0</v>
      </c>
      <c r="AZ78" s="20">
        <f>IF(B78="","",IF(OR(Y78="",Y78=0,AV78=""),"",ROUND((AV78+Z78)/Y78,2)))</f>
        <v>0</v>
      </c>
      <c r="BA78" s="20">
        <f>IF(B78="","",IF(1-AI78-AL78&lt;=0,"",ROUND((AH78+AM78+AK78)/(1-AI78-AL78),2)))</f>
        <v>0</v>
      </c>
      <c r="BB78" s="20">
        <f>IF(B78="","",IF(AT78="","",ROUND(AT78*2,2)))</f>
        <v>0</v>
      </c>
      <c r="BC78" s="20">
        <f>IF(B78="","",IF(AR78="","",ROUND(AR78*(1-WholesaleDiscount),2)))</f>
        <v>0</v>
      </c>
      <c r="BD78" s="20">
        <f>IF(B78="","",IF(BC78="","",ROUND(BC78-AH78-AM78,2)))</f>
        <v>0</v>
      </c>
      <c r="BE78" s="33">
        <f>IF(B78="","",IF(OR(BC78="",BC78=0),"",BD78/BC78))</f>
        <v>0</v>
      </c>
      <c r="BF78" s="20">
        <f>IF(B78="","",IFERROR(ROUND(AVERAGEIFS(Competitors!$F$5:$F$154,Competitors!$A$5:$A$154,A78),2),""))</f>
        <v>0</v>
      </c>
      <c r="BG78" s="33">
        <f>IF(B78="","",IF(OR(BF78="",BF78=0,AR78=""),"",AR78/BF78-1))</f>
        <v>0</v>
      </c>
      <c r="BH78" s="32">
        <f>IF(B78="","",SUMIFS(Sales!$D$5:$D$804,Sales!$C$5:$C$804,A78))</f>
        <v>0</v>
      </c>
      <c r="BI78" s="20">
        <f>IF(B78="","",ROUND(SUMIFS(Sales!$V$5:$V$804,Sales!$C$5:$C$804,A78),2))</f>
        <v>0</v>
      </c>
      <c r="BJ78" s="20">
        <f>IF(B78="","",ROUND(SUMIFS(Sales!$AG$5:$AG$804,Sales!$C$5:$C$804,A78),2))</f>
        <v>0</v>
      </c>
      <c r="BK78" s="33">
        <f>IF(B78="","",IF(OR(BI78="",BI78=0),"",BJ78/BI78))</f>
        <v>0</v>
      </c>
      <c r="BL78" s="17">
        <f>IF(B78="","",IF(SUMPRODUCT(MAX((Sales!$C$5:$C$804=A78)*Sales!$B$5:$B$804))=0,"",SUMPRODUCT(MAX((Sales!$C$5:$C$804=A78)*Sales!$B$5:$B$804))))</f>
        <v>0</v>
      </c>
      <c r="BM78" s="17">
        <f>IF(B78="","",IF(SUMPRODUCT(MAX(('Price History'!$B$5:$B$304=A78)*'Price History'!$A$5:$A$304))=0,IF(P78="","",P78),SUMPRODUCT(MAX(('Price History'!$B$5:$B$304=A78)*'Price History'!$A$5:$A$304))))</f>
        <v>0</v>
      </c>
      <c r="BN78" s="32">
        <f>IF(B78="","",IF(BM78="","",TodayDate-BM78))</f>
        <v>0</v>
      </c>
      <c r="BO78" s="32">
        <f>IF(B78="","",COUNTIFS($AV$5:$AV$304,"&gt;"&amp;AV78)+COUNTIFS($AV$5:AV78,AV78))</f>
        <v>0</v>
      </c>
      <c r="BP78" s="32">
        <f>IF(B78="","",COUNTIFS($AW$5:$AW$304,"&gt;"&amp;AW78)+COUNTIFS($AW$5:AW78,AW78))</f>
        <v>0</v>
      </c>
      <c r="BQ78" s="32">
        <f>IF(B78="","",COUNTIFS($BI$5:$BI$304,"&gt;"&amp;BI78)+COUNTIFS($BI$5:BI78,BI78))</f>
        <v>0</v>
      </c>
      <c r="BR78" s="32">
        <f>IF(B78="","",COUNTIFS($AY$5:$AY$304,"&gt;"&amp;AY78)+COUNTIFS($AY$5:AY78,AY78))</f>
        <v>0</v>
      </c>
      <c r="BS78" s="43">
        <f>IF(B78="","",IF(AH78=0,"Add - no costs entered yet",IF(AR78="","Check - no price yet",IF(AV78&lt;0,"Loss - every sale costs you money",IF(AND(AZ78&lt;&gt;"",AZ78&lt;MinimumWage),"Below - pays under minimum wage",IF(AW78&lt;MarginWarning,"Low margin - re-price it",IF(AND(AF78&lt;&gt;"",K78&lt;&gt;"",K78+AC78&gt;AF78),"Check - too heavy for that postage band",IF(AND(BN78&lt;&gt;"",BN78&gt;PriceReviewDays),"Due - price has not been reviewed",IF(AND(BG78&lt;&gt;"",BG78&gt;0.5),"Check - well above the market","OK")))))))) )</f>
        <v>0</v>
      </c>
    </row>
    <row r="79" spans="1:71">
      <c r="A79" s="38">
        <f>IF(B79="","",ProductPrefix&amp;TEXT(ROW()-4,"0000"))</f>
        <v>0</v>
      </c>
      <c r="S79" s="38">
        <f>IF(B79="","",IF(C79&lt;&gt;"",C79,UPPER(LEFT(IF(D79="","GEN",D79),3))&amp;"-"&amp;TEXT(ROW()-4,"000")))</f>
        <v>0</v>
      </c>
      <c r="T79" s="20">
        <f>IF(B79="","",ROUND(SUMIFS('Material Usage'!$M$5:$M$904,'Material Usage'!$A$5:$A$904,A79)+SUMIFS(Crochet!$AD$5:$AD$84,Crochet!$A$5:$A$84,A79)+SUMIFS(Jewelry!$AF$5:$AF$84,Jewelry!$A$5:$A$84,A79)+SUMIFS(Candles!$AF$5:$AF$84,Candles!$A$5:$A$84,A79)+SUMIFS(Clothing!$AB$5:$AB$84,Clothing!$A$5:$A$84,A79)+SUMIFS(Woodworking!$AC$5:$AC$84,Woodworking!$A$5:$A$84,A79)+SUMIFS(Digital!$X$5:$X$84,Digital!$A$5:$A$84,A79),2))</f>
        <v>0</v>
      </c>
      <c r="U79" s="20">
        <f>IF(B79="","",ROUND(SUMIFS(Labor!$O$5:$O$304,Labor!$A$5:$A$304,A79)+SUMIFS(Crochet!$AG$5:$AG$84,Crochet!$A$5:$A$84,A79)+SUMIFS(Jewelry!$AI$5:$AI$84,Jewelry!$A$5:$A$84,A79)+SUMIFS(Candles!$AI$5:$AI$84,Candles!$A$5:$A$84,A79)+SUMIFS(Clothing!$AE$5:$AE$84,Clothing!$A$5:$A$84,A79)+SUMIFS(Woodworking!$AF$5:$AF$84,Woodworking!$A$5:$A$84,A79)+SUMIFS(Digital!$Z$5:$Z$84,Digital!$A$5:$A$84,A79),2))</f>
        <v>0</v>
      </c>
      <c r="V79" s="36">
        <f>IF(B79="","",ROUND(SUMIFS(Labor!$P$5:$P$304,Labor!$A$5:$A$304,A79)+SUMIFS(Crochet!$AE$5:$AE$84,Crochet!$A$5:$A$84,A79)+SUMIFS(Jewelry!$AG$5:$AG$84,Jewelry!$A$5:$A$84,A79)+SUMIFS(Candles!$AG$5:$AG$84,Candles!$A$5:$A$84,A79)+SUMIFS(Clothing!$AC$5:$AC$84,Clothing!$A$5:$A$84,A79)+SUMIFS(Woodworking!$AD$5:$AD$84,Woodworking!$A$5:$A$84,A79)+SUMIFS(Digital!$Y$5:$Y$84,Digital!$A$5:$A$84,A79),1))</f>
        <v>0</v>
      </c>
      <c r="W79" s="41">
        <f>IF(B79="","",IFERROR(INDEX(DiffTimeFactors,MATCH(G79,DiffNames,0)),1))</f>
        <v>0</v>
      </c>
      <c r="X79" s="36">
        <f>IF(B79="","",ROUND(V79*W79,1))</f>
        <v>0</v>
      </c>
      <c r="Y79" s="41">
        <f>IF(B79="","",ROUND(X79/60,3))</f>
        <v>0</v>
      </c>
      <c r="Z79" s="20">
        <f>IF(B79="","",ROUND(U79*W79,2))</f>
        <v>0</v>
      </c>
      <c r="AA79" s="20">
        <f>IF(B79="","",ROUND(SUMIFS(Labor!$Q$5:$Q$304,Labor!$A$5:$A$304,A79)+SUMIFS(Crochet!$AH$5:$AH$84,Crochet!$A$5:$A$84,A79)+SUMIFS(Jewelry!$AJ$5:$AJ$84,Jewelry!$A$5:$A$84,A79)+SUMIFS(Candles!$AJ$5:$AJ$84,Candles!$A$5:$A$84,A79)+SUMIFS(Clothing!$AF$5:$AF$84,Clothing!$A$5:$A$84,A79)+SUMIFS(Woodworking!$AH$5:$AH$84,Woodworking!$A$5:$A$84,A79)+SUMIFS(Digital!$AA$5:$AA$84,Digital!$A$5:$A$84,A79),2))</f>
        <v>0</v>
      </c>
      <c r="AB79" s="20">
        <f>IF(B79="","",ROUND(IF(I79="Budget",PackBudget,IF(I79="Standard",PackStandard,IF(I79="Gift",PackGift,IF(I79="Premium",PackPremium,DefaultPackaging)))),2))</f>
        <v>0</v>
      </c>
      <c r="AC79" s="36">
        <f>IF(B79="","",IF(I79="Budget",PackWeightBudget,IF(I79="Standard",PackWeightStandard,IF(I79="Gift",PackWeightGift,IF(I79="Premium",PackWeightPremium,0)))))</f>
        <v>0</v>
      </c>
      <c r="AD79" s="20">
        <f>IF(B79="","",IFERROR(INDEX(Shipping!$M$5:$M$64,MATCH(J79,Shipping!$L$5:$L$64,0)),DefaultShipping))</f>
        <v>0</v>
      </c>
      <c r="AE79" s="20">
        <f>IF(B79="","",IFERROR(INDEX(Shipping!$F$5:$F$64,MATCH(J79,Shipping!$L$5:$L$64,0)),0))</f>
        <v>0</v>
      </c>
      <c r="AF79" s="36">
        <f>IF(B79="","",IFERROR(INDEX(Shipping!$C$5:$C$64,MATCH(J79,Shipping!$L$5:$L$64,0)),""))</f>
        <v>0</v>
      </c>
      <c r="AG79" s="20">
        <f>IF(B79="","",ROUND(MAX(0,AD79-AE79),2))</f>
        <v>0</v>
      </c>
      <c r="AH79" s="20">
        <f>IF(B79="","",ROUND(T79+Z79+AA79+AB79+AG79,2))</f>
        <v>0</v>
      </c>
      <c r="AI79" s="33">
        <f>IF(B79="","",IFERROR(INDEX(Channels!$S$5:$S$18,MATCH(IF(H79="",DefaultChannel,H79),Channels!$A$5:$A$18,0)),0))</f>
        <v>0</v>
      </c>
      <c r="AJ79" s="42">
        <f>IF(B79="","",IFERROR(INDEX(Channels!$O$5:$O$18,MATCH(IF(H79="",DefaultChannel,H79),Channels!$A$5:$A$18,0)),"No"))</f>
        <v>0</v>
      </c>
      <c r="AK79" s="20">
        <f>IF(B79="","",ROUND(IFERROR(INDEX(Channels!$T$5:$T$18,MATCH(IF(H79="",DefaultChannel,H79),Channels!$A$5:$A$18,0)),0)+IF(AJ79="Yes",AE79*AI79,0),4))</f>
        <v>0</v>
      </c>
      <c r="AL79" s="33">
        <f>IF(B79="","",IF(OverheadMethod="Share of revenue",IF(RevenueTargetMonth&lt;=0,0,OverheadMonthly/RevenueTargetMonth),0))</f>
        <v>0</v>
      </c>
      <c r="AM79" s="20">
        <f>IF(B79="","",IF(OverheadMethod="Per hour worked",ROUND(OverheadPerHour*Y79,2),IF(OR(OverheadMethod="Per unit made",OverheadMethod="Per order"),OverheadPerUnit,0)))</f>
        <v>0</v>
      </c>
      <c r="AN79" s="33">
        <f>IF(B79="","",IF(N79&lt;&gt;"",N79,TargetRetailMargin))</f>
        <v>0</v>
      </c>
      <c r="AO79" s="41">
        <f>IF(B79="","",1-AN79-AI79-AL79)</f>
        <v>0</v>
      </c>
      <c r="AP79" s="20">
        <f>IF(B79="","",IF(AO79&lt;=0,"",(AH79+AM79+AK79)/AO79))</f>
        <v>0</v>
      </c>
      <c r="AQ79" s="20">
        <f>IF(B79="","",IF(AP79="","Check the settings",ROUND(IF(RoundingRule="None",AP79,IF(RoundingRule="Nearest 0.99",MAX(0.99,CEILING(AP79,1)-0.01),IF(RoundingRule="Nearest 0.95",MAX(0.95,CEILING(AP79,1)-0.05),IF(RoundingRule="Nearest 0.50",CEILING(AP79,0.5),IF(RoundingRule="Nearest 1",CEILING(AP79,1),IF(RoundingRule="Nearest 5",CEILING(AP79,5),IF(RoundingRule="Up to whole 1",CEILING(AP79,1),IF(RoundingRule="Up to whole 5",CEILING(AP79,5),ROUND(AP79,2))))))))),2)))</f>
        <v>0</v>
      </c>
      <c r="AR79" s="20">
        <f>IF(B79="","",IF(M79&lt;&gt;"",M79,IF(ISNUMBER(AQ79),AQ79,"")))</f>
        <v>0</v>
      </c>
      <c r="AS79" s="20">
        <f>IF(B79="","",IF(AR79="","",ROUND(AM79+AR79*AL79,2)))</f>
        <v>0</v>
      </c>
      <c r="AT79" s="20">
        <f>IF(B79="","",IF(AR79="","",ROUND(AH79+AS79,2)))</f>
        <v>0</v>
      </c>
      <c r="AU79" s="20">
        <f>IF(B79="","",IF(AR79="","",ROUND(AR79*AI79+AK79,2)))</f>
        <v>0</v>
      </c>
      <c r="AV79" s="20">
        <f>IF(B79="","",IF(AR79="","",ROUND(AR79-AT79-AU79,2)))</f>
        <v>0</v>
      </c>
      <c r="AW79" s="33">
        <f>IF(B79="","",IF(OR(AR79="",AR79=0),"",AV79/AR79))</f>
        <v>0</v>
      </c>
      <c r="AX79" s="33">
        <f>IF(B79="","",IF(OR(AT79="",AT79=0),"",AV79/AT79))</f>
        <v>0</v>
      </c>
      <c r="AY79" s="20">
        <f>IF(B79="","",IF(OR(Y79="",Y79=0,AV79=""),"",ROUND(AV79/Y79,2)))</f>
        <v>0</v>
      </c>
      <c r="AZ79" s="20">
        <f>IF(B79="","",IF(OR(Y79="",Y79=0,AV79=""),"",ROUND((AV79+Z79)/Y79,2)))</f>
        <v>0</v>
      </c>
      <c r="BA79" s="20">
        <f>IF(B79="","",IF(1-AI79-AL79&lt;=0,"",ROUND((AH79+AM79+AK79)/(1-AI79-AL79),2)))</f>
        <v>0</v>
      </c>
      <c r="BB79" s="20">
        <f>IF(B79="","",IF(AT79="","",ROUND(AT79*2,2)))</f>
        <v>0</v>
      </c>
      <c r="BC79" s="20">
        <f>IF(B79="","",IF(AR79="","",ROUND(AR79*(1-WholesaleDiscount),2)))</f>
        <v>0</v>
      </c>
      <c r="BD79" s="20">
        <f>IF(B79="","",IF(BC79="","",ROUND(BC79-AH79-AM79,2)))</f>
        <v>0</v>
      </c>
      <c r="BE79" s="33">
        <f>IF(B79="","",IF(OR(BC79="",BC79=0),"",BD79/BC79))</f>
        <v>0</v>
      </c>
      <c r="BF79" s="20">
        <f>IF(B79="","",IFERROR(ROUND(AVERAGEIFS(Competitors!$F$5:$F$154,Competitors!$A$5:$A$154,A79),2),""))</f>
        <v>0</v>
      </c>
      <c r="BG79" s="33">
        <f>IF(B79="","",IF(OR(BF79="",BF79=0,AR79=""),"",AR79/BF79-1))</f>
        <v>0</v>
      </c>
      <c r="BH79" s="32">
        <f>IF(B79="","",SUMIFS(Sales!$D$5:$D$804,Sales!$C$5:$C$804,A79))</f>
        <v>0</v>
      </c>
      <c r="BI79" s="20">
        <f>IF(B79="","",ROUND(SUMIFS(Sales!$V$5:$V$804,Sales!$C$5:$C$804,A79),2))</f>
        <v>0</v>
      </c>
      <c r="BJ79" s="20">
        <f>IF(B79="","",ROUND(SUMIFS(Sales!$AG$5:$AG$804,Sales!$C$5:$C$804,A79),2))</f>
        <v>0</v>
      </c>
      <c r="BK79" s="33">
        <f>IF(B79="","",IF(OR(BI79="",BI79=0),"",BJ79/BI79))</f>
        <v>0</v>
      </c>
      <c r="BL79" s="17">
        <f>IF(B79="","",IF(SUMPRODUCT(MAX((Sales!$C$5:$C$804=A79)*Sales!$B$5:$B$804))=0,"",SUMPRODUCT(MAX((Sales!$C$5:$C$804=A79)*Sales!$B$5:$B$804))))</f>
        <v>0</v>
      </c>
      <c r="BM79" s="17">
        <f>IF(B79="","",IF(SUMPRODUCT(MAX(('Price History'!$B$5:$B$304=A79)*'Price History'!$A$5:$A$304))=0,IF(P79="","",P79),SUMPRODUCT(MAX(('Price History'!$B$5:$B$304=A79)*'Price History'!$A$5:$A$304))))</f>
        <v>0</v>
      </c>
      <c r="BN79" s="32">
        <f>IF(B79="","",IF(BM79="","",TodayDate-BM79))</f>
        <v>0</v>
      </c>
      <c r="BO79" s="32">
        <f>IF(B79="","",COUNTIFS($AV$5:$AV$304,"&gt;"&amp;AV79)+COUNTIFS($AV$5:AV79,AV79))</f>
        <v>0</v>
      </c>
      <c r="BP79" s="32">
        <f>IF(B79="","",COUNTIFS($AW$5:$AW$304,"&gt;"&amp;AW79)+COUNTIFS($AW$5:AW79,AW79))</f>
        <v>0</v>
      </c>
      <c r="BQ79" s="32">
        <f>IF(B79="","",COUNTIFS($BI$5:$BI$304,"&gt;"&amp;BI79)+COUNTIFS($BI$5:BI79,BI79))</f>
        <v>0</v>
      </c>
      <c r="BR79" s="32">
        <f>IF(B79="","",COUNTIFS($AY$5:$AY$304,"&gt;"&amp;AY79)+COUNTIFS($AY$5:AY79,AY79))</f>
        <v>0</v>
      </c>
      <c r="BS79" s="43">
        <f>IF(B79="","",IF(AH79=0,"Add - no costs entered yet",IF(AR79="","Check - no price yet",IF(AV79&lt;0,"Loss - every sale costs you money",IF(AND(AZ79&lt;&gt;"",AZ79&lt;MinimumWage),"Below - pays under minimum wage",IF(AW79&lt;MarginWarning,"Low margin - re-price it",IF(AND(AF79&lt;&gt;"",K79&lt;&gt;"",K79+AC79&gt;AF79),"Check - too heavy for that postage band",IF(AND(BN79&lt;&gt;"",BN79&gt;PriceReviewDays),"Due - price has not been reviewed",IF(AND(BG79&lt;&gt;"",BG79&gt;0.5),"Check - well above the market","OK")))))))) )</f>
        <v>0</v>
      </c>
    </row>
    <row r="80" spans="1:71">
      <c r="A80" s="38">
        <f>IF(B80="","",ProductPrefix&amp;TEXT(ROW()-4,"0000"))</f>
        <v>0</v>
      </c>
      <c r="S80" s="38">
        <f>IF(B80="","",IF(C80&lt;&gt;"",C80,UPPER(LEFT(IF(D80="","GEN",D80),3))&amp;"-"&amp;TEXT(ROW()-4,"000")))</f>
        <v>0</v>
      </c>
      <c r="T80" s="20">
        <f>IF(B80="","",ROUND(SUMIFS('Material Usage'!$M$5:$M$904,'Material Usage'!$A$5:$A$904,A80)+SUMIFS(Crochet!$AD$5:$AD$84,Crochet!$A$5:$A$84,A80)+SUMIFS(Jewelry!$AF$5:$AF$84,Jewelry!$A$5:$A$84,A80)+SUMIFS(Candles!$AF$5:$AF$84,Candles!$A$5:$A$84,A80)+SUMIFS(Clothing!$AB$5:$AB$84,Clothing!$A$5:$A$84,A80)+SUMIFS(Woodworking!$AC$5:$AC$84,Woodworking!$A$5:$A$84,A80)+SUMIFS(Digital!$X$5:$X$84,Digital!$A$5:$A$84,A80),2))</f>
        <v>0</v>
      </c>
      <c r="U80" s="20">
        <f>IF(B80="","",ROUND(SUMIFS(Labor!$O$5:$O$304,Labor!$A$5:$A$304,A80)+SUMIFS(Crochet!$AG$5:$AG$84,Crochet!$A$5:$A$84,A80)+SUMIFS(Jewelry!$AI$5:$AI$84,Jewelry!$A$5:$A$84,A80)+SUMIFS(Candles!$AI$5:$AI$84,Candles!$A$5:$A$84,A80)+SUMIFS(Clothing!$AE$5:$AE$84,Clothing!$A$5:$A$84,A80)+SUMIFS(Woodworking!$AF$5:$AF$84,Woodworking!$A$5:$A$84,A80)+SUMIFS(Digital!$Z$5:$Z$84,Digital!$A$5:$A$84,A80),2))</f>
        <v>0</v>
      </c>
      <c r="V80" s="36">
        <f>IF(B80="","",ROUND(SUMIFS(Labor!$P$5:$P$304,Labor!$A$5:$A$304,A80)+SUMIFS(Crochet!$AE$5:$AE$84,Crochet!$A$5:$A$84,A80)+SUMIFS(Jewelry!$AG$5:$AG$84,Jewelry!$A$5:$A$84,A80)+SUMIFS(Candles!$AG$5:$AG$84,Candles!$A$5:$A$84,A80)+SUMIFS(Clothing!$AC$5:$AC$84,Clothing!$A$5:$A$84,A80)+SUMIFS(Woodworking!$AD$5:$AD$84,Woodworking!$A$5:$A$84,A80)+SUMIFS(Digital!$Y$5:$Y$84,Digital!$A$5:$A$84,A80),1))</f>
        <v>0</v>
      </c>
      <c r="W80" s="41">
        <f>IF(B80="","",IFERROR(INDEX(DiffTimeFactors,MATCH(G80,DiffNames,0)),1))</f>
        <v>0</v>
      </c>
      <c r="X80" s="36">
        <f>IF(B80="","",ROUND(V80*W80,1))</f>
        <v>0</v>
      </c>
      <c r="Y80" s="41">
        <f>IF(B80="","",ROUND(X80/60,3))</f>
        <v>0</v>
      </c>
      <c r="Z80" s="20">
        <f>IF(B80="","",ROUND(U80*W80,2))</f>
        <v>0</v>
      </c>
      <c r="AA80" s="20">
        <f>IF(B80="","",ROUND(SUMIFS(Labor!$Q$5:$Q$304,Labor!$A$5:$A$304,A80)+SUMIFS(Crochet!$AH$5:$AH$84,Crochet!$A$5:$A$84,A80)+SUMIFS(Jewelry!$AJ$5:$AJ$84,Jewelry!$A$5:$A$84,A80)+SUMIFS(Candles!$AJ$5:$AJ$84,Candles!$A$5:$A$84,A80)+SUMIFS(Clothing!$AF$5:$AF$84,Clothing!$A$5:$A$84,A80)+SUMIFS(Woodworking!$AH$5:$AH$84,Woodworking!$A$5:$A$84,A80)+SUMIFS(Digital!$AA$5:$AA$84,Digital!$A$5:$A$84,A80),2))</f>
        <v>0</v>
      </c>
      <c r="AB80" s="20">
        <f>IF(B80="","",ROUND(IF(I80="Budget",PackBudget,IF(I80="Standard",PackStandard,IF(I80="Gift",PackGift,IF(I80="Premium",PackPremium,DefaultPackaging)))),2))</f>
        <v>0</v>
      </c>
      <c r="AC80" s="36">
        <f>IF(B80="","",IF(I80="Budget",PackWeightBudget,IF(I80="Standard",PackWeightStandard,IF(I80="Gift",PackWeightGift,IF(I80="Premium",PackWeightPremium,0)))))</f>
        <v>0</v>
      </c>
      <c r="AD80" s="20">
        <f>IF(B80="","",IFERROR(INDEX(Shipping!$M$5:$M$64,MATCH(J80,Shipping!$L$5:$L$64,0)),DefaultShipping))</f>
        <v>0</v>
      </c>
      <c r="AE80" s="20">
        <f>IF(B80="","",IFERROR(INDEX(Shipping!$F$5:$F$64,MATCH(J80,Shipping!$L$5:$L$64,0)),0))</f>
        <v>0</v>
      </c>
      <c r="AF80" s="36">
        <f>IF(B80="","",IFERROR(INDEX(Shipping!$C$5:$C$64,MATCH(J80,Shipping!$L$5:$L$64,0)),""))</f>
        <v>0</v>
      </c>
      <c r="AG80" s="20">
        <f>IF(B80="","",ROUND(MAX(0,AD80-AE80),2))</f>
        <v>0</v>
      </c>
      <c r="AH80" s="20">
        <f>IF(B80="","",ROUND(T80+Z80+AA80+AB80+AG80,2))</f>
        <v>0</v>
      </c>
      <c r="AI80" s="33">
        <f>IF(B80="","",IFERROR(INDEX(Channels!$S$5:$S$18,MATCH(IF(H80="",DefaultChannel,H80),Channels!$A$5:$A$18,0)),0))</f>
        <v>0</v>
      </c>
      <c r="AJ80" s="42">
        <f>IF(B80="","",IFERROR(INDEX(Channels!$O$5:$O$18,MATCH(IF(H80="",DefaultChannel,H80),Channels!$A$5:$A$18,0)),"No"))</f>
        <v>0</v>
      </c>
      <c r="AK80" s="20">
        <f>IF(B80="","",ROUND(IFERROR(INDEX(Channels!$T$5:$T$18,MATCH(IF(H80="",DefaultChannel,H80),Channels!$A$5:$A$18,0)),0)+IF(AJ80="Yes",AE80*AI80,0),4))</f>
        <v>0</v>
      </c>
      <c r="AL80" s="33">
        <f>IF(B80="","",IF(OverheadMethod="Share of revenue",IF(RevenueTargetMonth&lt;=0,0,OverheadMonthly/RevenueTargetMonth),0))</f>
        <v>0</v>
      </c>
      <c r="AM80" s="20">
        <f>IF(B80="","",IF(OverheadMethod="Per hour worked",ROUND(OverheadPerHour*Y80,2),IF(OR(OverheadMethod="Per unit made",OverheadMethod="Per order"),OverheadPerUnit,0)))</f>
        <v>0</v>
      </c>
      <c r="AN80" s="33">
        <f>IF(B80="","",IF(N80&lt;&gt;"",N80,TargetRetailMargin))</f>
        <v>0</v>
      </c>
      <c r="AO80" s="41">
        <f>IF(B80="","",1-AN80-AI80-AL80)</f>
        <v>0</v>
      </c>
      <c r="AP80" s="20">
        <f>IF(B80="","",IF(AO80&lt;=0,"",(AH80+AM80+AK80)/AO80))</f>
        <v>0</v>
      </c>
      <c r="AQ80" s="20">
        <f>IF(B80="","",IF(AP80="","Check the settings",ROUND(IF(RoundingRule="None",AP80,IF(RoundingRule="Nearest 0.99",MAX(0.99,CEILING(AP80,1)-0.01),IF(RoundingRule="Nearest 0.95",MAX(0.95,CEILING(AP80,1)-0.05),IF(RoundingRule="Nearest 0.50",CEILING(AP80,0.5),IF(RoundingRule="Nearest 1",CEILING(AP80,1),IF(RoundingRule="Nearest 5",CEILING(AP80,5),IF(RoundingRule="Up to whole 1",CEILING(AP80,1),IF(RoundingRule="Up to whole 5",CEILING(AP80,5),ROUND(AP80,2))))))))),2)))</f>
        <v>0</v>
      </c>
      <c r="AR80" s="20">
        <f>IF(B80="","",IF(M80&lt;&gt;"",M80,IF(ISNUMBER(AQ80),AQ80,"")))</f>
        <v>0</v>
      </c>
      <c r="AS80" s="20">
        <f>IF(B80="","",IF(AR80="","",ROUND(AM80+AR80*AL80,2)))</f>
        <v>0</v>
      </c>
      <c r="AT80" s="20">
        <f>IF(B80="","",IF(AR80="","",ROUND(AH80+AS80,2)))</f>
        <v>0</v>
      </c>
      <c r="AU80" s="20">
        <f>IF(B80="","",IF(AR80="","",ROUND(AR80*AI80+AK80,2)))</f>
        <v>0</v>
      </c>
      <c r="AV80" s="20">
        <f>IF(B80="","",IF(AR80="","",ROUND(AR80-AT80-AU80,2)))</f>
        <v>0</v>
      </c>
      <c r="AW80" s="33">
        <f>IF(B80="","",IF(OR(AR80="",AR80=0),"",AV80/AR80))</f>
        <v>0</v>
      </c>
      <c r="AX80" s="33">
        <f>IF(B80="","",IF(OR(AT80="",AT80=0),"",AV80/AT80))</f>
        <v>0</v>
      </c>
      <c r="AY80" s="20">
        <f>IF(B80="","",IF(OR(Y80="",Y80=0,AV80=""),"",ROUND(AV80/Y80,2)))</f>
        <v>0</v>
      </c>
      <c r="AZ80" s="20">
        <f>IF(B80="","",IF(OR(Y80="",Y80=0,AV80=""),"",ROUND((AV80+Z80)/Y80,2)))</f>
        <v>0</v>
      </c>
      <c r="BA80" s="20">
        <f>IF(B80="","",IF(1-AI80-AL80&lt;=0,"",ROUND((AH80+AM80+AK80)/(1-AI80-AL80),2)))</f>
        <v>0</v>
      </c>
      <c r="BB80" s="20">
        <f>IF(B80="","",IF(AT80="","",ROUND(AT80*2,2)))</f>
        <v>0</v>
      </c>
      <c r="BC80" s="20">
        <f>IF(B80="","",IF(AR80="","",ROUND(AR80*(1-WholesaleDiscount),2)))</f>
        <v>0</v>
      </c>
      <c r="BD80" s="20">
        <f>IF(B80="","",IF(BC80="","",ROUND(BC80-AH80-AM80,2)))</f>
        <v>0</v>
      </c>
      <c r="BE80" s="33">
        <f>IF(B80="","",IF(OR(BC80="",BC80=0),"",BD80/BC80))</f>
        <v>0</v>
      </c>
      <c r="BF80" s="20">
        <f>IF(B80="","",IFERROR(ROUND(AVERAGEIFS(Competitors!$F$5:$F$154,Competitors!$A$5:$A$154,A80),2),""))</f>
        <v>0</v>
      </c>
      <c r="BG80" s="33">
        <f>IF(B80="","",IF(OR(BF80="",BF80=0,AR80=""),"",AR80/BF80-1))</f>
        <v>0</v>
      </c>
      <c r="BH80" s="32">
        <f>IF(B80="","",SUMIFS(Sales!$D$5:$D$804,Sales!$C$5:$C$804,A80))</f>
        <v>0</v>
      </c>
      <c r="BI80" s="20">
        <f>IF(B80="","",ROUND(SUMIFS(Sales!$V$5:$V$804,Sales!$C$5:$C$804,A80),2))</f>
        <v>0</v>
      </c>
      <c r="BJ80" s="20">
        <f>IF(B80="","",ROUND(SUMIFS(Sales!$AG$5:$AG$804,Sales!$C$5:$C$804,A80),2))</f>
        <v>0</v>
      </c>
      <c r="BK80" s="33">
        <f>IF(B80="","",IF(OR(BI80="",BI80=0),"",BJ80/BI80))</f>
        <v>0</v>
      </c>
      <c r="BL80" s="17">
        <f>IF(B80="","",IF(SUMPRODUCT(MAX((Sales!$C$5:$C$804=A80)*Sales!$B$5:$B$804))=0,"",SUMPRODUCT(MAX((Sales!$C$5:$C$804=A80)*Sales!$B$5:$B$804))))</f>
        <v>0</v>
      </c>
      <c r="BM80" s="17">
        <f>IF(B80="","",IF(SUMPRODUCT(MAX(('Price History'!$B$5:$B$304=A80)*'Price History'!$A$5:$A$304))=0,IF(P80="","",P80),SUMPRODUCT(MAX(('Price History'!$B$5:$B$304=A80)*'Price History'!$A$5:$A$304))))</f>
        <v>0</v>
      </c>
      <c r="BN80" s="32">
        <f>IF(B80="","",IF(BM80="","",TodayDate-BM80))</f>
        <v>0</v>
      </c>
      <c r="BO80" s="32">
        <f>IF(B80="","",COUNTIFS($AV$5:$AV$304,"&gt;"&amp;AV80)+COUNTIFS($AV$5:AV80,AV80))</f>
        <v>0</v>
      </c>
      <c r="BP80" s="32">
        <f>IF(B80="","",COUNTIFS($AW$5:$AW$304,"&gt;"&amp;AW80)+COUNTIFS($AW$5:AW80,AW80))</f>
        <v>0</v>
      </c>
      <c r="BQ80" s="32">
        <f>IF(B80="","",COUNTIFS($BI$5:$BI$304,"&gt;"&amp;BI80)+COUNTIFS($BI$5:BI80,BI80))</f>
        <v>0</v>
      </c>
      <c r="BR80" s="32">
        <f>IF(B80="","",COUNTIFS($AY$5:$AY$304,"&gt;"&amp;AY80)+COUNTIFS($AY$5:AY80,AY80))</f>
        <v>0</v>
      </c>
      <c r="BS80" s="43">
        <f>IF(B80="","",IF(AH80=0,"Add - no costs entered yet",IF(AR80="","Check - no price yet",IF(AV80&lt;0,"Loss - every sale costs you money",IF(AND(AZ80&lt;&gt;"",AZ80&lt;MinimumWage),"Below - pays under minimum wage",IF(AW80&lt;MarginWarning,"Low margin - re-price it",IF(AND(AF80&lt;&gt;"",K80&lt;&gt;"",K80+AC80&gt;AF80),"Check - too heavy for that postage band",IF(AND(BN80&lt;&gt;"",BN80&gt;PriceReviewDays),"Due - price has not been reviewed",IF(AND(BG80&lt;&gt;"",BG80&gt;0.5),"Check - well above the market","OK")))))))) )</f>
        <v>0</v>
      </c>
    </row>
    <row r="81" spans="1:71">
      <c r="A81" s="38">
        <f>IF(B81="","",ProductPrefix&amp;TEXT(ROW()-4,"0000"))</f>
        <v>0</v>
      </c>
      <c r="S81" s="38">
        <f>IF(B81="","",IF(C81&lt;&gt;"",C81,UPPER(LEFT(IF(D81="","GEN",D81),3))&amp;"-"&amp;TEXT(ROW()-4,"000")))</f>
        <v>0</v>
      </c>
      <c r="T81" s="20">
        <f>IF(B81="","",ROUND(SUMIFS('Material Usage'!$M$5:$M$904,'Material Usage'!$A$5:$A$904,A81)+SUMIFS(Crochet!$AD$5:$AD$84,Crochet!$A$5:$A$84,A81)+SUMIFS(Jewelry!$AF$5:$AF$84,Jewelry!$A$5:$A$84,A81)+SUMIFS(Candles!$AF$5:$AF$84,Candles!$A$5:$A$84,A81)+SUMIFS(Clothing!$AB$5:$AB$84,Clothing!$A$5:$A$84,A81)+SUMIFS(Woodworking!$AC$5:$AC$84,Woodworking!$A$5:$A$84,A81)+SUMIFS(Digital!$X$5:$X$84,Digital!$A$5:$A$84,A81),2))</f>
        <v>0</v>
      </c>
      <c r="U81" s="20">
        <f>IF(B81="","",ROUND(SUMIFS(Labor!$O$5:$O$304,Labor!$A$5:$A$304,A81)+SUMIFS(Crochet!$AG$5:$AG$84,Crochet!$A$5:$A$84,A81)+SUMIFS(Jewelry!$AI$5:$AI$84,Jewelry!$A$5:$A$84,A81)+SUMIFS(Candles!$AI$5:$AI$84,Candles!$A$5:$A$84,A81)+SUMIFS(Clothing!$AE$5:$AE$84,Clothing!$A$5:$A$84,A81)+SUMIFS(Woodworking!$AF$5:$AF$84,Woodworking!$A$5:$A$84,A81)+SUMIFS(Digital!$Z$5:$Z$84,Digital!$A$5:$A$84,A81),2))</f>
        <v>0</v>
      </c>
      <c r="V81" s="36">
        <f>IF(B81="","",ROUND(SUMIFS(Labor!$P$5:$P$304,Labor!$A$5:$A$304,A81)+SUMIFS(Crochet!$AE$5:$AE$84,Crochet!$A$5:$A$84,A81)+SUMIFS(Jewelry!$AG$5:$AG$84,Jewelry!$A$5:$A$84,A81)+SUMIFS(Candles!$AG$5:$AG$84,Candles!$A$5:$A$84,A81)+SUMIFS(Clothing!$AC$5:$AC$84,Clothing!$A$5:$A$84,A81)+SUMIFS(Woodworking!$AD$5:$AD$84,Woodworking!$A$5:$A$84,A81)+SUMIFS(Digital!$Y$5:$Y$84,Digital!$A$5:$A$84,A81),1))</f>
        <v>0</v>
      </c>
      <c r="W81" s="41">
        <f>IF(B81="","",IFERROR(INDEX(DiffTimeFactors,MATCH(G81,DiffNames,0)),1))</f>
        <v>0</v>
      </c>
      <c r="X81" s="36">
        <f>IF(B81="","",ROUND(V81*W81,1))</f>
        <v>0</v>
      </c>
      <c r="Y81" s="41">
        <f>IF(B81="","",ROUND(X81/60,3))</f>
        <v>0</v>
      </c>
      <c r="Z81" s="20">
        <f>IF(B81="","",ROUND(U81*W81,2))</f>
        <v>0</v>
      </c>
      <c r="AA81" s="20">
        <f>IF(B81="","",ROUND(SUMIFS(Labor!$Q$5:$Q$304,Labor!$A$5:$A$304,A81)+SUMIFS(Crochet!$AH$5:$AH$84,Crochet!$A$5:$A$84,A81)+SUMIFS(Jewelry!$AJ$5:$AJ$84,Jewelry!$A$5:$A$84,A81)+SUMIFS(Candles!$AJ$5:$AJ$84,Candles!$A$5:$A$84,A81)+SUMIFS(Clothing!$AF$5:$AF$84,Clothing!$A$5:$A$84,A81)+SUMIFS(Woodworking!$AH$5:$AH$84,Woodworking!$A$5:$A$84,A81)+SUMIFS(Digital!$AA$5:$AA$84,Digital!$A$5:$A$84,A81),2))</f>
        <v>0</v>
      </c>
      <c r="AB81" s="20">
        <f>IF(B81="","",ROUND(IF(I81="Budget",PackBudget,IF(I81="Standard",PackStandard,IF(I81="Gift",PackGift,IF(I81="Premium",PackPremium,DefaultPackaging)))),2))</f>
        <v>0</v>
      </c>
      <c r="AC81" s="36">
        <f>IF(B81="","",IF(I81="Budget",PackWeightBudget,IF(I81="Standard",PackWeightStandard,IF(I81="Gift",PackWeightGift,IF(I81="Premium",PackWeightPremium,0)))))</f>
        <v>0</v>
      </c>
      <c r="AD81" s="20">
        <f>IF(B81="","",IFERROR(INDEX(Shipping!$M$5:$M$64,MATCH(J81,Shipping!$L$5:$L$64,0)),DefaultShipping))</f>
        <v>0</v>
      </c>
      <c r="AE81" s="20">
        <f>IF(B81="","",IFERROR(INDEX(Shipping!$F$5:$F$64,MATCH(J81,Shipping!$L$5:$L$64,0)),0))</f>
        <v>0</v>
      </c>
      <c r="AF81" s="36">
        <f>IF(B81="","",IFERROR(INDEX(Shipping!$C$5:$C$64,MATCH(J81,Shipping!$L$5:$L$64,0)),""))</f>
        <v>0</v>
      </c>
      <c r="AG81" s="20">
        <f>IF(B81="","",ROUND(MAX(0,AD81-AE81),2))</f>
        <v>0</v>
      </c>
      <c r="AH81" s="20">
        <f>IF(B81="","",ROUND(T81+Z81+AA81+AB81+AG81,2))</f>
        <v>0</v>
      </c>
      <c r="AI81" s="33">
        <f>IF(B81="","",IFERROR(INDEX(Channels!$S$5:$S$18,MATCH(IF(H81="",DefaultChannel,H81),Channels!$A$5:$A$18,0)),0))</f>
        <v>0</v>
      </c>
      <c r="AJ81" s="42">
        <f>IF(B81="","",IFERROR(INDEX(Channels!$O$5:$O$18,MATCH(IF(H81="",DefaultChannel,H81),Channels!$A$5:$A$18,0)),"No"))</f>
        <v>0</v>
      </c>
      <c r="AK81" s="20">
        <f>IF(B81="","",ROUND(IFERROR(INDEX(Channels!$T$5:$T$18,MATCH(IF(H81="",DefaultChannel,H81),Channels!$A$5:$A$18,0)),0)+IF(AJ81="Yes",AE81*AI81,0),4))</f>
        <v>0</v>
      </c>
      <c r="AL81" s="33">
        <f>IF(B81="","",IF(OverheadMethod="Share of revenue",IF(RevenueTargetMonth&lt;=0,0,OverheadMonthly/RevenueTargetMonth),0))</f>
        <v>0</v>
      </c>
      <c r="AM81" s="20">
        <f>IF(B81="","",IF(OverheadMethod="Per hour worked",ROUND(OverheadPerHour*Y81,2),IF(OR(OverheadMethod="Per unit made",OverheadMethod="Per order"),OverheadPerUnit,0)))</f>
        <v>0</v>
      </c>
      <c r="AN81" s="33">
        <f>IF(B81="","",IF(N81&lt;&gt;"",N81,TargetRetailMargin))</f>
        <v>0</v>
      </c>
      <c r="AO81" s="41">
        <f>IF(B81="","",1-AN81-AI81-AL81)</f>
        <v>0</v>
      </c>
      <c r="AP81" s="20">
        <f>IF(B81="","",IF(AO81&lt;=0,"",(AH81+AM81+AK81)/AO81))</f>
        <v>0</v>
      </c>
      <c r="AQ81" s="20">
        <f>IF(B81="","",IF(AP81="","Check the settings",ROUND(IF(RoundingRule="None",AP81,IF(RoundingRule="Nearest 0.99",MAX(0.99,CEILING(AP81,1)-0.01),IF(RoundingRule="Nearest 0.95",MAX(0.95,CEILING(AP81,1)-0.05),IF(RoundingRule="Nearest 0.50",CEILING(AP81,0.5),IF(RoundingRule="Nearest 1",CEILING(AP81,1),IF(RoundingRule="Nearest 5",CEILING(AP81,5),IF(RoundingRule="Up to whole 1",CEILING(AP81,1),IF(RoundingRule="Up to whole 5",CEILING(AP81,5),ROUND(AP81,2))))))))),2)))</f>
        <v>0</v>
      </c>
      <c r="AR81" s="20">
        <f>IF(B81="","",IF(M81&lt;&gt;"",M81,IF(ISNUMBER(AQ81),AQ81,"")))</f>
        <v>0</v>
      </c>
      <c r="AS81" s="20">
        <f>IF(B81="","",IF(AR81="","",ROUND(AM81+AR81*AL81,2)))</f>
        <v>0</v>
      </c>
      <c r="AT81" s="20">
        <f>IF(B81="","",IF(AR81="","",ROUND(AH81+AS81,2)))</f>
        <v>0</v>
      </c>
      <c r="AU81" s="20">
        <f>IF(B81="","",IF(AR81="","",ROUND(AR81*AI81+AK81,2)))</f>
        <v>0</v>
      </c>
      <c r="AV81" s="20">
        <f>IF(B81="","",IF(AR81="","",ROUND(AR81-AT81-AU81,2)))</f>
        <v>0</v>
      </c>
      <c r="AW81" s="33">
        <f>IF(B81="","",IF(OR(AR81="",AR81=0),"",AV81/AR81))</f>
        <v>0</v>
      </c>
      <c r="AX81" s="33">
        <f>IF(B81="","",IF(OR(AT81="",AT81=0),"",AV81/AT81))</f>
        <v>0</v>
      </c>
      <c r="AY81" s="20">
        <f>IF(B81="","",IF(OR(Y81="",Y81=0,AV81=""),"",ROUND(AV81/Y81,2)))</f>
        <v>0</v>
      </c>
      <c r="AZ81" s="20">
        <f>IF(B81="","",IF(OR(Y81="",Y81=0,AV81=""),"",ROUND((AV81+Z81)/Y81,2)))</f>
        <v>0</v>
      </c>
      <c r="BA81" s="20">
        <f>IF(B81="","",IF(1-AI81-AL81&lt;=0,"",ROUND((AH81+AM81+AK81)/(1-AI81-AL81),2)))</f>
        <v>0</v>
      </c>
      <c r="BB81" s="20">
        <f>IF(B81="","",IF(AT81="","",ROUND(AT81*2,2)))</f>
        <v>0</v>
      </c>
      <c r="BC81" s="20">
        <f>IF(B81="","",IF(AR81="","",ROUND(AR81*(1-WholesaleDiscount),2)))</f>
        <v>0</v>
      </c>
      <c r="BD81" s="20">
        <f>IF(B81="","",IF(BC81="","",ROUND(BC81-AH81-AM81,2)))</f>
        <v>0</v>
      </c>
      <c r="BE81" s="33">
        <f>IF(B81="","",IF(OR(BC81="",BC81=0),"",BD81/BC81))</f>
        <v>0</v>
      </c>
      <c r="BF81" s="20">
        <f>IF(B81="","",IFERROR(ROUND(AVERAGEIFS(Competitors!$F$5:$F$154,Competitors!$A$5:$A$154,A81),2),""))</f>
        <v>0</v>
      </c>
      <c r="BG81" s="33">
        <f>IF(B81="","",IF(OR(BF81="",BF81=0,AR81=""),"",AR81/BF81-1))</f>
        <v>0</v>
      </c>
      <c r="BH81" s="32">
        <f>IF(B81="","",SUMIFS(Sales!$D$5:$D$804,Sales!$C$5:$C$804,A81))</f>
        <v>0</v>
      </c>
      <c r="BI81" s="20">
        <f>IF(B81="","",ROUND(SUMIFS(Sales!$V$5:$V$804,Sales!$C$5:$C$804,A81),2))</f>
        <v>0</v>
      </c>
      <c r="BJ81" s="20">
        <f>IF(B81="","",ROUND(SUMIFS(Sales!$AG$5:$AG$804,Sales!$C$5:$C$804,A81),2))</f>
        <v>0</v>
      </c>
      <c r="BK81" s="33">
        <f>IF(B81="","",IF(OR(BI81="",BI81=0),"",BJ81/BI81))</f>
        <v>0</v>
      </c>
      <c r="BL81" s="17">
        <f>IF(B81="","",IF(SUMPRODUCT(MAX((Sales!$C$5:$C$804=A81)*Sales!$B$5:$B$804))=0,"",SUMPRODUCT(MAX((Sales!$C$5:$C$804=A81)*Sales!$B$5:$B$804))))</f>
        <v>0</v>
      </c>
      <c r="BM81" s="17">
        <f>IF(B81="","",IF(SUMPRODUCT(MAX(('Price History'!$B$5:$B$304=A81)*'Price History'!$A$5:$A$304))=0,IF(P81="","",P81),SUMPRODUCT(MAX(('Price History'!$B$5:$B$304=A81)*'Price History'!$A$5:$A$304))))</f>
        <v>0</v>
      </c>
      <c r="BN81" s="32">
        <f>IF(B81="","",IF(BM81="","",TodayDate-BM81))</f>
        <v>0</v>
      </c>
      <c r="BO81" s="32">
        <f>IF(B81="","",COUNTIFS($AV$5:$AV$304,"&gt;"&amp;AV81)+COUNTIFS($AV$5:AV81,AV81))</f>
        <v>0</v>
      </c>
      <c r="BP81" s="32">
        <f>IF(B81="","",COUNTIFS($AW$5:$AW$304,"&gt;"&amp;AW81)+COUNTIFS($AW$5:AW81,AW81))</f>
        <v>0</v>
      </c>
      <c r="BQ81" s="32">
        <f>IF(B81="","",COUNTIFS($BI$5:$BI$304,"&gt;"&amp;BI81)+COUNTIFS($BI$5:BI81,BI81))</f>
        <v>0</v>
      </c>
      <c r="BR81" s="32">
        <f>IF(B81="","",COUNTIFS($AY$5:$AY$304,"&gt;"&amp;AY81)+COUNTIFS($AY$5:AY81,AY81))</f>
        <v>0</v>
      </c>
      <c r="BS81" s="43">
        <f>IF(B81="","",IF(AH81=0,"Add - no costs entered yet",IF(AR81="","Check - no price yet",IF(AV81&lt;0,"Loss - every sale costs you money",IF(AND(AZ81&lt;&gt;"",AZ81&lt;MinimumWage),"Below - pays under minimum wage",IF(AW81&lt;MarginWarning,"Low margin - re-price it",IF(AND(AF81&lt;&gt;"",K81&lt;&gt;"",K81+AC81&gt;AF81),"Check - too heavy for that postage band",IF(AND(BN81&lt;&gt;"",BN81&gt;PriceReviewDays),"Due - price has not been reviewed",IF(AND(BG81&lt;&gt;"",BG81&gt;0.5),"Check - well above the market","OK")))))))) )</f>
        <v>0</v>
      </c>
    </row>
    <row r="82" spans="1:71">
      <c r="A82" s="38">
        <f>IF(B82="","",ProductPrefix&amp;TEXT(ROW()-4,"0000"))</f>
        <v>0</v>
      </c>
      <c r="S82" s="38">
        <f>IF(B82="","",IF(C82&lt;&gt;"",C82,UPPER(LEFT(IF(D82="","GEN",D82),3))&amp;"-"&amp;TEXT(ROW()-4,"000")))</f>
        <v>0</v>
      </c>
      <c r="T82" s="20">
        <f>IF(B82="","",ROUND(SUMIFS('Material Usage'!$M$5:$M$904,'Material Usage'!$A$5:$A$904,A82)+SUMIFS(Crochet!$AD$5:$AD$84,Crochet!$A$5:$A$84,A82)+SUMIFS(Jewelry!$AF$5:$AF$84,Jewelry!$A$5:$A$84,A82)+SUMIFS(Candles!$AF$5:$AF$84,Candles!$A$5:$A$84,A82)+SUMIFS(Clothing!$AB$5:$AB$84,Clothing!$A$5:$A$84,A82)+SUMIFS(Woodworking!$AC$5:$AC$84,Woodworking!$A$5:$A$84,A82)+SUMIFS(Digital!$X$5:$X$84,Digital!$A$5:$A$84,A82),2))</f>
        <v>0</v>
      </c>
      <c r="U82" s="20">
        <f>IF(B82="","",ROUND(SUMIFS(Labor!$O$5:$O$304,Labor!$A$5:$A$304,A82)+SUMIFS(Crochet!$AG$5:$AG$84,Crochet!$A$5:$A$84,A82)+SUMIFS(Jewelry!$AI$5:$AI$84,Jewelry!$A$5:$A$84,A82)+SUMIFS(Candles!$AI$5:$AI$84,Candles!$A$5:$A$84,A82)+SUMIFS(Clothing!$AE$5:$AE$84,Clothing!$A$5:$A$84,A82)+SUMIFS(Woodworking!$AF$5:$AF$84,Woodworking!$A$5:$A$84,A82)+SUMIFS(Digital!$Z$5:$Z$84,Digital!$A$5:$A$84,A82),2))</f>
        <v>0</v>
      </c>
      <c r="V82" s="36">
        <f>IF(B82="","",ROUND(SUMIFS(Labor!$P$5:$P$304,Labor!$A$5:$A$304,A82)+SUMIFS(Crochet!$AE$5:$AE$84,Crochet!$A$5:$A$84,A82)+SUMIFS(Jewelry!$AG$5:$AG$84,Jewelry!$A$5:$A$84,A82)+SUMIFS(Candles!$AG$5:$AG$84,Candles!$A$5:$A$84,A82)+SUMIFS(Clothing!$AC$5:$AC$84,Clothing!$A$5:$A$84,A82)+SUMIFS(Woodworking!$AD$5:$AD$84,Woodworking!$A$5:$A$84,A82)+SUMIFS(Digital!$Y$5:$Y$84,Digital!$A$5:$A$84,A82),1))</f>
        <v>0</v>
      </c>
      <c r="W82" s="41">
        <f>IF(B82="","",IFERROR(INDEX(DiffTimeFactors,MATCH(G82,DiffNames,0)),1))</f>
        <v>0</v>
      </c>
      <c r="X82" s="36">
        <f>IF(B82="","",ROUND(V82*W82,1))</f>
        <v>0</v>
      </c>
      <c r="Y82" s="41">
        <f>IF(B82="","",ROUND(X82/60,3))</f>
        <v>0</v>
      </c>
      <c r="Z82" s="20">
        <f>IF(B82="","",ROUND(U82*W82,2))</f>
        <v>0</v>
      </c>
      <c r="AA82" s="20">
        <f>IF(B82="","",ROUND(SUMIFS(Labor!$Q$5:$Q$304,Labor!$A$5:$A$304,A82)+SUMIFS(Crochet!$AH$5:$AH$84,Crochet!$A$5:$A$84,A82)+SUMIFS(Jewelry!$AJ$5:$AJ$84,Jewelry!$A$5:$A$84,A82)+SUMIFS(Candles!$AJ$5:$AJ$84,Candles!$A$5:$A$84,A82)+SUMIFS(Clothing!$AF$5:$AF$84,Clothing!$A$5:$A$84,A82)+SUMIFS(Woodworking!$AH$5:$AH$84,Woodworking!$A$5:$A$84,A82)+SUMIFS(Digital!$AA$5:$AA$84,Digital!$A$5:$A$84,A82),2))</f>
        <v>0</v>
      </c>
      <c r="AB82" s="20">
        <f>IF(B82="","",ROUND(IF(I82="Budget",PackBudget,IF(I82="Standard",PackStandard,IF(I82="Gift",PackGift,IF(I82="Premium",PackPremium,DefaultPackaging)))),2))</f>
        <v>0</v>
      </c>
      <c r="AC82" s="36">
        <f>IF(B82="","",IF(I82="Budget",PackWeightBudget,IF(I82="Standard",PackWeightStandard,IF(I82="Gift",PackWeightGift,IF(I82="Premium",PackWeightPremium,0)))))</f>
        <v>0</v>
      </c>
      <c r="AD82" s="20">
        <f>IF(B82="","",IFERROR(INDEX(Shipping!$M$5:$M$64,MATCH(J82,Shipping!$L$5:$L$64,0)),DefaultShipping))</f>
        <v>0</v>
      </c>
      <c r="AE82" s="20">
        <f>IF(B82="","",IFERROR(INDEX(Shipping!$F$5:$F$64,MATCH(J82,Shipping!$L$5:$L$64,0)),0))</f>
        <v>0</v>
      </c>
      <c r="AF82" s="36">
        <f>IF(B82="","",IFERROR(INDEX(Shipping!$C$5:$C$64,MATCH(J82,Shipping!$L$5:$L$64,0)),""))</f>
        <v>0</v>
      </c>
      <c r="AG82" s="20">
        <f>IF(B82="","",ROUND(MAX(0,AD82-AE82),2))</f>
        <v>0</v>
      </c>
      <c r="AH82" s="20">
        <f>IF(B82="","",ROUND(T82+Z82+AA82+AB82+AG82,2))</f>
        <v>0</v>
      </c>
      <c r="AI82" s="33">
        <f>IF(B82="","",IFERROR(INDEX(Channels!$S$5:$S$18,MATCH(IF(H82="",DefaultChannel,H82),Channels!$A$5:$A$18,0)),0))</f>
        <v>0</v>
      </c>
      <c r="AJ82" s="42">
        <f>IF(B82="","",IFERROR(INDEX(Channels!$O$5:$O$18,MATCH(IF(H82="",DefaultChannel,H82),Channels!$A$5:$A$18,0)),"No"))</f>
        <v>0</v>
      </c>
      <c r="AK82" s="20">
        <f>IF(B82="","",ROUND(IFERROR(INDEX(Channels!$T$5:$T$18,MATCH(IF(H82="",DefaultChannel,H82),Channels!$A$5:$A$18,0)),0)+IF(AJ82="Yes",AE82*AI82,0),4))</f>
        <v>0</v>
      </c>
      <c r="AL82" s="33">
        <f>IF(B82="","",IF(OverheadMethod="Share of revenue",IF(RevenueTargetMonth&lt;=0,0,OverheadMonthly/RevenueTargetMonth),0))</f>
        <v>0</v>
      </c>
      <c r="AM82" s="20">
        <f>IF(B82="","",IF(OverheadMethod="Per hour worked",ROUND(OverheadPerHour*Y82,2),IF(OR(OverheadMethod="Per unit made",OverheadMethod="Per order"),OverheadPerUnit,0)))</f>
        <v>0</v>
      </c>
      <c r="AN82" s="33">
        <f>IF(B82="","",IF(N82&lt;&gt;"",N82,TargetRetailMargin))</f>
        <v>0</v>
      </c>
      <c r="AO82" s="41">
        <f>IF(B82="","",1-AN82-AI82-AL82)</f>
        <v>0</v>
      </c>
      <c r="AP82" s="20">
        <f>IF(B82="","",IF(AO82&lt;=0,"",(AH82+AM82+AK82)/AO82))</f>
        <v>0</v>
      </c>
      <c r="AQ82" s="20">
        <f>IF(B82="","",IF(AP82="","Check the settings",ROUND(IF(RoundingRule="None",AP82,IF(RoundingRule="Nearest 0.99",MAX(0.99,CEILING(AP82,1)-0.01),IF(RoundingRule="Nearest 0.95",MAX(0.95,CEILING(AP82,1)-0.05),IF(RoundingRule="Nearest 0.50",CEILING(AP82,0.5),IF(RoundingRule="Nearest 1",CEILING(AP82,1),IF(RoundingRule="Nearest 5",CEILING(AP82,5),IF(RoundingRule="Up to whole 1",CEILING(AP82,1),IF(RoundingRule="Up to whole 5",CEILING(AP82,5),ROUND(AP82,2))))))))),2)))</f>
        <v>0</v>
      </c>
      <c r="AR82" s="20">
        <f>IF(B82="","",IF(M82&lt;&gt;"",M82,IF(ISNUMBER(AQ82),AQ82,"")))</f>
        <v>0</v>
      </c>
      <c r="AS82" s="20">
        <f>IF(B82="","",IF(AR82="","",ROUND(AM82+AR82*AL82,2)))</f>
        <v>0</v>
      </c>
      <c r="AT82" s="20">
        <f>IF(B82="","",IF(AR82="","",ROUND(AH82+AS82,2)))</f>
        <v>0</v>
      </c>
      <c r="AU82" s="20">
        <f>IF(B82="","",IF(AR82="","",ROUND(AR82*AI82+AK82,2)))</f>
        <v>0</v>
      </c>
      <c r="AV82" s="20">
        <f>IF(B82="","",IF(AR82="","",ROUND(AR82-AT82-AU82,2)))</f>
        <v>0</v>
      </c>
      <c r="AW82" s="33">
        <f>IF(B82="","",IF(OR(AR82="",AR82=0),"",AV82/AR82))</f>
        <v>0</v>
      </c>
      <c r="AX82" s="33">
        <f>IF(B82="","",IF(OR(AT82="",AT82=0),"",AV82/AT82))</f>
        <v>0</v>
      </c>
      <c r="AY82" s="20">
        <f>IF(B82="","",IF(OR(Y82="",Y82=0,AV82=""),"",ROUND(AV82/Y82,2)))</f>
        <v>0</v>
      </c>
      <c r="AZ82" s="20">
        <f>IF(B82="","",IF(OR(Y82="",Y82=0,AV82=""),"",ROUND((AV82+Z82)/Y82,2)))</f>
        <v>0</v>
      </c>
      <c r="BA82" s="20">
        <f>IF(B82="","",IF(1-AI82-AL82&lt;=0,"",ROUND((AH82+AM82+AK82)/(1-AI82-AL82),2)))</f>
        <v>0</v>
      </c>
      <c r="BB82" s="20">
        <f>IF(B82="","",IF(AT82="","",ROUND(AT82*2,2)))</f>
        <v>0</v>
      </c>
      <c r="BC82" s="20">
        <f>IF(B82="","",IF(AR82="","",ROUND(AR82*(1-WholesaleDiscount),2)))</f>
        <v>0</v>
      </c>
      <c r="BD82" s="20">
        <f>IF(B82="","",IF(BC82="","",ROUND(BC82-AH82-AM82,2)))</f>
        <v>0</v>
      </c>
      <c r="BE82" s="33">
        <f>IF(B82="","",IF(OR(BC82="",BC82=0),"",BD82/BC82))</f>
        <v>0</v>
      </c>
      <c r="BF82" s="20">
        <f>IF(B82="","",IFERROR(ROUND(AVERAGEIFS(Competitors!$F$5:$F$154,Competitors!$A$5:$A$154,A82),2),""))</f>
        <v>0</v>
      </c>
      <c r="BG82" s="33">
        <f>IF(B82="","",IF(OR(BF82="",BF82=0,AR82=""),"",AR82/BF82-1))</f>
        <v>0</v>
      </c>
      <c r="BH82" s="32">
        <f>IF(B82="","",SUMIFS(Sales!$D$5:$D$804,Sales!$C$5:$C$804,A82))</f>
        <v>0</v>
      </c>
      <c r="BI82" s="20">
        <f>IF(B82="","",ROUND(SUMIFS(Sales!$V$5:$V$804,Sales!$C$5:$C$804,A82),2))</f>
        <v>0</v>
      </c>
      <c r="BJ82" s="20">
        <f>IF(B82="","",ROUND(SUMIFS(Sales!$AG$5:$AG$804,Sales!$C$5:$C$804,A82),2))</f>
        <v>0</v>
      </c>
      <c r="BK82" s="33">
        <f>IF(B82="","",IF(OR(BI82="",BI82=0),"",BJ82/BI82))</f>
        <v>0</v>
      </c>
      <c r="BL82" s="17">
        <f>IF(B82="","",IF(SUMPRODUCT(MAX((Sales!$C$5:$C$804=A82)*Sales!$B$5:$B$804))=0,"",SUMPRODUCT(MAX((Sales!$C$5:$C$804=A82)*Sales!$B$5:$B$804))))</f>
        <v>0</v>
      </c>
      <c r="BM82" s="17">
        <f>IF(B82="","",IF(SUMPRODUCT(MAX(('Price History'!$B$5:$B$304=A82)*'Price History'!$A$5:$A$304))=0,IF(P82="","",P82),SUMPRODUCT(MAX(('Price History'!$B$5:$B$304=A82)*'Price History'!$A$5:$A$304))))</f>
        <v>0</v>
      </c>
      <c r="BN82" s="32">
        <f>IF(B82="","",IF(BM82="","",TodayDate-BM82))</f>
        <v>0</v>
      </c>
      <c r="BO82" s="32">
        <f>IF(B82="","",COUNTIFS($AV$5:$AV$304,"&gt;"&amp;AV82)+COUNTIFS($AV$5:AV82,AV82))</f>
        <v>0</v>
      </c>
      <c r="BP82" s="32">
        <f>IF(B82="","",COUNTIFS($AW$5:$AW$304,"&gt;"&amp;AW82)+COUNTIFS($AW$5:AW82,AW82))</f>
        <v>0</v>
      </c>
      <c r="BQ82" s="32">
        <f>IF(B82="","",COUNTIFS($BI$5:$BI$304,"&gt;"&amp;BI82)+COUNTIFS($BI$5:BI82,BI82))</f>
        <v>0</v>
      </c>
      <c r="BR82" s="32">
        <f>IF(B82="","",COUNTIFS($AY$5:$AY$304,"&gt;"&amp;AY82)+COUNTIFS($AY$5:AY82,AY82))</f>
        <v>0</v>
      </c>
      <c r="BS82" s="43">
        <f>IF(B82="","",IF(AH82=0,"Add - no costs entered yet",IF(AR82="","Check - no price yet",IF(AV82&lt;0,"Loss - every sale costs you money",IF(AND(AZ82&lt;&gt;"",AZ82&lt;MinimumWage),"Below - pays under minimum wage",IF(AW82&lt;MarginWarning,"Low margin - re-price it",IF(AND(AF82&lt;&gt;"",K82&lt;&gt;"",K82+AC82&gt;AF82),"Check - too heavy for that postage band",IF(AND(BN82&lt;&gt;"",BN82&gt;PriceReviewDays),"Due - price has not been reviewed",IF(AND(BG82&lt;&gt;"",BG82&gt;0.5),"Check - well above the market","OK")))))))) )</f>
        <v>0</v>
      </c>
    </row>
    <row r="83" spans="1:71">
      <c r="A83" s="38">
        <f>IF(B83="","",ProductPrefix&amp;TEXT(ROW()-4,"0000"))</f>
        <v>0</v>
      </c>
      <c r="S83" s="38">
        <f>IF(B83="","",IF(C83&lt;&gt;"",C83,UPPER(LEFT(IF(D83="","GEN",D83),3))&amp;"-"&amp;TEXT(ROW()-4,"000")))</f>
        <v>0</v>
      </c>
      <c r="T83" s="20">
        <f>IF(B83="","",ROUND(SUMIFS('Material Usage'!$M$5:$M$904,'Material Usage'!$A$5:$A$904,A83)+SUMIFS(Crochet!$AD$5:$AD$84,Crochet!$A$5:$A$84,A83)+SUMIFS(Jewelry!$AF$5:$AF$84,Jewelry!$A$5:$A$84,A83)+SUMIFS(Candles!$AF$5:$AF$84,Candles!$A$5:$A$84,A83)+SUMIFS(Clothing!$AB$5:$AB$84,Clothing!$A$5:$A$84,A83)+SUMIFS(Woodworking!$AC$5:$AC$84,Woodworking!$A$5:$A$84,A83)+SUMIFS(Digital!$X$5:$X$84,Digital!$A$5:$A$84,A83),2))</f>
        <v>0</v>
      </c>
      <c r="U83" s="20">
        <f>IF(B83="","",ROUND(SUMIFS(Labor!$O$5:$O$304,Labor!$A$5:$A$304,A83)+SUMIFS(Crochet!$AG$5:$AG$84,Crochet!$A$5:$A$84,A83)+SUMIFS(Jewelry!$AI$5:$AI$84,Jewelry!$A$5:$A$84,A83)+SUMIFS(Candles!$AI$5:$AI$84,Candles!$A$5:$A$84,A83)+SUMIFS(Clothing!$AE$5:$AE$84,Clothing!$A$5:$A$84,A83)+SUMIFS(Woodworking!$AF$5:$AF$84,Woodworking!$A$5:$A$84,A83)+SUMIFS(Digital!$Z$5:$Z$84,Digital!$A$5:$A$84,A83),2))</f>
        <v>0</v>
      </c>
      <c r="V83" s="36">
        <f>IF(B83="","",ROUND(SUMIFS(Labor!$P$5:$P$304,Labor!$A$5:$A$304,A83)+SUMIFS(Crochet!$AE$5:$AE$84,Crochet!$A$5:$A$84,A83)+SUMIFS(Jewelry!$AG$5:$AG$84,Jewelry!$A$5:$A$84,A83)+SUMIFS(Candles!$AG$5:$AG$84,Candles!$A$5:$A$84,A83)+SUMIFS(Clothing!$AC$5:$AC$84,Clothing!$A$5:$A$84,A83)+SUMIFS(Woodworking!$AD$5:$AD$84,Woodworking!$A$5:$A$84,A83)+SUMIFS(Digital!$Y$5:$Y$84,Digital!$A$5:$A$84,A83),1))</f>
        <v>0</v>
      </c>
      <c r="W83" s="41">
        <f>IF(B83="","",IFERROR(INDEX(DiffTimeFactors,MATCH(G83,DiffNames,0)),1))</f>
        <v>0</v>
      </c>
      <c r="X83" s="36">
        <f>IF(B83="","",ROUND(V83*W83,1))</f>
        <v>0</v>
      </c>
      <c r="Y83" s="41">
        <f>IF(B83="","",ROUND(X83/60,3))</f>
        <v>0</v>
      </c>
      <c r="Z83" s="20">
        <f>IF(B83="","",ROUND(U83*W83,2))</f>
        <v>0</v>
      </c>
      <c r="AA83" s="20">
        <f>IF(B83="","",ROUND(SUMIFS(Labor!$Q$5:$Q$304,Labor!$A$5:$A$304,A83)+SUMIFS(Crochet!$AH$5:$AH$84,Crochet!$A$5:$A$84,A83)+SUMIFS(Jewelry!$AJ$5:$AJ$84,Jewelry!$A$5:$A$84,A83)+SUMIFS(Candles!$AJ$5:$AJ$84,Candles!$A$5:$A$84,A83)+SUMIFS(Clothing!$AF$5:$AF$84,Clothing!$A$5:$A$84,A83)+SUMIFS(Woodworking!$AH$5:$AH$84,Woodworking!$A$5:$A$84,A83)+SUMIFS(Digital!$AA$5:$AA$84,Digital!$A$5:$A$84,A83),2))</f>
        <v>0</v>
      </c>
      <c r="AB83" s="20">
        <f>IF(B83="","",ROUND(IF(I83="Budget",PackBudget,IF(I83="Standard",PackStandard,IF(I83="Gift",PackGift,IF(I83="Premium",PackPremium,DefaultPackaging)))),2))</f>
        <v>0</v>
      </c>
      <c r="AC83" s="36">
        <f>IF(B83="","",IF(I83="Budget",PackWeightBudget,IF(I83="Standard",PackWeightStandard,IF(I83="Gift",PackWeightGift,IF(I83="Premium",PackWeightPremium,0)))))</f>
        <v>0</v>
      </c>
      <c r="AD83" s="20">
        <f>IF(B83="","",IFERROR(INDEX(Shipping!$M$5:$M$64,MATCH(J83,Shipping!$L$5:$L$64,0)),DefaultShipping))</f>
        <v>0</v>
      </c>
      <c r="AE83" s="20">
        <f>IF(B83="","",IFERROR(INDEX(Shipping!$F$5:$F$64,MATCH(J83,Shipping!$L$5:$L$64,0)),0))</f>
        <v>0</v>
      </c>
      <c r="AF83" s="36">
        <f>IF(B83="","",IFERROR(INDEX(Shipping!$C$5:$C$64,MATCH(J83,Shipping!$L$5:$L$64,0)),""))</f>
        <v>0</v>
      </c>
      <c r="AG83" s="20">
        <f>IF(B83="","",ROUND(MAX(0,AD83-AE83),2))</f>
        <v>0</v>
      </c>
      <c r="AH83" s="20">
        <f>IF(B83="","",ROUND(T83+Z83+AA83+AB83+AG83,2))</f>
        <v>0</v>
      </c>
      <c r="AI83" s="33">
        <f>IF(B83="","",IFERROR(INDEX(Channels!$S$5:$S$18,MATCH(IF(H83="",DefaultChannel,H83),Channels!$A$5:$A$18,0)),0))</f>
        <v>0</v>
      </c>
      <c r="AJ83" s="42">
        <f>IF(B83="","",IFERROR(INDEX(Channels!$O$5:$O$18,MATCH(IF(H83="",DefaultChannel,H83),Channels!$A$5:$A$18,0)),"No"))</f>
        <v>0</v>
      </c>
      <c r="AK83" s="20">
        <f>IF(B83="","",ROUND(IFERROR(INDEX(Channels!$T$5:$T$18,MATCH(IF(H83="",DefaultChannel,H83),Channels!$A$5:$A$18,0)),0)+IF(AJ83="Yes",AE83*AI83,0),4))</f>
        <v>0</v>
      </c>
      <c r="AL83" s="33">
        <f>IF(B83="","",IF(OverheadMethod="Share of revenue",IF(RevenueTargetMonth&lt;=0,0,OverheadMonthly/RevenueTargetMonth),0))</f>
        <v>0</v>
      </c>
      <c r="AM83" s="20">
        <f>IF(B83="","",IF(OverheadMethod="Per hour worked",ROUND(OverheadPerHour*Y83,2),IF(OR(OverheadMethod="Per unit made",OverheadMethod="Per order"),OverheadPerUnit,0)))</f>
        <v>0</v>
      </c>
      <c r="AN83" s="33">
        <f>IF(B83="","",IF(N83&lt;&gt;"",N83,TargetRetailMargin))</f>
        <v>0</v>
      </c>
      <c r="AO83" s="41">
        <f>IF(B83="","",1-AN83-AI83-AL83)</f>
        <v>0</v>
      </c>
      <c r="AP83" s="20">
        <f>IF(B83="","",IF(AO83&lt;=0,"",(AH83+AM83+AK83)/AO83))</f>
        <v>0</v>
      </c>
      <c r="AQ83" s="20">
        <f>IF(B83="","",IF(AP83="","Check the settings",ROUND(IF(RoundingRule="None",AP83,IF(RoundingRule="Nearest 0.99",MAX(0.99,CEILING(AP83,1)-0.01),IF(RoundingRule="Nearest 0.95",MAX(0.95,CEILING(AP83,1)-0.05),IF(RoundingRule="Nearest 0.50",CEILING(AP83,0.5),IF(RoundingRule="Nearest 1",CEILING(AP83,1),IF(RoundingRule="Nearest 5",CEILING(AP83,5),IF(RoundingRule="Up to whole 1",CEILING(AP83,1),IF(RoundingRule="Up to whole 5",CEILING(AP83,5),ROUND(AP83,2))))))))),2)))</f>
        <v>0</v>
      </c>
      <c r="AR83" s="20">
        <f>IF(B83="","",IF(M83&lt;&gt;"",M83,IF(ISNUMBER(AQ83),AQ83,"")))</f>
        <v>0</v>
      </c>
      <c r="AS83" s="20">
        <f>IF(B83="","",IF(AR83="","",ROUND(AM83+AR83*AL83,2)))</f>
        <v>0</v>
      </c>
      <c r="AT83" s="20">
        <f>IF(B83="","",IF(AR83="","",ROUND(AH83+AS83,2)))</f>
        <v>0</v>
      </c>
      <c r="AU83" s="20">
        <f>IF(B83="","",IF(AR83="","",ROUND(AR83*AI83+AK83,2)))</f>
        <v>0</v>
      </c>
      <c r="AV83" s="20">
        <f>IF(B83="","",IF(AR83="","",ROUND(AR83-AT83-AU83,2)))</f>
        <v>0</v>
      </c>
      <c r="AW83" s="33">
        <f>IF(B83="","",IF(OR(AR83="",AR83=0),"",AV83/AR83))</f>
        <v>0</v>
      </c>
      <c r="AX83" s="33">
        <f>IF(B83="","",IF(OR(AT83="",AT83=0),"",AV83/AT83))</f>
        <v>0</v>
      </c>
      <c r="AY83" s="20">
        <f>IF(B83="","",IF(OR(Y83="",Y83=0,AV83=""),"",ROUND(AV83/Y83,2)))</f>
        <v>0</v>
      </c>
      <c r="AZ83" s="20">
        <f>IF(B83="","",IF(OR(Y83="",Y83=0,AV83=""),"",ROUND((AV83+Z83)/Y83,2)))</f>
        <v>0</v>
      </c>
      <c r="BA83" s="20">
        <f>IF(B83="","",IF(1-AI83-AL83&lt;=0,"",ROUND((AH83+AM83+AK83)/(1-AI83-AL83),2)))</f>
        <v>0</v>
      </c>
      <c r="BB83" s="20">
        <f>IF(B83="","",IF(AT83="","",ROUND(AT83*2,2)))</f>
        <v>0</v>
      </c>
      <c r="BC83" s="20">
        <f>IF(B83="","",IF(AR83="","",ROUND(AR83*(1-WholesaleDiscount),2)))</f>
        <v>0</v>
      </c>
      <c r="BD83" s="20">
        <f>IF(B83="","",IF(BC83="","",ROUND(BC83-AH83-AM83,2)))</f>
        <v>0</v>
      </c>
      <c r="BE83" s="33">
        <f>IF(B83="","",IF(OR(BC83="",BC83=0),"",BD83/BC83))</f>
        <v>0</v>
      </c>
      <c r="BF83" s="20">
        <f>IF(B83="","",IFERROR(ROUND(AVERAGEIFS(Competitors!$F$5:$F$154,Competitors!$A$5:$A$154,A83),2),""))</f>
        <v>0</v>
      </c>
      <c r="BG83" s="33">
        <f>IF(B83="","",IF(OR(BF83="",BF83=0,AR83=""),"",AR83/BF83-1))</f>
        <v>0</v>
      </c>
      <c r="BH83" s="32">
        <f>IF(B83="","",SUMIFS(Sales!$D$5:$D$804,Sales!$C$5:$C$804,A83))</f>
        <v>0</v>
      </c>
      <c r="BI83" s="20">
        <f>IF(B83="","",ROUND(SUMIFS(Sales!$V$5:$V$804,Sales!$C$5:$C$804,A83),2))</f>
        <v>0</v>
      </c>
      <c r="BJ83" s="20">
        <f>IF(B83="","",ROUND(SUMIFS(Sales!$AG$5:$AG$804,Sales!$C$5:$C$804,A83),2))</f>
        <v>0</v>
      </c>
      <c r="BK83" s="33">
        <f>IF(B83="","",IF(OR(BI83="",BI83=0),"",BJ83/BI83))</f>
        <v>0</v>
      </c>
      <c r="BL83" s="17">
        <f>IF(B83="","",IF(SUMPRODUCT(MAX((Sales!$C$5:$C$804=A83)*Sales!$B$5:$B$804))=0,"",SUMPRODUCT(MAX((Sales!$C$5:$C$804=A83)*Sales!$B$5:$B$804))))</f>
        <v>0</v>
      </c>
      <c r="BM83" s="17">
        <f>IF(B83="","",IF(SUMPRODUCT(MAX(('Price History'!$B$5:$B$304=A83)*'Price History'!$A$5:$A$304))=0,IF(P83="","",P83),SUMPRODUCT(MAX(('Price History'!$B$5:$B$304=A83)*'Price History'!$A$5:$A$304))))</f>
        <v>0</v>
      </c>
      <c r="BN83" s="32">
        <f>IF(B83="","",IF(BM83="","",TodayDate-BM83))</f>
        <v>0</v>
      </c>
      <c r="BO83" s="32">
        <f>IF(B83="","",COUNTIFS($AV$5:$AV$304,"&gt;"&amp;AV83)+COUNTIFS($AV$5:AV83,AV83))</f>
        <v>0</v>
      </c>
      <c r="BP83" s="32">
        <f>IF(B83="","",COUNTIFS($AW$5:$AW$304,"&gt;"&amp;AW83)+COUNTIFS($AW$5:AW83,AW83))</f>
        <v>0</v>
      </c>
      <c r="BQ83" s="32">
        <f>IF(B83="","",COUNTIFS($BI$5:$BI$304,"&gt;"&amp;BI83)+COUNTIFS($BI$5:BI83,BI83))</f>
        <v>0</v>
      </c>
      <c r="BR83" s="32">
        <f>IF(B83="","",COUNTIFS($AY$5:$AY$304,"&gt;"&amp;AY83)+COUNTIFS($AY$5:AY83,AY83))</f>
        <v>0</v>
      </c>
      <c r="BS83" s="43">
        <f>IF(B83="","",IF(AH83=0,"Add - no costs entered yet",IF(AR83="","Check - no price yet",IF(AV83&lt;0,"Loss - every sale costs you money",IF(AND(AZ83&lt;&gt;"",AZ83&lt;MinimumWage),"Below - pays under minimum wage",IF(AW83&lt;MarginWarning,"Low margin - re-price it",IF(AND(AF83&lt;&gt;"",K83&lt;&gt;"",K83+AC83&gt;AF83),"Check - too heavy for that postage band",IF(AND(BN83&lt;&gt;"",BN83&gt;PriceReviewDays),"Due - price has not been reviewed",IF(AND(BG83&lt;&gt;"",BG83&gt;0.5),"Check - well above the market","OK")))))))) )</f>
        <v>0</v>
      </c>
    </row>
    <row r="84" spans="1:71">
      <c r="A84" s="38">
        <f>IF(B84="","",ProductPrefix&amp;TEXT(ROW()-4,"0000"))</f>
        <v>0</v>
      </c>
      <c r="S84" s="38">
        <f>IF(B84="","",IF(C84&lt;&gt;"",C84,UPPER(LEFT(IF(D84="","GEN",D84),3))&amp;"-"&amp;TEXT(ROW()-4,"000")))</f>
        <v>0</v>
      </c>
      <c r="T84" s="20">
        <f>IF(B84="","",ROUND(SUMIFS('Material Usage'!$M$5:$M$904,'Material Usage'!$A$5:$A$904,A84)+SUMIFS(Crochet!$AD$5:$AD$84,Crochet!$A$5:$A$84,A84)+SUMIFS(Jewelry!$AF$5:$AF$84,Jewelry!$A$5:$A$84,A84)+SUMIFS(Candles!$AF$5:$AF$84,Candles!$A$5:$A$84,A84)+SUMIFS(Clothing!$AB$5:$AB$84,Clothing!$A$5:$A$84,A84)+SUMIFS(Woodworking!$AC$5:$AC$84,Woodworking!$A$5:$A$84,A84)+SUMIFS(Digital!$X$5:$X$84,Digital!$A$5:$A$84,A84),2))</f>
        <v>0</v>
      </c>
      <c r="U84" s="20">
        <f>IF(B84="","",ROUND(SUMIFS(Labor!$O$5:$O$304,Labor!$A$5:$A$304,A84)+SUMIFS(Crochet!$AG$5:$AG$84,Crochet!$A$5:$A$84,A84)+SUMIFS(Jewelry!$AI$5:$AI$84,Jewelry!$A$5:$A$84,A84)+SUMIFS(Candles!$AI$5:$AI$84,Candles!$A$5:$A$84,A84)+SUMIFS(Clothing!$AE$5:$AE$84,Clothing!$A$5:$A$84,A84)+SUMIFS(Woodworking!$AF$5:$AF$84,Woodworking!$A$5:$A$84,A84)+SUMIFS(Digital!$Z$5:$Z$84,Digital!$A$5:$A$84,A84),2))</f>
        <v>0</v>
      </c>
      <c r="V84" s="36">
        <f>IF(B84="","",ROUND(SUMIFS(Labor!$P$5:$P$304,Labor!$A$5:$A$304,A84)+SUMIFS(Crochet!$AE$5:$AE$84,Crochet!$A$5:$A$84,A84)+SUMIFS(Jewelry!$AG$5:$AG$84,Jewelry!$A$5:$A$84,A84)+SUMIFS(Candles!$AG$5:$AG$84,Candles!$A$5:$A$84,A84)+SUMIFS(Clothing!$AC$5:$AC$84,Clothing!$A$5:$A$84,A84)+SUMIFS(Woodworking!$AD$5:$AD$84,Woodworking!$A$5:$A$84,A84)+SUMIFS(Digital!$Y$5:$Y$84,Digital!$A$5:$A$84,A84),1))</f>
        <v>0</v>
      </c>
      <c r="W84" s="41">
        <f>IF(B84="","",IFERROR(INDEX(DiffTimeFactors,MATCH(G84,DiffNames,0)),1))</f>
        <v>0</v>
      </c>
      <c r="X84" s="36">
        <f>IF(B84="","",ROUND(V84*W84,1))</f>
        <v>0</v>
      </c>
      <c r="Y84" s="41">
        <f>IF(B84="","",ROUND(X84/60,3))</f>
        <v>0</v>
      </c>
      <c r="Z84" s="20">
        <f>IF(B84="","",ROUND(U84*W84,2))</f>
        <v>0</v>
      </c>
      <c r="AA84" s="20">
        <f>IF(B84="","",ROUND(SUMIFS(Labor!$Q$5:$Q$304,Labor!$A$5:$A$304,A84)+SUMIFS(Crochet!$AH$5:$AH$84,Crochet!$A$5:$A$84,A84)+SUMIFS(Jewelry!$AJ$5:$AJ$84,Jewelry!$A$5:$A$84,A84)+SUMIFS(Candles!$AJ$5:$AJ$84,Candles!$A$5:$A$84,A84)+SUMIFS(Clothing!$AF$5:$AF$84,Clothing!$A$5:$A$84,A84)+SUMIFS(Woodworking!$AH$5:$AH$84,Woodworking!$A$5:$A$84,A84)+SUMIFS(Digital!$AA$5:$AA$84,Digital!$A$5:$A$84,A84),2))</f>
        <v>0</v>
      </c>
      <c r="AB84" s="20">
        <f>IF(B84="","",ROUND(IF(I84="Budget",PackBudget,IF(I84="Standard",PackStandard,IF(I84="Gift",PackGift,IF(I84="Premium",PackPremium,DefaultPackaging)))),2))</f>
        <v>0</v>
      </c>
      <c r="AC84" s="36">
        <f>IF(B84="","",IF(I84="Budget",PackWeightBudget,IF(I84="Standard",PackWeightStandard,IF(I84="Gift",PackWeightGift,IF(I84="Premium",PackWeightPremium,0)))))</f>
        <v>0</v>
      </c>
      <c r="AD84" s="20">
        <f>IF(B84="","",IFERROR(INDEX(Shipping!$M$5:$M$64,MATCH(J84,Shipping!$L$5:$L$64,0)),DefaultShipping))</f>
        <v>0</v>
      </c>
      <c r="AE84" s="20">
        <f>IF(B84="","",IFERROR(INDEX(Shipping!$F$5:$F$64,MATCH(J84,Shipping!$L$5:$L$64,0)),0))</f>
        <v>0</v>
      </c>
      <c r="AF84" s="36">
        <f>IF(B84="","",IFERROR(INDEX(Shipping!$C$5:$C$64,MATCH(J84,Shipping!$L$5:$L$64,0)),""))</f>
        <v>0</v>
      </c>
      <c r="AG84" s="20">
        <f>IF(B84="","",ROUND(MAX(0,AD84-AE84),2))</f>
        <v>0</v>
      </c>
      <c r="AH84" s="20">
        <f>IF(B84="","",ROUND(T84+Z84+AA84+AB84+AG84,2))</f>
        <v>0</v>
      </c>
      <c r="AI84" s="33">
        <f>IF(B84="","",IFERROR(INDEX(Channels!$S$5:$S$18,MATCH(IF(H84="",DefaultChannel,H84),Channels!$A$5:$A$18,0)),0))</f>
        <v>0</v>
      </c>
      <c r="AJ84" s="42">
        <f>IF(B84="","",IFERROR(INDEX(Channels!$O$5:$O$18,MATCH(IF(H84="",DefaultChannel,H84),Channels!$A$5:$A$18,0)),"No"))</f>
        <v>0</v>
      </c>
      <c r="AK84" s="20">
        <f>IF(B84="","",ROUND(IFERROR(INDEX(Channels!$T$5:$T$18,MATCH(IF(H84="",DefaultChannel,H84),Channels!$A$5:$A$18,0)),0)+IF(AJ84="Yes",AE84*AI84,0),4))</f>
        <v>0</v>
      </c>
      <c r="AL84" s="33">
        <f>IF(B84="","",IF(OverheadMethod="Share of revenue",IF(RevenueTargetMonth&lt;=0,0,OverheadMonthly/RevenueTargetMonth),0))</f>
        <v>0</v>
      </c>
      <c r="AM84" s="20">
        <f>IF(B84="","",IF(OverheadMethod="Per hour worked",ROUND(OverheadPerHour*Y84,2),IF(OR(OverheadMethod="Per unit made",OverheadMethod="Per order"),OverheadPerUnit,0)))</f>
        <v>0</v>
      </c>
      <c r="AN84" s="33">
        <f>IF(B84="","",IF(N84&lt;&gt;"",N84,TargetRetailMargin))</f>
        <v>0</v>
      </c>
      <c r="AO84" s="41">
        <f>IF(B84="","",1-AN84-AI84-AL84)</f>
        <v>0</v>
      </c>
      <c r="AP84" s="20">
        <f>IF(B84="","",IF(AO84&lt;=0,"",(AH84+AM84+AK84)/AO84))</f>
        <v>0</v>
      </c>
      <c r="AQ84" s="20">
        <f>IF(B84="","",IF(AP84="","Check the settings",ROUND(IF(RoundingRule="None",AP84,IF(RoundingRule="Nearest 0.99",MAX(0.99,CEILING(AP84,1)-0.01),IF(RoundingRule="Nearest 0.95",MAX(0.95,CEILING(AP84,1)-0.05),IF(RoundingRule="Nearest 0.50",CEILING(AP84,0.5),IF(RoundingRule="Nearest 1",CEILING(AP84,1),IF(RoundingRule="Nearest 5",CEILING(AP84,5),IF(RoundingRule="Up to whole 1",CEILING(AP84,1),IF(RoundingRule="Up to whole 5",CEILING(AP84,5),ROUND(AP84,2))))))))),2)))</f>
        <v>0</v>
      </c>
      <c r="AR84" s="20">
        <f>IF(B84="","",IF(M84&lt;&gt;"",M84,IF(ISNUMBER(AQ84),AQ84,"")))</f>
        <v>0</v>
      </c>
      <c r="AS84" s="20">
        <f>IF(B84="","",IF(AR84="","",ROUND(AM84+AR84*AL84,2)))</f>
        <v>0</v>
      </c>
      <c r="AT84" s="20">
        <f>IF(B84="","",IF(AR84="","",ROUND(AH84+AS84,2)))</f>
        <v>0</v>
      </c>
      <c r="AU84" s="20">
        <f>IF(B84="","",IF(AR84="","",ROUND(AR84*AI84+AK84,2)))</f>
        <v>0</v>
      </c>
      <c r="AV84" s="20">
        <f>IF(B84="","",IF(AR84="","",ROUND(AR84-AT84-AU84,2)))</f>
        <v>0</v>
      </c>
      <c r="AW84" s="33">
        <f>IF(B84="","",IF(OR(AR84="",AR84=0),"",AV84/AR84))</f>
        <v>0</v>
      </c>
      <c r="AX84" s="33">
        <f>IF(B84="","",IF(OR(AT84="",AT84=0),"",AV84/AT84))</f>
        <v>0</v>
      </c>
      <c r="AY84" s="20">
        <f>IF(B84="","",IF(OR(Y84="",Y84=0,AV84=""),"",ROUND(AV84/Y84,2)))</f>
        <v>0</v>
      </c>
      <c r="AZ84" s="20">
        <f>IF(B84="","",IF(OR(Y84="",Y84=0,AV84=""),"",ROUND((AV84+Z84)/Y84,2)))</f>
        <v>0</v>
      </c>
      <c r="BA84" s="20">
        <f>IF(B84="","",IF(1-AI84-AL84&lt;=0,"",ROUND((AH84+AM84+AK84)/(1-AI84-AL84),2)))</f>
        <v>0</v>
      </c>
      <c r="BB84" s="20">
        <f>IF(B84="","",IF(AT84="","",ROUND(AT84*2,2)))</f>
        <v>0</v>
      </c>
      <c r="BC84" s="20">
        <f>IF(B84="","",IF(AR84="","",ROUND(AR84*(1-WholesaleDiscount),2)))</f>
        <v>0</v>
      </c>
      <c r="BD84" s="20">
        <f>IF(B84="","",IF(BC84="","",ROUND(BC84-AH84-AM84,2)))</f>
        <v>0</v>
      </c>
      <c r="BE84" s="33">
        <f>IF(B84="","",IF(OR(BC84="",BC84=0),"",BD84/BC84))</f>
        <v>0</v>
      </c>
      <c r="BF84" s="20">
        <f>IF(B84="","",IFERROR(ROUND(AVERAGEIFS(Competitors!$F$5:$F$154,Competitors!$A$5:$A$154,A84),2),""))</f>
        <v>0</v>
      </c>
      <c r="BG84" s="33">
        <f>IF(B84="","",IF(OR(BF84="",BF84=0,AR84=""),"",AR84/BF84-1))</f>
        <v>0</v>
      </c>
      <c r="BH84" s="32">
        <f>IF(B84="","",SUMIFS(Sales!$D$5:$D$804,Sales!$C$5:$C$804,A84))</f>
        <v>0</v>
      </c>
      <c r="BI84" s="20">
        <f>IF(B84="","",ROUND(SUMIFS(Sales!$V$5:$V$804,Sales!$C$5:$C$804,A84),2))</f>
        <v>0</v>
      </c>
      <c r="BJ84" s="20">
        <f>IF(B84="","",ROUND(SUMIFS(Sales!$AG$5:$AG$804,Sales!$C$5:$C$804,A84),2))</f>
        <v>0</v>
      </c>
      <c r="BK84" s="33">
        <f>IF(B84="","",IF(OR(BI84="",BI84=0),"",BJ84/BI84))</f>
        <v>0</v>
      </c>
      <c r="BL84" s="17">
        <f>IF(B84="","",IF(SUMPRODUCT(MAX((Sales!$C$5:$C$804=A84)*Sales!$B$5:$B$804))=0,"",SUMPRODUCT(MAX((Sales!$C$5:$C$804=A84)*Sales!$B$5:$B$804))))</f>
        <v>0</v>
      </c>
      <c r="BM84" s="17">
        <f>IF(B84="","",IF(SUMPRODUCT(MAX(('Price History'!$B$5:$B$304=A84)*'Price History'!$A$5:$A$304))=0,IF(P84="","",P84),SUMPRODUCT(MAX(('Price History'!$B$5:$B$304=A84)*'Price History'!$A$5:$A$304))))</f>
        <v>0</v>
      </c>
      <c r="BN84" s="32">
        <f>IF(B84="","",IF(BM84="","",TodayDate-BM84))</f>
        <v>0</v>
      </c>
      <c r="BO84" s="32">
        <f>IF(B84="","",COUNTIFS($AV$5:$AV$304,"&gt;"&amp;AV84)+COUNTIFS($AV$5:AV84,AV84))</f>
        <v>0</v>
      </c>
      <c r="BP84" s="32">
        <f>IF(B84="","",COUNTIFS($AW$5:$AW$304,"&gt;"&amp;AW84)+COUNTIFS($AW$5:AW84,AW84))</f>
        <v>0</v>
      </c>
      <c r="BQ84" s="32">
        <f>IF(B84="","",COUNTIFS($BI$5:$BI$304,"&gt;"&amp;BI84)+COUNTIFS($BI$5:BI84,BI84))</f>
        <v>0</v>
      </c>
      <c r="BR84" s="32">
        <f>IF(B84="","",COUNTIFS($AY$5:$AY$304,"&gt;"&amp;AY84)+COUNTIFS($AY$5:AY84,AY84))</f>
        <v>0</v>
      </c>
      <c r="BS84" s="43">
        <f>IF(B84="","",IF(AH84=0,"Add - no costs entered yet",IF(AR84="","Check - no price yet",IF(AV84&lt;0,"Loss - every sale costs you money",IF(AND(AZ84&lt;&gt;"",AZ84&lt;MinimumWage),"Below - pays under minimum wage",IF(AW84&lt;MarginWarning,"Low margin - re-price it",IF(AND(AF84&lt;&gt;"",K84&lt;&gt;"",K84+AC84&gt;AF84),"Check - too heavy for that postage band",IF(AND(BN84&lt;&gt;"",BN84&gt;PriceReviewDays),"Due - price has not been reviewed",IF(AND(BG84&lt;&gt;"",BG84&gt;0.5),"Check - well above the market","OK")))))))) )</f>
        <v>0</v>
      </c>
    </row>
    <row r="85" spans="1:71">
      <c r="A85" s="38">
        <f>IF(B85="","",ProductPrefix&amp;TEXT(ROW()-4,"0000"))</f>
        <v>0</v>
      </c>
      <c r="S85" s="38">
        <f>IF(B85="","",IF(C85&lt;&gt;"",C85,UPPER(LEFT(IF(D85="","GEN",D85),3))&amp;"-"&amp;TEXT(ROW()-4,"000")))</f>
        <v>0</v>
      </c>
      <c r="T85" s="20">
        <f>IF(B85="","",ROUND(SUMIFS('Material Usage'!$M$5:$M$904,'Material Usage'!$A$5:$A$904,A85)+SUMIFS(Crochet!$AD$5:$AD$84,Crochet!$A$5:$A$84,A85)+SUMIFS(Jewelry!$AF$5:$AF$84,Jewelry!$A$5:$A$84,A85)+SUMIFS(Candles!$AF$5:$AF$84,Candles!$A$5:$A$84,A85)+SUMIFS(Clothing!$AB$5:$AB$84,Clothing!$A$5:$A$84,A85)+SUMIFS(Woodworking!$AC$5:$AC$84,Woodworking!$A$5:$A$84,A85)+SUMIFS(Digital!$X$5:$X$84,Digital!$A$5:$A$84,A85),2))</f>
        <v>0</v>
      </c>
      <c r="U85" s="20">
        <f>IF(B85="","",ROUND(SUMIFS(Labor!$O$5:$O$304,Labor!$A$5:$A$304,A85)+SUMIFS(Crochet!$AG$5:$AG$84,Crochet!$A$5:$A$84,A85)+SUMIFS(Jewelry!$AI$5:$AI$84,Jewelry!$A$5:$A$84,A85)+SUMIFS(Candles!$AI$5:$AI$84,Candles!$A$5:$A$84,A85)+SUMIFS(Clothing!$AE$5:$AE$84,Clothing!$A$5:$A$84,A85)+SUMIFS(Woodworking!$AF$5:$AF$84,Woodworking!$A$5:$A$84,A85)+SUMIFS(Digital!$Z$5:$Z$84,Digital!$A$5:$A$84,A85),2))</f>
        <v>0</v>
      </c>
      <c r="V85" s="36">
        <f>IF(B85="","",ROUND(SUMIFS(Labor!$P$5:$P$304,Labor!$A$5:$A$304,A85)+SUMIFS(Crochet!$AE$5:$AE$84,Crochet!$A$5:$A$84,A85)+SUMIFS(Jewelry!$AG$5:$AG$84,Jewelry!$A$5:$A$84,A85)+SUMIFS(Candles!$AG$5:$AG$84,Candles!$A$5:$A$84,A85)+SUMIFS(Clothing!$AC$5:$AC$84,Clothing!$A$5:$A$84,A85)+SUMIFS(Woodworking!$AD$5:$AD$84,Woodworking!$A$5:$A$84,A85)+SUMIFS(Digital!$Y$5:$Y$84,Digital!$A$5:$A$84,A85),1))</f>
        <v>0</v>
      </c>
      <c r="W85" s="41">
        <f>IF(B85="","",IFERROR(INDEX(DiffTimeFactors,MATCH(G85,DiffNames,0)),1))</f>
        <v>0</v>
      </c>
      <c r="X85" s="36">
        <f>IF(B85="","",ROUND(V85*W85,1))</f>
        <v>0</v>
      </c>
      <c r="Y85" s="41">
        <f>IF(B85="","",ROUND(X85/60,3))</f>
        <v>0</v>
      </c>
      <c r="Z85" s="20">
        <f>IF(B85="","",ROUND(U85*W85,2))</f>
        <v>0</v>
      </c>
      <c r="AA85" s="20">
        <f>IF(B85="","",ROUND(SUMIFS(Labor!$Q$5:$Q$304,Labor!$A$5:$A$304,A85)+SUMIFS(Crochet!$AH$5:$AH$84,Crochet!$A$5:$A$84,A85)+SUMIFS(Jewelry!$AJ$5:$AJ$84,Jewelry!$A$5:$A$84,A85)+SUMIFS(Candles!$AJ$5:$AJ$84,Candles!$A$5:$A$84,A85)+SUMIFS(Clothing!$AF$5:$AF$84,Clothing!$A$5:$A$84,A85)+SUMIFS(Woodworking!$AH$5:$AH$84,Woodworking!$A$5:$A$84,A85)+SUMIFS(Digital!$AA$5:$AA$84,Digital!$A$5:$A$84,A85),2))</f>
        <v>0</v>
      </c>
      <c r="AB85" s="20">
        <f>IF(B85="","",ROUND(IF(I85="Budget",PackBudget,IF(I85="Standard",PackStandard,IF(I85="Gift",PackGift,IF(I85="Premium",PackPremium,DefaultPackaging)))),2))</f>
        <v>0</v>
      </c>
      <c r="AC85" s="36">
        <f>IF(B85="","",IF(I85="Budget",PackWeightBudget,IF(I85="Standard",PackWeightStandard,IF(I85="Gift",PackWeightGift,IF(I85="Premium",PackWeightPremium,0)))))</f>
        <v>0</v>
      </c>
      <c r="AD85" s="20">
        <f>IF(B85="","",IFERROR(INDEX(Shipping!$M$5:$M$64,MATCH(J85,Shipping!$L$5:$L$64,0)),DefaultShipping))</f>
        <v>0</v>
      </c>
      <c r="AE85" s="20">
        <f>IF(B85="","",IFERROR(INDEX(Shipping!$F$5:$F$64,MATCH(J85,Shipping!$L$5:$L$64,0)),0))</f>
        <v>0</v>
      </c>
      <c r="AF85" s="36">
        <f>IF(B85="","",IFERROR(INDEX(Shipping!$C$5:$C$64,MATCH(J85,Shipping!$L$5:$L$64,0)),""))</f>
        <v>0</v>
      </c>
      <c r="AG85" s="20">
        <f>IF(B85="","",ROUND(MAX(0,AD85-AE85),2))</f>
        <v>0</v>
      </c>
      <c r="AH85" s="20">
        <f>IF(B85="","",ROUND(T85+Z85+AA85+AB85+AG85,2))</f>
        <v>0</v>
      </c>
      <c r="AI85" s="33">
        <f>IF(B85="","",IFERROR(INDEX(Channels!$S$5:$S$18,MATCH(IF(H85="",DefaultChannel,H85),Channels!$A$5:$A$18,0)),0))</f>
        <v>0</v>
      </c>
      <c r="AJ85" s="42">
        <f>IF(B85="","",IFERROR(INDEX(Channels!$O$5:$O$18,MATCH(IF(H85="",DefaultChannel,H85),Channels!$A$5:$A$18,0)),"No"))</f>
        <v>0</v>
      </c>
      <c r="AK85" s="20">
        <f>IF(B85="","",ROUND(IFERROR(INDEX(Channels!$T$5:$T$18,MATCH(IF(H85="",DefaultChannel,H85),Channels!$A$5:$A$18,0)),0)+IF(AJ85="Yes",AE85*AI85,0),4))</f>
        <v>0</v>
      </c>
      <c r="AL85" s="33">
        <f>IF(B85="","",IF(OverheadMethod="Share of revenue",IF(RevenueTargetMonth&lt;=0,0,OverheadMonthly/RevenueTargetMonth),0))</f>
        <v>0</v>
      </c>
      <c r="AM85" s="20">
        <f>IF(B85="","",IF(OverheadMethod="Per hour worked",ROUND(OverheadPerHour*Y85,2),IF(OR(OverheadMethod="Per unit made",OverheadMethod="Per order"),OverheadPerUnit,0)))</f>
        <v>0</v>
      </c>
      <c r="AN85" s="33">
        <f>IF(B85="","",IF(N85&lt;&gt;"",N85,TargetRetailMargin))</f>
        <v>0</v>
      </c>
      <c r="AO85" s="41">
        <f>IF(B85="","",1-AN85-AI85-AL85)</f>
        <v>0</v>
      </c>
      <c r="AP85" s="20">
        <f>IF(B85="","",IF(AO85&lt;=0,"",(AH85+AM85+AK85)/AO85))</f>
        <v>0</v>
      </c>
      <c r="AQ85" s="20">
        <f>IF(B85="","",IF(AP85="","Check the settings",ROUND(IF(RoundingRule="None",AP85,IF(RoundingRule="Nearest 0.99",MAX(0.99,CEILING(AP85,1)-0.01),IF(RoundingRule="Nearest 0.95",MAX(0.95,CEILING(AP85,1)-0.05),IF(RoundingRule="Nearest 0.50",CEILING(AP85,0.5),IF(RoundingRule="Nearest 1",CEILING(AP85,1),IF(RoundingRule="Nearest 5",CEILING(AP85,5),IF(RoundingRule="Up to whole 1",CEILING(AP85,1),IF(RoundingRule="Up to whole 5",CEILING(AP85,5),ROUND(AP85,2))))))))),2)))</f>
        <v>0</v>
      </c>
      <c r="AR85" s="20">
        <f>IF(B85="","",IF(M85&lt;&gt;"",M85,IF(ISNUMBER(AQ85),AQ85,"")))</f>
        <v>0</v>
      </c>
      <c r="AS85" s="20">
        <f>IF(B85="","",IF(AR85="","",ROUND(AM85+AR85*AL85,2)))</f>
        <v>0</v>
      </c>
      <c r="AT85" s="20">
        <f>IF(B85="","",IF(AR85="","",ROUND(AH85+AS85,2)))</f>
        <v>0</v>
      </c>
      <c r="AU85" s="20">
        <f>IF(B85="","",IF(AR85="","",ROUND(AR85*AI85+AK85,2)))</f>
        <v>0</v>
      </c>
      <c r="AV85" s="20">
        <f>IF(B85="","",IF(AR85="","",ROUND(AR85-AT85-AU85,2)))</f>
        <v>0</v>
      </c>
      <c r="AW85" s="33">
        <f>IF(B85="","",IF(OR(AR85="",AR85=0),"",AV85/AR85))</f>
        <v>0</v>
      </c>
      <c r="AX85" s="33">
        <f>IF(B85="","",IF(OR(AT85="",AT85=0),"",AV85/AT85))</f>
        <v>0</v>
      </c>
      <c r="AY85" s="20">
        <f>IF(B85="","",IF(OR(Y85="",Y85=0,AV85=""),"",ROUND(AV85/Y85,2)))</f>
        <v>0</v>
      </c>
      <c r="AZ85" s="20">
        <f>IF(B85="","",IF(OR(Y85="",Y85=0,AV85=""),"",ROUND((AV85+Z85)/Y85,2)))</f>
        <v>0</v>
      </c>
      <c r="BA85" s="20">
        <f>IF(B85="","",IF(1-AI85-AL85&lt;=0,"",ROUND((AH85+AM85+AK85)/(1-AI85-AL85),2)))</f>
        <v>0</v>
      </c>
      <c r="BB85" s="20">
        <f>IF(B85="","",IF(AT85="","",ROUND(AT85*2,2)))</f>
        <v>0</v>
      </c>
      <c r="BC85" s="20">
        <f>IF(B85="","",IF(AR85="","",ROUND(AR85*(1-WholesaleDiscount),2)))</f>
        <v>0</v>
      </c>
      <c r="BD85" s="20">
        <f>IF(B85="","",IF(BC85="","",ROUND(BC85-AH85-AM85,2)))</f>
        <v>0</v>
      </c>
      <c r="BE85" s="33">
        <f>IF(B85="","",IF(OR(BC85="",BC85=0),"",BD85/BC85))</f>
        <v>0</v>
      </c>
      <c r="BF85" s="20">
        <f>IF(B85="","",IFERROR(ROUND(AVERAGEIFS(Competitors!$F$5:$F$154,Competitors!$A$5:$A$154,A85),2),""))</f>
        <v>0</v>
      </c>
      <c r="BG85" s="33">
        <f>IF(B85="","",IF(OR(BF85="",BF85=0,AR85=""),"",AR85/BF85-1))</f>
        <v>0</v>
      </c>
      <c r="BH85" s="32">
        <f>IF(B85="","",SUMIFS(Sales!$D$5:$D$804,Sales!$C$5:$C$804,A85))</f>
        <v>0</v>
      </c>
      <c r="BI85" s="20">
        <f>IF(B85="","",ROUND(SUMIFS(Sales!$V$5:$V$804,Sales!$C$5:$C$804,A85),2))</f>
        <v>0</v>
      </c>
      <c r="BJ85" s="20">
        <f>IF(B85="","",ROUND(SUMIFS(Sales!$AG$5:$AG$804,Sales!$C$5:$C$804,A85),2))</f>
        <v>0</v>
      </c>
      <c r="BK85" s="33">
        <f>IF(B85="","",IF(OR(BI85="",BI85=0),"",BJ85/BI85))</f>
        <v>0</v>
      </c>
      <c r="BL85" s="17">
        <f>IF(B85="","",IF(SUMPRODUCT(MAX((Sales!$C$5:$C$804=A85)*Sales!$B$5:$B$804))=0,"",SUMPRODUCT(MAX((Sales!$C$5:$C$804=A85)*Sales!$B$5:$B$804))))</f>
        <v>0</v>
      </c>
      <c r="BM85" s="17">
        <f>IF(B85="","",IF(SUMPRODUCT(MAX(('Price History'!$B$5:$B$304=A85)*'Price History'!$A$5:$A$304))=0,IF(P85="","",P85),SUMPRODUCT(MAX(('Price History'!$B$5:$B$304=A85)*'Price History'!$A$5:$A$304))))</f>
        <v>0</v>
      </c>
      <c r="BN85" s="32">
        <f>IF(B85="","",IF(BM85="","",TodayDate-BM85))</f>
        <v>0</v>
      </c>
      <c r="BO85" s="32">
        <f>IF(B85="","",COUNTIFS($AV$5:$AV$304,"&gt;"&amp;AV85)+COUNTIFS($AV$5:AV85,AV85))</f>
        <v>0</v>
      </c>
      <c r="BP85" s="32">
        <f>IF(B85="","",COUNTIFS($AW$5:$AW$304,"&gt;"&amp;AW85)+COUNTIFS($AW$5:AW85,AW85))</f>
        <v>0</v>
      </c>
      <c r="BQ85" s="32">
        <f>IF(B85="","",COUNTIFS($BI$5:$BI$304,"&gt;"&amp;BI85)+COUNTIFS($BI$5:BI85,BI85))</f>
        <v>0</v>
      </c>
      <c r="BR85" s="32">
        <f>IF(B85="","",COUNTIFS($AY$5:$AY$304,"&gt;"&amp;AY85)+COUNTIFS($AY$5:AY85,AY85))</f>
        <v>0</v>
      </c>
      <c r="BS85" s="43">
        <f>IF(B85="","",IF(AH85=0,"Add - no costs entered yet",IF(AR85="","Check - no price yet",IF(AV85&lt;0,"Loss - every sale costs you money",IF(AND(AZ85&lt;&gt;"",AZ85&lt;MinimumWage),"Below - pays under minimum wage",IF(AW85&lt;MarginWarning,"Low margin - re-price it",IF(AND(AF85&lt;&gt;"",K85&lt;&gt;"",K85+AC85&gt;AF85),"Check - too heavy for that postage band",IF(AND(BN85&lt;&gt;"",BN85&gt;PriceReviewDays),"Due - price has not been reviewed",IF(AND(BG85&lt;&gt;"",BG85&gt;0.5),"Check - well above the market","OK")))))))) )</f>
        <v>0</v>
      </c>
    </row>
    <row r="86" spans="1:71">
      <c r="A86" s="38">
        <f>IF(B86="","",ProductPrefix&amp;TEXT(ROW()-4,"0000"))</f>
        <v>0</v>
      </c>
      <c r="S86" s="38">
        <f>IF(B86="","",IF(C86&lt;&gt;"",C86,UPPER(LEFT(IF(D86="","GEN",D86),3))&amp;"-"&amp;TEXT(ROW()-4,"000")))</f>
        <v>0</v>
      </c>
      <c r="T86" s="20">
        <f>IF(B86="","",ROUND(SUMIFS('Material Usage'!$M$5:$M$904,'Material Usage'!$A$5:$A$904,A86)+SUMIFS(Crochet!$AD$5:$AD$84,Crochet!$A$5:$A$84,A86)+SUMIFS(Jewelry!$AF$5:$AF$84,Jewelry!$A$5:$A$84,A86)+SUMIFS(Candles!$AF$5:$AF$84,Candles!$A$5:$A$84,A86)+SUMIFS(Clothing!$AB$5:$AB$84,Clothing!$A$5:$A$84,A86)+SUMIFS(Woodworking!$AC$5:$AC$84,Woodworking!$A$5:$A$84,A86)+SUMIFS(Digital!$X$5:$X$84,Digital!$A$5:$A$84,A86),2))</f>
        <v>0</v>
      </c>
      <c r="U86" s="20">
        <f>IF(B86="","",ROUND(SUMIFS(Labor!$O$5:$O$304,Labor!$A$5:$A$304,A86)+SUMIFS(Crochet!$AG$5:$AG$84,Crochet!$A$5:$A$84,A86)+SUMIFS(Jewelry!$AI$5:$AI$84,Jewelry!$A$5:$A$84,A86)+SUMIFS(Candles!$AI$5:$AI$84,Candles!$A$5:$A$84,A86)+SUMIFS(Clothing!$AE$5:$AE$84,Clothing!$A$5:$A$84,A86)+SUMIFS(Woodworking!$AF$5:$AF$84,Woodworking!$A$5:$A$84,A86)+SUMIFS(Digital!$Z$5:$Z$84,Digital!$A$5:$A$84,A86),2))</f>
        <v>0</v>
      </c>
      <c r="V86" s="36">
        <f>IF(B86="","",ROUND(SUMIFS(Labor!$P$5:$P$304,Labor!$A$5:$A$304,A86)+SUMIFS(Crochet!$AE$5:$AE$84,Crochet!$A$5:$A$84,A86)+SUMIFS(Jewelry!$AG$5:$AG$84,Jewelry!$A$5:$A$84,A86)+SUMIFS(Candles!$AG$5:$AG$84,Candles!$A$5:$A$84,A86)+SUMIFS(Clothing!$AC$5:$AC$84,Clothing!$A$5:$A$84,A86)+SUMIFS(Woodworking!$AD$5:$AD$84,Woodworking!$A$5:$A$84,A86)+SUMIFS(Digital!$Y$5:$Y$84,Digital!$A$5:$A$84,A86),1))</f>
        <v>0</v>
      </c>
      <c r="W86" s="41">
        <f>IF(B86="","",IFERROR(INDEX(DiffTimeFactors,MATCH(G86,DiffNames,0)),1))</f>
        <v>0</v>
      </c>
      <c r="X86" s="36">
        <f>IF(B86="","",ROUND(V86*W86,1))</f>
        <v>0</v>
      </c>
      <c r="Y86" s="41">
        <f>IF(B86="","",ROUND(X86/60,3))</f>
        <v>0</v>
      </c>
      <c r="Z86" s="20">
        <f>IF(B86="","",ROUND(U86*W86,2))</f>
        <v>0</v>
      </c>
      <c r="AA86" s="20">
        <f>IF(B86="","",ROUND(SUMIFS(Labor!$Q$5:$Q$304,Labor!$A$5:$A$304,A86)+SUMIFS(Crochet!$AH$5:$AH$84,Crochet!$A$5:$A$84,A86)+SUMIFS(Jewelry!$AJ$5:$AJ$84,Jewelry!$A$5:$A$84,A86)+SUMIFS(Candles!$AJ$5:$AJ$84,Candles!$A$5:$A$84,A86)+SUMIFS(Clothing!$AF$5:$AF$84,Clothing!$A$5:$A$84,A86)+SUMIFS(Woodworking!$AH$5:$AH$84,Woodworking!$A$5:$A$84,A86)+SUMIFS(Digital!$AA$5:$AA$84,Digital!$A$5:$A$84,A86),2))</f>
        <v>0</v>
      </c>
      <c r="AB86" s="20">
        <f>IF(B86="","",ROUND(IF(I86="Budget",PackBudget,IF(I86="Standard",PackStandard,IF(I86="Gift",PackGift,IF(I86="Premium",PackPremium,DefaultPackaging)))),2))</f>
        <v>0</v>
      </c>
      <c r="AC86" s="36">
        <f>IF(B86="","",IF(I86="Budget",PackWeightBudget,IF(I86="Standard",PackWeightStandard,IF(I86="Gift",PackWeightGift,IF(I86="Premium",PackWeightPremium,0)))))</f>
        <v>0</v>
      </c>
      <c r="AD86" s="20">
        <f>IF(B86="","",IFERROR(INDEX(Shipping!$M$5:$M$64,MATCH(J86,Shipping!$L$5:$L$64,0)),DefaultShipping))</f>
        <v>0</v>
      </c>
      <c r="AE86" s="20">
        <f>IF(B86="","",IFERROR(INDEX(Shipping!$F$5:$F$64,MATCH(J86,Shipping!$L$5:$L$64,0)),0))</f>
        <v>0</v>
      </c>
      <c r="AF86" s="36">
        <f>IF(B86="","",IFERROR(INDEX(Shipping!$C$5:$C$64,MATCH(J86,Shipping!$L$5:$L$64,0)),""))</f>
        <v>0</v>
      </c>
      <c r="AG86" s="20">
        <f>IF(B86="","",ROUND(MAX(0,AD86-AE86),2))</f>
        <v>0</v>
      </c>
      <c r="AH86" s="20">
        <f>IF(B86="","",ROUND(T86+Z86+AA86+AB86+AG86,2))</f>
        <v>0</v>
      </c>
      <c r="AI86" s="33">
        <f>IF(B86="","",IFERROR(INDEX(Channels!$S$5:$S$18,MATCH(IF(H86="",DefaultChannel,H86),Channels!$A$5:$A$18,0)),0))</f>
        <v>0</v>
      </c>
      <c r="AJ86" s="42">
        <f>IF(B86="","",IFERROR(INDEX(Channels!$O$5:$O$18,MATCH(IF(H86="",DefaultChannel,H86),Channels!$A$5:$A$18,0)),"No"))</f>
        <v>0</v>
      </c>
      <c r="AK86" s="20">
        <f>IF(B86="","",ROUND(IFERROR(INDEX(Channels!$T$5:$T$18,MATCH(IF(H86="",DefaultChannel,H86),Channels!$A$5:$A$18,0)),0)+IF(AJ86="Yes",AE86*AI86,0),4))</f>
        <v>0</v>
      </c>
      <c r="AL86" s="33">
        <f>IF(B86="","",IF(OverheadMethod="Share of revenue",IF(RevenueTargetMonth&lt;=0,0,OverheadMonthly/RevenueTargetMonth),0))</f>
        <v>0</v>
      </c>
      <c r="AM86" s="20">
        <f>IF(B86="","",IF(OverheadMethod="Per hour worked",ROUND(OverheadPerHour*Y86,2),IF(OR(OverheadMethod="Per unit made",OverheadMethod="Per order"),OverheadPerUnit,0)))</f>
        <v>0</v>
      </c>
      <c r="AN86" s="33">
        <f>IF(B86="","",IF(N86&lt;&gt;"",N86,TargetRetailMargin))</f>
        <v>0</v>
      </c>
      <c r="AO86" s="41">
        <f>IF(B86="","",1-AN86-AI86-AL86)</f>
        <v>0</v>
      </c>
      <c r="AP86" s="20">
        <f>IF(B86="","",IF(AO86&lt;=0,"",(AH86+AM86+AK86)/AO86))</f>
        <v>0</v>
      </c>
      <c r="AQ86" s="20">
        <f>IF(B86="","",IF(AP86="","Check the settings",ROUND(IF(RoundingRule="None",AP86,IF(RoundingRule="Nearest 0.99",MAX(0.99,CEILING(AP86,1)-0.01),IF(RoundingRule="Nearest 0.95",MAX(0.95,CEILING(AP86,1)-0.05),IF(RoundingRule="Nearest 0.50",CEILING(AP86,0.5),IF(RoundingRule="Nearest 1",CEILING(AP86,1),IF(RoundingRule="Nearest 5",CEILING(AP86,5),IF(RoundingRule="Up to whole 1",CEILING(AP86,1),IF(RoundingRule="Up to whole 5",CEILING(AP86,5),ROUND(AP86,2))))))))),2)))</f>
        <v>0</v>
      </c>
      <c r="AR86" s="20">
        <f>IF(B86="","",IF(M86&lt;&gt;"",M86,IF(ISNUMBER(AQ86),AQ86,"")))</f>
        <v>0</v>
      </c>
      <c r="AS86" s="20">
        <f>IF(B86="","",IF(AR86="","",ROUND(AM86+AR86*AL86,2)))</f>
        <v>0</v>
      </c>
      <c r="AT86" s="20">
        <f>IF(B86="","",IF(AR86="","",ROUND(AH86+AS86,2)))</f>
        <v>0</v>
      </c>
      <c r="AU86" s="20">
        <f>IF(B86="","",IF(AR86="","",ROUND(AR86*AI86+AK86,2)))</f>
        <v>0</v>
      </c>
      <c r="AV86" s="20">
        <f>IF(B86="","",IF(AR86="","",ROUND(AR86-AT86-AU86,2)))</f>
        <v>0</v>
      </c>
      <c r="AW86" s="33">
        <f>IF(B86="","",IF(OR(AR86="",AR86=0),"",AV86/AR86))</f>
        <v>0</v>
      </c>
      <c r="AX86" s="33">
        <f>IF(B86="","",IF(OR(AT86="",AT86=0),"",AV86/AT86))</f>
        <v>0</v>
      </c>
      <c r="AY86" s="20">
        <f>IF(B86="","",IF(OR(Y86="",Y86=0,AV86=""),"",ROUND(AV86/Y86,2)))</f>
        <v>0</v>
      </c>
      <c r="AZ86" s="20">
        <f>IF(B86="","",IF(OR(Y86="",Y86=0,AV86=""),"",ROUND((AV86+Z86)/Y86,2)))</f>
        <v>0</v>
      </c>
      <c r="BA86" s="20">
        <f>IF(B86="","",IF(1-AI86-AL86&lt;=0,"",ROUND((AH86+AM86+AK86)/(1-AI86-AL86),2)))</f>
        <v>0</v>
      </c>
      <c r="BB86" s="20">
        <f>IF(B86="","",IF(AT86="","",ROUND(AT86*2,2)))</f>
        <v>0</v>
      </c>
      <c r="BC86" s="20">
        <f>IF(B86="","",IF(AR86="","",ROUND(AR86*(1-WholesaleDiscount),2)))</f>
        <v>0</v>
      </c>
      <c r="BD86" s="20">
        <f>IF(B86="","",IF(BC86="","",ROUND(BC86-AH86-AM86,2)))</f>
        <v>0</v>
      </c>
      <c r="BE86" s="33">
        <f>IF(B86="","",IF(OR(BC86="",BC86=0),"",BD86/BC86))</f>
        <v>0</v>
      </c>
      <c r="BF86" s="20">
        <f>IF(B86="","",IFERROR(ROUND(AVERAGEIFS(Competitors!$F$5:$F$154,Competitors!$A$5:$A$154,A86),2),""))</f>
        <v>0</v>
      </c>
      <c r="BG86" s="33">
        <f>IF(B86="","",IF(OR(BF86="",BF86=0,AR86=""),"",AR86/BF86-1))</f>
        <v>0</v>
      </c>
      <c r="BH86" s="32">
        <f>IF(B86="","",SUMIFS(Sales!$D$5:$D$804,Sales!$C$5:$C$804,A86))</f>
        <v>0</v>
      </c>
      <c r="BI86" s="20">
        <f>IF(B86="","",ROUND(SUMIFS(Sales!$V$5:$V$804,Sales!$C$5:$C$804,A86),2))</f>
        <v>0</v>
      </c>
      <c r="BJ86" s="20">
        <f>IF(B86="","",ROUND(SUMIFS(Sales!$AG$5:$AG$804,Sales!$C$5:$C$804,A86),2))</f>
        <v>0</v>
      </c>
      <c r="BK86" s="33">
        <f>IF(B86="","",IF(OR(BI86="",BI86=0),"",BJ86/BI86))</f>
        <v>0</v>
      </c>
      <c r="BL86" s="17">
        <f>IF(B86="","",IF(SUMPRODUCT(MAX((Sales!$C$5:$C$804=A86)*Sales!$B$5:$B$804))=0,"",SUMPRODUCT(MAX((Sales!$C$5:$C$804=A86)*Sales!$B$5:$B$804))))</f>
        <v>0</v>
      </c>
      <c r="BM86" s="17">
        <f>IF(B86="","",IF(SUMPRODUCT(MAX(('Price History'!$B$5:$B$304=A86)*'Price History'!$A$5:$A$304))=0,IF(P86="","",P86),SUMPRODUCT(MAX(('Price History'!$B$5:$B$304=A86)*'Price History'!$A$5:$A$304))))</f>
        <v>0</v>
      </c>
      <c r="BN86" s="32">
        <f>IF(B86="","",IF(BM86="","",TodayDate-BM86))</f>
        <v>0</v>
      </c>
      <c r="BO86" s="32">
        <f>IF(B86="","",COUNTIFS($AV$5:$AV$304,"&gt;"&amp;AV86)+COUNTIFS($AV$5:AV86,AV86))</f>
        <v>0</v>
      </c>
      <c r="BP86" s="32">
        <f>IF(B86="","",COUNTIFS($AW$5:$AW$304,"&gt;"&amp;AW86)+COUNTIFS($AW$5:AW86,AW86))</f>
        <v>0</v>
      </c>
      <c r="BQ86" s="32">
        <f>IF(B86="","",COUNTIFS($BI$5:$BI$304,"&gt;"&amp;BI86)+COUNTIFS($BI$5:BI86,BI86))</f>
        <v>0</v>
      </c>
      <c r="BR86" s="32">
        <f>IF(B86="","",COUNTIFS($AY$5:$AY$304,"&gt;"&amp;AY86)+COUNTIFS($AY$5:AY86,AY86))</f>
        <v>0</v>
      </c>
      <c r="BS86" s="43">
        <f>IF(B86="","",IF(AH86=0,"Add - no costs entered yet",IF(AR86="","Check - no price yet",IF(AV86&lt;0,"Loss - every sale costs you money",IF(AND(AZ86&lt;&gt;"",AZ86&lt;MinimumWage),"Below - pays under minimum wage",IF(AW86&lt;MarginWarning,"Low margin - re-price it",IF(AND(AF86&lt;&gt;"",K86&lt;&gt;"",K86+AC86&gt;AF86),"Check - too heavy for that postage band",IF(AND(BN86&lt;&gt;"",BN86&gt;PriceReviewDays),"Due - price has not been reviewed",IF(AND(BG86&lt;&gt;"",BG86&gt;0.5),"Check - well above the market","OK")))))))) )</f>
        <v>0</v>
      </c>
    </row>
    <row r="87" spans="1:71">
      <c r="A87" s="38">
        <f>IF(B87="","",ProductPrefix&amp;TEXT(ROW()-4,"0000"))</f>
        <v>0</v>
      </c>
      <c r="S87" s="38">
        <f>IF(B87="","",IF(C87&lt;&gt;"",C87,UPPER(LEFT(IF(D87="","GEN",D87),3))&amp;"-"&amp;TEXT(ROW()-4,"000")))</f>
        <v>0</v>
      </c>
      <c r="T87" s="20">
        <f>IF(B87="","",ROUND(SUMIFS('Material Usage'!$M$5:$M$904,'Material Usage'!$A$5:$A$904,A87)+SUMIFS(Crochet!$AD$5:$AD$84,Crochet!$A$5:$A$84,A87)+SUMIFS(Jewelry!$AF$5:$AF$84,Jewelry!$A$5:$A$84,A87)+SUMIFS(Candles!$AF$5:$AF$84,Candles!$A$5:$A$84,A87)+SUMIFS(Clothing!$AB$5:$AB$84,Clothing!$A$5:$A$84,A87)+SUMIFS(Woodworking!$AC$5:$AC$84,Woodworking!$A$5:$A$84,A87)+SUMIFS(Digital!$X$5:$X$84,Digital!$A$5:$A$84,A87),2))</f>
        <v>0</v>
      </c>
      <c r="U87" s="20">
        <f>IF(B87="","",ROUND(SUMIFS(Labor!$O$5:$O$304,Labor!$A$5:$A$304,A87)+SUMIFS(Crochet!$AG$5:$AG$84,Crochet!$A$5:$A$84,A87)+SUMIFS(Jewelry!$AI$5:$AI$84,Jewelry!$A$5:$A$84,A87)+SUMIFS(Candles!$AI$5:$AI$84,Candles!$A$5:$A$84,A87)+SUMIFS(Clothing!$AE$5:$AE$84,Clothing!$A$5:$A$84,A87)+SUMIFS(Woodworking!$AF$5:$AF$84,Woodworking!$A$5:$A$84,A87)+SUMIFS(Digital!$Z$5:$Z$84,Digital!$A$5:$A$84,A87),2))</f>
        <v>0</v>
      </c>
      <c r="V87" s="36">
        <f>IF(B87="","",ROUND(SUMIFS(Labor!$P$5:$P$304,Labor!$A$5:$A$304,A87)+SUMIFS(Crochet!$AE$5:$AE$84,Crochet!$A$5:$A$84,A87)+SUMIFS(Jewelry!$AG$5:$AG$84,Jewelry!$A$5:$A$84,A87)+SUMIFS(Candles!$AG$5:$AG$84,Candles!$A$5:$A$84,A87)+SUMIFS(Clothing!$AC$5:$AC$84,Clothing!$A$5:$A$84,A87)+SUMIFS(Woodworking!$AD$5:$AD$84,Woodworking!$A$5:$A$84,A87)+SUMIFS(Digital!$Y$5:$Y$84,Digital!$A$5:$A$84,A87),1))</f>
        <v>0</v>
      </c>
      <c r="W87" s="41">
        <f>IF(B87="","",IFERROR(INDEX(DiffTimeFactors,MATCH(G87,DiffNames,0)),1))</f>
        <v>0</v>
      </c>
      <c r="X87" s="36">
        <f>IF(B87="","",ROUND(V87*W87,1))</f>
        <v>0</v>
      </c>
      <c r="Y87" s="41">
        <f>IF(B87="","",ROUND(X87/60,3))</f>
        <v>0</v>
      </c>
      <c r="Z87" s="20">
        <f>IF(B87="","",ROUND(U87*W87,2))</f>
        <v>0</v>
      </c>
      <c r="AA87" s="20">
        <f>IF(B87="","",ROUND(SUMIFS(Labor!$Q$5:$Q$304,Labor!$A$5:$A$304,A87)+SUMIFS(Crochet!$AH$5:$AH$84,Crochet!$A$5:$A$84,A87)+SUMIFS(Jewelry!$AJ$5:$AJ$84,Jewelry!$A$5:$A$84,A87)+SUMIFS(Candles!$AJ$5:$AJ$84,Candles!$A$5:$A$84,A87)+SUMIFS(Clothing!$AF$5:$AF$84,Clothing!$A$5:$A$84,A87)+SUMIFS(Woodworking!$AH$5:$AH$84,Woodworking!$A$5:$A$84,A87)+SUMIFS(Digital!$AA$5:$AA$84,Digital!$A$5:$A$84,A87),2))</f>
        <v>0</v>
      </c>
      <c r="AB87" s="20">
        <f>IF(B87="","",ROUND(IF(I87="Budget",PackBudget,IF(I87="Standard",PackStandard,IF(I87="Gift",PackGift,IF(I87="Premium",PackPremium,DefaultPackaging)))),2))</f>
        <v>0</v>
      </c>
      <c r="AC87" s="36">
        <f>IF(B87="","",IF(I87="Budget",PackWeightBudget,IF(I87="Standard",PackWeightStandard,IF(I87="Gift",PackWeightGift,IF(I87="Premium",PackWeightPremium,0)))))</f>
        <v>0</v>
      </c>
      <c r="AD87" s="20">
        <f>IF(B87="","",IFERROR(INDEX(Shipping!$M$5:$M$64,MATCH(J87,Shipping!$L$5:$L$64,0)),DefaultShipping))</f>
        <v>0</v>
      </c>
      <c r="AE87" s="20">
        <f>IF(B87="","",IFERROR(INDEX(Shipping!$F$5:$F$64,MATCH(J87,Shipping!$L$5:$L$64,0)),0))</f>
        <v>0</v>
      </c>
      <c r="AF87" s="36">
        <f>IF(B87="","",IFERROR(INDEX(Shipping!$C$5:$C$64,MATCH(J87,Shipping!$L$5:$L$64,0)),""))</f>
        <v>0</v>
      </c>
      <c r="AG87" s="20">
        <f>IF(B87="","",ROUND(MAX(0,AD87-AE87),2))</f>
        <v>0</v>
      </c>
      <c r="AH87" s="20">
        <f>IF(B87="","",ROUND(T87+Z87+AA87+AB87+AG87,2))</f>
        <v>0</v>
      </c>
      <c r="AI87" s="33">
        <f>IF(B87="","",IFERROR(INDEX(Channels!$S$5:$S$18,MATCH(IF(H87="",DefaultChannel,H87),Channels!$A$5:$A$18,0)),0))</f>
        <v>0</v>
      </c>
      <c r="AJ87" s="42">
        <f>IF(B87="","",IFERROR(INDEX(Channels!$O$5:$O$18,MATCH(IF(H87="",DefaultChannel,H87),Channels!$A$5:$A$18,0)),"No"))</f>
        <v>0</v>
      </c>
      <c r="AK87" s="20">
        <f>IF(B87="","",ROUND(IFERROR(INDEX(Channels!$T$5:$T$18,MATCH(IF(H87="",DefaultChannel,H87),Channels!$A$5:$A$18,0)),0)+IF(AJ87="Yes",AE87*AI87,0),4))</f>
        <v>0</v>
      </c>
      <c r="AL87" s="33">
        <f>IF(B87="","",IF(OverheadMethod="Share of revenue",IF(RevenueTargetMonth&lt;=0,0,OverheadMonthly/RevenueTargetMonth),0))</f>
        <v>0</v>
      </c>
      <c r="AM87" s="20">
        <f>IF(B87="","",IF(OverheadMethod="Per hour worked",ROUND(OverheadPerHour*Y87,2),IF(OR(OverheadMethod="Per unit made",OverheadMethod="Per order"),OverheadPerUnit,0)))</f>
        <v>0</v>
      </c>
      <c r="AN87" s="33">
        <f>IF(B87="","",IF(N87&lt;&gt;"",N87,TargetRetailMargin))</f>
        <v>0</v>
      </c>
      <c r="AO87" s="41">
        <f>IF(B87="","",1-AN87-AI87-AL87)</f>
        <v>0</v>
      </c>
      <c r="AP87" s="20">
        <f>IF(B87="","",IF(AO87&lt;=0,"",(AH87+AM87+AK87)/AO87))</f>
        <v>0</v>
      </c>
      <c r="AQ87" s="20">
        <f>IF(B87="","",IF(AP87="","Check the settings",ROUND(IF(RoundingRule="None",AP87,IF(RoundingRule="Nearest 0.99",MAX(0.99,CEILING(AP87,1)-0.01),IF(RoundingRule="Nearest 0.95",MAX(0.95,CEILING(AP87,1)-0.05),IF(RoundingRule="Nearest 0.50",CEILING(AP87,0.5),IF(RoundingRule="Nearest 1",CEILING(AP87,1),IF(RoundingRule="Nearest 5",CEILING(AP87,5),IF(RoundingRule="Up to whole 1",CEILING(AP87,1),IF(RoundingRule="Up to whole 5",CEILING(AP87,5),ROUND(AP87,2))))))))),2)))</f>
        <v>0</v>
      </c>
      <c r="AR87" s="20">
        <f>IF(B87="","",IF(M87&lt;&gt;"",M87,IF(ISNUMBER(AQ87),AQ87,"")))</f>
        <v>0</v>
      </c>
      <c r="AS87" s="20">
        <f>IF(B87="","",IF(AR87="","",ROUND(AM87+AR87*AL87,2)))</f>
        <v>0</v>
      </c>
      <c r="AT87" s="20">
        <f>IF(B87="","",IF(AR87="","",ROUND(AH87+AS87,2)))</f>
        <v>0</v>
      </c>
      <c r="AU87" s="20">
        <f>IF(B87="","",IF(AR87="","",ROUND(AR87*AI87+AK87,2)))</f>
        <v>0</v>
      </c>
      <c r="AV87" s="20">
        <f>IF(B87="","",IF(AR87="","",ROUND(AR87-AT87-AU87,2)))</f>
        <v>0</v>
      </c>
      <c r="AW87" s="33">
        <f>IF(B87="","",IF(OR(AR87="",AR87=0),"",AV87/AR87))</f>
        <v>0</v>
      </c>
      <c r="AX87" s="33">
        <f>IF(B87="","",IF(OR(AT87="",AT87=0),"",AV87/AT87))</f>
        <v>0</v>
      </c>
      <c r="AY87" s="20">
        <f>IF(B87="","",IF(OR(Y87="",Y87=0,AV87=""),"",ROUND(AV87/Y87,2)))</f>
        <v>0</v>
      </c>
      <c r="AZ87" s="20">
        <f>IF(B87="","",IF(OR(Y87="",Y87=0,AV87=""),"",ROUND((AV87+Z87)/Y87,2)))</f>
        <v>0</v>
      </c>
      <c r="BA87" s="20">
        <f>IF(B87="","",IF(1-AI87-AL87&lt;=0,"",ROUND((AH87+AM87+AK87)/(1-AI87-AL87),2)))</f>
        <v>0</v>
      </c>
      <c r="BB87" s="20">
        <f>IF(B87="","",IF(AT87="","",ROUND(AT87*2,2)))</f>
        <v>0</v>
      </c>
      <c r="BC87" s="20">
        <f>IF(B87="","",IF(AR87="","",ROUND(AR87*(1-WholesaleDiscount),2)))</f>
        <v>0</v>
      </c>
      <c r="BD87" s="20">
        <f>IF(B87="","",IF(BC87="","",ROUND(BC87-AH87-AM87,2)))</f>
        <v>0</v>
      </c>
      <c r="BE87" s="33">
        <f>IF(B87="","",IF(OR(BC87="",BC87=0),"",BD87/BC87))</f>
        <v>0</v>
      </c>
      <c r="BF87" s="20">
        <f>IF(B87="","",IFERROR(ROUND(AVERAGEIFS(Competitors!$F$5:$F$154,Competitors!$A$5:$A$154,A87),2),""))</f>
        <v>0</v>
      </c>
      <c r="BG87" s="33">
        <f>IF(B87="","",IF(OR(BF87="",BF87=0,AR87=""),"",AR87/BF87-1))</f>
        <v>0</v>
      </c>
      <c r="BH87" s="32">
        <f>IF(B87="","",SUMIFS(Sales!$D$5:$D$804,Sales!$C$5:$C$804,A87))</f>
        <v>0</v>
      </c>
      <c r="BI87" s="20">
        <f>IF(B87="","",ROUND(SUMIFS(Sales!$V$5:$V$804,Sales!$C$5:$C$804,A87),2))</f>
        <v>0</v>
      </c>
      <c r="BJ87" s="20">
        <f>IF(B87="","",ROUND(SUMIFS(Sales!$AG$5:$AG$804,Sales!$C$5:$C$804,A87),2))</f>
        <v>0</v>
      </c>
      <c r="BK87" s="33">
        <f>IF(B87="","",IF(OR(BI87="",BI87=0),"",BJ87/BI87))</f>
        <v>0</v>
      </c>
      <c r="BL87" s="17">
        <f>IF(B87="","",IF(SUMPRODUCT(MAX((Sales!$C$5:$C$804=A87)*Sales!$B$5:$B$804))=0,"",SUMPRODUCT(MAX((Sales!$C$5:$C$804=A87)*Sales!$B$5:$B$804))))</f>
        <v>0</v>
      </c>
      <c r="BM87" s="17">
        <f>IF(B87="","",IF(SUMPRODUCT(MAX(('Price History'!$B$5:$B$304=A87)*'Price History'!$A$5:$A$304))=0,IF(P87="","",P87),SUMPRODUCT(MAX(('Price History'!$B$5:$B$304=A87)*'Price History'!$A$5:$A$304))))</f>
        <v>0</v>
      </c>
      <c r="BN87" s="32">
        <f>IF(B87="","",IF(BM87="","",TodayDate-BM87))</f>
        <v>0</v>
      </c>
      <c r="BO87" s="32">
        <f>IF(B87="","",COUNTIFS($AV$5:$AV$304,"&gt;"&amp;AV87)+COUNTIFS($AV$5:AV87,AV87))</f>
        <v>0</v>
      </c>
      <c r="BP87" s="32">
        <f>IF(B87="","",COUNTIFS($AW$5:$AW$304,"&gt;"&amp;AW87)+COUNTIFS($AW$5:AW87,AW87))</f>
        <v>0</v>
      </c>
      <c r="BQ87" s="32">
        <f>IF(B87="","",COUNTIFS($BI$5:$BI$304,"&gt;"&amp;BI87)+COUNTIFS($BI$5:BI87,BI87))</f>
        <v>0</v>
      </c>
      <c r="BR87" s="32">
        <f>IF(B87="","",COUNTIFS($AY$5:$AY$304,"&gt;"&amp;AY87)+COUNTIFS($AY$5:AY87,AY87))</f>
        <v>0</v>
      </c>
      <c r="BS87" s="43">
        <f>IF(B87="","",IF(AH87=0,"Add - no costs entered yet",IF(AR87="","Check - no price yet",IF(AV87&lt;0,"Loss - every sale costs you money",IF(AND(AZ87&lt;&gt;"",AZ87&lt;MinimumWage),"Below - pays under minimum wage",IF(AW87&lt;MarginWarning,"Low margin - re-price it",IF(AND(AF87&lt;&gt;"",K87&lt;&gt;"",K87+AC87&gt;AF87),"Check - too heavy for that postage band",IF(AND(BN87&lt;&gt;"",BN87&gt;PriceReviewDays),"Due - price has not been reviewed",IF(AND(BG87&lt;&gt;"",BG87&gt;0.5),"Check - well above the market","OK")))))))) )</f>
        <v>0</v>
      </c>
    </row>
    <row r="88" spans="1:71">
      <c r="A88" s="38">
        <f>IF(B88="","",ProductPrefix&amp;TEXT(ROW()-4,"0000"))</f>
        <v>0</v>
      </c>
      <c r="S88" s="38">
        <f>IF(B88="","",IF(C88&lt;&gt;"",C88,UPPER(LEFT(IF(D88="","GEN",D88),3))&amp;"-"&amp;TEXT(ROW()-4,"000")))</f>
        <v>0</v>
      </c>
      <c r="T88" s="20">
        <f>IF(B88="","",ROUND(SUMIFS('Material Usage'!$M$5:$M$904,'Material Usage'!$A$5:$A$904,A88)+SUMIFS(Crochet!$AD$5:$AD$84,Crochet!$A$5:$A$84,A88)+SUMIFS(Jewelry!$AF$5:$AF$84,Jewelry!$A$5:$A$84,A88)+SUMIFS(Candles!$AF$5:$AF$84,Candles!$A$5:$A$84,A88)+SUMIFS(Clothing!$AB$5:$AB$84,Clothing!$A$5:$A$84,A88)+SUMIFS(Woodworking!$AC$5:$AC$84,Woodworking!$A$5:$A$84,A88)+SUMIFS(Digital!$X$5:$X$84,Digital!$A$5:$A$84,A88),2))</f>
        <v>0</v>
      </c>
      <c r="U88" s="20">
        <f>IF(B88="","",ROUND(SUMIFS(Labor!$O$5:$O$304,Labor!$A$5:$A$304,A88)+SUMIFS(Crochet!$AG$5:$AG$84,Crochet!$A$5:$A$84,A88)+SUMIFS(Jewelry!$AI$5:$AI$84,Jewelry!$A$5:$A$84,A88)+SUMIFS(Candles!$AI$5:$AI$84,Candles!$A$5:$A$84,A88)+SUMIFS(Clothing!$AE$5:$AE$84,Clothing!$A$5:$A$84,A88)+SUMIFS(Woodworking!$AF$5:$AF$84,Woodworking!$A$5:$A$84,A88)+SUMIFS(Digital!$Z$5:$Z$84,Digital!$A$5:$A$84,A88),2))</f>
        <v>0</v>
      </c>
      <c r="V88" s="36">
        <f>IF(B88="","",ROUND(SUMIFS(Labor!$P$5:$P$304,Labor!$A$5:$A$304,A88)+SUMIFS(Crochet!$AE$5:$AE$84,Crochet!$A$5:$A$84,A88)+SUMIFS(Jewelry!$AG$5:$AG$84,Jewelry!$A$5:$A$84,A88)+SUMIFS(Candles!$AG$5:$AG$84,Candles!$A$5:$A$84,A88)+SUMIFS(Clothing!$AC$5:$AC$84,Clothing!$A$5:$A$84,A88)+SUMIFS(Woodworking!$AD$5:$AD$84,Woodworking!$A$5:$A$84,A88)+SUMIFS(Digital!$Y$5:$Y$84,Digital!$A$5:$A$84,A88),1))</f>
        <v>0</v>
      </c>
      <c r="W88" s="41">
        <f>IF(B88="","",IFERROR(INDEX(DiffTimeFactors,MATCH(G88,DiffNames,0)),1))</f>
        <v>0</v>
      </c>
      <c r="X88" s="36">
        <f>IF(B88="","",ROUND(V88*W88,1))</f>
        <v>0</v>
      </c>
      <c r="Y88" s="41">
        <f>IF(B88="","",ROUND(X88/60,3))</f>
        <v>0</v>
      </c>
      <c r="Z88" s="20">
        <f>IF(B88="","",ROUND(U88*W88,2))</f>
        <v>0</v>
      </c>
      <c r="AA88" s="20">
        <f>IF(B88="","",ROUND(SUMIFS(Labor!$Q$5:$Q$304,Labor!$A$5:$A$304,A88)+SUMIFS(Crochet!$AH$5:$AH$84,Crochet!$A$5:$A$84,A88)+SUMIFS(Jewelry!$AJ$5:$AJ$84,Jewelry!$A$5:$A$84,A88)+SUMIFS(Candles!$AJ$5:$AJ$84,Candles!$A$5:$A$84,A88)+SUMIFS(Clothing!$AF$5:$AF$84,Clothing!$A$5:$A$84,A88)+SUMIFS(Woodworking!$AH$5:$AH$84,Woodworking!$A$5:$A$84,A88)+SUMIFS(Digital!$AA$5:$AA$84,Digital!$A$5:$A$84,A88),2))</f>
        <v>0</v>
      </c>
      <c r="AB88" s="20">
        <f>IF(B88="","",ROUND(IF(I88="Budget",PackBudget,IF(I88="Standard",PackStandard,IF(I88="Gift",PackGift,IF(I88="Premium",PackPremium,DefaultPackaging)))),2))</f>
        <v>0</v>
      </c>
      <c r="AC88" s="36">
        <f>IF(B88="","",IF(I88="Budget",PackWeightBudget,IF(I88="Standard",PackWeightStandard,IF(I88="Gift",PackWeightGift,IF(I88="Premium",PackWeightPremium,0)))))</f>
        <v>0</v>
      </c>
      <c r="AD88" s="20">
        <f>IF(B88="","",IFERROR(INDEX(Shipping!$M$5:$M$64,MATCH(J88,Shipping!$L$5:$L$64,0)),DefaultShipping))</f>
        <v>0</v>
      </c>
      <c r="AE88" s="20">
        <f>IF(B88="","",IFERROR(INDEX(Shipping!$F$5:$F$64,MATCH(J88,Shipping!$L$5:$L$64,0)),0))</f>
        <v>0</v>
      </c>
      <c r="AF88" s="36">
        <f>IF(B88="","",IFERROR(INDEX(Shipping!$C$5:$C$64,MATCH(J88,Shipping!$L$5:$L$64,0)),""))</f>
        <v>0</v>
      </c>
      <c r="AG88" s="20">
        <f>IF(B88="","",ROUND(MAX(0,AD88-AE88),2))</f>
        <v>0</v>
      </c>
      <c r="AH88" s="20">
        <f>IF(B88="","",ROUND(T88+Z88+AA88+AB88+AG88,2))</f>
        <v>0</v>
      </c>
      <c r="AI88" s="33">
        <f>IF(B88="","",IFERROR(INDEX(Channels!$S$5:$S$18,MATCH(IF(H88="",DefaultChannel,H88),Channels!$A$5:$A$18,0)),0))</f>
        <v>0</v>
      </c>
      <c r="AJ88" s="42">
        <f>IF(B88="","",IFERROR(INDEX(Channels!$O$5:$O$18,MATCH(IF(H88="",DefaultChannel,H88),Channels!$A$5:$A$18,0)),"No"))</f>
        <v>0</v>
      </c>
      <c r="AK88" s="20">
        <f>IF(B88="","",ROUND(IFERROR(INDEX(Channels!$T$5:$T$18,MATCH(IF(H88="",DefaultChannel,H88),Channels!$A$5:$A$18,0)),0)+IF(AJ88="Yes",AE88*AI88,0),4))</f>
        <v>0</v>
      </c>
      <c r="AL88" s="33">
        <f>IF(B88="","",IF(OverheadMethod="Share of revenue",IF(RevenueTargetMonth&lt;=0,0,OverheadMonthly/RevenueTargetMonth),0))</f>
        <v>0</v>
      </c>
      <c r="AM88" s="20">
        <f>IF(B88="","",IF(OverheadMethod="Per hour worked",ROUND(OverheadPerHour*Y88,2),IF(OR(OverheadMethod="Per unit made",OverheadMethod="Per order"),OverheadPerUnit,0)))</f>
        <v>0</v>
      </c>
      <c r="AN88" s="33">
        <f>IF(B88="","",IF(N88&lt;&gt;"",N88,TargetRetailMargin))</f>
        <v>0</v>
      </c>
      <c r="AO88" s="41">
        <f>IF(B88="","",1-AN88-AI88-AL88)</f>
        <v>0</v>
      </c>
      <c r="AP88" s="20">
        <f>IF(B88="","",IF(AO88&lt;=0,"",(AH88+AM88+AK88)/AO88))</f>
        <v>0</v>
      </c>
      <c r="AQ88" s="20">
        <f>IF(B88="","",IF(AP88="","Check the settings",ROUND(IF(RoundingRule="None",AP88,IF(RoundingRule="Nearest 0.99",MAX(0.99,CEILING(AP88,1)-0.01),IF(RoundingRule="Nearest 0.95",MAX(0.95,CEILING(AP88,1)-0.05),IF(RoundingRule="Nearest 0.50",CEILING(AP88,0.5),IF(RoundingRule="Nearest 1",CEILING(AP88,1),IF(RoundingRule="Nearest 5",CEILING(AP88,5),IF(RoundingRule="Up to whole 1",CEILING(AP88,1),IF(RoundingRule="Up to whole 5",CEILING(AP88,5),ROUND(AP88,2))))))))),2)))</f>
        <v>0</v>
      </c>
      <c r="AR88" s="20">
        <f>IF(B88="","",IF(M88&lt;&gt;"",M88,IF(ISNUMBER(AQ88),AQ88,"")))</f>
        <v>0</v>
      </c>
      <c r="AS88" s="20">
        <f>IF(B88="","",IF(AR88="","",ROUND(AM88+AR88*AL88,2)))</f>
        <v>0</v>
      </c>
      <c r="AT88" s="20">
        <f>IF(B88="","",IF(AR88="","",ROUND(AH88+AS88,2)))</f>
        <v>0</v>
      </c>
      <c r="AU88" s="20">
        <f>IF(B88="","",IF(AR88="","",ROUND(AR88*AI88+AK88,2)))</f>
        <v>0</v>
      </c>
      <c r="AV88" s="20">
        <f>IF(B88="","",IF(AR88="","",ROUND(AR88-AT88-AU88,2)))</f>
        <v>0</v>
      </c>
      <c r="AW88" s="33">
        <f>IF(B88="","",IF(OR(AR88="",AR88=0),"",AV88/AR88))</f>
        <v>0</v>
      </c>
      <c r="AX88" s="33">
        <f>IF(B88="","",IF(OR(AT88="",AT88=0),"",AV88/AT88))</f>
        <v>0</v>
      </c>
      <c r="AY88" s="20">
        <f>IF(B88="","",IF(OR(Y88="",Y88=0,AV88=""),"",ROUND(AV88/Y88,2)))</f>
        <v>0</v>
      </c>
      <c r="AZ88" s="20">
        <f>IF(B88="","",IF(OR(Y88="",Y88=0,AV88=""),"",ROUND((AV88+Z88)/Y88,2)))</f>
        <v>0</v>
      </c>
      <c r="BA88" s="20">
        <f>IF(B88="","",IF(1-AI88-AL88&lt;=0,"",ROUND((AH88+AM88+AK88)/(1-AI88-AL88),2)))</f>
        <v>0</v>
      </c>
      <c r="BB88" s="20">
        <f>IF(B88="","",IF(AT88="","",ROUND(AT88*2,2)))</f>
        <v>0</v>
      </c>
      <c r="BC88" s="20">
        <f>IF(B88="","",IF(AR88="","",ROUND(AR88*(1-WholesaleDiscount),2)))</f>
        <v>0</v>
      </c>
      <c r="BD88" s="20">
        <f>IF(B88="","",IF(BC88="","",ROUND(BC88-AH88-AM88,2)))</f>
        <v>0</v>
      </c>
      <c r="BE88" s="33">
        <f>IF(B88="","",IF(OR(BC88="",BC88=0),"",BD88/BC88))</f>
        <v>0</v>
      </c>
      <c r="BF88" s="20">
        <f>IF(B88="","",IFERROR(ROUND(AVERAGEIFS(Competitors!$F$5:$F$154,Competitors!$A$5:$A$154,A88),2),""))</f>
        <v>0</v>
      </c>
      <c r="BG88" s="33">
        <f>IF(B88="","",IF(OR(BF88="",BF88=0,AR88=""),"",AR88/BF88-1))</f>
        <v>0</v>
      </c>
      <c r="BH88" s="32">
        <f>IF(B88="","",SUMIFS(Sales!$D$5:$D$804,Sales!$C$5:$C$804,A88))</f>
        <v>0</v>
      </c>
      <c r="BI88" s="20">
        <f>IF(B88="","",ROUND(SUMIFS(Sales!$V$5:$V$804,Sales!$C$5:$C$804,A88),2))</f>
        <v>0</v>
      </c>
      <c r="BJ88" s="20">
        <f>IF(B88="","",ROUND(SUMIFS(Sales!$AG$5:$AG$804,Sales!$C$5:$C$804,A88),2))</f>
        <v>0</v>
      </c>
      <c r="BK88" s="33">
        <f>IF(B88="","",IF(OR(BI88="",BI88=0),"",BJ88/BI88))</f>
        <v>0</v>
      </c>
      <c r="BL88" s="17">
        <f>IF(B88="","",IF(SUMPRODUCT(MAX((Sales!$C$5:$C$804=A88)*Sales!$B$5:$B$804))=0,"",SUMPRODUCT(MAX((Sales!$C$5:$C$804=A88)*Sales!$B$5:$B$804))))</f>
        <v>0</v>
      </c>
      <c r="BM88" s="17">
        <f>IF(B88="","",IF(SUMPRODUCT(MAX(('Price History'!$B$5:$B$304=A88)*'Price History'!$A$5:$A$304))=0,IF(P88="","",P88),SUMPRODUCT(MAX(('Price History'!$B$5:$B$304=A88)*'Price History'!$A$5:$A$304))))</f>
        <v>0</v>
      </c>
      <c r="BN88" s="32">
        <f>IF(B88="","",IF(BM88="","",TodayDate-BM88))</f>
        <v>0</v>
      </c>
      <c r="BO88" s="32">
        <f>IF(B88="","",COUNTIFS($AV$5:$AV$304,"&gt;"&amp;AV88)+COUNTIFS($AV$5:AV88,AV88))</f>
        <v>0</v>
      </c>
      <c r="BP88" s="32">
        <f>IF(B88="","",COUNTIFS($AW$5:$AW$304,"&gt;"&amp;AW88)+COUNTIFS($AW$5:AW88,AW88))</f>
        <v>0</v>
      </c>
      <c r="BQ88" s="32">
        <f>IF(B88="","",COUNTIFS($BI$5:$BI$304,"&gt;"&amp;BI88)+COUNTIFS($BI$5:BI88,BI88))</f>
        <v>0</v>
      </c>
      <c r="BR88" s="32">
        <f>IF(B88="","",COUNTIFS($AY$5:$AY$304,"&gt;"&amp;AY88)+COUNTIFS($AY$5:AY88,AY88))</f>
        <v>0</v>
      </c>
      <c r="BS88" s="43">
        <f>IF(B88="","",IF(AH88=0,"Add - no costs entered yet",IF(AR88="","Check - no price yet",IF(AV88&lt;0,"Loss - every sale costs you money",IF(AND(AZ88&lt;&gt;"",AZ88&lt;MinimumWage),"Below - pays under minimum wage",IF(AW88&lt;MarginWarning,"Low margin - re-price it",IF(AND(AF88&lt;&gt;"",K88&lt;&gt;"",K88+AC88&gt;AF88),"Check - too heavy for that postage band",IF(AND(BN88&lt;&gt;"",BN88&gt;PriceReviewDays),"Due - price has not been reviewed",IF(AND(BG88&lt;&gt;"",BG88&gt;0.5),"Check - well above the market","OK")))))))) )</f>
        <v>0</v>
      </c>
    </row>
    <row r="89" spans="1:71">
      <c r="A89" s="38">
        <f>IF(B89="","",ProductPrefix&amp;TEXT(ROW()-4,"0000"))</f>
        <v>0</v>
      </c>
      <c r="S89" s="38">
        <f>IF(B89="","",IF(C89&lt;&gt;"",C89,UPPER(LEFT(IF(D89="","GEN",D89),3))&amp;"-"&amp;TEXT(ROW()-4,"000")))</f>
        <v>0</v>
      </c>
      <c r="T89" s="20">
        <f>IF(B89="","",ROUND(SUMIFS('Material Usage'!$M$5:$M$904,'Material Usage'!$A$5:$A$904,A89)+SUMIFS(Crochet!$AD$5:$AD$84,Crochet!$A$5:$A$84,A89)+SUMIFS(Jewelry!$AF$5:$AF$84,Jewelry!$A$5:$A$84,A89)+SUMIFS(Candles!$AF$5:$AF$84,Candles!$A$5:$A$84,A89)+SUMIFS(Clothing!$AB$5:$AB$84,Clothing!$A$5:$A$84,A89)+SUMIFS(Woodworking!$AC$5:$AC$84,Woodworking!$A$5:$A$84,A89)+SUMIFS(Digital!$X$5:$X$84,Digital!$A$5:$A$84,A89),2))</f>
        <v>0</v>
      </c>
      <c r="U89" s="20">
        <f>IF(B89="","",ROUND(SUMIFS(Labor!$O$5:$O$304,Labor!$A$5:$A$304,A89)+SUMIFS(Crochet!$AG$5:$AG$84,Crochet!$A$5:$A$84,A89)+SUMIFS(Jewelry!$AI$5:$AI$84,Jewelry!$A$5:$A$84,A89)+SUMIFS(Candles!$AI$5:$AI$84,Candles!$A$5:$A$84,A89)+SUMIFS(Clothing!$AE$5:$AE$84,Clothing!$A$5:$A$84,A89)+SUMIFS(Woodworking!$AF$5:$AF$84,Woodworking!$A$5:$A$84,A89)+SUMIFS(Digital!$Z$5:$Z$84,Digital!$A$5:$A$84,A89),2))</f>
        <v>0</v>
      </c>
      <c r="V89" s="36">
        <f>IF(B89="","",ROUND(SUMIFS(Labor!$P$5:$P$304,Labor!$A$5:$A$304,A89)+SUMIFS(Crochet!$AE$5:$AE$84,Crochet!$A$5:$A$84,A89)+SUMIFS(Jewelry!$AG$5:$AG$84,Jewelry!$A$5:$A$84,A89)+SUMIFS(Candles!$AG$5:$AG$84,Candles!$A$5:$A$84,A89)+SUMIFS(Clothing!$AC$5:$AC$84,Clothing!$A$5:$A$84,A89)+SUMIFS(Woodworking!$AD$5:$AD$84,Woodworking!$A$5:$A$84,A89)+SUMIFS(Digital!$Y$5:$Y$84,Digital!$A$5:$A$84,A89),1))</f>
        <v>0</v>
      </c>
      <c r="W89" s="41">
        <f>IF(B89="","",IFERROR(INDEX(DiffTimeFactors,MATCH(G89,DiffNames,0)),1))</f>
        <v>0</v>
      </c>
      <c r="X89" s="36">
        <f>IF(B89="","",ROUND(V89*W89,1))</f>
        <v>0</v>
      </c>
      <c r="Y89" s="41">
        <f>IF(B89="","",ROUND(X89/60,3))</f>
        <v>0</v>
      </c>
      <c r="Z89" s="20">
        <f>IF(B89="","",ROUND(U89*W89,2))</f>
        <v>0</v>
      </c>
      <c r="AA89" s="20">
        <f>IF(B89="","",ROUND(SUMIFS(Labor!$Q$5:$Q$304,Labor!$A$5:$A$304,A89)+SUMIFS(Crochet!$AH$5:$AH$84,Crochet!$A$5:$A$84,A89)+SUMIFS(Jewelry!$AJ$5:$AJ$84,Jewelry!$A$5:$A$84,A89)+SUMIFS(Candles!$AJ$5:$AJ$84,Candles!$A$5:$A$84,A89)+SUMIFS(Clothing!$AF$5:$AF$84,Clothing!$A$5:$A$84,A89)+SUMIFS(Woodworking!$AH$5:$AH$84,Woodworking!$A$5:$A$84,A89)+SUMIFS(Digital!$AA$5:$AA$84,Digital!$A$5:$A$84,A89),2))</f>
        <v>0</v>
      </c>
      <c r="AB89" s="20">
        <f>IF(B89="","",ROUND(IF(I89="Budget",PackBudget,IF(I89="Standard",PackStandard,IF(I89="Gift",PackGift,IF(I89="Premium",PackPremium,DefaultPackaging)))),2))</f>
        <v>0</v>
      </c>
      <c r="AC89" s="36">
        <f>IF(B89="","",IF(I89="Budget",PackWeightBudget,IF(I89="Standard",PackWeightStandard,IF(I89="Gift",PackWeightGift,IF(I89="Premium",PackWeightPremium,0)))))</f>
        <v>0</v>
      </c>
      <c r="AD89" s="20">
        <f>IF(B89="","",IFERROR(INDEX(Shipping!$M$5:$M$64,MATCH(J89,Shipping!$L$5:$L$64,0)),DefaultShipping))</f>
        <v>0</v>
      </c>
      <c r="AE89" s="20">
        <f>IF(B89="","",IFERROR(INDEX(Shipping!$F$5:$F$64,MATCH(J89,Shipping!$L$5:$L$64,0)),0))</f>
        <v>0</v>
      </c>
      <c r="AF89" s="36">
        <f>IF(B89="","",IFERROR(INDEX(Shipping!$C$5:$C$64,MATCH(J89,Shipping!$L$5:$L$64,0)),""))</f>
        <v>0</v>
      </c>
      <c r="AG89" s="20">
        <f>IF(B89="","",ROUND(MAX(0,AD89-AE89),2))</f>
        <v>0</v>
      </c>
      <c r="AH89" s="20">
        <f>IF(B89="","",ROUND(T89+Z89+AA89+AB89+AG89,2))</f>
        <v>0</v>
      </c>
      <c r="AI89" s="33">
        <f>IF(B89="","",IFERROR(INDEX(Channels!$S$5:$S$18,MATCH(IF(H89="",DefaultChannel,H89),Channels!$A$5:$A$18,0)),0))</f>
        <v>0</v>
      </c>
      <c r="AJ89" s="42">
        <f>IF(B89="","",IFERROR(INDEX(Channels!$O$5:$O$18,MATCH(IF(H89="",DefaultChannel,H89),Channels!$A$5:$A$18,0)),"No"))</f>
        <v>0</v>
      </c>
      <c r="AK89" s="20">
        <f>IF(B89="","",ROUND(IFERROR(INDEX(Channels!$T$5:$T$18,MATCH(IF(H89="",DefaultChannel,H89),Channels!$A$5:$A$18,0)),0)+IF(AJ89="Yes",AE89*AI89,0),4))</f>
        <v>0</v>
      </c>
      <c r="AL89" s="33">
        <f>IF(B89="","",IF(OverheadMethod="Share of revenue",IF(RevenueTargetMonth&lt;=0,0,OverheadMonthly/RevenueTargetMonth),0))</f>
        <v>0</v>
      </c>
      <c r="AM89" s="20">
        <f>IF(B89="","",IF(OverheadMethod="Per hour worked",ROUND(OverheadPerHour*Y89,2),IF(OR(OverheadMethod="Per unit made",OverheadMethod="Per order"),OverheadPerUnit,0)))</f>
        <v>0</v>
      </c>
      <c r="AN89" s="33">
        <f>IF(B89="","",IF(N89&lt;&gt;"",N89,TargetRetailMargin))</f>
        <v>0</v>
      </c>
      <c r="AO89" s="41">
        <f>IF(B89="","",1-AN89-AI89-AL89)</f>
        <v>0</v>
      </c>
      <c r="AP89" s="20">
        <f>IF(B89="","",IF(AO89&lt;=0,"",(AH89+AM89+AK89)/AO89))</f>
        <v>0</v>
      </c>
      <c r="AQ89" s="20">
        <f>IF(B89="","",IF(AP89="","Check the settings",ROUND(IF(RoundingRule="None",AP89,IF(RoundingRule="Nearest 0.99",MAX(0.99,CEILING(AP89,1)-0.01),IF(RoundingRule="Nearest 0.95",MAX(0.95,CEILING(AP89,1)-0.05),IF(RoundingRule="Nearest 0.50",CEILING(AP89,0.5),IF(RoundingRule="Nearest 1",CEILING(AP89,1),IF(RoundingRule="Nearest 5",CEILING(AP89,5),IF(RoundingRule="Up to whole 1",CEILING(AP89,1),IF(RoundingRule="Up to whole 5",CEILING(AP89,5),ROUND(AP89,2))))))))),2)))</f>
        <v>0</v>
      </c>
      <c r="AR89" s="20">
        <f>IF(B89="","",IF(M89&lt;&gt;"",M89,IF(ISNUMBER(AQ89),AQ89,"")))</f>
        <v>0</v>
      </c>
      <c r="AS89" s="20">
        <f>IF(B89="","",IF(AR89="","",ROUND(AM89+AR89*AL89,2)))</f>
        <v>0</v>
      </c>
      <c r="AT89" s="20">
        <f>IF(B89="","",IF(AR89="","",ROUND(AH89+AS89,2)))</f>
        <v>0</v>
      </c>
      <c r="AU89" s="20">
        <f>IF(B89="","",IF(AR89="","",ROUND(AR89*AI89+AK89,2)))</f>
        <v>0</v>
      </c>
      <c r="AV89" s="20">
        <f>IF(B89="","",IF(AR89="","",ROUND(AR89-AT89-AU89,2)))</f>
        <v>0</v>
      </c>
      <c r="AW89" s="33">
        <f>IF(B89="","",IF(OR(AR89="",AR89=0),"",AV89/AR89))</f>
        <v>0</v>
      </c>
      <c r="AX89" s="33">
        <f>IF(B89="","",IF(OR(AT89="",AT89=0),"",AV89/AT89))</f>
        <v>0</v>
      </c>
      <c r="AY89" s="20">
        <f>IF(B89="","",IF(OR(Y89="",Y89=0,AV89=""),"",ROUND(AV89/Y89,2)))</f>
        <v>0</v>
      </c>
      <c r="AZ89" s="20">
        <f>IF(B89="","",IF(OR(Y89="",Y89=0,AV89=""),"",ROUND((AV89+Z89)/Y89,2)))</f>
        <v>0</v>
      </c>
      <c r="BA89" s="20">
        <f>IF(B89="","",IF(1-AI89-AL89&lt;=0,"",ROUND((AH89+AM89+AK89)/(1-AI89-AL89),2)))</f>
        <v>0</v>
      </c>
      <c r="BB89" s="20">
        <f>IF(B89="","",IF(AT89="","",ROUND(AT89*2,2)))</f>
        <v>0</v>
      </c>
      <c r="BC89" s="20">
        <f>IF(B89="","",IF(AR89="","",ROUND(AR89*(1-WholesaleDiscount),2)))</f>
        <v>0</v>
      </c>
      <c r="BD89" s="20">
        <f>IF(B89="","",IF(BC89="","",ROUND(BC89-AH89-AM89,2)))</f>
        <v>0</v>
      </c>
      <c r="BE89" s="33">
        <f>IF(B89="","",IF(OR(BC89="",BC89=0),"",BD89/BC89))</f>
        <v>0</v>
      </c>
      <c r="BF89" s="20">
        <f>IF(B89="","",IFERROR(ROUND(AVERAGEIFS(Competitors!$F$5:$F$154,Competitors!$A$5:$A$154,A89),2),""))</f>
        <v>0</v>
      </c>
      <c r="BG89" s="33">
        <f>IF(B89="","",IF(OR(BF89="",BF89=0,AR89=""),"",AR89/BF89-1))</f>
        <v>0</v>
      </c>
      <c r="BH89" s="32">
        <f>IF(B89="","",SUMIFS(Sales!$D$5:$D$804,Sales!$C$5:$C$804,A89))</f>
        <v>0</v>
      </c>
      <c r="BI89" s="20">
        <f>IF(B89="","",ROUND(SUMIFS(Sales!$V$5:$V$804,Sales!$C$5:$C$804,A89),2))</f>
        <v>0</v>
      </c>
      <c r="BJ89" s="20">
        <f>IF(B89="","",ROUND(SUMIFS(Sales!$AG$5:$AG$804,Sales!$C$5:$C$804,A89),2))</f>
        <v>0</v>
      </c>
      <c r="BK89" s="33">
        <f>IF(B89="","",IF(OR(BI89="",BI89=0),"",BJ89/BI89))</f>
        <v>0</v>
      </c>
      <c r="BL89" s="17">
        <f>IF(B89="","",IF(SUMPRODUCT(MAX((Sales!$C$5:$C$804=A89)*Sales!$B$5:$B$804))=0,"",SUMPRODUCT(MAX((Sales!$C$5:$C$804=A89)*Sales!$B$5:$B$804))))</f>
        <v>0</v>
      </c>
      <c r="BM89" s="17">
        <f>IF(B89="","",IF(SUMPRODUCT(MAX(('Price History'!$B$5:$B$304=A89)*'Price History'!$A$5:$A$304))=0,IF(P89="","",P89),SUMPRODUCT(MAX(('Price History'!$B$5:$B$304=A89)*'Price History'!$A$5:$A$304))))</f>
        <v>0</v>
      </c>
      <c r="BN89" s="32">
        <f>IF(B89="","",IF(BM89="","",TodayDate-BM89))</f>
        <v>0</v>
      </c>
      <c r="BO89" s="32">
        <f>IF(B89="","",COUNTIFS($AV$5:$AV$304,"&gt;"&amp;AV89)+COUNTIFS($AV$5:AV89,AV89))</f>
        <v>0</v>
      </c>
      <c r="BP89" s="32">
        <f>IF(B89="","",COUNTIFS($AW$5:$AW$304,"&gt;"&amp;AW89)+COUNTIFS($AW$5:AW89,AW89))</f>
        <v>0</v>
      </c>
      <c r="BQ89" s="32">
        <f>IF(B89="","",COUNTIFS($BI$5:$BI$304,"&gt;"&amp;BI89)+COUNTIFS($BI$5:BI89,BI89))</f>
        <v>0</v>
      </c>
      <c r="BR89" s="32">
        <f>IF(B89="","",COUNTIFS($AY$5:$AY$304,"&gt;"&amp;AY89)+COUNTIFS($AY$5:AY89,AY89))</f>
        <v>0</v>
      </c>
      <c r="BS89" s="43">
        <f>IF(B89="","",IF(AH89=0,"Add - no costs entered yet",IF(AR89="","Check - no price yet",IF(AV89&lt;0,"Loss - every sale costs you money",IF(AND(AZ89&lt;&gt;"",AZ89&lt;MinimumWage),"Below - pays under minimum wage",IF(AW89&lt;MarginWarning,"Low margin - re-price it",IF(AND(AF89&lt;&gt;"",K89&lt;&gt;"",K89+AC89&gt;AF89),"Check - too heavy for that postage band",IF(AND(BN89&lt;&gt;"",BN89&gt;PriceReviewDays),"Due - price has not been reviewed",IF(AND(BG89&lt;&gt;"",BG89&gt;0.5),"Check - well above the market","OK")))))))) )</f>
        <v>0</v>
      </c>
    </row>
    <row r="90" spans="1:71">
      <c r="A90" s="38">
        <f>IF(B90="","",ProductPrefix&amp;TEXT(ROW()-4,"0000"))</f>
        <v>0</v>
      </c>
      <c r="S90" s="38">
        <f>IF(B90="","",IF(C90&lt;&gt;"",C90,UPPER(LEFT(IF(D90="","GEN",D90),3))&amp;"-"&amp;TEXT(ROW()-4,"000")))</f>
        <v>0</v>
      </c>
      <c r="T90" s="20">
        <f>IF(B90="","",ROUND(SUMIFS('Material Usage'!$M$5:$M$904,'Material Usage'!$A$5:$A$904,A90)+SUMIFS(Crochet!$AD$5:$AD$84,Crochet!$A$5:$A$84,A90)+SUMIFS(Jewelry!$AF$5:$AF$84,Jewelry!$A$5:$A$84,A90)+SUMIFS(Candles!$AF$5:$AF$84,Candles!$A$5:$A$84,A90)+SUMIFS(Clothing!$AB$5:$AB$84,Clothing!$A$5:$A$84,A90)+SUMIFS(Woodworking!$AC$5:$AC$84,Woodworking!$A$5:$A$84,A90)+SUMIFS(Digital!$X$5:$X$84,Digital!$A$5:$A$84,A90),2))</f>
        <v>0</v>
      </c>
      <c r="U90" s="20">
        <f>IF(B90="","",ROUND(SUMIFS(Labor!$O$5:$O$304,Labor!$A$5:$A$304,A90)+SUMIFS(Crochet!$AG$5:$AG$84,Crochet!$A$5:$A$84,A90)+SUMIFS(Jewelry!$AI$5:$AI$84,Jewelry!$A$5:$A$84,A90)+SUMIFS(Candles!$AI$5:$AI$84,Candles!$A$5:$A$84,A90)+SUMIFS(Clothing!$AE$5:$AE$84,Clothing!$A$5:$A$84,A90)+SUMIFS(Woodworking!$AF$5:$AF$84,Woodworking!$A$5:$A$84,A90)+SUMIFS(Digital!$Z$5:$Z$84,Digital!$A$5:$A$84,A90),2))</f>
        <v>0</v>
      </c>
      <c r="V90" s="36">
        <f>IF(B90="","",ROUND(SUMIFS(Labor!$P$5:$P$304,Labor!$A$5:$A$304,A90)+SUMIFS(Crochet!$AE$5:$AE$84,Crochet!$A$5:$A$84,A90)+SUMIFS(Jewelry!$AG$5:$AG$84,Jewelry!$A$5:$A$84,A90)+SUMIFS(Candles!$AG$5:$AG$84,Candles!$A$5:$A$84,A90)+SUMIFS(Clothing!$AC$5:$AC$84,Clothing!$A$5:$A$84,A90)+SUMIFS(Woodworking!$AD$5:$AD$84,Woodworking!$A$5:$A$84,A90)+SUMIFS(Digital!$Y$5:$Y$84,Digital!$A$5:$A$84,A90),1))</f>
        <v>0</v>
      </c>
      <c r="W90" s="41">
        <f>IF(B90="","",IFERROR(INDEX(DiffTimeFactors,MATCH(G90,DiffNames,0)),1))</f>
        <v>0</v>
      </c>
      <c r="X90" s="36">
        <f>IF(B90="","",ROUND(V90*W90,1))</f>
        <v>0</v>
      </c>
      <c r="Y90" s="41">
        <f>IF(B90="","",ROUND(X90/60,3))</f>
        <v>0</v>
      </c>
      <c r="Z90" s="20">
        <f>IF(B90="","",ROUND(U90*W90,2))</f>
        <v>0</v>
      </c>
      <c r="AA90" s="20">
        <f>IF(B90="","",ROUND(SUMIFS(Labor!$Q$5:$Q$304,Labor!$A$5:$A$304,A90)+SUMIFS(Crochet!$AH$5:$AH$84,Crochet!$A$5:$A$84,A90)+SUMIFS(Jewelry!$AJ$5:$AJ$84,Jewelry!$A$5:$A$84,A90)+SUMIFS(Candles!$AJ$5:$AJ$84,Candles!$A$5:$A$84,A90)+SUMIFS(Clothing!$AF$5:$AF$84,Clothing!$A$5:$A$84,A90)+SUMIFS(Woodworking!$AH$5:$AH$84,Woodworking!$A$5:$A$84,A90)+SUMIFS(Digital!$AA$5:$AA$84,Digital!$A$5:$A$84,A90),2))</f>
        <v>0</v>
      </c>
      <c r="AB90" s="20">
        <f>IF(B90="","",ROUND(IF(I90="Budget",PackBudget,IF(I90="Standard",PackStandard,IF(I90="Gift",PackGift,IF(I90="Premium",PackPremium,DefaultPackaging)))),2))</f>
        <v>0</v>
      </c>
      <c r="AC90" s="36">
        <f>IF(B90="","",IF(I90="Budget",PackWeightBudget,IF(I90="Standard",PackWeightStandard,IF(I90="Gift",PackWeightGift,IF(I90="Premium",PackWeightPremium,0)))))</f>
        <v>0</v>
      </c>
      <c r="AD90" s="20">
        <f>IF(B90="","",IFERROR(INDEX(Shipping!$M$5:$M$64,MATCH(J90,Shipping!$L$5:$L$64,0)),DefaultShipping))</f>
        <v>0</v>
      </c>
      <c r="AE90" s="20">
        <f>IF(B90="","",IFERROR(INDEX(Shipping!$F$5:$F$64,MATCH(J90,Shipping!$L$5:$L$64,0)),0))</f>
        <v>0</v>
      </c>
      <c r="AF90" s="36">
        <f>IF(B90="","",IFERROR(INDEX(Shipping!$C$5:$C$64,MATCH(J90,Shipping!$L$5:$L$64,0)),""))</f>
        <v>0</v>
      </c>
      <c r="AG90" s="20">
        <f>IF(B90="","",ROUND(MAX(0,AD90-AE90),2))</f>
        <v>0</v>
      </c>
      <c r="AH90" s="20">
        <f>IF(B90="","",ROUND(T90+Z90+AA90+AB90+AG90,2))</f>
        <v>0</v>
      </c>
      <c r="AI90" s="33">
        <f>IF(B90="","",IFERROR(INDEX(Channels!$S$5:$S$18,MATCH(IF(H90="",DefaultChannel,H90),Channels!$A$5:$A$18,0)),0))</f>
        <v>0</v>
      </c>
      <c r="AJ90" s="42">
        <f>IF(B90="","",IFERROR(INDEX(Channels!$O$5:$O$18,MATCH(IF(H90="",DefaultChannel,H90),Channels!$A$5:$A$18,0)),"No"))</f>
        <v>0</v>
      </c>
      <c r="AK90" s="20">
        <f>IF(B90="","",ROUND(IFERROR(INDEX(Channels!$T$5:$T$18,MATCH(IF(H90="",DefaultChannel,H90),Channels!$A$5:$A$18,0)),0)+IF(AJ90="Yes",AE90*AI90,0),4))</f>
        <v>0</v>
      </c>
      <c r="AL90" s="33">
        <f>IF(B90="","",IF(OverheadMethod="Share of revenue",IF(RevenueTargetMonth&lt;=0,0,OverheadMonthly/RevenueTargetMonth),0))</f>
        <v>0</v>
      </c>
      <c r="AM90" s="20">
        <f>IF(B90="","",IF(OverheadMethod="Per hour worked",ROUND(OverheadPerHour*Y90,2),IF(OR(OverheadMethod="Per unit made",OverheadMethod="Per order"),OverheadPerUnit,0)))</f>
        <v>0</v>
      </c>
      <c r="AN90" s="33">
        <f>IF(B90="","",IF(N90&lt;&gt;"",N90,TargetRetailMargin))</f>
        <v>0</v>
      </c>
      <c r="AO90" s="41">
        <f>IF(B90="","",1-AN90-AI90-AL90)</f>
        <v>0</v>
      </c>
      <c r="AP90" s="20">
        <f>IF(B90="","",IF(AO90&lt;=0,"",(AH90+AM90+AK90)/AO90))</f>
        <v>0</v>
      </c>
      <c r="AQ90" s="20">
        <f>IF(B90="","",IF(AP90="","Check the settings",ROUND(IF(RoundingRule="None",AP90,IF(RoundingRule="Nearest 0.99",MAX(0.99,CEILING(AP90,1)-0.01),IF(RoundingRule="Nearest 0.95",MAX(0.95,CEILING(AP90,1)-0.05),IF(RoundingRule="Nearest 0.50",CEILING(AP90,0.5),IF(RoundingRule="Nearest 1",CEILING(AP90,1),IF(RoundingRule="Nearest 5",CEILING(AP90,5),IF(RoundingRule="Up to whole 1",CEILING(AP90,1),IF(RoundingRule="Up to whole 5",CEILING(AP90,5),ROUND(AP90,2))))))))),2)))</f>
        <v>0</v>
      </c>
      <c r="AR90" s="20">
        <f>IF(B90="","",IF(M90&lt;&gt;"",M90,IF(ISNUMBER(AQ90),AQ90,"")))</f>
        <v>0</v>
      </c>
      <c r="AS90" s="20">
        <f>IF(B90="","",IF(AR90="","",ROUND(AM90+AR90*AL90,2)))</f>
        <v>0</v>
      </c>
      <c r="AT90" s="20">
        <f>IF(B90="","",IF(AR90="","",ROUND(AH90+AS90,2)))</f>
        <v>0</v>
      </c>
      <c r="AU90" s="20">
        <f>IF(B90="","",IF(AR90="","",ROUND(AR90*AI90+AK90,2)))</f>
        <v>0</v>
      </c>
      <c r="AV90" s="20">
        <f>IF(B90="","",IF(AR90="","",ROUND(AR90-AT90-AU90,2)))</f>
        <v>0</v>
      </c>
      <c r="AW90" s="33">
        <f>IF(B90="","",IF(OR(AR90="",AR90=0),"",AV90/AR90))</f>
        <v>0</v>
      </c>
      <c r="AX90" s="33">
        <f>IF(B90="","",IF(OR(AT90="",AT90=0),"",AV90/AT90))</f>
        <v>0</v>
      </c>
      <c r="AY90" s="20">
        <f>IF(B90="","",IF(OR(Y90="",Y90=0,AV90=""),"",ROUND(AV90/Y90,2)))</f>
        <v>0</v>
      </c>
      <c r="AZ90" s="20">
        <f>IF(B90="","",IF(OR(Y90="",Y90=0,AV90=""),"",ROUND((AV90+Z90)/Y90,2)))</f>
        <v>0</v>
      </c>
      <c r="BA90" s="20">
        <f>IF(B90="","",IF(1-AI90-AL90&lt;=0,"",ROUND((AH90+AM90+AK90)/(1-AI90-AL90),2)))</f>
        <v>0</v>
      </c>
      <c r="BB90" s="20">
        <f>IF(B90="","",IF(AT90="","",ROUND(AT90*2,2)))</f>
        <v>0</v>
      </c>
      <c r="BC90" s="20">
        <f>IF(B90="","",IF(AR90="","",ROUND(AR90*(1-WholesaleDiscount),2)))</f>
        <v>0</v>
      </c>
      <c r="BD90" s="20">
        <f>IF(B90="","",IF(BC90="","",ROUND(BC90-AH90-AM90,2)))</f>
        <v>0</v>
      </c>
      <c r="BE90" s="33">
        <f>IF(B90="","",IF(OR(BC90="",BC90=0),"",BD90/BC90))</f>
        <v>0</v>
      </c>
      <c r="BF90" s="20">
        <f>IF(B90="","",IFERROR(ROUND(AVERAGEIFS(Competitors!$F$5:$F$154,Competitors!$A$5:$A$154,A90),2),""))</f>
        <v>0</v>
      </c>
      <c r="BG90" s="33">
        <f>IF(B90="","",IF(OR(BF90="",BF90=0,AR90=""),"",AR90/BF90-1))</f>
        <v>0</v>
      </c>
      <c r="BH90" s="32">
        <f>IF(B90="","",SUMIFS(Sales!$D$5:$D$804,Sales!$C$5:$C$804,A90))</f>
        <v>0</v>
      </c>
      <c r="BI90" s="20">
        <f>IF(B90="","",ROUND(SUMIFS(Sales!$V$5:$V$804,Sales!$C$5:$C$804,A90),2))</f>
        <v>0</v>
      </c>
      <c r="BJ90" s="20">
        <f>IF(B90="","",ROUND(SUMIFS(Sales!$AG$5:$AG$804,Sales!$C$5:$C$804,A90),2))</f>
        <v>0</v>
      </c>
      <c r="BK90" s="33">
        <f>IF(B90="","",IF(OR(BI90="",BI90=0),"",BJ90/BI90))</f>
        <v>0</v>
      </c>
      <c r="BL90" s="17">
        <f>IF(B90="","",IF(SUMPRODUCT(MAX((Sales!$C$5:$C$804=A90)*Sales!$B$5:$B$804))=0,"",SUMPRODUCT(MAX((Sales!$C$5:$C$804=A90)*Sales!$B$5:$B$804))))</f>
        <v>0</v>
      </c>
      <c r="BM90" s="17">
        <f>IF(B90="","",IF(SUMPRODUCT(MAX(('Price History'!$B$5:$B$304=A90)*'Price History'!$A$5:$A$304))=0,IF(P90="","",P90),SUMPRODUCT(MAX(('Price History'!$B$5:$B$304=A90)*'Price History'!$A$5:$A$304))))</f>
        <v>0</v>
      </c>
      <c r="BN90" s="32">
        <f>IF(B90="","",IF(BM90="","",TodayDate-BM90))</f>
        <v>0</v>
      </c>
      <c r="BO90" s="32">
        <f>IF(B90="","",COUNTIFS($AV$5:$AV$304,"&gt;"&amp;AV90)+COUNTIFS($AV$5:AV90,AV90))</f>
        <v>0</v>
      </c>
      <c r="BP90" s="32">
        <f>IF(B90="","",COUNTIFS($AW$5:$AW$304,"&gt;"&amp;AW90)+COUNTIFS($AW$5:AW90,AW90))</f>
        <v>0</v>
      </c>
      <c r="BQ90" s="32">
        <f>IF(B90="","",COUNTIFS($BI$5:$BI$304,"&gt;"&amp;BI90)+COUNTIFS($BI$5:BI90,BI90))</f>
        <v>0</v>
      </c>
      <c r="BR90" s="32">
        <f>IF(B90="","",COUNTIFS($AY$5:$AY$304,"&gt;"&amp;AY90)+COUNTIFS($AY$5:AY90,AY90))</f>
        <v>0</v>
      </c>
      <c r="BS90" s="43">
        <f>IF(B90="","",IF(AH90=0,"Add - no costs entered yet",IF(AR90="","Check - no price yet",IF(AV90&lt;0,"Loss - every sale costs you money",IF(AND(AZ90&lt;&gt;"",AZ90&lt;MinimumWage),"Below - pays under minimum wage",IF(AW90&lt;MarginWarning,"Low margin - re-price it",IF(AND(AF90&lt;&gt;"",K90&lt;&gt;"",K90+AC90&gt;AF90),"Check - too heavy for that postage band",IF(AND(BN90&lt;&gt;"",BN90&gt;PriceReviewDays),"Due - price has not been reviewed",IF(AND(BG90&lt;&gt;"",BG90&gt;0.5),"Check - well above the market","OK")))))))) )</f>
        <v>0</v>
      </c>
    </row>
    <row r="91" spans="1:71">
      <c r="A91" s="38">
        <f>IF(B91="","",ProductPrefix&amp;TEXT(ROW()-4,"0000"))</f>
        <v>0</v>
      </c>
      <c r="S91" s="38">
        <f>IF(B91="","",IF(C91&lt;&gt;"",C91,UPPER(LEFT(IF(D91="","GEN",D91),3))&amp;"-"&amp;TEXT(ROW()-4,"000")))</f>
        <v>0</v>
      </c>
      <c r="T91" s="20">
        <f>IF(B91="","",ROUND(SUMIFS('Material Usage'!$M$5:$M$904,'Material Usage'!$A$5:$A$904,A91)+SUMIFS(Crochet!$AD$5:$AD$84,Crochet!$A$5:$A$84,A91)+SUMIFS(Jewelry!$AF$5:$AF$84,Jewelry!$A$5:$A$84,A91)+SUMIFS(Candles!$AF$5:$AF$84,Candles!$A$5:$A$84,A91)+SUMIFS(Clothing!$AB$5:$AB$84,Clothing!$A$5:$A$84,A91)+SUMIFS(Woodworking!$AC$5:$AC$84,Woodworking!$A$5:$A$84,A91)+SUMIFS(Digital!$X$5:$X$84,Digital!$A$5:$A$84,A91),2))</f>
        <v>0</v>
      </c>
      <c r="U91" s="20">
        <f>IF(B91="","",ROUND(SUMIFS(Labor!$O$5:$O$304,Labor!$A$5:$A$304,A91)+SUMIFS(Crochet!$AG$5:$AG$84,Crochet!$A$5:$A$84,A91)+SUMIFS(Jewelry!$AI$5:$AI$84,Jewelry!$A$5:$A$84,A91)+SUMIFS(Candles!$AI$5:$AI$84,Candles!$A$5:$A$84,A91)+SUMIFS(Clothing!$AE$5:$AE$84,Clothing!$A$5:$A$84,A91)+SUMIFS(Woodworking!$AF$5:$AF$84,Woodworking!$A$5:$A$84,A91)+SUMIFS(Digital!$Z$5:$Z$84,Digital!$A$5:$A$84,A91),2))</f>
        <v>0</v>
      </c>
      <c r="V91" s="36">
        <f>IF(B91="","",ROUND(SUMIFS(Labor!$P$5:$P$304,Labor!$A$5:$A$304,A91)+SUMIFS(Crochet!$AE$5:$AE$84,Crochet!$A$5:$A$84,A91)+SUMIFS(Jewelry!$AG$5:$AG$84,Jewelry!$A$5:$A$84,A91)+SUMIFS(Candles!$AG$5:$AG$84,Candles!$A$5:$A$84,A91)+SUMIFS(Clothing!$AC$5:$AC$84,Clothing!$A$5:$A$84,A91)+SUMIFS(Woodworking!$AD$5:$AD$84,Woodworking!$A$5:$A$84,A91)+SUMIFS(Digital!$Y$5:$Y$84,Digital!$A$5:$A$84,A91),1))</f>
        <v>0</v>
      </c>
      <c r="W91" s="41">
        <f>IF(B91="","",IFERROR(INDEX(DiffTimeFactors,MATCH(G91,DiffNames,0)),1))</f>
        <v>0</v>
      </c>
      <c r="X91" s="36">
        <f>IF(B91="","",ROUND(V91*W91,1))</f>
        <v>0</v>
      </c>
      <c r="Y91" s="41">
        <f>IF(B91="","",ROUND(X91/60,3))</f>
        <v>0</v>
      </c>
      <c r="Z91" s="20">
        <f>IF(B91="","",ROUND(U91*W91,2))</f>
        <v>0</v>
      </c>
      <c r="AA91" s="20">
        <f>IF(B91="","",ROUND(SUMIFS(Labor!$Q$5:$Q$304,Labor!$A$5:$A$304,A91)+SUMIFS(Crochet!$AH$5:$AH$84,Crochet!$A$5:$A$84,A91)+SUMIFS(Jewelry!$AJ$5:$AJ$84,Jewelry!$A$5:$A$84,A91)+SUMIFS(Candles!$AJ$5:$AJ$84,Candles!$A$5:$A$84,A91)+SUMIFS(Clothing!$AF$5:$AF$84,Clothing!$A$5:$A$84,A91)+SUMIFS(Woodworking!$AH$5:$AH$84,Woodworking!$A$5:$A$84,A91)+SUMIFS(Digital!$AA$5:$AA$84,Digital!$A$5:$A$84,A91),2))</f>
        <v>0</v>
      </c>
      <c r="AB91" s="20">
        <f>IF(B91="","",ROUND(IF(I91="Budget",PackBudget,IF(I91="Standard",PackStandard,IF(I91="Gift",PackGift,IF(I91="Premium",PackPremium,DefaultPackaging)))),2))</f>
        <v>0</v>
      </c>
      <c r="AC91" s="36">
        <f>IF(B91="","",IF(I91="Budget",PackWeightBudget,IF(I91="Standard",PackWeightStandard,IF(I91="Gift",PackWeightGift,IF(I91="Premium",PackWeightPremium,0)))))</f>
        <v>0</v>
      </c>
      <c r="AD91" s="20">
        <f>IF(B91="","",IFERROR(INDEX(Shipping!$M$5:$M$64,MATCH(J91,Shipping!$L$5:$L$64,0)),DefaultShipping))</f>
        <v>0</v>
      </c>
      <c r="AE91" s="20">
        <f>IF(B91="","",IFERROR(INDEX(Shipping!$F$5:$F$64,MATCH(J91,Shipping!$L$5:$L$64,0)),0))</f>
        <v>0</v>
      </c>
      <c r="AF91" s="36">
        <f>IF(B91="","",IFERROR(INDEX(Shipping!$C$5:$C$64,MATCH(J91,Shipping!$L$5:$L$64,0)),""))</f>
        <v>0</v>
      </c>
      <c r="AG91" s="20">
        <f>IF(B91="","",ROUND(MAX(0,AD91-AE91),2))</f>
        <v>0</v>
      </c>
      <c r="AH91" s="20">
        <f>IF(B91="","",ROUND(T91+Z91+AA91+AB91+AG91,2))</f>
        <v>0</v>
      </c>
      <c r="AI91" s="33">
        <f>IF(B91="","",IFERROR(INDEX(Channels!$S$5:$S$18,MATCH(IF(H91="",DefaultChannel,H91),Channels!$A$5:$A$18,0)),0))</f>
        <v>0</v>
      </c>
      <c r="AJ91" s="42">
        <f>IF(B91="","",IFERROR(INDEX(Channels!$O$5:$O$18,MATCH(IF(H91="",DefaultChannel,H91),Channels!$A$5:$A$18,0)),"No"))</f>
        <v>0</v>
      </c>
      <c r="AK91" s="20">
        <f>IF(B91="","",ROUND(IFERROR(INDEX(Channels!$T$5:$T$18,MATCH(IF(H91="",DefaultChannel,H91),Channels!$A$5:$A$18,0)),0)+IF(AJ91="Yes",AE91*AI91,0),4))</f>
        <v>0</v>
      </c>
      <c r="AL91" s="33">
        <f>IF(B91="","",IF(OverheadMethod="Share of revenue",IF(RevenueTargetMonth&lt;=0,0,OverheadMonthly/RevenueTargetMonth),0))</f>
        <v>0</v>
      </c>
      <c r="AM91" s="20">
        <f>IF(B91="","",IF(OverheadMethod="Per hour worked",ROUND(OverheadPerHour*Y91,2),IF(OR(OverheadMethod="Per unit made",OverheadMethod="Per order"),OverheadPerUnit,0)))</f>
        <v>0</v>
      </c>
      <c r="AN91" s="33">
        <f>IF(B91="","",IF(N91&lt;&gt;"",N91,TargetRetailMargin))</f>
        <v>0</v>
      </c>
      <c r="AO91" s="41">
        <f>IF(B91="","",1-AN91-AI91-AL91)</f>
        <v>0</v>
      </c>
      <c r="AP91" s="20">
        <f>IF(B91="","",IF(AO91&lt;=0,"",(AH91+AM91+AK91)/AO91))</f>
        <v>0</v>
      </c>
      <c r="AQ91" s="20">
        <f>IF(B91="","",IF(AP91="","Check the settings",ROUND(IF(RoundingRule="None",AP91,IF(RoundingRule="Nearest 0.99",MAX(0.99,CEILING(AP91,1)-0.01),IF(RoundingRule="Nearest 0.95",MAX(0.95,CEILING(AP91,1)-0.05),IF(RoundingRule="Nearest 0.50",CEILING(AP91,0.5),IF(RoundingRule="Nearest 1",CEILING(AP91,1),IF(RoundingRule="Nearest 5",CEILING(AP91,5),IF(RoundingRule="Up to whole 1",CEILING(AP91,1),IF(RoundingRule="Up to whole 5",CEILING(AP91,5),ROUND(AP91,2))))))))),2)))</f>
        <v>0</v>
      </c>
      <c r="AR91" s="20">
        <f>IF(B91="","",IF(M91&lt;&gt;"",M91,IF(ISNUMBER(AQ91),AQ91,"")))</f>
        <v>0</v>
      </c>
      <c r="AS91" s="20">
        <f>IF(B91="","",IF(AR91="","",ROUND(AM91+AR91*AL91,2)))</f>
        <v>0</v>
      </c>
      <c r="AT91" s="20">
        <f>IF(B91="","",IF(AR91="","",ROUND(AH91+AS91,2)))</f>
        <v>0</v>
      </c>
      <c r="AU91" s="20">
        <f>IF(B91="","",IF(AR91="","",ROUND(AR91*AI91+AK91,2)))</f>
        <v>0</v>
      </c>
      <c r="AV91" s="20">
        <f>IF(B91="","",IF(AR91="","",ROUND(AR91-AT91-AU91,2)))</f>
        <v>0</v>
      </c>
      <c r="AW91" s="33">
        <f>IF(B91="","",IF(OR(AR91="",AR91=0),"",AV91/AR91))</f>
        <v>0</v>
      </c>
      <c r="AX91" s="33">
        <f>IF(B91="","",IF(OR(AT91="",AT91=0),"",AV91/AT91))</f>
        <v>0</v>
      </c>
      <c r="AY91" s="20">
        <f>IF(B91="","",IF(OR(Y91="",Y91=0,AV91=""),"",ROUND(AV91/Y91,2)))</f>
        <v>0</v>
      </c>
      <c r="AZ91" s="20">
        <f>IF(B91="","",IF(OR(Y91="",Y91=0,AV91=""),"",ROUND((AV91+Z91)/Y91,2)))</f>
        <v>0</v>
      </c>
      <c r="BA91" s="20">
        <f>IF(B91="","",IF(1-AI91-AL91&lt;=0,"",ROUND((AH91+AM91+AK91)/(1-AI91-AL91),2)))</f>
        <v>0</v>
      </c>
      <c r="BB91" s="20">
        <f>IF(B91="","",IF(AT91="","",ROUND(AT91*2,2)))</f>
        <v>0</v>
      </c>
      <c r="BC91" s="20">
        <f>IF(B91="","",IF(AR91="","",ROUND(AR91*(1-WholesaleDiscount),2)))</f>
        <v>0</v>
      </c>
      <c r="BD91" s="20">
        <f>IF(B91="","",IF(BC91="","",ROUND(BC91-AH91-AM91,2)))</f>
        <v>0</v>
      </c>
      <c r="BE91" s="33">
        <f>IF(B91="","",IF(OR(BC91="",BC91=0),"",BD91/BC91))</f>
        <v>0</v>
      </c>
      <c r="BF91" s="20">
        <f>IF(B91="","",IFERROR(ROUND(AVERAGEIFS(Competitors!$F$5:$F$154,Competitors!$A$5:$A$154,A91),2),""))</f>
        <v>0</v>
      </c>
      <c r="BG91" s="33">
        <f>IF(B91="","",IF(OR(BF91="",BF91=0,AR91=""),"",AR91/BF91-1))</f>
        <v>0</v>
      </c>
      <c r="BH91" s="32">
        <f>IF(B91="","",SUMIFS(Sales!$D$5:$D$804,Sales!$C$5:$C$804,A91))</f>
        <v>0</v>
      </c>
      <c r="BI91" s="20">
        <f>IF(B91="","",ROUND(SUMIFS(Sales!$V$5:$V$804,Sales!$C$5:$C$804,A91),2))</f>
        <v>0</v>
      </c>
      <c r="BJ91" s="20">
        <f>IF(B91="","",ROUND(SUMIFS(Sales!$AG$5:$AG$804,Sales!$C$5:$C$804,A91),2))</f>
        <v>0</v>
      </c>
      <c r="BK91" s="33">
        <f>IF(B91="","",IF(OR(BI91="",BI91=0),"",BJ91/BI91))</f>
        <v>0</v>
      </c>
      <c r="BL91" s="17">
        <f>IF(B91="","",IF(SUMPRODUCT(MAX((Sales!$C$5:$C$804=A91)*Sales!$B$5:$B$804))=0,"",SUMPRODUCT(MAX((Sales!$C$5:$C$804=A91)*Sales!$B$5:$B$804))))</f>
        <v>0</v>
      </c>
      <c r="BM91" s="17">
        <f>IF(B91="","",IF(SUMPRODUCT(MAX(('Price History'!$B$5:$B$304=A91)*'Price History'!$A$5:$A$304))=0,IF(P91="","",P91),SUMPRODUCT(MAX(('Price History'!$B$5:$B$304=A91)*'Price History'!$A$5:$A$304))))</f>
        <v>0</v>
      </c>
      <c r="BN91" s="32">
        <f>IF(B91="","",IF(BM91="","",TodayDate-BM91))</f>
        <v>0</v>
      </c>
      <c r="BO91" s="32">
        <f>IF(B91="","",COUNTIFS($AV$5:$AV$304,"&gt;"&amp;AV91)+COUNTIFS($AV$5:AV91,AV91))</f>
        <v>0</v>
      </c>
      <c r="BP91" s="32">
        <f>IF(B91="","",COUNTIFS($AW$5:$AW$304,"&gt;"&amp;AW91)+COUNTIFS($AW$5:AW91,AW91))</f>
        <v>0</v>
      </c>
      <c r="BQ91" s="32">
        <f>IF(B91="","",COUNTIFS($BI$5:$BI$304,"&gt;"&amp;BI91)+COUNTIFS($BI$5:BI91,BI91))</f>
        <v>0</v>
      </c>
      <c r="BR91" s="32">
        <f>IF(B91="","",COUNTIFS($AY$5:$AY$304,"&gt;"&amp;AY91)+COUNTIFS($AY$5:AY91,AY91))</f>
        <v>0</v>
      </c>
      <c r="BS91" s="43">
        <f>IF(B91="","",IF(AH91=0,"Add - no costs entered yet",IF(AR91="","Check - no price yet",IF(AV91&lt;0,"Loss - every sale costs you money",IF(AND(AZ91&lt;&gt;"",AZ91&lt;MinimumWage),"Below - pays under minimum wage",IF(AW91&lt;MarginWarning,"Low margin - re-price it",IF(AND(AF91&lt;&gt;"",K91&lt;&gt;"",K91+AC91&gt;AF91),"Check - too heavy for that postage band",IF(AND(BN91&lt;&gt;"",BN91&gt;PriceReviewDays),"Due - price has not been reviewed",IF(AND(BG91&lt;&gt;"",BG91&gt;0.5),"Check - well above the market","OK")))))))) )</f>
        <v>0</v>
      </c>
    </row>
    <row r="92" spans="1:71">
      <c r="A92" s="38">
        <f>IF(B92="","",ProductPrefix&amp;TEXT(ROW()-4,"0000"))</f>
        <v>0</v>
      </c>
      <c r="S92" s="38">
        <f>IF(B92="","",IF(C92&lt;&gt;"",C92,UPPER(LEFT(IF(D92="","GEN",D92),3))&amp;"-"&amp;TEXT(ROW()-4,"000")))</f>
        <v>0</v>
      </c>
      <c r="T92" s="20">
        <f>IF(B92="","",ROUND(SUMIFS('Material Usage'!$M$5:$M$904,'Material Usage'!$A$5:$A$904,A92)+SUMIFS(Crochet!$AD$5:$AD$84,Crochet!$A$5:$A$84,A92)+SUMIFS(Jewelry!$AF$5:$AF$84,Jewelry!$A$5:$A$84,A92)+SUMIFS(Candles!$AF$5:$AF$84,Candles!$A$5:$A$84,A92)+SUMIFS(Clothing!$AB$5:$AB$84,Clothing!$A$5:$A$84,A92)+SUMIFS(Woodworking!$AC$5:$AC$84,Woodworking!$A$5:$A$84,A92)+SUMIFS(Digital!$X$5:$X$84,Digital!$A$5:$A$84,A92),2))</f>
        <v>0</v>
      </c>
      <c r="U92" s="20">
        <f>IF(B92="","",ROUND(SUMIFS(Labor!$O$5:$O$304,Labor!$A$5:$A$304,A92)+SUMIFS(Crochet!$AG$5:$AG$84,Crochet!$A$5:$A$84,A92)+SUMIFS(Jewelry!$AI$5:$AI$84,Jewelry!$A$5:$A$84,A92)+SUMIFS(Candles!$AI$5:$AI$84,Candles!$A$5:$A$84,A92)+SUMIFS(Clothing!$AE$5:$AE$84,Clothing!$A$5:$A$84,A92)+SUMIFS(Woodworking!$AF$5:$AF$84,Woodworking!$A$5:$A$84,A92)+SUMIFS(Digital!$Z$5:$Z$84,Digital!$A$5:$A$84,A92),2))</f>
        <v>0</v>
      </c>
      <c r="V92" s="36">
        <f>IF(B92="","",ROUND(SUMIFS(Labor!$P$5:$P$304,Labor!$A$5:$A$304,A92)+SUMIFS(Crochet!$AE$5:$AE$84,Crochet!$A$5:$A$84,A92)+SUMIFS(Jewelry!$AG$5:$AG$84,Jewelry!$A$5:$A$84,A92)+SUMIFS(Candles!$AG$5:$AG$84,Candles!$A$5:$A$84,A92)+SUMIFS(Clothing!$AC$5:$AC$84,Clothing!$A$5:$A$84,A92)+SUMIFS(Woodworking!$AD$5:$AD$84,Woodworking!$A$5:$A$84,A92)+SUMIFS(Digital!$Y$5:$Y$84,Digital!$A$5:$A$84,A92),1))</f>
        <v>0</v>
      </c>
      <c r="W92" s="41">
        <f>IF(B92="","",IFERROR(INDEX(DiffTimeFactors,MATCH(G92,DiffNames,0)),1))</f>
        <v>0</v>
      </c>
      <c r="X92" s="36">
        <f>IF(B92="","",ROUND(V92*W92,1))</f>
        <v>0</v>
      </c>
      <c r="Y92" s="41">
        <f>IF(B92="","",ROUND(X92/60,3))</f>
        <v>0</v>
      </c>
      <c r="Z92" s="20">
        <f>IF(B92="","",ROUND(U92*W92,2))</f>
        <v>0</v>
      </c>
      <c r="AA92" s="20">
        <f>IF(B92="","",ROUND(SUMIFS(Labor!$Q$5:$Q$304,Labor!$A$5:$A$304,A92)+SUMIFS(Crochet!$AH$5:$AH$84,Crochet!$A$5:$A$84,A92)+SUMIFS(Jewelry!$AJ$5:$AJ$84,Jewelry!$A$5:$A$84,A92)+SUMIFS(Candles!$AJ$5:$AJ$84,Candles!$A$5:$A$84,A92)+SUMIFS(Clothing!$AF$5:$AF$84,Clothing!$A$5:$A$84,A92)+SUMIFS(Woodworking!$AH$5:$AH$84,Woodworking!$A$5:$A$84,A92)+SUMIFS(Digital!$AA$5:$AA$84,Digital!$A$5:$A$84,A92),2))</f>
        <v>0</v>
      </c>
      <c r="AB92" s="20">
        <f>IF(B92="","",ROUND(IF(I92="Budget",PackBudget,IF(I92="Standard",PackStandard,IF(I92="Gift",PackGift,IF(I92="Premium",PackPremium,DefaultPackaging)))),2))</f>
        <v>0</v>
      </c>
      <c r="AC92" s="36">
        <f>IF(B92="","",IF(I92="Budget",PackWeightBudget,IF(I92="Standard",PackWeightStandard,IF(I92="Gift",PackWeightGift,IF(I92="Premium",PackWeightPremium,0)))))</f>
        <v>0</v>
      </c>
      <c r="AD92" s="20">
        <f>IF(B92="","",IFERROR(INDEX(Shipping!$M$5:$M$64,MATCH(J92,Shipping!$L$5:$L$64,0)),DefaultShipping))</f>
        <v>0</v>
      </c>
      <c r="AE92" s="20">
        <f>IF(B92="","",IFERROR(INDEX(Shipping!$F$5:$F$64,MATCH(J92,Shipping!$L$5:$L$64,0)),0))</f>
        <v>0</v>
      </c>
      <c r="AF92" s="36">
        <f>IF(B92="","",IFERROR(INDEX(Shipping!$C$5:$C$64,MATCH(J92,Shipping!$L$5:$L$64,0)),""))</f>
        <v>0</v>
      </c>
      <c r="AG92" s="20">
        <f>IF(B92="","",ROUND(MAX(0,AD92-AE92),2))</f>
        <v>0</v>
      </c>
      <c r="AH92" s="20">
        <f>IF(B92="","",ROUND(T92+Z92+AA92+AB92+AG92,2))</f>
        <v>0</v>
      </c>
      <c r="AI92" s="33">
        <f>IF(B92="","",IFERROR(INDEX(Channels!$S$5:$S$18,MATCH(IF(H92="",DefaultChannel,H92),Channels!$A$5:$A$18,0)),0))</f>
        <v>0</v>
      </c>
      <c r="AJ92" s="42">
        <f>IF(B92="","",IFERROR(INDEX(Channels!$O$5:$O$18,MATCH(IF(H92="",DefaultChannel,H92),Channels!$A$5:$A$18,0)),"No"))</f>
        <v>0</v>
      </c>
      <c r="AK92" s="20">
        <f>IF(B92="","",ROUND(IFERROR(INDEX(Channels!$T$5:$T$18,MATCH(IF(H92="",DefaultChannel,H92),Channels!$A$5:$A$18,0)),0)+IF(AJ92="Yes",AE92*AI92,0),4))</f>
        <v>0</v>
      </c>
      <c r="AL92" s="33">
        <f>IF(B92="","",IF(OverheadMethod="Share of revenue",IF(RevenueTargetMonth&lt;=0,0,OverheadMonthly/RevenueTargetMonth),0))</f>
        <v>0</v>
      </c>
      <c r="AM92" s="20">
        <f>IF(B92="","",IF(OverheadMethod="Per hour worked",ROUND(OverheadPerHour*Y92,2),IF(OR(OverheadMethod="Per unit made",OverheadMethod="Per order"),OverheadPerUnit,0)))</f>
        <v>0</v>
      </c>
      <c r="AN92" s="33">
        <f>IF(B92="","",IF(N92&lt;&gt;"",N92,TargetRetailMargin))</f>
        <v>0</v>
      </c>
      <c r="AO92" s="41">
        <f>IF(B92="","",1-AN92-AI92-AL92)</f>
        <v>0</v>
      </c>
      <c r="AP92" s="20">
        <f>IF(B92="","",IF(AO92&lt;=0,"",(AH92+AM92+AK92)/AO92))</f>
        <v>0</v>
      </c>
      <c r="AQ92" s="20">
        <f>IF(B92="","",IF(AP92="","Check the settings",ROUND(IF(RoundingRule="None",AP92,IF(RoundingRule="Nearest 0.99",MAX(0.99,CEILING(AP92,1)-0.01),IF(RoundingRule="Nearest 0.95",MAX(0.95,CEILING(AP92,1)-0.05),IF(RoundingRule="Nearest 0.50",CEILING(AP92,0.5),IF(RoundingRule="Nearest 1",CEILING(AP92,1),IF(RoundingRule="Nearest 5",CEILING(AP92,5),IF(RoundingRule="Up to whole 1",CEILING(AP92,1),IF(RoundingRule="Up to whole 5",CEILING(AP92,5),ROUND(AP92,2))))))))),2)))</f>
        <v>0</v>
      </c>
      <c r="AR92" s="20">
        <f>IF(B92="","",IF(M92&lt;&gt;"",M92,IF(ISNUMBER(AQ92),AQ92,"")))</f>
        <v>0</v>
      </c>
      <c r="AS92" s="20">
        <f>IF(B92="","",IF(AR92="","",ROUND(AM92+AR92*AL92,2)))</f>
        <v>0</v>
      </c>
      <c r="AT92" s="20">
        <f>IF(B92="","",IF(AR92="","",ROUND(AH92+AS92,2)))</f>
        <v>0</v>
      </c>
      <c r="AU92" s="20">
        <f>IF(B92="","",IF(AR92="","",ROUND(AR92*AI92+AK92,2)))</f>
        <v>0</v>
      </c>
      <c r="AV92" s="20">
        <f>IF(B92="","",IF(AR92="","",ROUND(AR92-AT92-AU92,2)))</f>
        <v>0</v>
      </c>
      <c r="AW92" s="33">
        <f>IF(B92="","",IF(OR(AR92="",AR92=0),"",AV92/AR92))</f>
        <v>0</v>
      </c>
      <c r="AX92" s="33">
        <f>IF(B92="","",IF(OR(AT92="",AT92=0),"",AV92/AT92))</f>
        <v>0</v>
      </c>
      <c r="AY92" s="20">
        <f>IF(B92="","",IF(OR(Y92="",Y92=0,AV92=""),"",ROUND(AV92/Y92,2)))</f>
        <v>0</v>
      </c>
      <c r="AZ92" s="20">
        <f>IF(B92="","",IF(OR(Y92="",Y92=0,AV92=""),"",ROUND((AV92+Z92)/Y92,2)))</f>
        <v>0</v>
      </c>
      <c r="BA92" s="20">
        <f>IF(B92="","",IF(1-AI92-AL92&lt;=0,"",ROUND((AH92+AM92+AK92)/(1-AI92-AL92),2)))</f>
        <v>0</v>
      </c>
      <c r="BB92" s="20">
        <f>IF(B92="","",IF(AT92="","",ROUND(AT92*2,2)))</f>
        <v>0</v>
      </c>
      <c r="BC92" s="20">
        <f>IF(B92="","",IF(AR92="","",ROUND(AR92*(1-WholesaleDiscount),2)))</f>
        <v>0</v>
      </c>
      <c r="BD92" s="20">
        <f>IF(B92="","",IF(BC92="","",ROUND(BC92-AH92-AM92,2)))</f>
        <v>0</v>
      </c>
      <c r="BE92" s="33">
        <f>IF(B92="","",IF(OR(BC92="",BC92=0),"",BD92/BC92))</f>
        <v>0</v>
      </c>
      <c r="BF92" s="20">
        <f>IF(B92="","",IFERROR(ROUND(AVERAGEIFS(Competitors!$F$5:$F$154,Competitors!$A$5:$A$154,A92),2),""))</f>
        <v>0</v>
      </c>
      <c r="BG92" s="33">
        <f>IF(B92="","",IF(OR(BF92="",BF92=0,AR92=""),"",AR92/BF92-1))</f>
        <v>0</v>
      </c>
      <c r="BH92" s="32">
        <f>IF(B92="","",SUMIFS(Sales!$D$5:$D$804,Sales!$C$5:$C$804,A92))</f>
        <v>0</v>
      </c>
      <c r="BI92" s="20">
        <f>IF(B92="","",ROUND(SUMIFS(Sales!$V$5:$V$804,Sales!$C$5:$C$804,A92),2))</f>
        <v>0</v>
      </c>
      <c r="BJ92" s="20">
        <f>IF(B92="","",ROUND(SUMIFS(Sales!$AG$5:$AG$804,Sales!$C$5:$C$804,A92),2))</f>
        <v>0</v>
      </c>
      <c r="BK92" s="33">
        <f>IF(B92="","",IF(OR(BI92="",BI92=0),"",BJ92/BI92))</f>
        <v>0</v>
      </c>
      <c r="BL92" s="17">
        <f>IF(B92="","",IF(SUMPRODUCT(MAX((Sales!$C$5:$C$804=A92)*Sales!$B$5:$B$804))=0,"",SUMPRODUCT(MAX((Sales!$C$5:$C$804=A92)*Sales!$B$5:$B$804))))</f>
        <v>0</v>
      </c>
      <c r="BM92" s="17">
        <f>IF(B92="","",IF(SUMPRODUCT(MAX(('Price History'!$B$5:$B$304=A92)*'Price History'!$A$5:$A$304))=0,IF(P92="","",P92),SUMPRODUCT(MAX(('Price History'!$B$5:$B$304=A92)*'Price History'!$A$5:$A$304))))</f>
        <v>0</v>
      </c>
      <c r="BN92" s="32">
        <f>IF(B92="","",IF(BM92="","",TodayDate-BM92))</f>
        <v>0</v>
      </c>
      <c r="BO92" s="32">
        <f>IF(B92="","",COUNTIFS($AV$5:$AV$304,"&gt;"&amp;AV92)+COUNTIFS($AV$5:AV92,AV92))</f>
        <v>0</v>
      </c>
      <c r="BP92" s="32">
        <f>IF(B92="","",COUNTIFS($AW$5:$AW$304,"&gt;"&amp;AW92)+COUNTIFS($AW$5:AW92,AW92))</f>
        <v>0</v>
      </c>
      <c r="BQ92" s="32">
        <f>IF(B92="","",COUNTIFS($BI$5:$BI$304,"&gt;"&amp;BI92)+COUNTIFS($BI$5:BI92,BI92))</f>
        <v>0</v>
      </c>
      <c r="BR92" s="32">
        <f>IF(B92="","",COUNTIFS($AY$5:$AY$304,"&gt;"&amp;AY92)+COUNTIFS($AY$5:AY92,AY92))</f>
        <v>0</v>
      </c>
      <c r="BS92" s="43">
        <f>IF(B92="","",IF(AH92=0,"Add - no costs entered yet",IF(AR92="","Check - no price yet",IF(AV92&lt;0,"Loss - every sale costs you money",IF(AND(AZ92&lt;&gt;"",AZ92&lt;MinimumWage),"Below - pays under minimum wage",IF(AW92&lt;MarginWarning,"Low margin - re-price it",IF(AND(AF92&lt;&gt;"",K92&lt;&gt;"",K92+AC92&gt;AF92),"Check - too heavy for that postage band",IF(AND(BN92&lt;&gt;"",BN92&gt;PriceReviewDays),"Due - price has not been reviewed",IF(AND(BG92&lt;&gt;"",BG92&gt;0.5),"Check - well above the market","OK")))))))) )</f>
        <v>0</v>
      </c>
    </row>
    <row r="93" spans="1:71">
      <c r="A93" s="38">
        <f>IF(B93="","",ProductPrefix&amp;TEXT(ROW()-4,"0000"))</f>
        <v>0</v>
      </c>
      <c r="S93" s="38">
        <f>IF(B93="","",IF(C93&lt;&gt;"",C93,UPPER(LEFT(IF(D93="","GEN",D93),3))&amp;"-"&amp;TEXT(ROW()-4,"000")))</f>
        <v>0</v>
      </c>
      <c r="T93" s="20">
        <f>IF(B93="","",ROUND(SUMIFS('Material Usage'!$M$5:$M$904,'Material Usage'!$A$5:$A$904,A93)+SUMIFS(Crochet!$AD$5:$AD$84,Crochet!$A$5:$A$84,A93)+SUMIFS(Jewelry!$AF$5:$AF$84,Jewelry!$A$5:$A$84,A93)+SUMIFS(Candles!$AF$5:$AF$84,Candles!$A$5:$A$84,A93)+SUMIFS(Clothing!$AB$5:$AB$84,Clothing!$A$5:$A$84,A93)+SUMIFS(Woodworking!$AC$5:$AC$84,Woodworking!$A$5:$A$84,A93)+SUMIFS(Digital!$X$5:$X$84,Digital!$A$5:$A$84,A93),2))</f>
        <v>0</v>
      </c>
      <c r="U93" s="20">
        <f>IF(B93="","",ROUND(SUMIFS(Labor!$O$5:$O$304,Labor!$A$5:$A$304,A93)+SUMIFS(Crochet!$AG$5:$AG$84,Crochet!$A$5:$A$84,A93)+SUMIFS(Jewelry!$AI$5:$AI$84,Jewelry!$A$5:$A$84,A93)+SUMIFS(Candles!$AI$5:$AI$84,Candles!$A$5:$A$84,A93)+SUMIFS(Clothing!$AE$5:$AE$84,Clothing!$A$5:$A$84,A93)+SUMIFS(Woodworking!$AF$5:$AF$84,Woodworking!$A$5:$A$84,A93)+SUMIFS(Digital!$Z$5:$Z$84,Digital!$A$5:$A$84,A93),2))</f>
        <v>0</v>
      </c>
      <c r="V93" s="36">
        <f>IF(B93="","",ROUND(SUMIFS(Labor!$P$5:$P$304,Labor!$A$5:$A$304,A93)+SUMIFS(Crochet!$AE$5:$AE$84,Crochet!$A$5:$A$84,A93)+SUMIFS(Jewelry!$AG$5:$AG$84,Jewelry!$A$5:$A$84,A93)+SUMIFS(Candles!$AG$5:$AG$84,Candles!$A$5:$A$84,A93)+SUMIFS(Clothing!$AC$5:$AC$84,Clothing!$A$5:$A$84,A93)+SUMIFS(Woodworking!$AD$5:$AD$84,Woodworking!$A$5:$A$84,A93)+SUMIFS(Digital!$Y$5:$Y$84,Digital!$A$5:$A$84,A93),1))</f>
        <v>0</v>
      </c>
      <c r="W93" s="41">
        <f>IF(B93="","",IFERROR(INDEX(DiffTimeFactors,MATCH(G93,DiffNames,0)),1))</f>
        <v>0</v>
      </c>
      <c r="X93" s="36">
        <f>IF(B93="","",ROUND(V93*W93,1))</f>
        <v>0</v>
      </c>
      <c r="Y93" s="41">
        <f>IF(B93="","",ROUND(X93/60,3))</f>
        <v>0</v>
      </c>
      <c r="Z93" s="20">
        <f>IF(B93="","",ROUND(U93*W93,2))</f>
        <v>0</v>
      </c>
      <c r="AA93" s="20">
        <f>IF(B93="","",ROUND(SUMIFS(Labor!$Q$5:$Q$304,Labor!$A$5:$A$304,A93)+SUMIFS(Crochet!$AH$5:$AH$84,Crochet!$A$5:$A$84,A93)+SUMIFS(Jewelry!$AJ$5:$AJ$84,Jewelry!$A$5:$A$84,A93)+SUMIFS(Candles!$AJ$5:$AJ$84,Candles!$A$5:$A$84,A93)+SUMIFS(Clothing!$AF$5:$AF$84,Clothing!$A$5:$A$84,A93)+SUMIFS(Woodworking!$AH$5:$AH$84,Woodworking!$A$5:$A$84,A93)+SUMIFS(Digital!$AA$5:$AA$84,Digital!$A$5:$A$84,A93),2))</f>
        <v>0</v>
      </c>
      <c r="AB93" s="20">
        <f>IF(B93="","",ROUND(IF(I93="Budget",PackBudget,IF(I93="Standard",PackStandard,IF(I93="Gift",PackGift,IF(I93="Premium",PackPremium,DefaultPackaging)))),2))</f>
        <v>0</v>
      </c>
      <c r="AC93" s="36">
        <f>IF(B93="","",IF(I93="Budget",PackWeightBudget,IF(I93="Standard",PackWeightStandard,IF(I93="Gift",PackWeightGift,IF(I93="Premium",PackWeightPremium,0)))))</f>
        <v>0</v>
      </c>
      <c r="AD93" s="20">
        <f>IF(B93="","",IFERROR(INDEX(Shipping!$M$5:$M$64,MATCH(J93,Shipping!$L$5:$L$64,0)),DefaultShipping))</f>
        <v>0</v>
      </c>
      <c r="AE93" s="20">
        <f>IF(B93="","",IFERROR(INDEX(Shipping!$F$5:$F$64,MATCH(J93,Shipping!$L$5:$L$64,0)),0))</f>
        <v>0</v>
      </c>
      <c r="AF93" s="36">
        <f>IF(B93="","",IFERROR(INDEX(Shipping!$C$5:$C$64,MATCH(J93,Shipping!$L$5:$L$64,0)),""))</f>
        <v>0</v>
      </c>
      <c r="AG93" s="20">
        <f>IF(B93="","",ROUND(MAX(0,AD93-AE93),2))</f>
        <v>0</v>
      </c>
      <c r="AH93" s="20">
        <f>IF(B93="","",ROUND(T93+Z93+AA93+AB93+AG93,2))</f>
        <v>0</v>
      </c>
      <c r="AI93" s="33">
        <f>IF(B93="","",IFERROR(INDEX(Channels!$S$5:$S$18,MATCH(IF(H93="",DefaultChannel,H93),Channels!$A$5:$A$18,0)),0))</f>
        <v>0</v>
      </c>
      <c r="AJ93" s="42">
        <f>IF(B93="","",IFERROR(INDEX(Channels!$O$5:$O$18,MATCH(IF(H93="",DefaultChannel,H93),Channels!$A$5:$A$18,0)),"No"))</f>
        <v>0</v>
      </c>
      <c r="AK93" s="20">
        <f>IF(B93="","",ROUND(IFERROR(INDEX(Channels!$T$5:$T$18,MATCH(IF(H93="",DefaultChannel,H93),Channels!$A$5:$A$18,0)),0)+IF(AJ93="Yes",AE93*AI93,0),4))</f>
        <v>0</v>
      </c>
      <c r="AL93" s="33">
        <f>IF(B93="","",IF(OverheadMethod="Share of revenue",IF(RevenueTargetMonth&lt;=0,0,OverheadMonthly/RevenueTargetMonth),0))</f>
        <v>0</v>
      </c>
      <c r="AM93" s="20">
        <f>IF(B93="","",IF(OverheadMethod="Per hour worked",ROUND(OverheadPerHour*Y93,2),IF(OR(OverheadMethod="Per unit made",OverheadMethod="Per order"),OverheadPerUnit,0)))</f>
        <v>0</v>
      </c>
      <c r="AN93" s="33">
        <f>IF(B93="","",IF(N93&lt;&gt;"",N93,TargetRetailMargin))</f>
        <v>0</v>
      </c>
      <c r="AO93" s="41">
        <f>IF(B93="","",1-AN93-AI93-AL93)</f>
        <v>0</v>
      </c>
      <c r="AP93" s="20">
        <f>IF(B93="","",IF(AO93&lt;=0,"",(AH93+AM93+AK93)/AO93))</f>
        <v>0</v>
      </c>
      <c r="AQ93" s="20">
        <f>IF(B93="","",IF(AP93="","Check the settings",ROUND(IF(RoundingRule="None",AP93,IF(RoundingRule="Nearest 0.99",MAX(0.99,CEILING(AP93,1)-0.01),IF(RoundingRule="Nearest 0.95",MAX(0.95,CEILING(AP93,1)-0.05),IF(RoundingRule="Nearest 0.50",CEILING(AP93,0.5),IF(RoundingRule="Nearest 1",CEILING(AP93,1),IF(RoundingRule="Nearest 5",CEILING(AP93,5),IF(RoundingRule="Up to whole 1",CEILING(AP93,1),IF(RoundingRule="Up to whole 5",CEILING(AP93,5),ROUND(AP93,2))))))))),2)))</f>
        <v>0</v>
      </c>
      <c r="AR93" s="20">
        <f>IF(B93="","",IF(M93&lt;&gt;"",M93,IF(ISNUMBER(AQ93),AQ93,"")))</f>
        <v>0</v>
      </c>
      <c r="AS93" s="20">
        <f>IF(B93="","",IF(AR93="","",ROUND(AM93+AR93*AL93,2)))</f>
        <v>0</v>
      </c>
      <c r="AT93" s="20">
        <f>IF(B93="","",IF(AR93="","",ROUND(AH93+AS93,2)))</f>
        <v>0</v>
      </c>
      <c r="AU93" s="20">
        <f>IF(B93="","",IF(AR93="","",ROUND(AR93*AI93+AK93,2)))</f>
        <v>0</v>
      </c>
      <c r="AV93" s="20">
        <f>IF(B93="","",IF(AR93="","",ROUND(AR93-AT93-AU93,2)))</f>
        <v>0</v>
      </c>
      <c r="AW93" s="33">
        <f>IF(B93="","",IF(OR(AR93="",AR93=0),"",AV93/AR93))</f>
        <v>0</v>
      </c>
      <c r="AX93" s="33">
        <f>IF(B93="","",IF(OR(AT93="",AT93=0),"",AV93/AT93))</f>
        <v>0</v>
      </c>
      <c r="AY93" s="20">
        <f>IF(B93="","",IF(OR(Y93="",Y93=0,AV93=""),"",ROUND(AV93/Y93,2)))</f>
        <v>0</v>
      </c>
      <c r="AZ93" s="20">
        <f>IF(B93="","",IF(OR(Y93="",Y93=0,AV93=""),"",ROUND((AV93+Z93)/Y93,2)))</f>
        <v>0</v>
      </c>
      <c r="BA93" s="20">
        <f>IF(B93="","",IF(1-AI93-AL93&lt;=0,"",ROUND((AH93+AM93+AK93)/(1-AI93-AL93),2)))</f>
        <v>0</v>
      </c>
      <c r="BB93" s="20">
        <f>IF(B93="","",IF(AT93="","",ROUND(AT93*2,2)))</f>
        <v>0</v>
      </c>
      <c r="BC93" s="20">
        <f>IF(B93="","",IF(AR93="","",ROUND(AR93*(1-WholesaleDiscount),2)))</f>
        <v>0</v>
      </c>
      <c r="BD93" s="20">
        <f>IF(B93="","",IF(BC93="","",ROUND(BC93-AH93-AM93,2)))</f>
        <v>0</v>
      </c>
      <c r="BE93" s="33">
        <f>IF(B93="","",IF(OR(BC93="",BC93=0),"",BD93/BC93))</f>
        <v>0</v>
      </c>
      <c r="BF93" s="20">
        <f>IF(B93="","",IFERROR(ROUND(AVERAGEIFS(Competitors!$F$5:$F$154,Competitors!$A$5:$A$154,A93),2),""))</f>
        <v>0</v>
      </c>
      <c r="BG93" s="33">
        <f>IF(B93="","",IF(OR(BF93="",BF93=0,AR93=""),"",AR93/BF93-1))</f>
        <v>0</v>
      </c>
      <c r="BH93" s="32">
        <f>IF(B93="","",SUMIFS(Sales!$D$5:$D$804,Sales!$C$5:$C$804,A93))</f>
        <v>0</v>
      </c>
      <c r="BI93" s="20">
        <f>IF(B93="","",ROUND(SUMIFS(Sales!$V$5:$V$804,Sales!$C$5:$C$804,A93),2))</f>
        <v>0</v>
      </c>
      <c r="BJ93" s="20">
        <f>IF(B93="","",ROUND(SUMIFS(Sales!$AG$5:$AG$804,Sales!$C$5:$C$804,A93),2))</f>
        <v>0</v>
      </c>
      <c r="BK93" s="33">
        <f>IF(B93="","",IF(OR(BI93="",BI93=0),"",BJ93/BI93))</f>
        <v>0</v>
      </c>
      <c r="BL93" s="17">
        <f>IF(B93="","",IF(SUMPRODUCT(MAX((Sales!$C$5:$C$804=A93)*Sales!$B$5:$B$804))=0,"",SUMPRODUCT(MAX((Sales!$C$5:$C$804=A93)*Sales!$B$5:$B$804))))</f>
        <v>0</v>
      </c>
      <c r="BM93" s="17">
        <f>IF(B93="","",IF(SUMPRODUCT(MAX(('Price History'!$B$5:$B$304=A93)*'Price History'!$A$5:$A$304))=0,IF(P93="","",P93),SUMPRODUCT(MAX(('Price History'!$B$5:$B$304=A93)*'Price History'!$A$5:$A$304))))</f>
        <v>0</v>
      </c>
      <c r="BN93" s="32">
        <f>IF(B93="","",IF(BM93="","",TodayDate-BM93))</f>
        <v>0</v>
      </c>
      <c r="BO93" s="32">
        <f>IF(B93="","",COUNTIFS($AV$5:$AV$304,"&gt;"&amp;AV93)+COUNTIFS($AV$5:AV93,AV93))</f>
        <v>0</v>
      </c>
      <c r="BP93" s="32">
        <f>IF(B93="","",COUNTIFS($AW$5:$AW$304,"&gt;"&amp;AW93)+COUNTIFS($AW$5:AW93,AW93))</f>
        <v>0</v>
      </c>
      <c r="BQ93" s="32">
        <f>IF(B93="","",COUNTIFS($BI$5:$BI$304,"&gt;"&amp;BI93)+COUNTIFS($BI$5:BI93,BI93))</f>
        <v>0</v>
      </c>
      <c r="BR93" s="32">
        <f>IF(B93="","",COUNTIFS($AY$5:$AY$304,"&gt;"&amp;AY93)+COUNTIFS($AY$5:AY93,AY93))</f>
        <v>0</v>
      </c>
      <c r="BS93" s="43">
        <f>IF(B93="","",IF(AH93=0,"Add - no costs entered yet",IF(AR93="","Check - no price yet",IF(AV93&lt;0,"Loss - every sale costs you money",IF(AND(AZ93&lt;&gt;"",AZ93&lt;MinimumWage),"Below - pays under minimum wage",IF(AW93&lt;MarginWarning,"Low margin - re-price it",IF(AND(AF93&lt;&gt;"",K93&lt;&gt;"",K93+AC93&gt;AF93),"Check - too heavy for that postage band",IF(AND(BN93&lt;&gt;"",BN93&gt;PriceReviewDays),"Due - price has not been reviewed",IF(AND(BG93&lt;&gt;"",BG93&gt;0.5),"Check - well above the market","OK")))))))) )</f>
        <v>0</v>
      </c>
    </row>
    <row r="94" spans="1:71">
      <c r="A94" s="38">
        <f>IF(B94="","",ProductPrefix&amp;TEXT(ROW()-4,"0000"))</f>
        <v>0</v>
      </c>
      <c r="S94" s="38">
        <f>IF(B94="","",IF(C94&lt;&gt;"",C94,UPPER(LEFT(IF(D94="","GEN",D94),3))&amp;"-"&amp;TEXT(ROW()-4,"000")))</f>
        <v>0</v>
      </c>
      <c r="T94" s="20">
        <f>IF(B94="","",ROUND(SUMIFS('Material Usage'!$M$5:$M$904,'Material Usage'!$A$5:$A$904,A94)+SUMIFS(Crochet!$AD$5:$AD$84,Crochet!$A$5:$A$84,A94)+SUMIFS(Jewelry!$AF$5:$AF$84,Jewelry!$A$5:$A$84,A94)+SUMIFS(Candles!$AF$5:$AF$84,Candles!$A$5:$A$84,A94)+SUMIFS(Clothing!$AB$5:$AB$84,Clothing!$A$5:$A$84,A94)+SUMIFS(Woodworking!$AC$5:$AC$84,Woodworking!$A$5:$A$84,A94)+SUMIFS(Digital!$X$5:$X$84,Digital!$A$5:$A$84,A94),2))</f>
        <v>0</v>
      </c>
      <c r="U94" s="20">
        <f>IF(B94="","",ROUND(SUMIFS(Labor!$O$5:$O$304,Labor!$A$5:$A$304,A94)+SUMIFS(Crochet!$AG$5:$AG$84,Crochet!$A$5:$A$84,A94)+SUMIFS(Jewelry!$AI$5:$AI$84,Jewelry!$A$5:$A$84,A94)+SUMIFS(Candles!$AI$5:$AI$84,Candles!$A$5:$A$84,A94)+SUMIFS(Clothing!$AE$5:$AE$84,Clothing!$A$5:$A$84,A94)+SUMIFS(Woodworking!$AF$5:$AF$84,Woodworking!$A$5:$A$84,A94)+SUMIFS(Digital!$Z$5:$Z$84,Digital!$A$5:$A$84,A94),2))</f>
        <v>0</v>
      </c>
      <c r="V94" s="36">
        <f>IF(B94="","",ROUND(SUMIFS(Labor!$P$5:$P$304,Labor!$A$5:$A$304,A94)+SUMIFS(Crochet!$AE$5:$AE$84,Crochet!$A$5:$A$84,A94)+SUMIFS(Jewelry!$AG$5:$AG$84,Jewelry!$A$5:$A$84,A94)+SUMIFS(Candles!$AG$5:$AG$84,Candles!$A$5:$A$84,A94)+SUMIFS(Clothing!$AC$5:$AC$84,Clothing!$A$5:$A$84,A94)+SUMIFS(Woodworking!$AD$5:$AD$84,Woodworking!$A$5:$A$84,A94)+SUMIFS(Digital!$Y$5:$Y$84,Digital!$A$5:$A$84,A94),1))</f>
        <v>0</v>
      </c>
      <c r="W94" s="41">
        <f>IF(B94="","",IFERROR(INDEX(DiffTimeFactors,MATCH(G94,DiffNames,0)),1))</f>
        <v>0</v>
      </c>
      <c r="X94" s="36">
        <f>IF(B94="","",ROUND(V94*W94,1))</f>
        <v>0</v>
      </c>
      <c r="Y94" s="41">
        <f>IF(B94="","",ROUND(X94/60,3))</f>
        <v>0</v>
      </c>
      <c r="Z94" s="20">
        <f>IF(B94="","",ROUND(U94*W94,2))</f>
        <v>0</v>
      </c>
      <c r="AA94" s="20">
        <f>IF(B94="","",ROUND(SUMIFS(Labor!$Q$5:$Q$304,Labor!$A$5:$A$304,A94)+SUMIFS(Crochet!$AH$5:$AH$84,Crochet!$A$5:$A$84,A94)+SUMIFS(Jewelry!$AJ$5:$AJ$84,Jewelry!$A$5:$A$84,A94)+SUMIFS(Candles!$AJ$5:$AJ$84,Candles!$A$5:$A$84,A94)+SUMIFS(Clothing!$AF$5:$AF$84,Clothing!$A$5:$A$84,A94)+SUMIFS(Woodworking!$AH$5:$AH$84,Woodworking!$A$5:$A$84,A94)+SUMIFS(Digital!$AA$5:$AA$84,Digital!$A$5:$A$84,A94),2))</f>
        <v>0</v>
      </c>
      <c r="AB94" s="20">
        <f>IF(B94="","",ROUND(IF(I94="Budget",PackBudget,IF(I94="Standard",PackStandard,IF(I94="Gift",PackGift,IF(I94="Premium",PackPremium,DefaultPackaging)))),2))</f>
        <v>0</v>
      </c>
      <c r="AC94" s="36">
        <f>IF(B94="","",IF(I94="Budget",PackWeightBudget,IF(I94="Standard",PackWeightStandard,IF(I94="Gift",PackWeightGift,IF(I94="Premium",PackWeightPremium,0)))))</f>
        <v>0</v>
      </c>
      <c r="AD94" s="20">
        <f>IF(B94="","",IFERROR(INDEX(Shipping!$M$5:$M$64,MATCH(J94,Shipping!$L$5:$L$64,0)),DefaultShipping))</f>
        <v>0</v>
      </c>
      <c r="AE94" s="20">
        <f>IF(B94="","",IFERROR(INDEX(Shipping!$F$5:$F$64,MATCH(J94,Shipping!$L$5:$L$64,0)),0))</f>
        <v>0</v>
      </c>
      <c r="AF94" s="36">
        <f>IF(B94="","",IFERROR(INDEX(Shipping!$C$5:$C$64,MATCH(J94,Shipping!$L$5:$L$64,0)),""))</f>
        <v>0</v>
      </c>
      <c r="AG94" s="20">
        <f>IF(B94="","",ROUND(MAX(0,AD94-AE94),2))</f>
        <v>0</v>
      </c>
      <c r="AH94" s="20">
        <f>IF(B94="","",ROUND(T94+Z94+AA94+AB94+AG94,2))</f>
        <v>0</v>
      </c>
      <c r="AI94" s="33">
        <f>IF(B94="","",IFERROR(INDEX(Channels!$S$5:$S$18,MATCH(IF(H94="",DefaultChannel,H94),Channels!$A$5:$A$18,0)),0))</f>
        <v>0</v>
      </c>
      <c r="AJ94" s="42">
        <f>IF(B94="","",IFERROR(INDEX(Channels!$O$5:$O$18,MATCH(IF(H94="",DefaultChannel,H94),Channels!$A$5:$A$18,0)),"No"))</f>
        <v>0</v>
      </c>
      <c r="AK94" s="20">
        <f>IF(B94="","",ROUND(IFERROR(INDEX(Channels!$T$5:$T$18,MATCH(IF(H94="",DefaultChannel,H94),Channels!$A$5:$A$18,0)),0)+IF(AJ94="Yes",AE94*AI94,0),4))</f>
        <v>0</v>
      </c>
      <c r="AL94" s="33">
        <f>IF(B94="","",IF(OverheadMethod="Share of revenue",IF(RevenueTargetMonth&lt;=0,0,OverheadMonthly/RevenueTargetMonth),0))</f>
        <v>0</v>
      </c>
      <c r="AM94" s="20">
        <f>IF(B94="","",IF(OverheadMethod="Per hour worked",ROUND(OverheadPerHour*Y94,2),IF(OR(OverheadMethod="Per unit made",OverheadMethod="Per order"),OverheadPerUnit,0)))</f>
        <v>0</v>
      </c>
      <c r="AN94" s="33">
        <f>IF(B94="","",IF(N94&lt;&gt;"",N94,TargetRetailMargin))</f>
        <v>0</v>
      </c>
      <c r="AO94" s="41">
        <f>IF(B94="","",1-AN94-AI94-AL94)</f>
        <v>0</v>
      </c>
      <c r="AP94" s="20">
        <f>IF(B94="","",IF(AO94&lt;=0,"",(AH94+AM94+AK94)/AO94))</f>
        <v>0</v>
      </c>
      <c r="AQ94" s="20">
        <f>IF(B94="","",IF(AP94="","Check the settings",ROUND(IF(RoundingRule="None",AP94,IF(RoundingRule="Nearest 0.99",MAX(0.99,CEILING(AP94,1)-0.01),IF(RoundingRule="Nearest 0.95",MAX(0.95,CEILING(AP94,1)-0.05),IF(RoundingRule="Nearest 0.50",CEILING(AP94,0.5),IF(RoundingRule="Nearest 1",CEILING(AP94,1),IF(RoundingRule="Nearest 5",CEILING(AP94,5),IF(RoundingRule="Up to whole 1",CEILING(AP94,1),IF(RoundingRule="Up to whole 5",CEILING(AP94,5),ROUND(AP94,2))))))))),2)))</f>
        <v>0</v>
      </c>
      <c r="AR94" s="20">
        <f>IF(B94="","",IF(M94&lt;&gt;"",M94,IF(ISNUMBER(AQ94),AQ94,"")))</f>
        <v>0</v>
      </c>
      <c r="AS94" s="20">
        <f>IF(B94="","",IF(AR94="","",ROUND(AM94+AR94*AL94,2)))</f>
        <v>0</v>
      </c>
      <c r="AT94" s="20">
        <f>IF(B94="","",IF(AR94="","",ROUND(AH94+AS94,2)))</f>
        <v>0</v>
      </c>
      <c r="AU94" s="20">
        <f>IF(B94="","",IF(AR94="","",ROUND(AR94*AI94+AK94,2)))</f>
        <v>0</v>
      </c>
      <c r="AV94" s="20">
        <f>IF(B94="","",IF(AR94="","",ROUND(AR94-AT94-AU94,2)))</f>
        <v>0</v>
      </c>
      <c r="AW94" s="33">
        <f>IF(B94="","",IF(OR(AR94="",AR94=0),"",AV94/AR94))</f>
        <v>0</v>
      </c>
      <c r="AX94" s="33">
        <f>IF(B94="","",IF(OR(AT94="",AT94=0),"",AV94/AT94))</f>
        <v>0</v>
      </c>
      <c r="AY94" s="20">
        <f>IF(B94="","",IF(OR(Y94="",Y94=0,AV94=""),"",ROUND(AV94/Y94,2)))</f>
        <v>0</v>
      </c>
      <c r="AZ94" s="20">
        <f>IF(B94="","",IF(OR(Y94="",Y94=0,AV94=""),"",ROUND((AV94+Z94)/Y94,2)))</f>
        <v>0</v>
      </c>
      <c r="BA94" s="20">
        <f>IF(B94="","",IF(1-AI94-AL94&lt;=0,"",ROUND((AH94+AM94+AK94)/(1-AI94-AL94),2)))</f>
        <v>0</v>
      </c>
      <c r="BB94" s="20">
        <f>IF(B94="","",IF(AT94="","",ROUND(AT94*2,2)))</f>
        <v>0</v>
      </c>
      <c r="BC94" s="20">
        <f>IF(B94="","",IF(AR94="","",ROUND(AR94*(1-WholesaleDiscount),2)))</f>
        <v>0</v>
      </c>
      <c r="BD94" s="20">
        <f>IF(B94="","",IF(BC94="","",ROUND(BC94-AH94-AM94,2)))</f>
        <v>0</v>
      </c>
      <c r="BE94" s="33">
        <f>IF(B94="","",IF(OR(BC94="",BC94=0),"",BD94/BC94))</f>
        <v>0</v>
      </c>
      <c r="BF94" s="20">
        <f>IF(B94="","",IFERROR(ROUND(AVERAGEIFS(Competitors!$F$5:$F$154,Competitors!$A$5:$A$154,A94),2),""))</f>
        <v>0</v>
      </c>
      <c r="BG94" s="33">
        <f>IF(B94="","",IF(OR(BF94="",BF94=0,AR94=""),"",AR94/BF94-1))</f>
        <v>0</v>
      </c>
      <c r="BH94" s="32">
        <f>IF(B94="","",SUMIFS(Sales!$D$5:$D$804,Sales!$C$5:$C$804,A94))</f>
        <v>0</v>
      </c>
      <c r="BI94" s="20">
        <f>IF(B94="","",ROUND(SUMIFS(Sales!$V$5:$V$804,Sales!$C$5:$C$804,A94),2))</f>
        <v>0</v>
      </c>
      <c r="BJ94" s="20">
        <f>IF(B94="","",ROUND(SUMIFS(Sales!$AG$5:$AG$804,Sales!$C$5:$C$804,A94),2))</f>
        <v>0</v>
      </c>
      <c r="BK94" s="33">
        <f>IF(B94="","",IF(OR(BI94="",BI94=0),"",BJ94/BI94))</f>
        <v>0</v>
      </c>
      <c r="BL94" s="17">
        <f>IF(B94="","",IF(SUMPRODUCT(MAX((Sales!$C$5:$C$804=A94)*Sales!$B$5:$B$804))=0,"",SUMPRODUCT(MAX((Sales!$C$5:$C$804=A94)*Sales!$B$5:$B$804))))</f>
        <v>0</v>
      </c>
      <c r="BM94" s="17">
        <f>IF(B94="","",IF(SUMPRODUCT(MAX(('Price History'!$B$5:$B$304=A94)*'Price History'!$A$5:$A$304))=0,IF(P94="","",P94),SUMPRODUCT(MAX(('Price History'!$B$5:$B$304=A94)*'Price History'!$A$5:$A$304))))</f>
        <v>0</v>
      </c>
      <c r="BN94" s="32">
        <f>IF(B94="","",IF(BM94="","",TodayDate-BM94))</f>
        <v>0</v>
      </c>
      <c r="BO94" s="32">
        <f>IF(B94="","",COUNTIFS($AV$5:$AV$304,"&gt;"&amp;AV94)+COUNTIFS($AV$5:AV94,AV94))</f>
        <v>0</v>
      </c>
      <c r="BP94" s="32">
        <f>IF(B94="","",COUNTIFS($AW$5:$AW$304,"&gt;"&amp;AW94)+COUNTIFS($AW$5:AW94,AW94))</f>
        <v>0</v>
      </c>
      <c r="BQ94" s="32">
        <f>IF(B94="","",COUNTIFS($BI$5:$BI$304,"&gt;"&amp;BI94)+COUNTIFS($BI$5:BI94,BI94))</f>
        <v>0</v>
      </c>
      <c r="BR94" s="32">
        <f>IF(B94="","",COUNTIFS($AY$5:$AY$304,"&gt;"&amp;AY94)+COUNTIFS($AY$5:AY94,AY94))</f>
        <v>0</v>
      </c>
      <c r="BS94" s="43">
        <f>IF(B94="","",IF(AH94=0,"Add - no costs entered yet",IF(AR94="","Check - no price yet",IF(AV94&lt;0,"Loss - every sale costs you money",IF(AND(AZ94&lt;&gt;"",AZ94&lt;MinimumWage),"Below - pays under minimum wage",IF(AW94&lt;MarginWarning,"Low margin - re-price it",IF(AND(AF94&lt;&gt;"",K94&lt;&gt;"",K94+AC94&gt;AF94),"Check - too heavy for that postage band",IF(AND(BN94&lt;&gt;"",BN94&gt;PriceReviewDays),"Due - price has not been reviewed",IF(AND(BG94&lt;&gt;"",BG94&gt;0.5),"Check - well above the market","OK")))))))) )</f>
        <v>0</v>
      </c>
    </row>
    <row r="95" spans="1:71">
      <c r="A95" s="38">
        <f>IF(B95="","",ProductPrefix&amp;TEXT(ROW()-4,"0000"))</f>
        <v>0</v>
      </c>
      <c r="S95" s="38">
        <f>IF(B95="","",IF(C95&lt;&gt;"",C95,UPPER(LEFT(IF(D95="","GEN",D95),3))&amp;"-"&amp;TEXT(ROW()-4,"000")))</f>
        <v>0</v>
      </c>
      <c r="T95" s="20">
        <f>IF(B95="","",ROUND(SUMIFS('Material Usage'!$M$5:$M$904,'Material Usage'!$A$5:$A$904,A95)+SUMIFS(Crochet!$AD$5:$AD$84,Crochet!$A$5:$A$84,A95)+SUMIFS(Jewelry!$AF$5:$AF$84,Jewelry!$A$5:$A$84,A95)+SUMIFS(Candles!$AF$5:$AF$84,Candles!$A$5:$A$84,A95)+SUMIFS(Clothing!$AB$5:$AB$84,Clothing!$A$5:$A$84,A95)+SUMIFS(Woodworking!$AC$5:$AC$84,Woodworking!$A$5:$A$84,A95)+SUMIFS(Digital!$X$5:$X$84,Digital!$A$5:$A$84,A95),2))</f>
        <v>0</v>
      </c>
      <c r="U95" s="20">
        <f>IF(B95="","",ROUND(SUMIFS(Labor!$O$5:$O$304,Labor!$A$5:$A$304,A95)+SUMIFS(Crochet!$AG$5:$AG$84,Crochet!$A$5:$A$84,A95)+SUMIFS(Jewelry!$AI$5:$AI$84,Jewelry!$A$5:$A$84,A95)+SUMIFS(Candles!$AI$5:$AI$84,Candles!$A$5:$A$84,A95)+SUMIFS(Clothing!$AE$5:$AE$84,Clothing!$A$5:$A$84,A95)+SUMIFS(Woodworking!$AF$5:$AF$84,Woodworking!$A$5:$A$84,A95)+SUMIFS(Digital!$Z$5:$Z$84,Digital!$A$5:$A$84,A95),2))</f>
        <v>0</v>
      </c>
      <c r="V95" s="36">
        <f>IF(B95="","",ROUND(SUMIFS(Labor!$P$5:$P$304,Labor!$A$5:$A$304,A95)+SUMIFS(Crochet!$AE$5:$AE$84,Crochet!$A$5:$A$84,A95)+SUMIFS(Jewelry!$AG$5:$AG$84,Jewelry!$A$5:$A$84,A95)+SUMIFS(Candles!$AG$5:$AG$84,Candles!$A$5:$A$84,A95)+SUMIFS(Clothing!$AC$5:$AC$84,Clothing!$A$5:$A$84,A95)+SUMIFS(Woodworking!$AD$5:$AD$84,Woodworking!$A$5:$A$84,A95)+SUMIFS(Digital!$Y$5:$Y$84,Digital!$A$5:$A$84,A95),1))</f>
        <v>0</v>
      </c>
      <c r="W95" s="41">
        <f>IF(B95="","",IFERROR(INDEX(DiffTimeFactors,MATCH(G95,DiffNames,0)),1))</f>
        <v>0</v>
      </c>
      <c r="X95" s="36">
        <f>IF(B95="","",ROUND(V95*W95,1))</f>
        <v>0</v>
      </c>
      <c r="Y95" s="41">
        <f>IF(B95="","",ROUND(X95/60,3))</f>
        <v>0</v>
      </c>
      <c r="Z95" s="20">
        <f>IF(B95="","",ROUND(U95*W95,2))</f>
        <v>0</v>
      </c>
      <c r="AA95" s="20">
        <f>IF(B95="","",ROUND(SUMIFS(Labor!$Q$5:$Q$304,Labor!$A$5:$A$304,A95)+SUMIFS(Crochet!$AH$5:$AH$84,Crochet!$A$5:$A$84,A95)+SUMIFS(Jewelry!$AJ$5:$AJ$84,Jewelry!$A$5:$A$84,A95)+SUMIFS(Candles!$AJ$5:$AJ$84,Candles!$A$5:$A$84,A95)+SUMIFS(Clothing!$AF$5:$AF$84,Clothing!$A$5:$A$84,A95)+SUMIFS(Woodworking!$AH$5:$AH$84,Woodworking!$A$5:$A$84,A95)+SUMIFS(Digital!$AA$5:$AA$84,Digital!$A$5:$A$84,A95),2))</f>
        <v>0</v>
      </c>
      <c r="AB95" s="20">
        <f>IF(B95="","",ROUND(IF(I95="Budget",PackBudget,IF(I95="Standard",PackStandard,IF(I95="Gift",PackGift,IF(I95="Premium",PackPremium,DefaultPackaging)))),2))</f>
        <v>0</v>
      </c>
      <c r="AC95" s="36">
        <f>IF(B95="","",IF(I95="Budget",PackWeightBudget,IF(I95="Standard",PackWeightStandard,IF(I95="Gift",PackWeightGift,IF(I95="Premium",PackWeightPremium,0)))))</f>
        <v>0</v>
      </c>
      <c r="AD95" s="20">
        <f>IF(B95="","",IFERROR(INDEX(Shipping!$M$5:$M$64,MATCH(J95,Shipping!$L$5:$L$64,0)),DefaultShipping))</f>
        <v>0</v>
      </c>
      <c r="AE95" s="20">
        <f>IF(B95="","",IFERROR(INDEX(Shipping!$F$5:$F$64,MATCH(J95,Shipping!$L$5:$L$64,0)),0))</f>
        <v>0</v>
      </c>
      <c r="AF95" s="36">
        <f>IF(B95="","",IFERROR(INDEX(Shipping!$C$5:$C$64,MATCH(J95,Shipping!$L$5:$L$64,0)),""))</f>
        <v>0</v>
      </c>
      <c r="AG95" s="20">
        <f>IF(B95="","",ROUND(MAX(0,AD95-AE95),2))</f>
        <v>0</v>
      </c>
      <c r="AH95" s="20">
        <f>IF(B95="","",ROUND(T95+Z95+AA95+AB95+AG95,2))</f>
        <v>0</v>
      </c>
      <c r="AI95" s="33">
        <f>IF(B95="","",IFERROR(INDEX(Channels!$S$5:$S$18,MATCH(IF(H95="",DefaultChannel,H95),Channels!$A$5:$A$18,0)),0))</f>
        <v>0</v>
      </c>
      <c r="AJ95" s="42">
        <f>IF(B95="","",IFERROR(INDEX(Channels!$O$5:$O$18,MATCH(IF(H95="",DefaultChannel,H95),Channels!$A$5:$A$18,0)),"No"))</f>
        <v>0</v>
      </c>
      <c r="AK95" s="20">
        <f>IF(B95="","",ROUND(IFERROR(INDEX(Channels!$T$5:$T$18,MATCH(IF(H95="",DefaultChannel,H95),Channels!$A$5:$A$18,0)),0)+IF(AJ95="Yes",AE95*AI95,0),4))</f>
        <v>0</v>
      </c>
      <c r="AL95" s="33">
        <f>IF(B95="","",IF(OverheadMethod="Share of revenue",IF(RevenueTargetMonth&lt;=0,0,OverheadMonthly/RevenueTargetMonth),0))</f>
        <v>0</v>
      </c>
      <c r="AM95" s="20">
        <f>IF(B95="","",IF(OverheadMethod="Per hour worked",ROUND(OverheadPerHour*Y95,2),IF(OR(OverheadMethod="Per unit made",OverheadMethod="Per order"),OverheadPerUnit,0)))</f>
        <v>0</v>
      </c>
      <c r="AN95" s="33">
        <f>IF(B95="","",IF(N95&lt;&gt;"",N95,TargetRetailMargin))</f>
        <v>0</v>
      </c>
      <c r="AO95" s="41">
        <f>IF(B95="","",1-AN95-AI95-AL95)</f>
        <v>0</v>
      </c>
      <c r="AP95" s="20">
        <f>IF(B95="","",IF(AO95&lt;=0,"",(AH95+AM95+AK95)/AO95))</f>
        <v>0</v>
      </c>
      <c r="AQ95" s="20">
        <f>IF(B95="","",IF(AP95="","Check the settings",ROUND(IF(RoundingRule="None",AP95,IF(RoundingRule="Nearest 0.99",MAX(0.99,CEILING(AP95,1)-0.01),IF(RoundingRule="Nearest 0.95",MAX(0.95,CEILING(AP95,1)-0.05),IF(RoundingRule="Nearest 0.50",CEILING(AP95,0.5),IF(RoundingRule="Nearest 1",CEILING(AP95,1),IF(RoundingRule="Nearest 5",CEILING(AP95,5),IF(RoundingRule="Up to whole 1",CEILING(AP95,1),IF(RoundingRule="Up to whole 5",CEILING(AP95,5),ROUND(AP95,2))))))))),2)))</f>
        <v>0</v>
      </c>
      <c r="AR95" s="20">
        <f>IF(B95="","",IF(M95&lt;&gt;"",M95,IF(ISNUMBER(AQ95),AQ95,"")))</f>
        <v>0</v>
      </c>
      <c r="AS95" s="20">
        <f>IF(B95="","",IF(AR95="","",ROUND(AM95+AR95*AL95,2)))</f>
        <v>0</v>
      </c>
      <c r="AT95" s="20">
        <f>IF(B95="","",IF(AR95="","",ROUND(AH95+AS95,2)))</f>
        <v>0</v>
      </c>
      <c r="AU95" s="20">
        <f>IF(B95="","",IF(AR95="","",ROUND(AR95*AI95+AK95,2)))</f>
        <v>0</v>
      </c>
      <c r="AV95" s="20">
        <f>IF(B95="","",IF(AR95="","",ROUND(AR95-AT95-AU95,2)))</f>
        <v>0</v>
      </c>
      <c r="AW95" s="33">
        <f>IF(B95="","",IF(OR(AR95="",AR95=0),"",AV95/AR95))</f>
        <v>0</v>
      </c>
      <c r="AX95" s="33">
        <f>IF(B95="","",IF(OR(AT95="",AT95=0),"",AV95/AT95))</f>
        <v>0</v>
      </c>
      <c r="AY95" s="20">
        <f>IF(B95="","",IF(OR(Y95="",Y95=0,AV95=""),"",ROUND(AV95/Y95,2)))</f>
        <v>0</v>
      </c>
      <c r="AZ95" s="20">
        <f>IF(B95="","",IF(OR(Y95="",Y95=0,AV95=""),"",ROUND((AV95+Z95)/Y95,2)))</f>
        <v>0</v>
      </c>
      <c r="BA95" s="20">
        <f>IF(B95="","",IF(1-AI95-AL95&lt;=0,"",ROUND((AH95+AM95+AK95)/(1-AI95-AL95),2)))</f>
        <v>0</v>
      </c>
      <c r="BB95" s="20">
        <f>IF(B95="","",IF(AT95="","",ROUND(AT95*2,2)))</f>
        <v>0</v>
      </c>
      <c r="BC95" s="20">
        <f>IF(B95="","",IF(AR95="","",ROUND(AR95*(1-WholesaleDiscount),2)))</f>
        <v>0</v>
      </c>
      <c r="BD95" s="20">
        <f>IF(B95="","",IF(BC95="","",ROUND(BC95-AH95-AM95,2)))</f>
        <v>0</v>
      </c>
      <c r="BE95" s="33">
        <f>IF(B95="","",IF(OR(BC95="",BC95=0),"",BD95/BC95))</f>
        <v>0</v>
      </c>
      <c r="BF95" s="20">
        <f>IF(B95="","",IFERROR(ROUND(AVERAGEIFS(Competitors!$F$5:$F$154,Competitors!$A$5:$A$154,A95),2),""))</f>
        <v>0</v>
      </c>
      <c r="BG95" s="33">
        <f>IF(B95="","",IF(OR(BF95="",BF95=0,AR95=""),"",AR95/BF95-1))</f>
        <v>0</v>
      </c>
      <c r="BH95" s="32">
        <f>IF(B95="","",SUMIFS(Sales!$D$5:$D$804,Sales!$C$5:$C$804,A95))</f>
        <v>0</v>
      </c>
      <c r="BI95" s="20">
        <f>IF(B95="","",ROUND(SUMIFS(Sales!$V$5:$V$804,Sales!$C$5:$C$804,A95),2))</f>
        <v>0</v>
      </c>
      <c r="BJ95" s="20">
        <f>IF(B95="","",ROUND(SUMIFS(Sales!$AG$5:$AG$804,Sales!$C$5:$C$804,A95),2))</f>
        <v>0</v>
      </c>
      <c r="BK95" s="33">
        <f>IF(B95="","",IF(OR(BI95="",BI95=0),"",BJ95/BI95))</f>
        <v>0</v>
      </c>
      <c r="BL95" s="17">
        <f>IF(B95="","",IF(SUMPRODUCT(MAX((Sales!$C$5:$C$804=A95)*Sales!$B$5:$B$804))=0,"",SUMPRODUCT(MAX((Sales!$C$5:$C$804=A95)*Sales!$B$5:$B$804))))</f>
        <v>0</v>
      </c>
      <c r="BM95" s="17">
        <f>IF(B95="","",IF(SUMPRODUCT(MAX(('Price History'!$B$5:$B$304=A95)*'Price History'!$A$5:$A$304))=0,IF(P95="","",P95),SUMPRODUCT(MAX(('Price History'!$B$5:$B$304=A95)*'Price History'!$A$5:$A$304))))</f>
        <v>0</v>
      </c>
      <c r="BN95" s="32">
        <f>IF(B95="","",IF(BM95="","",TodayDate-BM95))</f>
        <v>0</v>
      </c>
      <c r="BO95" s="32">
        <f>IF(B95="","",COUNTIFS($AV$5:$AV$304,"&gt;"&amp;AV95)+COUNTIFS($AV$5:AV95,AV95))</f>
        <v>0</v>
      </c>
      <c r="BP95" s="32">
        <f>IF(B95="","",COUNTIFS($AW$5:$AW$304,"&gt;"&amp;AW95)+COUNTIFS($AW$5:AW95,AW95))</f>
        <v>0</v>
      </c>
      <c r="BQ95" s="32">
        <f>IF(B95="","",COUNTIFS($BI$5:$BI$304,"&gt;"&amp;BI95)+COUNTIFS($BI$5:BI95,BI95))</f>
        <v>0</v>
      </c>
      <c r="BR95" s="32">
        <f>IF(B95="","",COUNTIFS($AY$5:$AY$304,"&gt;"&amp;AY95)+COUNTIFS($AY$5:AY95,AY95))</f>
        <v>0</v>
      </c>
      <c r="BS95" s="43">
        <f>IF(B95="","",IF(AH95=0,"Add - no costs entered yet",IF(AR95="","Check - no price yet",IF(AV95&lt;0,"Loss - every sale costs you money",IF(AND(AZ95&lt;&gt;"",AZ95&lt;MinimumWage),"Below - pays under minimum wage",IF(AW95&lt;MarginWarning,"Low margin - re-price it",IF(AND(AF95&lt;&gt;"",K95&lt;&gt;"",K95+AC95&gt;AF95),"Check - too heavy for that postage band",IF(AND(BN95&lt;&gt;"",BN95&gt;PriceReviewDays),"Due - price has not been reviewed",IF(AND(BG95&lt;&gt;"",BG95&gt;0.5),"Check - well above the market","OK")))))))) )</f>
        <v>0</v>
      </c>
    </row>
    <row r="96" spans="1:71">
      <c r="A96" s="38">
        <f>IF(B96="","",ProductPrefix&amp;TEXT(ROW()-4,"0000"))</f>
        <v>0</v>
      </c>
      <c r="S96" s="38">
        <f>IF(B96="","",IF(C96&lt;&gt;"",C96,UPPER(LEFT(IF(D96="","GEN",D96),3))&amp;"-"&amp;TEXT(ROW()-4,"000")))</f>
        <v>0</v>
      </c>
      <c r="T96" s="20">
        <f>IF(B96="","",ROUND(SUMIFS('Material Usage'!$M$5:$M$904,'Material Usage'!$A$5:$A$904,A96)+SUMIFS(Crochet!$AD$5:$AD$84,Crochet!$A$5:$A$84,A96)+SUMIFS(Jewelry!$AF$5:$AF$84,Jewelry!$A$5:$A$84,A96)+SUMIFS(Candles!$AF$5:$AF$84,Candles!$A$5:$A$84,A96)+SUMIFS(Clothing!$AB$5:$AB$84,Clothing!$A$5:$A$84,A96)+SUMIFS(Woodworking!$AC$5:$AC$84,Woodworking!$A$5:$A$84,A96)+SUMIFS(Digital!$X$5:$X$84,Digital!$A$5:$A$84,A96),2))</f>
        <v>0</v>
      </c>
      <c r="U96" s="20">
        <f>IF(B96="","",ROUND(SUMIFS(Labor!$O$5:$O$304,Labor!$A$5:$A$304,A96)+SUMIFS(Crochet!$AG$5:$AG$84,Crochet!$A$5:$A$84,A96)+SUMIFS(Jewelry!$AI$5:$AI$84,Jewelry!$A$5:$A$84,A96)+SUMIFS(Candles!$AI$5:$AI$84,Candles!$A$5:$A$84,A96)+SUMIFS(Clothing!$AE$5:$AE$84,Clothing!$A$5:$A$84,A96)+SUMIFS(Woodworking!$AF$5:$AF$84,Woodworking!$A$5:$A$84,A96)+SUMIFS(Digital!$Z$5:$Z$84,Digital!$A$5:$A$84,A96),2))</f>
        <v>0</v>
      </c>
      <c r="V96" s="36">
        <f>IF(B96="","",ROUND(SUMIFS(Labor!$P$5:$P$304,Labor!$A$5:$A$304,A96)+SUMIFS(Crochet!$AE$5:$AE$84,Crochet!$A$5:$A$84,A96)+SUMIFS(Jewelry!$AG$5:$AG$84,Jewelry!$A$5:$A$84,A96)+SUMIFS(Candles!$AG$5:$AG$84,Candles!$A$5:$A$84,A96)+SUMIFS(Clothing!$AC$5:$AC$84,Clothing!$A$5:$A$84,A96)+SUMIFS(Woodworking!$AD$5:$AD$84,Woodworking!$A$5:$A$84,A96)+SUMIFS(Digital!$Y$5:$Y$84,Digital!$A$5:$A$84,A96),1))</f>
        <v>0</v>
      </c>
      <c r="W96" s="41">
        <f>IF(B96="","",IFERROR(INDEX(DiffTimeFactors,MATCH(G96,DiffNames,0)),1))</f>
        <v>0</v>
      </c>
      <c r="X96" s="36">
        <f>IF(B96="","",ROUND(V96*W96,1))</f>
        <v>0</v>
      </c>
      <c r="Y96" s="41">
        <f>IF(B96="","",ROUND(X96/60,3))</f>
        <v>0</v>
      </c>
      <c r="Z96" s="20">
        <f>IF(B96="","",ROUND(U96*W96,2))</f>
        <v>0</v>
      </c>
      <c r="AA96" s="20">
        <f>IF(B96="","",ROUND(SUMIFS(Labor!$Q$5:$Q$304,Labor!$A$5:$A$304,A96)+SUMIFS(Crochet!$AH$5:$AH$84,Crochet!$A$5:$A$84,A96)+SUMIFS(Jewelry!$AJ$5:$AJ$84,Jewelry!$A$5:$A$84,A96)+SUMIFS(Candles!$AJ$5:$AJ$84,Candles!$A$5:$A$84,A96)+SUMIFS(Clothing!$AF$5:$AF$84,Clothing!$A$5:$A$84,A96)+SUMIFS(Woodworking!$AH$5:$AH$84,Woodworking!$A$5:$A$84,A96)+SUMIFS(Digital!$AA$5:$AA$84,Digital!$A$5:$A$84,A96),2))</f>
        <v>0</v>
      </c>
      <c r="AB96" s="20">
        <f>IF(B96="","",ROUND(IF(I96="Budget",PackBudget,IF(I96="Standard",PackStandard,IF(I96="Gift",PackGift,IF(I96="Premium",PackPremium,DefaultPackaging)))),2))</f>
        <v>0</v>
      </c>
      <c r="AC96" s="36">
        <f>IF(B96="","",IF(I96="Budget",PackWeightBudget,IF(I96="Standard",PackWeightStandard,IF(I96="Gift",PackWeightGift,IF(I96="Premium",PackWeightPremium,0)))))</f>
        <v>0</v>
      </c>
      <c r="AD96" s="20">
        <f>IF(B96="","",IFERROR(INDEX(Shipping!$M$5:$M$64,MATCH(J96,Shipping!$L$5:$L$64,0)),DefaultShipping))</f>
        <v>0</v>
      </c>
      <c r="AE96" s="20">
        <f>IF(B96="","",IFERROR(INDEX(Shipping!$F$5:$F$64,MATCH(J96,Shipping!$L$5:$L$64,0)),0))</f>
        <v>0</v>
      </c>
      <c r="AF96" s="36">
        <f>IF(B96="","",IFERROR(INDEX(Shipping!$C$5:$C$64,MATCH(J96,Shipping!$L$5:$L$64,0)),""))</f>
        <v>0</v>
      </c>
      <c r="AG96" s="20">
        <f>IF(B96="","",ROUND(MAX(0,AD96-AE96),2))</f>
        <v>0</v>
      </c>
      <c r="AH96" s="20">
        <f>IF(B96="","",ROUND(T96+Z96+AA96+AB96+AG96,2))</f>
        <v>0</v>
      </c>
      <c r="AI96" s="33">
        <f>IF(B96="","",IFERROR(INDEX(Channels!$S$5:$S$18,MATCH(IF(H96="",DefaultChannel,H96),Channels!$A$5:$A$18,0)),0))</f>
        <v>0</v>
      </c>
      <c r="AJ96" s="42">
        <f>IF(B96="","",IFERROR(INDEX(Channels!$O$5:$O$18,MATCH(IF(H96="",DefaultChannel,H96),Channels!$A$5:$A$18,0)),"No"))</f>
        <v>0</v>
      </c>
      <c r="AK96" s="20">
        <f>IF(B96="","",ROUND(IFERROR(INDEX(Channels!$T$5:$T$18,MATCH(IF(H96="",DefaultChannel,H96),Channels!$A$5:$A$18,0)),0)+IF(AJ96="Yes",AE96*AI96,0),4))</f>
        <v>0</v>
      </c>
      <c r="AL96" s="33">
        <f>IF(B96="","",IF(OverheadMethod="Share of revenue",IF(RevenueTargetMonth&lt;=0,0,OverheadMonthly/RevenueTargetMonth),0))</f>
        <v>0</v>
      </c>
      <c r="AM96" s="20">
        <f>IF(B96="","",IF(OverheadMethod="Per hour worked",ROUND(OverheadPerHour*Y96,2),IF(OR(OverheadMethod="Per unit made",OverheadMethod="Per order"),OverheadPerUnit,0)))</f>
        <v>0</v>
      </c>
      <c r="AN96" s="33">
        <f>IF(B96="","",IF(N96&lt;&gt;"",N96,TargetRetailMargin))</f>
        <v>0</v>
      </c>
      <c r="AO96" s="41">
        <f>IF(B96="","",1-AN96-AI96-AL96)</f>
        <v>0</v>
      </c>
      <c r="AP96" s="20">
        <f>IF(B96="","",IF(AO96&lt;=0,"",(AH96+AM96+AK96)/AO96))</f>
        <v>0</v>
      </c>
      <c r="AQ96" s="20">
        <f>IF(B96="","",IF(AP96="","Check the settings",ROUND(IF(RoundingRule="None",AP96,IF(RoundingRule="Nearest 0.99",MAX(0.99,CEILING(AP96,1)-0.01),IF(RoundingRule="Nearest 0.95",MAX(0.95,CEILING(AP96,1)-0.05),IF(RoundingRule="Nearest 0.50",CEILING(AP96,0.5),IF(RoundingRule="Nearest 1",CEILING(AP96,1),IF(RoundingRule="Nearest 5",CEILING(AP96,5),IF(RoundingRule="Up to whole 1",CEILING(AP96,1),IF(RoundingRule="Up to whole 5",CEILING(AP96,5),ROUND(AP96,2))))))))),2)))</f>
        <v>0</v>
      </c>
      <c r="AR96" s="20">
        <f>IF(B96="","",IF(M96&lt;&gt;"",M96,IF(ISNUMBER(AQ96),AQ96,"")))</f>
        <v>0</v>
      </c>
      <c r="AS96" s="20">
        <f>IF(B96="","",IF(AR96="","",ROUND(AM96+AR96*AL96,2)))</f>
        <v>0</v>
      </c>
      <c r="AT96" s="20">
        <f>IF(B96="","",IF(AR96="","",ROUND(AH96+AS96,2)))</f>
        <v>0</v>
      </c>
      <c r="AU96" s="20">
        <f>IF(B96="","",IF(AR96="","",ROUND(AR96*AI96+AK96,2)))</f>
        <v>0</v>
      </c>
      <c r="AV96" s="20">
        <f>IF(B96="","",IF(AR96="","",ROUND(AR96-AT96-AU96,2)))</f>
        <v>0</v>
      </c>
      <c r="AW96" s="33">
        <f>IF(B96="","",IF(OR(AR96="",AR96=0),"",AV96/AR96))</f>
        <v>0</v>
      </c>
      <c r="AX96" s="33">
        <f>IF(B96="","",IF(OR(AT96="",AT96=0),"",AV96/AT96))</f>
        <v>0</v>
      </c>
      <c r="AY96" s="20">
        <f>IF(B96="","",IF(OR(Y96="",Y96=0,AV96=""),"",ROUND(AV96/Y96,2)))</f>
        <v>0</v>
      </c>
      <c r="AZ96" s="20">
        <f>IF(B96="","",IF(OR(Y96="",Y96=0,AV96=""),"",ROUND((AV96+Z96)/Y96,2)))</f>
        <v>0</v>
      </c>
      <c r="BA96" s="20">
        <f>IF(B96="","",IF(1-AI96-AL96&lt;=0,"",ROUND((AH96+AM96+AK96)/(1-AI96-AL96),2)))</f>
        <v>0</v>
      </c>
      <c r="BB96" s="20">
        <f>IF(B96="","",IF(AT96="","",ROUND(AT96*2,2)))</f>
        <v>0</v>
      </c>
      <c r="BC96" s="20">
        <f>IF(B96="","",IF(AR96="","",ROUND(AR96*(1-WholesaleDiscount),2)))</f>
        <v>0</v>
      </c>
      <c r="BD96" s="20">
        <f>IF(B96="","",IF(BC96="","",ROUND(BC96-AH96-AM96,2)))</f>
        <v>0</v>
      </c>
      <c r="BE96" s="33">
        <f>IF(B96="","",IF(OR(BC96="",BC96=0),"",BD96/BC96))</f>
        <v>0</v>
      </c>
      <c r="BF96" s="20">
        <f>IF(B96="","",IFERROR(ROUND(AVERAGEIFS(Competitors!$F$5:$F$154,Competitors!$A$5:$A$154,A96),2),""))</f>
        <v>0</v>
      </c>
      <c r="BG96" s="33">
        <f>IF(B96="","",IF(OR(BF96="",BF96=0,AR96=""),"",AR96/BF96-1))</f>
        <v>0</v>
      </c>
      <c r="BH96" s="32">
        <f>IF(B96="","",SUMIFS(Sales!$D$5:$D$804,Sales!$C$5:$C$804,A96))</f>
        <v>0</v>
      </c>
      <c r="BI96" s="20">
        <f>IF(B96="","",ROUND(SUMIFS(Sales!$V$5:$V$804,Sales!$C$5:$C$804,A96),2))</f>
        <v>0</v>
      </c>
      <c r="BJ96" s="20">
        <f>IF(B96="","",ROUND(SUMIFS(Sales!$AG$5:$AG$804,Sales!$C$5:$C$804,A96),2))</f>
        <v>0</v>
      </c>
      <c r="BK96" s="33">
        <f>IF(B96="","",IF(OR(BI96="",BI96=0),"",BJ96/BI96))</f>
        <v>0</v>
      </c>
      <c r="BL96" s="17">
        <f>IF(B96="","",IF(SUMPRODUCT(MAX((Sales!$C$5:$C$804=A96)*Sales!$B$5:$B$804))=0,"",SUMPRODUCT(MAX((Sales!$C$5:$C$804=A96)*Sales!$B$5:$B$804))))</f>
        <v>0</v>
      </c>
      <c r="BM96" s="17">
        <f>IF(B96="","",IF(SUMPRODUCT(MAX(('Price History'!$B$5:$B$304=A96)*'Price History'!$A$5:$A$304))=0,IF(P96="","",P96),SUMPRODUCT(MAX(('Price History'!$B$5:$B$304=A96)*'Price History'!$A$5:$A$304))))</f>
        <v>0</v>
      </c>
      <c r="BN96" s="32">
        <f>IF(B96="","",IF(BM96="","",TodayDate-BM96))</f>
        <v>0</v>
      </c>
      <c r="BO96" s="32">
        <f>IF(B96="","",COUNTIFS($AV$5:$AV$304,"&gt;"&amp;AV96)+COUNTIFS($AV$5:AV96,AV96))</f>
        <v>0</v>
      </c>
      <c r="BP96" s="32">
        <f>IF(B96="","",COUNTIFS($AW$5:$AW$304,"&gt;"&amp;AW96)+COUNTIFS($AW$5:AW96,AW96))</f>
        <v>0</v>
      </c>
      <c r="BQ96" s="32">
        <f>IF(B96="","",COUNTIFS($BI$5:$BI$304,"&gt;"&amp;BI96)+COUNTIFS($BI$5:BI96,BI96))</f>
        <v>0</v>
      </c>
      <c r="BR96" s="32">
        <f>IF(B96="","",COUNTIFS($AY$5:$AY$304,"&gt;"&amp;AY96)+COUNTIFS($AY$5:AY96,AY96))</f>
        <v>0</v>
      </c>
      <c r="BS96" s="43">
        <f>IF(B96="","",IF(AH96=0,"Add - no costs entered yet",IF(AR96="","Check - no price yet",IF(AV96&lt;0,"Loss - every sale costs you money",IF(AND(AZ96&lt;&gt;"",AZ96&lt;MinimumWage),"Below - pays under minimum wage",IF(AW96&lt;MarginWarning,"Low margin - re-price it",IF(AND(AF96&lt;&gt;"",K96&lt;&gt;"",K96+AC96&gt;AF96),"Check - too heavy for that postage band",IF(AND(BN96&lt;&gt;"",BN96&gt;PriceReviewDays),"Due - price has not been reviewed",IF(AND(BG96&lt;&gt;"",BG96&gt;0.5),"Check - well above the market","OK")))))))) )</f>
        <v>0</v>
      </c>
    </row>
    <row r="97" spans="1:71">
      <c r="A97" s="38">
        <f>IF(B97="","",ProductPrefix&amp;TEXT(ROW()-4,"0000"))</f>
        <v>0</v>
      </c>
      <c r="S97" s="38">
        <f>IF(B97="","",IF(C97&lt;&gt;"",C97,UPPER(LEFT(IF(D97="","GEN",D97),3))&amp;"-"&amp;TEXT(ROW()-4,"000")))</f>
        <v>0</v>
      </c>
      <c r="T97" s="20">
        <f>IF(B97="","",ROUND(SUMIFS('Material Usage'!$M$5:$M$904,'Material Usage'!$A$5:$A$904,A97)+SUMIFS(Crochet!$AD$5:$AD$84,Crochet!$A$5:$A$84,A97)+SUMIFS(Jewelry!$AF$5:$AF$84,Jewelry!$A$5:$A$84,A97)+SUMIFS(Candles!$AF$5:$AF$84,Candles!$A$5:$A$84,A97)+SUMIFS(Clothing!$AB$5:$AB$84,Clothing!$A$5:$A$84,A97)+SUMIFS(Woodworking!$AC$5:$AC$84,Woodworking!$A$5:$A$84,A97)+SUMIFS(Digital!$X$5:$X$84,Digital!$A$5:$A$84,A97),2))</f>
        <v>0</v>
      </c>
      <c r="U97" s="20">
        <f>IF(B97="","",ROUND(SUMIFS(Labor!$O$5:$O$304,Labor!$A$5:$A$304,A97)+SUMIFS(Crochet!$AG$5:$AG$84,Crochet!$A$5:$A$84,A97)+SUMIFS(Jewelry!$AI$5:$AI$84,Jewelry!$A$5:$A$84,A97)+SUMIFS(Candles!$AI$5:$AI$84,Candles!$A$5:$A$84,A97)+SUMIFS(Clothing!$AE$5:$AE$84,Clothing!$A$5:$A$84,A97)+SUMIFS(Woodworking!$AF$5:$AF$84,Woodworking!$A$5:$A$84,A97)+SUMIFS(Digital!$Z$5:$Z$84,Digital!$A$5:$A$84,A97),2))</f>
        <v>0</v>
      </c>
      <c r="V97" s="36">
        <f>IF(B97="","",ROUND(SUMIFS(Labor!$P$5:$P$304,Labor!$A$5:$A$304,A97)+SUMIFS(Crochet!$AE$5:$AE$84,Crochet!$A$5:$A$84,A97)+SUMIFS(Jewelry!$AG$5:$AG$84,Jewelry!$A$5:$A$84,A97)+SUMIFS(Candles!$AG$5:$AG$84,Candles!$A$5:$A$84,A97)+SUMIFS(Clothing!$AC$5:$AC$84,Clothing!$A$5:$A$84,A97)+SUMIFS(Woodworking!$AD$5:$AD$84,Woodworking!$A$5:$A$84,A97)+SUMIFS(Digital!$Y$5:$Y$84,Digital!$A$5:$A$84,A97),1))</f>
        <v>0</v>
      </c>
      <c r="W97" s="41">
        <f>IF(B97="","",IFERROR(INDEX(DiffTimeFactors,MATCH(G97,DiffNames,0)),1))</f>
        <v>0</v>
      </c>
      <c r="X97" s="36">
        <f>IF(B97="","",ROUND(V97*W97,1))</f>
        <v>0</v>
      </c>
      <c r="Y97" s="41">
        <f>IF(B97="","",ROUND(X97/60,3))</f>
        <v>0</v>
      </c>
      <c r="Z97" s="20">
        <f>IF(B97="","",ROUND(U97*W97,2))</f>
        <v>0</v>
      </c>
      <c r="AA97" s="20">
        <f>IF(B97="","",ROUND(SUMIFS(Labor!$Q$5:$Q$304,Labor!$A$5:$A$304,A97)+SUMIFS(Crochet!$AH$5:$AH$84,Crochet!$A$5:$A$84,A97)+SUMIFS(Jewelry!$AJ$5:$AJ$84,Jewelry!$A$5:$A$84,A97)+SUMIFS(Candles!$AJ$5:$AJ$84,Candles!$A$5:$A$84,A97)+SUMIFS(Clothing!$AF$5:$AF$84,Clothing!$A$5:$A$84,A97)+SUMIFS(Woodworking!$AH$5:$AH$84,Woodworking!$A$5:$A$84,A97)+SUMIFS(Digital!$AA$5:$AA$84,Digital!$A$5:$A$84,A97),2))</f>
        <v>0</v>
      </c>
      <c r="AB97" s="20">
        <f>IF(B97="","",ROUND(IF(I97="Budget",PackBudget,IF(I97="Standard",PackStandard,IF(I97="Gift",PackGift,IF(I97="Premium",PackPremium,DefaultPackaging)))),2))</f>
        <v>0</v>
      </c>
      <c r="AC97" s="36">
        <f>IF(B97="","",IF(I97="Budget",PackWeightBudget,IF(I97="Standard",PackWeightStandard,IF(I97="Gift",PackWeightGift,IF(I97="Premium",PackWeightPremium,0)))))</f>
        <v>0</v>
      </c>
      <c r="AD97" s="20">
        <f>IF(B97="","",IFERROR(INDEX(Shipping!$M$5:$M$64,MATCH(J97,Shipping!$L$5:$L$64,0)),DefaultShipping))</f>
        <v>0</v>
      </c>
      <c r="AE97" s="20">
        <f>IF(B97="","",IFERROR(INDEX(Shipping!$F$5:$F$64,MATCH(J97,Shipping!$L$5:$L$64,0)),0))</f>
        <v>0</v>
      </c>
      <c r="AF97" s="36">
        <f>IF(B97="","",IFERROR(INDEX(Shipping!$C$5:$C$64,MATCH(J97,Shipping!$L$5:$L$64,0)),""))</f>
        <v>0</v>
      </c>
      <c r="AG97" s="20">
        <f>IF(B97="","",ROUND(MAX(0,AD97-AE97),2))</f>
        <v>0</v>
      </c>
      <c r="AH97" s="20">
        <f>IF(B97="","",ROUND(T97+Z97+AA97+AB97+AG97,2))</f>
        <v>0</v>
      </c>
      <c r="AI97" s="33">
        <f>IF(B97="","",IFERROR(INDEX(Channels!$S$5:$S$18,MATCH(IF(H97="",DefaultChannel,H97),Channels!$A$5:$A$18,0)),0))</f>
        <v>0</v>
      </c>
      <c r="AJ97" s="42">
        <f>IF(B97="","",IFERROR(INDEX(Channels!$O$5:$O$18,MATCH(IF(H97="",DefaultChannel,H97),Channels!$A$5:$A$18,0)),"No"))</f>
        <v>0</v>
      </c>
      <c r="AK97" s="20">
        <f>IF(B97="","",ROUND(IFERROR(INDEX(Channels!$T$5:$T$18,MATCH(IF(H97="",DefaultChannel,H97),Channels!$A$5:$A$18,0)),0)+IF(AJ97="Yes",AE97*AI97,0),4))</f>
        <v>0</v>
      </c>
      <c r="AL97" s="33">
        <f>IF(B97="","",IF(OverheadMethod="Share of revenue",IF(RevenueTargetMonth&lt;=0,0,OverheadMonthly/RevenueTargetMonth),0))</f>
        <v>0</v>
      </c>
      <c r="AM97" s="20">
        <f>IF(B97="","",IF(OverheadMethod="Per hour worked",ROUND(OverheadPerHour*Y97,2),IF(OR(OverheadMethod="Per unit made",OverheadMethod="Per order"),OverheadPerUnit,0)))</f>
        <v>0</v>
      </c>
      <c r="AN97" s="33">
        <f>IF(B97="","",IF(N97&lt;&gt;"",N97,TargetRetailMargin))</f>
        <v>0</v>
      </c>
      <c r="AO97" s="41">
        <f>IF(B97="","",1-AN97-AI97-AL97)</f>
        <v>0</v>
      </c>
      <c r="AP97" s="20">
        <f>IF(B97="","",IF(AO97&lt;=0,"",(AH97+AM97+AK97)/AO97))</f>
        <v>0</v>
      </c>
      <c r="AQ97" s="20">
        <f>IF(B97="","",IF(AP97="","Check the settings",ROUND(IF(RoundingRule="None",AP97,IF(RoundingRule="Nearest 0.99",MAX(0.99,CEILING(AP97,1)-0.01),IF(RoundingRule="Nearest 0.95",MAX(0.95,CEILING(AP97,1)-0.05),IF(RoundingRule="Nearest 0.50",CEILING(AP97,0.5),IF(RoundingRule="Nearest 1",CEILING(AP97,1),IF(RoundingRule="Nearest 5",CEILING(AP97,5),IF(RoundingRule="Up to whole 1",CEILING(AP97,1),IF(RoundingRule="Up to whole 5",CEILING(AP97,5),ROUND(AP97,2))))))))),2)))</f>
        <v>0</v>
      </c>
      <c r="AR97" s="20">
        <f>IF(B97="","",IF(M97&lt;&gt;"",M97,IF(ISNUMBER(AQ97),AQ97,"")))</f>
        <v>0</v>
      </c>
      <c r="AS97" s="20">
        <f>IF(B97="","",IF(AR97="","",ROUND(AM97+AR97*AL97,2)))</f>
        <v>0</v>
      </c>
      <c r="AT97" s="20">
        <f>IF(B97="","",IF(AR97="","",ROUND(AH97+AS97,2)))</f>
        <v>0</v>
      </c>
      <c r="AU97" s="20">
        <f>IF(B97="","",IF(AR97="","",ROUND(AR97*AI97+AK97,2)))</f>
        <v>0</v>
      </c>
      <c r="AV97" s="20">
        <f>IF(B97="","",IF(AR97="","",ROUND(AR97-AT97-AU97,2)))</f>
        <v>0</v>
      </c>
      <c r="AW97" s="33">
        <f>IF(B97="","",IF(OR(AR97="",AR97=0),"",AV97/AR97))</f>
        <v>0</v>
      </c>
      <c r="AX97" s="33">
        <f>IF(B97="","",IF(OR(AT97="",AT97=0),"",AV97/AT97))</f>
        <v>0</v>
      </c>
      <c r="AY97" s="20">
        <f>IF(B97="","",IF(OR(Y97="",Y97=0,AV97=""),"",ROUND(AV97/Y97,2)))</f>
        <v>0</v>
      </c>
      <c r="AZ97" s="20">
        <f>IF(B97="","",IF(OR(Y97="",Y97=0,AV97=""),"",ROUND((AV97+Z97)/Y97,2)))</f>
        <v>0</v>
      </c>
      <c r="BA97" s="20">
        <f>IF(B97="","",IF(1-AI97-AL97&lt;=0,"",ROUND((AH97+AM97+AK97)/(1-AI97-AL97),2)))</f>
        <v>0</v>
      </c>
      <c r="BB97" s="20">
        <f>IF(B97="","",IF(AT97="","",ROUND(AT97*2,2)))</f>
        <v>0</v>
      </c>
      <c r="BC97" s="20">
        <f>IF(B97="","",IF(AR97="","",ROUND(AR97*(1-WholesaleDiscount),2)))</f>
        <v>0</v>
      </c>
      <c r="BD97" s="20">
        <f>IF(B97="","",IF(BC97="","",ROUND(BC97-AH97-AM97,2)))</f>
        <v>0</v>
      </c>
      <c r="BE97" s="33">
        <f>IF(B97="","",IF(OR(BC97="",BC97=0),"",BD97/BC97))</f>
        <v>0</v>
      </c>
      <c r="BF97" s="20">
        <f>IF(B97="","",IFERROR(ROUND(AVERAGEIFS(Competitors!$F$5:$F$154,Competitors!$A$5:$A$154,A97),2),""))</f>
        <v>0</v>
      </c>
      <c r="BG97" s="33">
        <f>IF(B97="","",IF(OR(BF97="",BF97=0,AR97=""),"",AR97/BF97-1))</f>
        <v>0</v>
      </c>
      <c r="BH97" s="32">
        <f>IF(B97="","",SUMIFS(Sales!$D$5:$D$804,Sales!$C$5:$C$804,A97))</f>
        <v>0</v>
      </c>
      <c r="BI97" s="20">
        <f>IF(B97="","",ROUND(SUMIFS(Sales!$V$5:$V$804,Sales!$C$5:$C$804,A97),2))</f>
        <v>0</v>
      </c>
      <c r="BJ97" s="20">
        <f>IF(B97="","",ROUND(SUMIFS(Sales!$AG$5:$AG$804,Sales!$C$5:$C$804,A97),2))</f>
        <v>0</v>
      </c>
      <c r="BK97" s="33">
        <f>IF(B97="","",IF(OR(BI97="",BI97=0),"",BJ97/BI97))</f>
        <v>0</v>
      </c>
      <c r="BL97" s="17">
        <f>IF(B97="","",IF(SUMPRODUCT(MAX((Sales!$C$5:$C$804=A97)*Sales!$B$5:$B$804))=0,"",SUMPRODUCT(MAX((Sales!$C$5:$C$804=A97)*Sales!$B$5:$B$804))))</f>
        <v>0</v>
      </c>
      <c r="BM97" s="17">
        <f>IF(B97="","",IF(SUMPRODUCT(MAX(('Price History'!$B$5:$B$304=A97)*'Price History'!$A$5:$A$304))=0,IF(P97="","",P97),SUMPRODUCT(MAX(('Price History'!$B$5:$B$304=A97)*'Price History'!$A$5:$A$304))))</f>
        <v>0</v>
      </c>
      <c r="BN97" s="32">
        <f>IF(B97="","",IF(BM97="","",TodayDate-BM97))</f>
        <v>0</v>
      </c>
      <c r="BO97" s="32">
        <f>IF(B97="","",COUNTIFS($AV$5:$AV$304,"&gt;"&amp;AV97)+COUNTIFS($AV$5:AV97,AV97))</f>
        <v>0</v>
      </c>
      <c r="BP97" s="32">
        <f>IF(B97="","",COUNTIFS($AW$5:$AW$304,"&gt;"&amp;AW97)+COUNTIFS($AW$5:AW97,AW97))</f>
        <v>0</v>
      </c>
      <c r="BQ97" s="32">
        <f>IF(B97="","",COUNTIFS($BI$5:$BI$304,"&gt;"&amp;BI97)+COUNTIFS($BI$5:BI97,BI97))</f>
        <v>0</v>
      </c>
      <c r="BR97" s="32">
        <f>IF(B97="","",COUNTIFS($AY$5:$AY$304,"&gt;"&amp;AY97)+COUNTIFS($AY$5:AY97,AY97))</f>
        <v>0</v>
      </c>
      <c r="BS97" s="43">
        <f>IF(B97="","",IF(AH97=0,"Add - no costs entered yet",IF(AR97="","Check - no price yet",IF(AV97&lt;0,"Loss - every sale costs you money",IF(AND(AZ97&lt;&gt;"",AZ97&lt;MinimumWage),"Below - pays under minimum wage",IF(AW97&lt;MarginWarning,"Low margin - re-price it",IF(AND(AF97&lt;&gt;"",K97&lt;&gt;"",K97+AC97&gt;AF97),"Check - too heavy for that postage band",IF(AND(BN97&lt;&gt;"",BN97&gt;PriceReviewDays),"Due - price has not been reviewed",IF(AND(BG97&lt;&gt;"",BG97&gt;0.5),"Check - well above the market","OK")))))))) )</f>
        <v>0</v>
      </c>
    </row>
    <row r="98" spans="1:71">
      <c r="A98" s="38">
        <f>IF(B98="","",ProductPrefix&amp;TEXT(ROW()-4,"0000"))</f>
        <v>0</v>
      </c>
      <c r="S98" s="38">
        <f>IF(B98="","",IF(C98&lt;&gt;"",C98,UPPER(LEFT(IF(D98="","GEN",D98),3))&amp;"-"&amp;TEXT(ROW()-4,"000")))</f>
        <v>0</v>
      </c>
      <c r="T98" s="20">
        <f>IF(B98="","",ROUND(SUMIFS('Material Usage'!$M$5:$M$904,'Material Usage'!$A$5:$A$904,A98)+SUMIFS(Crochet!$AD$5:$AD$84,Crochet!$A$5:$A$84,A98)+SUMIFS(Jewelry!$AF$5:$AF$84,Jewelry!$A$5:$A$84,A98)+SUMIFS(Candles!$AF$5:$AF$84,Candles!$A$5:$A$84,A98)+SUMIFS(Clothing!$AB$5:$AB$84,Clothing!$A$5:$A$84,A98)+SUMIFS(Woodworking!$AC$5:$AC$84,Woodworking!$A$5:$A$84,A98)+SUMIFS(Digital!$X$5:$X$84,Digital!$A$5:$A$84,A98),2))</f>
        <v>0</v>
      </c>
      <c r="U98" s="20">
        <f>IF(B98="","",ROUND(SUMIFS(Labor!$O$5:$O$304,Labor!$A$5:$A$304,A98)+SUMIFS(Crochet!$AG$5:$AG$84,Crochet!$A$5:$A$84,A98)+SUMIFS(Jewelry!$AI$5:$AI$84,Jewelry!$A$5:$A$84,A98)+SUMIFS(Candles!$AI$5:$AI$84,Candles!$A$5:$A$84,A98)+SUMIFS(Clothing!$AE$5:$AE$84,Clothing!$A$5:$A$84,A98)+SUMIFS(Woodworking!$AF$5:$AF$84,Woodworking!$A$5:$A$84,A98)+SUMIFS(Digital!$Z$5:$Z$84,Digital!$A$5:$A$84,A98),2))</f>
        <v>0</v>
      </c>
      <c r="V98" s="36">
        <f>IF(B98="","",ROUND(SUMIFS(Labor!$P$5:$P$304,Labor!$A$5:$A$304,A98)+SUMIFS(Crochet!$AE$5:$AE$84,Crochet!$A$5:$A$84,A98)+SUMIFS(Jewelry!$AG$5:$AG$84,Jewelry!$A$5:$A$84,A98)+SUMIFS(Candles!$AG$5:$AG$84,Candles!$A$5:$A$84,A98)+SUMIFS(Clothing!$AC$5:$AC$84,Clothing!$A$5:$A$84,A98)+SUMIFS(Woodworking!$AD$5:$AD$84,Woodworking!$A$5:$A$84,A98)+SUMIFS(Digital!$Y$5:$Y$84,Digital!$A$5:$A$84,A98),1))</f>
        <v>0</v>
      </c>
      <c r="W98" s="41">
        <f>IF(B98="","",IFERROR(INDEX(DiffTimeFactors,MATCH(G98,DiffNames,0)),1))</f>
        <v>0</v>
      </c>
      <c r="X98" s="36">
        <f>IF(B98="","",ROUND(V98*W98,1))</f>
        <v>0</v>
      </c>
      <c r="Y98" s="41">
        <f>IF(B98="","",ROUND(X98/60,3))</f>
        <v>0</v>
      </c>
      <c r="Z98" s="20">
        <f>IF(B98="","",ROUND(U98*W98,2))</f>
        <v>0</v>
      </c>
      <c r="AA98" s="20">
        <f>IF(B98="","",ROUND(SUMIFS(Labor!$Q$5:$Q$304,Labor!$A$5:$A$304,A98)+SUMIFS(Crochet!$AH$5:$AH$84,Crochet!$A$5:$A$84,A98)+SUMIFS(Jewelry!$AJ$5:$AJ$84,Jewelry!$A$5:$A$84,A98)+SUMIFS(Candles!$AJ$5:$AJ$84,Candles!$A$5:$A$84,A98)+SUMIFS(Clothing!$AF$5:$AF$84,Clothing!$A$5:$A$84,A98)+SUMIFS(Woodworking!$AH$5:$AH$84,Woodworking!$A$5:$A$84,A98)+SUMIFS(Digital!$AA$5:$AA$84,Digital!$A$5:$A$84,A98),2))</f>
        <v>0</v>
      </c>
      <c r="AB98" s="20">
        <f>IF(B98="","",ROUND(IF(I98="Budget",PackBudget,IF(I98="Standard",PackStandard,IF(I98="Gift",PackGift,IF(I98="Premium",PackPremium,DefaultPackaging)))),2))</f>
        <v>0</v>
      </c>
      <c r="AC98" s="36">
        <f>IF(B98="","",IF(I98="Budget",PackWeightBudget,IF(I98="Standard",PackWeightStandard,IF(I98="Gift",PackWeightGift,IF(I98="Premium",PackWeightPremium,0)))))</f>
        <v>0</v>
      </c>
      <c r="AD98" s="20">
        <f>IF(B98="","",IFERROR(INDEX(Shipping!$M$5:$M$64,MATCH(J98,Shipping!$L$5:$L$64,0)),DefaultShipping))</f>
        <v>0</v>
      </c>
      <c r="AE98" s="20">
        <f>IF(B98="","",IFERROR(INDEX(Shipping!$F$5:$F$64,MATCH(J98,Shipping!$L$5:$L$64,0)),0))</f>
        <v>0</v>
      </c>
      <c r="AF98" s="36">
        <f>IF(B98="","",IFERROR(INDEX(Shipping!$C$5:$C$64,MATCH(J98,Shipping!$L$5:$L$64,0)),""))</f>
        <v>0</v>
      </c>
      <c r="AG98" s="20">
        <f>IF(B98="","",ROUND(MAX(0,AD98-AE98),2))</f>
        <v>0</v>
      </c>
      <c r="AH98" s="20">
        <f>IF(B98="","",ROUND(T98+Z98+AA98+AB98+AG98,2))</f>
        <v>0</v>
      </c>
      <c r="AI98" s="33">
        <f>IF(B98="","",IFERROR(INDEX(Channels!$S$5:$S$18,MATCH(IF(H98="",DefaultChannel,H98),Channels!$A$5:$A$18,0)),0))</f>
        <v>0</v>
      </c>
      <c r="AJ98" s="42">
        <f>IF(B98="","",IFERROR(INDEX(Channels!$O$5:$O$18,MATCH(IF(H98="",DefaultChannel,H98),Channels!$A$5:$A$18,0)),"No"))</f>
        <v>0</v>
      </c>
      <c r="AK98" s="20">
        <f>IF(B98="","",ROUND(IFERROR(INDEX(Channels!$T$5:$T$18,MATCH(IF(H98="",DefaultChannel,H98),Channels!$A$5:$A$18,0)),0)+IF(AJ98="Yes",AE98*AI98,0),4))</f>
        <v>0</v>
      </c>
      <c r="AL98" s="33">
        <f>IF(B98="","",IF(OverheadMethod="Share of revenue",IF(RevenueTargetMonth&lt;=0,0,OverheadMonthly/RevenueTargetMonth),0))</f>
        <v>0</v>
      </c>
      <c r="AM98" s="20">
        <f>IF(B98="","",IF(OverheadMethod="Per hour worked",ROUND(OverheadPerHour*Y98,2),IF(OR(OverheadMethod="Per unit made",OverheadMethod="Per order"),OverheadPerUnit,0)))</f>
        <v>0</v>
      </c>
      <c r="AN98" s="33">
        <f>IF(B98="","",IF(N98&lt;&gt;"",N98,TargetRetailMargin))</f>
        <v>0</v>
      </c>
      <c r="AO98" s="41">
        <f>IF(B98="","",1-AN98-AI98-AL98)</f>
        <v>0</v>
      </c>
      <c r="AP98" s="20">
        <f>IF(B98="","",IF(AO98&lt;=0,"",(AH98+AM98+AK98)/AO98))</f>
        <v>0</v>
      </c>
      <c r="AQ98" s="20">
        <f>IF(B98="","",IF(AP98="","Check the settings",ROUND(IF(RoundingRule="None",AP98,IF(RoundingRule="Nearest 0.99",MAX(0.99,CEILING(AP98,1)-0.01),IF(RoundingRule="Nearest 0.95",MAX(0.95,CEILING(AP98,1)-0.05),IF(RoundingRule="Nearest 0.50",CEILING(AP98,0.5),IF(RoundingRule="Nearest 1",CEILING(AP98,1),IF(RoundingRule="Nearest 5",CEILING(AP98,5),IF(RoundingRule="Up to whole 1",CEILING(AP98,1),IF(RoundingRule="Up to whole 5",CEILING(AP98,5),ROUND(AP98,2))))))))),2)))</f>
        <v>0</v>
      </c>
      <c r="AR98" s="20">
        <f>IF(B98="","",IF(M98&lt;&gt;"",M98,IF(ISNUMBER(AQ98),AQ98,"")))</f>
        <v>0</v>
      </c>
      <c r="AS98" s="20">
        <f>IF(B98="","",IF(AR98="","",ROUND(AM98+AR98*AL98,2)))</f>
        <v>0</v>
      </c>
      <c r="AT98" s="20">
        <f>IF(B98="","",IF(AR98="","",ROUND(AH98+AS98,2)))</f>
        <v>0</v>
      </c>
      <c r="AU98" s="20">
        <f>IF(B98="","",IF(AR98="","",ROUND(AR98*AI98+AK98,2)))</f>
        <v>0</v>
      </c>
      <c r="AV98" s="20">
        <f>IF(B98="","",IF(AR98="","",ROUND(AR98-AT98-AU98,2)))</f>
        <v>0</v>
      </c>
      <c r="AW98" s="33">
        <f>IF(B98="","",IF(OR(AR98="",AR98=0),"",AV98/AR98))</f>
        <v>0</v>
      </c>
      <c r="AX98" s="33">
        <f>IF(B98="","",IF(OR(AT98="",AT98=0),"",AV98/AT98))</f>
        <v>0</v>
      </c>
      <c r="AY98" s="20">
        <f>IF(B98="","",IF(OR(Y98="",Y98=0,AV98=""),"",ROUND(AV98/Y98,2)))</f>
        <v>0</v>
      </c>
      <c r="AZ98" s="20">
        <f>IF(B98="","",IF(OR(Y98="",Y98=0,AV98=""),"",ROUND((AV98+Z98)/Y98,2)))</f>
        <v>0</v>
      </c>
      <c r="BA98" s="20">
        <f>IF(B98="","",IF(1-AI98-AL98&lt;=0,"",ROUND((AH98+AM98+AK98)/(1-AI98-AL98),2)))</f>
        <v>0</v>
      </c>
      <c r="BB98" s="20">
        <f>IF(B98="","",IF(AT98="","",ROUND(AT98*2,2)))</f>
        <v>0</v>
      </c>
      <c r="BC98" s="20">
        <f>IF(B98="","",IF(AR98="","",ROUND(AR98*(1-WholesaleDiscount),2)))</f>
        <v>0</v>
      </c>
      <c r="BD98" s="20">
        <f>IF(B98="","",IF(BC98="","",ROUND(BC98-AH98-AM98,2)))</f>
        <v>0</v>
      </c>
      <c r="BE98" s="33">
        <f>IF(B98="","",IF(OR(BC98="",BC98=0),"",BD98/BC98))</f>
        <v>0</v>
      </c>
      <c r="BF98" s="20">
        <f>IF(B98="","",IFERROR(ROUND(AVERAGEIFS(Competitors!$F$5:$F$154,Competitors!$A$5:$A$154,A98),2),""))</f>
        <v>0</v>
      </c>
      <c r="BG98" s="33">
        <f>IF(B98="","",IF(OR(BF98="",BF98=0,AR98=""),"",AR98/BF98-1))</f>
        <v>0</v>
      </c>
      <c r="BH98" s="32">
        <f>IF(B98="","",SUMIFS(Sales!$D$5:$D$804,Sales!$C$5:$C$804,A98))</f>
        <v>0</v>
      </c>
      <c r="BI98" s="20">
        <f>IF(B98="","",ROUND(SUMIFS(Sales!$V$5:$V$804,Sales!$C$5:$C$804,A98),2))</f>
        <v>0</v>
      </c>
      <c r="BJ98" s="20">
        <f>IF(B98="","",ROUND(SUMIFS(Sales!$AG$5:$AG$804,Sales!$C$5:$C$804,A98),2))</f>
        <v>0</v>
      </c>
      <c r="BK98" s="33">
        <f>IF(B98="","",IF(OR(BI98="",BI98=0),"",BJ98/BI98))</f>
        <v>0</v>
      </c>
      <c r="BL98" s="17">
        <f>IF(B98="","",IF(SUMPRODUCT(MAX((Sales!$C$5:$C$804=A98)*Sales!$B$5:$B$804))=0,"",SUMPRODUCT(MAX((Sales!$C$5:$C$804=A98)*Sales!$B$5:$B$804))))</f>
        <v>0</v>
      </c>
      <c r="BM98" s="17">
        <f>IF(B98="","",IF(SUMPRODUCT(MAX(('Price History'!$B$5:$B$304=A98)*'Price History'!$A$5:$A$304))=0,IF(P98="","",P98),SUMPRODUCT(MAX(('Price History'!$B$5:$B$304=A98)*'Price History'!$A$5:$A$304))))</f>
        <v>0</v>
      </c>
      <c r="BN98" s="32">
        <f>IF(B98="","",IF(BM98="","",TodayDate-BM98))</f>
        <v>0</v>
      </c>
      <c r="BO98" s="32">
        <f>IF(B98="","",COUNTIFS($AV$5:$AV$304,"&gt;"&amp;AV98)+COUNTIFS($AV$5:AV98,AV98))</f>
        <v>0</v>
      </c>
      <c r="BP98" s="32">
        <f>IF(B98="","",COUNTIFS($AW$5:$AW$304,"&gt;"&amp;AW98)+COUNTIFS($AW$5:AW98,AW98))</f>
        <v>0</v>
      </c>
      <c r="BQ98" s="32">
        <f>IF(B98="","",COUNTIFS($BI$5:$BI$304,"&gt;"&amp;BI98)+COUNTIFS($BI$5:BI98,BI98))</f>
        <v>0</v>
      </c>
      <c r="BR98" s="32">
        <f>IF(B98="","",COUNTIFS($AY$5:$AY$304,"&gt;"&amp;AY98)+COUNTIFS($AY$5:AY98,AY98))</f>
        <v>0</v>
      </c>
      <c r="BS98" s="43">
        <f>IF(B98="","",IF(AH98=0,"Add - no costs entered yet",IF(AR98="","Check - no price yet",IF(AV98&lt;0,"Loss - every sale costs you money",IF(AND(AZ98&lt;&gt;"",AZ98&lt;MinimumWage),"Below - pays under minimum wage",IF(AW98&lt;MarginWarning,"Low margin - re-price it",IF(AND(AF98&lt;&gt;"",K98&lt;&gt;"",K98+AC98&gt;AF98),"Check - too heavy for that postage band",IF(AND(BN98&lt;&gt;"",BN98&gt;PriceReviewDays),"Due - price has not been reviewed",IF(AND(BG98&lt;&gt;"",BG98&gt;0.5),"Check - well above the market","OK")))))))) )</f>
        <v>0</v>
      </c>
    </row>
    <row r="99" spans="1:71">
      <c r="A99" s="38">
        <f>IF(B99="","",ProductPrefix&amp;TEXT(ROW()-4,"0000"))</f>
        <v>0</v>
      </c>
      <c r="S99" s="38">
        <f>IF(B99="","",IF(C99&lt;&gt;"",C99,UPPER(LEFT(IF(D99="","GEN",D99),3))&amp;"-"&amp;TEXT(ROW()-4,"000")))</f>
        <v>0</v>
      </c>
      <c r="T99" s="20">
        <f>IF(B99="","",ROUND(SUMIFS('Material Usage'!$M$5:$M$904,'Material Usage'!$A$5:$A$904,A99)+SUMIFS(Crochet!$AD$5:$AD$84,Crochet!$A$5:$A$84,A99)+SUMIFS(Jewelry!$AF$5:$AF$84,Jewelry!$A$5:$A$84,A99)+SUMIFS(Candles!$AF$5:$AF$84,Candles!$A$5:$A$84,A99)+SUMIFS(Clothing!$AB$5:$AB$84,Clothing!$A$5:$A$84,A99)+SUMIFS(Woodworking!$AC$5:$AC$84,Woodworking!$A$5:$A$84,A99)+SUMIFS(Digital!$X$5:$X$84,Digital!$A$5:$A$84,A99),2))</f>
        <v>0</v>
      </c>
      <c r="U99" s="20">
        <f>IF(B99="","",ROUND(SUMIFS(Labor!$O$5:$O$304,Labor!$A$5:$A$304,A99)+SUMIFS(Crochet!$AG$5:$AG$84,Crochet!$A$5:$A$84,A99)+SUMIFS(Jewelry!$AI$5:$AI$84,Jewelry!$A$5:$A$84,A99)+SUMIFS(Candles!$AI$5:$AI$84,Candles!$A$5:$A$84,A99)+SUMIFS(Clothing!$AE$5:$AE$84,Clothing!$A$5:$A$84,A99)+SUMIFS(Woodworking!$AF$5:$AF$84,Woodworking!$A$5:$A$84,A99)+SUMIFS(Digital!$Z$5:$Z$84,Digital!$A$5:$A$84,A99),2))</f>
        <v>0</v>
      </c>
      <c r="V99" s="36">
        <f>IF(B99="","",ROUND(SUMIFS(Labor!$P$5:$P$304,Labor!$A$5:$A$304,A99)+SUMIFS(Crochet!$AE$5:$AE$84,Crochet!$A$5:$A$84,A99)+SUMIFS(Jewelry!$AG$5:$AG$84,Jewelry!$A$5:$A$84,A99)+SUMIFS(Candles!$AG$5:$AG$84,Candles!$A$5:$A$84,A99)+SUMIFS(Clothing!$AC$5:$AC$84,Clothing!$A$5:$A$84,A99)+SUMIFS(Woodworking!$AD$5:$AD$84,Woodworking!$A$5:$A$84,A99)+SUMIFS(Digital!$Y$5:$Y$84,Digital!$A$5:$A$84,A99),1))</f>
        <v>0</v>
      </c>
      <c r="W99" s="41">
        <f>IF(B99="","",IFERROR(INDEX(DiffTimeFactors,MATCH(G99,DiffNames,0)),1))</f>
        <v>0</v>
      </c>
      <c r="X99" s="36">
        <f>IF(B99="","",ROUND(V99*W99,1))</f>
        <v>0</v>
      </c>
      <c r="Y99" s="41">
        <f>IF(B99="","",ROUND(X99/60,3))</f>
        <v>0</v>
      </c>
      <c r="Z99" s="20">
        <f>IF(B99="","",ROUND(U99*W99,2))</f>
        <v>0</v>
      </c>
      <c r="AA99" s="20">
        <f>IF(B99="","",ROUND(SUMIFS(Labor!$Q$5:$Q$304,Labor!$A$5:$A$304,A99)+SUMIFS(Crochet!$AH$5:$AH$84,Crochet!$A$5:$A$84,A99)+SUMIFS(Jewelry!$AJ$5:$AJ$84,Jewelry!$A$5:$A$84,A99)+SUMIFS(Candles!$AJ$5:$AJ$84,Candles!$A$5:$A$84,A99)+SUMIFS(Clothing!$AF$5:$AF$84,Clothing!$A$5:$A$84,A99)+SUMIFS(Woodworking!$AH$5:$AH$84,Woodworking!$A$5:$A$84,A99)+SUMIFS(Digital!$AA$5:$AA$84,Digital!$A$5:$A$84,A99),2))</f>
        <v>0</v>
      </c>
      <c r="AB99" s="20">
        <f>IF(B99="","",ROUND(IF(I99="Budget",PackBudget,IF(I99="Standard",PackStandard,IF(I99="Gift",PackGift,IF(I99="Premium",PackPremium,DefaultPackaging)))),2))</f>
        <v>0</v>
      </c>
      <c r="AC99" s="36">
        <f>IF(B99="","",IF(I99="Budget",PackWeightBudget,IF(I99="Standard",PackWeightStandard,IF(I99="Gift",PackWeightGift,IF(I99="Premium",PackWeightPremium,0)))))</f>
        <v>0</v>
      </c>
      <c r="AD99" s="20">
        <f>IF(B99="","",IFERROR(INDEX(Shipping!$M$5:$M$64,MATCH(J99,Shipping!$L$5:$L$64,0)),DefaultShipping))</f>
        <v>0</v>
      </c>
      <c r="AE99" s="20">
        <f>IF(B99="","",IFERROR(INDEX(Shipping!$F$5:$F$64,MATCH(J99,Shipping!$L$5:$L$64,0)),0))</f>
        <v>0</v>
      </c>
      <c r="AF99" s="36">
        <f>IF(B99="","",IFERROR(INDEX(Shipping!$C$5:$C$64,MATCH(J99,Shipping!$L$5:$L$64,0)),""))</f>
        <v>0</v>
      </c>
      <c r="AG99" s="20">
        <f>IF(B99="","",ROUND(MAX(0,AD99-AE99),2))</f>
        <v>0</v>
      </c>
      <c r="AH99" s="20">
        <f>IF(B99="","",ROUND(T99+Z99+AA99+AB99+AG99,2))</f>
        <v>0</v>
      </c>
      <c r="AI99" s="33">
        <f>IF(B99="","",IFERROR(INDEX(Channels!$S$5:$S$18,MATCH(IF(H99="",DefaultChannel,H99),Channels!$A$5:$A$18,0)),0))</f>
        <v>0</v>
      </c>
      <c r="AJ99" s="42">
        <f>IF(B99="","",IFERROR(INDEX(Channels!$O$5:$O$18,MATCH(IF(H99="",DefaultChannel,H99),Channels!$A$5:$A$18,0)),"No"))</f>
        <v>0</v>
      </c>
      <c r="AK99" s="20">
        <f>IF(B99="","",ROUND(IFERROR(INDEX(Channels!$T$5:$T$18,MATCH(IF(H99="",DefaultChannel,H99),Channels!$A$5:$A$18,0)),0)+IF(AJ99="Yes",AE99*AI99,0),4))</f>
        <v>0</v>
      </c>
      <c r="AL99" s="33">
        <f>IF(B99="","",IF(OverheadMethod="Share of revenue",IF(RevenueTargetMonth&lt;=0,0,OverheadMonthly/RevenueTargetMonth),0))</f>
        <v>0</v>
      </c>
      <c r="AM99" s="20">
        <f>IF(B99="","",IF(OverheadMethod="Per hour worked",ROUND(OverheadPerHour*Y99,2),IF(OR(OverheadMethod="Per unit made",OverheadMethod="Per order"),OverheadPerUnit,0)))</f>
        <v>0</v>
      </c>
      <c r="AN99" s="33">
        <f>IF(B99="","",IF(N99&lt;&gt;"",N99,TargetRetailMargin))</f>
        <v>0</v>
      </c>
      <c r="AO99" s="41">
        <f>IF(B99="","",1-AN99-AI99-AL99)</f>
        <v>0</v>
      </c>
      <c r="AP99" s="20">
        <f>IF(B99="","",IF(AO99&lt;=0,"",(AH99+AM99+AK99)/AO99))</f>
        <v>0</v>
      </c>
      <c r="AQ99" s="20">
        <f>IF(B99="","",IF(AP99="","Check the settings",ROUND(IF(RoundingRule="None",AP99,IF(RoundingRule="Nearest 0.99",MAX(0.99,CEILING(AP99,1)-0.01),IF(RoundingRule="Nearest 0.95",MAX(0.95,CEILING(AP99,1)-0.05),IF(RoundingRule="Nearest 0.50",CEILING(AP99,0.5),IF(RoundingRule="Nearest 1",CEILING(AP99,1),IF(RoundingRule="Nearest 5",CEILING(AP99,5),IF(RoundingRule="Up to whole 1",CEILING(AP99,1),IF(RoundingRule="Up to whole 5",CEILING(AP99,5),ROUND(AP99,2))))))))),2)))</f>
        <v>0</v>
      </c>
      <c r="AR99" s="20">
        <f>IF(B99="","",IF(M99&lt;&gt;"",M99,IF(ISNUMBER(AQ99),AQ99,"")))</f>
        <v>0</v>
      </c>
      <c r="AS99" s="20">
        <f>IF(B99="","",IF(AR99="","",ROUND(AM99+AR99*AL99,2)))</f>
        <v>0</v>
      </c>
      <c r="AT99" s="20">
        <f>IF(B99="","",IF(AR99="","",ROUND(AH99+AS99,2)))</f>
        <v>0</v>
      </c>
      <c r="AU99" s="20">
        <f>IF(B99="","",IF(AR99="","",ROUND(AR99*AI99+AK99,2)))</f>
        <v>0</v>
      </c>
      <c r="AV99" s="20">
        <f>IF(B99="","",IF(AR99="","",ROUND(AR99-AT99-AU99,2)))</f>
        <v>0</v>
      </c>
      <c r="AW99" s="33">
        <f>IF(B99="","",IF(OR(AR99="",AR99=0),"",AV99/AR99))</f>
        <v>0</v>
      </c>
      <c r="AX99" s="33">
        <f>IF(B99="","",IF(OR(AT99="",AT99=0),"",AV99/AT99))</f>
        <v>0</v>
      </c>
      <c r="AY99" s="20">
        <f>IF(B99="","",IF(OR(Y99="",Y99=0,AV99=""),"",ROUND(AV99/Y99,2)))</f>
        <v>0</v>
      </c>
      <c r="AZ99" s="20">
        <f>IF(B99="","",IF(OR(Y99="",Y99=0,AV99=""),"",ROUND((AV99+Z99)/Y99,2)))</f>
        <v>0</v>
      </c>
      <c r="BA99" s="20">
        <f>IF(B99="","",IF(1-AI99-AL99&lt;=0,"",ROUND((AH99+AM99+AK99)/(1-AI99-AL99),2)))</f>
        <v>0</v>
      </c>
      <c r="BB99" s="20">
        <f>IF(B99="","",IF(AT99="","",ROUND(AT99*2,2)))</f>
        <v>0</v>
      </c>
      <c r="BC99" s="20">
        <f>IF(B99="","",IF(AR99="","",ROUND(AR99*(1-WholesaleDiscount),2)))</f>
        <v>0</v>
      </c>
      <c r="BD99" s="20">
        <f>IF(B99="","",IF(BC99="","",ROUND(BC99-AH99-AM99,2)))</f>
        <v>0</v>
      </c>
      <c r="BE99" s="33">
        <f>IF(B99="","",IF(OR(BC99="",BC99=0),"",BD99/BC99))</f>
        <v>0</v>
      </c>
      <c r="BF99" s="20">
        <f>IF(B99="","",IFERROR(ROUND(AVERAGEIFS(Competitors!$F$5:$F$154,Competitors!$A$5:$A$154,A99),2),""))</f>
        <v>0</v>
      </c>
      <c r="BG99" s="33">
        <f>IF(B99="","",IF(OR(BF99="",BF99=0,AR99=""),"",AR99/BF99-1))</f>
        <v>0</v>
      </c>
      <c r="BH99" s="32">
        <f>IF(B99="","",SUMIFS(Sales!$D$5:$D$804,Sales!$C$5:$C$804,A99))</f>
        <v>0</v>
      </c>
      <c r="BI99" s="20">
        <f>IF(B99="","",ROUND(SUMIFS(Sales!$V$5:$V$804,Sales!$C$5:$C$804,A99),2))</f>
        <v>0</v>
      </c>
      <c r="BJ99" s="20">
        <f>IF(B99="","",ROUND(SUMIFS(Sales!$AG$5:$AG$804,Sales!$C$5:$C$804,A99),2))</f>
        <v>0</v>
      </c>
      <c r="BK99" s="33">
        <f>IF(B99="","",IF(OR(BI99="",BI99=0),"",BJ99/BI99))</f>
        <v>0</v>
      </c>
      <c r="BL99" s="17">
        <f>IF(B99="","",IF(SUMPRODUCT(MAX((Sales!$C$5:$C$804=A99)*Sales!$B$5:$B$804))=0,"",SUMPRODUCT(MAX((Sales!$C$5:$C$804=A99)*Sales!$B$5:$B$804))))</f>
        <v>0</v>
      </c>
      <c r="BM99" s="17">
        <f>IF(B99="","",IF(SUMPRODUCT(MAX(('Price History'!$B$5:$B$304=A99)*'Price History'!$A$5:$A$304))=0,IF(P99="","",P99),SUMPRODUCT(MAX(('Price History'!$B$5:$B$304=A99)*'Price History'!$A$5:$A$304))))</f>
        <v>0</v>
      </c>
      <c r="BN99" s="32">
        <f>IF(B99="","",IF(BM99="","",TodayDate-BM99))</f>
        <v>0</v>
      </c>
      <c r="BO99" s="32">
        <f>IF(B99="","",COUNTIFS($AV$5:$AV$304,"&gt;"&amp;AV99)+COUNTIFS($AV$5:AV99,AV99))</f>
        <v>0</v>
      </c>
      <c r="BP99" s="32">
        <f>IF(B99="","",COUNTIFS($AW$5:$AW$304,"&gt;"&amp;AW99)+COUNTIFS($AW$5:AW99,AW99))</f>
        <v>0</v>
      </c>
      <c r="BQ99" s="32">
        <f>IF(B99="","",COUNTIFS($BI$5:$BI$304,"&gt;"&amp;BI99)+COUNTIFS($BI$5:BI99,BI99))</f>
        <v>0</v>
      </c>
      <c r="BR99" s="32">
        <f>IF(B99="","",COUNTIFS($AY$5:$AY$304,"&gt;"&amp;AY99)+COUNTIFS($AY$5:AY99,AY99))</f>
        <v>0</v>
      </c>
      <c r="BS99" s="43">
        <f>IF(B99="","",IF(AH99=0,"Add - no costs entered yet",IF(AR99="","Check - no price yet",IF(AV99&lt;0,"Loss - every sale costs you money",IF(AND(AZ99&lt;&gt;"",AZ99&lt;MinimumWage),"Below - pays under minimum wage",IF(AW99&lt;MarginWarning,"Low margin - re-price it",IF(AND(AF99&lt;&gt;"",K99&lt;&gt;"",K99+AC99&gt;AF99),"Check - too heavy for that postage band",IF(AND(BN99&lt;&gt;"",BN99&gt;PriceReviewDays),"Due - price has not been reviewed",IF(AND(BG99&lt;&gt;"",BG99&gt;0.5),"Check - well above the market","OK")))))))) )</f>
        <v>0</v>
      </c>
    </row>
    <row r="100" spans="1:71">
      <c r="A100" s="38">
        <f>IF(B100="","",ProductPrefix&amp;TEXT(ROW()-4,"0000"))</f>
        <v>0</v>
      </c>
      <c r="S100" s="38">
        <f>IF(B100="","",IF(C100&lt;&gt;"",C100,UPPER(LEFT(IF(D100="","GEN",D100),3))&amp;"-"&amp;TEXT(ROW()-4,"000")))</f>
        <v>0</v>
      </c>
      <c r="T100" s="20">
        <f>IF(B100="","",ROUND(SUMIFS('Material Usage'!$M$5:$M$904,'Material Usage'!$A$5:$A$904,A100)+SUMIFS(Crochet!$AD$5:$AD$84,Crochet!$A$5:$A$84,A100)+SUMIFS(Jewelry!$AF$5:$AF$84,Jewelry!$A$5:$A$84,A100)+SUMIFS(Candles!$AF$5:$AF$84,Candles!$A$5:$A$84,A100)+SUMIFS(Clothing!$AB$5:$AB$84,Clothing!$A$5:$A$84,A100)+SUMIFS(Woodworking!$AC$5:$AC$84,Woodworking!$A$5:$A$84,A100)+SUMIFS(Digital!$X$5:$X$84,Digital!$A$5:$A$84,A100),2))</f>
        <v>0</v>
      </c>
      <c r="U100" s="20">
        <f>IF(B100="","",ROUND(SUMIFS(Labor!$O$5:$O$304,Labor!$A$5:$A$304,A100)+SUMIFS(Crochet!$AG$5:$AG$84,Crochet!$A$5:$A$84,A100)+SUMIFS(Jewelry!$AI$5:$AI$84,Jewelry!$A$5:$A$84,A100)+SUMIFS(Candles!$AI$5:$AI$84,Candles!$A$5:$A$84,A100)+SUMIFS(Clothing!$AE$5:$AE$84,Clothing!$A$5:$A$84,A100)+SUMIFS(Woodworking!$AF$5:$AF$84,Woodworking!$A$5:$A$84,A100)+SUMIFS(Digital!$Z$5:$Z$84,Digital!$A$5:$A$84,A100),2))</f>
        <v>0</v>
      </c>
      <c r="V100" s="36">
        <f>IF(B100="","",ROUND(SUMIFS(Labor!$P$5:$P$304,Labor!$A$5:$A$304,A100)+SUMIFS(Crochet!$AE$5:$AE$84,Crochet!$A$5:$A$84,A100)+SUMIFS(Jewelry!$AG$5:$AG$84,Jewelry!$A$5:$A$84,A100)+SUMIFS(Candles!$AG$5:$AG$84,Candles!$A$5:$A$84,A100)+SUMIFS(Clothing!$AC$5:$AC$84,Clothing!$A$5:$A$84,A100)+SUMIFS(Woodworking!$AD$5:$AD$84,Woodworking!$A$5:$A$84,A100)+SUMIFS(Digital!$Y$5:$Y$84,Digital!$A$5:$A$84,A100),1))</f>
        <v>0</v>
      </c>
      <c r="W100" s="41">
        <f>IF(B100="","",IFERROR(INDEX(DiffTimeFactors,MATCH(G100,DiffNames,0)),1))</f>
        <v>0</v>
      </c>
      <c r="X100" s="36">
        <f>IF(B100="","",ROUND(V100*W100,1))</f>
        <v>0</v>
      </c>
      <c r="Y100" s="41">
        <f>IF(B100="","",ROUND(X100/60,3))</f>
        <v>0</v>
      </c>
      <c r="Z100" s="20">
        <f>IF(B100="","",ROUND(U100*W100,2))</f>
        <v>0</v>
      </c>
      <c r="AA100" s="20">
        <f>IF(B100="","",ROUND(SUMIFS(Labor!$Q$5:$Q$304,Labor!$A$5:$A$304,A100)+SUMIFS(Crochet!$AH$5:$AH$84,Crochet!$A$5:$A$84,A100)+SUMIFS(Jewelry!$AJ$5:$AJ$84,Jewelry!$A$5:$A$84,A100)+SUMIFS(Candles!$AJ$5:$AJ$84,Candles!$A$5:$A$84,A100)+SUMIFS(Clothing!$AF$5:$AF$84,Clothing!$A$5:$A$84,A100)+SUMIFS(Woodworking!$AH$5:$AH$84,Woodworking!$A$5:$A$84,A100)+SUMIFS(Digital!$AA$5:$AA$84,Digital!$A$5:$A$84,A100),2))</f>
        <v>0</v>
      </c>
      <c r="AB100" s="20">
        <f>IF(B100="","",ROUND(IF(I100="Budget",PackBudget,IF(I100="Standard",PackStandard,IF(I100="Gift",PackGift,IF(I100="Premium",PackPremium,DefaultPackaging)))),2))</f>
        <v>0</v>
      </c>
      <c r="AC100" s="36">
        <f>IF(B100="","",IF(I100="Budget",PackWeightBudget,IF(I100="Standard",PackWeightStandard,IF(I100="Gift",PackWeightGift,IF(I100="Premium",PackWeightPremium,0)))))</f>
        <v>0</v>
      </c>
      <c r="AD100" s="20">
        <f>IF(B100="","",IFERROR(INDEX(Shipping!$M$5:$M$64,MATCH(J100,Shipping!$L$5:$L$64,0)),DefaultShipping))</f>
        <v>0</v>
      </c>
      <c r="AE100" s="20">
        <f>IF(B100="","",IFERROR(INDEX(Shipping!$F$5:$F$64,MATCH(J100,Shipping!$L$5:$L$64,0)),0))</f>
        <v>0</v>
      </c>
      <c r="AF100" s="36">
        <f>IF(B100="","",IFERROR(INDEX(Shipping!$C$5:$C$64,MATCH(J100,Shipping!$L$5:$L$64,0)),""))</f>
        <v>0</v>
      </c>
      <c r="AG100" s="20">
        <f>IF(B100="","",ROUND(MAX(0,AD100-AE100),2))</f>
        <v>0</v>
      </c>
      <c r="AH100" s="20">
        <f>IF(B100="","",ROUND(T100+Z100+AA100+AB100+AG100,2))</f>
        <v>0</v>
      </c>
      <c r="AI100" s="33">
        <f>IF(B100="","",IFERROR(INDEX(Channels!$S$5:$S$18,MATCH(IF(H100="",DefaultChannel,H100),Channels!$A$5:$A$18,0)),0))</f>
        <v>0</v>
      </c>
      <c r="AJ100" s="42">
        <f>IF(B100="","",IFERROR(INDEX(Channels!$O$5:$O$18,MATCH(IF(H100="",DefaultChannel,H100),Channels!$A$5:$A$18,0)),"No"))</f>
        <v>0</v>
      </c>
      <c r="AK100" s="20">
        <f>IF(B100="","",ROUND(IFERROR(INDEX(Channels!$T$5:$T$18,MATCH(IF(H100="",DefaultChannel,H100),Channels!$A$5:$A$18,0)),0)+IF(AJ100="Yes",AE100*AI100,0),4))</f>
        <v>0</v>
      </c>
      <c r="AL100" s="33">
        <f>IF(B100="","",IF(OverheadMethod="Share of revenue",IF(RevenueTargetMonth&lt;=0,0,OverheadMonthly/RevenueTargetMonth),0))</f>
        <v>0</v>
      </c>
      <c r="AM100" s="20">
        <f>IF(B100="","",IF(OverheadMethod="Per hour worked",ROUND(OverheadPerHour*Y100,2),IF(OR(OverheadMethod="Per unit made",OverheadMethod="Per order"),OverheadPerUnit,0)))</f>
        <v>0</v>
      </c>
      <c r="AN100" s="33">
        <f>IF(B100="","",IF(N100&lt;&gt;"",N100,TargetRetailMargin))</f>
        <v>0</v>
      </c>
      <c r="AO100" s="41">
        <f>IF(B100="","",1-AN100-AI100-AL100)</f>
        <v>0</v>
      </c>
      <c r="AP100" s="20">
        <f>IF(B100="","",IF(AO100&lt;=0,"",(AH100+AM100+AK100)/AO100))</f>
        <v>0</v>
      </c>
      <c r="AQ100" s="20">
        <f>IF(B100="","",IF(AP100="","Check the settings",ROUND(IF(RoundingRule="None",AP100,IF(RoundingRule="Nearest 0.99",MAX(0.99,CEILING(AP100,1)-0.01),IF(RoundingRule="Nearest 0.95",MAX(0.95,CEILING(AP100,1)-0.05),IF(RoundingRule="Nearest 0.50",CEILING(AP100,0.5),IF(RoundingRule="Nearest 1",CEILING(AP100,1),IF(RoundingRule="Nearest 5",CEILING(AP100,5),IF(RoundingRule="Up to whole 1",CEILING(AP100,1),IF(RoundingRule="Up to whole 5",CEILING(AP100,5),ROUND(AP100,2))))))))),2)))</f>
        <v>0</v>
      </c>
      <c r="AR100" s="20">
        <f>IF(B100="","",IF(M100&lt;&gt;"",M100,IF(ISNUMBER(AQ100),AQ100,"")))</f>
        <v>0</v>
      </c>
      <c r="AS100" s="20">
        <f>IF(B100="","",IF(AR100="","",ROUND(AM100+AR100*AL100,2)))</f>
        <v>0</v>
      </c>
      <c r="AT100" s="20">
        <f>IF(B100="","",IF(AR100="","",ROUND(AH100+AS100,2)))</f>
        <v>0</v>
      </c>
      <c r="AU100" s="20">
        <f>IF(B100="","",IF(AR100="","",ROUND(AR100*AI100+AK100,2)))</f>
        <v>0</v>
      </c>
      <c r="AV100" s="20">
        <f>IF(B100="","",IF(AR100="","",ROUND(AR100-AT100-AU100,2)))</f>
        <v>0</v>
      </c>
      <c r="AW100" s="33">
        <f>IF(B100="","",IF(OR(AR100="",AR100=0),"",AV100/AR100))</f>
        <v>0</v>
      </c>
      <c r="AX100" s="33">
        <f>IF(B100="","",IF(OR(AT100="",AT100=0),"",AV100/AT100))</f>
        <v>0</v>
      </c>
      <c r="AY100" s="20">
        <f>IF(B100="","",IF(OR(Y100="",Y100=0,AV100=""),"",ROUND(AV100/Y100,2)))</f>
        <v>0</v>
      </c>
      <c r="AZ100" s="20">
        <f>IF(B100="","",IF(OR(Y100="",Y100=0,AV100=""),"",ROUND((AV100+Z100)/Y100,2)))</f>
        <v>0</v>
      </c>
      <c r="BA100" s="20">
        <f>IF(B100="","",IF(1-AI100-AL100&lt;=0,"",ROUND((AH100+AM100+AK100)/(1-AI100-AL100),2)))</f>
        <v>0</v>
      </c>
      <c r="BB100" s="20">
        <f>IF(B100="","",IF(AT100="","",ROUND(AT100*2,2)))</f>
        <v>0</v>
      </c>
      <c r="BC100" s="20">
        <f>IF(B100="","",IF(AR100="","",ROUND(AR100*(1-WholesaleDiscount),2)))</f>
        <v>0</v>
      </c>
      <c r="BD100" s="20">
        <f>IF(B100="","",IF(BC100="","",ROUND(BC100-AH100-AM100,2)))</f>
        <v>0</v>
      </c>
      <c r="BE100" s="33">
        <f>IF(B100="","",IF(OR(BC100="",BC100=0),"",BD100/BC100))</f>
        <v>0</v>
      </c>
      <c r="BF100" s="20">
        <f>IF(B100="","",IFERROR(ROUND(AVERAGEIFS(Competitors!$F$5:$F$154,Competitors!$A$5:$A$154,A100),2),""))</f>
        <v>0</v>
      </c>
      <c r="BG100" s="33">
        <f>IF(B100="","",IF(OR(BF100="",BF100=0,AR100=""),"",AR100/BF100-1))</f>
        <v>0</v>
      </c>
      <c r="BH100" s="32">
        <f>IF(B100="","",SUMIFS(Sales!$D$5:$D$804,Sales!$C$5:$C$804,A100))</f>
        <v>0</v>
      </c>
      <c r="BI100" s="20">
        <f>IF(B100="","",ROUND(SUMIFS(Sales!$V$5:$V$804,Sales!$C$5:$C$804,A100),2))</f>
        <v>0</v>
      </c>
      <c r="BJ100" s="20">
        <f>IF(B100="","",ROUND(SUMIFS(Sales!$AG$5:$AG$804,Sales!$C$5:$C$804,A100),2))</f>
        <v>0</v>
      </c>
      <c r="BK100" s="33">
        <f>IF(B100="","",IF(OR(BI100="",BI100=0),"",BJ100/BI100))</f>
        <v>0</v>
      </c>
      <c r="BL100" s="17">
        <f>IF(B100="","",IF(SUMPRODUCT(MAX((Sales!$C$5:$C$804=A100)*Sales!$B$5:$B$804))=0,"",SUMPRODUCT(MAX((Sales!$C$5:$C$804=A100)*Sales!$B$5:$B$804))))</f>
        <v>0</v>
      </c>
      <c r="BM100" s="17">
        <f>IF(B100="","",IF(SUMPRODUCT(MAX(('Price History'!$B$5:$B$304=A100)*'Price History'!$A$5:$A$304))=0,IF(P100="","",P100),SUMPRODUCT(MAX(('Price History'!$B$5:$B$304=A100)*'Price History'!$A$5:$A$304))))</f>
        <v>0</v>
      </c>
      <c r="BN100" s="32">
        <f>IF(B100="","",IF(BM100="","",TodayDate-BM100))</f>
        <v>0</v>
      </c>
      <c r="BO100" s="32">
        <f>IF(B100="","",COUNTIFS($AV$5:$AV$304,"&gt;"&amp;AV100)+COUNTIFS($AV$5:AV100,AV100))</f>
        <v>0</v>
      </c>
      <c r="BP100" s="32">
        <f>IF(B100="","",COUNTIFS($AW$5:$AW$304,"&gt;"&amp;AW100)+COUNTIFS($AW$5:AW100,AW100))</f>
        <v>0</v>
      </c>
      <c r="BQ100" s="32">
        <f>IF(B100="","",COUNTIFS($BI$5:$BI$304,"&gt;"&amp;BI100)+COUNTIFS($BI$5:BI100,BI100))</f>
        <v>0</v>
      </c>
      <c r="BR100" s="32">
        <f>IF(B100="","",COUNTIFS($AY$5:$AY$304,"&gt;"&amp;AY100)+COUNTIFS($AY$5:AY100,AY100))</f>
        <v>0</v>
      </c>
      <c r="BS100" s="43">
        <f>IF(B100="","",IF(AH100=0,"Add - no costs entered yet",IF(AR100="","Check - no price yet",IF(AV100&lt;0,"Loss - every sale costs you money",IF(AND(AZ100&lt;&gt;"",AZ100&lt;MinimumWage),"Below - pays under minimum wage",IF(AW100&lt;MarginWarning,"Low margin - re-price it",IF(AND(AF100&lt;&gt;"",K100&lt;&gt;"",K100+AC100&gt;AF100),"Check - too heavy for that postage band",IF(AND(BN100&lt;&gt;"",BN100&gt;PriceReviewDays),"Due - price has not been reviewed",IF(AND(BG100&lt;&gt;"",BG100&gt;0.5),"Check - well above the market","OK")))))))) )</f>
        <v>0</v>
      </c>
    </row>
    <row r="101" spans="1:71">
      <c r="A101" s="38">
        <f>IF(B101="","",ProductPrefix&amp;TEXT(ROW()-4,"0000"))</f>
        <v>0</v>
      </c>
      <c r="S101" s="38">
        <f>IF(B101="","",IF(C101&lt;&gt;"",C101,UPPER(LEFT(IF(D101="","GEN",D101),3))&amp;"-"&amp;TEXT(ROW()-4,"000")))</f>
        <v>0</v>
      </c>
      <c r="T101" s="20">
        <f>IF(B101="","",ROUND(SUMIFS('Material Usage'!$M$5:$M$904,'Material Usage'!$A$5:$A$904,A101)+SUMIFS(Crochet!$AD$5:$AD$84,Crochet!$A$5:$A$84,A101)+SUMIFS(Jewelry!$AF$5:$AF$84,Jewelry!$A$5:$A$84,A101)+SUMIFS(Candles!$AF$5:$AF$84,Candles!$A$5:$A$84,A101)+SUMIFS(Clothing!$AB$5:$AB$84,Clothing!$A$5:$A$84,A101)+SUMIFS(Woodworking!$AC$5:$AC$84,Woodworking!$A$5:$A$84,A101)+SUMIFS(Digital!$X$5:$X$84,Digital!$A$5:$A$84,A101),2))</f>
        <v>0</v>
      </c>
      <c r="U101" s="20">
        <f>IF(B101="","",ROUND(SUMIFS(Labor!$O$5:$O$304,Labor!$A$5:$A$304,A101)+SUMIFS(Crochet!$AG$5:$AG$84,Crochet!$A$5:$A$84,A101)+SUMIFS(Jewelry!$AI$5:$AI$84,Jewelry!$A$5:$A$84,A101)+SUMIFS(Candles!$AI$5:$AI$84,Candles!$A$5:$A$84,A101)+SUMIFS(Clothing!$AE$5:$AE$84,Clothing!$A$5:$A$84,A101)+SUMIFS(Woodworking!$AF$5:$AF$84,Woodworking!$A$5:$A$84,A101)+SUMIFS(Digital!$Z$5:$Z$84,Digital!$A$5:$A$84,A101),2))</f>
        <v>0</v>
      </c>
      <c r="V101" s="36">
        <f>IF(B101="","",ROUND(SUMIFS(Labor!$P$5:$P$304,Labor!$A$5:$A$304,A101)+SUMIFS(Crochet!$AE$5:$AE$84,Crochet!$A$5:$A$84,A101)+SUMIFS(Jewelry!$AG$5:$AG$84,Jewelry!$A$5:$A$84,A101)+SUMIFS(Candles!$AG$5:$AG$84,Candles!$A$5:$A$84,A101)+SUMIFS(Clothing!$AC$5:$AC$84,Clothing!$A$5:$A$84,A101)+SUMIFS(Woodworking!$AD$5:$AD$84,Woodworking!$A$5:$A$84,A101)+SUMIFS(Digital!$Y$5:$Y$84,Digital!$A$5:$A$84,A101),1))</f>
        <v>0</v>
      </c>
      <c r="W101" s="41">
        <f>IF(B101="","",IFERROR(INDEX(DiffTimeFactors,MATCH(G101,DiffNames,0)),1))</f>
        <v>0</v>
      </c>
      <c r="X101" s="36">
        <f>IF(B101="","",ROUND(V101*W101,1))</f>
        <v>0</v>
      </c>
      <c r="Y101" s="41">
        <f>IF(B101="","",ROUND(X101/60,3))</f>
        <v>0</v>
      </c>
      <c r="Z101" s="20">
        <f>IF(B101="","",ROUND(U101*W101,2))</f>
        <v>0</v>
      </c>
      <c r="AA101" s="20">
        <f>IF(B101="","",ROUND(SUMIFS(Labor!$Q$5:$Q$304,Labor!$A$5:$A$304,A101)+SUMIFS(Crochet!$AH$5:$AH$84,Crochet!$A$5:$A$84,A101)+SUMIFS(Jewelry!$AJ$5:$AJ$84,Jewelry!$A$5:$A$84,A101)+SUMIFS(Candles!$AJ$5:$AJ$84,Candles!$A$5:$A$84,A101)+SUMIFS(Clothing!$AF$5:$AF$84,Clothing!$A$5:$A$84,A101)+SUMIFS(Woodworking!$AH$5:$AH$84,Woodworking!$A$5:$A$84,A101)+SUMIFS(Digital!$AA$5:$AA$84,Digital!$A$5:$A$84,A101),2))</f>
        <v>0</v>
      </c>
      <c r="AB101" s="20">
        <f>IF(B101="","",ROUND(IF(I101="Budget",PackBudget,IF(I101="Standard",PackStandard,IF(I101="Gift",PackGift,IF(I101="Premium",PackPremium,DefaultPackaging)))),2))</f>
        <v>0</v>
      </c>
      <c r="AC101" s="36">
        <f>IF(B101="","",IF(I101="Budget",PackWeightBudget,IF(I101="Standard",PackWeightStandard,IF(I101="Gift",PackWeightGift,IF(I101="Premium",PackWeightPremium,0)))))</f>
        <v>0</v>
      </c>
      <c r="AD101" s="20">
        <f>IF(B101="","",IFERROR(INDEX(Shipping!$M$5:$M$64,MATCH(J101,Shipping!$L$5:$L$64,0)),DefaultShipping))</f>
        <v>0</v>
      </c>
      <c r="AE101" s="20">
        <f>IF(B101="","",IFERROR(INDEX(Shipping!$F$5:$F$64,MATCH(J101,Shipping!$L$5:$L$64,0)),0))</f>
        <v>0</v>
      </c>
      <c r="AF101" s="36">
        <f>IF(B101="","",IFERROR(INDEX(Shipping!$C$5:$C$64,MATCH(J101,Shipping!$L$5:$L$64,0)),""))</f>
        <v>0</v>
      </c>
      <c r="AG101" s="20">
        <f>IF(B101="","",ROUND(MAX(0,AD101-AE101),2))</f>
        <v>0</v>
      </c>
      <c r="AH101" s="20">
        <f>IF(B101="","",ROUND(T101+Z101+AA101+AB101+AG101,2))</f>
        <v>0</v>
      </c>
      <c r="AI101" s="33">
        <f>IF(B101="","",IFERROR(INDEX(Channels!$S$5:$S$18,MATCH(IF(H101="",DefaultChannel,H101),Channels!$A$5:$A$18,0)),0))</f>
        <v>0</v>
      </c>
      <c r="AJ101" s="42">
        <f>IF(B101="","",IFERROR(INDEX(Channels!$O$5:$O$18,MATCH(IF(H101="",DefaultChannel,H101),Channels!$A$5:$A$18,0)),"No"))</f>
        <v>0</v>
      </c>
      <c r="AK101" s="20">
        <f>IF(B101="","",ROUND(IFERROR(INDEX(Channels!$T$5:$T$18,MATCH(IF(H101="",DefaultChannel,H101),Channels!$A$5:$A$18,0)),0)+IF(AJ101="Yes",AE101*AI101,0),4))</f>
        <v>0</v>
      </c>
      <c r="AL101" s="33">
        <f>IF(B101="","",IF(OverheadMethod="Share of revenue",IF(RevenueTargetMonth&lt;=0,0,OverheadMonthly/RevenueTargetMonth),0))</f>
        <v>0</v>
      </c>
      <c r="AM101" s="20">
        <f>IF(B101="","",IF(OverheadMethod="Per hour worked",ROUND(OverheadPerHour*Y101,2),IF(OR(OverheadMethod="Per unit made",OverheadMethod="Per order"),OverheadPerUnit,0)))</f>
        <v>0</v>
      </c>
      <c r="AN101" s="33">
        <f>IF(B101="","",IF(N101&lt;&gt;"",N101,TargetRetailMargin))</f>
        <v>0</v>
      </c>
      <c r="AO101" s="41">
        <f>IF(B101="","",1-AN101-AI101-AL101)</f>
        <v>0</v>
      </c>
      <c r="AP101" s="20">
        <f>IF(B101="","",IF(AO101&lt;=0,"",(AH101+AM101+AK101)/AO101))</f>
        <v>0</v>
      </c>
      <c r="AQ101" s="20">
        <f>IF(B101="","",IF(AP101="","Check the settings",ROUND(IF(RoundingRule="None",AP101,IF(RoundingRule="Nearest 0.99",MAX(0.99,CEILING(AP101,1)-0.01),IF(RoundingRule="Nearest 0.95",MAX(0.95,CEILING(AP101,1)-0.05),IF(RoundingRule="Nearest 0.50",CEILING(AP101,0.5),IF(RoundingRule="Nearest 1",CEILING(AP101,1),IF(RoundingRule="Nearest 5",CEILING(AP101,5),IF(RoundingRule="Up to whole 1",CEILING(AP101,1),IF(RoundingRule="Up to whole 5",CEILING(AP101,5),ROUND(AP101,2))))))))),2)))</f>
        <v>0</v>
      </c>
      <c r="AR101" s="20">
        <f>IF(B101="","",IF(M101&lt;&gt;"",M101,IF(ISNUMBER(AQ101),AQ101,"")))</f>
        <v>0</v>
      </c>
      <c r="AS101" s="20">
        <f>IF(B101="","",IF(AR101="","",ROUND(AM101+AR101*AL101,2)))</f>
        <v>0</v>
      </c>
      <c r="AT101" s="20">
        <f>IF(B101="","",IF(AR101="","",ROUND(AH101+AS101,2)))</f>
        <v>0</v>
      </c>
      <c r="AU101" s="20">
        <f>IF(B101="","",IF(AR101="","",ROUND(AR101*AI101+AK101,2)))</f>
        <v>0</v>
      </c>
      <c r="AV101" s="20">
        <f>IF(B101="","",IF(AR101="","",ROUND(AR101-AT101-AU101,2)))</f>
        <v>0</v>
      </c>
      <c r="AW101" s="33">
        <f>IF(B101="","",IF(OR(AR101="",AR101=0),"",AV101/AR101))</f>
        <v>0</v>
      </c>
      <c r="AX101" s="33">
        <f>IF(B101="","",IF(OR(AT101="",AT101=0),"",AV101/AT101))</f>
        <v>0</v>
      </c>
      <c r="AY101" s="20">
        <f>IF(B101="","",IF(OR(Y101="",Y101=0,AV101=""),"",ROUND(AV101/Y101,2)))</f>
        <v>0</v>
      </c>
      <c r="AZ101" s="20">
        <f>IF(B101="","",IF(OR(Y101="",Y101=0,AV101=""),"",ROUND((AV101+Z101)/Y101,2)))</f>
        <v>0</v>
      </c>
      <c r="BA101" s="20">
        <f>IF(B101="","",IF(1-AI101-AL101&lt;=0,"",ROUND((AH101+AM101+AK101)/(1-AI101-AL101),2)))</f>
        <v>0</v>
      </c>
      <c r="BB101" s="20">
        <f>IF(B101="","",IF(AT101="","",ROUND(AT101*2,2)))</f>
        <v>0</v>
      </c>
      <c r="BC101" s="20">
        <f>IF(B101="","",IF(AR101="","",ROUND(AR101*(1-WholesaleDiscount),2)))</f>
        <v>0</v>
      </c>
      <c r="BD101" s="20">
        <f>IF(B101="","",IF(BC101="","",ROUND(BC101-AH101-AM101,2)))</f>
        <v>0</v>
      </c>
      <c r="BE101" s="33">
        <f>IF(B101="","",IF(OR(BC101="",BC101=0),"",BD101/BC101))</f>
        <v>0</v>
      </c>
      <c r="BF101" s="20">
        <f>IF(B101="","",IFERROR(ROUND(AVERAGEIFS(Competitors!$F$5:$F$154,Competitors!$A$5:$A$154,A101),2),""))</f>
        <v>0</v>
      </c>
      <c r="BG101" s="33">
        <f>IF(B101="","",IF(OR(BF101="",BF101=0,AR101=""),"",AR101/BF101-1))</f>
        <v>0</v>
      </c>
      <c r="BH101" s="32">
        <f>IF(B101="","",SUMIFS(Sales!$D$5:$D$804,Sales!$C$5:$C$804,A101))</f>
        <v>0</v>
      </c>
      <c r="BI101" s="20">
        <f>IF(B101="","",ROUND(SUMIFS(Sales!$V$5:$V$804,Sales!$C$5:$C$804,A101),2))</f>
        <v>0</v>
      </c>
      <c r="BJ101" s="20">
        <f>IF(B101="","",ROUND(SUMIFS(Sales!$AG$5:$AG$804,Sales!$C$5:$C$804,A101),2))</f>
        <v>0</v>
      </c>
      <c r="BK101" s="33">
        <f>IF(B101="","",IF(OR(BI101="",BI101=0),"",BJ101/BI101))</f>
        <v>0</v>
      </c>
      <c r="BL101" s="17">
        <f>IF(B101="","",IF(SUMPRODUCT(MAX((Sales!$C$5:$C$804=A101)*Sales!$B$5:$B$804))=0,"",SUMPRODUCT(MAX((Sales!$C$5:$C$804=A101)*Sales!$B$5:$B$804))))</f>
        <v>0</v>
      </c>
      <c r="BM101" s="17">
        <f>IF(B101="","",IF(SUMPRODUCT(MAX(('Price History'!$B$5:$B$304=A101)*'Price History'!$A$5:$A$304))=0,IF(P101="","",P101),SUMPRODUCT(MAX(('Price History'!$B$5:$B$304=A101)*'Price History'!$A$5:$A$304))))</f>
        <v>0</v>
      </c>
      <c r="BN101" s="32">
        <f>IF(B101="","",IF(BM101="","",TodayDate-BM101))</f>
        <v>0</v>
      </c>
      <c r="BO101" s="32">
        <f>IF(B101="","",COUNTIFS($AV$5:$AV$304,"&gt;"&amp;AV101)+COUNTIFS($AV$5:AV101,AV101))</f>
        <v>0</v>
      </c>
      <c r="BP101" s="32">
        <f>IF(B101="","",COUNTIFS($AW$5:$AW$304,"&gt;"&amp;AW101)+COUNTIFS($AW$5:AW101,AW101))</f>
        <v>0</v>
      </c>
      <c r="BQ101" s="32">
        <f>IF(B101="","",COUNTIFS($BI$5:$BI$304,"&gt;"&amp;BI101)+COUNTIFS($BI$5:BI101,BI101))</f>
        <v>0</v>
      </c>
      <c r="BR101" s="32">
        <f>IF(B101="","",COUNTIFS($AY$5:$AY$304,"&gt;"&amp;AY101)+COUNTIFS($AY$5:AY101,AY101))</f>
        <v>0</v>
      </c>
      <c r="BS101" s="43">
        <f>IF(B101="","",IF(AH101=0,"Add - no costs entered yet",IF(AR101="","Check - no price yet",IF(AV101&lt;0,"Loss - every sale costs you money",IF(AND(AZ101&lt;&gt;"",AZ101&lt;MinimumWage),"Below - pays under minimum wage",IF(AW101&lt;MarginWarning,"Low margin - re-price it",IF(AND(AF101&lt;&gt;"",K101&lt;&gt;"",K101+AC101&gt;AF101),"Check - too heavy for that postage band",IF(AND(BN101&lt;&gt;"",BN101&gt;PriceReviewDays),"Due - price has not been reviewed",IF(AND(BG101&lt;&gt;"",BG101&gt;0.5),"Check - well above the market","OK")))))))) )</f>
        <v>0</v>
      </c>
    </row>
    <row r="102" spans="1:71">
      <c r="A102" s="38">
        <f>IF(B102="","",ProductPrefix&amp;TEXT(ROW()-4,"0000"))</f>
        <v>0</v>
      </c>
      <c r="S102" s="38">
        <f>IF(B102="","",IF(C102&lt;&gt;"",C102,UPPER(LEFT(IF(D102="","GEN",D102),3))&amp;"-"&amp;TEXT(ROW()-4,"000")))</f>
        <v>0</v>
      </c>
      <c r="T102" s="20">
        <f>IF(B102="","",ROUND(SUMIFS('Material Usage'!$M$5:$M$904,'Material Usage'!$A$5:$A$904,A102)+SUMIFS(Crochet!$AD$5:$AD$84,Crochet!$A$5:$A$84,A102)+SUMIFS(Jewelry!$AF$5:$AF$84,Jewelry!$A$5:$A$84,A102)+SUMIFS(Candles!$AF$5:$AF$84,Candles!$A$5:$A$84,A102)+SUMIFS(Clothing!$AB$5:$AB$84,Clothing!$A$5:$A$84,A102)+SUMIFS(Woodworking!$AC$5:$AC$84,Woodworking!$A$5:$A$84,A102)+SUMIFS(Digital!$X$5:$X$84,Digital!$A$5:$A$84,A102),2))</f>
        <v>0</v>
      </c>
      <c r="U102" s="20">
        <f>IF(B102="","",ROUND(SUMIFS(Labor!$O$5:$O$304,Labor!$A$5:$A$304,A102)+SUMIFS(Crochet!$AG$5:$AG$84,Crochet!$A$5:$A$84,A102)+SUMIFS(Jewelry!$AI$5:$AI$84,Jewelry!$A$5:$A$84,A102)+SUMIFS(Candles!$AI$5:$AI$84,Candles!$A$5:$A$84,A102)+SUMIFS(Clothing!$AE$5:$AE$84,Clothing!$A$5:$A$84,A102)+SUMIFS(Woodworking!$AF$5:$AF$84,Woodworking!$A$5:$A$84,A102)+SUMIFS(Digital!$Z$5:$Z$84,Digital!$A$5:$A$84,A102),2))</f>
        <v>0</v>
      </c>
      <c r="V102" s="36">
        <f>IF(B102="","",ROUND(SUMIFS(Labor!$P$5:$P$304,Labor!$A$5:$A$304,A102)+SUMIFS(Crochet!$AE$5:$AE$84,Crochet!$A$5:$A$84,A102)+SUMIFS(Jewelry!$AG$5:$AG$84,Jewelry!$A$5:$A$84,A102)+SUMIFS(Candles!$AG$5:$AG$84,Candles!$A$5:$A$84,A102)+SUMIFS(Clothing!$AC$5:$AC$84,Clothing!$A$5:$A$84,A102)+SUMIFS(Woodworking!$AD$5:$AD$84,Woodworking!$A$5:$A$84,A102)+SUMIFS(Digital!$Y$5:$Y$84,Digital!$A$5:$A$84,A102),1))</f>
        <v>0</v>
      </c>
      <c r="W102" s="41">
        <f>IF(B102="","",IFERROR(INDEX(DiffTimeFactors,MATCH(G102,DiffNames,0)),1))</f>
        <v>0</v>
      </c>
      <c r="X102" s="36">
        <f>IF(B102="","",ROUND(V102*W102,1))</f>
        <v>0</v>
      </c>
      <c r="Y102" s="41">
        <f>IF(B102="","",ROUND(X102/60,3))</f>
        <v>0</v>
      </c>
      <c r="Z102" s="20">
        <f>IF(B102="","",ROUND(U102*W102,2))</f>
        <v>0</v>
      </c>
      <c r="AA102" s="20">
        <f>IF(B102="","",ROUND(SUMIFS(Labor!$Q$5:$Q$304,Labor!$A$5:$A$304,A102)+SUMIFS(Crochet!$AH$5:$AH$84,Crochet!$A$5:$A$84,A102)+SUMIFS(Jewelry!$AJ$5:$AJ$84,Jewelry!$A$5:$A$84,A102)+SUMIFS(Candles!$AJ$5:$AJ$84,Candles!$A$5:$A$84,A102)+SUMIFS(Clothing!$AF$5:$AF$84,Clothing!$A$5:$A$84,A102)+SUMIFS(Woodworking!$AH$5:$AH$84,Woodworking!$A$5:$A$84,A102)+SUMIFS(Digital!$AA$5:$AA$84,Digital!$A$5:$A$84,A102),2))</f>
        <v>0</v>
      </c>
      <c r="AB102" s="20">
        <f>IF(B102="","",ROUND(IF(I102="Budget",PackBudget,IF(I102="Standard",PackStandard,IF(I102="Gift",PackGift,IF(I102="Premium",PackPremium,DefaultPackaging)))),2))</f>
        <v>0</v>
      </c>
      <c r="AC102" s="36">
        <f>IF(B102="","",IF(I102="Budget",PackWeightBudget,IF(I102="Standard",PackWeightStandard,IF(I102="Gift",PackWeightGift,IF(I102="Premium",PackWeightPremium,0)))))</f>
        <v>0</v>
      </c>
      <c r="AD102" s="20">
        <f>IF(B102="","",IFERROR(INDEX(Shipping!$M$5:$M$64,MATCH(J102,Shipping!$L$5:$L$64,0)),DefaultShipping))</f>
        <v>0</v>
      </c>
      <c r="AE102" s="20">
        <f>IF(B102="","",IFERROR(INDEX(Shipping!$F$5:$F$64,MATCH(J102,Shipping!$L$5:$L$64,0)),0))</f>
        <v>0</v>
      </c>
      <c r="AF102" s="36">
        <f>IF(B102="","",IFERROR(INDEX(Shipping!$C$5:$C$64,MATCH(J102,Shipping!$L$5:$L$64,0)),""))</f>
        <v>0</v>
      </c>
      <c r="AG102" s="20">
        <f>IF(B102="","",ROUND(MAX(0,AD102-AE102),2))</f>
        <v>0</v>
      </c>
      <c r="AH102" s="20">
        <f>IF(B102="","",ROUND(T102+Z102+AA102+AB102+AG102,2))</f>
        <v>0</v>
      </c>
      <c r="AI102" s="33">
        <f>IF(B102="","",IFERROR(INDEX(Channels!$S$5:$S$18,MATCH(IF(H102="",DefaultChannel,H102),Channels!$A$5:$A$18,0)),0))</f>
        <v>0</v>
      </c>
      <c r="AJ102" s="42">
        <f>IF(B102="","",IFERROR(INDEX(Channels!$O$5:$O$18,MATCH(IF(H102="",DefaultChannel,H102),Channels!$A$5:$A$18,0)),"No"))</f>
        <v>0</v>
      </c>
      <c r="AK102" s="20">
        <f>IF(B102="","",ROUND(IFERROR(INDEX(Channels!$T$5:$T$18,MATCH(IF(H102="",DefaultChannel,H102),Channels!$A$5:$A$18,0)),0)+IF(AJ102="Yes",AE102*AI102,0),4))</f>
        <v>0</v>
      </c>
      <c r="AL102" s="33">
        <f>IF(B102="","",IF(OverheadMethod="Share of revenue",IF(RevenueTargetMonth&lt;=0,0,OverheadMonthly/RevenueTargetMonth),0))</f>
        <v>0</v>
      </c>
      <c r="AM102" s="20">
        <f>IF(B102="","",IF(OverheadMethod="Per hour worked",ROUND(OverheadPerHour*Y102,2),IF(OR(OverheadMethod="Per unit made",OverheadMethod="Per order"),OverheadPerUnit,0)))</f>
        <v>0</v>
      </c>
      <c r="AN102" s="33">
        <f>IF(B102="","",IF(N102&lt;&gt;"",N102,TargetRetailMargin))</f>
        <v>0</v>
      </c>
      <c r="AO102" s="41">
        <f>IF(B102="","",1-AN102-AI102-AL102)</f>
        <v>0</v>
      </c>
      <c r="AP102" s="20">
        <f>IF(B102="","",IF(AO102&lt;=0,"",(AH102+AM102+AK102)/AO102))</f>
        <v>0</v>
      </c>
      <c r="AQ102" s="20">
        <f>IF(B102="","",IF(AP102="","Check the settings",ROUND(IF(RoundingRule="None",AP102,IF(RoundingRule="Nearest 0.99",MAX(0.99,CEILING(AP102,1)-0.01),IF(RoundingRule="Nearest 0.95",MAX(0.95,CEILING(AP102,1)-0.05),IF(RoundingRule="Nearest 0.50",CEILING(AP102,0.5),IF(RoundingRule="Nearest 1",CEILING(AP102,1),IF(RoundingRule="Nearest 5",CEILING(AP102,5),IF(RoundingRule="Up to whole 1",CEILING(AP102,1),IF(RoundingRule="Up to whole 5",CEILING(AP102,5),ROUND(AP102,2))))))))),2)))</f>
        <v>0</v>
      </c>
      <c r="AR102" s="20">
        <f>IF(B102="","",IF(M102&lt;&gt;"",M102,IF(ISNUMBER(AQ102),AQ102,"")))</f>
        <v>0</v>
      </c>
      <c r="AS102" s="20">
        <f>IF(B102="","",IF(AR102="","",ROUND(AM102+AR102*AL102,2)))</f>
        <v>0</v>
      </c>
      <c r="AT102" s="20">
        <f>IF(B102="","",IF(AR102="","",ROUND(AH102+AS102,2)))</f>
        <v>0</v>
      </c>
      <c r="AU102" s="20">
        <f>IF(B102="","",IF(AR102="","",ROUND(AR102*AI102+AK102,2)))</f>
        <v>0</v>
      </c>
      <c r="AV102" s="20">
        <f>IF(B102="","",IF(AR102="","",ROUND(AR102-AT102-AU102,2)))</f>
        <v>0</v>
      </c>
      <c r="AW102" s="33">
        <f>IF(B102="","",IF(OR(AR102="",AR102=0),"",AV102/AR102))</f>
        <v>0</v>
      </c>
      <c r="AX102" s="33">
        <f>IF(B102="","",IF(OR(AT102="",AT102=0),"",AV102/AT102))</f>
        <v>0</v>
      </c>
      <c r="AY102" s="20">
        <f>IF(B102="","",IF(OR(Y102="",Y102=0,AV102=""),"",ROUND(AV102/Y102,2)))</f>
        <v>0</v>
      </c>
      <c r="AZ102" s="20">
        <f>IF(B102="","",IF(OR(Y102="",Y102=0,AV102=""),"",ROUND((AV102+Z102)/Y102,2)))</f>
        <v>0</v>
      </c>
      <c r="BA102" s="20">
        <f>IF(B102="","",IF(1-AI102-AL102&lt;=0,"",ROUND((AH102+AM102+AK102)/(1-AI102-AL102),2)))</f>
        <v>0</v>
      </c>
      <c r="BB102" s="20">
        <f>IF(B102="","",IF(AT102="","",ROUND(AT102*2,2)))</f>
        <v>0</v>
      </c>
      <c r="BC102" s="20">
        <f>IF(B102="","",IF(AR102="","",ROUND(AR102*(1-WholesaleDiscount),2)))</f>
        <v>0</v>
      </c>
      <c r="BD102" s="20">
        <f>IF(B102="","",IF(BC102="","",ROUND(BC102-AH102-AM102,2)))</f>
        <v>0</v>
      </c>
      <c r="BE102" s="33">
        <f>IF(B102="","",IF(OR(BC102="",BC102=0),"",BD102/BC102))</f>
        <v>0</v>
      </c>
      <c r="BF102" s="20">
        <f>IF(B102="","",IFERROR(ROUND(AVERAGEIFS(Competitors!$F$5:$F$154,Competitors!$A$5:$A$154,A102),2),""))</f>
        <v>0</v>
      </c>
      <c r="BG102" s="33">
        <f>IF(B102="","",IF(OR(BF102="",BF102=0,AR102=""),"",AR102/BF102-1))</f>
        <v>0</v>
      </c>
      <c r="BH102" s="32">
        <f>IF(B102="","",SUMIFS(Sales!$D$5:$D$804,Sales!$C$5:$C$804,A102))</f>
        <v>0</v>
      </c>
      <c r="BI102" s="20">
        <f>IF(B102="","",ROUND(SUMIFS(Sales!$V$5:$V$804,Sales!$C$5:$C$804,A102),2))</f>
        <v>0</v>
      </c>
      <c r="BJ102" s="20">
        <f>IF(B102="","",ROUND(SUMIFS(Sales!$AG$5:$AG$804,Sales!$C$5:$C$804,A102),2))</f>
        <v>0</v>
      </c>
      <c r="BK102" s="33">
        <f>IF(B102="","",IF(OR(BI102="",BI102=0),"",BJ102/BI102))</f>
        <v>0</v>
      </c>
      <c r="BL102" s="17">
        <f>IF(B102="","",IF(SUMPRODUCT(MAX((Sales!$C$5:$C$804=A102)*Sales!$B$5:$B$804))=0,"",SUMPRODUCT(MAX((Sales!$C$5:$C$804=A102)*Sales!$B$5:$B$804))))</f>
        <v>0</v>
      </c>
      <c r="BM102" s="17">
        <f>IF(B102="","",IF(SUMPRODUCT(MAX(('Price History'!$B$5:$B$304=A102)*'Price History'!$A$5:$A$304))=0,IF(P102="","",P102),SUMPRODUCT(MAX(('Price History'!$B$5:$B$304=A102)*'Price History'!$A$5:$A$304))))</f>
        <v>0</v>
      </c>
      <c r="BN102" s="32">
        <f>IF(B102="","",IF(BM102="","",TodayDate-BM102))</f>
        <v>0</v>
      </c>
      <c r="BO102" s="32">
        <f>IF(B102="","",COUNTIFS($AV$5:$AV$304,"&gt;"&amp;AV102)+COUNTIFS($AV$5:AV102,AV102))</f>
        <v>0</v>
      </c>
      <c r="BP102" s="32">
        <f>IF(B102="","",COUNTIFS($AW$5:$AW$304,"&gt;"&amp;AW102)+COUNTIFS($AW$5:AW102,AW102))</f>
        <v>0</v>
      </c>
      <c r="BQ102" s="32">
        <f>IF(B102="","",COUNTIFS($BI$5:$BI$304,"&gt;"&amp;BI102)+COUNTIFS($BI$5:BI102,BI102))</f>
        <v>0</v>
      </c>
      <c r="BR102" s="32">
        <f>IF(B102="","",COUNTIFS($AY$5:$AY$304,"&gt;"&amp;AY102)+COUNTIFS($AY$5:AY102,AY102))</f>
        <v>0</v>
      </c>
      <c r="BS102" s="43">
        <f>IF(B102="","",IF(AH102=0,"Add - no costs entered yet",IF(AR102="","Check - no price yet",IF(AV102&lt;0,"Loss - every sale costs you money",IF(AND(AZ102&lt;&gt;"",AZ102&lt;MinimumWage),"Below - pays under minimum wage",IF(AW102&lt;MarginWarning,"Low margin - re-price it",IF(AND(AF102&lt;&gt;"",K102&lt;&gt;"",K102+AC102&gt;AF102),"Check - too heavy for that postage band",IF(AND(BN102&lt;&gt;"",BN102&gt;PriceReviewDays),"Due - price has not been reviewed",IF(AND(BG102&lt;&gt;"",BG102&gt;0.5),"Check - well above the market","OK")))))))) )</f>
        <v>0</v>
      </c>
    </row>
    <row r="103" spans="1:71">
      <c r="A103" s="38">
        <f>IF(B103="","",ProductPrefix&amp;TEXT(ROW()-4,"0000"))</f>
        <v>0</v>
      </c>
      <c r="S103" s="38">
        <f>IF(B103="","",IF(C103&lt;&gt;"",C103,UPPER(LEFT(IF(D103="","GEN",D103),3))&amp;"-"&amp;TEXT(ROW()-4,"000")))</f>
        <v>0</v>
      </c>
      <c r="T103" s="20">
        <f>IF(B103="","",ROUND(SUMIFS('Material Usage'!$M$5:$M$904,'Material Usage'!$A$5:$A$904,A103)+SUMIFS(Crochet!$AD$5:$AD$84,Crochet!$A$5:$A$84,A103)+SUMIFS(Jewelry!$AF$5:$AF$84,Jewelry!$A$5:$A$84,A103)+SUMIFS(Candles!$AF$5:$AF$84,Candles!$A$5:$A$84,A103)+SUMIFS(Clothing!$AB$5:$AB$84,Clothing!$A$5:$A$84,A103)+SUMIFS(Woodworking!$AC$5:$AC$84,Woodworking!$A$5:$A$84,A103)+SUMIFS(Digital!$X$5:$X$84,Digital!$A$5:$A$84,A103),2))</f>
        <v>0</v>
      </c>
      <c r="U103" s="20">
        <f>IF(B103="","",ROUND(SUMIFS(Labor!$O$5:$O$304,Labor!$A$5:$A$304,A103)+SUMIFS(Crochet!$AG$5:$AG$84,Crochet!$A$5:$A$84,A103)+SUMIFS(Jewelry!$AI$5:$AI$84,Jewelry!$A$5:$A$84,A103)+SUMIFS(Candles!$AI$5:$AI$84,Candles!$A$5:$A$84,A103)+SUMIFS(Clothing!$AE$5:$AE$84,Clothing!$A$5:$A$84,A103)+SUMIFS(Woodworking!$AF$5:$AF$84,Woodworking!$A$5:$A$84,A103)+SUMIFS(Digital!$Z$5:$Z$84,Digital!$A$5:$A$84,A103),2))</f>
        <v>0</v>
      </c>
      <c r="V103" s="36">
        <f>IF(B103="","",ROUND(SUMIFS(Labor!$P$5:$P$304,Labor!$A$5:$A$304,A103)+SUMIFS(Crochet!$AE$5:$AE$84,Crochet!$A$5:$A$84,A103)+SUMIFS(Jewelry!$AG$5:$AG$84,Jewelry!$A$5:$A$84,A103)+SUMIFS(Candles!$AG$5:$AG$84,Candles!$A$5:$A$84,A103)+SUMIFS(Clothing!$AC$5:$AC$84,Clothing!$A$5:$A$84,A103)+SUMIFS(Woodworking!$AD$5:$AD$84,Woodworking!$A$5:$A$84,A103)+SUMIFS(Digital!$Y$5:$Y$84,Digital!$A$5:$A$84,A103),1))</f>
        <v>0</v>
      </c>
      <c r="W103" s="41">
        <f>IF(B103="","",IFERROR(INDEX(DiffTimeFactors,MATCH(G103,DiffNames,0)),1))</f>
        <v>0</v>
      </c>
      <c r="X103" s="36">
        <f>IF(B103="","",ROUND(V103*W103,1))</f>
        <v>0</v>
      </c>
      <c r="Y103" s="41">
        <f>IF(B103="","",ROUND(X103/60,3))</f>
        <v>0</v>
      </c>
      <c r="Z103" s="20">
        <f>IF(B103="","",ROUND(U103*W103,2))</f>
        <v>0</v>
      </c>
      <c r="AA103" s="20">
        <f>IF(B103="","",ROUND(SUMIFS(Labor!$Q$5:$Q$304,Labor!$A$5:$A$304,A103)+SUMIFS(Crochet!$AH$5:$AH$84,Crochet!$A$5:$A$84,A103)+SUMIFS(Jewelry!$AJ$5:$AJ$84,Jewelry!$A$5:$A$84,A103)+SUMIFS(Candles!$AJ$5:$AJ$84,Candles!$A$5:$A$84,A103)+SUMIFS(Clothing!$AF$5:$AF$84,Clothing!$A$5:$A$84,A103)+SUMIFS(Woodworking!$AH$5:$AH$84,Woodworking!$A$5:$A$84,A103)+SUMIFS(Digital!$AA$5:$AA$84,Digital!$A$5:$A$84,A103),2))</f>
        <v>0</v>
      </c>
      <c r="AB103" s="20">
        <f>IF(B103="","",ROUND(IF(I103="Budget",PackBudget,IF(I103="Standard",PackStandard,IF(I103="Gift",PackGift,IF(I103="Premium",PackPremium,DefaultPackaging)))),2))</f>
        <v>0</v>
      </c>
      <c r="AC103" s="36">
        <f>IF(B103="","",IF(I103="Budget",PackWeightBudget,IF(I103="Standard",PackWeightStandard,IF(I103="Gift",PackWeightGift,IF(I103="Premium",PackWeightPremium,0)))))</f>
        <v>0</v>
      </c>
      <c r="AD103" s="20">
        <f>IF(B103="","",IFERROR(INDEX(Shipping!$M$5:$M$64,MATCH(J103,Shipping!$L$5:$L$64,0)),DefaultShipping))</f>
        <v>0</v>
      </c>
      <c r="AE103" s="20">
        <f>IF(B103="","",IFERROR(INDEX(Shipping!$F$5:$F$64,MATCH(J103,Shipping!$L$5:$L$64,0)),0))</f>
        <v>0</v>
      </c>
      <c r="AF103" s="36">
        <f>IF(B103="","",IFERROR(INDEX(Shipping!$C$5:$C$64,MATCH(J103,Shipping!$L$5:$L$64,0)),""))</f>
        <v>0</v>
      </c>
      <c r="AG103" s="20">
        <f>IF(B103="","",ROUND(MAX(0,AD103-AE103),2))</f>
        <v>0</v>
      </c>
      <c r="AH103" s="20">
        <f>IF(B103="","",ROUND(T103+Z103+AA103+AB103+AG103,2))</f>
        <v>0</v>
      </c>
      <c r="AI103" s="33">
        <f>IF(B103="","",IFERROR(INDEX(Channels!$S$5:$S$18,MATCH(IF(H103="",DefaultChannel,H103),Channels!$A$5:$A$18,0)),0))</f>
        <v>0</v>
      </c>
      <c r="AJ103" s="42">
        <f>IF(B103="","",IFERROR(INDEX(Channels!$O$5:$O$18,MATCH(IF(H103="",DefaultChannel,H103),Channels!$A$5:$A$18,0)),"No"))</f>
        <v>0</v>
      </c>
      <c r="AK103" s="20">
        <f>IF(B103="","",ROUND(IFERROR(INDEX(Channels!$T$5:$T$18,MATCH(IF(H103="",DefaultChannel,H103),Channels!$A$5:$A$18,0)),0)+IF(AJ103="Yes",AE103*AI103,0),4))</f>
        <v>0</v>
      </c>
      <c r="AL103" s="33">
        <f>IF(B103="","",IF(OverheadMethod="Share of revenue",IF(RevenueTargetMonth&lt;=0,0,OverheadMonthly/RevenueTargetMonth),0))</f>
        <v>0</v>
      </c>
      <c r="AM103" s="20">
        <f>IF(B103="","",IF(OverheadMethod="Per hour worked",ROUND(OverheadPerHour*Y103,2),IF(OR(OverheadMethod="Per unit made",OverheadMethod="Per order"),OverheadPerUnit,0)))</f>
        <v>0</v>
      </c>
      <c r="AN103" s="33">
        <f>IF(B103="","",IF(N103&lt;&gt;"",N103,TargetRetailMargin))</f>
        <v>0</v>
      </c>
      <c r="AO103" s="41">
        <f>IF(B103="","",1-AN103-AI103-AL103)</f>
        <v>0</v>
      </c>
      <c r="AP103" s="20">
        <f>IF(B103="","",IF(AO103&lt;=0,"",(AH103+AM103+AK103)/AO103))</f>
        <v>0</v>
      </c>
      <c r="AQ103" s="20">
        <f>IF(B103="","",IF(AP103="","Check the settings",ROUND(IF(RoundingRule="None",AP103,IF(RoundingRule="Nearest 0.99",MAX(0.99,CEILING(AP103,1)-0.01),IF(RoundingRule="Nearest 0.95",MAX(0.95,CEILING(AP103,1)-0.05),IF(RoundingRule="Nearest 0.50",CEILING(AP103,0.5),IF(RoundingRule="Nearest 1",CEILING(AP103,1),IF(RoundingRule="Nearest 5",CEILING(AP103,5),IF(RoundingRule="Up to whole 1",CEILING(AP103,1),IF(RoundingRule="Up to whole 5",CEILING(AP103,5),ROUND(AP103,2))))))))),2)))</f>
        <v>0</v>
      </c>
      <c r="AR103" s="20">
        <f>IF(B103="","",IF(M103&lt;&gt;"",M103,IF(ISNUMBER(AQ103),AQ103,"")))</f>
        <v>0</v>
      </c>
      <c r="AS103" s="20">
        <f>IF(B103="","",IF(AR103="","",ROUND(AM103+AR103*AL103,2)))</f>
        <v>0</v>
      </c>
      <c r="AT103" s="20">
        <f>IF(B103="","",IF(AR103="","",ROUND(AH103+AS103,2)))</f>
        <v>0</v>
      </c>
      <c r="AU103" s="20">
        <f>IF(B103="","",IF(AR103="","",ROUND(AR103*AI103+AK103,2)))</f>
        <v>0</v>
      </c>
      <c r="AV103" s="20">
        <f>IF(B103="","",IF(AR103="","",ROUND(AR103-AT103-AU103,2)))</f>
        <v>0</v>
      </c>
      <c r="AW103" s="33">
        <f>IF(B103="","",IF(OR(AR103="",AR103=0),"",AV103/AR103))</f>
        <v>0</v>
      </c>
      <c r="AX103" s="33">
        <f>IF(B103="","",IF(OR(AT103="",AT103=0),"",AV103/AT103))</f>
        <v>0</v>
      </c>
      <c r="AY103" s="20">
        <f>IF(B103="","",IF(OR(Y103="",Y103=0,AV103=""),"",ROUND(AV103/Y103,2)))</f>
        <v>0</v>
      </c>
      <c r="AZ103" s="20">
        <f>IF(B103="","",IF(OR(Y103="",Y103=0,AV103=""),"",ROUND((AV103+Z103)/Y103,2)))</f>
        <v>0</v>
      </c>
      <c r="BA103" s="20">
        <f>IF(B103="","",IF(1-AI103-AL103&lt;=0,"",ROUND((AH103+AM103+AK103)/(1-AI103-AL103),2)))</f>
        <v>0</v>
      </c>
      <c r="BB103" s="20">
        <f>IF(B103="","",IF(AT103="","",ROUND(AT103*2,2)))</f>
        <v>0</v>
      </c>
      <c r="BC103" s="20">
        <f>IF(B103="","",IF(AR103="","",ROUND(AR103*(1-WholesaleDiscount),2)))</f>
        <v>0</v>
      </c>
      <c r="BD103" s="20">
        <f>IF(B103="","",IF(BC103="","",ROUND(BC103-AH103-AM103,2)))</f>
        <v>0</v>
      </c>
      <c r="BE103" s="33">
        <f>IF(B103="","",IF(OR(BC103="",BC103=0),"",BD103/BC103))</f>
        <v>0</v>
      </c>
      <c r="BF103" s="20">
        <f>IF(B103="","",IFERROR(ROUND(AVERAGEIFS(Competitors!$F$5:$F$154,Competitors!$A$5:$A$154,A103),2),""))</f>
        <v>0</v>
      </c>
      <c r="BG103" s="33">
        <f>IF(B103="","",IF(OR(BF103="",BF103=0,AR103=""),"",AR103/BF103-1))</f>
        <v>0</v>
      </c>
      <c r="BH103" s="32">
        <f>IF(B103="","",SUMIFS(Sales!$D$5:$D$804,Sales!$C$5:$C$804,A103))</f>
        <v>0</v>
      </c>
      <c r="BI103" s="20">
        <f>IF(B103="","",ROUND(SUMIFS(Sales!$V$5:$V$804,Sales!$C$5:$C$804,A103),2))</f>
        <v>0</v>
      </c>
      <c r="BJ103" s="20">
        <f>IF(B103="","",ROUND(SUMIFS(Sales!$AG$5:$AG$804,Sales!$C$5:$C$804,A103),2))</f>
        <v>0</v>
      </c>
      <c r="BK103" s="33">
        <f>IF(B103="","",IF(OR(BI103="",BI103=0),"",BJ103/BI103))</f>
        <v>0</v>
      </c>
      <c r="BL103" s="17">
        <f>IF(B103="","",IF(SUMPRODUCT(MAX((Sales!$C$5:$C$804=A103)*Sales!$B$5:$B$804))=0,"",SUMPRODUCT(MAX((Sales!$C$5:$C$804=A103)*Sales!$B$5:$B$804))))</f>
        <v>0</v>
      </c>
      <c r="BM103" s="17">
        <f>IF(B103="","",IF(SUMPRODUCT(MAX(('Price History'!$B$5:$B$304=A103)*'Price History'!$A$5:$A$304))=0,IF(P103="","",P103),SUMPRODUCT(MAX(('Price History'!$B$5:$B$304=A103)*'Price History'!$A$5:$A$304))))</f>
        <v>0</v>
      </c>
      <c r="BN103" s="32">
        <f>IF(B103="","",IF(BM103="","",TodayDate-BM103))</f>
        <v>0</v>
      </c>
      <c r="BO103" s="32">
        <f>IF(B103="","",COUNTIFS($AV$5:$AV$304,"&gt;"&amp;AV103)+COUNTIFS($AV$5:AV103,AV103))</f>
        <v>0</v>
      </c>
      <c r="BP103" s="32">
        <f>IF(B103="","",COUNTIFS($AW$5:$AW$304,"&gt;"&amp;AW103)+COUNTIFS($AW$5:AW103,AW103))</f>
        <v>0</v>
      </c>
      <c r="BQ103" s="32">
        <f>IF(B103="","",COUNTIFS($BI$5:$BI$304,"&gt;"&amp;BI103)+COUNTIFS($BI$5:BI103,BI103))</f>
        <v>0</v>
      </c>
      <c r="BR103" s="32">
        <f>IF(B103="","",COUNTIFS($AY$5:$AY$304,"&gt;"&amp;AY103)+COUNTIFS($AY$5:AY103,AY103))</f>
        <v>0</v>
      </c>
      <c r="BS103" s="43">
        <f>IF(B103="","",IF(AH103=0,"Add - no costs entered yet",IF(AR103="","Check - no price yet",IF(AV103&lt;0,"Loss - every sale costs you money",IF(AND(AZ103&lt;&gt;"",AZ103&lt;MinimumWage),"Below - pays under minimum wage",IF(AW103&lt;MarginWarning,"Low margin - re-price it",IF(AND(AF103&lt;&gt;"",K103&lt;&gt;"",K103+AC103&gt;AF103),"Check - too heavy for that postage band",IF(AND(BN103&lt;&gt;"",BN103&gt;PriceReviewDays),"Due - price has not been reviewed",IF(AND(BG103&lt;&gt;"",BG103&gt;0.5),"Check - well above the market","OK")))))))) )</f>
        <v>0</v>
      </c>
    </row>
    <row r="104" spans="1:71">
      <c r="A104" s="38">
        <f>IF(B104="","",ProductPrefix&amp;TEXT(ROW()-4,"0000"))</f>
        <v>0</v>
      </c>
      <c r="S104" s="38">
        <f>IF(B104="","",IF(C104&lt;&gt;"",C104,UPPER(LEFT(IF(D104="","GEN",D104),3))&amp;"-"&amp;TEXT(ROW()-4,"000")))</f>
        <v>0</v>
      </c>
      <c r="T104" s="20">
        <f>IF(B104="","",ROUND(SUMIFS('Material Usage'!$M$5:$M$904,'Material Usage'!$A$5:$A$904,A104)+SUMIFS(Crochet!$AD$5:$AD$84,Crochet!$A$5:$A$84,A104)+SUMIFS(Jewelry!$AF$5:$AF$84,Jewelry!$A$5:$A$84,A104)+SUMIFS(Candles!$AF$5:$AF$84,Candles!$A$5:$A$84,A104)+SUMIFS(Clothing!$AB$5:$AB$84,Clothing!$A$5:$A$84,A104)+SUMIFS(Woodworking!$AC$5:$AC$84,Woodworking!$A$5:$A$84,A104)+SUMIFS(Digital!$X$5:$X$84,Digital!$A$5:$A$84,A104),2))</f>
        <v>0</v>
      </c>
      <c r="U104" s="20">
        <f>IF(B104="","",ROUND(SUMIFS(Labor!$O$5:$O$304,Labor!$A$5:$A$304,A104)+SUMIFS(Crochet!$AG$5:$AG$84,Crochet!$A$5:$A$84,A104)+SUMIFS(Jewelry!$AI$5:$AI$84,Jewelry!$A$5:$A$84,A104)+SUMIFS(Candles!$AI$5:$AI$84,Candles!$A$5:$A$84,A104)+SUMIFS(Clothing!$AE$5:$AE$84,Clothing!$A$5:$A$84,A104)+SUMIFS(Woodworking!$AF$5:$AF$84,Woodworking!$A$5:$A$84,A104)+SUMIFS(Digital!$Z$5:$Z$84,Digital!$A$5:$A$84,A104),2))</f>
        <v>0</v>
      </c>
      <c r="V104" s="36">
        <f>IF(B104="","",ROUND(SUMIFS(Labor!$P$5:$P$304,Labor!$A$5:$A$304,A104)+SUMIFS(Crochet!$AE$5:$AE$84,Crochet!$A$5:$A$84,A104)+SUMIFS(Jewelry!$AG$5:$AG$84,Jewelry!$A$5:$A$84,A104)+SUMIFS(Candles!$AG$5:$AG$84,Candles!$A$5:$A$84,A104)+SUMIFS(Clothing!$AC$5:$AC$84,Clothing!$A$5:$A$84,A104)+SUMIFS(Woodworking!$AD$5:$AD$84,Woodworking!$A$5:$A$84,A104)+SUMIFS(Digital!$Y$5:$Y$84,Digital!$A$5:$A$84,A104),1))</f>
        <v>0</v>
      </c>
      <c r="W104" s="41">
        <f>IF(B104="","",IFERROR(INDEX(DiffTimeFactors,MATCH(G104,DiffNames,0)),1))</f>
        <v>0</v>
      </c>
      <c r="X104" s="36">
        <f>IF(B104="","",ROUND(V104*W104,1))</f>
        <v>0</v>
      </c>
      <c r="Y104" s="41">
        <f>IF(B104="","",ROUND(X104/60,3))</f>
        <v>0</v>
      </c>
      <c r="Z104" s="20">
        <f>IF(B104="","",ROUND(U104*W104,2))</f>
        <v>0</v>
      </c>
      <c r="AA104" s="20">
        <f>IF(B104="","",ROUND(SUMIFS(Labor!$Q$5:$Q$304,Labor!$A$5:$A$304,A104)+SUMIFS(Crochet!$AH$5:$AH$84,Crochet!$A$5:$A$84,A104)+SUMIFS(Jewelry!$AJ$5:$AJ$84,Jewelry!$A$5:$A$84,A104)+SUMIFS(Candles!$AJ$5:$AJ$84,Candles!$A$5:$A$84,A104)+SUMIFS(Clothing!$AF$5:$AF$84,Clothing!$A$5:$A$84,A104)+SUMIFS(Woodworking!$AH$5:$AH$84,Woodworking!$A$5:$A$84,A104)+SUMIFS(Digital!$AA$5:$AA$84,Digital!$A$5:$A$84,A104),2))</f>
        <v>0</v>
      </c>
      <c r="AB104" s="20">
        <f>IF(B104="","",ROUND(IF(I104="Budget",PackBudget,IF(I104="Standard",PackStandard,IF(I104="Gift",PackGift,IF(I104="Premium",PackPremium,DefaultPackaging)))),2))</f>
        <v>0</v>
      </c>
      <c r="AC104" s="36">
        <f>IF(B104="","",IF(I104="Budget",PackWeightBudget,IF(I104="Standard",PackWeightStandard,IF(I104="Gift",PackWeightGift,IF(I104="Premium",PackWeightPremium,0)))))</f>
        <v>0</v>
      </c>
      <c r="AD104" s="20">
        <f>IF(B104="","",IFERROR(INDEX(Shipping!$M$5:$M$64,MATCH(J104,Shipping!$L$5:$L$64,0)),DefaultShipping))</f>
        <v>0</v>
      </c>
      <c r="AE104" s="20">
        <f>IF(B104="","",IFERROR(INDEX(Shipping!$F$5:$F$64,MATCH(J104,Shipping!$L$5:$L$64,0)),0))</f>
        <v>0</v>
      </c>
      <c r="AF104" s="36">
        <f>IF(B104="","",IFERROR(INDEX(Shipping!$C$5:$C$64,MATCH(J104,Shipping!$L$5:$L$64,0)),""))</f>
        <v>0</v>
      </c>
      <c r="AG104" s="20">
        <f>IF(B104="","",ROUND(MAX(0,AD104-AE104),2))</f>
        <v>0</v>
      </c>
      <c r="AH104" s="20">
        <f>IF(B104="","",ROUND(T104+Z104+AA104+AB104+AG104,2))</f>
        <v>0</v>
      </c>
      <c r="AI104" s="33">
        <f>IF(B104="","",IFERROR(INDEX(Channels!$S$5:$S$18,MATCH(IF(H104="",DefaultChannel,H104),Channels!$A$5:$A$18,0)),0))</f>
        <v>0</v>
      </c>
      <c r="AJ104" s="42">
        <f>IF(B104="","",IFERROR(INDEX(Channels!$O$5:$O$18,MATCH(IF(H104="",DefaultChannel,H104),Channels!$A$5:$A$18,0)),"No"))</f>
        <v>0</v>
      </c>
      <c r="AK104" s="20">
        <f>IF(B104="","",ROUND(IFERROR(INDEX(Channels!$T$5:$T$18,MATCH(IF(H104="",DefaultChannel,H104),Channels!$A$5:$A$18,0)),0)+IF(AJ104="Yes",AE104*AI104,0),4))</f>
        <v>0</v>
      </c>
      <c r="AL104" s="33">
        <f>IF(B104="","",IF(OverheadMethod="Share of revenue",IF(RevenueTargetMonth&lt;=0,0,OverheadMonthly/RevenueTargetMonth),0))</f>
        <v>0</v>
      </c>
      <c r="AM104" s="20">
        <f>IF(B104="","",IF(OverheadMethod="Per hour worked",ROUND(OverheadPerHour*Y104,2),IF(OR(OverheadMethod="Per unit made",OverheadMethod="Per order"),OverheadPerUnit,0)))</f>
        <v>0</v>
      </c>
      <c r="AN104" s="33">
        <f>IF(B104="","",IF(N104&lt;&gt;"",N104,TargetRetailMargin))</f>
        <v>0</v>
      </c>
      <c r="AO104" s="41">
        <f>IF(B104="","",1-AN104-AI104-AL104)</f>
        <v>0</v>
      </c>
      <c r="AP104" s="20">
        <f>IF(B104="","",IF(AO104&lt;=0,"",(AH104+AM104+AK104)/AO104))</f>
        <v>0</v>
      </c>
      <c r="AQ104" s="20">
        <f>IF(B104="","",IF(AP104="","Check the settings",ROUND(IF(RoundingRule="None",AP104,IF(RoundingRule="Nearest 0.99",MAX(0.99,CEILING(AP104,1)-0.01),IF(RoundingRule="Nearest 0.95",MAX(0.95,CEILING(AP104,1)-0.05),IF(RoundingRule="Nearest 0.50",CEILING(AP104,0.5),IF(RoundingRule="Nearest 1",CEILING(AP104,1),IF(RoundingRule="Nearest 5",CEILING(AP104,5),IF(RoundingRule="Up to whole 1",CEILING(AP104,1),IF(RoundingRule="Up to whole 5",CEILING(AP104,5),ROUND(AP104,2))))))))),2)))</f>
        <v>0</v>
      </c>
      <c r="AR104" s="20">
        <f>IF(B104="","",IF(M104&lt;&gt;"",M104,IF(ISNUMBER(AQ104),AQ104,"")))</f>
        <v>0</v>
      </c>
      <c r="AS104" s="20">
        <f>IF(B104="","",IF(AR104="","",ROUND(AM104+AR104*AL104,2)))</f>
        <v>0</v>
      </c>
      <c r="AT104" s="20">
        <f>IF(B104="","",IF(AR104="","",ROUND(AH104+AS104,2)))</f>
        <v>0</v>
      </c>
      <c r="AU104" s="20">
        <f>IF(B104="","",IF(AR104="","",ROUND(AR104*AI104+AK104,2)))</f>
        <v>0</v>
      </c>
      <c r="AV104" s="20">
        <f>IF(B104="","",IF(AR104="","",ROUND(AR104-AT104-AU104,2)))</f>
        <v>0</v>
      </c>
      <c r="AW104" s="33">
        <f>IF(B104="","",IF(OR(AR104="",AR104=0),"",AV104/AR104))</f>
        <v>0</v>
      </c>
      <c r="AX104" s="33">
        <f>IF(B104="","",IF(OR(AT104="",AT104=0),"",AV104/AT104))</f>
        <v>0</v>
      </c>
      <c r="AY104" s="20">
        <f>IF(B104="","",IF(OR(Y104="",Y104=0,AV104=""),"",ROUND(AV104/Y104,2)))</f>
        <v>0</v>
      </c>
      <c r="AZ104" s="20">
        <f>IF(B104="","",IF(OR(Y104="",Y104=0,AV104=""),"",ROUND((AV104+Z104)/Y104,2)))</f>
        <v>0</v>
      </c>
      <c r="BA104" s="20">
        <f>IF(B104="","",IF(1-AI104-AL104&lt;=0,"",ROUND((AH104+AM104+AK104)/(1-AI104-AL104),2)))</f>
        <v>0</v>
      </c>
      <c r="BB104" s="20">
        <f>IF(B104="","",IF(AT104="","",ROUND(AT104*2,2)))</f>
        <v>0</v>
      </c>
      <c r="BC104" s="20">
        <f>IF(B104="","",IF(AR104="","",ROUND(AR104*(1-WholesaleDiscount),2)))</f>
        <v>0</v>
      </c>
      <c r="BD104" s="20">
        <f>IF(B104="","",IF(BC104="","",ROUND(BC104-AH104-AM104,2)))</f>
        <v>0</v>
      </c>
      <c r="BE104" s="33">
        <f>IF(B104="","",IF(OR(BC104="",BC104=0),"",BD104/BC104))</f>
        <v>0</v>
      </c>
      <c r="BF104" s="20">
        <f>IF(B104="","",IFERROR(ROUND(AVERAGEIFS(Competitors!$F$5:$F$154,Competitors!$A$5:$A$154,A104),2),""))</f>
        <v>0</v>
      </c>
      <c r="BG104" s="33">
        <f>IF(B104="","",IF(OR(BF104="",BF104=0,AR104=""),"",AR104/BF104-1))</f>
        <v>0</v>
      </c>
      <c r="BH104" s="32">
        <f>IF(B104="","",SUMIFS(Sales!$D$5:$D$804,Sales!$C$5:$C$804,A104))</f>
        <v>0</v>
      </c>
      <c r="BI104" s="20">
        <f>IF(B104="","",ROUND(SUMIFS(Sales!$V$5:$V$804,Sales!$C$5:$C$804,A104),2))</f>
        <v>0</v>
      </c>
      <c r="BJ104" s="20">
        <f>IF(B104="","",ROUND(SUMIFS(Sales!$AG$5:$AG$804,Sales!$C$5:$C$804,A104),2))</f>
        <v>0</v>
      </c>
      <c r="BK104" s="33">
        <f>IF(B104="","",IF(OR(BI104="",BI104=0),"",BJ104/BI104))</f>
        <v>0</v>
      </c>
      <c r="BL104" s="17">
        <f>IF(B104="","",IF(SUMPRODUCT(MAX((Sales!$C$5:$C$804=A104)*Sales!$B$5:$B$804))=0,"",SUMPRODUCT(MAX((Sales!$C$5:$C$804=A104)*Sales!$B$5:$B$804))))</f>
        <v>0</v>
      </c>
      <c r="BM104" s="17">
        <f>IF(B104="","",IF(SUMPRODUCT(MAX(('Price History'!$B$5:$B$304=A104)*'Price History'!$A$5:$A$304))=0,IF(P104="","",P104),SUMPRODUCT(MAX(('Price History'!$B$5:$B$304=A104)*'Price History'!$A$5:$A$304))))</f>
        <v>0</v>
      </c>
      <c r="BN104" s="32">
        <f>IF(B104="","",IF(BM104="","",TodayDate-BM104))</f>
        <v>0</v>
      </c>
      <c r="BO104" s="32">
        <f>IF(B104="","",COUNTIFS($AV$5:$AV$304,"&gt;"&amp;AV104)+COUNTIFS($AV$5:AV104,AV104))</f>
        <v>0</v>
      </c>
      <c r="BP104" s="32">
        <f>IF(B104="","",COUNTIFS($AW$5:$AW$304,"&gt;"&amp;AW104)+COUNTIFS($AW$5:AW104,AW104))</f>
        <v>0</v>
      </c>
      <c r="BQ104" s="32">
        <f>IF(B104="","",COUNTIFS($BI$5:$BI$304,"&gt;"&amp;BI104)+COUNTIFS($BI$5:BI104,BI104))</f>
        <v>0</v>
      </c>
      <c r="BR104" s="32">
        <f>IF(B104="","",COUNTIFS($AY$5:$AY$304,"&gt;"&amp;AY104)+COUNTIFS($AY$5:AY104,AY104))</f>
        <v>0</v>
      </c>
      <c r="BS104" s="43">
        <f>IF(B104="","",IF(AH104=0,"Add - no costs entered yet",IF(AR104="","Check - no price yet",IF(AV104&lt;0,"Loss - every sale costs you money",IF(AND(AZ104&lt;&gt;"",AZ104&lt;MinimumWage),"Below - pays under minimum wage",IF(AW104&lt;MarginWarning,"Low margin - re-price it",IF(AND(AF104&lt;&gt;"",K104&lt;&gt;"",K104+AC104&gt;AF104),"Check - too heavy for that postage band",IF(AND(BN104&lt;&gt;"",BN104&gt;PriceReviewDays),"Due - price has not been reviewed",IF(AND(BG104&lt;&gt;"",BG104&gt;0.5),"Check - well above the market","OK")))))))) )</f>
        <v>0</v>
      </c>
    </row>
    <row r="105" spans="1:71">
      <c r="A105" s="38">
        <f>IF(B105="","",ProductPrefix&amp;TEXT(ROW()-4,"0000"))</f>
        <v>0</v>
      </c>
      <c r="S105" s="38">
        <f>IF(B105="","",IF(C105&lt;&gt;"",C105,UPPER(LEFT(IF(D105="","GEN",D105),3))&amp;"-"&amp;TEXT(ROW()-4,"000")))</f>
        <v>0</v>
      </c>
      <c r="T105" s="20">
        <f>IF(B105="","",ROUND(SUMIFS('Material Usage'!$M$5:$M$904,'Material Usage'!$A$5:$A$904,A105)+SUMIFS(Crochet!$AD$5:$AD$84,Crochet!$A$5:$A$84,A105)+SUMIFS(Jewelry!$AF$5:$AF$84,Jewelry!$A$5:$A$84,A105)+SUMIFS(Candles!$AF$5:$AF$84,Candles!$A$5:$A$84,A105)+SUMIFS(Clothing!$AB$5:$AB$84,Clothing!$A$5:$A$84,A105)+SUMIFS(Woodworking!$AC$5:$AC$84,Woodworking!$A$5:$A$84,A105)+SUMIFS(Digital!$X$5:$X$84,Digital!$A$5:$A$84,A105),2))</f>
        <v>0</v>
      </c>
      <c r="U105" s="20">
        <f>IF(B105="","",ROUND(SUMIFS(Labor!$O$5:$O$304,Labor!$A$5:$A$304,A105)+SUMIFS(Crochet!$AG$5:$AG$84,Crochet!$A$5:$A$84,A105)+SUMIFS(Jewelry!$AI$5:$AI$84,Jewelry!$A$5:$A$84,A105)+SUMIFS(Candles!$AI$5:$AI$84,Candles!$A$5:$A$84,A105)+SUMIFS(Clothing!$AE$5:$AE$84,Clothing!$A$5:$A$84,A105)+SUMIFS(Woodworking!$AF$5:$AF$84,Woodworking!$A$5:$A$84,A105)+SUMIFS(Digital!$Z$5:$Z$84,Digital!$A$5:$A$84,A105),2))</f>
        <v>0</v>
      </c>
      <c r="V105" s="36">
        <f>IF(B105="","",ROUND(SUMIFS(Labor!$P$5:$P$304,Labor!$A$5:$A$304,A105)+SUMIFS(Crochet!$AE$5:$AE$84,Crochet!$A$5:$A$84,A105)+SUMIFS(Jewelry!$AG$5:$AG$84,Jewelry!$A$5:$A$84,A105)+SUMIFS(Candles!$AG$5:$AG$84,Candles!$A$5:$A$84,A105)+SUMIFS(Clothing!$AC$5:$AC$84,Clothing!$A$5:$A$84,A105)+SUMIFS(Woodworking!$AD$5:$AD$84,Woodworking!$A$5:$A$84,A105)+SUMIFS(Digital!$Y$5:$Y$84,Digital!$A$5:$A$84,A105),1))</f>
        <v>0</v>
      </c>
      <c r="W105" s="41">
        <f>IF(B105="","",IFERROR(INDEX(DiffTimeFactors,MATCH(G105,DiffNames,0)),1))</f>
        <v>0</v>
      </c>
      <c r="X105" s="36">
        <f>IF(B105="","",ROUND(V105*W105,1))</f>
        <v>0</v>
      </c>
      <c r="Y105" s="41">
        <f>IF(B105="","",ROUND(X105/60,3))</f>
        <v>0</v>
      </c>
      <c r="Z105" s="20">
        <f>IF(B105="","",ROUND(U105*W105,2))</f>
        <v>0</v>
      </c>
      <c r="AA105" s="20">
        <f>IF(B105="","",ROUND(SUMIFS(Labor!$Q$5:$Q$304,Labor!$A$5:$A$304,A105)+SUMIFS(Crochet!$AH$5:$AH$84,Crochet!$A$5:$A$84,A105)+SUMIFS(Jewelry!$AJ$5:$AJ$84,Jewelry!$A$5:$A$84,A105)+SUMIFS(Candles!$AJ$5:$AJ$84,Candles!$A$5:$A$84,A105)+SUMIFS(Clothing!$AF$5:$AF$84,Clothing!$A$5:$A$84,A105)+SUMIFS(Woodworking!$AH$5:$AH$84,Woodworking!$A$5:$A$84,A105)+SUMIFS(Digital!$AA$5:$AA$84,Digital!$A$5:$A$84,A105),2))</f>
        <v>0</v>
      </c>
      <c r="AB105" s="20">
        <f>IF(B105="","",ROUND(IF(I105="Budget",PackBudget,IF(I105="Standard",PackStandard,IF(I105="Gift",PackGift,IF(I105="Premium",PackPremium,DefaultPackaging)))),2))</f>
        <v>0</v>
      </c>
      <c r="AC105" s="36">
        <f>IF(B105="","",IF(I105="Budget",PackWeightBudget,IF(I105="Standard",PackWeightStandard,IF(I105="Gift",PackWeightGift,IF(I105="Premium",PackWeightPremium,0)))))</f>
        <v>0</v>
      </c>
      <c r="AD105" s="20">
        <f>IF(B105="","",IFERROR(INDEX(Shipping!$M$5:$M$64,MATCH(J105,Shipping!$L$5:$L$64,0)),DefaultShipping))</f>
        <v>0</v>
      </c>
      <c r="AE105" s="20">
        <f>IF(B105="","",IFERROR(INDEX(Shipping!$F$5:$F$64,MATCH(J105,Shipping!$L$5:$L$64,0)),0))</f>
        <v>0</v>
      </c>
      <c r="AF105" s="36">
        <f>IF(B105="","",IFERROR(INDEX(Shipping!$C$5:$C$64,MATCH(J105,Shipping!$L$5:$L$64,0)),""))</f>
        <v>0</v>
      </c>
      <c r="AG105" s="20">
        <f>IF(B105="","",ROUND(MAX(0,AD105-AE105),2))</f>
        <v>0</v>
      </c>
      <c r="AH105" s="20">
        <f>IF(B105="","",ROUND(T105+Z105+AA105+AB105+AG105,2))</f>
        <v>0</v>
      </c>
      <c r="AI105" s="33">
        <f>IF(B105="","",IFERROR(INDEX(Channels!$S$5:$S$18,MATCH(IF(H105="",DefaultChannel,H105),Channels!$A$5:$A$18,0)),0))</f>
        <v>0</v>
      </c>
      <c r="AJ105" s="42">
        <f>IF(B105="","",IFERROR(INDEX(Channels!$O$5:$O$18,MATCH(IF(H105="",DefaultChannel,H105),Channels!$A$5:$A$18,0)),"No"))</f>
        <v>0</v>
      </c>
      <c r="AK105" s="20">
        <f>IF(B105="","",ROUND(IFERROR(INDEX(Channels!$T$5:$T$18,MATCH(IF(H105="",DefaultChannel,H105),Channels!$A$5:$A$18,0)),0)+IF(AJ105="Yes",AE105*AI105,0),4))</f>
        <v>0</v>
      </c>
      <c r="AL105" s="33">
        <f>IF(B105="","",IF(OverheadMethod="Share of revenue",IF(RevenueTargetMonth&lt;=0,0,OverheadMonthly/RevenueTargetMonth),0))</f>
        <v>0</v>
      </c>
      <c r="AM105" s="20">
        <f>IF(B105="","",IF(OverheadMethod="Per hour worked",ROUND(OverheadPerHour*Y105,2),IF(OR(OverheadMethod="Per unit made",OverheadMethod="Per order"),OverheadPerUnit,0)))</f>
        <v>0</v>
      </c>
      <c r="AN105" s="33">
        <f>IF(B105="","",IF(N105&lt;&gt;"",N105,TargetRetailMargin))</f>
        <v>0</v>
      </c>
      <c r="AO105" s="41">
        <f>IF(B105="","",1-AN105-AI105-AL105)</f>
        <v>0</v>
      </c>
      <c r="AP105" s="20">
        <f>IF(B105="","",IF(AO105&lt;=0,"",(AH105+AM105+AK105)/AO105))</f>
        <v>0</v>
      </c>
      <c r="AQ105" s="20">
        <f>IF(B105="","",IF(AP105="","Check the settings",ROUND(IF(RoundingRule="None",AP105,IF(RoundingRule="Nearest 0.99",MAX(0.99,CEILING(AP105,1)-0.01),IF(RoundingRule="Nearest 0.95",MAX(0.95,CEILING(AP105,1)-0.05),IF(RoundingRule="Nearest 0.50",CEILING(AP105,0.5),IF(RoundingRule="Nearest 1",CEILING(AP105,1),IF(RoundingRule="Nearest 5",CEILING(AP105,5),IF(RoundingRule="Up to whole 1",CEILING(AP105,1),IF(RoundingRule="Up to whole 5",CEILING(AP105,5),ROUND(AP105,2))))))))),2)))</f>
        <v>0</v>
      </c>
      <c r="AR105" s="20">
        <f>IF(B105="","",IF(M105&lt;&gt;"",M105,IF(ISNUMBER(AQ105),AQ105,"")))</f>
        <v>0</v>
      </c>
      <c r="AS105" s="20">
        <f>IF(B105="","",IF(AR105="","",ROUND(AM105+AR105*AL105,2)))</f>
        <v>0</v>
      </c>
      <c r="AT105" s="20">
        <f>IF(B105="","",IF(AR105="","",ROUND(AH105+AS105,2)))</f>
        <v>0</v>
      </c>
      <c r="AU105" s="20">
        <f>IF(B105="","",IF(AR105="","",ROUND(AR105*AI105+AK105,2)))</f>
        <v>0</v>
      </c>
      <c r="AV105" s="20">
        <f>IF(B105="","",IF(AR105="","",ROUND(AR105-AT105-AU105,2)))</f>
        <v>0</v>
      </c>
      <c r="AW105" s="33">
        <f>IF(B105="","",IF(OR(AR105="",AR105=0),"",AV105/AR105))</f>
        <v>0</v>
      </c>
      <c r="AX105" s="33">
        <f>IF(B105="","",IF(OR(AT105="",AT105=0),"",AV105/AT105))</f>
        <v>0</v>
      </c>
      <c r="AY105" s="20">
        <f>IF(B105="","",IF(OR(Y105="",Y105=0,AV105=""),"",ROUND(AV105/Y105,2)))</f>
        <v>0</v>
      </c>
      <c r="AZ105" s="20">
        <f>IF(B105="","",IF(OR(Y105="",Y105=0,AV105=""),"",ROUND((AV105+Z105)/Y105,2)))</f>
        <v>0</v>
      </c>
      <c r="BA105" s="20">
        <f>IF(B105="","",IF(1-AI105-AL105&lt;=0,"",ROUND((AH105+AM105+AK105)/(1-AI105-AL105),2)))</f>
        <v>0</v>
      </c>
      <c r="BB105" s="20">
        <f>IF(B105="","",IF(AT105="","",ROUND(AT105*2,2)))</f>
        <v>0</v>
      </c>
      <c r="BC105" s="20">
        <f>IF(B105="","",IF(AR105="","",ROUND(AR105*(1-WholesaleDiscount),2)))</f>
        <v>0</v>
      </c>
      <c r="BD105" s="20">
        <f>IF(B105="","",IF(BC105="","",ROUND(BC105-AH105-AM105,2)))</f>
        <v>0</v>
      </c>
      <c r="BE105" s="33">
        <f>IF(B105="","",IF(OR(BC105="",BC105=0),"",BD105/BC105))</f>
        <v>0</v>
      </c>
      <c r="BF105" s="20">
        <f>IF(B105="","",IFERROR(ROUND(AVERAGEIFS(Competitors!$F$5:$F$154,Competitors!$A$5:$A$154,A105),2),""))</f>
        <v>0</v>
      </c>
      <c r="BG105" s="33">
        <f>IF(B105="","",IF(OR(BF105="",BF105=0,AR105=""),"",AR105/BF105-1))</f>
        <v>0</v>
      </c>
      <c r="BH105" s="32">
        <f>IF(B105="","",SUMIFS(Sales!$D$5:$D$804,Sales!$C$5:$C$804,A105))</f>
        <v>0</v>
      </c>
      <c r="BI105" s="20">
        <f>IF(B105="","",ROUND(SUMIFS(Sales!$V$5:$V$804,Sales!$C$5:$C$804,A105),2))</f>
        <v>0</v>
      </c>
      <c r="BJ105" s="20">
        <f>IF(B105="","",ROUND(SUMIFS(Sales!$AG$5:$AG$804,Sales!$C$5:$C$804,A105),2))</f>
        <v>0</v>
      </c>
      <c r="BK105" s="33">
        <f>IF(B105="","",IF(OR(BI105="",BI105=0),"",BJ105/BI105))</f>
        <v>0</v>
      </c>
      <c r="BL105" s="17">
        <f>IF(B105="","",IF(SUMPRODUCT(MAX((Sales!$C$5:$C$804=A105)*Sales!$B$5:$B$804))=0,"",SUMPRODUCT(MAX((Sales!$C$5:$C$804=A105)*Sales!$B$5:$B$804))))</f>
        <v>0</v>
      </c>
      <c r="BM105" s="17">
        <f>IF(B105="","",IF(SUMPRODUCT(MAX(('Price History'!$B$5:$B$304=A105)*'Price History'!$A$5:$A$304))=0,IF(P105="","",P105),SUMPRODUCT(MAX(('Price History'!$B$5:$B$304=A105)*'Price History'!$A$5:$A$304))))</f>
        <v>0</v>
      </c>
      <c r="BN105" s="32">
        <f>IF(B105="","",IF(BM105="","",TodayDate-BM105))</f>
        <v>0</v>
      </c>
      <c r="BO105" s="32">
        <f>IF(B105="","",COUNTIFS($AV$5:$AV$304,"&gt;"&amp;AV105)+COUNTIFS($AV$5:AV105,AV105))</f>
        <v>0</v>
      </c>
      <c r="BP105" s="32">
        <f>IF(B105="","",COUNTIFS($AW$5:$AW$304,"&gt;"&amp;AW105)+COUNTIFS($AW$5:AW105,AW105))</f>
        <v>0</v>
      </c>
      <c r="BQ105" s="32">
        <f>IF(B105="","",COUNTIFS($BI$5:$BI$304,"&gt;"&amp;BI105)+COUNTIFS($BI$5:BI105,BI105))</f>
        <v>0</v>
      </c>
      <c r="BR105" s="32">
        <f>IF(B105="","",COUNTIFS($AY$5:$AY$304,"&gt;"&amp;AY105)+COUNTIFS($AY$5:AY105,AY105))</f>
        <v>0</v>
      </c>
      <c r="BS105" s="43">
        <f>IF(B105="","",IF(AH105=0,"Add - no costs entered yet",IF(AR105="","Check - no price yet",IF(AV105&lt;0,"Loss - every sale costs you money",IF(AND(AZ105&lt;&gt;"",AZ105&lt;MinimumWage),"Below - pays under minimum wage",IF(AW105&lt;MarginWarning,"Low margin - re-price it",IF(AND(AF105&lt;&gt;"",K105&lt;&gt;"",K105+AC105&gt;AF105),"Check - too heavy for that postage band",IF(AND(BN105&lt;&gt;"",BN105&gt;PriceReviewDays),"Due - price has not been reviewed",IF(AND(BG105&lt;&gt;"",BG105&gt;0.5),"Check - well above the market","OK")))))))) )</f>
        <v>0</v>
      </c>
    </row>
    <row r="106" spans="1:71">
      <c r="A106" s="38">
        <f>IF(B106="","",ProductPrefix&amp;TEXT(ROW()-4,"0000"))</f>
        <v>0</v>
      </c>
      <c r="S106" s="38">
        <f>IF(B106="","",IF(C106&lt;&gt;"",C106,UPPER(LEFT(IF(D106="","GEN",D106),3))&amp;"-"&amp;TEXT(ROW()-4,"000")))</f>
        <v>0</v>
      </c>
      <c r="T106" s="20">
        <f>IF(B106="","",ROUND(SUMIFS('Material Usage'!$M$5:$M$904,'Material Usage'!$A$5:$A$904,A106)+SUMIFS(Crochet!$AD$5:$AD$84,Crochet!$A$5:$A$84,A106)+SUMIFS(Jewelry!$AF$5:$AF$84,Jewelry!$A$5:$A$84,A106)+SUMIFS(Candles!$AF$5:$AF$84,Candles!$A$5:$A$84,A106)+SUMIFS(Clothing!$AB$5:$AB$84,Clothing!$A$5:$A$84,A106)+SUMIFS(Woodworking!$AC$5:$AC$84,Woodworking!$A$5:$A$84,A106)+SUMIFS(Digital!$X$5:$X$84,Digital!$A$5:$A$84,A106),2))</f>
        <v>0</v>
      </c>
      <c r="U106" s="20">
        <f>IF(B106="","",ROUND(SUMIFS(Labor!$O$5:$O$304,Labor!$A$5:$A$304,A106)+SUMIFS(Crochet!$AG$5:$AG$84,Crochet!$A$5:$A$84,A106)+SUMIFS(Jewelry!$AI$5:$AI$84,Jewelry!$A$5:$A$84,A106)+SUMIFS(Candles!$AI$5:$AI$84,Candles!$A$5:$A$84,A106)+SUMIFS(Clothing!$AE$5:$AE$84,Clothing!$A$5:$A$84,A106)+SUMIFS(Woodworking!$AF$5:$AF$84,Woodworking!$A$5:$A$84,A106)+SUMIFS(Digital!$Z$5:$Z$84,Digital!$A$5:$A$84,A106),2))</f>
        <v>0</v>
      </c>
      <c r="V106" s="36">
        <f>IF(B106="","",ROUND(SUMIFS(Labor!$P$5:$P$304,Labor!$A$5:$A$304,A106)+SUMIFS(Crochet!$AE$5:$AE$84,Crochet!$A$5:$A$84,A106)+SUMIFS(Jewelry!$AG$5:$AG$84,Jewelry!$A$5:$A$84,A106)+SUMIFS(Candles!$AG$5:$AG$84,Candles!$A$5:$A$84,A106)+SUMIFS(Clothing!$AC$5:$AC$84,Clothing!$A$5:$A$84,A106)+SUMIFS(Woodworking!$AD$5:$AD$84,Woodworking!$A$5:$A$84,A106)+SUMIFS(Digital!$Y$5:$Y$84,Digital!$A$5:$A$84,A106),1))</f>
        <v>0</v>
      </c>
      <c r="W106" s="41">
        <f>IF(B106="","",IFERROR(INDEX(DiffTimeFactors,MATCH(G106,DiffNames,0)),1))</f>
        <v>0</v>
      </c>
      <c r="X106" s="36">
        <f>IF(B106="","",ROUND(V106*W106,1))</f>
        <v>0</v>
      </c>
      <c r="Y106" s="41">
        <f>IF(B106="","",ROUND(X106/60,3))</f>
        <v>0</v>
      </c>
      <c r="Z106" s="20">
        <f>IF(B106="","",ROUND(U106*W106,2))</f>
        <v>0</v>
      </c>
      <c r="AA106" s="20">
        <f>IF(B106="","",ROUND(SUMIFS(Labor!$Q$5:$Q$304,Labor!$A$5:$A$304,A106)+SUMIFS(Crochet!$AH$5:$AH$84,Crochet!$A$5:$A$84,A106)+SUMIFS(Jewelry!$AJ$5:$AJ$84,Jewelry!$A$5:$A$84,A106)+SUMIFS(Candles!$AJ$5:$AJ$84,Candles!$A$5:$A$84,A106)+SUMIFS(Clothing!$AF$5:$AF$84,Clothing!$A$5:$A$84,A106)+SUMIFS(Woodworking!$AH$5:$AH$84,Woodworking!$A$5:$A$84,A106)+SUMIFS(Digital!$AA$5:$AA$84,Digital!$A$5:$A$84,A106),2))</f>
        <v>0</v>
      </c>
      <c r="AB106" s="20">
        <f>IF(B106="","",ROUND(IF(I106="Budget",PackBudget,IF(I106="Standard",PackStandard,IF(I106="Gift",PackGift,IF(I106="Premium",PackPremium,DefaultPackaging)))),2))</f>
        <v>0</v>
      </c>
      <c r="AC106" s="36">
        <f>IF(B106="","",IF(I106="Budget",PackWeightBudget,IF(I106="Standard",PackWeightStandard,IF(I106="Gift",PackWeightGift,IF(I106="Premium",PackWeightPremium,0)))))</f>
        <v>0</v>
      </c>
      <c r="AD106" s="20">
        <f>IF(B106="","",IFERROR(INDEX(Shipping!$M$5:$M$64,MATCH(J106,Shipping!$L$5:$L$64,0)),DefaultShipping))</f>
        <v>0</v>
      </c>
      <c r="AE106" s="20">
        <f>IF(B106="","",IFERROR(INDEX(Shipping!$F$5:$F$64,MATCH(J106,Shipping!$L$5:$L$64,0)),0))</f>
        <v>0</v>
      </c>
      <c r="AF106" s="36">
        <f>IF(B106="","",IFERROR(INDEX(Shipping!$C$5:$C$64,MATCH(J106,Shipping!$L$5:$L$64,0)),""))</f>
        <v>0</v>
      </c>
      <c r="AG106" s="20">
        <f>IF(B106="","",ROUND(MAX(0,AD106-AE106),2))</f>
        <v>0</v>
      </c>
      <c r="AH106" s="20">
        <f>IF(B106="","",ROUND(T106+Z106+AA106+AB106+AG106,2))</f>
        <v>0</v>
      </c>
      <c r="AI106" s="33">
        <f>IF(B106="","",IFERROR(INDEX(Channels!$S$5:$S$18,MATCH(IF(H106="",DefaultChannel,H106),Channels!$A$5:$A$18,0)),0))</f>
        <v>0</v>
      </c>
      <c r="AJ106" s="42">
        <f>IF(B106="","",IFERROR(INDEX(Channels!$O$5:$O$18,MATCH(IF(H106="",DefaultChannel,H106),Channels!$A$5:$A$18,0)),"No"))</f>
        <v>0</v>
      </c>
      <c r="AK106" s="20">
        <f>IF(B106="","",ROUND(IFERROR(INDEX(Channels!$T$5:$T$18,MATCH(IF(H106="",DefaultChannel,H106),Channels!$A$5:$A$18,0)),0)+IF(AJ106="Yes",AE106*AI106,0),4))</f>
        <v>0</v>
      </c>
      <c r="AL106" s="33">
        <f>IF(B106="","",IF(OverheadMethod="Share of revenue",IF(RevenueTargetMonth&lt;=0,0,OverheadMonthly/RevenueTargetMonth),0))</f>
        <v>0</v>
      </c>
      <c r="AM106" s="20">
        <f>IF(B106="","",IF(OverheadMethod="Per hour worked",ROUND(OverheadPerHour*Y106,2),IF(OR(OverheadMethod="Per unit made",OverheadMethod="Per order"),OverheadPerUnit,0)))</f>
        <v>0</v>
      </c>
      <c r="AN106" s="33">
        <f>IF(B106="","",IF(N106&lt;&gt;"",N106,TargetRetailMargin))</f>
        <v>0</v>
      </c>
      <c r="AO106" s="41">
        <f>IF(B106="","",1-AN106-AI106-AL106)</f>
        <v>0</v>
      </c>
      <c r="AP106" s="20">
        <f>IF(B106="","",IF(AO106&lt;=0,"",(AH106+AM106+AK106)/AO106))</f>
        <v>0</v>
      </c>
      <c r="AQ106" s="20">
        <f>IF(B106="","",IF(AP106="","Check the settings",ROUND(IF(RoundingRule="None",AP106,IF(RoundingRule="Nearest 0.99",MAX(0.99,CEILING(AP106,1)-0.01),IF(RoundingRule="Nearest 0.95",MAX(0.95,CEILING(AP106,1)-0.05),IF(RoundingRule="Nearest 0.50",CEILING(AP106,0.5),IF(RoundingRule="Nearest 1",CEILING(AP106,1),IF(RoundingRule="Nearest 5",CEILING(AP106,5),IF(RoundingRule="Up to whole 1",CEILING(AP106,1),IF(RoundingRule="Up to whole 5",CEILING(AP106,5),ROUND(AP106,2))))))))),2)))</f>
        <v>0</v>
      </c>
      <c r="AR106" s="20">
        <f>IF(B106="","",IF(M106&lt;&gt;"",M106,IF(ISNUMBER(AQ106),AQ106,"")))</f>
        <v>0</v>
      </c>
      <c r="AS106" s="20">
        <f>IF(B106="","",IF(AR106="","",ROUND(AM106+AR106*AL106,2)))</f>
        <v>0</v>
      </c>
      <c r="AT106" s="20">
        <f>IF(B106="","",IF(AR106="","",ROUND(AH106+AS106,2)))</f>
        <v>0</v>
      </c>
      <c r="AU106" s="20">
        <f>IF(B106="","",IF(AR106="","",ROUND(AR106*AI106+AK106,2)))</f>
        <v>0</v>
      </c>
      <c r="AV106" s="20">
        <f>IF(B106="","",IF(AR106="","",ROUND(AR106-AT106-AU106,2)))</f>
        <v>0</v>
      </c>
      <c r="AW106" s="33">
        <f>IF(B106="","",IF(OR(AR106="",AR106=0),"",AV106/AR106))</f>
        <v>0</v>
      </c>
      <c r="AX106" s="33">
        <f>IF(B106="","",IF(OR(AT106="",AT106=0),"",AV106/AT106))</f>
        <v>0</v>
      </c>
      <c r="AY106" s="20">
        <f>IF(B106="","",IF(OR(Y106="",Y106=0,AV106=""),"",ROUND(AV106/Y106,2)))</f>
        <v>0</v>
      </c>
      <c r="AZ106" s="20">
        <f>IF(B106="","",IF(OR(Y106="",Y106=0,AV106=""),"",ROUND((AV106+Z106)/Y106,2)))</f>
        <v>0</v>
      </c>
      <c r="BA106" s="20">
        <f>IF(B106="","",IF(1-AI106-AL106&lt;=0,"",ROUND((AH106+AM106+AK106)/(1-AI106-AL106),2)))</f>
        <v>0</v>
      </c>
      <c r="BB106" s="20">
        <f>IF(B106="","",IF(AT106="","",ROUND(AT106*2,2)))</f>
        <v>0</v>
      </c>
      <c r="BC106" s="20">
        <f>IF(B106="","",IF(AR106="","",ROUND(AR106*(1-WholesaleDiscount),2)))</f>
        <v>0</v>
      </c>
      <c r="BD106" s="20">
        <f>IF(B106="","",IF(BC106="","",ROUND(BC106-AH106-AM106,2)))</f>
        <v>0</v>
      </c>
      <c r="BE106" s="33">
        <f>IF(B106="","",IF(OR(BC106="",BC106=0),"",BD106/BC106))</f>
        <v>0</v>
      </c>
      <c r="BF106" s="20">
        <f>IF(B106="","",IFERROR(ROUND(AVERAGEIFS(Competitors!$F$5:$F$154,Competitors!$A$5:$A$154,A106),2),""))</f>
        <v>0</v>
      </c>
      <c r="BG106" s="33">
        <f>IF(B106="","",IF(OR(BF106="",BF106=0,AR106=""),"",AR106/BF106-1))</f>
        <v>0</v>
      </c>
      <c r="BH106" s="32">
        <f>IF(B106="","",SUMIFS(Sales!$D$5:$D$804,Sales!$C$5:$C$804,A106))</f>
        <v>0</v>
      </c>
      <c r="BI106" s="20">
        <f>IF(B106="","",ROUND(SUMIFS(Sales!$V$5:$V$804,Sales!$C$5:$C$804,A106),2))</f>
        <v>0</v>
      </c>
      <c r="BJ106" s="20">
        <f>IF(B106="","",ROUND(SUMIFS(Sales!$AG$5:$AG$804,Sales!$C$5:$C$804,A106),2))</f>
        <v>0</v>
      </c>
      <c r="BK106" s="33">
        <f>IF(B106="","",IF(OR(BI106="",BI106=0),"",BJ106/BI106))</f>
        <v>0</v>
      </c>
      <c r="BL106" s="17">
        <f>IF(B106="","",IF(SUMPRODUCT(MAX((Sales!$C$5:$C$804=A106)*Sales!$B$5:$B$804))=0,"",SUMPRODUCT(MAX((Sales!$C$5:$C$804=A106)*Sales!$B$5:$B$804))))</f>
        <v>0</v>
      </c>
      <c r="BM106" s="17">
        <f>IF(B106="","",IF(SUMPRODUCT(MAX(('Price History'!$B$5:$B$304=A106)*'Price History'!$A$5:$A$304))=0,IF(P106="","",P106),SUMPRODUCT(MAX(('Price History'!$B$5:$B$304=A106)*'Price History'!$A$5:$A$304))))</f>
        <v>0</v>
      </c>
      <c r="BN106" s="32">
        <f>IF(B106="","",IF(BM106="","",TodayDate-BM106))</f>
        <v>0</v>
      </c>
      <c r="BO106" s="32">
        <f>IF(B106="","",COUNTIFS($AV$5:$AV$304,"&gt;"&amp;AV106)+COUNTIFS($AV$5:AV106,AV106))</f>
        <v>0</v>
      </c>
      <c r="BP106" s="32">
        <f>IF(B106="","",COUNTIFS($AW$5:$AW$304,"&gt;"&amp;AW106)+COUNTIFS($AW$5:AW106,AW106))</f>
        <v>0</v>
      </c>
      <c r="BQ106" s="32">
        <f>IF(B106="","",COUNTIFS($BI$5:$BI$304,"&gt;"&amp;BI106)+COUNTIFS($BI$5:BI106,BI106))</f>
        <v>0</v>
      </c>
      <c r="BR106" s="32">
        <f>IF(B106="","",COUNTIFS($AY$5:$AY$304,"&gt;"&amp;AY106)+COUNTIFS($AY$5:AY106,AY106))</f>
        <v>0</v>
      </c>
      <c r="BS106" s="43">
        <f>IF(B106="","",IF(AH106=0,"Add - no costs entered yet",IF(AR106="","Check - no price yet",IF(AV106&lt;0,"Loss - every sale costs you money",IF(AND(AZ106&lt;&gt;"",AZ106&lt;MinimumWage),"Below - pays under minimum wage",IF(AW106&lt;MarginWarning,"Low margin - re-price it",IF(AND(AF106&lt;&gt;"",K106&lt;&gt;"",K106+AC106&gt;AF106),"Check - too heavy for that postage band",IF(AND(BN106&lt;&gt;"",BN106&gt;PriceReviewDays),"Due - price has not been reviewed",IF(AND(BG106&lt;&gt;"",BG106&gt;0.5),"Check - well above the market","OK")))))))) )</f>
        <v>0</v>
      </c>
    </row>
    <row r="107" spans="1:71">
      <c r="A107" s="38">
        <f>IF(B107="","",ProductPrefix&amp;TEXT(ROW()-4,"0000"))</f>
        <v>0</v>
      </c>
      <c r="S107" s="38">
        <f>IF(B107="","",IF(C107&lt;&gt;"",C107,UPPER(LEFT(IF(D107="","GEN",D107),3))&amp;"-"&amp;TEXT(ROW()-4,"000")))</f>
        <v>0</v>
      </c>
      <c r="T107" s="20">
        <f>IF(B107="","",ROUND(SUMIFS('Material Usage'!$M$5:$M$904,'Material Usage'!$A$5:$A$904,A107)+SUMIFS(Crochet!$AD$5:$AD$84,Crochet!$A$5:$A$84,A107)+SUMIFS(Jewelry!$AF$5:$AF$84,Jewelry!$A$5:$A$84,A107)+SUMIFS(Candles!$AF$5:$AF$84,Candles!$A$5:$A$84,A107)+SUMIFS(Clothing!$AB$5:$AB$84,Clothing!$A$5:$A$84,A107)+SUMIFS(Woodworking!$AC$5:$AC$84,Woodworking!$A$5:$A$84,A107)+SUMIFS(Digital!$X$5:$X$84,Digital!$A$5:$A$84,A107),2))</f>
        <v>0</v>
      </c>
      <c r="U107" s="20">
        <f>IF(B107="","",ROUND(SUMIFS(Labor!$O$5:$O$304,Labor!$A$5:$A$304,A107)+SUMIFS(Crochet!$AG$5:$AG$84,Crochet!$A$5:$A$84,A107)+SUMIFS(Jewelry!$AI$5:$AI$84,Jewelry!$A$5:$A$84,A107)+SUMIFS(Candles!$AI$5:$AI$84,Candles!$A$5:$A$84,A107)+SUMIFS(Clothing!$AE$5:$AE$84,Clothing!$A$5:$A$84,A107)+SUMIFS(Woodworking!$AF$5:$AF$84,Woodworking!$A$5:$A$84,A107)+SUMIFS(Digital!$Z$5:$Z$84,Digital!$A$5:$A$84,A107),2))</f>
        <v>0</v>
      </c>
      <c r="V107" s="36">
        <f>IF(B107="","",ROUND(SUMIFS(Labor!$P$5:$P$304,Labor!$A$5:$A$304,A107)+SUMIFS(Crochet!$AE$5:$AE$84,Crochet!$A$5:$A$84,A107)+SUMIFS(Jewelry!$AG$5:$AG$84,Jewelry!$A$5:$A$84,A107)+SUMIFS(Candles!$AG$5:$AG$84,Candles!$A$5:$A$84,A107)+SUMIFS(Clothing!$AC$5:$AC$84,Clothing!$A$5:$A$84,A107)+SUMIFS(Woodworking!$AD$5:$AD$84,Woodworking!$A$5:$A$84,A107)+SUMIFS(Digital!$Y$5:$Y$84,Digital!$A$5:$A$84,A107),1))</f>
        <v>0</v>
      </c>
      <c r="W107" s="41">
        <f>IF(B107="","",IFERROR(INDEX(DiffTimeFactors,MATCH(G107,DiffNames,0)),1))</f>
        <v>0</v>
      </c>
      <c r="X107" s="36">
        <f>IF(B107="","",ROUND(V107*W107,1))</f>
        <v>0</v>
      </c>
      <c r="Y107" s="41">
        <f>IF(B107="","",ROUND(X107/60,3))</f>
        <v>0</v>
      </c>
      <c r="Z107" s="20">
        <f>IF(B107="","",ROUND(U107*W107,2))</f>
        <v>0</v>
      </c>
      <c r="AA107" s="20">
        <f>IF(B107="","",ROUND(SUMIFS(Labor!$Q$5:$Q$304,Labor!$A$5:$A$304,A107)+SUMIFS(Crochet!$AH$5:$AH$84,Crochet!$A$5:$A$84,A107)+SUMIFS(Jewelry!$AJ$5:$AJ$84,Jewelry!$A$5:$A$84,A107)+SUMIFS(Candles!$AJ$5:$AJ$84,Candles!$A$5:$A$84,A107)+SUMIFS(Clothing!$AF$5:$AF$84,Clothing!$A$5:$A$84,A107)+SUMIFS(Woodworking!$AH$5:$AH$84,Woodworking!$A$5:$A$84,A107)+SUMIFS(Digital!$AA$5:$AA$84,Digital!$A$5:$A$84,A107),2))</f>
        <v>0</v>
      </c>
      <c r="AB107" s="20">
        <f>IF(B107="","",ROUND(IF(I107="Budget",PackBudget,IF(I107="Standard",PackStandard,IF(I107="Gift",PackGift,IF(I107="Premium",PackPremium,DefaultPackaging)))),2))</f>
        <v>0</v>
      </c>
      <c r="AC107" s="36">
        <f>IF(B107="","",IF(I107="Budget",PackWeightBudget,IF(I107="Standard",PackWeightStandard,IF(I107="Gift",PackWeightGift,IF(I107="Premium",PackWeightPremium,0)))))</f>
        <v>0</v>
      </c>
      <c r="AD107" s="20">
        <f>IF(B107="","",IFERROR(INDEX(Shipping!$M$5:$M$64,MATCH(J107,Shipping!$L$5:$L$64,0)),DefaultShipping))</f>
        <v>0</v>
      </c>
      <c r="AE107" s="20">
        <f>IF(B107="","",IFERROR(INDEX(Shipping!$F$5:$F$64,MATCH(J107,Shipping!$L$5:$L$64,0)),0))</f>
        <v>0</v>
      </c>
      <c r="AF107" s="36">
        <f>IF(B107="","",IFERROR(INDEX(Shipping!$C$5:$C$64,MATCH(J107,Shipping!$L$5:$L$64,0)),""))</f>
        <v>0</v>
      </c>
      <c r="AG107" s="20">
        <f>IF(B107="","",ROUND(MAX(0,AD107-AE107),2))</f>
        <v>0</v>
      </c>
      <c r="AH107" s="20">
        <f>IF(B107="","",ROUND(T107+Z107+AA107+AB107+AG107,2))</f>
        <v>0</v>
      </c>
      <c r="AI107" s="33">
        <f>IF(B107="","",IFERROR(INDEX(Channels!$S$5:$S$18,MATCH(IF(H107="",DefaultChannel,H107),Channels!$A$5:$A$18,0)),0))</f>
        <v>0</v>
      </c>
      <c r="AJ107" s="42">
        <f>IF(B107="","",IFERROR(INDEX(Channels!$O$5:$O$18,MATCH(IF(H107="",DefaultChannel,H107),Channels!$A$5:$A$18,0)),"No"))</f>
        <v>0</v>
      </c>
      <c r="AK107" s="20">
        <f>IF(B107="","",ROUND(IFERROR(INDEX(Channels!$T$5:$T$18,MATCH(IF(H107="",DefaultChannel,H107),Channels!$A$5:$A$18,0)),0)+IF(AJ107="Yes",AE107*AI107,0),4))</f>
        <v>0</v>
      </c>
      <c r="AL107" s="33">
        <f>IF(B107="","",IF(OverheadMethod="Share of revenue",IF(RevenueTargetMonth&lt;=0,0,OverheadMonthly/RevenueTargetMonth),0))</f>
        <v>0</v>
      </c>
      <c r="AM107" s="20">
        <f>IF(B107="","",IF(OverheadMethod="Per hour worked",ROUND(OverheadPerHour*Y107,2),IF(OR(OverheadMethod="Per unit made",OverheadMethod="Per order"),OverheadPerUnit,0)))</f>
        <v>0</v>
      </c>
      <c r="AN107" s="33">
        <f>IF(B107="","",IF(N107&lt;&gt;"",N107,TargetRetailMargin))</f>
        <v>0</v>
      </c>
      <c r="AO107" s="41">
        <f>IF(B107="","",1-AN107-AI107-AL107)</f>
        <v>0</v>
      </c>
      <c r="AP107" s="20">
        <f>IF(B107="","",IF(AO107&lt;=0,"",(AH107+AM107+AK107)/AO107))</f>
        <v>0</v>
      </c>
      <c r="AQ107" s="20">
        <f>IF(B107="","",IF(AP107="","Check the settings",ROUND(IF(RoundingRule="None",AP107,IF(RoundingRule="Nearest 0.99",MAX(0.99,CEILING(AP107,1)-0.01),IF(RoundingRule="Nearest 0.95",MAX(0.95,CEILING(AP107,1)-0.05),IF(RoundingRule="Nearest 0.50",CEILING(AP107,0.5),IF(RoundingRule="Nearest 1",CEILING(AP107,1),IF(RoundingRule="Nearest 5",CEILING(AP107,5),IF(RoundingRule="Up to whole 1",CEILING(AP107,1),IF(RoundingRule="Up to whole 5",CEILING(AP107,5),ROUND(AP107,2))))))))),2)))</f>
        <v>0</v>
      </c>
      <c r="AR107" s="20">
        <f>IF(B107="","",IF(M107&lt;&gt;"",M107,IF(ISNUMBER(AQ107),AQ107,"")))</f>
        <v>0</v>
      </c>
      <c r="AS107" s="20">
        <f>IF(B107="","",IF(AR107="","",ROUND(AM107+AR107*AL107,2)))</f>
        <v>0</v>
      </c>
      <c r="AT107" s="20">
        <f>IF(B107="","",IF(AR107="","",ROUND(AH107+AS107,2)))</f>
        <v>0</v>
      </c>
      <c r="AU107" s="20">
        <f>IF(B107="","",IF(AR107="","",ROUND(AR107*AI107+AK107,2)))</f>
        <v>0</v>
      </c>
      <c r="AV107" s="20">
        <f>IF(B107="","",IF(AR107="","",ROUND(AR107-AT107-AU107,2)))</f>
        <v>0</v>
      </c>
      <c r="AW107" s="33">
        <f>IF(B107="","",IF(OR(AR107="",AR107=0),"",AV107/AR107))</f>
        <v>0</v>
      </c>
      <c r="AX107" s="33">
        <f>IF(B107="","",IF(OR(AT107="",AT107=0),"",AV107/AT107))</f>
        <v>0</v>
      </c>
      <c r="AY107" s="20">
        <f>IF(B107="","",IF(OR(Y107="",Y107=0,AV107=""),"",ROUND(AV107/Y107,2)))</f>
        <v>0</v>
      </c>
      <c r="AZ107" s="20">
        <f>IF(B107="","",IF(OR(Y107="",Y107=0,AV107=""),"",ROUND((AV107+Z107)/Y107,2)))</f>
        <v>0</v>
      </c>
      <c r="BA107" s="20">
        <f>IF(B107="","",IF(1-AI107-AL107&lt;=0,"",ROUND((AH107+AM107+AK107)/(1-AI107-AL107),2)))</f>
        <v>0</v>
      </c>
      <c r="BB107" s="20">
        <f>IF(B107="","",IF(AT107="","",ROUND(AT107*2,2)))</f>
        <v>0</v>
      </c>
      <c r="BC107" s="20">
        <f>IF(B107="","",IF(AR107="","",ROUND(AR107*(1-WholesaleDiscount),2)))</f>
        <v>0</v>
      </c>
      <c r="BD107" s="20">
        <f>IF(B107="","",IF(BC107="","",ROUND(BC107-AH107-AM107,2)))</f>
        <v>0</v>
      </c>
      <c r="BE107" s="33">
        <f>IF(B107="","",IF(OR(BC107="",BC107=0),"",BD107/BC107))</f>
        <v>0</v>
      </c>
      <c r="BF107" s="20">
        <f>IF(B107="","",IFERROR(ROUND(AVERAGEIFS(Competitors!$F$5:$F$154,Competitors!$A$5:$A$154,A107),2),""))</f>
        <v>0</v>
      </c>
      <c r="BG107" s="33">
        <f>IF(B107="","",IF(OR(BF107="",BF107=0,AR107=""),"",AR107/BF107-1))</f>
        <v>0</v>
      </c>
      <c r="BH107" s="32">
        <f>IF(B107="","",SUMIFS(Sales!$D$5:$D$804,Sales!$C$5:$C$804,A107))</f>
        <v>0</v>
      </c>
      <c r="BI107" s="20">
        <f>IF(B107="","",ROUND(SUMIFS(Sales!$V$5:$V$804,Sales!$C$5:$C$804,A107),2))</f>
        <v>0</v>
      </c>
      <c r="BJ107" s="20">
        <f>IF(B107="","",ROUND(SUMIFS(Sales!$AG$5:$AG$804,Sales!$C$5:$C$804,A107),2))</f>
        <v>0</v>
      </c>
      <c r="BK107" s="33">
        <f>IF(B107="","",IF(OR(BI107="",BI107=0),"",BJ107/BI107))</f>
        <v>0</v>
      </c>
      <c r="BL107" s="17">
        <f>IF(B107="","",IF(SUMPRODUCT(MAX((Sales!$C$5:$C$804=A107)*Sales!$B$5:$B$804))=0,"",SUMPRODUCT(MAX((Sales!$C$5:$C$804=A107)*Sales!$B$5:$B$804))))</f>
        <v>0</v>
      </c>
      <c r="BM107" s="17">
        <f>IF(B107="","",IF(SUMPRODUCT(MAX(('Price History'!$B$5:$B$304=A107)*'Price History'!$A$5:$A$304))=0,IF(P107="","",P107),SUMPRODUCT(MAX(('Price History'!$B$5:$B$304=A107)*'Price History'!$A$5:$A$304))))</f>
        <v>0</v>
      </c>
      <c r="BN107" s="32">
        <f>IF(B107="","",IF(BM107="","",TodayDate-BM107))</f>
        <v>0</v>
      </c>
      <c r="BO107" s="32">
        <f>IF(B107="","",COUNTIFS($AV$5:$AV$304,"&gt;"&amp;AV107)+COUNTIFS($AV$5:AV107,AV107))</f>
        <v>0</v>
      </c>
      <c r="BP107" s="32">
        <f>IF(B107="","",COUNTIFS($AW$5:$AW$304,"&gt;"&amp;AW107)+COUNTIFS($AW$5:AW107,AW107))</f>
        <v>0</v>
      </c>
      <c r="BQ107" s="32">
        <f>IF(B107="","",COUNTIFS($BI$5:$BI$304,"&gt;"&amp;BI107)+COUNTIFS($BI$5:BI107,BI107))</f>
        <v>0</v>
      </c>
      <c r="BR107" s="32">
        <f>IF(B107="","",COUNTIFS($AY$5:$AY$304,"&gt;"&amp;AY107)+COUNTIFS($AY$5:AY107,AY107))</f>
        <v>0</v>
      </c>
      <c r="BS107" s="43">
        <f>IF(B107="","",IF(AH107=0,"Add - no costs entered yet",IF(AR107="","Check - no price yet",IF(AV107&lt;0,"Loss - every sale costs you money",IF(AND(AZ107&lt;&gt;"",AZ107&lt;MinimumWage),"Below - pays under minimum wage",IF(AW107&lt;MarginWarning,"Low margin - re-price it",IF(AND(AF107&lt;&gt;"",K107&lt;&gt;"",K107+AC107&gt;AF107),"Check - too heavy for that postage band",IF(AND(BN107&lt;&gt;"",BN107&gt;PriceReviewDays),"Due - price has not been reviewed",IF(AND(BG107&lt;&gt;"",BG107&gt;0.5),"Check - well above the market","OK")))))))) )</f>
        <v>0</v>
      </c>
    </row>
    <row r="108" spans="1:71">
      <c r="A108" s="38">
        <f>IF(B108="","",ProductPrefix&amp;TEXT(ROW()-4,"0000"))</f>
        <v>0</v>
      </c>
      <c r="S108" s="38">
        <f>IF(B108="","",IF(C108&lt;&gt;"",C108,UPPER(LEFT(IF(D108="","GEN",D108),3))&amp;"-"&amp;TEXT(ROW()-4,"000")))</f>
        <v>0</v>
      </c>
      <c r="T108" s="20">
        <f>IF(B108="","",ROUND(SUMIFS('Material Usage'!$M$5:$M$904,'Material Usage'!$A$5:$A$904,A108)+SUMIFS(Crochet!$AD$5:$AD$84,Crochet!$A$5:$A$84,A108)+SUMIFS(Jewelry!$AF$5:$AF$84,Jewelry!$A$5:$A$84,A108)+SUMIFS(Candles!$AF$5:$AF$84,Candles!$A$5:$A$84,A108)+SUMIFS(Clothing!$AB$5:$AB$84,Clothing!$A$5:$A$84,A108)+SUMIFS(Woodworking!$AC$5:$AC$84,Woodworking!$A$5:$A$84,A108)+SUMIFS(Digital!$X$5:$X$84,Digital!$A$5:$A$84,A108),2))</f>
        <v>0</v>
      </c>
      <c r="U108" s="20">
        <f>IF(B108="","",ROUND(SUMIFS(Labor!$O$5:$O$304,Labor!$A$5:$A$304,A108)+SUMIFS(Crochet!$AG$5:$AG$84,Crochet!$A$5:$A$84,A108)+SUMIFS(Jewelry!$AI$5:$AI$84,Jewelry!$A$5:$A$84,A108)+SUMIFS(Candles!$AI$5:$AI$84,Candles!$A$5:$A$84,A108)+SUMIFS(Clothing!$AE$5:$AE$84,Clothing!$A$5:$A$84,A108)+SUMIFS(Woodworking!$AF$5:$AF$84,Woodworking!$A$5:$A$84,A108)+SUMIFS(Digital!$Z$5:$Z$84,Digital!$A$5:$A$84,A108),2))</f>
        <v>0</v>
      </c>
      <c r="V108" s="36">
        <f>IF(B108="","",ROUND(SUMIFS(Labor!$P$5:$P$304,Labor!$A$5:$A$304,A108)+SUMIFS(Crochet!$AE$5:$AE$84,Crochet!$A$5:$A$84,A108)+SUMIFS(Jewelry!$AG$5:$AG$84,Jewelry!$A$5:$A$84,A108)+SUMIFS(Candles!$AG$5:$AG$84,Candles!$A$5:$A$84,A108)+SUMIFS(Clothing!$AC$5:$AC$84,Clothing!$A$5:$A$84,A108)+SUMIFS(Woodworking!$AD$5:$AD$84,Woodworking!$A$5:$A$84,A108)+SUMIFS(Digital!$Y$5:$Y$84,Digital!$A$5:$A$84,A108),1))</f>
        <v>0</v>
      </c>
      <c r="W108" s="41">
        <f>IF(B108="","",IFERROR(INDEX(DiffTimeFactors,MATCH(G108,DiffNames,0)),1))</f>
        <v>0</v>
      </c>
      <c r="X108" s="36">
        <f>IF(B108="","",ROUND(V108*W108,1))</f>
        <v>0</v>
      </c>
      <c r="Y108" s="41">
        <f>IF(B108="","",ROUND(X108/60,3))</f>
        <v>0</v>
      </c>
      <c r="Z108" s="20">
        <f>IF(B108="","",ROUND(U108*W108,2))</f>
        <v>0</v>
      </c>
      <c r="AA108" s="20">
        <f>IF(B108="","",ROUND(SUMIFS(Labor!$Q$5:$Q$304,Labor!$A$5:$A$304,A108)+SUMIFS(Crochet!$AH$5:$AH$84,Crochet!$A$5:$A$84,A108)+SUMIFS(Jewelry!$AJ$5:$AJ$84,Jewelry!$A$5:$A$84,A108)+SUMIFS(Candles!$AJ$5:$AJ$84,Candles!$A$5:$A$84,A108)+SUMIFS(Clothing!$AF$5:$AF$84,Clothing!$A$5:$A$84,A108)+SUMIFS(Woodworking!$AH$5:$AH$84,Woodworking!$A$5:$A$84,A108)+SUMIFS(Digital!$AA$5:$AA$84,Digital!$A$5:$A$84,A108),2))</f>
        <v>0</v>
      </c>
      <c r="AB108" s="20">
        <f>IF(B108="","",ROUND(IF(I108="Budget",PackBudget,IF(I108="Standard",PackStandard,IF(I108="Gift",PackGift,IF(I108="Premium",PackPremium,DefaultPackaging)))),2))</f>
        <v>0</v>
      </c>
      <c r="AC108" s="36">
        <f>IF(B108="","",IF(I108="Budget",PackWeightBudget,IF(I108="Standard",PackWeightStandard,IF(I108="Gift",PackWeightGift,IF(I108="Premium",PackWeightPremium,0)))))</f>
        <v>0</v>
      </c>
      <c r="AD108" s="20">
        <f>IF(B108="","",IFERROR(INDEX(Shipping!$M$5:$M$64,MATCH(J108,Shipping!$L$5:$L$64,0)),DefaultShipping))</f>
        <v>0</v>
      </c>
      <c r="AE108" s="20">
        <f>IF(B108="","",IFERROR(INDEX(Shipping!$F$5:$F$64,MATCH(J108,Shipping!$L$5:$L$64,0)),0))</f>
        <v>0</v>
      </c>
      <c r="AF108" s="36">
        <f>IF(B108="","",IFERROR(INDEX(Shipping!$C$5:$C$64,MATCH(J108,Shipping!$L$5:$L$64,0)),""))</f>
        <v>0</v>
      </c>
      <c r="AG108" s="20">
        <f>IF(B108="","",ROUND(MAX(0,AD108-AE108),2))</f>
        <v>0</v>
      </c>
      <c r="AH108" s="20">
        <f>IF(B108="","",ROUND(T108+Z108+AA108+AB108+AG108,2))</f>
        <v>0</v>
      </c>
      <c r="AI108" s="33">
        <f>IF(B108="","",IFERROR(INDEX(Channels!$S$5:$S$18,MATCH(IF(H108="",DefaultChannel,H108),Channels!$A$5:$A$18,0)),0))</f>
        <v>0</v>
      </c>
      <c r="AJ108" s="42">
        <f>IF(B108="","",IFERROR(INDEX(Channels!$O$5:$O$18,MATCH(IF(H108="",DefaultChannel,H108),Channels!$A$5:$A$18,0)),"No"))</f>
        <v>0</v>
      </c>
      <c r="AK108" s="20">
        <f>IF(B108="","",ROUND(IFERROR(INDEX(Channels!$T$5:$T$18,MATCH(IF(H108="",DefaultChannel,H108),Channels!$A$5:$A$18,0)),0)+IF(AJ108="Yes",AE108*AI108,0),4))</f>
        <v>0</v>
      </c>
      <c r="AL108" s="33">
        <f>IF(B108="","",IF(OverheadMethod="Share of revenue",IF(RevenueTargetMonth&lt;=0,0,OverheadMonthly/RevenueTargetMonth),0))</f>
        <v>0</v>
      </c>
      <c r="AM108" s="20">
        <f>IF(B108="","",IF(OverheadMethod="Per hour worked",ROUND(OverheadPerHour*Y108,2),IF(OR(OverheadMethod="Per unit made",OverheadMethod="Per order"),OverheadPerUnit,0)))</f>
        <v>0</v>
      </c>
      <c r="AN108" s="33">
        <f>IF(B108="","",IF(N108&lt;&gt;"",N108,TargetRetailMargin))</f>
        <v>0</v>
      </c>
      <c r="AO108" s="41">
        <f>IF(B108="","",1-AN108-AI108-AL108)</f>
        <v>0</v>
      </c>
      <c r="AP108" s="20">
        <f>IF(B108="","",IF(AO108&lt;=0,"",(AH108+AM108+AK108)/AO108))</f>
        <v>0</v>
      </c>
      <c r="AQ108" s="20">
        <f>IF(B108="","",IF(AP108="","Check the settings",ROUND(IF(RoundingRule="None",AP108,IF(RoundingRule="Nearest 0.99",MAX(0.99,CEILING(AP108,1)-0.01),IF(RoundingRule="Nearest 0.95",MAX(0.95,CEILING(AP108,1)-0.05),IF(RoundingRule="Nearest 0.50",CEILING(AP108,0.5),IF(RoundingRule="Nearest 1",CEILING(AP108,1),IF(RoundingRule="Nearest 5",CEILING(AP108,5),IF(RoundingRule="Up to whole 1",CEILING(AP108,1),IF(RoundingRule="Up to whole 5",CEILING(AP108,5),ROUND(AP108,2))))))))),2)))</f>
        <v>0</v>
      </c>
      <c r="AR108" s="20">
        <f>IF(B108="","",IF(M108&lt;&gt;"",M108,IF(ISNUMBER(AQ108),AQ108,"")))</f>
        <v>0</v>
      </c>
      <c r="AS108" s="20">
        <f>IF(B108="","",IF(AR108="","",ROUND(AM108+AR108*AL108,2)))</f>
        <v>0</v>
      </c>
      <c r="AT108" s="20">
        <f>IF(B108="","",IF(AR108="","",ROUND(AH108+AS108,2)))</f>
        <v>0</v>
      </c>
      <c r="AU108" s="20">
        <f>IF(B108="","",IF(AR108="","",ROUND(AR108*AI108+AK108,2)))</f>
        <v>0</v>
      </c>
      <c r="AV108" s="20">
        <f>IF(B108="","",IF(AR108="","",ROUND(AR108-AT108-AU108,2)))</f>
        <v>0</v>
      </c>
      <c r="AW108" s="33">
        <f>IF(B108="","",IF(OR(AR108="",AR108=0),"",AV108/AR108))</f>
        <v>0</v>
      </c>
      <c r="AX108" s="33">
        <f>IF(B108="","",IF(OR(AT108="",AT108=0),"",AV108/AT108))</f>
        <v>0</v>
      </c>
      <c r="AY108" s="20">
        <f>IF(B108="","",IF(OR(Y108="",Y108=0,AV108=""),"",ROUND(AV108/Y108,2)))</f>
        <v>0</v>
      </c>
      <c r="AZ108" s="20">
        <f>IF(B108="","",IF(OR(Y108="",Y108=0,AV108=""),"",ROUND((AV108+Z108)/Y108,2)))</f>
        <v>0</v>
      </c>
      <c r="BA108" s="20">
        <f>IF(B108="","",IF(1-AI108-AL108&lt;=0,"",ROUND((AH108+AM108+AK108)/(1-AI108-AL108),2)))</f>
        <v>0</v>
      </c>
      <c r="BB108" s="20">
        <f>IF(B108="","",IF(AT108="","",ROUND(AT108*2,2)))</f>
        <v>0</v>
      </c>
      <c r="BC108" s="20">
        <f>IF(B108="","",IF(AR108="","",ROUND(AR108*(1-WholesaleDiscount),2)))</f>
        <v>0</v>
      </c>
      <c r="BD108" s="20">
        <f>IF(B108="","",IF(BC108="","",ROUND(BC108-AH108-AM108,2)))</f>
        <v>0</v>
      </c>
      <c r="BE108" s="33">
        <f>IF(B108="","",IF(OR(BC108="",BC108=0),"",BD108/BC108))</f>
        <v>0</v>
      </c>
      <c r="BF108" s="20">
        <f>IF(B108="","",IFERROR(ROUND(AVERAGEIFS(Competitors!$F$5:$F$154,Competitors!$A$5:$A$154,A108),2),""))</f>
        <v>0</v>
      </c>
      <c r="BG108" s="33">
        <f>IF(B108="","",IF(OR(BF108="",BF108=0,AR108=""),"",AR108/BF108-1))</f>
        <v>0</v>
      </c>
      <c r="BH108" s="32">
        <f>IF(B108="","",SUMIFS(Sales!$D$5:$D$804,Sales!$C$5:$C$804,A108))</f>
        <v>0</v>
      </c>
      <c r="BI108" s="20">
        <f>IF(B108="","",ROUND(SUMIFS(Sales!$V$5:$V$804,Sales!$C$5:$C$804,A108),2))</f>
        <v>0</v>
      </c>
      <c r="BJ108" s="20">
        <f>IF(B108="","",ROUND(SUMIFS(Sales!$AG$5:$AG$804,Sales!$C$5:$C$804,A108),2))</f>
        <v>0</v>
      </c>
      <c r="BK108" s="33">
        <f>IF(B108="","",IF(OR(BI108="",BI108=0),"",BJ108/BI108))</f>
        <v>0</v>
      </c>
      <c r="BL108" s="17">
        <f>IF(B108="","",IF(SUMPRODUCT(MAX((Sales!$C$5:$C$804=A108)*Sales!$B$5:$B$804))=0,"",SUMPRODUCT(MAX((Sales!$C$5:$C$804=A108)*Sales!$B$5:$B$804))))</f>
        <v>0</v>
      </c>
      <c r="BM108" s="17">
        <f>IF(B108="","",IF(SUMPRODUCT(MAX(('Price History'!$B$5:$B$304=A108)*'Price History'!$A$5:$A$304))=0,IF(P108="","",P108),SUMPRODUCT(MAX(('Price History'!$B$5:$B$304=A108)*'Price History'!$A$5:$A$304))))</f>
        <v>0</v>
      </c>
      <c r="BN108" s="32">
        <f>IF(B108="","",IF(BM108="","",TodayDate-BM108))</f>
        <v>0</v>
      </c>
      <c r="BO108" s="32">
        <f>IF(B108="","",COUNTIFS($AV$5:$AV$304,"&gt;"&amp;AV108)+COUNTIFS($AV$5:AV108,AV108))</f>
        <v>0</v>
      </c>
      <c r="BP108" s="32">
        <f>IF(B108="","",COUNTIFS($AW$5:$AW$304,"&gt;"&amp;AW108)+COUNTIFS($AW$5:AW108,AW108))</f>
        <v>0</v>
      </c>
      <c r="BQ108" s="32">
        <f>IF(B108="","",COUNTIFS($BI$5:$BI$304,"&gt;"&amp;BI108)+COUNTIFS($BI$5:BI108,BI108))</f>
        <v>0</v>
      </c>
      <c r="BR108" s="32">
        <f>IF(B108="","",COUNTIFS($AY$5:$AY$304,"&gt;"&amp;AY108)+COUNTIFS($AY$5:AY108,AY108))</f>
        <v>0</v>
      </c>
      <c r="BS108" s="43">
        <f>IF(B108="","",IF(AH108=0,"Add - no costs entered yet",IF(AR108="","Check - no price yet",IF(AV108&lt;0,"Loss - every sale costs you money",IF(AND(AZ108&lt;&gt;"",AZ108&lt;MinimumWage),"Below - pays under minimum wage",IF(AW108&lt;MarginWarning,"Low margin - re-price it",IF(AND(AF108&lt;&gt;"",K108&lt;&gt;"",K108+AC108&gt;AF108),"Check - too heavy for that postage band",IF(AND(BN108&lt;&gt;"",BN108&gt;PriceReviewDays),"Due - price has not been reviewed",IF(AND(BG108&lt;&gt;"",BG108&gt;0.5),"Check - well above the market","OK")))))))) )</f>
        <v>0</v>
      </c>
    </row>
    <row r="109" spans="1:71">
      <c r="A109" s="38">
        <f>IF(B109="","",ProductPrefix&amp;TEXT(ROW()-4,"0000"))</f>
        <v>0</v>
      </c>
      <c r="S109" s="38">
        <f>IF(B109="","",IF(C109&lt;&gt;"",C109,UPPER(LEFT(IF(D109="","GEN",D109),3))&amp;"-"&amp;TEXT(ROW()-4,"000")))</f>
        <v>0</v>
      </c>
      <c r="T109" s="20">
        <f>IF(B109="","",ROUND(SUMIFS('Material Usage'!$M$5:$M$904,'Material Usage'!$A$5:$A$904,A109)+SUMIFS(Crochet!$AD$5:$AD$84,Crochet!$A$5:$A$84,A109)+SUMIFS(Jewelry!$AF$5:$AF$84,Jewelry!$A$5:$A$84,A109)+SUMIFS(Candles!$AF$5:$AF$84,Candles!$A$5:$A$84,A109)+SUMIFS(Clothing!$AB$5:$AB$84,Clothing!$A$5:$A$84,A109)+SUMIFS(Woodworking!$AC$5:$AC$84,Woodworking!$A$5:$A$84,A109)+SUMIFS(Digital!$X$5:$X$84,Digital!$A$5:$A$84,A109),2))</f>
        <v>0</v>
      </c>
      <c r="U109" s="20">
        <f>IF(B109="","",ROUND(SUMIFS(Labor!$O$5:$O$304,Labor!$A$5:$A$304,A109)+SUMIFS(Crochet!$AG$5:$AG$84,Crochet!$A$5:$A$84,A109)+SUMIFS(Jewelry!$AI$5:$AI$84,Jewelry!$A$5:$A$84,A109)+SUMIFS(Candles!$AI$5:$AI$84,Candles!$A$5:$A$84,A109)+SUMIFS(Clothing!$AE$5:$AE$84,Clothing!$A$5:$A$84,A109)+SUMIFS(Woodworking!$AF$5:$AF$84,Woodworking!$A$5:$A$84,A109)+SUMIFS(Digital!$Z$5:$Z$84,Digital!$A$5:$A$84,A109),2))</f>
        <v>0</v>
      </c>
      <c r="V109" s="36">
        <f>IF(B109="","",ROUND(SUMIFS(Labor!$P$5:$P$304,Labor!$A$5:$A$304,A109)+SUMIFS(Crochet!$AE$5:$AE$84,Crochet!$A$5:$A$84,A109)+SUMIFS(Jewelry!$AG$5:$AG$84,Jewelry!$A$5:$A$84,A109)+SUMIFS(Candles!$AG$5:$AG$84,Candles!$A$5:$A$84,A109)+SUMIFS(Clothing!$AC$5:$AC$84,Clothing!$A$5:$A$84,A109)+SUMIFS(Woodworking!$AD$5:$AD$84,Woodworking!$A$5:$A$84,A109)+SUMIFS(Digital!$Y$5:$Y$84,Digital!$A$5:$A$84,A109),1))</f>
        <v>0</v>
      </c>
      <c r="W109" s="41">
        <f>IF(B109="","",IFERROR(INDEX(DiffTimeFactors,MATCH(G109,DiffNames,0)),1))</f>
        <v>0</v>
      </c>
      <c r="X109" s="36">
        <f>IF(B109="","",ROUND(V109*W109,1))</f>
        <v>0</v>
      </c>
      <c r="Y109" s="41">
        <f>IF(B109="","",ROUND(X109/60,3))</f>
        <v>0</v>
      </c>
      <c r="Z109" s="20">
        <f>IF(B109="","",ROUND(U109*W109,2))</f>
        <v>0</v>
      </c>
      <c r="AA109" s="20">
        <f>IF(B109="","",ROUND(SUMIFS(Labor!$Q$5:$Q$304,Labor!$A$5:$A$304,A109)+SUMIFS(Crochet!$AH$5:$AH$84,Crochet!$A$5:$A$84,A109)+SUMIFS(Jewelry!$AJ$5:$AJ$84,Jewelry!$A$5:$A$84,A109)+SUMIFS(Candles!$AJ$5:$AJ$84,Candles!$A$5:$A$84,A109)+SUMIFS(Clothing!$AF$5:$AF$84,Clothing!$A$5:$A$84,A109)+SUMIFS(Woodworking!$AH$5:$AH$84,Woodworking!$A$5:$A$84,A109)+SUMIFS(Digital!$AA$5:$AA$84,Digital!$A$5:$A$84,A109),2))</f>
        <v>0</v>
      </c>
      <c r="AB109" s="20">
        <f>IF(B109="","",ROUND(IF(I109="Budget",PackBudget,IF(I109="Standard",PackStandard,IF(I109="Gift",PackGift,IF(I109="Premium",PackPremium,DefaultPackaging)))),2))</f>
        <v>0</v>
      </c>
      <c r="AC109" s="36">
        <f>IF(B109="","",IF(I109="Budget",PackWeightBudget,IF(I109="Standard",PackWeightStandard,IF(I109="Gift",PackWeightGift,IF(I109="Premium",PackWeightPremium,0)))))</f>
        <v>0</v>
      </c>
      <c r="AD109" s="20">
        <f>IF(B109="","",IFERROR(INDEX(Shipping!$M$5:$M$64,MATCH(J109,Shipping!$L$5:$L$64,0)),DefaultShipping))</f>
        <v>0</v>
      </c>
      <c r="AE109" s="20">
        <f>IF(B109="","",IFERROR(INDEX(Shipping!$F$5:$F$64,MATCH(J109,Shipping!$L$5:$L$64,0)),0))</f>
        <v>0</v>
      </c>
      <c r="AF109" s="36">
        <f>IF(B109="","",IFERROR(INDEX(Shipping!$C$5:$C$64,MATCH(J109,Shipping!$L$5:$L$64,0)),""))</f>
        <v>0</v>
      </c>
      <c r="AG109" s="20">
        <f>IF(B109="","",ROUND(MAX(0,AD109-AE109),2))</f>
        <v>0</v>
      </c>
      <c r="AH109" s="20">
        <f>IF(B109="","",ROUND(T109+Z109+AA109+AB109+AG109,2))</f>
        <v>0</v>
      </c>
      <c r="AI109" s="33">
        <f>IF(B109="","",IFERROR(INDEX(Channels!$S$5:$S$18,MATCH(IF(H109="",DefaultChannel,H109),Channels!$A$5:$A$18,0)),0))</f>
        <v>0</v>
      </c>
      <c r="AJ109" s="42">
        <f>IF(B109="","",IFERROR(INDEX(Channels!$O$5:$O$18,MATCH(IF(H109="",DefaultChannel,H109),Channels!$A$5:$A$18,0)),"No"))</f>
        <v>0</v>
      </c>
      <c r="AK109" s="20">
        <f>IF(B109="","",ROUND(IFERROR(INDEX(Channels!$T$5:$T$18,MATCH(IF(H109="",DefaultChannel,H109),Channels!$A$5:$A$18,0)),0)+IF(AJ109="Yes",AE109*AI109,0),4))</f>
        <v>0</v>
      </c>
      <c r="AL109" s="33">
        <f>IF(B109="","",IF(OverheadMethod="Share of revenue",IF(RevenueTargetMonth&lt;=0,0,OverheadMonthly/RevenueTargetMonth),0))</f>
        <v>0</v>
      </c>
      <c r="AM109" s="20">
        <f>IF(B109="","",IF(OverheadMethod="Per hour worked",ROUND(OverheadPerHour*Y109,2),IF(OR(OverheadMethod="Per unit made",OverheadMethod="Per order"),OverheadPerUnit,0)))</f>
        <v>0</v>
      </c>
      <c r="AN109" s="33">
        <f>IF(B109="","",IF(N109&lt;&gt;"",N109,TargetRetailMargin))</f>
        <v>0</v>
      </c>
      <c r="AO109" s="41">
        <f>IF(B109="","",1-AN109-AI109-AL109)</f>
        <v>0</v>
      </c>
      <c r="AP109" s="20">
        <f>IF(B109="","",IF(AO109&lt;=0,"",(AH109+AM109+AK109)/AO109))</f>
        <v>0</v>
      </c>
      <c r="AQ109" s="20">
        <f>IF(B109="","",IF(AP109="","Check the settings",ROUND(IF(RoundingRule="None",AP109,IF(RoundingRule="Nearest 0.99",MAX(0.99,CEILING(AP109,1)-0.01),IF(RoundingRule="Nearest 0.95",MAX(0.95,CEILING(AP109,1)-0.05),IF(RoundingRule="Nearest 0.50",CEILING(AP109,0.5),IF(RoundingRule="Nearest 1",CEILING(AP109,1),IF(RoundingRule="Nearest 5",CEILING(AP109,5),IF(RoundingRule="Up to whole 1",CEILING(AP109,1),IF(RoundingRule="Up to whole 5",CEILING(AP109,5),ROUND(AP109,2))))))))),2)))</f>
        <v>0</v>
      </c>
      <c r="AR109" s="20">
        <f>IF(B109="","",IF(M109&lt;&gt;"",M109,IF(ISNUMBER(AQ109),AQ109,"")))</f>
        <v>0</v>
      </c>
      <c r="AS109" s="20">
        <f>IF(B109="","",IF(AR109="","",ROUND(AM109+AR109*AL109,2)))</f>
        <v>0</v>
      </c>
      <c r="AT109" s="20">
        <f>IF(B109="","",IF(AR109="","",ROUND(AH109+AS109,2)))</f>
        <v>0</v>
      </c>
      <c r="AU109" s="20">
        <f>IF(B109="","",IF(AR109="","",ROUND(AR109*AI109+AK109,2)))</f>
        <v>0</v>
      </c>
      <c r="AV109" s="20">
        <f>IF(B109="","",IF(AR109="","",ROUND(AR109-AT109-AU109,2)))</f>
        <v>0</v>
      </c>
      <c r="AW109" s="33">
        <f>IF(B109="","",IF(OR(AR109="",AR109=0),"",AV109/AR109))</f>
        <v>0</v>
      </c>
      <c r="AX109" s="33">
        <f>IF(B109="","",IF(OR(AT109="",AT109=0),"",AV109/AT109))</f>
        <v>0</v>
      </c>
      <c r="AY109" s="20">
        <f>IF(B109="","",IF(OR(Y109="",Y109=0,AV109=""),"",ROUND(AV109/Y109,2)))</f>
        <v>0</v>
      </c>
      <c r="AZ109" s="20">
        <f>IF(B109="","",IF(OR(Y109="",Y109=0,AV109=""),"",ROUND((AV109+Z109)/Y109,2)))</f>
        <v>0</v>
      </c>
      <c r="BA109" s="20">
        <f>IF(B109="","",IF(1-AI109-AL109&lt;=0,"",ROUND((AH109+AM109+AK109)/(1-AI109-AL109),2)))</f>
        <v>0</v>
      </c>
      <c r="BB109" s="20">
        <f>IF(B109="","",IF(AT109="","",ROUND(AT109*2,2)))</f>
        <v>0</v>
      </c>
      <c r="BC109" s="20">
        <f>IF(B109="","",IF(AR109="","",ROUND(AR109*(1-WholesaleDiscount),2)))</f>
        <v>0</v>
      </c>
      <c r="BD109" s="20">
        <f>IF(B109="","",IF(BC109="","",ROUND(BC109-AH109-AM109,2)))</f>
        <v>0</v>
      </c>
      <c r="BE109" s="33">
        <f>IF(B109="","",IF(OR(BC109="",BC109=0),"",BD109/BC109))</f>
        <v>0</v>
      </c>
      <c r="BF109" s="20">
        <f>IF(B109="","",IFERROR(ROUND(AVERAGEIFS(Competitors!$F$5:$F$154,Competitors!$A$5:$A$154,A109),2),""))</f>
        <v>0</v>
      </c>
      <c r="BG109" s="33">
        <f>IF(B109="","",IF(OR(BF109="",BF109=0,AR109=""),"",AR109/BF109-1))</f>
        <v>0</v>
      </c>
      <c r="BH109" s="32">
        <f>IF(B109="","",SUMIFS(Sales!$D$5:$D$804,Sales!$C$5:$C$804,A109))</f>
        <v>0</v>
      </c>
      <c r="BI109" s="20">
        <f>IF(B109="","",ROUND(SUMIFS(Sales!$V$5:$V$804,Sales!$C$5:$C$804,A109),2))</f>
        <v>0</v>
      </c>
      <c r="BJ109" s="20">
        <f>IF(B109="","",ROUND(SUMIFS(Sales!$AG$5:$AG$804,Sales!$C$5:$C$804,A109),2))</f>
        <v>0</v>
      </c>
      <c r="BK109" s="33">
        <f>IF(B109="","",IF(OR(BI109="",BI109=0),"",BJ109/BI109))</f>
        <v>0</v>
      </c>
      <c r="BL109" s="17">
        <f>IF(B109="","",IF(SUMPRODUCT(MAX((Sales!$C$5:$C$804=A109)*Sales!$B$5:$B$804))=0,"",SUMPRODUCT(MAX((Sales!$C$5:$C$804=A109)*Sales!$B$5:$B$804))))</f>
        <v>0</v>
      </c>
      <c r="BM109" s="17">
        <f>IF(B109="","",IF(SUMPRODUCT(MAX(('Price History'!$B$5:$B$304=A109)*'Price History'!$A$5:$A$304))=0,IF(P109="","",P109),SUMPRODUCT(MAX(('Price History'!$B$5:$B$304=A109)*'Price History'!$A$5:$A$304))))</f>
        <v>0</v>
      </c>
      <c r="BN109" s="32">
        <f>IF(B109="","",IF(BM109="","",TodayDate-BM109))</f>
        <v>0</v>
      </c>
      <c r="BO109" s="32">
        <f>IF(B109="","",COUNTIFS($AV$5:$AV$304,"&gt;"&amp;AV109)+COUNTIFS($AV$5:AV109,AV109))</f>
        <v>0</v>
      </c>
      <c r="BP109" s="32">
        <f>IF(B109="","",COUNTIFS($AW$5:$AW$304,"&gt;"&amp;AW109)+COUNTIFS($AW$5:AW109,AW109))</f>
        <v>0</v>
      </c>
      <c r="BQ109" s="32">
        <f>IF(B109="","",COUNTIFS($BI$5:$BI$304,"&gt;"&amp;BI109)+COUNTIFS($BI$5:BI109,BI109))</f>
        <v>0</v>
      </c>
      <c r="BR109" s="32">
        <f>IF(B109="","",COUNTIFS($AY$5:$AY$304,"&gt;"&amp;AY109)+COUNTIFS($AY$5:AY109,AY109))</f>
        <v>0</v>
      </c>
      <c r="BS109" s="43">
        <f>IF(B109="","",IF(AH109=0,"Add - no costs entered yet",IF(AR109="","Check - no price yet",IF(AV109&lt;0,"Loss - every sale costs you money",IF(AND(AZ109&lt;&gt;"",AZ109&lt;MinimumWage),"Below - pays under minimum wage",IF(AW109&lt;MarginWarning,"Low margin - re-price it",IF(AND(AF109&lt;&gt;"",K109&lt;&gt;"",K109+AC109&gt;AF109),"Check - too heavy for that postage band",IF(AND(BN109&lt;&gt;"",BN109&gt;PriceReviewDays),"Due - price has not been reviewed",IF(AND(BG109&lt;&gt;"",BG109&gt;0.5),"Check - well above the market","OK")))))))) )</f>
        <v>0</v>
      </c>
    </row>
    <row r="110" spans="1:71">
      <c r="A110" s="38">
        <f>IF(B110="","",ProductPrefix&amp;TEXT(ROW()-4,"0000"))</f>
        <v>0</v>
      </c>
      <c r="S110" s="38">
        <f>IF(B110="","",IF(C110&lt;&gt;"",C110,UPPER(LEFT(IF(D110="","GEN",D110),3))&amp;"-"&amp;TEXT(ROW()-4,"000")))</f>
        <v>0</v>
      </c>
      <c r="T110" s="20">
        <f>IF(B110="","",ROUND(SUMIFS('Material Usage'!$M$5:$M$904,'Material Usage'!$A$5:$A$904,A110)+SUMIFS(Crochet!$AD$5:$AD$84,Crochet!$A$5:$A$84,A110)+SUMIFS(Jewelry!$AF$5:$AF$84,Jewelry!$A$5:$A$84,A110)+SUMIFS(Candles!$AF$5:$AF$84,Candles!$A$5:$A$84,A110)+SUMIFS(Clothing!$AB$5:$AB$84,Clothing!$A$5:$A$84,A110)+SUMIFS(Woodworking!$AC$5:$AC$84,Woodworking!$A$5:$A$84,A110)+SUMIFS(Digital!$X$5:$X$84,Digital!$A$5:$A$84,A110),2))</f>
        <v>0</v>
      </c>
      <c r="U110" s="20">
        <f>IF(B110="","",ROUND(SUMIFS(Labor!$O$5:$O$304,Labor!$A$5:$A$304,A110)+SUMIFS(Crochet!$AG$5:$AG$84,Crochet!$A$5:$A$84,A110)+SUMIFS(Jewelry!$AI$5:$AI$84,Jewelry!$A$5:$A$84,A110)+SUMIFS(Candles!$AI$5:$AI$84,Candles!$A$5:$A$84,A110)+SUMIFS(Clothing!$AE$5:$AE$84,Clothing!$A$5:$A$84,A110)+SUMIFS(Woodworking!$AF$5:$AF$84,Woodworking!$A$5:$A$84,A110)+SUMIFS(Digital!$Z$5:$Z$84,Digital!$A$5:$A$84,A110),2))</f>
        <v>0</v>
      </c>
      <c r="V110" s="36">
        <f>IF(B110="","",ROUND(SUMIFS(Labor!$P$5:$P$304,Labor!$A$5:$A$304,A110)+SUMIFS(Crochet!$AE$5:$AE$84,Crochet!$A$5:$A$84,A110)+SUMIFS(Jewelry!$AG$5:$AG$84,Jewelry!$A$5:$A$84,A110)+SUMIFS(Candles!$AG$5:$AG$84,Candles!$A$5:$A$84,A110)+SUMIFS(Clothing!$AC$5:$AC$84,Clothing!$A$5:$A$84,A110)+SUMIFS(Woodworking!$AD$5:$AD$84,Woodworking!$A$5:$A$84,A110)+SUMIFS(Digital!$Y$5:$Y$84,Digital!$A$5:$A$84,A110),1))</f>
        <v>0</v>
      </c>
      <c r="W110" s="41">
        <f>IF(B110="","",IFERROR(INDEX(DiffTimeFactors,MATCH(G110,DiffNames,0)),1))</f>
        <v>0</v>
      </c>
      <c r="X110" s="36">
        <f>IF(B110="","",ROUND(V110*W110,1))</f>
        <v>0</v>
      </c>
      <c r="Y110" s="41">
        <f>IF(B110="","",ROUND(X110/60,3))</f>
        <v>0</v>
      </c>
      <c r="Z110" s="20">
        <f>IF(B110="","",ROUND(U110*W110,2))</f>
        <v>0</v>
      </c>
      <c r="AA110" s="20">
        <f>IF(B110="","",ROUND(SUMIFS(Labor!$Q$5:$Q$304,Labor!$A$5:$A$304,A110)+SUMIFS(Crochet!$AH$5:$AH$84,Crochet!$A$5:$A$84,A110)+SUMIFS(Jewelry!$AJ$5:$AJ$84,Jewelry!$A$5:$A$84,A110)+SUMIFS(Candles!$AJ$5:$AJ$84,Candles!$A$5:$A$84,A110)+SUMIFS(Clothing!$AF$5:$AF$84,Clothing!$A$5:$A$84,A110)+SUMIFS(Woodworking!$AH$5:$AH$84,Woodworking!$A$5:$A$84,A110)+SUMIFS(Digital!$AA$5:$AA$84,Digital!$A$5:$A$84,A110),2))</f>
        <v>0</v>
      </c>
      <c r="AB110" s="20">
        <f>IF(B110="","",ROUND(IF(I110="Budget",PackBudget,IF(I110="Standard",PackStandard,IF(I110="Gift",PackGift,IF(I110="Premium",PackPremium,DefaultPackaging)))),2))</f>
        <v>0</v>
      </c>
      <c r="AC110" s="36">
        <f>IF(B110="","",IF(I110="Budget",PackWeightBudget,IF(I110="Standard",PackWeightStandard,IF(I110="Gift",PackWeightGift,IF(I110="Premium",PackWeightPremium,0)))))</f>
        <v>0</v>
      </c>
      <c r="AD110" s="20">
        <f>IF(B110="","",IFERROR(INDEX(Shipping!$M$5:$M$64,MATCH(J110,Shipping!$L$5:$L$64,0)),DefaultShipping))</f>
        <v>0</v>
      </c>
      <c r="AE110" s="20">
        <f>IF(B110="","",IFERROR(INDEX(Shipping!$F$5:$F$64,MATCH(J110,Shipping!$L$5:$L$64,0)),0))</f>
        <v>0</v>
      </c>
      <c r="AF110" s="36">
        <f>IF(B110="","",IFERROR(INDEX(Shipping!$C$5:$C$64,MATCH(J110,Shipping!$L$5:$L$64,0)),""))</f>
        <v>0</v>
      </c>
      <c r="AG110" s="20">
        <f>IF(B110="","",ROUND(MAX(0,AD110-AE110),2))</f>
        <v>0</v>
      </c>
      <c r="AH110" s="20">
        <f>IF(B110="","",ROUND(T110+Z110+AA110+AB110+AG110,2))</f>
        <v>0</v>
      </c>
      <c r="AI110" s="33">
        <f>IF(B110="","",IFERROR(INDEX(Channels!$S$5:$S$18,MATCH(IF(H110="",DefaultChannel,H110),Channels!$A$5:$A$18,0)),0))</f>
        <v>0</v>
      </c>
      <c r="AJ110" s="42">
        <f>IF(B110="","",IFERROR(INDEX(Channels!$O$5:$O$18,MATCH(IF(H110="",DefaultChannel,H110),Channels!$A$5:$A$18,0)),"No"))</f>
        <v>0</v>
      </c>
      <c r="AK110" s="20">
        <f>IF(B110="","",ROUND(IFERROR(INDEX(Channels!$T$5:$T$18,MATCH(IF(H110="",DefaultChannel,H110),Channels!$A$5:$A$18,0)),0)+IF(AJ110="Yes",AE110*AI110,0),4))</f>
        <v>0</v>
      </c>
      <c r="AL110" s="33">
        <f>IF(B110="","",IF(OverheadMethod="Share of revenue",IF(RevenueTargetMonth&lt;=0,0,OverheadMonthly/RevenueTargetMonth),0))</f>
        <v>0</v>
      </c>
      <c r="AM110" s="20">
        <f>IF(B110="","",IF(OverheadMethod="Per hour worked",ROUND(OverheadPerHour*Y110,2),IF(OR(OverheadMethod="Per unit made",OverheadMethod="Per order"),OverheadPerUnit,0)))</f>
        <v>0</v>
      </c>
      <c r="AN110" s="33">
        <f>IF(B110="","",IF(N110&lt;&gt;"",N110,TargetRetailMargin))</f>
        <v>0</v>
      </c>
      <c r="AO110" s="41">
        <f>IF(B110="","",1-AN110-AI110-AL110)</f>
        <v>0</v>
      </c>
      <c r="AP110" s="20">
        <f>IF(B110="","",IF(AO110&lt;=0,"",(AH110+AM110+AK110)/AO110))</f>
        <v>0</v>
      </c>
      <c r="AQ110" s="20">
        <f>IF(B110="","",IF(AP110="","Check the settings",ROUND(IF(RoundingRule="None",AP110,IF(RoundingRule="Nearest 0.99",MAX(0.99,CEILING(AP110,1)-0.01),IF(RoundingRule="Nearest 0.95",MAX(0.95,CEILING(AP110,1)-0.05),IF(RoundingRule="Nearest 0.50",CEILING(AP110,0.5),IF(RoundingRule="Nearest 1",CEILING(AP110,1),IF(RoundingRule="Nearest 5",CEILING(AP110,5),IF(RoundingRule="Up to whole 1",CEILING(AP110,1),IF(RoundingRule="Up to whole 5",CEILING(AP110,5),ROUND(AP110,2))))))))),2)))</f>
        <v>0</v>
      </c>
      <c r="AR110" s="20">
        <f>IF(B110="","",IF(M110&lt;&gt;"",M110,IF(ISNUMBER(AQ110),AQ110,"")))</f>
        <v>0</v>
      </c>
      <c r="AS110" s="20">
        <f>IF(B110="","",IF(AR110="","",ROUND(AM110+AR110*AL110,2)))</f>
        <v>0</v>
      </c>
      <c r="AT110" s="20">
        <f>IF(B110="","",IF(AR110="","",ROUND(AH110+AS110,2)))</f>
        <v>0</v>
      </c>
      <c r="AU110" s="20">
        <f>IF(B110="","",IF(AR110="","",ROUND(AR110*AI110+AK110,2)))</f>
        <v>0</v>
      </c>
      <c r="AV110" s="20">
        <f>IF(B110="","",IF(AR110="","",ROUND(AR110-AT110-AU110,2)))</f>
        <v>0</v>
      </c>
      <c r="AW110" s="33">
        <f>IF(B110="","",IF(OR(AR110="",AR110=0),"",AV110/AR110))</f>
        <v>0</v>
      </c>
      <c r="AX110" s="33">
        <f>IF(B110="","",IF(OR(AT110="",AT110=0),"",AV110/AT110))</f>
        <v>0</v>
      </c>
      <c r="AY110" s="20">
        <f>IF(B110="","",IF(OR(Y110="",Y110=0,AV110=""),"",ROUND(AV110/Y110,2)))</f>
        <v>0</v>
      </c>
      <c r="AZ110" s="20">
        <f>IF(B110="","",IF(OR(Y110="",Y110=0,AV110=""),"",ROUND((AV110+Z110)/Y110,2)))</f>
        <v>0</v>
      </c>
      <c r="BA110" s="20">
        <f>IF(B110="","",IF(1-AI110-AL110&lt;=0,"",ROUND((AH110+AM110+AK110)/(1-AI110-AL110),2)))</f>
        <v>0</v>
      </c>
      <c r="BB110" s="20">
        <f>IF(B110="","",IF(AT110="","",ROUND(AT110*2,2)))</f>
        <v>0</v>
      </c>
      <c r="BC110" s="20">
        <f>IF(B110="","",IF(AR110="","",ROUND(AR110*(1-WholesaleDiscount),2)))</f>
        <v>0</v>
      </c>
      <c r="BD110" s="20">
        <f>IF(B110="","",IF(BC110="","",ROUND(BC110-AH110-AM110,2)))</f>
        <v>0</v>
      </c>
      <c r="BE110" s="33">
        <f>IF(B110="","",IF(OR(BC110="",BC110=0),"",BD110/BC110))</f>
        <v>0</v>
      </c>
      <c r="BF110" s="20">
        <f>IF(B110="","",IFERROR(ROUND(AVERAGEIFS(Competitors!$F$5:$F$154,Competitors!$A$5:$A$154,A110),2),""))</f>
        <v>0</v>
      </c>
      <c r="BG110" s="33">
        <f>IF(B110="","",IF(OR(BF110="",BF110=0,AR110=""),"",AR110/BF110-1))</f>
        <v>0</v>
      </c>
      <c r="BH110" s="32">
        <f>IF(B110="","",SUMIFS(Sales!$D$5:$D$804,Sales!$C$5:$C$804,A110))</f>
        <v>0</v>
      </c>
      <c r="BI110" s="20">
        <f>IF(B110="","",ROUND(SUMIFS(Sales!$V$5:$V$804,Sales!$C$5:$C$804,A110),2))</f>
        <v>0</v>
      </c>
      <c r="BJ110" s="20">
        <f>IF(B110="","",ROUND(SUMIFS(Sales!$AG$5:$AG$804,Sales!$C$5:$C$804,A110),2))</f>
        <v>0</v>
      </c>
      <c r="BK110" s="33">
        <f>IF(B110="","",IF(OR(BI110="",BI110=0),"",BJ110/BI110))</f>
        <v>0</v>
      </c>
      <c r="BL110" s="17">
        <f>IF(B110="","",IF(SUMPRODUCT(MAX((Sales!$C$5:$C$804=A110)*Sales!$B$5:$B$804))=0,"",SUMPRODUCT(MAX((Sales!$C$5:$C$804=A110)*Sales!$B$5:$B$804))))</f>
        <v>0</v>
      </c>
      <c r="BM110" s="17">
        <f>IF(B110="","",IF(SUMPRODUCT(MAX(('Price History'!$B$5:$B$304=A110)*'Price History'!$A$5:$A$304))=0,IF(P110="","",P110),SUMPRODUCT(MAX(('Price History'!$B$5:$B$304=A110)*'Price History'!$A$5:$A$304))))</f>
        <v>0</v>
      </c>
      <c r="BN110" s="32">
        <f>IF(B110="","",IF(BM110="","",TodayDate-BM110))</f>
        <v>0</v>
      </c>
      <c r="BO110" s="32">
        <f>IF(B110="","",COUNTIFS($AV$5:$AV$304,"&gt;"&amp;AV110)+COUNTIFS($AV$5:AV110,AV110))</f>
        <v>0</v>
      </c>
      <c r="BP110" s="32">
        <f>IF(B110="","",COUNTIFS($AW$5:$AW$304,"&gt;"&amp;AW110)+COUNTIFS($AW$5:AW110,AW110))</f>
        <v>0</v>
      </c>
      <c r="BQ110" s="32">
        <f>IF(B110="","",COUNTIFS($BI$5:$BI$304,"&gt;"&amp;BI110)+COUNTIFS($BI$5:BI110,BI110))</f>
        <v>0</v>
      </c>
      <c r="BR110" s="32">
        <f>IF(B110="","",COUNTIFS($AY$5:$AY$304,"&gt;"&amp;AY110)+COUNTIFS($AY$5:AY110,AY110))</f>
        <v>0</v>
      </c>
      <c r="BS110" s="43">
        <f>IF(B110="","",IF(AH110=0,"Add - no costs entered yet",IF(AR110="","Check - no price yet",IF(AV110&lt;0,"Loss - every sale costs you money",IF(AND(AZ110&lt;&gt;"",AZ110&lt;MinimumWage),"Below - pays under minimum wage",IF(AW110&lt;MarginWarning,"Low margin - re-price it",IF(AND(AF110&lt;&gt;"",K110&lt;&gt;"",K110+AC110&gt;AF110),"Check - too heavy for that postage band",IF(AND(BN110&lt;&gt;"",BN110&gt;PriceReviewDays),"Due - price has not been reviewed",IF(AND(BG110&lt;&gt;"",BG110&gt;0.5),"Check - well above the market","OK")))))))) )</f>
        <v>0</v>
      </c>
    </row>
    <row r="111" spans="1:71">
      <c r="A111" s="38">
        <f>IF(B111="","",ProductPrefix&amp;TEXT(ROW()-4,"0000"))</f>
        <v>0</v>
      </c>
      <c r="S111" s="38">
        <f>IF(B111="","",IF(C111&lt;&gt;"",C111,UPPER(LEFT(IF(D111="","GEN",D111),3))&amp;"-"&amp;TEXT(ROW()-4,"000")))</f>
        <v>0</v>
      </c>
      <c r="T111" s="20">
        <f>IF(B111="","",ROUND(SUMIFS('Material Usage'!$M$5:$M$904,'Material Usage'!$A$5:$A$904,A111)+SUMIFS(Crochet!$AD$5:$AD$84,Crochet!$A$5:$A$84,A111)+SUMIFS(Jewelry!$AF$5:$AF$84,Jewelry!$A$5:$A$84,A111)+SUMIFS(Candles!$AF$5:$AF$84,Candles!$A$5:$A$84,A111)+SUMIFS(Clothing!$AB$5:$AB$84,Clothing!$A$5:$A$84,A111)+SUMIFS(Woodworking!$AC$5:$AC$84,Woodworking!$A$5:$A$84,A111)+SUMIFS(Digital!$X$5:$X$84,Digital!$A$5:$A$84,A111),2))</f>
        <v>0</v>
      </c>
      <c r="U111" s="20">
        <f>IF(B111="","",ROUND(SUMIFS(Labor!$O$5:$O$304,Labor!$A$5:$A$304,A111)+SUMIFS(Crochet!$AG$5:$AG$84,Crochet!$A$5:$A$84,A111)+SUMIFS(Jewelry!$AI$5:$AI$84,Jewelry!$A$5:$A$84,A111)+SUMIFS(Candles!$AI$5:$AI$84,Candles!$A$5:$A$84,A111)+SUMIFS(Clothing!$AE$5:$AE$84,Clothing!$A$5:$A$84,A111)+SUMIFS(Woodworking!$AF$5:$AF$84,Woodworking!$A$5:$A$84,A111)+SUMIFS(Digital!$Z$5:$Z$84,Digital!$A$5:$A$84,A111),2))</f>
        <v>0</v>
      </c>
      <c r="V111" s="36">
        <f>IF(B111="","",ROUND(SUMIFS(Labor!$P$5:$P$304,Labor!$A$5:$A$304,A111)+SUMIFS(Crochet!$AE$5:$AE$84,Crochet!$A$5:$A$84,A111)+SUMIFS(Jewelry!$AG$5:$AG$84,Jewelry!$A$5:$A$84,A111)+SUMIFS(Candles!$AG$5:$AG$84,Candles!$A$5:$A$84,A111)+SUMIFS(Clothing!$AC$5:$AC$84,Clothing!$A$5:$A$84,A111)+SUMIFS(Woodworking!$AD$5:$AD$84,Woodworking!$A$5:$A$84,A111)+SUMIFS(Digital!$Y$5:$Y$84,Digital!$A$5:$A$84,A111),1))</f>
        <v>0</v>
      </c>
      <c r="W111" s="41">
        <f>IF(B111="","",IFERROR(INDEX(DiffTimeFactors,MATCH(G111,DiffNames,0)),1))</f>
        <v>0</v>
      </c>
      <c r="X111" s="36">
        <f>IF(B111="","",ROUND(V111*W111,1))</f>
        <v>0</v>
      </c>
      <c r="Y111" s="41">
        <f>IF(B111="","",ROUND(X111/60,3))</f>
        <v>0</v>
      </c>
      <c r="Z111" s="20">
        <f>IF(B111="","",ROUND(U111*W111,2))</f>
        <v>0</v>
      </c>
      <c r="AA111" s="20">
        <f>IF(B111="","",ROUND(SUMIFS(Labor!$Q$5:$Q$304,Labor!$A$5:$A$304,A111)+SUMIFS(Crochet!$AH$5:$AH$84,Crochet!$A$5:$A$84,A111)+SUMIFS(Jewelry!$AJ$5:$AJ$84,Jewelry!$A$5:$A$84,A111)+SUMIFS(Candles!$AJ$5:$AJ$84,Candles!$A$5:$A$84,A111)+SUMIFS(Clothing!$AF$5:$AF$84,Clothing!$A$5:$A$84,A111)+SUMIFS(Woodworking!$AH$5:$AH$84,Woodworking!$A$5:$A$84,A111)+SUMIFS(Digital!$AA$5:$AA$84,Digital!$A$5:$A$84,A111),2))</f>
        <v>0</v>
      </c>
      <c r="AB111" s="20">
        <f>IF(B111="","",ROUND(IF(I111="Budget",PackBudget,IF(I111="Standard",PackStandard,IF(I111="Gift",PackGift,IF(I111="Premium",PackPremium,DefaultPackaging)))),2))</f>
        <v>0</v>
      </c>
      <c r="AC111" s="36">
        <f>IF(B111="","",IF(I111="Budget",PackWeightBudget,IF(I111="Standard",PackWeightStandard,IF(I111="Gift",PackWeightGift,IF(I111="Premium",PackWeightPremium,0)))))</f>
        <v>0</v>
      </c>
      <c r="AD111" s="20">
        <f>IF(B111="","",IFERROR(INDEX(Shipping!$M$5:$M$64,MATCH(J111,Shipping!$L$5:$L$64,0)),DefaultShipping))</f>
        <v>0</v>
      </c>
      <c r="AE111" s="20">
        <f>IF(B111="","",IFERROR(INDEX(Shipping!$F$5:$F$64,MATCH(J111,Shipping!$L$5:$L$64,0)),0))</f>
        <v>0</v>
      </c>
      <c r="AF111" s="36">
        <f>IF(B111="","",IFERROR(INDEX(Shipping!$C$5:$C$64,MATCH(J111,Shipping!$L$5:$L$64,0)),""))</f>
        <v>0</v>
      </c>
      <c r="AG111" s="20">
        <f>IF(B111="","",ROUND(MAX(0,AD111-AE111),2))</f>
        <v>0</v>
      </c>
      <c r="AH111" s="20">
        <f>IF(B111="","",ROUND(T111+Z111+AA111+AB111+AG111,2))</f>
        <v>0</v>
      </c>
      <c r="AI111" s="33">
        <f>IF(B111="","",IFERROR(INDEX(Channels!$S$5:$S$18,MATCH(IF(H111="",DefaultChannel,H111),Channels!$A$5:$A$18,0)),0))</f>
        <v>0</v>
      </c>
      <c r="AJ111" s="42">
        <f>IF(B111="","",IFERROR(INDEX(Channels!$O$5:$O$18,MATCH(IF(H111="",DefaultChannel,H111),Channels!$A$5:$A$18,0)),"No"))</f>
        <v>0</v>
      </c>
      <c r="AK111" s="20">
        <f>IF(B111="","",ROUND(IFERROR(INDEX(Channels!$T$5:$T$18,MATCH(IF(H111="",DefaultChannel,H111),Channels!$A$5:$A$18,0)),0)+IF(AJ111="Yes",AE111*AI111,0),4))</f>
        <v>0</v>
      </c>
      <c r="AL111" s="33">
        <f>IF(B111="","",IF(OverheadMethod="Share of revenue",IF(RevenueTargetMonth&lt;=0,0,OverheadMonthly/RevenueTargetMonth),0))</f>
        <v>0</v>
      </c>
      <c r="AM111" s="20">
        <f>IF(B111="","",IF(OverheadMethod="Per hour worked",ROUND(OverheadPerHour*Y111,2),IF(OR(OverheadMethod="Per unit made",OverheadMethod="Per order"),OverheadPerUnit,0)))</f>
        <v>0</v>
      </c>
      <c r="AN111" s="33">
        <f>IF(B111="","",IF(N111&lt;&gt;"",N111,TargetRetailMargin))</f>
        <v>0</v>
      </c>
      <c r="AO111" s="41">
        <f>IF(B111="","",1-AN111-AI111-AL111)</f>
        <v>0</v>
      </c>
      <c r="AP111" s="20">
        <f>IF(B111="","",IF(AO111&lt;=0,"",(AH111+AM111+AK111)/AO111))</f>
        <v>0</v>
      </c>
      <c r="AQ111" s="20">
        <f>IF(B111="","",IF(AP111="","Check the settings",ROUND(IF(RoundingRule="None",AP111,IF(RoundingRule="Nearest 0.99",MAX(0.99,CEILING(AP111,1)-0.01),IF(RoundingRule="Nearest 0.95",MAX(0.95,CEILING(AP111,1)-0.05),IF(RoundingRule="Nearest 0.50",CEILING(AP111,0.5),IF(RoundingRule="Nearest 1",CEILING(AP111,1),IF(RoundingRule="Nearest 5",CEILING(AP111,5),IF(RoundingRule="Up to whole 1",CEILING(AP111,1),IF(RoundingRule="Up to whole 5",CEILING(AP111,5),ROUND(AP111,2))))))))),2)))</f>
        <v>0</v>
      </c>
      <c r="AR111" s="20">
        <f>IF(B111="","",IF(M111&lt;&gt;"",M111,IF(ISNUMBER(AQ111),AQ111,"")))</f>
        <v>0</v>
      </c>
      <c r="AS111" s="20">
        <f>IF(B111="","",IF(AR111="","",ROUND(AM111+AR111*AL111,2)))</f>
        <v>0</v>
      </c>
      <c r="AT111" s="20">
        <f>IF(B111="","",IF(AR111="","",ROUND(AH111+AS111,2)))</f>
        <v>0</v>
      </c>
      <c r="AU111" s="20">
        <f>IF(B111="","",IF(AR111="","",ROUND(AR111*AI111+AK111,2)))</f>
        <v>0</v>
      </c>
      <c r="AV111" s="20">
        <f>IF(B111="","",IF(AR111="","",ROUND(AR111-AT111-AU111,2)))</f>
        <v>0</v>
      </c>
      <c r="AW111" s="33">
        <f>IF(B111="","",IF(OR(AR111="",AR111=0),"",AV111/AR111))</f>
        <v>0</v>
      </c>
      <c r="AX111" s="33">
        <f>IF(B111="","",IF(OR(AT111="",AT111=0),"",AV111/AT111))</f>
        <v>0</v>
      </c>
      <c r="AY111" s="20">
        <f>IF(B111="","",IF(OR(Y111="",Y111=0,AV111=""),"",ROUND(AV111/Y111,2)))</f>
        <v>0</v>
      </c>
      <c r="AZ111" s="20">
        <f>IF(B111="","",IF(OR(Y111="",Y111=0,AV111=""),"",ROUND((AV111+Z111)/Y111,2)))</f>
        <v>0</v>
      </c>
      <c r="BA111" s="20">
        <f>IF(B111="","",IF(1-AI111-AL111&lt;=0,"",ROUND((AH111+AM111+AK111)/(1-AI111-AL111),2)))</f>
        <v>0</v>
      </c>
      <c r="BB111" s="20">
        <f>IF(B111="","",IF(AT111="","",ROUND(AT111*2,2)))</f>
        <v>0</v>
      </c>
      <c r="BC111" s="20">
        <f>IF(B111="","",IF(AR111="","",ROUND(AR111*(1-WholesaleDiscount),2)))</f>
        <v>0</v>
      </c>
      <c r="BD111" s="20">
        <f>IF(B111="","",IF(BC111="","",ROUND(BC111-AH111-AM111,2)))</f>
        <v>0</v>
      </c>
      <c r="BE111" s="33">
        <f>IF(B111="","",IF(OR(BC111="",BC111=0),"",BD111/BC111))</f>
        <v>0</v>
      </c>
      <c r="BF111" s="20">
        <f>IF(B111="","",IFERROR(ROUND(AVERAGEIFS(Competitors!$F$5:$F$154,Competitors!$A$5:$A$154,A111),2),""))</f>
        <v>0</v>
      </c>
      <c r="BG111" s="33">
        <f>IF(B111="","",IF(OR(BF111="",BF111=0,AR111=""),"",AR111/BF111-1))</f>
        <v>0</v>
      </c>
      <c r="BH111" s="32">
        <f>IF(B111="","",SUMIFS(Sales!$D$5:$D$804,Sales!$C$5:$C$804,A111))</f>
        <v>0</v>
      </c>
      <c r="BI111" s="20">
        <f>IF(B111="","",ROUND(SUMIFS(Sales!$V$5:$V$804,Sales!$C$5:$C$804,A111),2))</f>
        <v>0</v>
      </c>
      <c r="BJ111" s="20">
        <f>IF(B111="","",ROUND(SUMIFS(Sales!$AG$5:$AG$804,Sales!$C$5:$C$804,A111),2))</f>
        <v>0</v>
      </c>
      <c r="BK111" s="33">
        <f>IF(B111="","",IF(OR(BI111="",BI111=0),"",BJ111/BI111))</f>
        <v>0</v>
      </c>
      <c r="BL111" s="17">
        <f>IF(B111="","",IF(SUMPRODUCT(MAX((Sales!$C$5:$C$804=A111)*Sales!$B$5:$B$804))=0,"",SUMPRODUCT(MAX((Sales!$C$5:$C$804=A111)*Sales!$B$5:$B$804))))</f>
        <v>0</v>
      </c>
      <c r="BM111" s="17">
        <f>IF(B111="","",IF(SUMPRODUCT(MAX(('Price History'!$B$5:$B$304=A111)*'Price History'!$A$5:$A$304))=0,IF(P111="","",P111),SUMPRODUCT(MAX(('Price History'!$B$5:$B$304=A111)*'Price History'!$A$5:$A$304))))</f>
        <v>0</v>
      </c>
      <c r="BN111" s="32">
        <f>IF(B111="","",IF(BM111="","",TodayDate-BM111))</f>
        <v>0</v>
      </c>
      <c r="BO111" s="32">
        <f>IF(B111="","",COUNTIFS($AV$5:$AV$304,"&gt;"&amp;AV111)+COUNTIFS($AV$5:AV111,AV111))</f>
        <v>0</v>
      </c>
      <c r="BP111" s="32">
        <f>IF(B111="","",COUNTIFS($AW$5:$AW$304,"&gt;"&amp;AW111)+COUNTIFS($AW$5:AW111,AW111))</f>
        <v>0</v>
      </c>
      <c r="BQ111" s="32">
        <f>IF(B111="","",COUNTIFS($BI$5:$BI$304,"&gt;"&amp;BI111)+COUNTIFS($BI$5:BI111,BI111))</f>
        <v>0</v>
      </c>
      <c r="BR111" s="32">
        <f>IF(B111="","",COUNTIFS($AY$5:$AY$304,"&gt;"&amp;AY111)+COUNTIFS($AY$5:AY111,AY111))</f>
        <v>0</v>
      </c>
      <c r="BS111" s="43">
        <f>IF(B111="","",IF(AH111=0,"Add - no costs entered yet",IF(AR111="","Check - no price yet",IF(AV111&lt;0,"Loss - every sale costs you money",IF(AND(AZ111&lt;&gt;"",AZ111&lt;MinimumWage),"Below - pays under minimum wage",IF(AW111&lt;MarginWarning,"Low margin - re-price it",IF(AND(AF111&lt;&gt;"",K111&lt;&gt;"",K111+AC111&gt;AF111),"Check - too heavy for that postage band",IF(AND(BN111&lt;&gt;"",BN111&gt;PriceReviewDays),"Due - price has not been reviewed",IF(AND(BG111&lt;&gt;"",BG111&gt;0.5),"Check - well above the market","OK")))))))) )</f>
        <v>0</v>
      </c>
    </row>
    <row r="112" spans="1:71">
      <c r="A112" s="38">
        <f>IF(B112="","",ProductPrefix&amp;TEXT(ROW()-4,"0000"))</f>
        <v>0</v>
      </c>
      <c r="S112" s="38">
        <f>IF(B112="","",IF(C112&lt;&gt;"",C112,UPPER(LEFT(IF(D112="","GEN",D112),3))&amp;"-"&amp;TEXT(ROW()-4,"000")))</f>
        <v>0</v>
      </c>
      <c r="T112" s="20">
        <f>IF(B112="","",ROUND(SUMIFS('Material Usage'!$M$5:$M$904,'Material Usage'!$A$5:$A$904,A112)+SUMIFS(Crochet!$AD$5:$AD$84,Crochet!$A$5:$A$84,A112)+SUMIFS(Jewelry!$AF$5:$AF$84,Jewelry!$A$5:$A$84,A112)+SUMIFS(Candles!$AF$5:$AF$84,Candles!$A$5:$A$84,A112)+SUMIFS(Clothing!$AB$5:$AB$84,Clothing!$A$5:$A$84,A112)+SUMIFS(Woodworking!$AC$5:$AC$84,Woodworking!$A$5:$A$84,A112)+SUMIFS(Digital!$X$5:$X$84,Digital!$A$5:$A$84,A112),2))</f>
        <v>0</v>
      </c>
      <c r="U112" s="20">
        <f>IF(B112="","",ROUND(SUMIFS(Labor!$O$5:$O$304,Labor!$A$5:$A$304,A112)+SUMIFS(Crochet!$AG$5:$AG$84,Crochet!$A$5:$A$84,A112)+SUMIFS(Jewelry!$AI$5:$AI$84,Jewelry!$A$5:$A$84,A112)+SUMIFS(Candles!$AI$5:$AI$84,Candles!$A$5:$A$84,A112)+SUMIFS(Clothing!$AE$5:$AE$84,Clothing!$A$5:$A$84,A112)+SUMIFS(Woodworking!$AF$5:$AF$84,Woodworking!$A$5:$A$84,A112)+SUMIFS(Digital!$Z$5:$Z$84,Digital!$A$5:$A$84,A112),2))</f>
        <v>0</v>
      </c>
      <c r="V112" s="36">
        <f>IF(B112="","",ROUND(SUMIFS(Labor!$P$5:$P$304,Labor!$A$5:$A$304,A112)+SUMIFS(Crochet!$AE$5:$AE$84,Crochet!$A$5:$A$84,A112)+SUMIFS(Jewelry!$AG$5:$AG$84,Jewelry!$A$5:$A$84,A112)+SUMIFS(Candles!$AG$5:$AG$84,Candles!$A$5:$A$84,A112)+SUMIFS(Clothing!$AC$5:$AC$84,Clothing!$A$5:$A$84,A112)+SUMIFS(Woodworking!$AD$5:$AD$84,Woodworking!$A$5:$A$84,A112)+SUMIFS(Digital!$Y$5:$Y$84,Digital!$A$5:$A$84,A112),1))</f>
        <v>0</v>
      </c>
      <c r="W112" s="41">
        <f>IF(B112="","",IFERROR(INDEX(DiffTimeFactors,MATCH(G112,DiffNames,0)),1))</f>
        <v>0</v>
      </c>
      <c r="X112" s="36">
        <f>IF(B112="","",ROUND(V112*W112,1))</f>
        <v>0</v>
      </c>
      <c r="Y112" s="41">
        <f>IF(B112="","",ROUND(X112/60,3))</f>
        <v>0</v>
      </c>
      <c r="Z112" s="20">
        <f>IF(B112="","",ROUND(U112*W112,2))</f>
        <v>0</v>
      </c>
      <c r="AA112" s="20">
        <f>IF(B112="","",ROUND(SUMIFS(Labor!$Q$5:$Q$304,Labor!$A$5:$A$304,A112)+SUMIFS(Crochet!$AH$5:$AH$84,Crochet!$A$5:$A$84,A112)+SUMIFS(Jewelry!$AJ$5:$AJ$84,Jewelry!$A$5:$A$84,A112)+SUMIFS(Candles!$AJ$5:$AJ$84,Candles!$A$5:$A$84,A112)+SUMIFS(Clothing!$AF$5:$AF$84,Clothing!$A$5:$A$84,A112)+SUMIFS(Woodworking!$AH$5:$AH$84,Woodworking!$A$5:$A$84,A112)+SUMIFS(Digital!$AA$5:$AA$84,Digital!$A$5:$A$84,A112),2))</f>
        <v>0</v>
      </c>
      <c r="AB112" s="20">
        <f>IF(B112="","",ROUND(IF(I112="Budget",PackBudget,IF(I112="Standard",PackStandard,IF(I112="Gift",PackGift,IF(I112="Premium",PackPremium,DefaultPackaging)))),2))</f>
        <v>0</v>
      </c>
      <c r="AC112" s="36">
        <f>IF(B112="","",IF(I112="Budget",PackWeightBudget,IF(I112="Standard",PackWeightStandard,IF(I112="Gift",PackWeightGift,IF(I112="Premium",PackWeightPremium,0)))))</f>
        <v>0</v>
      </c>
      <c r="AD112" s="20">
        <f>IF(B112="","",IFERROR(INDEX(Shipping!$M$5:$M$64,MATCH(J112,Shipping!$L$5:$L$64,0)),DefaultShipping))</f>
        <v>0</v>
      </c>
      <c r="AE112" s="20">
        <f>IF(B112="","",IFERROR(INDEX(Shipping!$F$5:$F$64,MATCH(J112,Shipping!$L$5:$L$64,0)),0))</f>
        <v>0</v>
      </c>
      <c r="AF112" s="36">
        <f>IF(B112="","",IFERROR(INDEX(Shipping!$C$5:$C$64,MATCH(J112,Shipping!$L$5:$L$64,0)),""))</f>
        <v>0</v>
      </c>
      <c r="AG112" s="20">
        <f>IF(B112="","",ROUND(MAX(0,AD112-AE112),2))</f>
        <v>0</v>
      </c>
      <c r="AH112" s="20">
        <f>IF(B112="","",ROUND(T112+Z112+AA112+AB112+AG112,2))</f>
        <v>0</v>
      </c>
      <c r="AI112" s="33">
        <f>IF(B112="","",IFERROR(INDEX(Channels!$S$5:$S$18,MATCH(IF(H112="",DefaultChannel,H112),Channels!$A$5:$A$18,0)),0))</f>
        <v>0</v>
      </c>
      <c r="AJ112" s="42">
        <f>IF(B112="","",IFERROR(INDEX(Channels!$O$5:$O$18,MATCH(IF(H112="",DefaultChannel,H112),Channels!$A$5:$A$18,0)),"No"))</f>
        <v>0</v>
      </c>
      <c r="AK112" s="20">
        <f>IF(B112="","",ROUND(IFERROR(INDEX(Channels!$T$5:$T$18,MATCH(IF(H112="",DefaultChannel,H112),Channels!$A$5:$A$18,0)),0)+IF(AJ112="Yes",AE112*AI112,0),4))</f>
        <v>0</v>
      </c>
      <c r="AL112" s="33">
        <f>IF(B112="","",IF(OverheadMethod="Share of revenue",IF(RevenueTargetMonth&lt;=0,0,OverheadMonthly/RevenueTargetMonth),0))</f>
        <v>0</v>
      </c>
      <c r="AM112" s="20">
        <f>IF(B112="","",IF(OverheadMethod="Per hour worked",ROUND(OverheadPerHour*Y112,2),IF(OR(OverheadMethod="Per unit made",OverheadMethod="Per order"),OverheadPerUnit,0)))</f>
        <v>0</v>
      </c>
      <c r="AN112" s="33">
        <f>IF(B112="","",IF(N112&lt;&gt;"",N112,TargetRetailMargin))</f>
        <v>0</v>
      </c>
      <c r="AO112" s="41">
        <f>IF(B112="","",1-AN112-AI112-AL112)</f>
        <v>0</v>
      </c>
      <c r="AP112" s="20">
        <f>IF(B112="","",IF(AO112&lt;=0,"",(AH112+AM112+AK112)/AO112))</f>
        <v>0</v>
      </c>
      <c r="AQ112" s="20">
        <f>IF(B112="","",IF(AP112="","Check the settings",ROUND(IF(RoundingRule="None",AP112,IF(RoundingRule="Nearest 0.99",MAX(0.99,CEILING(AP112,1)-0.01),IF(RoundingRule="Nearest 0.95",MAX(0.95,CEILING(AP112,1)-0.05),IF(RoundingRule="Nearest 0.50",CEILING(AP112,0.5),IF(RoundingRule="Nearest 1",CEILING(AP112,1),IF(RoundingRule="Nearest 5",CEILING(AP112,5),IF(RoundingRule="Up to whole 1",CEILING(AP112,1),IF(RoundingRule="Up to whole 5",CEILING(AP112,5),ROUND(AP112,2))))))))),2)))</f>
        <v>0</v>
      </c>
      <c r="AR112" s="20">
        <f>IF(B112="","",IF(M112&lt;&gt;"",M112,IF(ISNUMBER(AQ112),AQ112,"")))</f>
        <v>0</v>
      </c>
      <c r="AS112" s="20">
        <f>IF(B112="","",IF(AR112="","",ROUND(AM112+AR112*AL112,2)))</f>
        <v>0</v>
      </c>
      <c r="AT112" s="20">
        <f>IF(B112="","",IF(AR112="","",ROUND(AH112+AS112,2)))</f>
        <v>0</v>
      </c>
      <c r="AU112" s="20">
        <f>IF(B112="","",IF(AR112="","",ROUND(AR112*AI112+AK112,2)))</f>
        <v>0</v>
      </c>
      <c r="AV112" s="20">
        <f>IF(B112="","",IF(AR112="","",ROUND(AR112-AT112-AU112,2)))</f>
        <v>0</v>
      </c>
      <c r="AW112" s="33">
        <f>IF(B112="","",IF(OR(AR112="",AR112=0),"",AV112/AR112))</f>
        <v>0</v>
      </c>
      <c r="AX112" s="33">
        <f>IF(B112="","",IF(OR(AT112="",AT112=0),"",AV112/AT112))</f>
        <v>0</v>
      </c>
      <c r="AY112" s="20">
        <f>IF(B112="","",IF(OR(Y112="",Y112=0,AV112=""),"",ROUND(AV112/Y112,2)))</f>
        <v>0</v>
      </c>
      <c r="AZ112" s="20">
        <f>IF(B112="","",IF(OR(Y112="",Y112=0,AV112=""),"",ROUND((AV112+Z112)/Y112,2)))</f>
        <v>0</v>
      </c>
      <c r="BA112" s="20">
        <f>IF(B112="","",IF(1-AI112-AL112&lt;=0,"",ROUND((AH112+AM112+AK112)/(1-AI112-AL112),2)))</f>
        <v>0</v>
      </c>
      <c r="BB112" s="20">
        <f>IF(B112="","",IF(AT112="","",ROUND(AT112*2,2)))</f>
        <v>0</v>
      </c>
      <c r="BC112" s="20">
        <f>IF(B112="","",IF(AR112="","",ROUND(AR112*(1-WholesaleDiscount),2)))</f>
        <v>0</v>
      </c>
      <c r="BD112" s="20">
        <f>IF(B112="","",IF(BC112="","",ROUND(BC112-AH112-AM112,2)))</f>
        <v>0</v>
      </c>
      <c r="BE112" s="33">
        <f>IF(B112="","",IF(OR(BC112="",BC112=0),"",BD112/BC112))</f>
        <v>0</v>
      </c>
      <c r="BF112" s="20">
        <f>IF(B112="","",IFERROR(ROUND(AVERAGEIFS(Competitors!$F$5:$F$154,Competitors!$A$5:$A$154,A112),2),""))</f>
        <v>0</v>
      </c>
      <c r="BG112" s="33">
        <f>IF(B112="","",IF(OR(BF112="",BF112=0,AR112=""),"",AR112/BF112-1))</f>
        <v>0</v>
      </c>
      <c r="BH112" s="32">
        <f>IF(B112="","",SUMIFS(Sales!$D$5:$D$804,Sales!$C$5:$C$804,A112))</f>
        <v>0</v>
      </c>
      <c r="BI112" s="20">
        <f>IF(B112="","",ROUND(SUMIFS(Sales!$V$5:$V$804,Sales!$C$5:$C$804,A112),2))</f>
        <v>0</v>
      </c>
      <c r="BJ112" s="20">
        <f>IF(B112="","",ROUND(SUMIFS(Sales!$AG$5:$AG$804,Sales!$C$5:$C$804,A112),2))</f>
        <v>0</v>
      </c>
      <c r="BK112" s="33">
        <f>IF(B112="","",IF(OR(BI112="",BI112=0),"",BJ112/BI112))</f>
        <v>0</v>
      </c>
      <c r="BL112" s="17">
        <f>IF(B112="","",IF(SUMPRODUCT(MAX((Sales!$C$5:$C$804=A112)*Sales!$B$5:$B$804))=0,"",SUMPRODUCT(MAX((Sales!$C$5:$C$804=A112)*Sales!$B$5:$B$804))))</f>
        <v>0</v>
      </c>
      <c r="BM112" s="17">
        <f>IF(B112="","",IF(SUMPRODUCT(MAX(('Price History'!$B$5:$B$304=A112)*'Price History'!$A$5:$A$304))=0,IF(P112="","",P112),SUMPRODUCT(MAX(('Price History'!$B$5:$B$304=A112)*'Price History'!$A$5:$A$304))))</f>
        <v>0</v>
      </c>
      <c r="BN112" s="32">
        <f>IF(B112="","",IF(BM112="","",TodayDate-BM112))</f>
        <v>0</v>
      </c>
      <c r="BO112" s="32">
        <f>IF(B112="","",COUNTIFS($AV$5:$AV$304,"&gt;"&amp;AV112)+COUNTIFS($AV$5:AV112,AV112))</f>
        <v>0</v>
      </c>
      <c r="BP112" s="32">
        <f>IF(B112="","",COUNTIFS($AW$5:$AW$304,"&gt;"&amp;AW112)+COUNTIFS($AW$5:AW112,AW112))</f>
        <v>0</v>
      </c>
      <c r="BQ112" s="32">
        <f>IF(B112="","",COUNTIFS($BI$5:$BI$304,"&gt;"&amp;BI112)+COUNTIFS($BI$5:BI112,BI112))</f>
        <v>0</v>
      </c>
      <c r="BR112" s="32">
        <f>IF(B112="","",COUNTIFS($AY$5:$AY$304,"&gt;"&amp;AY112)+COUNTIFS($AY$5:AY112,AY112))</f>
        <v>0</v>
      </c>
      <c r="BS112" s="43">
        <f>IF(B112="","",IF(AH112=0,"Add - no costs entered yet",IF(AR112="","Check - no price yet",IF(AV112&lt;0,"Loss - every sale costs you money",IF(AND(AZ112&lt;&gt;"",AZ112&lt;MinimumWage),"Below - pays under minimum wage",IF(AW112&lt;MarginWarning,"Low margin - re-price it",IF(AND(AF112&lt;&gt;"",K112&lt;&gt;"",K112+AC112&gt;AF112),"Check - too heavy for that postage band",IF(AND(BN112&lt;&gt;"",BN112&gt;PriceReviewDays),"Due - price has not been reviewed",IF(AND(BG112&lt;&gt;"",BG112&gt;0.5),"Check - well above the market","OK")))))))) )</f>
        <v>0</v>
      </c>
    </row>
    <row r="113" spans="1:71">
      <c r="A113" s="38">
        <f>IF(B113="","",ProductPrefix&amp;TEXT(ROW()-4,"0000"))</f>
        <v>0</v>
      </c>
      <c r="S113" s="38">
        <f>IF(B113="","",IF(C113&lt;&gt;"",C113,UPPER(LEFT(IF(D113="","GEN",D113),3))&amp;"-"&amp;TEXT(ROW()-4,"000")))</f>
        <v>0</v>
      </c>
      <c r="T113" s="20">
        <f>IF(B113="","",ROUND(SUMIFS('Material Usage'!$M$5:$M$904,'Material Usage'!$A$5:$A$904,A113)+SUMIFS(Crochet!$AD$5:$AD$84,Crochet!$A$5:$A$84,A113)+SUMIFS(Jewelry!$AF$5:$AF$84,Jewelry!$A$5:$A$84,A113)+SUMIFS(Candles!$AF$5:$AF$84,Candles!$A$5:$A$84,A113)+SUMIFS(Clothing!$AB$5:$AB$84,Clothing!$A$5:$A$84,A113)+SUMIFS(Woodworking!$AC$5:$AC$84,Woodworking!$A$5:$A$84,A113)+SUMIFS(Digital!$X$5:$X$84,Digital!$A$5:$A$84,A113),2))</f>
        <v>0</v>
      </c>
      <c r="U113" s="20">
        <f>IF(B113="","",ROUND(SUMIFS(Labor!$O$5:$O$304,Labor!$A$5:$A$304,A113)+SUMIFS(Crochet!$AG$5:$AG$84,Crochet!$A$5:$A$84,A113)+SUMIFS(Jewelry!$AI$5:$AI$84,Jewelry!$A$5:$A$84,A113)+SUMIFS(Candles!$AI$5:$AI$84,Candles!$A$5:$A$84,A113)+SUMIFS(Clothing!$AE$5:$AE$84,Clothing!$A$5:$A$84,A113)+SUMIFS(Woodworking!$AF$5:$AF$84,Woodworking!$A$5:$A$84,A113)+SUMIFS(Digital!$Z$5:$Z$84,Digital!$A$5:$A$84,A113),2))</f>
        <v>0</v>
      </c>
      <c r="V113" s="36">
        <f>IF(B113="","",ROUND(SUMIFS(Labor!$P$5:$P$304,Labor!$A$5:$A$304,A113)+SUMIFS(Crochet!$AE$5:$AE$84,Crochet!$A$5:$A$84,A113)+SUMIFS(Jewelry!$AG$5:$AG$84,Jewelry!$A$5:$A$84,A113)+SUMIFS(Candles!$AG$5:$AG$84,Candles!$A$5:$A$84,A113)+SUMIFS(Clothing!$AC$5:$AC$84,Clothing!$A$5:$A$84,A113)+SUMIFS(Woodworking!$AD$5:$AD$84,Woodworking!$A$5:$A$84,A113)+SUMIFS(Digital!$Y$5:$Y$84,Digital!$A$5:$A$84,A113),1))</f>
        <v>0</v>
      </c>
      <c r="W113" s="41">
        <f>IF(B113="","",IFERROR(INDEX(DiffTimeFactors,MATCH(G113,DiffNames,0)),1))</f>
        <v>0</v>
      </c>
      <c r="X113" s="36">
        <f>IF(B113="","",ROUND(V113*W113,1))</f>
        <v>0</v>
      </c>
      <c r="Y113" s="41">
        <f>IF(B113="","",ROUND(X113/60,3))</f>
        <v>0</v>
      </c>
      <c r="Z113" s="20">
        <f>IF(B113="","",ROUND(U113*W113,2))</f>
        <v>0</v>
      </c>
      <c r="AA113" s="20">
        <f>IF(B113="","",ROUND(SUMIFS(Labor!$Q$5:$Q$304,Labor!$A$5:$A$304,A113)+SUMIFS(Crochet!$AH$5:$AH$84,Crochet!$A$5:$A$84,A113)+SUMIFS(Jewelry!$AJ$5:$AJ$84,Jewelry!$A$5:$A$84,A113)+SUMIFS(Candles!$AJ$5:$AJ$84,Candles!$A$5:$A$84,A113)+SUMIFS(Clothing!$AF$5:$AF$84,Clothing!$A$5:$A$84,A113)+SUMIFS(Woodworking!$AH$5:$AH$84,Woodworking!$A$5:$A$84,A113)+SUMIFS(Digital!$AA$5:$AA$84,Digital!$A$5:$A$84,A113),2))</f>
        <v>0</v>
      </c>
      <c r="AB113" s="20">
        <f>IF(B113="","",ROUND(IF(I113="Budget",PackBudget,IF(I113="Standard",PackStandard,IF(I113="Gift",PackGift,IF(I113="Premium",PackPremium,DefaultPackaging)))),2))</f>
        <v>0</v>
      </c>
      <c r="AC113" s="36">
        <f>IF(B113="","",IF(I113="Budget",PackWeightBudget,IF(I113="Standard",PackWeightStandard,IF(I113="Gift",PackWeightGift,IF(I113="Premium",PackWeightPremium,0)))))</f>
        <v>0</v>
      </c>
      <c r="AD113" s="20">
        <f>IF(B113="","",IFERROR(INDEX(Shipping!$M$5:$M$64,MATCH(J113,Shipping!$L$5:$L$64,0)),DefaultShipping))</f>
        <v>0</v>
      </c>
      <c r="AE113" s="20">
        <f>IF(B113="","",IFERROR(INDEX(Shipping!$F$5:$F$64,MATCH(J113,Shipping!$L$5:$L$64,0)),0))</f>
        <v>0</v>
      </c>
      <c r="AF113" s="36">
        <f>IF(B113="","",IFERROR(INDEX(Shipping!$C$5:$C$64,MATCH(J113,Shipping!$L$5:$L$64,0)),""))</f>
        <v>0</v>
      </c>
      <c r="AG113" s="20">
        <f>IF(B113="","",ROUND(MAX(0,AD113-AE113),2))</f>
        <v>0</v>
      </c>
      <c r="AH113" s="20">
        <f>IF(B113="","",ROUND(T113+Z113+AA113+AB113+AG113,2))</f>
        <v>0</v>
      </c>
      <c r="AI113" s="33">
        <f>IF(B113="","",IFERROR(INDEX(Channels!$S$5:$S$18,MATCH(IF(H113="",DefaultChannel,H113),Channels!$A$5:$A$18,0)),0))</f>
        <v>0</v>
      </c>
      <c r="AJ113" s="42">
        <f>IF(B113="","",IFERROR(INDEX(Channels!$O$5:$O$18,MATCH(IF(H113="",DefaultChannel,H113),Channels!$A$5:$A$18,0)),"No"))</f>
        <v>0</v>
      </c>
      <c r="AK113" s="20">
        <f>IF(B113="","",ROUND(IFERROR(INDEX(Channels!$T$5:$T$18,MATCH(IF(H113="",DefaultChannel,H113),Channels!$A$5:$A$18,0)),0)+IF(AJ113="Yes",AE113*AI113,0),4))</f>
        <v>0</v>
      </c>
      <c r="AL113" s="33">
        <f>IF(B113="","",IF(OverheadMethod="Share of revenue",IF(RevenueTargetMonth&lt;=0,0,OverheadMonthly/RevenueTargetMonth),0))</f>
        <v>0</v>
      </c>
      <c r="AM113" s="20">
        <f>IF(B113="","",IF(OverheadMethod="Per hour worked",ROUND(OverheadPerHour*Y113,2),IF(OR(OverheadMethod="Per unit made",OverheadMethod="Per order"),OverheadPerUnit,0)))</f>
        <v>0</v>
      </c>
      <c r="AN113" s="33">
        <f>IF(B113="","",IF(N113&lt;&gt;"",N113,TargetRetailMargin))</f>
        <v>0</v>
      </c>
      <c r="AO113" s="41">
        <f>IF(B113="","",1-AN113-AI113-AL113)</f>
        <v>0</v>
      </c>
      <c r="AP113" s="20">
        <f>IF(B113="","",IF(AO113&lt;=0,"",(AH113+AM113+AK113)/AO113))</f>
        <v>0</v>
      </c>
      <c r="AQ113" s="20">
        <f>IF(B113="","",IF(AP113="","Check the settings",ROUND(IF(RoundingRule="None",AP113,IF(RoundingRule="Nearest 0.99",MAX(0.99,CEILING(AP113,1)-0.01),IF(RoundingRule="Nearest 0.95",MAX(0.95,CEILING(AP113,1)-0.05),IF(RoundingRule="Nearest 0.50",CEILING(AP113,0.5),IF(RoundingRule="Nearest 1",CEILING(AP113,1),IF(RoundingRule="Nearest 5",CEILING(AP113,5),IF(RoundingRule="Up to whole 1",CEILING(AP113,1),IF(RoundingRule="Up to whole 5",CEILING(AP113,5),ROUND(AP113,2))))))))),2)))</f>
        <v>0</v>
      </c>
      <c r="AR113" s="20">
        <f>IF(B113="","",IF(M113&lt;&gt;"",M113,IF(ISNUMBER(AQ113),AQ113,"")))</f>
        <v>0</v>
      </c>
      <c r="AS113" s="20">
        <f>IF(B113="","",IF(AR113="","",ROUND(AM113+AR113*AL113,2)))</f>
        <v>0</v>
      </c>
      <c r="AT113" s="20">
        <f>IF(B113="","",IF(AR113="","",ROUND(AH113+AS113,2)))</f>
        <v>0</v>
      </c>
      <c r="AU113" s="20">
        <f>IF(B113="","",IF(AR113="","",ROUND(AR113*AI113+AK113,2)))</f>
        <v>0</v>
      </c>
      <c r="AV113" s="20">
        <f>IF(B113="","",IF(AR113="","",ROUND(AR113-AT113-AU113,2)))</f>
        <v>0</v>
      </c>
      <c r="AW113" s="33">
        <f>IF(B113="","",IF(OR(AR113="",AR113=0),"",AV113/AR113))</f>
        <v>0</v>
      </c>
      <c r="AX113" s="33">
        <f>IF(B113="","",IF(OR(AT113="",AT113=0),"",AV113/AT113))</f>
        <v>0</v>
      </c>
      <c r="AY113" s="20">
        <f>IF(B113="","",IF(OR(Y113="",Y113=0,AV113=""),"",ROUND(AV113/Y113,2)))</f>
        <v>0</v>
      </c>
      <c r="AZ113" s="20">
        <f>IF(B113="","",IF(OR(Y113="",Y113=0,AV113=""),"",ROUND((AV113+Z113)/Y113,2)))</f>
        <v>0</v>
      </c>
      <c r="BA113" s="20">
        <f>IF(B113="","",IF(1-AI113-AL113&lt;=0,"",ROUND((AH113+AM113+AK113)/(1-AI113-AL113),2)))</f>
        <v>0</v>
      </c>
      <c r="BB113" s="20">
        <f>IF(B113="","",IF(AT113="","",ROUND(AT113*2,2)))</f>
        <v>0</v>
      </c>
      <c r="BC113" s="20">
        <f>IF(B113="","",IF(AR113="","",ROUND(AR113*(1-WholesaleDiscount),2)))</f>
        <v>0</v>
      </c>
      <c r="BD113" s="20">
        <f>IF(B113="","",IF(BC113="","",ROUND(BC113-AH113-AM113,2)))</f>
        <v>0</v>
      </c>
      <c r="BE113" s="33">
        <f>IF(B113="","",IF(OR(BC113="",BC113=0),"",BD113/BC113))</f>
        <v>0</v>
      </c>
      <c r="BF113" s="20">
        <f>IF(B113="","",IFERROR(ROUND(AVERAGEIFS(Competitors!$F$5:$F$154,Competitors!$A$5:$A$154,A113),2),""))</f>
        <v>0</v>
      </c>
      <c r="BG113" s="33">
        <f>IF(B113="","",IF(OR(BF113="",BF113=0,AR113=""),"",AR113/BF113-1))</f>
        <v>0</v>
      </c>
      <c r="BH113" s="32">
        <f>IF(B113="","",SUMIFS(Sales!$D$5:$D$804,Sales!$C$5:$C$804,A113))</f>
        <v>0</v>
      </c>
      <c r="BI113" s="20">
        <f>IF(B113="","",ROUND(SUMIFS(Sales!$V$5:$V$804,Sales!$C$5:$C$804,A113),2))</f>
        <v>0</v>
      </c>
      <c r="BJ113" s="20">
        <f>IF(B113="","",ROUND(SUMIFS(Sales!$AG$5:$AG$804,Sales!$C$5:$C$804,A113),2))</f>
        <v>0</v>
      </c>
      <c r="BK113" s="33">
        <f>IF(B113="","",IF(OR(BI113="",BI113=0),"",BJ113/BI113))</f>
        <v>0</v>
      </c>
      <c r="BL113" s="17">
        <f>IF(B113="","",IF(SUMPRODUCT(MAX((Sales!$C$5:$C$804=A113)*Sales!$B$5:$B$804))=0,"",SUMPRODUCT(MAX((Sales!$C$5:$C$804=A113)*Sales!$B$5:$B$804))))</f>
        <v>0</v>
      </c>
      <c r="BM113" s="17">
        <f>IF(B113="","",IF(SUMPRODUCT(MAX(('Price History'!$B$5:$B$304=A113)*'Price History'!$A$5:$A$304))=0,IF(P113="","",P113),SUMPRODUCT(MAX(('Price History'!$B$5:$B$304=A113)*'Price History'!$A$5:$A$304))))</f>
        <v>0</v>
      </c>
      <c r="BN113" s="32">
        <f>IF(B113="","",IF(BM113="","",TodayDate-BM113))</f>
        <v>0</v>
      </c>
      <c r="BO113" s="32">
        <f>IF(B113="","",COUNTIFS($AV$5:$AV$304,"&gt;"&amp;AV113)+COUNTIFS($AV$5:AV113,AV113))</f>
        <v>0</v>
      </c>
      <c r="BP113" s="32">
        <f>IF(B113="","",COUNTIFS($AW$5:$AW$304,"&gt;"&amp;AW113)+COUNTIFS($AW$5:AW113,AW113))</f>
        <v>0</v>
      </c>
      <c r="BQ113" s="32">
        <f>IF(B113="","",COUNTIFS($BI$5:$BI$304,"&gt;"&amp;BI113)+COUNTIFS($BI$5:BI113,BI113))</f>
        <v>0</v>
      </c>
      <c r="BR113" s="32">
        <f>IF(B113="","",COUNTIFS($AY$5:$AY$304,"&gt;"&amp;AY113)+COUNTIFS($AY$5:AY113,AY113))</f>
        <v>0</v>
      </c>
      <c r="BS113" s="43">
        <f>IF(B113="","",IF(AH113=0,"Add - no costs entered yet",IF(AR113="","Check - no price yet",IF(AV113&lt;0,"Loss - every sale costs you money",IF(AND(AZ113&lt;&gt;"",AZ113&lt;MinimumWage),"Below - pays under minimum wage",IF(AW113&lt;MarginWarning,"Low margin - re-price it",IF(AND(AF113&lt;&gt;"",K113&lt;&gt;"",K113+AC113&gt;AF113),"Check - too heavy for that postage band",IF(AND(BN113&lt;&gt;"",BN113&gt;PriceReviewDays),"Due - price has not been reviewed",IF(AND(BG113&lt;&gt;"",BG113&gt;0.5),"Check - well above the market","OK")))))))) )</f>
        <v>0</v>
      </c>
    </row>
    <row r="114" spans="1:71">
      <c r="A114" s="38">
        <f>IF(B114="","",ProductPrefix&amp;TEXT(ROW()-4,"0000"))</f>
        <v>0</v>
      </c>
      <c r="S114" s="38">
        <f>IF(B114="","",IF(C114&lt;&gt;"",C114,UPPER(LEFT(IF(D114="","GEN",D114),3))&amp;"-"&amp;TEXT(ROW()-4,"000")))</f>
        <v>0</v>
      </c>
      <c r="T114" s="20">
        <f>IF(B114="","",ROUND(SUMIFS('Material Usage'!$M$5:$M$904,'Material Usage'!$A$5:$A$904,A114)+SUMIFS(Crochet!$AD$5:$AD$84,Crochet!$A$5:$A$84,A114)+SUMIFS(Jewelry!$AF$5:$AF$84,Jewelry!$A$5:$A$84,A114)+SUMIFS(Candles!$AF$5:$AF$84,Candles!$A$5:$A$84,A114)+SUMIFS(Clothing!$AB$5:$AB$84,Clothing!$A$5:$A$84,A114)+SUMIFS(Woodworking!$AC$5:$AC$84,Woodworking!$A$5:$A$84,A114)+SUMIFS(Digital!$X$5:$X$84,Digital!$A$5:$A$84,A114),2))</f>
        <v>0</v>
      </c>
      <c r="U114" s="20">
        <f>IF(B114="","",ROUND(SUMIFS(Labor!$O$5:$O$304,Labor!$A$5:$A$304,A114)+SUMIFS(Crochet!$AG$5:$AG$84,Crochet!$A$5:$A$84,A114)+SUMIFS(Jewelry!$AI$5:$AI$84,Jewelry!$A$5:$A$84,A114)+SUMIFS(Candles!$AI$5:$AI$84,Candles!$A$5:$A$84,A114)+SUMIFS(Clothing!$AE$5:$AE$84,Clothing!$A$5:$A$84,A114)+SUMIFS(Woodworking!$AF$5:$AF$84,Woodworking!$A$5:$A$84,A114)+SUMIFS(Digital!$Z$5:$Z$84,Digital!$A$5:$A$84,A114),2))</f>
        <v>0</v>
      </c>
      <c r="V114" s="36">
        <f>IF(B114="","",ROUND(SUMIFS(Labor!$P$5:$P$304,Labor!$A$5:$A$304,A114)+SUMIFS(Crochet!$AE$5:$AE$84,Crochet!$A$5:$A$84,A114)+SUMIFS(Jewelry!$AG$5:$AG$84,Jewelry!$A$5:$A$84,A114)+SUMIFS(Candles!$AG$5:$AG$84,Candles!$A$5:$A$84,A114)+SUMIFS(Clothing!$AC$5:$AC$84,Clothing!$A$5:$A$84,A114)+SUMIFS(Woodworking!$AD$5:$AD$84,Woodworking!$A$5:$A$84,A114)+SUMIFS(Digital!$Y$5:$Y$84,Digital!$A$5:$A$84,A114),1))</f>
        <v>0</v>
      </c>
      <c r="W114" s="41">
        <f>IF(B114="","",IFERROR(INDEX(DiffTimeFactors,MATCH(G114,DiffNames,0)),1))</f>
        <v>0</v>
      </c>
      <c r="X114" s="36">
        <f>IF(B114="","",ROUND(V114*W114,1))</f>
        <v>0</v>
      </c>
      <c r="Y114" s="41">
        <f>IF(B114="","",ROUND(X114/60,3))</f>
        <v>0</v>
      </c>
      <c r="Z114" s="20">
        <f>IF(B114="","",ROUND(U114*W114,2))</f>
        <v>0</v>
      </c>
      <c r="AA114" s="20">
        <f>IF(B114="","",ROUND(SUMIFS(Labor!$Q$5:$Q$304,Labor!$A$5:$A$304,A114)+SUMIFS(Crochet!$AH$5:$AH$84,Crochet!$A$5:$A$84,A114)+SUMIFS(Jewelry!$AJ$5:$AJ$84,Jewelry!$A$5:$A$84,A114)+SUMIFS(Candles!$AJ$5:$AJ$84,Candles!$A$5:$A$84,A114)+SUMIFS(Clothing!$AF$5:$AF$84,Clothing!$A$5:$A$84,A114)+SUMIFS(Woodworking!$AH$5:$AH$84,Woodworking!$A$5:$A$84,A114)+SUMIFS(Digital!$AA$5:$AA$84,Digital!$A$5:$A$84,A114),2))</f>
        <v>0</v>
      </c>
      <c r="AB114" s="20">
        <f>IF(B114="","",ROUND(IF(I114="Budget",PackBudget,IF(I114="Standard",PackStandard,IF(I114="Gift",PackGift,IF(I114="Premium",PackPremium,DefaultPackaging)))),2))</f>
        <v>0</v>
      </c>
      <c r="AC114" s="36">
        <f>IF(B114="","",IF(I114="Budget",PackWeightBudget,IF(I114="Standard",PackWeightStandard,IF(I114="Gift",PackWeightGift,IF(I114="Premium",PackWeightPremium,0)))))</f>
        <v>0</v>
      </c>
      <c r="AD114" s="20">
        <f>IF(B114="","",IFERROR(INDEX(Shipping!$M$5:$M$64,MATCH(J114,Shipping!$L$5:$L$64,0)),DefaultShipping))</f>
        <v>0</v>
      </c>
      <c r="AE114" s="20">
        <f>IF(B114="","",IFERROR(INDEX(Shipping!$F$5:$F$64,MATCH(J114,Shipping!$L$5:$L$64,0)),0))</f>
        <v>0</v>
      </c>
      <c r="AF114" s="36">
        <f>IF(B114="","",IFERROR(INDEX(Shipping!$C$5:$C$64,MATCH(J114,Shipping!$L$5:$L$64,0)),""))</f>
        <v>0</v>
      </c>
      <c r="AG114" s="20">
        <f>IF(B114="","",ROUND(MAX(0,AD114-AE114),2))</f>
        <v>0</v>
      </c>
      <c r="AH114" s="20">
        <f>IF(B114="","",ROUND(T114+Z114+AA114+AB114+AG114,2))</f>
        <v>0</v>
      </c>
      <c r="AI114" s="33">
        <f>IF(B114="","",IFERROR(INDEX(Channels!$S$5:$S$18,MATCH(IF(H114="",DefaultChannel,H114),Channels!$A$5:$A$18,0)),0))</f>
        <v>0</v>
      </c>
      <c r="AJ114" s="42">
        <f>IF(B114="","",IFERROR(INDEX(Channels!$O$5:$O$18,MATCH(IF(H114="",DefaultChannel,H114),Channels!$A$5:$A$18,0)),"No"))</f>
        <v>0</v>
      </c>
      <c r="AK114" s="20">
        <f>IF(B114="","",ROUND(IFERROR(INDEX(Channels!$T$5:$T$18,MATCH(IF(H114="",DefaultChannel,H114),Channels!$A$5:$A$18,0)),0)+IF(AJ114="Yes",AE114*AI114,0),4))</f>
        <v>0</v>
      </c>
      <c r="AL114" s="33">
        <f>IF(B114="","",IF(OverheadMethod="Share of revenue",IF(RevenueTargetMonth&lt;=0,0,OverheadMonthly/RevenueTargetMonth),0))</f>
        <v>0</v>
      </c>
      <c r="AM114" s="20">
        <f>IF(B114="","",IF(OverheadMethod="Per hour worked",ROUND(OverheadPerHour*Y114,2),IF(OR(OverheadMethod="Per unit made",OverheadMethod="Per order"),OverheadPerUnit,0)))</f>
        <v>0</v>
      </c>
      <c r="AN114" s="33">
        <f>IF(B114="","",IF(N114&lt;&gt;"",N114,TargetRetailMargin))</f>
        <v>0</v>
      </c>
      <c r="AO114" s="41">
        <f>IF(B114="","",1-AN114-AI114-AL114)</f>
        <v>0</v>
      </c>
      <c r="AP114" s="20">
        <f>IF(B114="","",IF(AO114&lt;=0,"",(AH114+AM114+AK114)/AO114))</f>
        <v>0</v>
      </c>
      <c r="AQ114" s="20">
        <f>IF(B114="","",IF(AP114="","Check the settings",ROUND(IF(RoundingRule="None",AP114,IF(RoundingRule="Nearest 0.99",MAX(0.99,CEILING(AP114,1)-0.01),IF(RoundingRule="Nearest 0.95",MAX(0.95,CEILING(AP114,1)-0.05),IF(RoundingRule="Nearest 0.50",CEILING(AP114,0.5),IF(RoundingRule="Nearest 1",CEILING(AP114,1),IF(RoundingRule="Nearest 5",CEILING(AP114,5),IF(RoundingRule="Up to whole 1",CEILING(AP114,1),IF(RoundingRule="Up to whole 5",CEILING(AP114,5),ROUND(AP114,2))))))))),2)))</f>
        <v>0</v>
      </c>
      <c r="AR114" s="20">
        <f>IF(B114="","",IF(M114&lt;&gt;"",M114,IF(ISNUMBER(AQ114),AQ114,"")))</f>
        <v>0</v>
      </c>
      <c r="AS114" s="20">
        <f>IF(B114="","",IF(AR114="","",ROUND(AM114+AR114*AL114,2)))</f>
        <v>0</v>
      </c>
      <c r="AT114" s="20">
        <f>IF(B114="","",IF(AR114="","",ROUND(AH114+AS114,2)))</f>
        <v>0</v>
      </c>
      <c r="AU114" s="20">
        <f>IF(B114="","",IF(AR114="","",ROUND(AR114*AI114+AK114,2)))</f>
        <v>0</v>
      </c>
      <c r="AV114" s="20">
        <f>IF(B114="","",IF(AR114="","",ROUND(AR114-AT114-AU114,2)))</f>
        <v>0</v>
      </c>
      <c r="AW114" s="33">
        <f>IF(B114="","",IF(OR(AR114="",AR114=0),"",AV114/AR114))</f>
        <v>0</v>
      </c>
      <c r="AX114" s="33">
        <f>IF(B114="","",IF(OR(AT114="",AT114=0),"",AV114/AT114))</f>
        <v>0</v>
      </c>
      <c r="AY114" s="20">
        <f>IF(B114="","",IF(OR(Y114="",Y114=0,AV114=""),"",ROUND(AV114/Y114,2)))</f>
        <v>0</v>
      </c>
      <c r="AZ114" s="20">
        <f>IF(B114="","",IF(OR(Y114="",Y114=0,AV114=""),"",ROUND((AV114+Z114)/Y114,2)))</f>
        <v>0</v>
      </c>
      <c r="BA114" s="20">
        <f>IF(B114="","",IF(1-AI114-AL114&lt;=0,"",ROUND((AH114+AM114+AK114)/(1-AI114-AL114),2)))</f>
        <v>0</v>
      </c>
      <c r="BB114" s="20">
        <f>IF(B114="","",IF(AT114="","",ROUND(AT114*2,2)))</f>
        <v>0</v>
      </c>
      <c r="BC114" s="20">
        <f>IF(B114="","",IF(AR114="","",ROUND(AR114*(1-WholesaleDiscount),2)))</f>
        <v>0</v>
      </c>
      <c r="BD114" s="20">
        <f>IF(B114="","",IF(BC114="","",ROUND(BC114-AH114-AM114,2)))</f>
        <v>0</v>
      </c>
      <c r="BE114" s="33">
        <f>IF(B114="","",IF(OR(BC114="",BC114=0),"",BD114/BC114))</f>
        <v>0</v>
      </c>
      <c r="BF114" s="20">
        <f>IF(B114="","",IFERROR(ROUND(AVERAGEIFS(Competitors!$F$5:$F$154,Competitors!$A$5:$A$154,A114),2),""))</f>
        <v>0</v>
      </c>
      <c r="BG114" s="33">
        <f>IF(B114="","",IF(OR(BF114="",BF114=0,AR114=""),"",AR114/BF114-1))</f>
        <v>0</v>
      </c>
      <c r="BH114" s="32">
        <f>IF(B114="","",SUMIFS(Sales!$D$5:$D$804,Sales!$C$5:$C$804,A114))</f>
        <v>0</v>
      </c>
      <c r="BI114" s="20">
        <f>IF(B114="","",ROUND(SUMIFS(Sales!$V$5:$V$804,Sales!$C$5:$C$804,A114),2))</f>
        <v>0</v>
      </c>
      <c r="BJ114" s="20">
        <f>IF(B114="","",ROUND(SUMIFS(Sales!$AG$5:$AG$804,Sales!$C$5:$C$804,A114),2))</f>
        <v>0</v>
      </c>
      <c r="BK114" s="33">
        <f>IF(B114="","",IF(OR(BI114="",BI114=0),"",BJ114/BI114))</f>
        <v>0</v>
      </c>
      <c r="BL114" s="17">
        <f>IF(B114="","",IF(SUMPRODUCT(MAX((Sales!$C$5:$C$804=A114)*Sales!$B$5:$B$804))=0,"",SUMPRODUCT(MAX((Sales!$C$5:$C$804=A114)*Sales!$B$5:$B$804))))</f>
        <v>0</v>
      </c>
      <c r="BM114" s="17">
        <f>IF(B114="","",IF(SUMPRODUCT(MAX(('Price History'!$B$5:$B$304=A114)*'Price History'!$A$5:$A$304))=0,IF(P114="","",P114),SUMPRODUCT(MAX(('Price History'!$B$5:$B$304=A114)*'Price History'!$A$5:$A$304))))</f>
        <v>0</v>
      </c>
      <c r="BN114" s="32">
        <f>IF(B114="","",IF(BM114="","",TodayDate-BM114))</f>
        <v>0</v>
      </c>
      <c r="BO114" s="32">
        <f>IF(B114="","",COUNTIFS($AV$5:$AV$304,"&gt;"&amp;AV114)+COUNTIFS($AV$5:AV114,AV114))</f>
        <v>0</v>
      </c>
      <c r="BP114" s="32">
        <f>IF(B114="","",COUNTIFS($AW$5:$AW$304,"&gt;"&amp;AW114)+COUNTIFS($AW$5:AW114,AW114))</f>
        <v>0</v>
      </c>
      <c r="BQ114" s="32">
        <f>IF(B114="","",COUNTIFS($BI$5:$BI$304,"&gt;"&amp;BI114)+COUNTIFS($BI$5:BI114,BI114))</f>
        <v>0</v>
      </c>
      <c r="BR114" s="32">
        <f>IF(B114="","",COUNTIFS($AY$5:$AY$304,"&gt;"&amp;AY114)+COUNTIFS($AY$5:AY114,AY114))</f>
        <v>0</v>
      </c>
      <c r="BS114" s="43">
        <f>IF(B114="","",IF(AH114=0,"Add - no costs entered yet",IF(AR114="","Check - no price yet",IF(AV114&lt;0,"Loss - every sale costs you money",IF(AND(AZ114&lt;&gt;"",AZ114&lt;MinimumWage),"Below - pays under minimum wage",IF(AW114&lt;MarginWarning,"Low margin - re-price it",IF(AND(AF114&lt;&gt;"",K114&lt;&gt;"",K114+AC114&gt;AF114),"Check - too heavy for that postage band",IF(AND(BN114&lt;&gt;"",BN114&gt;PriceReviewDays),"Due - price has not been reviewed",IF(AND(BG114&lt;&gt;"",BG114&gt;0.5),"Check - well above the market","OK")))))))) )</f>
        <v>0</v>
      </c>
    </row>
    <row r="115" spans="1:71">
      <c r="A115" s="38">
        <f>IF(B115="","",ProductPrefix&amp;TEXT(ROW()-4,"0000"))</f>
        <v>0</v>
      </c>
      <c r="S115" s="38">
        <f>IF(B115="","",IF(C115&lt;&gt;"",C115,UPPER(LEFT(IF(D115="","GEN",D115),3))&amp;"-"&amp;TEXT(ROW()-4,"000")))</f>
        <v>0</v>
      </c>
      <c r="T115" s="20">
        <f>IF(B115="","",ROUND(SUMIFS('Material Usage'!$M$5:$M$904,'Material Usage'!$A$5:$A$904,A115)+SUMIFS(Crochet!$AD$5:$AD$84,Crochet!$A$5:$A$84,A115)+SUMIFS(Jewelry!$AF$5:$AF$84,Jewelry!$A$5:$A$84,A115)+SUMIFS(Candles!$AF$5:$AF$84,Candles!$A$5:$A$84,A115)+SUMIFS(Clothing!$AB$5:$AB$84,Clothing!$A$5:$A$84,A115)+SUMIFS(Woodworking!$AC$5:$AC$84,Woodworking!$A$5:$A$84,A115)+SUMIFS(Digital!$X$5:$X$84,Digital!$A$5:$A$84,A115),2))</f>
        <v>0</v>
      </c>
      <c r="U115" s="20">
        <f>IF(B115="","",ROUND(SUMIFS(Labor!$O$5:$O$304,Labor!$A$5:$A$304,A115)+SUMIFS(Crochet!$AG$5:$AG$84,Crochet!$A$5:$A$84,A115)+SUMIFS(Jewelry!$AI$5:$AI$84,Jewelry!$A$5:$A$84,A115)+SUMIFS(Candles!$AI$5:$AI$84,Candles!$A$5:$A$84,A115)+SUMIFS(Clothing!$AE$5:$AE$84,Clothing!$A$5:$A$84,A115)+SUMIFS(Woodworking!$AF$5:$AF$84,Woodworking!$A$5:$A$84,A115)+SUMIFS(Digital!$Z$5:$Z$84,Digital!$A$5:$A$84,A115),2))</f>
        <v>0</v>
      </c>
      <c r="V115" s="36">
        <f>IF(B115="","",ROUND(SUMIFS(Labor!$P$5:$P$304,Labor!$A$5:$A$304,A115)+SUMIFS(Crochet!$AE$5:$AE$84,Crochet!$A$5:$A$84,A115)+SUMIFS(Jewelry!$AG$5:$AG$84,Jewelry!$A$5:$A$84,A115)+SUMIFS(Candles!$AG$5:$AG$84,Candles!$A$5:$A$84,A115)+SUMIFS(Clothing!$AC$5:$AC$84,Clothing!$A$5:$A$84,A115)+SUMIFS(Woodworking!$AD$5:$AD$84,Woodworking!$A$5:$A$84,A115)+SUMIFS(Digital!$Y$5:$Y$84,Digital!$A$5:$A$84,A115),1))</f>
        <v>0</v>
      </c>
      <c r="W115" s="41">
        <f>IF(B115="","",IFERROR(INDEX(DiffTimeFactors,MATCH(G115,DiffNames,0)),1))</f>
        <v>0</v>
      </c>
      <c r="X115" s="36">
        <f>IF(B115="","",ROUND(V115*W115,1))</f>
        <v>0</v>
      </c>
      <c r="Y115" s="41">
        <f>IF(B115="","",ROUND(X115/60,3))</f>
        <v>0</v>
      </c>
      <c r="Z115" s="20">
        <f>IF(B115="","",ROUND(U115*W115,2))</f>
        <v>0</v>
      </c>
      <c r="AA115" s="20">
        <f>IF(B115="","",ROUND(SUMIFS(Labor!$Q$5:$Q$304,Labor!$A$5:$A$304,A115)+SUMIFS(Crochet!$AH$5:$AH$84,Crochet!$A$5:$A$84,A115)+SUMIFS(Jewelry!$AJ$5:$AJ$84,Jewelry!$A$5:$A$84,A115)+SUMIFS(Candles!$AJ$5:$AJ$84,Candles!$A$5:$A$84,A115)+SUMIFS(Clothing!$AF$5:$AF$84,Clothing!$A$5:$A$84,A115)+SUMIFS(Woodworking!$AH$5:$AH$84,Woodworking!$A$5:$A$84,A115)+SUMIFS(Digital!$AA$5:$AA$84,Digital!$A$5:$A$84,A115),2))</f>
        <v>0</v>
      </c>
      <c r="AB115" s="20">
        <f>IF(B115="","",ROUND(IF(I115="Budget",PackBudget,IF(I115="Standard",PackStandard,IF(I115="Gift",PackGift,IF(I115="Premium",PackPremium,DefaultPackaging)))),2))</f>
        <v>0</v>
      </c>
      <c r="AC115" s="36">
        <f>IF(B115="","",IF(I115="Budget",PackWeightBudget,IF(I115="Standard",PackWeightStandard,IF(I115="Gift",PackWeightGift,IF(I115="Premium",PackWeightPremium,0)))))</f>
        <v>0</v>
      </c>
      <c r="AD115" s="20">
        <f>IF(B115="","",IFERROR(INDEX(Shipping!$M$5:$M$64,MATCH(J115,Shipping!$L$5:$L$64,0)),DefaultShipping))</f>
        <v>0</v>
      </c>
      <c r="AE115" s="20">
        <f>IF(B115="","",IFERROR(INDEX(Shipping!$F$5:$F$64,MATCH(J115,Shipping!$L$5:$L$64,0)),0))</f>
        <v>0</v>
      </c>
      <c r="AF115" s="36">
        <f>IF(B115="","",IFERROR(INDEX(Shipping!$C$5:$C$64,MATCH(J115,Shipping!$L$5:$L$64,0)),""))</f>
        <v>0</v>
      </c>
      <c r="AG115" s="20">
        <f>IF(B115="","",ROUND(MAX(0,AD115-AE115),2))</f>
        <v>0</v>
      </c>
      <c r="AH115" s="20">
        <f>IF(B115="","",ROUND(T115+Z115+AA115+AB115+AG115,2))</f>
        <v>0</v>
      </c>
      <c r="AI115" s="33">
        <f>IF(B115="","",IFERROR(INDEX(Channels!$S$5:$S$18,MATCH(IF(H115="",DefaultChannel,H115),Channels!$A$5:$A$18,0)),0))</f>
        <v>0</v>
      </c>
      <c r="AJ115" s="42">
        <f>IF(B115="","",IFERROR(INDEX(Channels!$O$5:$O$18,MATCH(IF(H115="",DefaultChannel,H115),Channels!$A$5:$A$18,0)),"No"))</f>
        <v>0</v>
      </c>
      <c r="AK115" s="20">
        <f>IF(B115="","",ROUND(IFERROR(INDEX(Channels!$T$5:$T$18,MATCH(IF(H115="",DefaultChannel,H115),Channels!$A$5:$A$18,0)),0)+IF(AJ115="Yes",AE115*AI115,0),4))</f>
        <v>0</v>
      </c>
      <c r="AL115" s="33">
        <f>IF(B115="","",IF(OverheadMethod="Share of revenue",IF(RevenueTargetMonth&lt;=0,0,OverheadMonthly/RevenueTargetMonth),0))</f>
        <v>0</v>
      </c>
      <c r="AM115" s="20">
        <f>IF(B115="","",IF(OverheadMethod="Per hour worked",ROUND(OverheadPerHour*Y115,2),IF(OR(OverheadMethod="Per unit made",OverheadMethod="Per order"),OverheadPerUnit,0)))</f>
        <v>0</v>
      </c>
      <c r="AN115" s="33">
        <f>IF(B115="","",IF(N115&lt;&gt;"",N115,TargetRetailMargin))</f>
        <v>0</v>
      </c>
      <c r="AO115" s="41">
        <f>IF(B115="","",1-AN115-AI115-AL115)</f>
        <v>0</v>
      </c>
      <c r="AP115" s="20">
        <f>IF(B115="","",IF(AO115&lt;=0,"",(AH115+AM115+AK115)/AO115))</f>
        <v>0</v>
      </c>
      <c r="AQ115" s="20">
        <f>IF(B115="","",IF(AP115="","Check the settings",ROUND(IF(RoundingRule="None",AP115,IF(RoundingRule="Nearest 0.99",MAX(0.99,CEILING(AP115,1)-0.01),IF(RoundingRule="Nearest 0.95",MAX(0.95,CEILING(AP115,1)-0.05),IF(RoundingRule="Nearest 0.50",CEILING(AP115,0.5),IF(RoundingRule="Nearest 1",CEILING(AP115,1),IF(RoundingRule="Nearest 5",CEILING(AP115,5),IF(RoundingRule="Up to whole 1",CEILING(AP115,1),IF(RoundingRule="Up to whole 5",CEILING(AP115,5),ROUND(AP115,2))))))))),2)))</f>
        <v>0</v>
      </c>
      <c r="AR115" s="20">
        <f>IF(B115="","",IF(M115&lt;&gt;"",M115,IF(ISNUMBER(AQ115),AQ115,"")))</f>
        <v>0</v>
      </c>
      <c r="AS115" s="20">
        <f>IF(B115="","",IF(AR115="","",ROUND(AM115+AR115*AL115,2)))</f>
        <v>0</v>
      </c>
      <c r="AT115" s="20">
        <f>IF(B115="","",IF(AR115="","",ROUND(AH115+AS115,2)))</f>
        <v>0</v>
      </c>
      <c r="AU115" s="20">
        <f>IF(B115="","",IF(AR115="","",ROUND(AR115*AI115+AK115,2)))</f>
        <v>0</v>
      </c>
      <c r="AV115" s="20">
        <f>IF(B115="","",IF(AR115="","",ROUND(AR115-AT115-AU115,2)))</f>
        <v>0</v>
      </c>
      <c r="AW115" s="33">
        <f>IF(B115="","",IF(OR(AR115="",AR115=0),"",AV115/AR115))</f>
        <v>0</v>
      </c>
      <c r="AX115" s="33">
        <f>IF(B115="","",IF(OR(AT115="",AT115=0),"",AV115/AT115))</f>
        <v>0</v>
      </c>
      <c r="AY115" s="20">
        <f>IF(B115="","",IF(OR(Y115="",Y115=0,AV115=""),"",ROUND(AV115/Y115,2)))</f>
        <v>0</v>
      </c>
      <c r="AZ115" s="20">
        <f>IF(B115="","",IF(OR(Y115="",Y115=0,AV115=""),"",ROUND((AV115+Z115)/Y115,2)))</f>
        <v>0</v>
      </c>
      <c r="BA115" s="20">
        <f>IF(B115="","",IF(1-AI115-AL115&lt;=0,"",ROUND((AH115+AM115+AK115)/(1-AI115-AL115),2)))</f>
        <v>0</v>
      </c>
      <c r="BB115" s="20">
        <f>IF(B115="","",IF(AT115="","",ROUND(AT115*2,2)))</f>
        <v>0</v>
      </c>
      <c r="BC115" s="20">
        <f>IF(B115="","",IF(AR115="","",ROUND(AR115*(1-WholesaleDiscount),2)))</f>
        <v>0</v>
      </c>
      <c r="BD115" s="20">
        <f>IF(B115="","",IF(BC115="","",ROUND(BC115-AH115-AM115,2)))</f>
        <v>0</v>
      </c>
      <c r="BE115" s="33">
        <f>IF(B115="","",IF(OR(BC115="",BC115=0),"",BD115/BC115))</f>
        <v>0</v>
      </c>
      <c r="BF115" s="20">
        <f>IF(B115="","",IFERROR(ROUND(AVERAGEIFS(Competitors!$F$5:$F$154,Competitors!$A$5:$A$154,A115),2),""))</f>
        <v>0</v>
      </c>
      <c r="BG115" s="33">
        <f>IF(B115="","",IF(OR(BF115="",BF115=0,AR115=""),"",AR115/BF115-1))</f>
        <v>0</v>
      </c>
      <c r="BH115" s="32">
        <f>IF(B115="","",SUMIFS(Sales!$D$5:$D$804,Sales!$C$5:$C$804,A115))</f>
        <v>0</v>
      </c>
      <c r="BI115" s="20">
        <f>IF(B115="","",ROUND(SUMIFS(Sales!$V$5:$V$804,Sales!$C$5:$C$804,A115),2))</f>
        <v>0</v>
      </c>
      <c r="BJ115" s="20">
        <f>IF(B115="","",ROUND(SUMIFS(Sales!$AG$5:$AG$804,Sales!$C$5:$C$804,A115),2))</f>
        <v>0</v>
      </c>
      <c r="BK115" s="33">
        <f>IF(B115="","",IF(OR(BI115="",BI115=0),"",BJ115/BI115))</f>
        <v>0</v>
      </c>
      <c r="BL115" s="17">
        <f>IF(B115="","",IF(SUMPRODUCT(MAX((Sales!$C$5:$C$804=A115)*Sales!$B$5:$B$804))=0,"",SUMPRODUCT(MAX((Sales!$C$5:$C$804=A115)*Sales!$B$5:$B$804))))</f>
        <v>0</v>
      </c>
      <c r="BM115" s="17">
        <f>IF(B115="","",IF(SUMPRODUCT(MAX(('Price History'!$B$5:$B$304=A115)*'Price History'!$A$5:$A$304))=0,IF(P115="","",P115),SUMPRODUCT(MAX(('Price History'!$B$5:$B$304=A115)*'Price History'!$A$5:$A$304))))</f>
        <v>0</v>
      </c>
      <c r="BN115" s="32">
        <f>IF(B115="","",IF(BM115="","",TodayDate-BM115))</f>
        <v>0</v>
      </c>
      <c r="BO115" s="32">
        <f>IF(B115="","",COUNTIFS($AV$5:$AV$304,"&gt;"&amp;AV115)+COUNTIFS($AV$5:AV115,AV115))</f>
        <v>0</v>
      </c>
      <c r="BP115" s="32">
        <f>IF(B115="","",COUNTIFS($AW$5:$AW$304,"&gt;"&amp;AW115)+COUNTIFS($AW$5:AW115,AW115))</f>
        <v>0</v>
      </c>
      <c r="BQ115" s="32">
        <f>IF(B115="","",COUNTIFS($BI$5:$BI$304,"&gt;"&amp;BI115)+COUNTIFS($BI$5:BI115,BI115))</f>
        <v>0</v>
      </c>
      <c r="BR115" s="32">
        <f>IF(B115="","",COUNTIFS($AY$5:$AY$304,"&gt;"&amp;AY115)+COUNTIFS($AY$5:AY115,AY115))</f>
        <v>0</v>
      </c>
      <c r="BS115" s="43">
        <f>IF(B115="","",IF(AH115=0,"Add - no costs entered yet",IF(AR115="","Check - no price yet",IF(AV115&lt;0,"Loss - every sale costs you money",IF(AND(AZ115&lt;&gt;"",AZ115&lt;MinimumWage),"Below - pays under minimum wage",IF(AW115&lt;MarginWarning,"Low margin - re-price it",IF(AND(AF115&lt;&gt;"",K115&lt;&gt;"",K115+AC115&gt;AF115),"Check - too heavy for that postage band",IF(AND(BN115&lt;&gt;"",BN115&gt;PriceReviewDays),"Due - price has not been reviewed",IF(AND(BG115&lt;&gt;"",BG115&gt;0.5),"Check - well above the market","OK")))))))) )</f>
        <v>0</v>
      </c>
    </row>
    <row r="116" spans="1:71">
      <c r="A116" s="38">
        <f>IF(B116="","",ProductPrefix&amp;TEXT(ROW()-4,"0000"))</f>
        <v>0</v>
      </c>
      <c r="S116" s="38">
        <f>IF(B116="","",IF(C116&lt;&gt;"",C116,UPPER(LEFT(IF(D116="","GEN",D116),3))&amp;"-"&amp;TEXT(ROW()-4,"000")))</f>
        <v>0</v>
      </c>
      <c r="T116" s="20">
        <f>IF(B116="","",ROUND(SUMIFS('Material Usage'!$M$5:$M$904,'Material Usage'!$A$5:$A$904,A116)+SUMIFS(Crochet!$AD$5:$AD$84,Crochet!$A$5:$A$84,A116)+SUMIFS(Jewelry!$AF$5:$AF$84,Jewelry!$A$5:$A$84,A116)+SUMIFS(Candles!$AF$5:$AF$84,Candles!$A$5:$A$84,A116)+SUMIFS(Clothing!$AB$5:$AB$84,Clothing!$A$5:$A$84,A116)+SUMIFS(Woodworking!$AC$5:$AC$84,Woodworking!$A$5:$A$84,A116)+SUMIFS(Digital!$X$5:$X$84,Digital!$A$5:$A$84,A116),2))</f>
        <v>0</v>
      </c>
      <c r="U116" s="20">
        <f>IF(B116="","",ROUND(SUMIFS(Labor!$O$5:$O$304,Labor!$A$5:$A$304,A116)+SUMIFS(Crochet!$AG$5:$AG$84,Crochet!$A$5:$A$84,A116)+SUMIFS(Jewelry!$AI$5:$AI$84,Jewelry!$A$5:$A$84,A116)+SUMIFS(Candles!$AI$5:$AI$84,Candles!$A$5:$A$84,A116)+SUMIFS(Clothing!$AE$5:$AE$84,Clothing!$A$5:$A$84,A116)+SUMIFS(Woodworking!$AF$5:$AF$84,Woodworking!$A$5:$A$84,A116)+SUMIFS(Digital!$Z$5:$Z$84,Digital!$A$5:$A$84,A116),2))</f>
        <v>0</v>
      </c>
      <c r="V116" s="36">
        <f>IF(B116="","",ROUND(SUMIFS(Labor!$P$5:$P$304,Labor!$A$5:$A$304,A116)+SUMIFS(Crochet!$AE$5:$AE$84,Crochet!$A$5:$A$84,A116)+SUMIFS(Jewelry!$AG$5:$AG$84,Jewelry!$A$5:$A$84,A116)+SUMIFS(Candles!$AG$5:$AG$84,Candles!$A$5:$A$84,A116)+SUMIFS(Clothing!$AC$5:$AC$84,Clothing!$A$5:$A$84,A116)+SUMIFS(Woodworking!$AD$5:$AD$84,Woodworking!$A$5:$A$84,A116)+SUMIFS(Digital!$Y$5:$Y$84,Digital!$A$5:$A$84,A116),1))</f>
        <v>0</v>
      </c>
      <c r="W116" s="41">
        <f>IF(B116="","",IFERROR(INDEX(DiffTimeFactors,MATCH(G116,DiffNames,0)),1))</f>
        <v>0</v>
      </c>
      <c r="X116" s="36">
        <f>IF(B116="","",ROUND(V116*W116,1))</f>
        <v>0</v>
      </c>
      <c r="Y116" s="41">
        <f>IF(B116="","",ROUND(X116/60,3))</f>
        <v>0</v>
      </c>
      <c r="Z116" s="20">
        <f>IF(B116="","",ROUND(U116*W116,2))</f>
        <v>0</v>
      </c>
      <c r="AA116" s="20">
        <f>IF(B116="","",ROUND(SUMIFS(Labor!$Q$5:$Q$304,Labor!$A$5:$A$304,A116)+SUMIFS(Crochet!$AH$5:$AH$84,Crochet!$A$5:$A$84,A116)+SUMIFS(Jewelry!$AJ$5:$AJ$84,Jewelry!$A$5:$A$84,A116)+SUMIFS(Candles!$AJ$5:$AJ$84,Candles!$A$5:$A$84,A116)+SUMIFS(Clothing!$AF$5:$AF$84,Clothing!$A$5:$A$84,A116)+SUMIFS(Woodworking!$AH$5:$AH$84,Woodworking!$A$5:$A$84,A116)+SUMIFS(Digital!$AA$5:$AA$84,Digital!$A$5:$A$84,A116),2))</f>
        <v>0</v>
      </c>
      <c r="AB116" s="20">
        <f>IF(B116="","",ROUND(IF(I116="Budget",PackBudget,IF(I116="Standard",PackStandard,IF(I116="Gift",PackGift,IF(I116="Premium",PackPremium,DefaultPackaging)))),2))</f>
        <v>0</v>
      </c>
      <c r="AC116" s="36">
        <f>IF(B116="","",IF(I116="Budget",PackWeightBudget,IF(I116="Standard",PackWeightStandard,IF(I116="Gift",PackWeightGift,IF(I116="Premium",PackWeightPremium,0)))))</f>
        <v>0</v>
      </c>
      <c r="AD116" s="20">
        <f>IF(B116="","",IFERROR(INDEX(Shipping!$M$5:$M$64,MATCH(J116,Shipping!$L$5:$L$64,0)),DefaultShipping))</f>
        <v>0</v>
      </c>
      <c r="AE116" s="20">
        <f>IF(B116="","",IFERROR(INDEX(Shipping!$F$5:$F$64,MATCH(J116,Shipping!$L$5:$L$64,0)),0))</f>
        <v>0</v>
      </c>
      <c r="AF116" s="36">
        <f>IF(B116="","",IFERROR(INDEX(Shipping!$C$5:$C$64,MATCH(J116,Shipping!$L$5:$L$64,0)),""))</f>
        <v>0</v>
      </c>
      <c r="AG116" s="20">
        <f>IF(B116="","",ROUND(MAX(0,AD116-AE116),2))</f>
        <v>0</v>
      </c>
      <c r="AH116" s="20">
        <f>IF(B116="","",ROUND(T116+Z116+AA116+AB116+AG116,2))</f>
        <v>0</v>
      </c>
      <c r="AI116" s="33">
        <f>IF(B116="","",IFERROR(INDEX(Channels!$S$5:$S$18,MATCH(IF(H116="",DefaultChannel,H116),Channels!$A$5:$A$18,0)),0))</f>
        <v>0</v>
      </c>
      <c r="AJ116" s="42">
        <f>IF(B116="","",IFERROR(INDEX(Channels!$O$5:$O$18,MATCH(IF(H116="",DefaultChannel,H116),Channels!$A$5:$A$18,0)),"No"))</f>
        <v>0</v>
      </c>
      <c r="AK116" s="20">
        <f>IF(B116="","",ROUND(IFERROR(INDEX(Channels!$T$5:$T$18,MATCH(IF(H116="",DefaultChannel,H116),Channels!$A$5:$A$18,0)),0)+IF(AJ116="Yes",AE116*AI116,0),4))</f>
        <v>0</v>
      </c>
      <c r="AL116" s="33">
        <f>IF(B116="","",IF(OverheadMethod="Share of revenue",IF(RevenueTargetMonth&lt;=0,0,OverheadMonthly/RevenueTargetMonth),0))</f>
        <v>0</v>
      </c>
      <c r="AM116" s="20">
        <f>IF(B116="","",IF(OverheadMethod="Per hour worked",ROUND(OverheadPerHour*Y116,2),IF(OR(OverheadMethod="Per unit made",OverheadMethod="Per order"),OverheadPerUnit,0)))</f>
        <v>0</v>
      </c>
      <c r="AN116" s="33">
        <f>IF(B116="","",IF(N116&lt;&gt;"",N116,TargetRetailMargin))</f>
        <v>0</v>
      </c>
      <c r="AO116" s="41">
        <f>IF(B116="","",1-AN116-AI116-AL116)</f>
        <v>0</v>
      </c>
      <c r="AP116" s="20">
        <f>IF(B116="","",IF(AO116&lt;=0,"",(AH116+AM116+AK116)/AO116))</f>
        <v>0</v>
      </c>
      <c r="AQ116" s="20">
        <f>IF(B116="","",IF(AP116="","Check the settings",ROUND(IF(RoundingRule="None",AP116,IF(RoundingRule="Nearest 0.99",MAX(0.99,CEILING(AP116,1)-0.01),IF(RoundingRule="Nearest 0.95",MAX(0.95,CEILING(AP116,1)-0.05),IF(RoundingRule="Nearest 0.50",CEILING(AP116,0.5),IF(RoundingRule="Nearest 1",CEILING(AP116,1),IF(RoundingRule="Nearest 5",CEILING(AP116,5),IF(RoundingRule="Up to whole 1",CEILING(AP116,1),IF(RoundingRule="Up to whole 5",CEILING(AP116,5),ROUND(AP116,2))))))))),2)))</f>
        <v>0</v>
      </c>
      <c r="AR116" s="20">
        <f>IF(B116="","",IF(M116&lt;&gt;"",M116,IF(ISNUMBER(AQ116),AQ116,"")))</f>
        <v>0</v>
      </c>
      <c r="AS116" s="20">
        <f>IF(B116="","",IF(AR116="","",ROUND(AM116+AR116*AL116,2)))</f>
        <v>0</v>
      </c>
      <c r="AT116" s="20">
        <f>IF(B116="","",IF(AR116="","",ROUND(AH116+AS116,2)))</f>
        <v>0</v>
      </c>
      <c r="AU116" s="20">
        <f>IF(B116="","",IF(AR116="","",ROUND(AR116*AI116+AK116,2)))</f>
        <v>0</v>
      </c>
      <c r="AV116" s="20">
        <f>IF(B116="","",IF(AR116="","",ROUND(AR116-AT116-AU116,2)))</f>
        <v>0</v>
      </c>
      <c r="AW116" s="33">
        <f>IF(B116="","",IF(OR(AR116="",AR116=0),"",AV116/AR116))</f>
        <v>0</v>
      </c>
      <c r="AX116" s="33">
        <f>IF(B116="","",IF(OR(AT116="",AT116=0),"",AV116/AT116))</f>
        <v>0</v>
      </c>
      <c r="AY116" s="20">
        <f>IF(B116="","",IF(OR(Y116="",Y116=0,AV116=""),"",ROUND(AV116/Y116,2)))</f>
        <v>0</v>
      </c>
      <c r="AZ116" s="20">
        <f>IF(B116="","",IF(OR(Y116="",Y116=0,AV116=""),"",ROUND((AV116+Z116)/Y116,2)))</f>
        <v>0</v>
      </c>
      <c r="BA116" s="20">
        <f>IF(B116="","",IF(1-AI116-AL116&lt;=0,"",ROUND((AH116+AM116+AK116)/(1-AI116-AL116),2)))</f>
        <v>0</v>
      </c>
      <c r="BB116" s="20">
        <f>IF(B116="","",IF(AT116="","",ROUND(AT116*2,2)))</f>
        <v>0</v>
      </c>
      <c r="BC116" s="20">
        <f>IF(B116="","",IF(AR116="","",ROUND(AR116*(1-WholesaleDiscount),2)))</f>
        <v>0</v>
      </c>
      <c r="BD116" s="20">
        <f>IF(B116="","",IF(BC116="","",ROUND(BC116-AH116-AM116,2)))</f>
        <v>0</v>
      </c>
      <c r="BE116" s="33">
        <f>IF(B116="","",IF(OR(BC116="",BC116=0),"",BD116/BC116))</f>
        <v>0</v>
      </c>
      <c r="BF116" s="20">
        <f>IF(B116="","",IFERROR(ROUND(AVERAGEIFS(Competitors!$F$5:$F$154,Competitors!$A$5:$A$154,A116),2),""))</f>
        <v>0</v>
      </c>
      <c r="BG116" s="33">
        <f>IF(B116="","",IF(OR(BF116="",BF116=0,AR116=""),"",AR116/BF116-1))</f>
        <v>0</v>
      </c>
      <c r="BH116" s="32">
        <f>IF(B116="","",SUMIFS(Sales!$D$5:$D$804,Sales!$C$5:$C$804,A116))</f>
        <v>0</v>
      </c>
      <c r="BI116" s="20">
        <f>IF(B116="","",ROUND(SUMIFS(Sales!$V$5:$V$804,Sales!$C$5:$C$804,A116),2))</f>
        <v>0</v>
      </c>
      <c r="BJ116" s="20">
        <f>IF(B116="","",ROUND(SUMIFS(Sales!$AG$5:$AG$804,Sales!$C$5:$C$804,A116),2))</f>
        <v>0</v>
      </c>
      <c r="BK116" s="33">
        <f>IF(B116="","",IF(OR(BI116="",BI116=0),"",BJ116/BI116))</f>
        <v>0</v>
      </c>
      <c r="BL116" s="17">
        <f>IF(B116="","",IF(SUMPRODUCT(MAX((Sales!$C$5:$C$804=A116)*Sales!$B$5:$B$804))=0,"",SUMPRODUCT(MAX((Sales!$C$5:$C$804=A116)*Sales!$B$5:$B$804))))</f>
        <v>0</v>
      </c>
      <c r="BM116" s="17">
        <f>IF(B116="","",IF(SUMPRODUCT(MAX(('Price History'!$B$5:$B$304=A116)*'Price History'!$A$5:$A$304))=0,IF(P116="","",P116),SUMPRODUCT(MAX(('Price History'!$B$5:$B$304=A116)*'Price History'!$A$5:$A$304))))</f>
        <v>0</v>
      </c>
      <c r="BN116" s="32">
        <f>IF(B116="","",IF(BM116="","",TodayDate-BM116))</f>
        <v>0</v>
      </c>
      <c r="BO116" s="32">
        <f>IF(B116="","",COUNTIFS($AV$5:$AV$304,"&gt;"&amp;AV116)+COUNTIFS($AV$5:AV116,AV116))</f>
        <v>0</v>
      </c>
      <c r="BP116" s="32">
        <f>IF(B116="","",COUNTIFS($AW$5:$AW$304,"&gt;"&amp;AW116)+COUNTIFS($AW$5:AW116,AW116))</f>
        <v>0</v>
      </c>
      <c r="BQ116" s="32">
        <f>IF(B116="","",COUNTIFS($BI$5:$BI$304,"&gt;"&amp;BI116)+COUNTIFS($BI$5:BI116,BI116))</f>
        <v>0</v>
      </c>
      <c r="BR116" s="32">
        <f>IF(B116="","",COUNTIFS($AY$5:$AY$304,"&gt;"&amp;AY116)+COUNTIFS($AY$5:AY116,AY116))</f>
        <v>0</v>
      </c>
      <c r="BS116" s="43">
        <f>IF(B116="","",IF(AH116=0,"Add - no costs entered yet",IF(AR116="","Check - no price yet",IF(AV116&lt;0,"Loss - every sale costs you money",IF(AND(AZ116&lt;&gt;"",AZ116&lt;MinimumWage),"Below - pays under minimum wage",IF(AW116&lt;MarginWarning,"Low margin - re-price it",IF(AND(AF116&lt;&gt;"",K116&lt;&gt;"",K116+AC116&gt;AF116),"Check - too heavy for that postage band",IF(AND(BN116&lt;&gt;"",BN116&gt;PriceReviewDays),"Due - price has not been reviewed",IF(AND(BG116&lt;&gt;"",BG116&gt;0.5),"Check - well above the market","OK")))))))) )</f>
        <v>0</v>
      </c>
    </row>
    <row r="117" spans="1:71">
      <c r="A117" s="38">
        <f>IF(B117="","",ProductPrefix&amp;TEXT(ROW()-4,"0000"))</f>
        <v>0</v>
      </c>
      <c r="S117" s="38">
        <f>IF(B117="","",IF(C117&lt;&gt;"",C117,UPPER(LEFT(IF(D117="","GEN",D117),3))&amp;"-"&amp;TEXT(ROW()-4,"000")))</f>
        <v>0</v>
      </c>
      <c r="T117" s="20">
        <f>IF(B117="","",ROUND(SUMIFS('Material Usage'!$M$5:$M$904,'Material Usage'!$A$5:$A$904,A117)+SUMIFS(Crochet!$AD$5:$AD$84,Crochet!$A$5:$A$84,A117)+SUMIFS(Jewelry!$AF$5:$AF$84,Jewelry!$A$5:$A$84,A117)+SUMIFS(Candles!$AF$5:$AF$84,Candles!$A$5:$A$84,A117)+SUMIFS(Clothing!$AB$5:$AB$84,Clothing!$A$5:$A$84,A117)+SUMIFS(Woodworking!$AC$5:$AC$84,Woodworking!$A$5:$A$84,A117)+SUMIFS(Digital!$X$5:$X$84,Digital!$A$5:$A$84,A117),2))</f>
        <v>0</v>
      </c>
      <c r="U117" s="20">
        <f>IF(B117="","",ROUND(SUMIFS(Labor!$O$5:$O$304,Labor!$A$5:$A$304,A117)+SUMIFS(Crochet!$AG$5:$AG$84,Crochet!$A$5:$A$84,A117)+SUMIFS(Jewelry!$AI$5:$AI$84,Jewelry!$A$5:$A$84,A117)+SUMIFS(Candles!$AI$5:$AI$84,Candles!$A$5:$A$84,A117)+SUMIFS(Clothing!$AE$5:$AE$84,Clothing!$A$5:$A$84,A117)+SUMIFS(Woodworking!$AF$5:$AF$84,Woodworking!$A$5:$A$84,A117)+SUMIFS(Digital!$Z$5:$Z$84,Digital!$A$5:$A$84,A117),2))</f>
        <v>0</v>
      </c>
      <c r="V117" s="36">
        <f>IF(B117="","",ROUND(SUMIFS(Labor!$P$5:$P$304,Labor!$A$5:$A$304,A117)+SUMIFS(Crochet!$AE$5:$AE$84,Crochet!$A$5:$A$84,A117)+SUMIFS(Jewelry!$AG$5:$AG$84,Jewelry!$A$5:$A$84,A117)+SUMIFS(Candles!$AG$5:$AG$84,Candles!$A$5:$A$84,A117)+SUMIFS(Clothing!$AC$5:$AC$84,Clothing!$A$5:$A$84,A117)+SUMIFS(Woodworking!$AD$5:$AD$84,Woodworking!$A$5:$A$84,A117)+SUMIFS(Digital!$Y$5:$Y$84,Digital!$A$5:$A$84,A117),1))</f>
        <v>0</v>
      </c>
      <c r="W117" s="41">
        <f>IF(B117="","",IFERROR(INDEX(DiffTimeFactors,MATCH(G117,DiffNames,0)),1))</f>
        <v>0</v>
      </c>
      <c r="X117" s="36">
        <f>IF(B117="","",ROUND(V117*W117,1))</f>
        <v>0</v>
      </c>
      <c r="Y117" s="41">
        <f>IF(B117="","",ROUND(X117/60,3))</f>
        <v>0</v>
      </c>
      <c r="Z117" s="20">
        <f>IF(B117="","",ROUND(U117*W117,2))</f>
        <v>0</v>
      </c>
      <c r="AA117" s="20">
        <f>IF(B117="","",ROUND(SUMIFS(Labor!$Q$5:$Q$304,Labor!$A$5:$A$304,A117)+SUMIFS(Crochet!$AH$5:$AH$84,Crochet!$A$5:$A$84,A117)+SUMIFS(Jewelry!$AJ$5:$AJ$84,Jewelry!$A$5:$A$84,A117)+SUMIFS(Candles!$AJ$5:$AJ$84,Candles!$A$5:$A$84,A117)+SUMIFS(Clothing!$AF$5:$AF$84,Clothing!$A$5:$A$84,A117)+SUMIFS(Woodworking!$AH$5:$AH$84,Woodworking!$A$5:$A$84,A117)+SUMIFS(Digital!$AA$5:$AA$84,Digital!$A$5:$A$84,A117),2))</f>
        <v>0</v>
      </c>
      <c r="AB117" s="20">
        <f>IF(B117="","",ROUND(IF(I117="Budget",PackBudget,IF(I117="Standard",PackStandard,IF(I117="Gift",PackGift,IF(I117="Premium",PackPremium,DefaultPackaging)))),2))</f>
        <v>0</v>
      </c>
      <c r="AC117" s="36">
        <f>IF(B117="","",IF(I117="Budget",PackWeightBudget,IF(I117="Standard",PackWeightStandard,IF(I117="Gift",PackWeightGift,IF(I117="Premium",PackWeightPremium,0)))))</f>
        <v>0</v>
      </c>
      <c r="AD117" s="20">
        <f>IF(B117="","",IFERROR(INDEX(Shipping!$M$5:$M$64,MATCH(J117,Shipping!$L$5:$L$64,0)),DefaultShipping))</f>
        <v>0</v>
      </c>
      <c r="AE117" s="20">
        <f>IF(B117="","",IFERROR(INDEX(Shipping!$F$5:$F$64,MATCH(J117,Shipping!$L$5:$L$64,0)),0))</f>
        <v>0</v>
      </c>
      <c r="AF117" s="36">
        <f>IF(B117="","",IFERROR(INDEX(Shipping!$C$5:$C$64,MATCH(J117,Shipping!$L$5:$L$64,0)),""))</f>
        <v>0</v>
      </c>
      <c r="AG117" s="20">
        <f>IF(B117="","",ROUND(MAX(0,AD117-AE117),2))</f>
        <v>0</v>
      </c>
      <c r="AH117" s="20">
        <f>IF(B117="","",ROUND(T117+Z117+AA117+AB117+AG117,2))</f>
        <v>0</v>
      </c>
      <c r="AI117" s="33">
        <f>IF(B117="","",IFERROR(INDEX(Channels!$S$5:$S$18,MATCH(IF(H117="",DefaultChannel,H117),Channels!$A$5:$A$18,0)),0))</f>
        <v>0</v>
      </c>
      <c r="AJ117" s="42">
        <f>IF(B117="","",IFERROR(INDEX(Channels!$O$5:$O$18,MATCH(IF(H117="",DefaultChannel,H117),Channels!$A$5:$A$18,0)),"No"))</f>
        <v>0</v>
      </c>
      <c r="AK117" s="20">
        <f>IF(B117="","",ROUND(IFERROR(INDEX(Channels!$T$5:$T$18,MATCH(IF(H117="",DefaultChannel,H117),Channels!$A$5:$A$18,0)),0)+IF(AJ117="Yes",AE117*AI117,0),4))</f>
        <v>0</v>
      </c>
      <c r="AL117" s="33">
        <f>IF(B117="","",IF(OverheadMethod="Share of revenue",IF(RevenueTargetMonth&lt;=0,0,OverheadMonthly/RevenueTargetMonth),0))</f>
        <v>0</v>
      </c>
      <c r="AM117" s="20">
        <f>IF(B117="","",IF(OverheadMethod="Per hour worked",ROUND(OverheadPerHour*Y117,2),IF(OR(OverheadMethod="Per unit made",OverheadMethod="Per order"),OverheadPerUnit,0)))</f>
        <v>0</v>
      </c>
      <c r="AN117" s="33">
        <f>IF(B117="","",IF(N117&lt;&gt;"",N117,TargetRetailMargin))</f>
        <v>0</v>
      </c>
      <c r="AO117" s="41">
        <f>IF(B117="","",1-AN117-AI117-AL117)</f>
        <v>0</v>
      </c>
      <c r="AP117" s="20">
        <f>IF(B117="","",IF(AO117&lt;=0,"",(AH117+AM117+AK117)/AO117))</f>
        <v>0</v>
      </c>
      <c r="AQ117" s="20">
        <f>IF(B117="","",IF(AP117="","Check the settings",ROUND(IF(RoundingRule="None",AP117,IF(RoundingRule="Nearest 0.99",MAX(0.99,CEILING(AP117,1)-0.01),IF(RoundingRule="Nearest 0.95",MAX(0.95,CEILING(AP117,1)-0.05),IF(RoundingRule="Nearest 0.50",CEILING(AP117,0.5),IF(RoundingRule="Nearest 1",CEILING(AP117,1),IF(RoundingRule="Nearest 5",CEILING(AP117,5),IF(RoundingRule="Up to whole 1",CEILING(AP117,1),IF(RoundingRule="Up to whole 5",CEILING(AP117,5),ROUND(AP117,2))))))))),2)))</f>
        <v>0</v>
      </c>
      <c r="AR117" s="20">
        <f>IF(B117="","",IF(M117&lt;&gt;"",M117,IF(ISNUMBER(AQ117),AQ117,"")))</f>
        <v>0</v>
      </c>
      <c r="AS117" s="20">
        <f>IF(B117="","",IF(AR117="","",ROUND(AM117+AR117*AL117,2)))</f>
        <v>0</v>
      </c>
      <c r="AT117" s="20">
        <f>IF(B117="","",IF(AR117="","",ROUND(AH117+AS117,2)))</f>
        <v>0</v>
      </c>
      <c r="AU117" s="20">
        <f>IF(B117="","",IF(AR117="","",ROUND(AR117*AI117+AK117,2)))</f>
        <v>0</v>
      </c>
      <c r="AV117" s="20">
        <f>IF(B117="","",IF(AR117="","",ROUND(AR117-AT117-AU117,2)))</f>
        <v>0</v>
      </c>
      <c r="AW117" s="33">
        <f>IF(B117="","",IF(OR(AR117="",AR117=0),"",AV117/AR117))</f>
        <v>0</v>
      </c>
      <c r="AX117" s="33">
        <f>IF(B117="","",IF(OR(AT117="",AT117=0),"",AV117/AT117))</f>
        <v>0</v>
      </c>
      <c r="AY117" s="20">
        <f>IF(B117="","",IF(OR(Y117="",Y117=0,AV117=""),"",ROUND(AV117/Y117,2)))</f>
        <v>0</v>
      </c>
      <c r="AZ117" s="20">
        <f>IF(B117="","",IF(OR(Y117="",Y117=0,AV117=""),"",ROUND((AV117+Z117)/Y117,2)))</f>
        <v>0</v>
      </c>
      <c r="BA117" s="20">
        <f>IF(B117="","",IF(1-AI117-AL117&lt;=0,"",ROUND((AH117+AM117+AK117)/(1-AI117-AL117),2)))</f>
        <v>0</v>
      </c>
      <c r="BB117" s="20">
        <f>IF(B117="","",IF(AT117="","",ROUND(AT117*2,2)))</f>
        <v>0</v>
      </c>
      <c r="BC117" s="20">
        <f>IF(B117="","",IF(AR117="","",ROUND(AR117*(1-WholesaleDiscount),2)))</f>
        <v>0</v>
      </c>
      <c r="BD117" s="20">
        <f>IF(B117="","",IF(BC117="","",ROUND(BC117-AH117-AM117,2)))</f>
        <v>0</v>
      </c>
      <c r="BE117" s="33">
        <f>IF(B117="","",IF(OR(BC117="",BC117=0),"",BD117/BC117))</f>
        <v>0</v>
      </c>
      <c r="BF117" s="20">
        <f>IF(B117="","",IFERROR(ROUND(AVERAGEIFS(Competitors!$F$5:$F$154,Competitors!$A$5:$A$154,A117),2),""))</f>
        <v>0</v>
      </c>
      <c r="BG117" s="33">
        <f>IF(B117="","",IF(OR(BF117="",BF117=0,AR117=""),"",AR117/BF117-1))</f>
        <v>0</v>
      </c>
      <c r="BH117" s="32">
        <f>IF(B117="","",SUMIFS(Sales!$D$5:$D$804,Sales!$C$5:$C$804,A117))</f>
        <v>0</v>
      </c>
      <c r="BI117" s="20">
        <f>IF(B117="","",ROUND(SUMIFS(Sales!$V$5:$V$804,Sales!$C$5:$C$804,A117),2))</f>
        <v>0</v>
      </c>
      <c r="BJ117" s="20">
        <f>IF(B117="","",ROUND(SUMIFS(Sales!$AG$5:$AG$804,Sales!$C$5:$C$804,A117),2))</f>
        <v>0</v>
      </c>
      <c r="BK117" s="33">
        <f>IF(B117="","",IF(OR(BI117="",BI117=0),"",BJ117/BI117))</f>
        <v>0</v>
      </c>
      <c r="BL117" s="17">
        <f>IF(B117="","",IF(SUMPRODUCT(MAX((Sales!$C$5:$C$804=A117)*Sales!$B$5:$B$804))=0,"",SUMPRODUCT(MAX((Sales!$C$5:$C$804=A117)*Sales!$B$5:$B$804))))</f>
        <v>0</v>
      </c>
      <c r="BM117" s="17">
        <f>IF(B117="","",IF(SUMPRODUCT(MAX(('Price History'!$B$5:$B$304=A117)*'Price History'!$A$5:$A$304))=0,IF(P117="","",P117),SUMPRODUCT(MAX(('Price History'!$B$5:$B$304=A117)*'Price History'!$A$5:$A$304))))</f>
        <v>0</v>
      </c>
      <c r="BN117" s="32">
        <f>IF(B117="","",IF(BM117="","",TodayDate-BM117))</f>
        <v>0</v>
      </c>
      <c r="BO117" s="32">
        <f>IF(B117="","",COUNTIFS($AV$5:$AV$304,"&gt;"&amp;AV117)+COUNTIFS($AV$5:AV117,AV117))</f>
        <v>0</v>
      </c>
      <c r="BP117" s="32">
        <f>IF(B117="","",COUNTIFS($AW$5:$AW$304,"&gt;"&amp;AW117)+COUNTIFS($AW$5:AW117,AW117))</f>
        <v>0</v>
      </c>
      <c r="BQ117" s="32">
        <f>IF(B117="","",COUNTIFS($BI$5:$BI$304,"&gt;"&amp;BI117)+COUNTIFS($BI$5:BI117,BI117))</f>
        <v>0</v>
      </c>
      <c r="BR117" s="32">
        <f>IF(B117="","",COUNTIFS($AY$5:$AY$304,"&gt;"&amp;AY117)+COUNTIFS($AY$5:AY117,AY117))</f>
        <v>0</v>
      </c>
      <c r="BS117" s="43">
        <f>IF(B117="","",IF(AH117=0,"Add - no costs entered yet",IF(AR117="","Check - no price yet",IF(AV117&lt;0,"Loss - every sale costs you money",IF(AND(AZ117&lt;&gt;"",AZ117&lt;MinimumWage),"Below - pays under minimum wage",IF(AW117&lt;MarginWarning,"Low margin - re-price it",IF(AND(AF117&lt;&gt;"",K117&lt;&gt;"",K117+AC117&gt;AF117),"Check - too heavy for that postage band",IF(AND(BN117&lt;&gt;"",BN117&gt;PriceReviewDays),"Due - price has not been reviewed",IF(AND(BG117&lt;&gt;"",BG117&gt;0.5),"Check - well above the market","OK")))))))) )</f>
        <v>0</v>
      </c>
    </row>
    <row r="118" spans="1:71">
      <c r="A118" s="38">
        <f>IF(B118="","",ProductPrefix&amp;TEXT(ROW()-4,"0000"))</f>
        <v>0</v>
      </c>
      <c r="S118" s="38">
        <f>IF(B118="","",IF(C118&lt;&gt;"",C118,UPPER(LEFT(IF(D118="","GEN",D118),3))&amp;"-"&amp;TEXT(ROW()-4,"000")))</f>
        <v>0</v>
      </c>
      <c r="T118" s="20">
        <f>IF(B118="","",ROUND(SUMIFS('Material Usage'!$M$5:$M$904,'Material Usage'!$A$5:$A$904,A118)+SUMIFS(Crochet!$AD$5:$AD$84,Crochet!$A$5:$A$84,A118)+SUMIFS(Jewelry!$AF$5:$AF$84,Jewelry!$A$5:$A$84,A118)+SUMIFS(Candles!$AF$5:$AF$84,Candles!$A$5:$A$84,A118)+SUMIFS(Clothing!$AB$5:$AB$84,Clothing!$A$5:$A$84,A118)+SUMIFS(Woodworking!$AC$5:$AC$84,Woodworking!$A$5:$A$84,A118)+SUMIFS(Digital!$X$5:$X$84,Digital!$A$5:$A$84,A118),2))</f>
        <v>0</v>
      </c>
      <c r="U118" s="20">
        <f>IF(B118="","",ROUND(SUMIFS(Labor!$O$5:$O$304,Labor!$A$5:$A$304,A118)+SUMIFS(Crochet!$AG$5:$AG$84,Crochet!$A$5:$A$84,A118)+SUMIFS(Jewelry!$AI$5:$AI$84,Jewelry!$A$5:$A$84,A118)+SUMIFS(Candles!$AI$5:$AI$84,Candles!$A$5:$A$84,A118)+SUMIFS(Clothing!$AE$5:$AE$84,Clothing!$A$5:$A$84,A118)+SUMIFS(Woodworking!$AF$5:$AF$84,Woodworking!$A$5:$A$84,A118)+SUMIFS(Digital!$Z$5:$Z$84,Digital!$A$5:$A$84,A118),2))</f>
        <v>0</v>
      </c>
      <c r="V118" s="36">
        <f>IF(B118="","",ROUND(SUMIFS(Labor!$P$5:$P$304,Labor!$A$5:$A$304,A118)+SUMIFS(Crochet!$AE$5:$AE$84,Crochet!$A$5:$A$84,A118)+SUMIFS(Jewelry!$AG$5:$AG$84,Jewelry!$A$5:$A$84,A118)+SUMIFS(Candles!$AG$5:$AG$84,Candles!$A$5:$A$84,A118)+SUMIFS(Clothing!$AC$5:$AC$84,Clothing!$A$5:$A$84,A118)+SUMIFS(Woodworking!$AD$5:$AD$84,Woodworking!$A$5:$A$84,A118)+SUMIFS(Digital!$Y$5:$Y$84,Digital!$A$5:$A$84,A118),1))</f>
        <v>0</v>
      </c>
      <c r="W118" s="41">
        <f>IF(B118="","",IFERROR(INDEX(DiffTimeFactors,MATCH(G118,DiffNames,0)),1))</f>
        <v>0</v>
      </c>
      <c r="X118" s="36">
        <f>IF(B118="","",ROUND(V118*W118,1))</f>
        <v>0</v>
      </c>
      <c r="Y118" s="41">
        <f>IF(B118="","",ROUND(X118/60,3))</f>
        <v>0</v>
      </c>
      <c r="Z118" s="20">
        <f>IF(B118="","",ROUND(U118*W118,2))</f>
        <v>0</v>
      </c>
      <c r="AA118" s="20">
        <f>IF(B118="","",ROUND(SUMIFS(Labor!$Q$5:$Q$304,Labor!$A$5:$A$304,A118)+SUMIFS(Crochet!$AH$5:$AH$84,Crochet!$A$5:$A$84,A118)+SUMIFS(Jewelry!$AJ$5:$AJ$84,Jewelry!$A$5:$A$84,A118)+SUMIFS(Candles!$AJ$5:$AJ$84,Candles!$A$5:$A$84,A118)+SUMIFS(Clothing!$AF$5:$AF$84,Clothing!$A$5:$A$84,A118)+SUMIFS(Woodworking!$AH$5:$AH$84,Woodworking!$A$5:$A$84,A118)+SUMIFS(Digital!$AA$5:$AA$84,Digital!$A$5:$A$84,A118),2))</f>
        <v>0</v>
      </c>
      <c r="AB118" s="20">
        <f>IF(B118="","",ROUND(IF(I118="Budget",PackBudget,IF(I118="Standard",PackStandard,IF(I118="Gift",PackGift,IF(I118="Premium",PackPremium,DefaultPackaging)))),2))</f>
        <v>0</v>
      </c>
      <c r="AC118" s="36">
        <f>IF(B118="","",IF(I118="Budget",PackWeightBudget,IF(I118="Standard",PackWeightStandard,IF(I118="Gift",PackWeightGift,IF(I118="Premium",PackWeightPremium,0)))))</f>
        <v>0</v>
      </c>
      <c r="AD118" s="20">
        <f>IF(B118="","",IFERROR(INDEX(Shipping!$M$5:$M$64,MATCH(J118,Shipping!$L$5:$L$64,0)),DefaultShipping))</f>
        <v>0</v>
      </c>
      <c r="AE118" s="20">
        <f>IF(B118="","",IFERROR(INDEX(Shipping!$F$5:$F$64,MATCH(J118,Shipping!$L$5:$L$64,0)),0))</f>
        <v>0</v>
      </c>
      <c r="AF118" s="36">
        <f>IF(B118="","",IFERROR(INDEX(Shipping!$C$5:$C$64,MATCH(J118,Shipping!$L$5:$L$64,0)),""))</f>
        <v>0</v>
      </c>
      <c r="AG118" s="20">
        <f>IF(B118="","",ROUND(MAX(0,AD118-AE118),2))</f>
        <v>0</v>
      </c>
      <c r="AH118" s="20">
        <f>IF(B118="","",ROUND(T118+Z118+AA118+AB118+AG118,2))</f>
        <v>0</v>
      </c>
      <c r="AI118" s="33">
        <f>IF(B118="","",IFERROR(INDEX(Channels!$S$5:$S$18,MATCH(IF(H118="",DefaultChannel,H118),Channels!$A$5:$A$18,0)),0))</f>
        <v>0</v>
      </c>
      <c r="AJ118" s="42">
        <f>IF(B118="","",IFERROR(INDEX(Channels!$O$5:$O$18,MATCH(IF(H118="",DefaultChannel,H118),Channels!$A$5:$A$18,0)),"No"))</f>
        <v>0</v>
      </c>
      <c r="AK118" s="20">
        <f>IF(B118="","",ROUND(IFERROR(INDEX(Channels!$T$5:$T$18,MATCH(IF(H118="",DefaultChannel,H118),Channels!$A$5:$A$18,0)),0)+IF(AJ118="Yes",AE118*AI118,0),4))</f>
        <v>0</v>
      </c>
      <c r="AL118" s="33">
        <f>IF(B118="","",IF(OverheadMethod="Share of revenue",IF(RevenueTargetMonth&lt;=0,0,OverheadMonthly/RevenueTargetMonth),0))</f>
        <v>0</v>
      </c>
      <c r="AM118" s="20">
        <f>IF(B118="","",IF(OverheadMethod="Per hour worked",ROUND(OverheadPerHour*Y118,2),IF(OR(OverheadMethod="Per unit made",OverheadMethod="Per order"),OverheadPerUnit,0)))</f>
        <v>0</v>
      </c>
      <c r="AN118" s="33">
        <f>IF(B118="","",IF(N118&lt;&gt;"",N118,TargetRetailMargin))</f>
        <v>0</v>
      </c>
      <c r="AO118" s="41">
        <f>IF(B118="","",1-AN118-AI118-AL118)</f>
        <v>0</v>
      </c>
      <c r="AP118" s="20">
        <f>IF(B118="","",IF(AO118&lt;=0,"",(AH118+AM118+AK118)/AO118))</f>
        <v>0</v>
      </c>
      <c r="AQ118" s="20">
        <f>IF(B118="","",IF(AP118="","Check the settings",ROUND(IF(RoundingRule="None",AP118,IF(RoundingRule="Nearest 0.99",MAX(0.99,CEILING(AP118,1)-0.01),IF(RoundingRule="Nearest 0.95",MAX(0.95,CEILING(AP118,1)-0.05),IF(RoundingRule="Nearest 0.50",CEILING(AP118,0.5),IF(RoundingRule="Nearest 1",CEILING(AP118,1),IF(RoundingRule="Nearest 5",CEILING(AP118,5),IF(RoundingRule="Up to whole 1",CEILING(AP118,1),IF(RoundingRule="Up to whole 5",CEILING(AP118,5),ROUND(AP118,2))))))))),2)))</f>
        <v>0</v>
      </c>
      <c r="AR118" s="20">
        <f>IF(B118="","",IF(M118&lt;&gt;"",M118,IF(ISNUMBER(AQ118),AQ118,"")))</f>
        <v>0</v>
      </c>
      <c r="AS118" s="20">
        <f>IF(B118="","",IF(AR118="","",ROUND(AM118+AR118*AL118,2)))</f>
        <v>0</v>
      </c>
      <c r="AT118" s="20">
        <f>IF(B118="","",IF(AR118="","",ROUND(AH118+AS118,2)))</f>
        <v>0</v>
      </c>
      <c r="AU118" s="20">
        <f>IF(B118="","",IF(AR118="","",ROUND(AR118*AI118+AK118,2)))</f>
        <v>0</v>
      </c>
      <c r="AV118" s="20">
        <f>IF(B118="","",IF(AR118="","",ROUND(AR118-AT118-AU118,2)))</f>
        <v>0</v>
      </c>
      <c r="AW118" s="33">
        <f>IF(B118="","",IF(OR(AR118="",AR118=0),"",AV118/AR118))</f>
        <v>0</v>
      </c>
      <c r="AX118" s="33">
        <f>IF(B118="","",IF(OR(AT118="",AT118=0),"",AV118/AT118))</f>
        <v>0</v>
      </c>
      <c r="AY118" s="20">
        <f>IF(B118="","",IF(OR(Y118="",Y118=0,AV118=""),"",ROUND(AV118/Y118,2)))</f>
        <v>0</v>
      </c>
      <c r="AZ118" s="20">
        <f>IF(B118="","",IF(OR(Y118="",Y118=0,AV118=""),"",ROUND((AV118+Z118)/Y118,2)))</f>
        <v>0</v>
      </c>
      <c r="BA118" s="20">
        <f>IF(B118="","",IF(1-AI118-AL118&lt;=0,"",ROUND((AH118+AM118+AK118)/(1-AI118-AL118),2)))</f>
        <v>0</v>
      </c>
      <c r="BB118" s="20">
        <f>IF(B118="","",IF(AT118="","",ROUND(AT118*2,2)))</f>
        <v>0</v>
      </c>
      <c r="BC118" s="20">
        <f>IF(B118="","",IF(AR118="","",ROUND(AR118*(1-WholesaleDiscount),2)))</f>
        <v>0</v>
      </c>
      <c r="BD118" s="20">
        <f>IF(B118="","",IF(BC118="","",ROUND(BC118-AH118-AM118,2)))</f>
        <v>0</v>
      </c>
      <c r="BE118" s="33">
        <f>IF(B118="","",IF(OR(BC118="",BC118=0),"",BD118/BC118))</f>
        <v>0</v>
      </c>
      <c r="BF118" s="20">
        <f>IF(B118="","",IFERROR(ROUND(AVERAGEIFS(Competitors!$F$5:$F$154,Competitors!$A$5:$A$154,A118),2),""))</f>
        <v>0</v>
      </c>
      <c r="BG118" s="33">
        <f>IF(B118="","",IF(OR(BF118="",BF118=0,AR118=""),"",AR118/BF118-1))</f>
        <v>0</v>
      </c>
      <c r="BH118" s="32">
        <f>IF(B118="","",SUMIFS(Sales!$D$5:$D$804,Sales!$C$5:$C$804,A118))</f>
        <v>0</v>
      </c>
      <c r="BI118" s="20">
        <f>IF(B118="","",ROUND(SUMIFS(Sales!$V$5:$V$804,Sales!$C$5:$C$804,A118),2))</f>
        <v>0</v>
      </c>
      <c r="BJ118" s="20">
        <f>IF(B118="","",ROUND(SUMIFS(Sales!$AG$5:$AG$804,Sales!$C$5:$C$804,A118),2))</f>
        <v>0</v>
      </c>
      <c r="BK118" s="33">
        <f>IF(B118="","",IF(OR(BI118="",BI118=0),"",BJ118/BI118))</f>
        <v>0</v>
      </c>
      <c r="BL118" s="17">
        <f>IF(B118="","",IF(SUMPRODUCT(MAX((Sales!$C$5:$C$804=A118)*Sales!$B$5:$B$804))=0,"",SUMPRODUCT(MAX((Sales!$C$5:$C$804=A118)*Sales!$B$5:$B$804))))</f>
        <v>0</v>
      </c>
      <c r="BM118" s="17">
        <f>IF(B118="","",IF(SUMPRODUCT(MAX(('Price History'!$B$5:$B$304=A118)*'Price History'!$A$5:$A$304))=0,IF(P118="","",P118),SUMPRODUCT(MAX(('Price History'!$B$5:$B$304=A118)*'Price History'!$A$5:$A$304))))</f>
        <v>0</v>
      </c>
      <c r="BN118" s="32">
        <f>IF(B118="","",IF(BM118="","",TodayDate-BM118))</f>
        <v>0</v>
      </c>
      <c r="BO118" s="32">
        <f>IF(B118="","",COUNTIFS($AV$5:$AV$304,"&gt;"&amp;AV118)+COUNTIFS($AV$5:AV118,AV118))</f>
        <v>0</v>
      </c>
      <c r="BP118" s="32">
        <f>IF(B118="","",COUNTIFS($AW$5:$AW$304,"&gt;"&amp;AW118)+COUNTIFS($AW$5:AW118,AW118))</f>
        <v>0</v>
      </c>
      <c r="BQ118" s="32">
        <f>IF(B118="","",COUNTIFS($BI$5:$BI$304,"&gt;"&amp;BI118)+COUNTIFS($BI$5:BI118,BI118))</f>
        <v>0</v>
      </c>
      <c r="BR118" s="32">
        <f>IF(B118="","",COUNTIFS($AY$5:$AY$304,"&gt;"&amp;AY118)+COUNTIFS($AY$5:AY118,AY118))</f>
        <v>0</v>
      </c>
      <c r="BS118" s="43">
        <f>IF(B118="","",IF(AH118=0,"Add - no costs entered yet",IF(AR118="","Check - no price yet",IF(AV118&lt;0,"Loss - every sale costs you money",IF(AND(AZ118&lt;&gt;"",AZ118&lt;MinimumWage),"Below - pays under minimum wage",IF(AW118&lt;MarginWarning,"Low margin - re-price it",IF(AND(AF118&lt;&gt;"",K118&lt;&gt;"",K118+AC118&gt;AF118),"Check - too heavy for that postage band",IF(AND(BN118&lt;&gt;"",BN118&gt;PriceReviewDays),"Due - price has not been reviewed",IF(AND(BG118&lt;&gt;"",BG118&gt;0.5),"Check - well above the market","OK")))))))) )</f>
        <v>0</v>
      </c>
    </row>
    <row r="119" spans="1:71">
      <c r="A119" s="38">
        <f>IF(B119="","",ProductPrefix&amp;TEXT(ROW()-4,"0000"))</f>
        <v>0</v>
      </c>
      <c r="S119" s="38">
        <f>IF(B119="","",IF(C119&lt;&gt;"",C119,UPPER(LEFT(IF(D119="","GEN",D119),3))&amp;"-"&amp;TEXT(ROW()-4,"000")))</f>
        <v>0</v>
      </c>
      <c r="T119" s="20">
        <f>IF(B119="","",ROUND(SUMIFS('Material Usage'!$M$5:$M$904,'Material Usage'!$A$5:$A$904,A119)+SUMIFS(Crochet!$AD$5:$AD$84,Crochet!$A$5:$A$84,A119)+SUMIFS(Jewelry!$AF$5:$AF$84,Jewelry!$A$5:$A$84,A119)+SUMIFS(Candles!$AF$5:$AF$84,Candles!$A$5:$A$84,A119)+SUMIFS(Clothing!$AB$5:$AB$84,Clothing!$A$5:$A$84,A119)+SUMIFS(Woodworking!$AC$5:$AC$84,Woodworking!$A$5:$A$84,A119)+SUMIFS(Digital!$X$5:$X$84,Digital!$A$5:$A$84,A119),2))</f>
        <v>0</v>
      </c>
      <c r="U119" s="20">
        <f>IF(B119="","",ROUND(SUMIFS(Labor!$O$5:$O$304,Labor!$A$5:$A$304,A119)+SUMIFS(Crochet!$AG$5:$AG$84,Crochet!$A$5:$A$84,A119)+SUMIFS(Jewelry!$AI$5:$AI$84,Jewelry!$A$5:$A$84,A119)+SUMIFS(Candles!$AI$5:$AI$84,Candles!$A$5:$A$84,A119)+SUMIFS(Clothing!$AE$5:$AE$84,Clothing!$A$5:$A$84,A119)+SUMIFS(Woodworking!$AF$5:$AF$84,Woodworking!$A$5:$A$84,A119)+SUMIFS(Digital!$Z$5:$Z$84,Digital!$A$5:$A$84,A119),2))</f>
        <v>0</v>
      </c>
      <c r="V119" s="36">
        <f>IF(B119="","",ROUND(SUMIFS(Labor!$P$5:$P$304,Labor!$A$5:$A$304,A119)+SUMIFS(Crochet!$AE$5:$AE$84,Crochet!$A$5:$A$84,A119)+SUMIFS(Jewelry!$AG$5:$AG$84,Jewelry!$A$5:$A$84,A119)+SUMIFS(Candles!$AG$5:$AG$84,Candles!$A$5:$A$84,A119)+SUMIFS(Clothing!$AC$5:$AC$84,Clothing!$A$5:$A$84,A119)+SUMIFS(Woodworking!$AD$5:$AD$84,Woodworking!$A$5:$A$84,A119)+SUMIFS(Digital!$Y$5:$Y$84,Digital!$A$5:$A$84,A119),1))</f>
        <v>0</v>
      </c>
      <c r="W119" s="41">
        <f>IF(B119="","",IFERROR(INDEX(DiffTimeFactors,MATCH(G119,DiffNames,0)),1))</f>
        <v>0</v>
      </c>
      <c r="X119" s="36">
        <f>IF(B119="","",ROUND(V119*W119,1))</f>
        <v>0</v>
      </c>
      <c r="Y119" s="41">
        <f>IF(B119="","",ROUND(X119/60,3))</f>
        <v>0</v>
      </c>
      <c r="Z119" s="20">
        <f>IF(B119="","",ROUND(U119*W119,2))</f>
        <v>0</v>
      </c>
      <c r="AA119" s="20">
        <f>IF(B119="","",ROUND(SUMIFS(Labor!$Q$5:$Q$304,Labor!$A$5:$A$304,A119)+SUMIFS(Crochet!$AH$5:$AH$84,Crochet!$A$5:$A$84,A119)+SUMIFS(Jewelry!$AJ$5:$AJ$84,Jewelry!$A$5:$A$84,A119)+SUMIFS(Candles!$AJ$5:$AJ$84,Candles!$A$5:$A$84,A119)+SUMIFS(Clothing!$AF$5:$AF$84,Clothing!$A$5:$A$84,A119)+SUMIFS(Woodworking!$AH$5:$AH$84,Woodworking!$A$5:$A$84,A119)+SUMIFS(Digital!$AA$5:$AA$84,Digital!$A$5:$A$84,A119),2))</f>
        <v>0</v>
      </c>
      <c r="AB119" s="20">
        <f>IF(B119="","",ROUND(IF(I119="Budget",PackBudget,IF(I119="Standard",PackStandard,IF(I119="Gift",PackGift,IF(I119="Premium",PackPremium,DefaultPackaging)))),2))</f>
        <v>0</v>
      </c>
      <c r="AC119" s="36">
        <f>IF(B119="","",IF(I119="Budget",PackWeightBudget,IF(I119="Standard",PackWeightStandard,IF(I119="Gift",PackWeightGift,IF(I119="Premium",PackWeightPremium,0)))))</f>
        <v>0</v>
      </c>
      <c r="AD119" s="20">
        <f>IF(B119="","",IFERROR(INDEX(Shipping!$M$5:$M$64,MATCH(J119,Shipping!$L$5:$L$64,0)),DefaultShipping))</f>
        <v>0</v>
      </c>
      <c r="AE119" s="20">
        <f>IF(B119="","",IFERROR(INDEX(Shipping!$F$5:$F$64,MATCH(J119,Shipping!$L$5:$L$64,0)),0))</f>
        <v>0</v>
      </c>
      <c r="AF119" s="36">
        <f>IF(B119="","",IFERROR(INDEX(Shipping!$C$5:$C$64,MATCH(J119,Shipping!$L$5:$L$64,0)),""))</f>
        <v>0</v>
      </c>
      <c r="AG119" s="20">
        <f>IF(B119="","",ROUND(MAX(0,AD119-AE119),2))</f>
        <v>0</v>
      </c>
      <c r="AH119" s="20">
        <f>IF(B119="","",ROUND(T119+Z119+AA119+AB119+AG119,2))</f>
        <v>0</v>
      </c>
      <c r="AI119" s="33">
        <f>IF(B119="","",IFERROR(INDEX(Channels!$S$5:$S$18,MATCH(IF(H119="",DefaultChannel,H119),Channels!$A$5:$A$18,0)),0))</f>
        <v>0</v>
      </c>
      <c r="AJ119" s="42">
        <f>IF(B119="","",IFERROR(INDEX(Channels!$O$5:$O$18,MATCH(IF(H119="",DefaultChannel,H119),Channels!$A$5:$A$18,0)),"No"))</f>
        <v>0</v>
      </c>
      <c r="AK119" s="20">
        <f>IF(B119="","",ROUND(IFERROR(INDEX(Channels!$T$5:$T$18,MATCH(IF(H119="",DefaultChannel,H119),Channels!$A$5:$A$18,0)),0)+IF(AJ119="Yes",AE119*AI119,0),4))</f>
        <v>0</v>
      </c>
      <c r="AL119" s="33">
        <f>IF(B119="","",IF(OverheadMethod="Share of revenue",IF(RevenueTargetMonth&lt;=0,0,OverheadMonthly/RevenueTargetMonth),0))</f>
        <v>0</v>
      </c>
      <c r="AM119" s="20">
        <f>IF(B119="","",IF(OverheadMethod="Per hour worked",ROUND(OverheadPerHour*Y119,2),IF(OR(OverheadMethod="Per unit made",OverheadMethod="Per order"),OverheadPerUnit,0)))</f>
        <v>0</v>
      </c>
      <c r="AN119" s="33">
        <f>IF(B119="","",IF(N119&lt;&gt;"",N119,TargetRetailMargin))</f>
        <v>0</v>
      </c>
      <c r="AO119" s="41">
        <f>IF(B119="","",1-AN119-AI119-AL119)</f>
        <v>0</v>
      </c>
      <c r="AP119" s="20">
        <f>IF(B119="","",IF(AO119&lt;=0,"",(AH119+AM119+AK119)/AO119))</f>
        <v>0</v>
      </c>
      <c r="AQ119" s="20">
        <f>IF(B119="","",IF(AP119="","Check the settings",ROUND(IF(RoundingRule="None",AP119,IF(RoundingRule="Nearest 0.99",MAX(0.99,CEILING(AP119,1)-0.01),IF(RoundingRule="Nearest 0.95",MAX(0.95,CEILING(AP119,1)-0.05),IF(RoundingRule="Nearest 0.50",CEILING(AP119,0.5),IF(RoundingRule="Nearest 1",CEILING(AP119,1),IF(RoundingRule="Nearest 5",CEILING(AP119,5),IF(RoundingRule="Up to whole 1",CEILING(AP119,1),IF(RoundingRule="Up to whole 5",CEILING(AP119,5),ROUND(AP119,2))))))))),2)))</f>
        <v>0</v>
      </c>
      <c r="AR119" s="20">
        <f>IF(B119="","",IF(M119&lt;&gt;"",M119,IF(ISNUMBER(AQ119),AQ119,"")))</f>
        <v>0</v>
      </c>
      <c r="AS119" s="20">
        <f>IF(B119="","",IF(AR119="","",ROUND(AM119+AR119*AL119,2)))</f>
        <v>0</v>
      </c>
      <c r="AT119" s="20">
        <f>IF(B119="","",IF(AR119="","",ROUND(AH119+AS119,2)))</f>
        <v>0</v>
      </c>
      <c r="AU119" s="20">
        <f>IF(B119="","",IF(AR119="","",ROUND(AR119*AI119+AK119,2)))</f>
        <v>0</v>
      </c>
      <c r="AV119" s="20">
        <f>IF(B119="","",IF(AR119="","",ROUND(AR119-AT119-AU119,2)))</f>
        <v>0</v>
      </c>
      <c r="AW119" s="33">
        <f>IF(B119="","",IF(OR(AR119="",AR119=0),"",AV119/AR119))</f>
        <v>0</v>
      </c>
      <c r="AX119" s="33">
        <f>IF(B119="","",IF(OR(AT119="",AT119=0),"",AV119/AT119))</f>
        <v>0</v>
      </c>
      <c r="AY119" s="20">
        <f>IF(B119="","",IF(OR(Y119="",Y119=0,AV119=""),"",ROUND(AV119/Y119,2)))</f>
        <v>0</v>
      </c>
      <c r="AZ119" s="20">
        <f>IF(B119="","",IF(OR(Y119="",Y119=0,AV119=""),"",ROUND((AV119+Z119)/Y119,2)))</f>
        <v>0</v>
      </c>
      <c r="BA119" s="20">
        <f>IF(B119="","",IF(1-AI119-AL119&lt;=0,"",ROUND((AH119+AM119+AK119)/(1-AI119-AL119),2)))</f>
        <v>0</v>
      </c>
      <c r="BB119" s="20">
        <f>IF(B119="","",IF(AT119="","",ROUND(AT119*2,2)))</f>
        <v>0</v>
      </c>
      <c r="BC119" s="20">
        <f>IF(B119="","",IF(AR119="","",ROUND(AR119*(1-WholesaleDiscount),2)))</f>
        <v>0</v>
      </c>
      <c r="BD119" s="20">
        <f>IF(B119="","",IF(BC119="","",ROUND(BC119-AH119-AM119,2)))</f>
        <v>0</v>
      </c>
      <c r="BE119" s="33">
        <f>IF(B119="","",IF(OR(BC119="",BC119=0),"",BD119/BC119))</f>
        <v>0</v>
      </c>
      <c r="BF119" s="20">
        <f>IF(B119="","",IFERROR(ROUND(AVERAGEIFS(Competitors!$F$5:$F$154,Competitors!$A$5:$A$154,A119),2),""))</f>
        <v>0</v>
      </c>
      <c r="BG119" s="33">
        <f>IF(B119="","",IF(OR(BF119="",BF119=0,AR119=""),"",AR119/BF119-1))</f>
        <v>0</v>
      </c>
      <c r="BH119" s="32">
        <f>IF(B119="","",SUMIFS(Sales!$D$5:$D$804,Sales!$C$5:$C$804,A119))</f>
        <v>0</v>
      </c>
      <c r="BI119" s="20">
        <f>IF(B119="","",ROUND(SUMIFS(Sales!$V$5:$V$804,Sales!$C$5:$C$804,A119),2))</f>
        <v>0</v>
      </c>
      <c r="BJ119" s="20">
        <f>IF(B119="","",ROUND(SUMIFS(Sales!$AG$5:$AG$804,Sales!$C$5:$C$804,A119),2))</f>
        <v>0</v>
      </c>
      <c r="BK119" s="33">
        <f>IF(B119="","",IF(OR(BI119="",BI119=0),"",BJ119/BI119))</f>
        <v>0</v>
      </c>
      <c r="BL119" s="17">
        <f>IF(B119="","",IF(SUMPRODUCT(MAX((Sales!$C$5:$C$804=A119)*Sales!$B$5:$B$804))=0,"",SUMPRODUCT(MAX((Sales!$C$5:$C$804=A119)*Sales!$B$5:$B$804))))</f>
        <v>0</v>
      </c>
      <c r="BM119" s="17">
        <f>IF(B119="","",IF(SUMPRODUCT(MAX(('Price History'!$B$5:$B$304=A119)*'Price History'!$A$5:$A$304))=0,IF(P119="","",P119),SUMPRODUCT(MAX(('Price History'!$B$5:$B$304=A119)*'Price History'!$A$5:$A$304))))</f>
        <v>0</v>
      </c>
      <c r="BN119" s="32">
        <f>IF(B119="","",IF(BM119="","",TodayDate-BM119))</f>
        <v>0</v>
      </c>
      <c r="BO119" s="32">
        <f>IF(B119="","",COUNTIFS($AV$5:$AV$304,"&gt;"&amp;AV119)+COUNTIFS($AV$5:AV119,AV119))</f>
        <v>0</v>
      </c>
      <c r="BP119" s="32">
        <f>IF(B119="","",COUNTIFS($AW$5:$AW$304,"&gt;"&amp;AW119)+COUNTIFS($AW$5:AW119,AW119))</f>
        <v>0</v>
      </c>
      <c r="BQ119" s="32">
        <f>IF(B119="","",COUNTIFS($BI$5:$BI$304,"&gt;"&amp;BI119)+COUNTIFS($BI$5:BI119,BI119))</f>
        <v>0</v>
      </c>
      <c r="BR119" s="32">
        <f>IF(B119="","",COUNTIFS($AY$5:$AY$304,"&gt;"&amp;AY119)+COUNTIFS($AY$5:AY119,AY119))</f>
        <v>0</v>
      </c>
      <c r="BS119" s="43">
        <f>IF(B119="","",IF(AH119=0,"Add - no costs entered yet",IF(AR119="","Check - no price yet",IF(AV119&lt;0,"Loss - every sale costs you money",IF(AND(AZ119&lt;&gt;"",AZ119&lt;MinimumWage),"Below - pays under minimum wage",IF(AW119&lt;MarginWarning,"Low margin - re-price it",IF(AND(AF119&lt;&gt;"",K119&lt;&gt;"",K119+AC119&gt;AF119),"Check - too heavy for that postage band",IF(AND(BN119&lt;&gt;"",BN119&gt;PriceReviewDays),"Due - price has not been reviewed",IF(AND(BG119&lt;&gt;"",BG119&gt;0.5),"Check - well above the market","OK")))))))) )</f>
        <v>0</v>
      </c>
    </row>
    <row r="120" spans="1:71">
      <c r="A120" s="38">
        <f>IF(B120="","",ProductPrefix&amp;TEXT(ROW()-4,"0000"))</f>
        <v>0</v>
      </c>
      <c r="S120" s="38">
        <f>IF(B120="","",IF(C120&lt;&gt;"",C120,UPPER(LEFT(IF(D120="","GEN",D120),3))&amp;"-"&amp;TEXT(ROW()-4,"000")))</f>
        <v>0</v>
      </c>
      <c r="T120" s="20">
        <f>IF(B120="","",ROUND(SUMIFS('Material Usage'!$M$5:$M$904,'Material Usage'!$A$5:$A$904,A120)+SUMIFS(Crochet!$AD$5:$AD$84,Crochet!$A$5:$A$84,A120)+SUMIFS(Jewelry!$AF$5:$AF$84,Jewelry!$A$5:$A$84,A120)+SUMIFS(Candles!$AF$5:$AF$84,Candles!$A$5:$A$84,A120)+SUMIFS(Clothing!$AB$5:$AB$84,Clothing!$A$5:$A$84,A120)+SUMIFS(Woodworking!$AC$5:$AC$84,Woodworking!$A$5:$A$84,A120)+SUMIFS(Digital!$X$5:$X$84,Digital!$A$5:$A$84,A120),2))</f>
        <v>0</v>
      </c>
      <c r="U120" s="20">
        <f>IF(B120="","",ROUND(SUMIFS(Labor!$O$5:$O$304,Labor!$A$5:$A$304,A120)+SUMIFS(Crochet!$AG$5:$AG$84,Crochet!$A$5:$A$84,A120)+SUMIFS(Jewelry!$AI$5:$AI$84,Jewelry!$A$5:$A$84,A120)+SUMIFS(Candles!$AI$5:$AI$84,Candles!$A$5:$A$84,A120)+SUMIFS(Clothing!$AE$5:$AE$84,Clothing!$A$5:$A$84,A120)+SUMIFS(Woodworking!$AF$5:$AF$84,Woodworking!$A$5:$A$84,A120)+SUMIFS(Digital!$Z$5:$Z$84,Digital!$A$5:$A$84,A120),2))</f>
        <v>0</v>
      </c>
      <c r="V120" s="36">
        <f>IF(B120="","",ROUND(SUMIFS(Labor!$P$5:$P$304,Labor!$A$5:$A$304,A120)+SUMIFS(Crochet!$AE$5:$AE$84,Crochet!$A$5:$A$84,A120)+SUMIFS(Jewelry!$AG$5:$AG$84,Jewelry!$A$5:$A$84,A120)+SUMIFS(Candles!$AG$5:$AG$84,Candles!$A$5:$A$84,A120)+SUMIFS(Clothing!$AC$5:$AC$84,Clothing!$A$5:$A$84,A120)+SUMIFS(Woodworking!$AD$5:$AD$84,Woodworking!$A$5:$A$84,A120)+SUMIFS(Digital!$Y$5:$Y$84,Digital!$A$5:$A$84,A120),1))</f>
        <v>0</v>
      </c>
      <c r="W120" s="41">
        <f>IF(B120="","",IFERROR(INDEX(DiffTimeFactors,MATCH(G120,DiffNames,0)),1))</f>
        <v>0</v>
      </c>
      <c r="X120" s="36">
        <f>IF(B120="","",ROUND(V120*W120,1))</f>
        <v>0</v>
      </c>
      <c r="Y120" s="41">
        <f>IF(B120="","",ROUND(X120/60,3))</f>
        <v>0</v>
      </c>
      <c r="Z120" s="20">
        <f>IF(B120="","",ROUND(U120*W120,2))</f>
        <v>0</v>
      </c>
      <c r="AA120" s="20">
        <f>IF(B120="","",ROUND(SUMIFS(Labor!$Q$5:$Q$304,Labor!$A$5:$A$304,A120)+SUMIFS(Crochet!$AH$5:$AH$84,Crochet!$A$5:$A$84,A120)+SUMIFS(Jewelry!$AJ$5:$AJ$84,Jewelry!$A$5:$A$84,A120)+SUMIFS(Candles!$AJ$5:$AJ$84,Candles!$A$5:$A$84,A120)+SUMIFS(Clothing!$AF$5:$AF$84,Clothing!$A$5:$A$84,A120)+SUMIFS(Woodworking!$AH$5:$AH$84,Woodworking!$A$5:$A$84,A120)+SUMIFS(Digital!$AA$5:$AA$84,Digital!$A$5:$A$84,A120),2))</f>
        <v>0</v>
      </c>
      <c r="AB120" s="20">
        <f>IF(B120="","",ROUND(IF(I120="Budget",PackBudget,IF(I120="Standard",PackStandard,IF(I120="Gift",PackGift,IF(I120="Premium",PackPremium,DefaultPackaging)))),2))</f>
        <v>0</v>
      </c>
      <c r="AC120" s="36">
        <f>IF(B120="","",IF(I120="Budget",PackWeightBudget,IF(I120="Standard",PackWeightStandard,IF(I120="Gift",PackWeightGift,IF(I120="Premium",PackWeightPremium,0)))))</f>
        <v>0</v>
      </c>
      <c r="AD120" s="20">
        <f>IF(B120="","",IFERROR(INDEX(Shipping!$M$5:$M$64,MATCH(J120,Shipping!$L$5:$L$64,0)),DefaultShipping))</f>
        <v>0</v>
      </c>
      <c r="AE120" s="20">
        <f>IF(B120="","",IFERROR(INDEX(Shipping!$F$5:$F$64,MATCH(J120,Shipping!$L$5:$L$64,0)),0))</f>
        <v>0</v>
      </c>
      <c r="AF120" s="36">
        <f>IF(B120="","",IFERROR(INDEX(Shipping!$C$5:$C$64,MATCH(J120,Shipping!$L$5:$L$64,0)),""))</f>
        <v>0</v>
      </c>
      <c r="AG120" s="20">
        <f>IF(B120="","",ROUND(MAX(0,AD120-AE120),2))</f>
        <v>0</v>
      </c>
      <c r="AH120" s="20">
        <f>IF(B120="","",ROUND(T120+Z120+AA120+AB120+AG120,2))</f>
        <v>0</v>
      </c>
      <c r="AI120" s="33">
        <f>IF(B120="","",IFERROR(INDEX(Channels!$S$5:$S$18,MATCH(IF(H120="",DefaultChannel,H120),Channels!$A$5:$A$18,0)),0))</f>
        <v>0</v>
      </c>
      <c r="AJ120" s="42">
        <f>IF(B120="","",IFERROR(INDEX(Channels!$O$5:$O$18,MATCH(IF(H120="",DefaultChannel,H120),Channels!$A$5:$A$18,0)),"No"))</f>
        <v>0</v>
      </c>
      <c r="AK120" s="20">
        <f>IF(B120="","",ROUND(IFERROR(INDEX(Channels!$T$5:$T$18,MATCH(IF(H120="",DefaultChannel,H120),Channels!$A$5:$A$18,0)),0)+IF(AJ120="Yes",AE120*AI120,0),4))</f>
        <v>0</v>
      </c>
      <c r="AL120" s="33">
        <f>IF(B120="","",IF(OverheadMethod="Share of revenue",IF(RevenueTargetMonth&lt;=0,0,OverheadMonthly/RevenueTargetMonth),0))</f>
        <v>0</v>
      </c>
      <c r="AM120" s="20">
        <f>IF(B120="","",IF(OverheadMethod="Per hour worked",ROUND(OverheadPerHour*Y120,2),IF(OR(OverheadMethod="Per unit made",OverheadMethod="Per order"),OverheadPerUnit,0)))</f>
        <v>0</v>
      </c>
      <c r="AN120" s="33">
        <f>IF(B120="","",IF(N120&lt;&gt;"",N120,TargetRetailMargin))</f>
        <v>0</v>
      </c>
      <c r="AO120" s="41">
        <f>IF(B120="","",1-AN120-AI120-AL120)</f>
        <v>0</v>
      </c>
      <c r="AP120" s="20">
        <f>IF(B120="","",IF(AO120&lt;=0,"",(AH120+AM120+AK120)/AO120))</f>
        <v>0</v>
      </c>
      <c r="AQ120" s="20">
        <f>IF(B120="","",IF(AP120="","Check the settings",ROUND(IF(RoundingRule="None",AP120,IF(RoundingRule="Nearest 0.99",MAX(0.99,CEILING(AP120,1)-0.01),IF(RoundingRule="Nearest 0.95",MAX(0.95,CEILING(AP120,1)-0.05),IF(RoundingRule="Nearest 0.50",CEILING(AP120,0.5),IF(RoundingRule="Nearest 1",CEILING(AP120,1),IF(RoundingRule="Nearest 5",CEILING(AP120,5),IF(RoundingRule="Up to whole 1",CEILING(AP120,1),IF(RoundingRule="Up to whole 5",CEILING(AP120,5),ROUND(AP120,2))))))))),2)))</f>
        <v>0</v>
      </c>
      <c r="AR120" s="20">
        <f>IF(B120="","",IF(M120&lt;&gt;"",M120,IF(ISNUMBER(AQ120),AQ120,"")))</f>
        <v>0</v>
      </c>
      <c r="AS120" s="20">
        <f>IF(B120="","",IF(AR120="","",ROUND(AM120+AR120*AL120,2)))</f>
        <v>0</v>
      </c>
      <c r="AT120" s="20">
        <f>IF(B120="","",IF(AR120="","",ROUND(AH120+AS120,2)))</f>
        <v>0</v>
      </c>
      <c r="AU120" s="20">
        <f>IF(B120="","",IF(AR120="","",ROUND(AR120*AI120+AK120,2)))</f>
        <v>0</v>
      </c>
      <c r="AV120" s="20">
        <f>IF(B120="","",IF(AR120="","",ROUND(AR120-AT120-AU120,2)))</f>
        <v>0</v>
      </c>
      <c r="AW120" s="33">
        <f>IF(B120="","",IF(OR(AR120="",AR120=0),"",AV120/AR120))</f>
        <v>0</v>
      </c>
      <c r="AX120" s="33">
        <f>IF(B120="","",IF(OR(AT120="",AT120=0),"",AV120/AT120))</f>
        <v>0</v>
      </c>
      <c r="AY120" s="20">
        <f>IF(B120="","",IF(OR(Y120="",Y120=0,AV120=""),"",ROUND(AV120/Y120,2)))</f>
        <v>0</v>
      </c>
      <c r="AZ120" s="20">
        <f>IF(B120="","",IF(OR(Y120="",Y120=0,AV120=""),"",ROUND((AV120+Z120)/Y120,2)))</f>
        <v>0</v>
      </c>
      <c r="BA120" s="20">
        <f>IF(B120="","",IF(1-AI120-AL120&lt;=0,"",ROUND((AH120+AM120+AK120)/(1-AI120-AL120),2)))</f>
        <v>0</v>
      </c>
      <c r="BB120" s="20">
        <f>IF(B120="","",IF(AT120="","",ROUND(AT120*2,2)))</f>
        <v>0</v>
      </c>
      <c r="BC120" s="20">
        <f>IF(B120="","",IF(AR120="","",ROUND(AR120*(1-WholesaleDiscount),2)))</f>
        <v>0</v>
      </c>
      <c r="BD120" s="20">
        <f>IF(B120="","",IF(BC120="","",ROUND(BC120-AH120-AM120,2)))</f>
        <v>0</v>
      </c>
      <c r="BE120" s="33">
        <f>IF(B120="","",IF(OR(BC120="",BC120=0),"",BD120/BC120))</f>
        <v>0</v>
      </c>
      <c r="BF120" s="20">
        <f>IF(B120="","",IFERROR(ROUND(AVERAGEIFS(Competitors!$F$5:$F$154,Competitors!$A$5:$A$154,A120),2),""))</f>
        <v>0</v>
      </c>
      <c r="BG120" s="33">
        <f>IF(B120="","",IF(OR(BF120="",BF120=0,AR120=""),"",AR120/BF120-1))</f>
        <v>0</v>
      </c>
      <c r="BH120" s="32">
        <f>IF(B120="","",SUMIFS(Sales!$D$5:$D$804,Sales!$C$5:$C$804,A120))</f>
        <v>0</v>
      </c>
      <c r="BI120" s="20">
        <f>IF(B120="","",ROUND(SUMIFS(Sales!$V$5:$V$804,Sales!$C$5:$C$804,A120),2))</f>
        <v>0</v>
      </c>
      <c r="BJ120" s="20">
        <f>IF(B120="","",ROUND(SUMIFS(Sales!$AG$5:$AG$804,Sales!$C$5:$C$804,A120),2))</f>
        <v>0</v>
      </c>
      <c r="BK120" s="33">
        <f>IF(B120="","",IF(OR(BI120="",BI120=0),"",BJ120/BI120))</f>
        <v>0</v>
      </c>
      <c r="BL120" s="17">
        <f>IF(B120="","",IF(SUMPRODUCT(MAX((Sales!$C$5:$C$804=A120)*Sales!$B$5:$B$804))=0,"",SUMPRODUCT(MAX((Sales!$C$5:$C$804=A120)*Sales!$B$5:$B$804))))</f>
        <v>0</v>
      </c>
      <c r="BM120" s="17">
        <f>IF(B120="","",IF(SUMPRODUCT(MAX(('Price History'!$B$5:$B$304=A120)*'Price History'!$A$5:$A$304))=0,IF(P120="","",P120),SUMPRODUCT(MAX(('Price History'!$B$5:$B$304=A120)*'Price History'!$A$5:$A$304))))</f>
        <v>0</v>
      </c>
      <c r="BN120" s="32">
        <f>IF(B120="","",IF(BM120="","",TodayDate-BM120))</f>
        <v>0</v>
      </c>
      <c r="BO120" s="32">
        <f>IF(B120="","",COUNTIFS($AV$5:$AV$304,"&gt;"&amp;AV120)+COUNTIFS($AV$5:AV120,AV120))</f>
        <v>0</v>
      </c>
      <c r="BP120" s="32">
        <f>IF(B120="","",COUNTIFS($AW$5:$AW$304,"&gt;"&amp;AW120)+COUNTIFS($AW$5:AW120,AW120))</f>
        <v>0</v>
      </c>
      <c r="BQ120" s="32">
        <f>IF(B120="","",COUNTIFS($BI$5:$BI$304,"&gt;"&amp;BI120)+COUNTIFS($BI$5:BI120,BI120))</f>
        <v>0</v>
      </c>
      <c r="BR120" s="32">
        <f>IF(B120="","",COUNTIFS($AY$5:$AY$304,"&gt;"&amp;AY120)+COUNTIFS($AY$5:AY120,AY120))</f>
        <v>0</v>
      </c>
      <c r="BS120" s="43">
        <f>IF(B120="","",IF(AH120=0,"Add - no costs entered yet",IF(AR120="","Check - no price yet",IF(AV120&lt;0,"Loss - every sale costs you money",IF(AND(AZ120&lt;&gt;"",AZ120&lt;MinimumWage),"Below - pays under minimum wage",IF(AW120&lt;MarginWarning,"Low margin - re-price it",IF(AND(AF120&lt;&gt;"",K120&lt;&gt;"",K120+AC120&gt;AF120),"Check - too heavy for that postage band",IF(AND(BN120&lt;&gt;"",BN120&gt;PriceReviewDays),"Due - price has not been reviewed",IF(AND(BG120&lt;&gt;"",BG120&gt;0.5),"Check - well above the market","OK")))))))) )</f>
        <v>0</v>
      </c>
    </row>
    <row r="121" spans="1:71">
      <c r="A121" s="38">
        <f>IF(B121="","",ProductPrefix&amp;TEXT(ROW()-4,"0000"))</f>
        <v>0</v>
      </c>
      <c r="S121" s="38">
        <f>IF(B121="","",IF(C121&lt;&gt;"",C121,UPPER(LEFT(IF(D121="","GEN",D121),3))&amp;"-"&amp;TEXT(ROW()-4,"000")))</f>
        <v>0</v>
      </c>
      <c r="T121" s="20">
        <f>IF(B121="","",ROUND(SUMIFS('Material Usage'!$M$5:$M$904,'Material Usage'!$A$5:$A$904,A121)+SUMIFS(Crochet!$AD$5:$AD$84,Crochet!$A$5:$A$84,A121)+SUMIFS(Jewelry!$AF$5:$AF$84,Jewelry!$A$5:$A$84,A121)+SUMIFS(Candles!$AF$5:$AF$84,Candles!$A$5:$A$84,A121)+SUMIFS(Clothing!$AB$5:$AB$84,Clothing!$A$5:$A$84,A121)+SUMIFS(Woodworking!$AC$5:$AC$84,Woodworking!$A$5:$A$84,A121)+SUMIFS(Digital!$X$5:$X$84,Digital!$A$5:$A$84,A121),2))</f>
        <v>0</v>
      </c>
      <c r="U121" s="20">
        <f>IF(B121="","",ROUND(SUMIFS(Labor!$O$5:$O$304,Labor!$A$5:$A$304,A121)+SUMIFS(Crochet!$AG$5:$AG$84,Crochet!$A$5:$A$84,A121)+SUMIFS(Jewelry!$AI$5:$AI$84,Jewelry!$A$5:$A$84,A121)+SUMIFS(Candles!$AI$5:$AI$84,Candles!$A$5:$A$84,A121)+SUMIFS(Clothing!$AE$5:$AE$84,Clothing!$A$5:$A$84,A121)+SUMIFS(Woodworking!$AF$5:$AF$84,Woodworking!$A$5:$A$84,A121)+SUMIFS(Digital!$Z$5:$Z$84,Digital!$A$5:$A$84,A121),2))</f>
        <v>0</v>
      </c>
      <c r="V121" s="36">
        <f>IF(B121="","",ROUND(SUMIFS(Labor!$P$5:$P$304,Labor!$A$5:$A$304,A121)+SUMIFS(Crochet!$AE$5:$AE$84,Crochet!$A$5:$A$84,A121)+SUMIFS(Jewelry!$AG$5:$AG$84,Jewelry!$A$5:$A$84,A121)+SUMIFS(Candles!$AG$5:$AG$84,Candles!$A$5:$A$84,A121)+SUMIFS(Clothing!$AC$5:$AC$84,Clothing!$A$5:$A$84,A121)+SUMIFS(Woodworking!$AD$5:$AD$84,Woodworking!$A$5:$A$84,A121)+SUMIFS(Digital!$Y$5:$Y$84,Digital!$A$5:$A$84,A121),1))</f>
        <v>0</v>
      </c>
      <c r="W121" s="41">
        <f>IF(B121="","",IFERROR(INDEX(DiffTimeFactors,MATCH(G121,DiffNames,0)),1))</f>
        <v>0</v>
      </c>
      <c r="X121" s="36">
        <f>IF(B121="","",ROUND(V121*W121,1))</f>
        <v>0</v>
      </c>
      <c r="Y121" s="41">
        <f>IF(B121="","",ROUND(X121/60,3))</f>
        <v>0</v>
      </c>
      <c r="Z121" s="20">
        <f>IF(B121="","",ROUND(U121*W121,2))</f>
        <v>0</v>
      </c>
      <c r="AA121" s="20">
        <f>IF(B121="","",ROUND(SUMIFS(Labor!$Q$5:$Q$304,Labor!$A$5:$A$304,A121)+SUMIFS(Crochet!$AH$5:$AH$84,Crochet!$A$5:$A$84,A121)+SUMIFS(Jewelry!$AJ$5:$AJ$84,Jewelry!$A$5:$A$84,A121)+SUMIFS(Candles!$AJ$5:$AJ$84,Candles!$A$5:$A$84,A121)+SUMIFS(Clothing!$AF$5:$AF$84,Clothing!$A$5:$A$84,A121)+SUMIFS(Woodworking!$AH$5:$AH$84,Woodworking!$A$5:$A$84,A121)+SUMIFS(Digital!$AA$5:$AA$84,Digital!$A$5:$A$84,A121),2))</f>
        <v>0</v>
      </c>
      <c r="AB121" s="20">
        <f>IF(B121="","",ROUND(IF(I121="Budget",PackBudget,IF(I121="Standard",PackStandard,IF(I121="Gift",PackGift,IF(I121="Premium",PackPremium,DefaultPackaging)))),2))</f>
        <v>0</v>
      </c>
      <c r="AC121" s="36">
        <f>IF(B121="","",IF(I121="Budget",PackWeightBudget,IF(I121="Standard",PackWeightStandard,IF(I121="Gift",PackWeightGift,IF(I121="Premium",PackWeightPremium,0)))))</f>
        <v>0</v>
      </c>
      <c r="AD121" s="20">
        <f>IF(B121="","",IFERROR(INDEX(Shipping!$M$5:$M$64,MATCH(J121,Shipping!$L$5:$L$64,0)),DefaultShipping))</f>
        <v>0</v>
      </c>
      <c r="AE121" s="20">
        <f>IF(B121="","",IFERROR(INDEX(Shipping!$F$5:$F$64,MATCH(J121,Shipping!$L$5:$L$64,0)),0))</f>
        <v>0</v>
      </c>
      <c r="AF121" s="36">
        <f>IF(B121="","",IFERROR(INDEX(Shipping!$C$5:$C$64,MATCH(J121,Shipping!$L$5:$L$64,0)),""))</f>
        <v>0</v>
      </c>
      <c r="AG121" s="20">
        <f>IF(B121="","",ROUND(MAX(0,AD121-AE121),2))</f>
        <v>0</v>
      </c>
      <c r="AH121" s="20">
        <f>IF(B121="","",ROUND(T121+Z121+AA121+AB121+AG121,2))</f>
        <v>0</v>
      </c>
      <c r="AI121" s="33">
        <f>IF(B121="","",IFERROR(INDEX(Channels!$S$5:$S$18,MATCH(IF(H121="",DefaultChannel,H121),Channels!$A$5:$A$18,0)),0))</f>
        <v>0</v>
      </c>
      <c r="AJ121" s="42">
        <f>IF(B121="","",IFERROR(INDEX(Channels!$O$5:$O$18,MATCH(IF(H121="",DefaultChannel,H121),Channels!$A$5:$A$18,0)),"No"))</f>
        <v>0</v>
      </c>
      <c r="AK121" s="20">
        <f>IF(B121="","",ROUND(IFERROR(INDEX(Channels!$T$5:$T$18,MATCH(IF(H121="",DefaultChannel,H121),Channels!$A$5:$A$18,0)),0)+IF(AJ121="Yes",AE121*AI121,0),4))</f>
        <v>0</v>
      </c>
      <c r="AL121" s="33">
        <f>IF(B121="","",IF(OverheadMethod="Share of revenue",IF(RevenueTargetMonth&lt;=0,0,OverheadMonthly/RevenueTargetMonth),0))</f>
        <v>0</v>
      </c>
      <c r="AM121" s="20">
        <f>IF(B121="","",IF(OverheadMethod="Per hour worked",ROUND(OverheadPerHour*Y121,2),IF(OR(OverheadMethod="Per unit made",OverheadMethod="Per order"),OverheadPerUnit,0)))</f>
        <v>0</v>
      </c>
      <c r="AN121" s="33">
        <f>IF(B121="","",IF(N121&lt;&gt;"",N121,TargetRetailMargin))</f>
        <v>0</v>
      </c>
      <c r="AO121" s="41">
        <f>IF(B121="","",1-AN121-AI121-AL121)</f>
        <v>0</v>
      </c>
      <c r="AP121" s="20">
        <f>IF(B121="","",IF(AO121&lt;=0,"",(AH121+AM121+AK121)/AO121))</f>
        <v>0</v>
      </c>
      <c r="AQ121" s="20">
        <f>IF(B121="","",IF(AP121="","Check the settings",ROUND(IF(RoundingRule="None",AP121,IF(RoundingRule="Nearest 0.99",MAX(0.99,CEILING(AP121,1)-0.01),IF(RoundingRule="Nearest 0.95",MAX(0.95,CEILING(AP121,1)-0.05),IF(RoundingRule="Nearest 0.50",CEILING(AP121,0.5),IF(RoundingRule="Nearest 1",CEILING(AP121,1),IF(RoundingRule="Nearest 5",CEILING(AP121,5),IF(RoundingRule="Up to whole 1",CEILING(AP121,1),IF(RoundingRule="Up to whole 5",CEILING(AP121,5),ROUND(AP121,2))))))))),2)))</f>
        <v>0</v>
      </c>
      <c r="AR121" s="20">
        <f>IF(B121="","",IF(M121&lt;&gt;"",M121,IF(ISNUMBER(AQ121),AQ121,"")))</f>
        <v>0</v>
      </c>
      <c r="AS121" s="20">
        <f>IF(B121="","",IF(AR121="","",ROUND(AM121+AR121*AL121,2)))</f>
        <v>0</v>
      </c>
      <c r="AT121" s="20">
        <f>IF(B121="","",IF(AR121="","",ROUND(AH121+AS121,2)))</f>
        <v>0</v>
      </c>
      <c r="AU121" s="20">
        <f>IF(B121="","",IF(AR121="","",ROUND(AR121*AI121+AK121,2)))</f>
        <v>0</v>
      </c>
      <c r="AV121" s="20">
        <f>IF(B121="","",IF(AR121="","",ROUND(AR121-AT121-AU121,2)))</f>
        <v>0</v>
      </c>
      <c r="AW121" s="33">
        <f>IF(B121="","",IF(OR(AR121="",AR121=0),"",AV121/AR121))</f>
        <v>0</v>
      </c>
      <c r="AX121" s="33">
        <f>IF(B121="","",IF(OR(AT121="",AT121=0),"",AV121/AT121))</f>
        <v>0</v>
      </c>
      <c r="AY121" s="20">
        <f>IF(B121="","",IF(OR(Y121="",Y121=0,AV121=""),"",ROUND(AV121/Y121,2)))</f>
        <v>0</v>
      </c>
      <c r="AZ121" s="20">
        <f>IF(B121="","",IF(OR(Y121="",Y121=0,AV121=""),"",ROUND((AV121+Z121)/Y121,2)))</f>
        <v>0</v>
      </c>
      <c r="BA121" s="20">
        <f>IF(B121="","",IF(1-AI121-AL121&lt;=0,"",ROUND((AH121+AM121+AK121)/(1-AI121-AL121),2)))</f>
        <v>0</v>
      </c>
      <c r="BB121" s="20">
        <f>IF(B121="","",IF(AT121="","",ROUND(AT121*2,2)))</f>
        <v>0</v>
      </c>
      <c r="BC121" s="20">
        <f>IF(B121="","",IF(AR121="","",ROUND(AR121*(1-WholesaleDiscount),2)))</f>
        <v>0</v>
      </c>
      <c r="BD121" s="20">
        <f>IF(B121="","",IF(BC121="","",ROUND(BC121-AH121-AM121,2)))</f>
        <v>0</v>
      </c>
      <c r="BE121" s="33">
        <f>IF(B121="","",IF(OR(BC121="",BC121=0),"",BD121/BC121))</f>
        <v>0</v>
      </c>
      <c r="BF121" s="20">
        <f>IF(B121="","",IFERROR(ROUND(AVERAGEIFS(Competitors!$F$5:$F$154,Competitors!$A$5:$A$154,A121),2),""))</f>
        <v>0</v>
      </c>
      <c r="BG121" s="33">
        <f>IF(B121="","",IF(OR(BF121="",BF121=0,AR121=""),"",AR121/BF121-1))</f>
        <v>0</v>
      </c>
      <c r="BH121" s="32">
        <f>IF(B121="","",SUMIFS(Sales!$D$5:$D$804,Sales!$C$5:$C$804,A121))</f>
        <v>0</v>
      </c>
      <c r="BI121" s="20">
        <f>IF(B121="","",ROUND(SUMIFS(Sales!$V$5:$V$804,Sales!$C$5:$C$804,A121),2))</f>
        <v>0</v>
      </c>
      <c r="BJ121" s="20">
        <f>IF(B121="","",ROUND(SUMIFS(Sales!$AG$5:$AG$804,Sales!$C$5:$C$804,A121),2))</f>
        <v>0</v>
      </c>
      <c r="BK121" s="33">
        <f>IF(B121="","",IF(OR(BI121="",BI121=0),"",BJ121/BI121))</f>
        <v>0</v>
      </c>
      <c r="BL121" s="17">
        <f>IF(B121="","",IF(SUMPRODUCT(MAX((Sales!$C$5:$C$804=A121)*Sales!$B$5:$B$804))=0,"",SUMPRODUCT(MAX((Sales!$C$5:$C$804=A121)*Sales!$B$5:$B$804))))</f>
        <v>0</v>
      </c>
      <c r="BM121" s="17">
        <f>IF(B121="","",IF(SUMPRODUCT(MAX(('Price History'!$B$5:$B$304=A121)*'Price History'!$A$5:$A$304))=0,IF(P121="","",P121),SUMPRODUCT(MAX(('Price History'!$B$5:$B$304=A121)*'Price History'!$A$5:$A$304))))</f>
        <v>0</v>
      </c>
      <c r="BN121" s="32">
        <f>IF(B121="","",IF(BM121="","",TodayDate-BM121))</f>
        <v>0</v>
      </c>
      <c r="BO121" s="32">
        <f>IF(B121="","",COUNTIFS($AV$5:$AV$304,"&gt;"&amp;AV121)+COUNTIFS($AV$5:AV121,AV121))</f>
        <v>0</v>
      </c>
      <c r="BP121" s="32">
        <f>IF(B121="","",COUNTIFS($AW$5:$AW$304,"&gt;"&amp;AW121)+COUNTIFS($AW$5:AW121,AW121))</f>
        <v>0</v>
      </c>
      <c r="BQ121" s="32">
        <f>IF(B121="","",COUNTIFS($BI$5:$BI$304,"&gt;"&amp;BI121)+COUNTIFS($BI$5:BI121,BI121))</f>
        <v>0</v>
      </c>
      <c r="BR121" s="32">
        <f>IF(B121="","",COUNTIFS($AY$5:$AY$304,"&gt;"&amp;AY121)+COUNTIFS($AY$5:AY121,AY121))</f>
        <v>0</v>
      </c>
      <c r="BS121" s="43">
        <f>IF(B121="","",IF(AH121=0,"Add - no costs entered yet",IF(AR121="","Check - no price yet",IF(AV121&lt;0,"Loss - every sale costs you money",IF(AND(AZ121&lt;&gt;"",AZ121&lt;MinimumWage),"Below - pays under minimum wage",IF(AW121&lt;MarginWarning,"Low margin - re-price it",IF(AND(AF121&lt;&gt;"",K121&lt;&gt;"",K121+AC121&gt;AF121),"Check - too heavy for that postage band",IF(AND(BN121&lt;&gt;"",BN121&gt;PriceReviewDays),"Due - price has not been reviewed",IF(AND(BG121&lt;&gt;"",BG121&gt;0.5),"Check - well above the market","OK")))))))) )</f>
        <v>0</v>
      </c>
    </row>
    <row r="122" spans="1:71">
      <c r="A122" s="38">
        <f>IF(B122="","",ProductPrefix&amp;TEXT(ROW()-4,"0000"))</f>
        <v>0</v>
      </c>
      <c r="S122" s="38">
        <f>IF(B122="","",IF(C122&lt;&gt;"",C122,UPPER(LEFT(IF(D122="","GEN",D122),3))&amp;"-"&amp;TEXT(ROW()-4,"000")))</f>
        <v>0</v>
      </c>
      <c r="T122" s="20">
        <f>IF(B122="","",ROUND(SUMIFS('Material Usage'!$M$5:$M$904,'Material Usage'!$A$5:$A$904,A122)+SUMIFS(Crochet!$AD$5:$AD$84,Crochet!$A$5:$A$84,A122)+SUMIFS(Jewelry!$AF$5:$AF$84,Jewelry!$A$5:$A$84,A122)+SUMIFS(Candles!$AF$5:$AF$84,Candles!$A$5:$A$84,A122)+SUMIFS(Clothing!$AB$5:$AB$84,Clothing!$A$5:$A$84,A122)+SUMIFS(Woodworking!$AC$5:$AC$84,Woodworking!$A$5:$A$84,A122)+SUMIFS(Digital!$X$5:$X$84,Digital!$A$5:$A$84,A122),2))</f>
        <v>0</v>
      </c>
      <c r="U122" s="20">
        <f>IF(B122="","",ROUND(SUMIFS(Labor!$O$5:$O$304,Labor!$A$5:$A$304,A122)+SUMIFS(Crochet!$AG$5:$AG$84,Crochet!$A$5:$A$84,A122)+SUMIFS(Jewelry!$AI$5:$AI$84,Jewelry!$A$5:$A$84,A122)+SUMIFS(Candles!$AI$5:$AI$84,Candles!$A$5:$A$84,A122)+SUMIFS(Clothing!$AE$5:$AE$84,Clothing!$A$5:$A$84,A122)+SUMIFS(Woodworking!$AF$5:$AF$84,Woodworking!$A$5:$A$84,A122)+SUMIFS(Digital!$Z$5:$Z$84,Digital!$A$5:$A$84,A122),2))</f>
        <v>0</v>
      </c>
      <c r="V122" s="36">
        <f>IF(B122="","",ROUND(SUMIFS(Labor!$P$5:$P$304,Labor!$A$5:$A$304,A122)+SUMIFS(Crochet!$AE$5:$AE$84,Crochet!$A$5:$A$84,A122)+SUMIFS(Jewelry!$AG$5:$AG$84,Jewelry!$A$5:$A$84,A122)+SUMIFS(Candles!$AG$5:$AG$84,Candles!$A$5:$A$84,A122)+SUMIFS(Clothing!$AC$5:$AC$84,Clothing!$A$5:$A$84,A122)+SUMIFS(Woodworking!$AD$5:$AD$84,Woodworking!$A$5:$A$84,A122)+SUMIFS(Digital!$Y$5:$Y$84,Digital!$A$5:$A$84,A122),1))</f>
        <v>0</v>
      </c>
      <c r="W122" s="41">
        <f>IF(B122="","",IFERROR(INDEX(DiffTimeFactors,MATCH(G122,DiffNames,0)),1))</f>
        <v>0</v>
      </c>
      <c r="X122" s="36">
        <f>IF(B122="","",ROUND(V122*W122,1))</f>
        <v>0</v>
      </c>
      <c r="Y122" s="41">
        <f>IF(B122="","",ROUND(X122/60,3))</f>
        <v>0</v>
      </c>
      <c r="Z122" s="20">
        <f>IF(B122="","",ROUND(U122*W122,2))</f>
        <v>0</v>
      </c>
      <c r="AA122" s="20">
        <f>IF(B122="","",ROUND(SUMIFS(Labor!$Q$5:$Q$304,Labor!$A$5:$A$304,A122)+SUMIFS(Crochet!$AH$5:$AH$84,Crochet!$A$5:$A$84,A122)+SUMIFS(Jewelry!$AJ$5:$AJ$84,Jewelry!$A$5:$A$84,A122)+SUMIFS(Candles!$AJ$5:$AJ$84,Candles!$A$5:$A$84,A122)+SUMIFS(Clothing!$AF$5:$AF$84,Clothing!$A$5:$A$84,A122)+SUMIFS(Woodworking!$AH$5:$AH$84,Woodworking!$A$5:$A$84,A122)+SUMIFS(Digital!$AA$5:$AA$84,Digital!$A$5:$A$84,A122),2))</f>
        <v>0</v>
      </c>
      <c r="AB122" s="20">
        <f>IF(B122="","",ROUND(IF(I122="Budget",PackBudget,IF(I122="Standard",PackStandard,IF(I122="Gift",PackGift,IF(I122="Premium",PackPremium,DefaultPackaging)))),2))</f>
        <v>0</v>
      </c>
      <c r="AC122" s="36">
        <f>IF(B122="","",IF(I122="Budget",PackWeightBudget,IF(I122="Standard",PackWeightStandard,IF(I122="Gift",PackWeightGift,IF(I122="Premium",PackWeightPremium,0)))))</f>
        <v>0</v>
      </c>
      <c r="AD122" s="20">
        <f>IF(B122="","",IFERROR(INDEX(Shipping!$M$5:$M$64,MATCH(J122,Shipping!$L$5:$L$64,0)),DefaultShipping))</f>
        <v>0</v>
      </c>
      <c r="AE122" s="20">
        <f>IF(B122="","",IFERROR(INDEX(Shipping!$F$5:$F$64,MATCH(J122,Shipping!$L$5:$L$64,0)),0))</f>
        <v>0</v>
      </c>
      <c r="AF122" s="36">
        <f>IF(B122="","",IFERROR(INDEX(Shipping!$C$5:$C$64,MATCH(J122,Shipping!$L$5:$L$64,0)),""))</f>
        <v>0</v>
      </c>
      <c r="AG122" s="20">
        <f>IF(B122="","",ROUND(MAX(0,AD122-AE122),2))</f>
        <v>0</v>
      </c>
      <c r="AH122" s="20">
        <f>IF(B122="","",ROUND(T122+Z122+AA122+AB122+AG122,2))</f>
        <v>0</v>
      </c>
      <c r="AI122" s="33">
        <f>IF(B122="","",IFERROR(INDEX(Channels!$S$5:$S$18,MATCH(IF(H122="",DefaultChannel,H122),Channels!$A$5:$A$18,0)),0))</f>
        <v>0</v>
      </c>
      <c r="AJ122" s="42">
        <f>IF(B122="","",IFERROR(INDEX(Channels!$O$5:$O$18,MATCH(IF(H122="",DefaultChannel,H122),Channels!$A$5:$A$18,0)),"No"))</f>
        <v>0</v>
      </c>
      <c r="AK122" s="20">
        <f>IF(B122="","",ROUND(IFERROR(INDEX(Channels!$T$5:$T$18,MATCH(IF(H122="",DefaultChannel,H122),Channels!$A$5:$A$18,0)),0)+IF(AJ122="Yes",AE122*AI122,0),4))</f>
        <v>0</v>
      </c>
      <c r="AL122" s="33">
        <f>IF(B122="","",IF(OverheadMethod="Share of revenue",IF(RevenueTargetMonth&lt;=0,0,OverheadMonthly/RevenueTargetMonth),0))</f>
        <v>0</v>
      </c>
      <c r="AM122" s="20">
        <f>IF(B122="","",IF(OverheadMethod="Per hour worked",ROUND(OverheadPerHour*Y122,2),IF(OR(OverheadMethod="Per unit made",OverheadMethod="Per order"),OverheadPerUnit,0)))</f>
        <v>0</v>
      </c>
      <c r="AN122" s="33">
        <f>IF(B122="","",IF(N122&lt;&gt;"",N122,TargetRetailMargin))</f>
        <v>0</v>
      </c>
      <c r="AO122" s="41">
        <f>IF(B122="","",1-AN122-AI122-AL122)</f>
        <v>0</v>
      </c>
      <c r="AP122" s="20">
        <f>IF(B122="","",IF(AO122&lt;=0,"",(AH122+AM122+AK122)/AO122))</f>
        <v>0</v>
      </c>
      <c r="AQ122" s="20">
        <f>IF(B122="","",IF(AP122="","Check the settings",ROUND(IF(RoundingRule="None",AP122,IF(RoundingRule="Nearest 0.99",MAX(0.99,CEILING(AP122,1)-0.01),IF(RoundingRule="Nearest 0.95",MAX(0.95,CEILING(AP122,1)-0.05),IF(RoundingRule="Nearest 0.50",CEILING(AP122,0.5),IF(RoundingRule="Nearest 1",CEILING(AP122,1),IF(RoundingRule="Nearest 5",CEILING(AP122,5),IF(RoundingRule="Up to whole 1",CEILING(AP122,1),IF(RoundingRule="Up to whole 5",CEILING(AP122,5),ROUND(AP122,2))))))))),2)))</f>
        <v>0</v>
      </c>
      <c r="AR122" s="20">
        <f>IF(B122="","",IF(M122&lt;&gt;"",M122,IF(ISNUMBER(AQ122),AQ122,"")))</f>
        <v>0</v>
      </c>
      <c r="AS122" s="20">
        <f>IF(B122="","",IF(AR122="","",ROUND(AM122+AR122*AL122,2)))</f>
        <v>0</v>
      </c>
      <c r="AT122" s="20">
        <f>IF(B122="","",IF(AR122="","",ROUND(AH122+AS122,2)))</f>
        <v>0</v>
      </c>
      <c r="AU122" s="20">
        <f>IF(B122="","",IF(AR122="","",ROUND(AR122*AI122+AK122,2)))</f>
        <v>0</v>
      </c>
      <c r="AV122" s="20">
        <f>IF(B122="","",IF(AR122="","",ROUND(AR122-AT122-AU122,2)))</f>
        <v>0</v>
      </c>
      <c r="AW122" s="33">
        <f>IF(B122="","",IF(OR(AR122="",AR122=0),"",AV122/AR122))</f>
        <v>0</v>
      </c>
      <c r="AX122" s="33">
        <f>IF(B122="","",IF(OR(AT122="",AT122=0),"",AV122/AT122))</f>
        <v>0</v>
      </c>
      <c r="AY122" s="20">
        <f>IF(B122="","",IF(OR(Y122="",Y122=0,AV122=""),"",ROUND(AV122/Y122,2)))</f>
        <v>0</v>
      </c>
      <c r="AZ122" s="20">
        <f>IF(B122="","",IF(OR(Y122="",Y122=0,AV122=""),"",ROUND((AV122+Z122)/Y122,2)))</f>
        <v>0</v>
      </c>
      <c r="BA122" s="20">
        <f>IF(B122="","",IF(1-AI122-AL122&lt;=0,"",ROUND((AH122+AM122+AK122)/(1-AI122-AL122),2)))</f>
        <v>0</v>
      </c>
      <c r="BB122" s="20">
        <f>IF(B122="","",IF(AT122="","",ROUND(AT122*2,2)))</f>
        <v>0</v>
      </c>
      <c r="BC122" s="20">
        <f>IF(B122="","",IF(AR122="","",ROUND(AR122*(1-WholesaleDiscount),2)))</f>
        <v>0</v>
      </c>
      <c r="BD122" s="20">
        <f>IF(B122="","",IF(BC122="","",ROUND(BC122-AH122-AM122,2)))</f>
        <v>0</v>
      </c>
      <c r="BE122" s="33">
        <f>IF(B122="","",IF(OR(BC122="",BC122=0),"",BD122/BC122))</f>
        <v>0</v>
      </c>
      <c r="BF122" s="20">
        <f>IF(B122="","",IFERROR(ROUND(AVERAGEIFS(Competitors!$F$5:$F$154,Competitors!$A$5:$A$154,A122),2),""))</f>
        <v>0</v>
      </c>
      <c r="BG122" s="33">
        <f>IF(B122="","",IF(OR(BF122="",BF122=0,AR122=""),"",AR122/BF122-1))</f>
        <v>0</v>
      </c>
      <c r="BH122" s="32">
        <f>IF(B122="","",SUMIFS(Sales!$D$5:$D$804,Sales!$C$5:$C$804,A122))</f>
        <v>0</v>
      </c>
      <c r="BI122" s="20">
        <f>IF(B122="","",ROUND(SUMIFS(Sales!$V$5:$V$804,Sales!$C$5:$C$804,A122),2))</f>
        <v>0</v>
      </c>
      <c r="BJ122" s="20">
        <f>IF(B122="","",ROUND(SUMIFS(Sales!$AG$5:$AG$804,Sales!$C$5:$C$804,A122),2))</f>
        <v>0</v>
      </c>
      <c r="BK122" s="33">
        <f>IF(B122="","",IF(OR(BI122="",BI122=0),"",BJ122/BI122))</f>
        <v>0</v>
      </c>
      <c r="BL122" s="17">
        <f>IF(B122="","",IF(SUMPRODUCT(MAX((Sales!$C$5:$C$804=A122)*Sales!$B$5:$B$804))=0,"",SUMPRODUCT(MAX((Sales!$C$5:$C$804=A122)*Sales!$B$5:$B$804))))</f>
        <v>0</v>
      </c>
      <c r="BM122" s="17">
        <f>IF(B122="","",IF(SUMPRODUCT(MAX(('Price History'!$B$5:$B$304=A122)*'Price History'!$A$5:$A$304))=0,IF(P122="","",P122),SUMPRODUCT(MAX(('Price History'!$B$5:$B$304=A122)*'Price History'!$A$5:$A$304))))</f>
        <v>0</v>
      </c>
      <c r="BN122" s="32">
        <f>IF(B122="","",IF(BM122="","",TodayDate-BM122))</f>
        <v>0</v>
      </c>
      <c r="BO122" s="32">
        <f>IF(B122="","",COUNTIFS($AV$5:$AV$304,"&gt;"&amp;AV122)+COUNTIFS($AV$5:AV122,AV122))</f>
        <v>0</v>
      </c>
      <c r="BP122" s="32">
        <f>IF(B122="","",COUNTIFS($AW$5:$AW$304,"&gt;"&amp;AW122)+COUNTIFS($AW$5:AW122,AW122))</f>
        <v>0</v>
      </c>
      <c r="BQ122" s="32">
        <f>IF(B122="","",COUNTIFS($BI$5:$BI$304,"&gt;"&amp;BI122)+COUNTIFS($BI$5:BI122,BI122))</f>
        <v>0</v>
      </c>
      <c r="BR122" s="32">
        <f>IF(B122="","",COUNTIFS($AY$5:$AY$304,"&gt;"&amp;AY122)+COUNTIFS($AY$5:AY122,AY122))</f>
        <v>0</v>
      </c>
      <c r="BS122" s="43">
        <f>IF(B122="","",IF(AH122=0,"Add - no costs entered yet",IF(AR122="","Check - no price yet",IF(AV122&lt;0,"Loss - every sale costs you money",IF(AND(AZ122&lt;&gt;"",AZ122&lt;MinimumWage),"Below - pays under minimum wage",IF(AW122&lt;MarginWarning,"Low margin - re-price it",IF(AND(AF122&lt;&gt;"",K122&lt;&gt;"",K122+AC122&gt;AF122),"Check - too heavy for that postage band",IF(AND(BN122&lt;&gt;"",BN122&gt;PriceReviewDays),"Due - price has not been reviewed",IF(AND(BG122&lt;&gt;"",BG122&gt;0.5),"Check - well above the market","OK")))))))) )</f>
        <v>0</v>
      </c>
    </row>
    <row r="123" spans="1:71">
      <c r="A123" s="38">
        <f>IF(B123="","",ProductPrefix&amp;TEXT(ROW()-4,"0000"))</f>
        <v>0</v>
      </c>
      <c r="S123" s="38">
        <f>IF(B123="","",IF(C123&lt;&gt;"",C123,UPPER(LEFT(IF(D123="","GEN",D123),3))&amp;"-"&amp;TEXT(ROW()-4,"000")))</f>
        <v>0</v>
      </c>
      <c r="T123" s="20">
        <f>IF(B123="","",ROUND(SUMIFS('Material Usage'!$M$5:$M$904,'Material Usage'!$A$5:$A$904,A123)+SUMIFS(Crochet!$AD$5:$AD$84,Crochet!$A$5:$A$84,A123)+SUMIFS(Jewelry!$AF$5:$AF$84,Jewelry!$A$5:$A$84,A123)+SUMIFS(Candles!$AF$5:$AF$84,Candles!$A$5:$A$84,A123)+SUMIFS(Clothing!$AB$5:$AB$84,Clothing!$A$5:$A$84,A123)+SUMIFS(Woodworking!$AC$5:$AC$84,Woodworking!$A$5:$A$84,A123)+SUMIFS(Digital!$X$5:$X$84,Digital!$A$5:$A$84,A123),2))</f>
        <v>0</v>
      </c>
      <c r="U123" s="20">
        <f>IF(B123="","",ROUND(SUMIFS(Labor!$O$5:$O$304,Labor!$A$5:$A$304,A123)+SUMIFS(Crochet!$AG$5:$AG$84,Crochet!$A$5:$A$84,A123)+SUMIFS(Jewelry!$AI$5:$AI$84,Jewelry!$A$5:$A$84,A123)+SUMIFS(Candles!$AI$5:$AI$84,Candles!$A$5:$A$84,A123)+SUMIFS(Clothing!$AE$5:$AE$84,Clothing!$A$5:$A$84,A123)+SUMIFS(Woodworking!$AF$5:$AF$84,Woodworking!$A$5:$A$84,A123)+SUMIFS(Digital!$Z$5:$Z$84,Digital!$A$5:$A$84,A123),2))</f>
        <v>0</v>
      </c>
      <c r="V123" s="36">
        <f>IF(B123="","",ROUND(SUMIFS(Labor!$P$5:$P$304,Labor!$A$5:$A$304,A123)+SUMIFS(Crochet!$AE$5:$AE$84,Crochet!$A$5:$A$84,A123)+SUMIFS(Jewelry!$AG$5:$AG$84,Jewelry!$A$5:$A$84,A123)+SUMIFS(Candles!$AG$5:$AG$84,Candles!$A$5:$A$84,A123)+SUMIFS(Clothing!$AC$5:$AC$84,Clothing!$A$5:$A$84,A123)+SUMIFS(Woodworking!$AD$5:$AD$84,Woodworking!$A$5:$A$84,A123)+SUMIFS(Digital!$Y$5:$Y$84,Digital!$A$5:$A$84,A123),1))</f>
        <v>0</v>
      </c>
      <c r="W123" s="41">
        <f>IF(B123="","",IFERROR(INDEX(DiffTimeFactors,MATCH(G123,DiffNames,0)),1))</f>
        <v>0</v>
      </c>
      <c r="X123" s="36">
        <f>IF(B123="","",ROUND(V123*W123,1))</f>
        <v>0</v>
      </c>
      <c r="Y123" s="41">
        <f>IF(B123="","",ROUND(X123/60,3))</f>
        <v>0</v>
      </c>
      <c r="Z123" s="20">
        <f>IF(B123="","",ROUND(U123*W123,2))</f>
        <v>0</v>
      </c>
      <c r="AA123" s="20">
        <f>IF(B123="","",ROUND(SUMIFS(Labor!$Q$5:$Q$304,Labor!$A$5:$A$304,A123)+SUMIFS(Crochet!$AH$5:$AH$84,Crochet!$A$5:$A$84,A123)+SUMIFS(Jewelry!$AJ$5:$AJ$84,Jewelry!$A$5:$A$84,A123)+SUMIFS(Candles!$AJ$5:$AJ$84,Candles!$A$5:$A$84,A123)+SUMIFS(Clothing!$AF$5:$AF$84,Clothing!$A$5:$A$84,A123)+SUMIFS(Woodworking!$AH$5:$AH$84,Woodworking!$A$5:$A$84,A123)+SUMIFS(Digital!$AA$5:$AA$84,Digital!$A$5:$A$84,A123),2))</f>
        <v>0</v>
      </c>
      <c r="AB123" s="20">
        <f>IF(B123="","",ROUND(IF(I123="Budget",PackBudget,IF(I123="Standard",PackStandard,IF(I123="Gift",PackGift,IF(I123="Premium",PackPremium,DefaultPackaging)))),2))</f>
        <v>0</v>
      </c>
      <c r="AC123" s="36">
        <f>IF(B123="","",IF(I123="Budget",PackWeightBudget,IF(I123="Standard",PackWeightStandard,IF(I123="Gift",PackWeightGift,IF(I123="Premium",PackWeightPremium,0)))))</f>
        <v>0</v>
      </c>
      <c r="AD123" s="20">
        <f>IF(B123="","",IFERROR(INDEX(Shipping!$M$5:$M$64,MATCH(J123,Shipping!$L$5:$L$64,0)),DefaultShipping))</f>
        <v>0</v>
      </c>
      <c r="AE123" s="20">
        <f>IF(B123="","",IFERROR(INDEX(Shipping!$F$5:$F$64,MATCH(J123,Shipping!$L$5:$L$64,0)),0))</f>
        <v>0</v>
      </c>
      <c r="AF123" s="36">
        <f>IF(B123="","",IFERROR(INDEX(Shipping!$C$5:$C$64,MATCH(J123,Shipping!$L$5:$L$64,0)),""))</f>
        <v>0</v>
      </c>
      <c r="AG123" s="20">
        <f>IF(B123="","",ROUND(MAX(0,AD123-AE123),2))</f>
        <v>0</v>
      </c>
      <c r="AH123" s="20">
        <f>IF(B123="","",ROUND(T123+Z123+AA123+AB123+AG123,2))</f>
        <v>0</v>
      </c>
      <c r="AI123" s="33">
        <f>IF(B123="","",IFERROR(INDEX(Channels!$S$5:$S$18,MATCH(IF(H123="",DefaultChannel,H123),Channels!$A$5:$A$18,0)),0))</f>
        <v>0</v>
      </c>
      <c r="AJ123" s="42">
        <f>IF(B123="","",IFERROR(INDEX(Channels!$O$5:$O$18,MATCH(IF(H123="",DefaultChannel,H123),Channels!$A$5:$A$18,0)),"No"))</f>
        <v>0</v>
      </c>
      <c r="AK123" s="20">
        <f>IF(B123="","",ROUND(IFERROR(INDEX(Channels!$T$5:$T$18,MATCH(IF(H123="",DefaultChannel,H123),Channels!$A$5:$A$18,0)),0)+IF(AJ123="Yes",AE123*AI123,0),4))</f>
        <v>0</v>
      </c>
      <c r="AL123" s="33">
        <f>IF(B123="","",IF(OverheadMethod="Share of revenue",IF(RevenueTargetMonth&lt;=0,0,OverheadMonthly/RevenueTargetMonth),0))</f>
        <v>0</v>
      </c>
      <c r="AM123" s="20">
        <f>IF(B123="","",IF(OverheadMethod="Per hour worked",ROUND(OverheadPerHour*Y123,2),IF(OR(OverheadMethod="Per unit made",OverheadMethod="Per order"),OverheadPerUnit,0)))</f>
        <v>0</v>
      </c>
      <c r="AN123" s="33">
        <f>IF(B123="","",IF(N123&lt;&gt;"",N123,TargetRetailMargin))</f>
        <v>0</v>
      </c>
      <c r="AO123" s="41">
        <f>IF(B123="","",1-AN123-AI123-AL123)</f>
        <v>0</v>
      </c>
      <c r="AP123" s="20">
        <f>IF(B123="","",IF(AO123&lt;=0,"",(AH123+AM123+AK123)/AO123))</f>
        <v>0</v>
      </c>
      <c r="AQ123" s="20">
        <f>IF(B123="","",IF(AP123="","Check the settings",ROUND(IF(RoundingRule="None",AP123,IF(RoundingRule="Nearest 0.99",MAX(0.99,CEILING(AP123,1)-0.01),IF(RoundingRule="Nearest 0.95",MAX(0.95,CEILING(AP123,1)-0.05),IF(RoundingRule="Nearest 0.50",CEILING(AP123,0.5),IF(RoundingRule="Nearest 1",CEILING(AP123,1),IF(RoundingRule="Nearest 5",CEILING(AP123,5),IF(RoundingRule="Up to whole 1",CEILING(AP123,1),IF(RoundingRule="Up to whole 5",CEILING(AP123,5),ROUND(AP123,2))))))))),2)))</f>
        <v>0</v>
      </c>
      <c r="AR123" s="20">
        <f>IF(B123="","",IF(M123&lt;&gt;"",M123,IF(ISNUMBER(AQ123),AQ123,"")))</f>
        <v>0</v>
      </c>
      <c r="AS123" s="20">
        <f>IF(B123="","",IF(AR123="","",ROUND(AM123+AR123*AL123,2)))</f>
        <v>0</v>
      </c>
      <c r="AT123" s="20">
        <f>IF(B123="","",IF(AR123="","",ROUND(AH123+AS123,2)))</f>
        <v>0</v>
      </c>
      <c r="AU123" s="20">
        <f>IF(B123="","",IF(AR123="","",ROUND(AR123*AI123+AK123,2)))</f>
        <v>0</v>
      </c>
      <c r="AV123" s="20">
        <f>IF(B123="","",IF(AR123="","",ROUND(AR123-AT123-AU123,2)))</f>
        <v>0</v>
      </c>
      <c r="AW123" s="33">
        <f>IF(B123="","",IF(OR(AR123="",AR123=0),"",AV123/AR123))</f>
        <v>0</v>
      </c>
      <c r="AX123" s="33">
        <f>IF(B123="","",IF(OR(AT123="",AT123=0),"",AV123/AT123))</f>
        <v>0</v>
      </c>
      <c r="AY123" s="20">
        <f>IF(B123="","",IF(OR(Y123="",Y123=0,AV123=""),"",ROUND(AV123/Y123,2)))</f>
        <v>0</v>
      </c>
      <c r="AZ123" s="20">
        <f>IF(B123="","",IF(OR(Y123="",Y123=0,AV123=""),"",ROUND((AV123+Z123)/Y123,2)))</f>
        <v>0</v>
      </c>
      <c r="BA123" s="20">
        <f>IF(B123="","",IF(1-AI123-AL123&lt;=0,"",ROUND((AH123+AM123+AK123)/(1-AI123-AL123),2)))</f>
        <v>0</v>
      </c>
      <c r="BB123" s="20">
        <f>IF(B123="","",IF(AT123="","",ROUND(AT123*2,2)))</f>
        <v>0</v>
      </c>
      <c r="BC123" s="20">
        <f>IF(B123="","",IF(AR123="","",ROUND(AR123*(1-WholesaleDiscount),2)))</f>
        <v>0</v>
      </c>
      <c r="BD123" s="20">
        <f>IF(B123="","",IF(BC123="","",ROUND(BC123-AH123-AM123,2)))</f>
        <v>0</v>
      </c>
      <c r="BE123" s="33">
        <f>IF(B123="","",IF(OR(BC123="",BC123=0),"",BD123/BC123))</f>
        <v>0</v>
      </c>
      <c r="BF123" s="20">
        <f>IF(B123="","",IFERROR(ROUND(AVERAGEIFS(Competitors!$F$5:$F$154,Competitors!$A$5:$A$154,A123),2),""))</f>
        <v>0</v>
      </c>
      <c r="BG123" s="33">
        <f>IF(B123="","",IF(OR(BF123="",BF123=0,AR123=""),"",AR123/BF123-1))</f>
        <v>0</v>
      </c>
      <c r="BH123" s="32">
        <f>IF(B123="","",SUMIFS(Sales!$D$5:$D$804,Sales!$C$5:$C$804,A123))</f>
        <v>0</v>
      </c>
      <c r="BI123" s="20">
        <f>IF(B123="","",ROUND(SUMIFS(Sales!$V$5:$V$804,Sales!$C$5:$C$804,A123),2))</f>
        <v>0</v>
      </c>
      <c r="BJ123" s="20">
        <f>IF(B123="","",ROUND(SUMIFS(Sales!$AG$5:$AG$804,Sales!$C$5:$C$804,A123),2))</f>
        <v>0</v>
      </c>
      <c r="BK123" s="33">
        <f>IF(B123="","",IF(OR(BI123="",BI123=0),"",BJ123/BI123))</f>
        <v>0</v>
      </c>
      <c r="BL123" s="17">
        <f>IF(B123="","",IF(SUMPRODUCT(MAX((Sales!$C$5:$C$804=A123)*Sales!$B$5:$B$804))=0,"",SUMPRODUCT(MAX((Sales!$C$5:$C$804=A123)*Sales!$B$5:$B$804))))</f>
        <v>0</v>
      </c>
      <c r="BM123" s="17">
        <f>IF(B123="","",IF(SUMPRODUCT(MAX(('Price History'!$B$5:$B$304=A123)*'Price History'!$A$5:$A$304))=0,IF(P123="","",P123),SUMPRODUCT(MAX(('Price History'!$B$5:$B$304=A123)*'Price History'!$A$5:$A$304))))</f>
        <v>0</v>
      </c>
      <c r="BN123" s="32">
        <f>IF(B123="","",IF(BM123="","",TodayDate-BM123))</f>
        <v>0</v>
      </c>
      <c r="BO123" s="32">
        <f>IF(B123="","",COUNTIFS($AV$5:$AV$304,"&gt;"&amp;AV123)+COUNTIFS($AV$5:AV123,AV123))</f>
        <v>0</v>
      </c>
      <c r="BP123" s="32">
        <f>IF(B123="","",COUNTIFS($AW$5:$AW$304,"&gt;"&amp;AW123)+COUNTIFS($AW$5:AW123,AW123))</f>
        <v>0</v>
      </c>
      <c r="BQ123" s="32">
        <f>IF(B123="","",COUNTIFS($BI$5:$BI$304,"&gt;"&amp;BI123)+COUNTIFS($BI$5:BI123,BI123))</f>
        <v>0</v>
      </c>
      <c r="BR123" s="32">
        <f>IF(B123="","",COUNTIFS($AY$5:$AY$304,"&gt;"&amp;AY123)+COUNTIFS($AY$5:AY123,AY123))</f>
        <v>0</v>
      </c>
      <c r="BS123" s="43">
        <f>IF(B123="","",IF(AH123=0,"Add - no costs entered yet",IF(AR123="","Check - no price yet",IF(AV123&lt;0,"Loss - every sale costs you money",IF(AND(AZ123&lt;&gt;"",AZ123&lt;MinimumWage),"Below - pays under minimum wage",IF(AW123&lt;MarginWarning,"Low margin - re-price it",IF(AND(AF123&lt;&gt;"",K123&lt;&gt;"",K123+AC123&gt;AF123),"Check - too heavy for that postage band",IF(AND(BN123&lt;&gt;"",BN123&gt;PriceReviewDays),"Due - price has not been reviewed",IF(AND(BG123&lt;&gt;"",BG123&gt;0.5),"Check - well above the market","OK")))))))) )</f>
        <v>0</v>
      </c>
    </row>
    <row r="124" spans="1:71">
      <c r="A124" s="38">
        <f>IF(B124="","",ProductPrefix&amp;TEXT(ROW()-4,"0000"))</f>
        <v>0</v>
      </c>
      <c r="S124" s="38">
        <f>IF(B124="","",IF(C124&lt;&gt;"",C124,UPPER(LEFT(IF(D124="","GEN",D124),3))&amp;"-"&amp;TEXT(ROW()-4,"000")))</f>
        <v>0</v>
      </c>
      <c r="T124" s="20">
        <f>IF(B124="","",ROUND(SUMIFS('Material Usage'!$M$5:$M$904,'Material Usage'!$A$5:$A$904,A124)+SUMIFS(Crochet!$AD$5:$AD$84,Crochet!$A$5:$A$84,A124)+SUMIFS(Jewelry!$AF$5:$AF$84,Jewelry!$A$5:$A$84,A124)+SUMIFS(Candles!$AF$5:$AF$84,Candles!$A$5:$A$84,A124)+SUMIFS(Clothing!$AB$5:$AB$84,Clothing!$A$5:$A$84,A124)+SUMIFS(Woodworking!$AC$5:$AC$84,Woodworking!$A$5:$A$84,A124)+SUMIFS(Digital!$X$5:$X$84,Digital!$A$5:$A$84,A124),2))</f>
        <v>0</v>
      </c>
      <c r="U124" s="20">
        <f>IF(B124="","",ROUND(SUMIFS(Labor!$O$5:$O$304,Labor!$A$5:$A$304,A124)+SUMIFS(Crochet!$AG$5:$AG$84,Crochet!$A$5:$A$84,A124)+SUMIFS(Jewelry!$AI$5:$AI$84,Jewelry!$A$5:$A$84,A124)+SUMIFS(Candles!$AI$5:$AI$84,Candles!$A$5:$A$84,A124)+SUMIFS(Clothing!$AE$5:$AE$84,Clothing!$A$5:$A$84,A124)+SUMIFS(Woodworking!$AF$5:$AF$84,Woodworking!$A$5:$A$84,A124)+SUMIFS(Digital!$Z$5:$Z$84,Digital!$A$5:$A$84,A124),2))</f>
        <v>0</v>
      </c>
      <c r="V124" s="36">
        <f>IF(B124="","",ROUND(SUMIFS(Labor!$P$5:$P$304,Labor!$A$5:$A$304,A124)+SUMIFS(Crochet!$AE$5:$AE$84,Crochet!$A$5:$A$84,A124)+SUMIFS(Jewelry!$AG$5:$AG$84,Jewelry!$A$5:$A$84,A124)+SUMIFS(Candles!$AG$5:$AG$84,Candles!$A$5:$A$84,A124)+SUMIFS(Clothing!$AC$5:$AC$84,Clothing!$A$5:$A$84,A124)+SUMIFS(Woodworking!$AD$5:$AD$84,Woodworking!$A$5:$A$84,A124)+SUMIFS(Digital!$Y$5:$Y$84,Digital!$A$5:$A$84,A124),1))</f>
        <v>0</v>
      </c>
      <c r="W124" s="41">
        <f>IF(B124="","",IFERROR(INDEX(DiffTimeFactors,MATCH(G124,DiffNames,0)),1))</f>
        <v>0</v>
      </c>
      <c r="X124" s="36">
        <f>IF(B124="","",ROUND(V124*W124,1))</f>
        <v>0</v>
      </c>
      <c r="Y124" s="41">
        <f>IF(B124="","",ROUND(X124/60,3))</f>
        <v>0</v>
      </c>
      <c r="Z124" s="20">
        <f>IF(B124="","",ROUND(U124*W124,2))</f>
        <v>0</v>
      </c>
      <c r="AA124" s="20">
        <f>IF(B124="","",ROUND(SUMIFS(Labor!$Q$5:$Q$304,Labor!$A$5:$A$304,A124)+SUMIFS(Crochet!$AH$5:$AH$84,Crochet!$A$5:$A$84,A124)+SUMIFS(Jewelry!$AJ$5:$AJ$84,Jewelry!$A$5:$A$84,A124)+SUMIFS(Candles!$AJ$5:$AJ$84,Candles!$A$5:$A$84,A124)+SUMIFS(Clothing!$AF$5:$AF$84,Clothing!$A$5:$A$84,A124)+SUMIFS(Woodworking!$AH$5:$AH$84,Woodworking!$A$5:$A$84,A124)+SUMIFS(Digital!$AA$5:$AA$84,Digital!$A$5:$A$84,A124),2))</f>
        <v>0</v>
      </c>
      <c r="AB124" s="20">
        <f>IF(B124="","",ROUND(IF(I124="Budget",PackBudget,IF(I124="Standard",PackStandard,IF(I124="Gift",PackGift,IF(I124="Premium",PackPremium,DefaultPackaging)))),2))</f>
        <v>0</v>
      </c>
      <c r="AC124" s="36">
        <f>IF(B124="","",IF(I124="Budget",PackWeightBudget,IF(I124="Standard",PackWeightStandard,IF(I124="Gift",PackWeightGift,IF(I124="Premium",PackWeightPremium,0)))))</f>
        <v>0</v>
      </c>
      <c r="AD124" s="20">
        <f>IF(B124="","",IFERROR(INDEX(Shipping!$M$5:$M$64,MATCH(J124,Shipping!$L$5:$L$64,0)),DefaultShipping))</f>
        <v>0</v>
      </c>
      <c r="AE124" s="20">
        <f>IF(B124="","",IFERROR(INDEX(Shipping!$F$5:$F$64,MATCH(J124,Shipping!$L$5:$L$64,0)),0))</f>
        <v>0</v>
      </c>
      <c r="AF124" s="36">
        <f>IF(B124="","",IFERROR(INDEX(Shipping!$C$5:$C$64,MATCH(J124,Shipping!$L$5:$L$64,0)),""))</f>
        <v>0</v>
      </c>
      <c r="AG124" s="20">
        <f>IF(B124="","",ROUND(MAX(0,AD124-AE124),2))</f>
        <v>0</v>
      </c>
      <c r="AH124" s="20">
        <f>IF(B124="","",ROUND(T124+Z124+AA124+AB124+AG124,2))</f>
        <v>0</v>
      </c>
      <c r="AI124" s="33">
        <f>IF(B124="","",IFERROR(INDEX(Channels!$S$5:$S$18,MATCH(IF(H124="",DefaultChannel,H124),Channels!$A$5:$A$18,0)),0))</f>
        <v>0</v>
      </c>
      <c r="AJ124" s="42">
        <f>IF(B124="","",IFERROR(INDEX(Channels!$O$5:$O$18,MATCH(IF(H124="",DefaultChannel,H124),Channels!$A$5:$A$18,0)),"No"))</f>
        <v>0</v>
      </c>
      <c r="AK124" s="20">
        <f>IF(B124="","",ROUND(IFERROR(INDEX(Channels!$T$5:$T$18,MATCH(IF(H124="",DefaultChannel,H124),Channels!$A$5:$A$18,0)),0)+IF(AJ124="Yes",AE124*AI124,0),4))</f>
        <v>0</v>
      </c>
      <c r="AL124" s="33">
        <f>IF(B124="","",IF(OverheadMethod="Share of revenue",IF(RevenueTargetMonth&lt;=0,0,OverheadMonthly/RevenueTargetMonth),0))</f>
        <v>0</v>
      </c>
      <c r="AM124" s="20">
        <f>IF(B124="","",IF(OverheadMethod="Per hour worked",ROUND(OverheadPerHour*Y124,2),IF(OR(OverheadMethod="Per unit made",OverheadMethod="Per order"),OverheadPerUnit,0)))</f>
        <v>0</v>
      </c>
      <c r="AN124" s="33">
        <f>IF(B124="","",IF(N124&lt;&gt;"",N124,TargetRetailMargin))</f>
        <v>0</v>
      </c>
      <c r="AO124" s="41">
        <f>IF(B124="","",1-AN124-AI124-AL124)</f>
        <v>0</v>
      </c>
      <c r="AP124" s="20">
        <f>IF(B124="","",IF(AO124&lt;=0,"",(AH124+AM124+AK124)/AO124))</f>
        <v>0</v>
      </c>
      <c r="AQ124" s="20">
        <f>IF(B124="","",IF(AP124="","Check the settings",ROUND(IF(RoundingRule="None",AP124,IF(RoundingRule="Nearest 0.99",MAX(0.99,CEILING(AP124,1)-0.01),IF(RoundingRule="Nearest 0.95",MAX(0.95,CEILING(AP124,1)-0.05),IF(RoundingRule="Nearest 0.50",CEILING(AP124,0.5),IF(RoundingRule="Nearest 1",CEILING(AP124,1),IF(RoundingRule="Nearest 5",CEILING(AP124,5),IF(RoundingRule="Up to whole 1",CEILING(AP124,1),IF(RoundingRule="Up to whole 5",CEILING(AP124,5),ROUND(AP124,2))))))))),2)))</f>
        <v>0</v>
      </c>
      <c r="AR124" s="20">
        <f>IF(B124="","",IF(M124&lt;&gt;"",M124,IF(ISNUMBER(AQ124),AQ124,"")))</f>
        <v>0</v>
      </c>
      <c r="AS124" s="20">
        <f>IF(B124="","",IF(AR124="","",ROUND(AM124+AR124*AL124,2)))</f>
        <v>0</v>
      </c>
      <c r="AT124" s="20">
        <f>IF(B124="","",IF(AR124="","",ROUND(AH124+AS124,2)))</f>
        <v>0</v>
      </c>
      <c r="AU124" s="20">
        <f>IF(B124="","",IF(AR124="","",ROUND(AR124*AI124+AK124,2)))</f>
        <v>0</v>
      </c>
      <c r="AV124" s="20">
        <f>IF(B124="","",IF(AR124="","",ROUND(AR124-AT124-AU124,2)))</f>
        <v>0</v>
      </c>
      <c r="AW124" s="33">
        <f>IF(B124="","",IF(OR(AR124="",AR124=0),"",AV124/AR124))</f>
        <v>0</v>
      </c>
      <c r="AX124" s="33">
        <f>IF(B124="","",IF(OR(AT124="",AT124=0),"",AV124/AT124))</f>
        <v>0</v>
      </c>
      <c r="AY124" s="20">
        <f>IF(B124="","",IF(OR(Y124="",Y124=0,AV124=""),"",ROUND(AV124/Y124,2)))</f>
        <v>0</v>
      </c>
      <c r="AZ124" s="20">
        <f>IF(B124="","",IF(OR(Y124="",Y124=0,AV124=""),"",ROUND((AV124+Z124)/Y124,2)))</f>
        <v>0</v>
      </c>
      <c r="BA124" s="20">
        <f>IF(B124="","",IF(1-AI124-AL124&lt;=0,"",ROUND((AH124+AM124+AK124)/(1-AI124-AL124),2)))</f>
        <v>0</v>
      </c>
      <c r="BB124" s="20">
        <f>IF(B124="","",IF(AT124="","",ROUND(AT124*2,2)))</f>
        <v>0</v>
      </c>
      <c r="BC124" s="20">
        <f>IF(B124="","",IF(AR124="","",ROUND(AR124*(1-WholesaleDiscount),2)))</f>
        <v>0</v>
      </c>
      <c r="BD124" s="20">
        <f>IF(B124="","",IF(BC124="","",ROUND(BC124-AH124-AM124,2)))</f>
        <v>0</v>
      </c>
      <c r="BE124" s="33">
        <f>IF(B124="","",IF(OR(BC124="",BC124=0),"",BD124/BC124))</f>
        <v>0</v>
      </c>
      <c r="BF124" s="20">
        <f>IF(B124="","",IFERROR(ROUND(AVERAGEIFS(Competitors!$F$5:$F$154,Competitors!$A$5:$A$154,A124),2),""))</f>
        <v>0</v>
      </c>
      <c r="BG124" s="33">
        <f>IF(B124="","",IF(OR(BF124="",BF124=0,AR124=""),"",AR124/BF124-1))</f>
        <v>0</v>
      </c>
      <c r="BH124" s="32">
        <f>IF(B124="","",SUMIFS(Sales!$D$5:$D$804,Sales!$C$5:$C$804,A124))</f>
        <v>0</v>
      </c>
      <c r="BI124" s="20">
        <f>IF(B124="","",ROUND(SUMIFS(Sales!$V$5:$V$804,Sales!$C$5:$C$804,A124),2))</f>
        <v>0</v>
      </c>
      <c r="BJ124" s="20">
        <f>IF(B124="","",ROUND(SUMIFS(Sales!$AG$5:$AG$804,Sales!$C$5:$C$804,A124),2))</f>
        <v>0</v>
      </c>
      <c r="BK124" s="33">
        <f>IF(B124="","",IF(OR(BI124="",BI124=0),"",BJ124/BI124))</f>
        <v>0</v>
      </c>
      <c r="BL124" s="17">
        <f>IF(B124="","",IF(SUMPRODUCT(MAX((Sales!$C$5:$C$804=A124)*Sales!$B$5:$B$804))=0,"",SUMPRODUCT(MAX((Sales!$C$5:$C$804=A124)*Sales!$B$5:$B$804))))</f>
        <v>0</v>
      </c>
      <c r="BM124" s="17">
        <f>IF(B124="","",IF(SUMPRODUCT(MAX(('Price History'!$B$5:$B$304=A124)*'Price History'!$A$5:$A$304))=0,IF(P124="","",P124),SUMPRODUCT(MAX(('Price History'!$B$5:$B$304=A124)*'Price History'!$A$5:$A$304))))</f>
        <v>0</v>
      </c>
      <c r="BN124" s="32">
        <f>IF(B124="","",IF(BM124="","",TodayDate-BM124))</f>
        <v>0</v>
      </c>
      <c r="BO124" s="32">
        <f>IF(B124="","",COUNTIFS($AV$5:$AV$304,"&gt;"&amp;AV124)+COUNTIFS($AV$5:AV124,AV124))</f>
        <v>0</v>
      </c>
      <c r="BP124" s="32">
        <f>IF(B124="","",COUNTIFS($AW$5:$AW$304,"&gt;"&amp;AW124)+COUNTIFS($AW$5:AW124,AW124))</f>
        <v>0</v>
      </c>
      <c r="BQ124" s="32">
        <f>IF(B124="","",COUNTIFS($BI$5:$BI$304,"&gt;"&amp;BI124)+COUNTIFS($BI$5:BI124,BI124))</f>
        <v>0</v>
      </c>
      <c r="BR124" s="32">
        <f>IF(B124="","",COUNTIFS($AY$5:$AY$304,"&gt;"&amp;AY124)+COUNTIFS($AY$5:AY124,AY124))</f>
        <v>0</v>
      </c>
      <c r="BS124" s="43">
        <f>IF(B124="","",IF(AH124=0,"Add - no costs entered yet",IF(AR124="","Check - no price yet",IF(AV124&lt;0,"Loss - every sale costs you money",IF(AND(AZ124&lt;&gt;"",AZ124&lt;MinimumWage),"Below - pays under minimum wage",IF(AW124&lt;MarginWarning,"Low margin - re-price it",IF(AND(AF124&lt;&gt;"",K124&lt;&gt;"",K124+AC124&gt;AF124),"Check - too heavy for that postage band",IF(AND(BN124&lt;&gt;"",BN124&gt;PriceReviewDays),"Due - price has not been reviewed",IF(AND(BG124&lt;&gt;"",BG124&gt;0.5),"Check - well above the market","OK")))))))) )</f>
        <v>0</v>
      </c>
    </row>
    <row r="125" spans="1:71">
      <c r="A125" s="38">
        <f>IF(B125="","",ProductPrefix&amp;TEXT(ROW()-4,"0000"))</f>
        <v>0</v>
      </c>
      <c r="S125" s="38">
        <f>IF(B125="","",IF(C125&lt;&gt;"",C125,UPPER(LEFT(IF(D125="","GEN",D125),3))&amp;"-"&amp;TEXT(ROW()-4,"000")))</f>
        <v>0</v>
      </c>
      <c r="T125" s="20">
        <f>IF(B125="","",ROUND(SUMIFS('Material Usage'!$M$5:$M$904,'Material Usage'!$A$5:$A$904,A125)+SUMIFS(Crochet!$AD$5:$AD$84,Crochet!$A$5:$A$84,A125)+SUMIFS(Jewelry!$AF$5:$AF$84,Jewelry!$A$5:$A$84,A125)+SUMIFS(Candles!$AF$5:$AF$84,Candles!$A$5:$A$84,A125)+SUMIFS(Clothing!$AB$5:$AB$84,Clothing!$A$5:$A$84,A125)+SUMIFS(Woodworking!$AC$5:$AC$84,Woodworking!$A$5:$A$84,A125)+SUMIFS(Digital!$X$5:$X$84,Digital!$A$5:$A$84,A125),2))</f>
        <v>0</v>
      </c>
      <c r="U125" s="20">
        <f>IF(B125="","",ROUND(SUMIFS(Labor!$O$5:$O$304,Labor!$A$5:$A$304,A125)+SUMIFS(Crochet!$AG$5:$AG$84,Crochet!$A$5:$A$84,A125)+SUMIFS(Jewelry!$AI$5:$AI$84,Jewelry!$A$5:$A$84,A125)+SUMIFS(Candles!$AI$5:$AI$84,Candles!$A$5:$A$84,A125)+SUMIFS(Clothing!$AE$5:$AE$84,Clothing!$A$5:$A$84,A125)+SUMIFS(Woodworking!$AF$5:$AF$84,Woodworking!$A$5:$A$84,A125)+SUMIFS(Digital!$Z$5:$Z$84,Digital!$A$5:$A$84,A125),2))</f>
        <v>0</v>
      </c>
      <c r="V125" s="36">
        <f>IF(B125="","",ROUND(SUMIFS(Labor!$P$5:$P$304,Labor!$A$5:$A$304,A125)+SUMIFS(Crochet!$AE$5:$AE$84,Crochet!$A$5:$A$84,A125)+SUMIFS(Jewelry!$AG$5:$AG$84,Jewelry!$A$5:$A$84,A125)+SUMIFS(Candles!$AG$5:$AG$84,Candles!$A$5:$A$84,A125)+SUMIFS(Clothing!$AC$5:$AC$84,Clothing!$A$5:$A$84,A125)+SUMIFS(Woodworking!$AD$5:$AD$84,Woodworking!$A$5:$A$84,A125)+SUMIFS(Digital!$Y$5:$Y$84,Digital!$A$5:$A$84,A125),1))</f>
        <v>0</v>
      </c>
      <c r="W125" s="41">
        <f>IF(B125="","",IFERROR(INDEX(DiffTimeFactors,MATCH(G125,DiffNames,0)),1))</f>
        <v>0</v>
      </c>
      <c r="X125" s="36">
        <f>IF(B125="","",ROUND(V125*W125,1))</f>
        <v>0</v>
      </c>
      <c r="Y125" s="41">
        <f>IF(B125="","",ROUND(X125/60,3))</f>
        <v>0</v>
      </c>
      <c r="Z125" s="20">
        <f>IF(B125="","",ROUND(U125*W125,2))</f>
        <v>0</v>
      </c>
      <c r="AA125" s="20">
        <f>IF(B125="","",ROUND(SUMIFS(Labor!$Q$5:$Q$304,Labor!$A$5:$A$304,A125)+SUMIFS(Crochet!$AH$5:$AH$84,Crochet!$A$5:$A$84,A125)+SUMIFS(Jewelry!$AJ$5:$AJ$84,Jewelry!$A$5:$A$84,A125)+SUMIFS(Candles!$AJ$5:$AJ$84,Candles!$A$5:$A$84,A125)+SUMIFS(Clothing!$AF$5:$AF$84,Clothing!$A$5:$A$84,A125)+SUMIFS(Woodworking!$AH$5:$AH$84,Woodworking!$A$5:$A$84,A125)+SUMIFS(Digital!$AA$5:$AA$84,Digital!$A$5:$A$84,A125),2))</f>
        <v>0</v>
      </c>
      <c r="AB125" s="20">
        <f>IF(B125="","",ROUND(IF(I125="Budget",PackBudget,IF(I125="Standard",PackStandard,IF(I125="Gift",PackGift,IF(I125="Premium",PackPremium,DefaultPackaging)))),2))</f>
        <v>0</v>
      </c>
      <c r="AC125" s="36">
        <f>IF(B125="","",IF(I125="Budget",PackWeightBudget,IF(I125="Standard",PackWeightStandard,IF(I125="Gift",PackWeightGift,IF(I125="Premium",PackWeightPremium,0)))))</f>
        <v>0</v>
      </c>
      <c r="AD125" s="20">
        <f>IF(B125="","",IFERROR(INDEX(Shipping!$M$5:$M$64,MATCH(J125,Shipping!$L$5:$L$64,0)),DefaultShipping))</f>
        <v>0</v>
      </c>
      <c r="AE125" s="20">
        <f>IF(B125="","",IFERROR(INDEX(Shipping!$F$5:$F$64,MATCH(J125,Shipping!$L$5:$L$64,0)),0))</f>
        <v>0</v>
      </c>
      <c r="AF125" s="36">
        <f>IF(B125="","",IFERROR(INDEX(Shipping!$C$5:$C$64,MATCH(J125,Shipping!$L$5:$L$64,0)),""))</f>
        <v>0</v>
      </c>
      <c r="AG125" s="20">
        <f>IF(B125="","",ROUND(MAX(0,AD125-AE125),2))</f>
        <v>0</v>
      </c>
      <c r="AH125" s="20">
        <f>IF(B125="","",ROUND(T125+Z125+AA125+AB125+AG125,2))</f>
        <v>0</v>
      </c>
      <c r="AI125" s="33">
        <f>IF(B125="","",IFERROR(INDEX(Channels!$S$5:$S$18,MATCH(IF(H125="",DefaultChannel,H125),Channels!$A$5:$A$18,0)),0))</f>
        <v>0</v>
      </c>
      <c r="AJ125" s="42">
        <f>IF(B125="","",IFERROR(INDEX(Channels!$O$5:$O$18,MATCH(IF(H125="",DefaultChannel,H125),Channels!$A$5:$A$18,0)),"No"))</f>
        <v>0</v>
      </c>
      <c r="AK125" s="20">
        <f>IF(B125="","",ROUND(IFERROR(INDEX(Channels!$T$5:$T$18,MATCH(IF(H125="",DefaultChannel,H125),Channels!$A$5:$A$18,0)),0)+IF(AJ125="Yes",AE125*AI125,0),4))</f>
        <v>0</v>
      </c>
      <c r="AL125" s="33">
        <f>IF(B125="","",IF(OverheadMethod="Share of revenue",IF(RevenueTargetMonth&lt;=0,0,OverheadMonthly/RevenueTargetMonth),0))</f>
        <v>0</v>
      </c>
      <c r="AM125" s="20">
        <f>IF(B125="","",IF(OverheadMethod="Per hour worked",ROUND(OverheadPerHour*Y125,2),IF(OR(OverheadMethod="Per unit made",OverheadMethod="Per order"),OverheadPerUnit,0)))</f>
        <v>0</v>
      </c>
      <c r="AN125" s="33">
        <f>IF(B125="","",IF(N125&lt;&gt;"",N125,TargetRetailMargin))</f>
        <v>0</v>
      </c>
      <c r="AO125" s="41">
        <f>IF(B125="","",1-AN125-AI125-AL125)</f>
        <v>0</v>
      </c>
      <c r="AP125" s="20">
        <f>IF(B125="","",IF(AO125&lt;=0,"",(AH125+AM125+AK125)/AO125))</f>
        <v>0</v>
      </c>
      <c r="AQ125" s="20">
        <f>IF(B125="","",IF(AP125="","Check the settings",ROUND(IF(RoundingRule="None",AP125,IF(RoundingRule="Nearest 0.99",MAX(0.99,CEILING(AP125,1)-0.01),IF(RoundingRule="Nearest 0.95",MAX(0.95,CEILING(AP125,1)-0.05),IF(RoundingRule="Nearest 0.50",CEILING(AP125,0.5),IF(RoundingRule="Nearest 1",CEILING(AP125,1),IF(RoundingRule="Nearest 5",CEILING(AP125,5),IF(RoundingRule="Up to whole 1",CEILING(AP125,1),IF(RoundingRule="Up to whole 5",CEILING(AP125,5),ROUND(AP125,2))))))))),2)))</f>
        <v>0</v>
      </c>
      <c r="AR125" s="20">
        <f>IF(B125="","",IF(M125&lt;&gt;"",M125,IF(ISNUMBER(AQ125),AQ125,"")))</f>
        <v>0</v>
      </c>
      <c r="AS125" s="20">
        <f>IF(B125="","",IF(AR125="","",ROUND(AM125+AR125*AL125,2)))</f>
        <v>0</v>
      </c>
      <c r="AT125" s="20">
        <f>IF(B125="","",IF(AR125="","",ROUND(AH125+AS125,2)))</f>
        <v>0</v>
      </c>
      <c r="AU125" s="20">
        <f>IF(B125="","",IF(AR125="","",ROUND(AR125*AI125+AK125,2)))</f>
        <v>0</v>
      </c>
      <c r="AV125" s="20">
        <f>IF(B125="","",IF(AR125="","",ROUND(AR125-AT125-AU125,2)))</f>
        <v>0</v>
      </c>
      <c r="AW125" s="33">
        <f>IF(B125="","",IF(OR(AR125="",AR125=0),"",AV125/AR125))</f>
        <v>0</v>
      </c>
      <c r="AX125" s="33">
        <f>IF(B125="","",IF(OR(AT125="",AT125=0),"",AV125/AT125))</f>
        <v>0</v>
      </c>
      <c r="AY125" s="20">
        <f>IF(B125="","",IF(OR(Y125="",Y125=0,AV125=""),"",ROUND(AV125/Y125,2)))</f>
        <v>0</v>
      </c>
      <c r="AZ125" s="20">
        <f>IF(B125="","",IF(OR(Y125="",Y125=0,AV125=""),"",ROUND((AV125+Z125)/Y125,2)))</f>
        <v>0</v>
      </c>
      <c r="BA125" s="20">
        <f>IF(B125="","",IF(1-AI125-AL125&lt;=0,"",ROUND((AH125+AM125+AK125)/(1-AI125-AL125),2)))</f>
        <v>0</v>
      </c>
      <c r="BB125" s="20">
        <f>IF(B125="","",IF(AT125="","",ROUND(AT125*2,2)))</f>
        <v>0</v>
      </c>
      <c r="BC125" s="20">
        <f>IF(B125="","",IF(AR125="","",ROUND(AR125*(1-WholesaleDiscount),2)))</f>
        <v>0</v>
      </c>
      <c r="BD125" s="20">
        <f>IF(B125="","",IF(BC125="","",ROUND(BC125-AH125-AM125,2)))</f>
        <v>0</v>
      </c>
      <c r="BE125" s="33">
        <f>IF(B125="","",IF(OR(BC125="",BC125=0),"",BD125/BC125))</f>
        <v>0</v>
      </c>
      <c r="BF125" s="20">
        <f>IF(B125="","",IFERROR(ROUND(AVERAGEIFS(Competitors!$F$5:$F$154,Competitors!$A$5:$A$154,A125),2),""))</f>
        <v>0</v>
      </c>
      <c r="BG125" s="33">
        <f>IF(B125="","",IF(OR(BF125="",BF125=0,AR125=""),"",AR125/BF125-1))</f>
        <v>0</v>
      </c>
      <c r="BH125" s="32">
        <f>IF(B125="","",SUMIFS(Sales!$D$5:$D$804,Sales!$C$5:$C$804,A125))</f>
        <v>0</v>
      </c>
      <c r="BI125" s="20">
        <f>IF(B125="","",ROUND(SUMIFS(Sales!$V$5:$V$804,Sales!$C$5:$C$804,A125),2))</f>
        <v>0</v>
      </c>
      <c r="BJ125" s="20">
        <f>IF(B125="","",ROUND(SUMIFS(Sales!$AG$5:$AG$804,Sales!$C$5:$C$804,A125),2))</f>
        <v>0</v>
      </c>
      <c r="BK125" s="33">
        <f>IF(B125="","",IF(OR(BI125="",BI125=0),"",BJ125/BI125))</f>
        <v>0</v>
      </c>
      <c r="BL125" s="17">
        <f>IF(B125="","",IF(SUMPRODUCT(MAX((Sales!$C$5:$C$804=A125)*Sales!$B$5:$B$804))=0,"",SUMPRODUCT(MAX((Sales!$C$5:$C$804=A125)*Sales!$B$5:$B$804))))</f>
        <v>0</v>
      </c>
      <c r="BM125" s="17">
        <f>IF(B125="","",IF(SUMPRODUCT(MAX(('Price History'!$B$5:$B$304=A125)*'Price History'!$A$5:$A$304))=0,IF(P125="","",P125),SUMPRODUCT(MAX(('Price History'!$B$5:$B$304=A125)*'Price History'!$A$5:$A$304))))</f>
        <v>0</v>
      </c>
      <c r="BN125" s="32">
        <f>IF(B125="","",IF(BM125="","",TodayDate-BM125))</f>
        <v>0</v>
      </c>
      <c r="BO125" s="32">
        <f>IF(B125="","",COUNTIFS($AV$5:$AV$304,"&gt;"&amp;AV125)+COUNTIFS($AV$5:AV125,AV125))</f>
        <v>0</v>
      </c>
      <c r="BP125" s="32">
        <f>IF(B125="","",COUNTIFS($AW$5:$AW$304,"&gt;"&amp;AW125)+COUNTIFS($AW$5:AW125,AW125))</f>
        <v>0</v>
      </c>
      <c r="BQ125" s="32">
        <f>IF(B125="","",COUNTIFS($BI$5:$BI$304,"&gt;"&amp;BI125)+COUNTIFS($BI$5:BI125,BI125))</f>
        <v>0</v>
      </c>
      <c r="BR125" s="32">
        <f>IF(B125="","",COUNTIFS($AY$5:$AY$304,"&gt;"&amp;AY125)+COUNTIFS($AY$5:AY125,AY125))</f>
        <v>0</v>
      </c>
      <c r="BS125" s="43">
        <f>IF(B125="","",IF(AH125=0,"Add - no costs entered yet",IF(AR125="","Check - no price yet",IF(AV125&lt;0,"Loss - every sale costs you money",IF(AND(AZ125&lt;&gt;"",AZ125&lt;MinimumWage),"Below - pays under minimum wage",IF(AW125&lt;MarginWarning,"Low margin - re-price it",IF(AND(AF125&lt;&gt;"",K125&lt;&gt;"",K125+AC125&gt;AF125),"Check - too heavy for that postage band",IF(AND(BN125&lt;&gt;"",BN125&gt;PriceReviewDays),"Due - price has not been reviewed",IF(AND(BG125&lt;&gt;"",BG125&gt;0.5),"Check - well above the market","OK")))))))) )</f>
        <v>0</v>
      </c>
    </row>
    <row r="126" spans="1:71">
      <c r="A126" s="38">
        <f>IF(B126="","",ProductPrefix&amp;TEXT(ROW()-4,"0000"))</f>
        <v>0</v>
      </c>
      <c r="S126" s="38">
        <f>IF(B126="","",IF(C126&lt;&gt;"",C126,UPPER(LEFT(IF(D126="","GEN",D126),3))&amp;"-"&amp;TEXT(ROW()-4,"000")))</f>
        <v>0</v>
      </c>
      <c r="T126" s="20">
        <f>IF(B126="","",ROUND(SUMIFS('Material Usage'!$M$5:$M$904,'Material Usage'!$A$5:$A$904,A126)+SUMIFS(Crochet!$AD$5:$AD$84,Crochet!$A$5:$A$84,A126)+SUMIFS(Jewelry!$AF$5:$AF$84,Jewelry!$A$5:$A$84,A126)+SUMIFS(Candles!$AF$5:$AF$84,Candles!$A$5:$A$84,A126)+SUMIFS(Clothing!$AB$5:$AB$84,Clothing!$A$5:$A$84,A126)+SUMIFS(Woodworking!$AC$5:$AC$84,Woodworking!$A$5:$A$84,A126)+SUMIFS(Digital!$X$5:$X$84,Digital!$A$5:$A$84,A126),2))</f>
        <v>0</v>
      </c>
      <c r="U126" s="20">
        <f>IF(B126="","",ROUND(SUMIFS(Labor!$O$5:$O$304,Labor!$A$5:$A$304,A126)+SUMIFS(Crochet!$AG$5:$AG$84,Crochet!$A$5:$A$84,A126)+SUMIFS(Jewelry!$AI$5:$AI$84,Jewelry!$A$5:$A$84,A126)+SUMIFS(Candles!$AI$5:$AI$84,Candles!$A$5:$A$84,A126)+SUMIFS(Clothing!$AE$5:$AE$84,Clothing!$A$5:$A$84,A126)+SUMIFS(Woodworking!$AF$5:$AF$84,Woodworking!$A$5:$A$84,A126)+SUMIFS(Digital!$Z$5:$Z$84,Digital!$A$5:$A$84,A126),2))</f>
        <v>0</v>
      </c>
      <c r="V126" s="36">
        <f>IF(B126="","",ROUND(SUMIFS(Labor!$P$5:$P$304,Labor!$A$5:$A$304,A126)+SUMIFS(Crochet!$AE$5:$AE$84,Crochet!$A$5:$A$84,A126)+SUMIFS(Jewelry!$AG$5:$AG$84,Jewelry!$A$5:$A$84,A126)+SUMIFS(Candles!$AG$5:$AG$84,Candles!$A$5:$A$84,A126)+SUMIFS(Clothing!$AC$5:$AC$84,Clothing!$A$5:$A$84,A126)+SUMIFS(Woodworking!$AD$5:$AD$84,Woodworking!$A$5:$A$84,A126)+SUMIFS(Digital!$Y$5:$Y$84,Digital!$A$5:$A$84,A126),1))</f>
        <v>0</v>
      </c>
      <c r="W126" s="41">
        <f>IF(B126="","",IFERROR(INDEX(DiffTimeFactors,MATCH(G126,DiffNames,0)),1))</f>
        <v>0</v>
      </c>
      <c r="X126" s="36">
        <f>IF(B126="","",ROUND(V126*W126,1))</f>
        <v>0</v>
      </c>
      <c r="Y126" s="41">
        <f>IF(B126="","",ROUND(X126/60,3))</f>
        <v>0</v>
      </c>
      <c r="Z126" s="20">
        <f>IF(B126="","",ROUND(U126*W126,2))</f>
        <v>0</v>
      </c>
      <c r="AA126" s="20">
        <f>IF(B126="","",ROUND(SUMIFS(Labor!$Q$5:$Q$304,Labor!$A$5:$A$304,A126)+SUMIFS(Crochet!$AH$5:$AH$84,Crochet!$A$5:$A$84,A126)+SUMIFS(Jewelry!$AJ$5:$AJ$84,Jewelry!$A$5:$A$84,A126)+SUMIFS(Candles!$AJ$5:$AJ$84,Candles!$A$5:$A$84,A126)+SUMIFS(Clothing!$AF$5:$AF$84,Clothing!$A$5:$A$84,A126)+SUMIFS(Woodworking!$AH$5:$AH$84,Woodworking!$A$5:$A$84,A126)+SUMIFS(Digital!$AA$5:$AA$84,Digital!$A$5:$A$84,A126),2))</f>
        <v>0</v>
      </c>
      <c r="AB126" s="20">
        <f>IF(B126="","",ROUND(IF(I126="Budget",PackBudget,IF(I126="Standard",PackStandard,IF(I126="Gift",PackGift,IF(I126="Premium",PackPremium,DefaultPackaging)))),2))</f>
        <v>0</v>
      </c>
      <c r="AC126" s="36">
        <f>IF(B126="","",IF(I126="Budget",PackWeightBudget,IF(I126="Standard",PackWeightStandard,IF(I126="Gift",PackWeightGift,IF(I126="Premium",PackWeightPremium,0)))))</f>
        <v>0</v>
      </c>
      <c r="AD126" s="20">
        <f>IF(B126="","",IFERROR(INDEX(Shipping!$M$5:$M$64,MATCH(J126,Shipping!$L$5:$L$64,0)),DefaultShipping))</f>
        <v>0</v>
      </c>
      <c r="AE126" s="20">
        <f>IF(B126="","",IFERROR(INDEX(Shipping!$F$5:$F$64,MATCH(J126,Shipping!$L$5:$L$64,0)),0))</f>
        <v>0</v>
      </c>
      <c r="AF126" s="36">
        <f>IF(B126="","",IFERROR(INDEX(Shipping!$C$5:$C$64,MATCH(J126,Shipping!$L$5:$L$64,0)),""))</f>
        <v>0</v>
      </c>
      <c r="AG126" s="20">
        <f>IF(B126="","",ROUND(MAX(0,AD126-AE126),2))</f>
        <v>0</v>
      </c>
      <c r="AH126" s="20">
        <f>IF(B126="","",ROUND(T126+Z126+AA126+AB126+AG126,2))</f>
        <v>0</v>
      </c>
      <c r="AI126" s="33">
        <f>IF(B126="","",IFERROR(INDEX(Channels!$S$5:$S$18,MATCH(IF(H126="",DefaultChannel,H126),Channels!$A$5:$A$18,0)),0))</f>
        <v>0</v>
      </c>
      <c r="AJ126" s="42">
        <f>IF(B126="","",IFERROR(INDEX(Channels!$O$5:$O$18,MATCH(IF(H126="",DefaultChannel,H126),Channels!$A$5:$A$18,0)),"No"))</f>
        <v>0</v>
      </c>
      <c r="AK126" s="20">
        <f>IF(B126="","",ROUND(IFERROR(INDEX(Channels!$T$5:$T$18,MATCH(IF(H126="",DefaultChannel,H126),Channels!$A$5:$A$18,0)),0)+IF(AJ126="Yes",AE126*AI126,0),4))</f>
        <v>0</v>
      </c>
      <c r="AL126" s="33">
        <f>IF(B126="","",IF(OverheadMethod="Share of revenue",IF(RevenueTargetMonth&lt;=0,0,OverheadMonthly/RevenueTargetMonth),0))</f>
        <v>0</v>
      </c>
      <c r="AM126" s="20">
        <f>IF(B126="","",IF(OverheadMethod="Per hour worked",ROUND(OverheadPerHour*Y126,2),IF(OR(OverheadMethod="Per unit made",OverheadMethod="Per order"),OverheadPerUnit,0)))</f>
        <v>0</v>
      </c>
      <c r="AN126" s="33">
        <f>IF(B126="","",IF(N126&lt;&gt;"",N126,TargetRetailMargin))</f>
        <v>0</v>
      </c>
      <c r="AO126" s="41">
        <f>IF(B126="","",1-AN126-AI126-AL126)</f>
        <v>0</v>
      </c>
      <c r="AP126" s="20">
        <f>IF(B126="","",IF(AO126&lt;=0,"",(AH126+AM126+AK126)/AO126))</f>
        <v>0</v>
      </c>
      <c r="AQ126" s="20">
        <f>IF(B126="","",IF(AP126="","Check the settings",ROUND(IF(RoundingRule="None",AP126,IF(RoundingRule="Nearest 0.99",MAX(0.99,CEILING(AP126,1)-0.01),IF(RoundingRule="Nearest 0.95",MAX(0.95,CEILING(AP126,1)-0.05),IF(RoundingRule="Nearest 0.50",CEILING(AP126,0.5),IF(RoundingRule="Nearest 1",CEILING(AP126,1),IF(RoundingRule="Nearest 5",CEILING(AP126,5),IF(RoundingRule="Up to whole 1",CEILING(AP126,1),IF(RoundingRule="Up to whole 5",CEILING(AP126,5),ROUND(AP126,2))))))))),2)))</f>
        <v>0</v>
      </c>
      <c r="AR126" s="20">
        <f>IF(B126="","",IF(M126&lt;&gt;"",M126,IF(ISNUMBER(AQ126),AQ126,"")))</f>
        <v>0</v>
      </c>
      <c r="AS126" s="20">
        <f>IF(B126="","",IF(AR126="","",ROUND(AM126+AR126*AL126,2)))</f>
        <v>0</v>
      </c>
      <c r="AT126" s="20">
        <f>IF(B126="","",IF(AR126="","",ROUND(AH126+AS126,2)))</f>
        <v>0</v>
      </c>
      <c r="AU126" s="20">
        <f>IF(B126="","",IF(AR126="","",ROUND(AR126*AI126+AK126,2)))</f>
        <v>0</v>
      </c>
      <c r="AV126" s="20">
        <f>IF(B126="","",IF(AR126="","",ROUND(AR126-AT126-AU126,2)))</f>
        <v>0</v>
      </c>
      <c r="AW126" s="33">
        <f>IF(B126="","",IF(OR(AR126="",AR126=0),"",AV126/AR126))</f>
        <v>0</v>
      </c>
      <c r="AX126" s="33">
        <f>IF(B126="","",IF(OR(AT126="",AT126=0),"",AV126/AT126))</f>
        <v>0</v>
      </c>
      <c r="AY126" s="20">
        <f>IF(B126="","",IF(OR(Y126="",Y126=0,AV126=""),"",ROUND(AV126/Y126,2)))</f>
        <v>0</v>
      </c>
      <c r="AZ126" s="20">
        <f>IF(B126="","",IF(OR(Y126="",Y126=0,AV126=""),"",ROUND((AV126+Z126)/Y126,2)))</f>
        <v>0</v>
      </c>
      <c r="BA126" s="20">
        <f>IF(B126="","",IF(1-AI126-AL126&lt;=0,"",ROUND((AH126+AM126+AK126)/(1-AI126-AL126),2)))</f>
        <v>0</v>
      </c>
      <c r="BB126" s="20">
        <f>IF(B126="","",IF(AT126="","",ROUND(AT126*2,2)))</f>
        <v>0</v>
      </c>
      <c r="BC126" s="20">
        <f>IF(B126="","",IF(AR126="","",ROUND(AR126*(1-WholesaleDiscount),2)))</f>
        <v>0</v>
      </c>
      <c r="BD126" s="20">
        <f>IF(B126="","",IF(BC126="","",ROUND(BC126-AH126-AM126,2)))</f>
        <v>0</v>
      </c>
      <c r="BE126" s="33">
        <f>IF(B126="","",IF(OR(BC126="",BC126=0),"",BD126/BC126))</f>
        <v>0</v>
      </c>
      <c r="BF126" s="20">
        <f>IF(B126="","",IFERROR(ROUND(AVERAGEIFS(Competitors!$F$5:$F$154,Competitors!$A$5:$A$154,A126),2),""))</f>
        <v>0</v>
      </c>
      <c r="BG126" s="33">
        <f>IF(B126="","",IF(OR(BF126="",BF126=0,AR126=""),"",AR126/BF126-1))</f>
        <v>0</v>
      </c>
      <c r="BH126" s="32">
        <f>IF(B126="","",SUMIFS(Sales!$D$5:$D$804,Sales!$C$5:$C$804,A126))</f>
        <v>0</v>
      </c>
      <c r="BI126" s="20">
        <f>IF(B126="","",ROUND(SUMIFS(Sales!$V$5:$V$804,Sales!$C$5:$C$804,A126),2))</f>
        <v>0</v>
      </c>
      <c r="BJ126" s="20">
        <f>IF(B126="","",ROUND(SUMIFS(Sales!$AG$5:$AG$804,Sales!$C$5:$C$804,A126),2))</f>
        <v>0</v>
      </c>
      <c r="BK126" s="33">
        <f>IF(B126="","",IF(OR(BI126="",BI126=0),"",BJ126/BI126))</f>
        <v>0</v>
      </c>
      <c r="BL126" s="17">
        <f>IF(B126="","",IF(SUMPRODUCT(MAX((Sales!$C$5:$C$804=A126)*Sales!$B$5:$B$804))=0,"",SUMPRODUCT(MAX((Sales!$C$5:$C$804=A126)*Sales!$B$5:$B$804))))</f>
        <v>0</v>
      </c>
      <c r="BM126" s="17">
        <f>IF(B126="","",IF(SUMPRODUCT(MAX(('Price History'!$B$5:$B$304=A126)*'Price History'!$A$5:$A$304))=0,IF(P126="","",P126),SUMPRODUCT(MAX(('Price History'!$B$5:$B$304=A126)*'Price History'!$A$5:$A$304))))</f>
        <v>0</v>
      </c>
      <c r="BN126" s="32">
        <f>IF(B126="","",IF(BM126="","",TodayDate-BM126))</f>
        <v>0</v>
      </c>
      <c r="BO126" s="32">
        <f>IF(B126="","",COUNTIFS($AV$5:$AV$304,"&gt;"&amp;AV126)+COUNTIFS($AV$5:AV126,AV126))</f>
        <v>0</v>
      </c>
      <c r="BP126" s="32">
        <f>IF(B126="","",COUNTIFS($AW$5:$AW$304,"&gt;"&amp;AW126)+COUNTIFS($AW$5:AW126,AW126))</f>
        <v>0</v>
      </c>
      <c r="BQ126" s="32">
        <f>IF(B126="","",COUNTIFS($BI$5:$BI$304,"&gt;"&amp;BI126)+COUNTIFS($BI$5:BI126,BI126))</f>
        <v>0</v>
      </c>
      <c r="BR126" s="32">
        <f>IF(B126="","",COUNTIFS($AY$5:$AY$304,"&gt;"&amp;AY126)+COUNTIFS($AY$5:AY126,AY126))</f>
        <v>0</v>
      </c>
      <c r="BS126" s="43">
        <f>IF(B126="","",IF(AH126=0,"Add - no costs entered yet",IF(AR126="","Check - no price yet",IF(AV126&lt;0,"Loss - every sale costs you money",IF(AND(AZ126&lt;&gt;"",AZ126&lt;MinimumWage),"Below - pays under minimum wage",IF(AW126&lt;MarginWarning,"Low margin - re-price it",IF(AND(AF126&lt;&gt;"",K126&lt;&gt;"",K126+AC126&gt;AF126),"Check - too heavy for that postage band",IF(AND(BN126&lt;&gt;"",BN126&gt;PriceReviewDays),"Due - price has not been reviewed",IF(AND(BG126&lt;&gt;"",BG126&gt;0.5),"Check - well above the market","OK")))))))) )</f>
        <v>0</v>
      </c>
    </row>
    <row r="127" spans="1:71">
      <c r="A127" s="38">
        <f>IF(B127="","",ProductPrefix&amp;TEXT(ROW()-4,"0000"))</f>
        <v>0</v>
      </c>
      <c r="S127" s="38">
        <f>IF(B127="","",IF(C127&lt;&gt;"",C127,UPPER(LEFT(IF(D127="","GEN",D127),3))&amp;"-"&amp;TEXT(ROW()-4,"000")))</f>
        <v>0</v>
      </c>
      <c r="T127" s="20">
        <f>IF(B127="","",ROUND(SUMIFS('Material Usage'!$M$5:$M$904,'Material Usage'!$A$5:$A$904,A127)+SUMIFS(Crochet!$AD$5:$AD$84,Crochet!$A$5:$A$84,A127)+SUMIFS(Jewelry!$AF$5:$AF$84,Jewelry!$A$5:$A$84,A127)+SUMIFS(Candles!$AF$5:$AF$84,Candles!$A$5:$A$84,A127)+SUMIFS(Clothing!$AB$5:$AB$84,Clothing!$A$5:$A$84,A127)+SUMIFS(Woodworking!$AC$5:$AC$84,Woodworking!$A$5:$A$84,A127)+SUMIFS(Digital!$X$5:$X$84,Digital!$A$5:$A$84,A127),2))</f>
        <v>0</v>
      </c>
      <c r="U127" s="20">
        <f>IF(B127="","",ROUND(SUMIFS(Labor!$O$5:$O$304,Labor!$A$5:$A$304,A127)+SUMIFS(Crochet!$AG$5:$AG$84,Crochet!$A$5:$A$84,A127)+SUMIFS(Jewelry!$AI$5:$AI$84,Jewelry!$A$5:$A$84,A127)+SUMIFS(Candles!$AI$5:$AI$84,Candles!$A$5:$A$84,A127)+SUMIFS(Clothing!$AE$5:$AE$84,Clothing!$A$5:$A$84,A127)+SUMIFS(Woodworking!$AF$5:$AF$84,Woodworking!$A$5:$A$84,A127)+SUMIFS(Digital!$Z$5:$Z$84,Digital!$A$5:$A$84,A127),2))</f>
        <v>0</v>
      </c>
      <c r="V127" s="36">
        <f>IF(B127="","",ROUND(SUMIFS(Labor!$P$5:$P$304,Labor!$A$5:$A$304,A127)+SUMIFS(Crochet!$AE$5:$AE$84,Crochet!$A$5:$A$84,A127)+SUMIFS(Jewelry!$AG$5:$AG$84,Jewelry!$A$5:$A$84,A127)+SUMIFS(Candles!$AG$5:$AG$84,Candles!$A$5:$A$84,A127)+SUMIFS(Clothing!$AC$5:$AC$84,Clothing!$A$5:$A$84,A127)+SUMIFS(Woodworking!$AD$5:$AD$84,Woodworking!$A$5:$A$84,A127)+SUMIFS(Digital!$Y$5:$Y$84,Digital!$A$5:$A$84,A127),1))</f>
        <v>0</v>
      </c>
      <c r="W127" s="41">
        <f>IF(B127="","",IFERROR(INDEX(DiffTimeFactors,MATCH(G127,DiffNames,0)),1))</f>
        <v>0</v>
      </c>
      <c r="X127" s="36">
        <f>IF(B127="","",ROUND(V127*W127,1))</f>
        <v>0</v>
      </c>
      <c r="Y127" s="41">
        <f>IF(B127="","",ROUND(X127/60,3))</f>
        <v>0</v>
      </c>
      <c r="Z127" s="20">
        <f>IF(B127="","",ROUND(U127*W127,2))</f>
        <v>0</v>
      </c>
      <c r="AA127" s="20">
        <f>IF(B127="","",ROUND(SUMIFS(Labor!$Q$5:$Q$304,Labor!$A$5:$A$304,A127)+SUMIFS(Crochet!$AH$5:$AH$84,Crochet!$A$5:$A$84,A127)+SUMIFS(Jewelry!$AJ$5:$AJ$84,Jewelry!$A$5:$A$84,A127)+SUMIFS(Candles!$AJ$5:$AJ$84,Candles!$A$5:$A$84,A127)+SUMIFS(Clothing!$AF$5:$AF$84,Clothing!$A$5:$A$84,A127)+SUMIFS(Woodworking!$AH$5:$AH$84,Woodworking!$A$5:$A$84,A127)+SUMIFS(Digital!$AA$5:$AA$84,Digital!$A$5:$A$84,A127),2))</f>
        <v>0</v>
      </c>
      <c r="AB127" s="20">
        <f>IF(B127="","",ROUND(IF(I127="Budget",PackBudget,IF(I127="Standard",PackStandard,IF(I127="Gift",PackGift,IF(I127="Premium",PackPremium,DefaultPackaging)))),2))</f>
        <v>0</v>
      </c>
      <c r="AC127" s="36">
        <f>IF(B127="","",IF(I127="Budget",PackWeightBudget,IF(I127="Standard",PackWeightStandard,IF(I127="Gift",PackWeightGift,IF(I127="Premium",PackWeightPremium,0)))))</f>
        <v>0</v>
      </c>
      <c r="AD127" s="20">
        <f>IF(B127="","",IFERROR(INDEX(Shipping!$M$5:$M$64,MATCH(J127,Shipping!$L$5:$L$64,0)),DefaultShipping))</f>
        <v>0</v>
      </c>
      <c r="AE127" s="20">
        <f>IF(B127="","",IFERROR(INDEX(Shipping!$F$5:$F$64,MATCH(J127,Shipping!$L$5:$L$64,0)),0))</f>
        <v>0</v>
      </c>
      <c r="AF127" s="36">
        <f>IF(B127="","",IFERROR(INDEX(Shipping!$C$5:$C$64,MATCH(J127,Shipping!$L$5:$L$64,0)),""))</f>
        <v>0</v>
      </c>
      <c r="AG127" s="20">
        <f>IF(B127="","",ROUND(MAX(0,AD127-AE127),2))</f>
        <v>0</v>
      </c>
      <c r="AH127" s="20">
        <f>IF(B127="","",ROUND(T127+Z127+AA127+AB127+AG127,2))</f>
        <v>0</v>
      </c>
      <c r="AI127" s="33">
        <f>IF(B127="","",IFERROR(INDEX(Channels!$S$5:$S$18,MATCH(IF(H127="",DefaultChannel,H127),Channels!$A$5:$A$18,0)),0))</f>
        <v>0</v>
      </c>
      <c r="AJ127" s="42">
        <f>IF(B127="","",IFERROR(INDEX(Channels!$O$5:$O$18,MATCH(IF(H127="",DefaultChannel,H127),Channels!$A$5:$A$18,0)),"No"))</f>
        <v>0</v>
      </c>
      <c r="AK127" s="20">
        <f>IF(B127="","",ROUND(IFERROR(INDEX(Channels!$T$5:$T$18,MATCH(IF(H127="",DefaultChannel,H127),Channels!$A$5:$A$18,0)),0)+IF(AJ127="Yes",AE127*AI127,0),4))</f>
        <v>0</v>
      </c>
      <c r="AL127" s="33">
        <f>IF(B127="","",IF(OverheadMethod="Share of revenue",IF(RevenueTargetMonth&lt;=0,0,OverheadMonthly/RevenueTargetMonth),0))</f>
        <v>0</v>
      </c>
      <c r="AM127" s="20">
        <f>IF(B127="","",IF(OverheadMethod="Per hour worked",ROUND(OverheadPerHour*Y127,2),IF(OR(OverheadMethod="Per unit made",OverheadMethod="Per order"),OverheadPerUnit,0)))</f>
        <v>0</v>
      </c>
      <c r="AN127" s="33">
        <f>IF(B127="","",IF(N127&lt;&gt;"",N127,TargetRetailMargin))</f>
        <v>0</v>
      </c>
      <c r="AO127" s="41">
        <f>IF(B127="","",1-AN127-AI127-AL127)</f>
        <v>0</v>
      </c>
      <c r="AP127" s="20">
        <f>IF(B127="","",IF(AO127&lt;=0,"",(AH127+AM127+AK127)/AO127))</f>
        <v>0</v>
      </c>
      <c r="AQ127" s="20">
        <f>IF(B127="","",IF(AP127="","Check the settings",ROUND(IF(RoundingRule="None",AP127,IF(RoundingRule="Nearest 0.99",MAX(0.99,CEILING(AP127,1)-0.01),IF(RoundingRule="Nearest 0.95",MAX(0.95,CEILING(AP127,1)-0.05),IF(RoundingRule="Nearest 0.50",CEILING(AP127,0.5),IF(RoundingRule="Nearest 1",CEILING(AP127,1),IF(RoundingRule="Nearest 5",CEILING(AP127,5),IF(RoundingRule="Up to whole 1",CEILING(AP127,1),IF(RoundingRule="Up to whole 5",CEILING(AP127,5),ROUND(AP127,2))))))))),2)))</f>
        <v>0</v>
      </c>
      <c r="AR127" s="20">
        <f>IF(B127="","",IF(M127&lt;&gt;"",M127,IF(ISNUMBER(AQ127),AQ127,"")))</f>
        <v>0</v>
      </c>
      <c r="AS127" s="20">
        <f>IF(B127="","",IF(AR127="","",ROUND(AM127+AR127*AL127,2)))</f>
        <v>0</v>
      </c>
      <c r="AT127" s="20">
        <f>IF(B127="","",IF(AR127="","",ROUND(AH127+AS127,2)))</f>
        <v>0</v>
      </c>
      <c r="AU127" s="20">
        <f>IF(B127="","",IF(AR127="","",ROUND(AR127*AI127+AK127,2)))</f>
        <v>0</v>
      </c>
      <c r="AV127" s="20">
        <f>IF(B127="","",IF(AR127="","",ROUND(AR127-AT127-AU127,2)))</f>
        <v>0</v>
      </c>
      <c r="AW127" s="33">
        <f>IF(B127="","",IF(OR(AR127="",AR127=0),"",AV127/AR127))</f>
        <v>0</v>
      </c>
      <c r="AX127" s="33">
        <f>IF(B127="","",IF(OR(AT127="",AT127=0),"",AV127/AT127))</f>
        <v>0</v>
      </c>
      <c r="AY127" s="20">
        <f>IF(B127="","",IF(OR(Y127="",Y127=0,AV127=""),"",ROUND(AV127/Y127,2)))</f>
        <v>0</v>
      </c>
      <c r="AZ127" s="20">
        <f>IF(B127="","",IF(OR(Y127="",Y127=0,AV127=""),"",ROUND((AV127+Z127)/Y127,2)))</f>
        <v>0</v>
      </c>
      <c r="BA127" s="20">
        <f>IF(B127="","",IF(1-AI127-AL127&lt;=0,"",ROUND((AH127+AM127+AK127)/(1-AI127-AL127),2)))</f>
        <v>0</v>
      </c>
      <c r="BB127" s="20">
        <f>IF(B127="","",IF(AT127="","",ROUND(AT127*2,2)))</f>
        <v>0</v>
      </c>
      <c r="BC127" s="20">
        <f>IF(B127="","",IF(AR127="","",ROUND(AR127*(1-WholesaleDiscount),2)))</f>
        <v>0</v>
      </c>
      <c r="BD127" s="20">
        <f>IF(B127="","",IF(BC127="","",ROUND(BC127-AH127-AM127,2)))</f>
        <v>0</v>
      </c>
      <c r="BE127" s="33">
        <f>IF(B127="","",IF(OR(BC127="",BC127=0),"",BD127/BC127))</f>
        <v>0</v>
      </c>
      <c r="BF127" s="20">
        <f>IF(B127="","",IFERROR(ROUND(AVERAGEIFS(Competitors!$F$5:$F$154,Competitors!$A$5:$A$154,A127),2),""))</f>
        <v>0</v>
      </c>
      <c r="BG127" s="33">
        <f>IF(B127="","",IF(OR(BF127="",BF127=0,AR127=""),"",AR127/BF127-1))</f>
        <v>0</v>
      </c>
      <c r="BH127" s="32">
        <f>IF(B127="","",SUMIFS(Sales!$D$5:$D$804,Sales!$C$5:$C$804,A127))</f>
        <v>0</v>
      </c>
      <c r="BI127" s="20">
        <f>IF(B127="","",ROUND(SUMIFS(Sales!$V$5:$V$804,Sales!$C$5:$C$804,A127),2))</f>
        <v>0</v>
      </c>
      <c r="BJ127" s="20">
        <f>IF(B127="","",ROUND(SUMIFS(Sales!$AG$5:$AG$804,Sales!$C$5:$C$804,A127),2))</f>
        <v>0</v>
      </c>
      <c r="BK127" s="33">
        <f>IF(B127="","",IF(OR(BI127="",BI127=0),"",BJ127/BI127))</f>
        <v>0</v>
      </c>
      <c r="BL127" s="17">
        <f>IF(B127="","",IF(SUMPRODUCT(MAX((Sales!$C$5:$C$804=A127)*Sales!$B$5:$B$804))=0,"",SUMPRODUCT(MAX((Sales!$C$5:$C$804=A127)*Sales!$B$5:$B$804))))</f>
        <v>0</v>
      </c>
      <c r="BM127" s="17">
        <f>IF(B127="","",IF(SUMPRODUCT(MAX(('Price History'!$B$5:$B$304=A127)*'Price History'!$A$5:$A$304))=0,IF(P127="","",P127),SUMPRODUCT(MAX(('Price History'!$B$5:$B$304=A127)*'Price History'!$A$5:$A$304))))</f>
        <v>0</v>
      </c>
      <c r="BN127" s="32">
        <f>IF(B127="","",IF(BM127="","",TodayDate-BM127))</f>
        <v>0</v>
      </c>
      <c r="BO127" s="32">
        <f>IF(B127="","",COUNTIFS($AV$5:$AV$304,"&gt;"&amp;AV127)+COUNTIFS($AV$5:AV127,AV127))</f>
        <v>0</v>
      </c>
      <c r="BP127" s="32">
        <f>IF(B127="","",COUNTIFS($AW$5:$AW$304,"&gt;"&amp;AW127)+COUNTIFS($AW$5:AW127,AW127))</f>
        <v>0</v>
      </c>
      <c r="BQ127" s="32">
        <f>IF(B127="","",COUNTIFS($BI$5:$BI$304,"&gt;"&amp;BI127)+COUNTIFS($BI$5:BI127,BI127))</f>
        <v>0</v>
      </c>
      <c r="BR127" s="32">
        <f>IF(B127="","",COUNTIFS($AY$5:$AY$304,"&gt;"&amp;AY127)+COUNTIFS($AY$5:AY127,AY127))</f>
        <v>0</v>
      </c>
      <c r="BS127" s="43">
        <f>IF(B127="","",IF(AH127=0,"Add - no costs entered yet",IF(AR127="","Check - no price yet",IF(AV127&lt;0,"Loss - every sale costs you money",IF(AND(AZ127&lt;&gt;"",AZ127&lt;MinimumWage),"Below - pays under minimum wage",IF(AW127&lt;MarginWarning,"Low margin - re-price it",IF(AND(AF127&lt;&gt;"",K127&lt;&gt;"",K127+AC127&gt;AF127),"Check - too heavy for that postage band",IF(AND(BN127&lt;&gt;"",BN127&gt;PriceReviewDays),"Due - price has not been reviewed",IF(AND(BG127&lt;&gt;"",BG127&gt;0.5),"Check - well above the market","OK")))))))) )</f>
        <v>0</v>
      </c>
    </row>
    <row r="128" spans="1:71">
      <c r="A128" s="38">
        <f>IF(B128="","",ProductPrefix&amp;TEXT(ROW()-4,"0000"))</f>
        <v>0</v>
      </c>
      <c r="S128" s="38">
        <f>IF(B128="","",IF(C128&lt;&gt;"",C128,UPPER(LEFT(IF(D128="","GEN",D128),3))&amp;"-"&amp;TEXT(ROW()-4,"000")))</f>
        <v>0</v>
      </c>
      <c r="T128" s="20">
        <f>IF(B128="","",ROUND(SUMIFS('Material Usage'!$M$5:$M$904,'Material Usage'!$A$5:$A$904,A128)+SUMIFS(Crochet!$AD$5:$AD$84,Crochet!$A$5:$A$84,A128)+SUMIFS(Jewelry!$AF$5:$AF$84,Jewelry!$A$5:$A$84,A128)+SUMIFS(Candles!$AF$5:$AF$84,Candles!$A$5:$A$84,A128)+SUMIFS(Clothing!$AB$5:$AB$84,Clothing!$A$5:$A$84,A128)+SUMIFS(Woodworking!$AC$5:$AC$84,Woodworking!$A$5:$A$84,A128)+SUMIFS(Digital!$X$5:$X$84,Digital!$A$5:$A$84,A128),2))</f>
        <v>0</v>
      </c>
      <c r="U128" s="20">
        <f>IF(B128="","",ROUND(SUMIFS(Labor!$O$5:$O$304,Labor!$A$5:$A$304,A128)+SUMIFS(Crochet!$AG$5:$AG$84,Crochet!$A$5:$A$84,A128)+SUMIFS(Jewelry!$AI$5:$AI$84,Jewelry!$A$5:$A$84,A128)+SUMIFS(Candles!$AI$5:$AI$84,Candles!$A$5:$A$84,A128)+SUMIFS(Clothing!$AE$5:$AE$84,Clothing!$A$5:$A$84,A128)+SUMIFS(Woodworking!$AF$5:$AF$84,Woodworking!$A$5:$A$84,A128)+SUMIFS(Digital!$Z$5:$Z$84,Digital!$A$5:$A$84,A128),2))</f>
        <v>0</v>
      </c>
      <c r="V128" s="36">
        <f>IF(B128="","",ROUND(SUMIFS(Labor!$P$5:$P$304,Labor!$A$5:$A$304,A128)+SUMIFS(Crochet!$AE$5:$AE$84,Crochet!$A$5:$A$84,A128)+SUMIFS(Jewelry!$AG$5:$AG$84,Jewelry!$A$5:$A$84,A128)+SUMIFS(Candles!$AG$5:$AG$84,Candles!$A$5:$A$84,A128)+SUMIFS(Clothing!$AC$5:$AC$84,Clothing!$A$5:$A$84,A128)+SUMIFS(Woodworking!$AD$5:$AD$84,Woodworking!$A$5:$A$84,A128)+SUMIFS(Digital!$Y$5:$Y$84,Digital!$A$5:$A$84,A128),1))</f>
        <v>0</v>
      </c>
      <c r="W128" s="41">
        <f>IF(B128="","",IFERROR(INDEX(DiffTimeFactors,MATCH(G128,DiffNames,0)),1))</f>
        <v>0</v>
      </c>
      <c r="X128" s="36">
        <f>IF(B128="","",ROUND(V128*W128,1))</f>
        <v>0</v>
      </c>
      <c r="Y128" s="41">
        <f>IF(B128="","",ROUND(X128/60,3))</f>
        <v>0</v>
      </c>
      <c r="Z128" s="20">
        <f>IF(B128="","",ROUND(U128*W128,2))</f>
        <v>0</v>
      </c>
      <c r="AA128" s="20">
        <f>IF(B128="","",ROUND(SUMIFS(Labor!$Q$5:$Q$304,Labor!$A$5:$A$304,A128)+SUMIFS(Crochet!$AH$5:$AH$84,Crochet!$A$5:$A$84,A128)+SUMIFS(Jewelry!$AJ$5:$AJ$84,Jewelry!$A$5:$A$84,A128)+SUMIFS(Candles!$AJ$5:$AJ$84,Candles!$A$5:$A$84,A128)+SUMIFS(Clothing!$AF$5:$AF$84,Clothing!$A$5:$A$84,A128)+SUMIFS(Woodworking!$AH$5:$AH$84,Woodworking!$A$5:$A$84,A128)+SUMIFS(Digital!$AA$5:$AA$84,Digital!$A$5:$A$84,A128),2))</f>
        <v>0</v>
      </c>
      <c r="AB128" s="20">
        <f>IF(B128="","",ROUND(IF(I128="Budget",PackBudget,IF(I128="Standard",PackStandard,IF(I128="Gift",PackGift,IF(I128="Premium",PackPremium,DefaultPackaging)))),2))</f>
        <v>0</v>
      </c>
      <c r="AC128" s="36">
        <f>IF(B128="","",IF(I128="Budget",PackWeightBudget,IF(I128="Standard",PackWeightStandard,IF(I128="Gift",PackWeightGift,IF(I128="Premium",PackWeightPremium,0)))))</f>
        <v>0</v>
      </c>
      <c r="AD128" s="20">
        <f>IF(B128="","",IFERROR(INDEX(Shipping!$M$5:$M$64,MATCH(J128,Shipping!$L$5:$L$64,0)),DefaultShipping))</f>
        <v>0</v>
      </c>
      <c r="AE128" s="20">
        <f>IF(B128="","",IFERROR(INDEX(Shipping!$F$5:$F$64,MATCH(J128,Shipping!$L$5:$L$64,0)),0))</f>
        <v>0</v>
      </c>
      <c r="AF128" s="36">
        <f>IF(B128="","",IFERROR(INDEX(Shipping!$C$5:$C$64,MATCH(J128,Shipping!$L$5:$L$64,0)),""))</f>
        <v>0</v>
      </c>
      <c r="AG128" s="20">
        <f>IF(B128="","",ROUND(MAX(0,AD128-AE128),2))</f>
        <v>0</v>
      </c>
      <c r="AH128" s="20">
        <f>IF(B128="","",ROUND(T128+Z128+AA128+AB128+AG128,2))</f>
        <v>0</v>
      </c>
      <c r="AI128" s="33">
        <f>IF(B128="","",IFERROR(INDEX(Channels!$S$5:$S$18,MATCH(IF(H128="",DefaultChannel,H128),Channels!$A$5:$A$18,0)),0))</f>
        <v>0</v>
      </c>
      <c r="AJ128" s="42">
        <f>IF(B128="","",IFERROR(INDEX(Channels!$O$5:$O$18,MATCH(IF(H128="",DefaultChannel,H128),Channels!$A$5:$A$18,0)),"No"))</f>
        <v>0</v>
      </c>
      <c r="AK128" s="20">
        <f>IF(B128="","",ROUND(IFERROR(INDEX(Channels!$T$5:$T$18,MATCH(IF(H128="",DefaultChannel,H128),Channels!$A$5:$A$18,0)),0)+IF(AJ128="Yes",AE128*AI128,0),4))</f>
        <v>0</v>
      </c>
      <c r="AL128" s="33">
        <f>IF(B128="","",IF(OverheadMethod="Share of revenue",IF(RevenueTargetMonth&lt;=0,0,OverheadMonthly/RevenueTargetMonth),0))</f>
        <v>0</v>
      </c>
      <c r="AM128" s="20">
        <f>IF(B128="","",IF(OverheadMethod="Per hour worked",ROUND(OverheadPerHour*Y128,2),IF(OR(OverheadMethod="Per unit made",OverheadMethod="Per order"),OverheadPerUnit,0)))</f>
        <v>0</v>
      </c>
      <c r="AN128" s="33">
        <f>IF(B128="","",IF(N128&lt;&gt;"",N128,TargetRetailMargin))</f>
        <v>0</v>
      </c>
      <c r="AO128" s="41">
        <f>IF(B128="","",1-AN128-AI128-AL128)</f>
        <v>0</v>
      </c>
      <c r="AP128" s="20">
        <f>IF(B128="","",IF(AO128&lt;=0,"",(AH128+AM128+AK128)/AO128))</f>
        <v>0</v>
      </c>
      <c r="AQ128" s="20">
        <f>IF(B128="","",IF(AP128="","Check the settings",ROUND(IF(RoundingRule="None",AP128,IF(RoundingRule="Nearest 0.99",MAX(0.99,CEILING(AP128,1)-0.01),IF(RoundingRule="Nearest 0.95",MAX(0.95,CEILING(AP128,1)-0.05),IF(RoundingRule="Nearest 0.50",CEILING(AP128,0.5),IF(RoundingRule="Nearest 1",CEILING(AP128,1),IF(RoundingRule="Nearest 5",CEILING(AP128,5),IF(RoundingRule="Up to whole 1",CEILING(AP128,1),IF(RoundingRule="Up to whole 5",CEILING(AP128,5),ROUND(AP128,2))))))))),2)))</f>
        <v>0</v>
      </c>
      <c r="AR128" s="20">
        <f>IF(B128="","",IF(M128&lt;&gt;"",M128,IF(ISNUMBER(AQ128),AQ128,"")))</f>
        <v>0</v>
      </c>
      <c r="AS128" s="20">
        <f>IF(B128="","",IF(AR128="","",ROUND(AM128+AR128*AL128,2)))</f>
        <v>0</v>
      </c>
      <c r="AT128" s="20">
        <f>IF(B128="","",IF(AR128="","",ROUND(AH128+AS128,2)))</f>
        <v>0</v>
      </c>
      <c r="AU128" s="20">
        <f>IF(B128="","",IF(AR128="","",ROUND(AR128*AI128+AK128,2)))</f>
        <v>0</v>
      </c>
      <c r="AV128" s="20">
        <f>IF(B128="","",IF(AR128="","",ROUND(AR128-AT128-AU128,2)))</f>
        <v>0</v>
      </c>
      <c r="AW128" s="33">
        <f>IF(B128="","",IF(OR(AR128="",AR128=0),"",AV128/AR128))</f>
        <v>0</v>
      </c>
      <c r="AX128" s="33">
        <f>IF(B128="","",IF(OR(AT128="",AT128=0),"",AV128/AT128))</f>
        <v>0</v>
      </c>
      <c r="AY128" s="20">
        <f>IF(B128="","",IF(OR(Y128="",Y128=0,AV128=""),"",ROUND(AV128/Y128,2)))</f>
        <v>0</v>
      </c>
      <c r="AZ128" s="20">
        <f>IF(B128="","",IF(OR(Y128="",Y128=0,AV128=""),"",ROUND((AV128+Z128)/Y128,2)))</f>
        <v>0</v>
      </c>
      <c r="BA128" s="20">
        <f>IF(B128="","",IF(1-AI128-AL128&lt;=0,"",ROUND((AH128+AM128+AK128)/(1-AI128-AL128),2)))</f>
        <v>0</v>
      </c>
      <c r="BB128" s="20">
        <f>IF(B128="","",IF(AT128="","",ROUND(AT128*2,2)))</f>
        <v>0</v>
      </c>
      <c r="BC128" s="20">
        <f>IF(B128="","",IF(AR128="","",ROUND(AR128*(1-WholesaleDiscount),2)))</f>
        <v>0</v>
      </c>
      <c r="BD128" s="20">
        <f>IF(B128="","",IF(BC128="","",ROUND(BC128-AH128-AM128,2)))</f>
        <v>0</v>
      </c>
      <c r="BE128" s="33">
        <f>IF(B128="","",IF(OR(BC128="",BC128=0),"",BD128/BC128))</f>
        <v>0</v>
      </c>
      <c r="BF128" s="20">
        <f>IF(B128="","",IFERROR(ROUND(AVERAGEIFS(Competitors!$F$5:$F$154,Competitors!$A$5:$A$154,A128),2),""))</f>
        <v>0</v>
      </c>
      <c r="BG128" s="33">
        <f>IF(B128="","",IF(OR(BF128="",BF128=0,AR128=""),"",AR128/BF128-1))</f>
        <v>0</v>
      </c>
      <c r="BH128" s="32">
        <f>IF(B128="","",SUMIFS(Sales!$D$5:$D$804,Sales!$C$5:$C$804,A128))</f>
        <v>0</v>
      </c>
      <c r="BI128" s="20">
        <f>IF(B128="","",ROUND(SUMIFS(Sales!$V$5:$V$804,Sales!$C$5:$C$804,A128),2))</f>
        <v>0</v>
      </c>
      <c r="BJ128" s="20">
        <f>IF(B128="","",ROUND(SUMIFS(Sales!$AG$5:$AG$804,Sales!$C$5:$C$804,A128),2))</f>
        <v>0</v>
      </c>
      <c r="BK128" s="33">
        <f>IF(B128="","",IF(OR(BI128="",BI128=0),"",BJ128/BI128))</f>
        <v>0</v>
      </c>
      <c r="BL128" s="17">
        <f>IF(B128="","",IF(SUMPRODUCT(MAX((Sales!$C$5:$C$804=A128)*Sales!$B$5:$B$804))=0,"",SUMPRODUCT(MAX((Sales!$C$5:$C$804=A128)*Sales!$B$5:$B$804))))</f>
        <v>0</v>
      </c>
      <c r="BM128" s="17">
        <f>IF(B128="","",IF(SUMPRODUCT(MAX(('Price History'!$B$5:$B$304=A128)*'Price History'!$A$5:$A$304))=0,IF(P128="","",P128),SUMPRODUCT(MAX(('Price History'!$B$5:$B$304=A128)*'Price History'!$A$5:$A$304))))</f>
        <v>0</v>
      </c>
      <c r="BN128" s="32">
        <f>IF(B128="","",IF(BM128="","",TodayDate-BM128))</f>
        <v>0</v>
      </c>
      <c r="BO128" s="32">
        <f>IF(B128="","",COUNTIFS($AV$5:$AV$304,"&gt;"&amp;AV128)+COUNTIFS($AV$5:AV128,AV128))</f>
        <v>0</v>
      </c>
      <c r="BP128" s="32">
        <f>IF(B128="","",COUNTIFS($AW$5:$AW$304,"&gt;"&amp;AW128)+COUNTIFS($AW$5:AW128,AW128))</f>
        <v>0</v>
      </c>
      <c r="BQ128" s="32">
        <f>IF(B128="","",COUNTIFS($BI$5:$BI$304,"&gt;"&amp;BI128)+COUNTIFS($BI$5:BI128,BI128))</f>
        <v>0</v>
      </c>
      <c r="BR128" s="32">
        <f>IF(B128="","",COUNTIFS($AY$5:$AY$304,"&gt;"&amp;AY128)+COUNTIFS($AY$5:AY128,AY128))</f>
        <v>0</v>
      </c>
      <c r="BS128" s="43">
        <f>IF(B128="","",IF(AH128=0,"Add - no costs entered yet",IF(AR128="","Check - no price yet",IF(AV128&lt;0,"Loss - every sale costs you money",IF(AND(AZ128&lt;&gt;"",AZ128&lt;MinimumWage),"Below - pays under minimum wage",IF(AW128&lt;MarginWarning,"Low margin - re-price it",IF(AND(AF128&lt;&gt;"",K128&lt;&gt;"",K128+AC128&gt;AF128),"Check - too heavy for that postage band",IF(AND(BN128&lt;&gt;"",BN128&gt;PriceReviewDays),"Due - price has not been reviewed",IF(AND(BG128&lt;&gt;"",BG128&gt;0.5),"Check - well above the market","OK")))))))) )</f>
        <v>0</v>
      </c>
    </row>
    <row r="129" spans="1:71">
      <c r="A129" s="38">
        <f>IF(B129="","",ProductPrefix&amp;TEXT(ROW()-4,"0000"))</f>
        <v>0</v>
      </c>
      <c r="S129" s="38">
        <f>IF(B129="","",IF(C129&lt;&gt;"",C129,UPPER(LEFT(IF(D129="","GEN",D129),3))&amp;"-"&amp;TEXT(ROW()-4,"000")))</f>
        <v>0</v>
      </c>
      <c r="T129" s="20">
        <f>IF(B129="","",ROUND(SUMIFS('Material Usage'!$M$5:$M$904,'Material Usage'!$A$5:$A$904,A129)+SUMIFS(Crochet!$AD$5:$AD$84,Crochet!$A$5:$A$84,A129)+SUMIFS(Jewelry!$AF$5:$AF$84,Jewelry!$A$5:$A$84,A129)+SUMIFS(Candles!$AF$5:$AF$84,Candles!$A$5:$A$84,A129)+SUMIFS(Clothing!$AB$5:$AB$84,Clothing!$A$5:$A$84,A129)+SUMIFS(Woodworking!$AC$5:$AC$84,Woodworking!$A$5:$A$84,A129)+SUMIFS(Digital!$X$5:$X$84,Digital!$A$5:$A$84,A129),2))</f>
        <v>0</v>
      </c>
      <c r="U129" s="20">
        <f>IF(B129="","",ROUND(SUMIFS(Labor!$O$5:$O$304,Labor!$A$5:$A$304,A129)+SUMIFS(Crochet!$AG$5:$AG$84,Crochet!$A$5:$A$84,A129)+SUMIFS(Jewelry!$AI$5:$AI$84,Jewelry!$A$5:$A$84,A129)+SUMIFS(Candles!$AI$5:$AI$84,Candles!$A$5:$A$84,A129)+SUMIFS(Clothing!$AE$5:$AE$84,Clothing!$A$5:$A$84,A129)+SUMIFS(Woodworking!$AF$5:$AF$84,Woodworking!$A$5:$A$84,A129)+SUMIFS(Digital!$Z$5:$Z$84,Digital!$A$5:$A$84,A129),2))</f>
        <v>0</v>
      </c>
      <c r="V129" s="36">
        <f>IF(B129="","",ROUND(SUMIFS(Labor!$P$5:$P$304,Labor!$A$5:$A$304,A129)+SUMIFS(Crochet!$AE$5:$AE$84,Crochet!$A$5:$A$84,A129)+SUMIFS(Jewelry!$AG$5:$AG$84,Jewelry!$A$5:$A$84,A129)+SUMIFS(Candles!$AG$5:$AG$84,Candles!$A$5:$A$84,A129)+SUMIFS(Clothing!$AC$5:$AC$84,Clothing!$A$5:$A$84,A129)+SUMIFS(Woodworking!$AD$5:$AD$84,Woodworking!$A$5:$A$84,A129)+SUMIFS(Digital!$Y$5:$Y$84,Digital!$A$5:$A$84,A129),1))</f>
        <v>0</v>
      </c>
      <c r="W129" s="41">
        <f>IF(B129="","",IFERROR(INDEX(DiffTimeFactors,MATCH(G129,DiffNames,0)),1))</f>
        <v>0</v>
      </c>
      <c r="X129" s="36">
        <f>IF(B129="","",ROUND(V129*W129,1))</f>
        <v>0</v>
      </c>
      <c r="Y129" s="41">
        <f>IF(B129="","",ROUND(X129/60,3))</f>
        <v>0</v>
      </c>
      <c r="Z129" s="20">
        <f>IF(B129="","",ROUND(U129*W129,2))</f>
        <v>0</v>
      </c>
      <c r="AA129" s="20">
        <f>IF(B129="","",ROUND(SUMIFS(Labor!$Q$5:$Q$304,Labor!$A$5:$A$304,A129)+SUMIFS(Crochet!$AH$5:$AH$84,Crochet!$A$5:$A$84,A129)+SUMIFS(Jewelry!$AJ$5:$AJ$84,Jewelry!$A$5:$A$84,A129)+SUMIFS(Candles!$AJ$5:$AJ$84,Candles!$A$5:$A$84,A129)+SUMIFS(Clothing!$AF$5:$AF$84,Clothing!$A$5:$A$84,A129)+SUMIFS(Woodworking!$AH$5:$AH$84,Woodworking!$A$5:$A$84,A129)+SUMIFS(Digital!$AA$5:$AA$84,Digital!$A$5:$A$84,A129),2))</f>
        <v>0</v>
      </c>
      <c r="AB129" s="20">
        <f>IF(B129="","",ROUND(IF(I129="Budget",PackBudget,IF(I129="Standard",PackStandard,IF(I129="Gift",PackGift,IF(I129="Premium",PackPremium,DefaultPackaging)))),2))</f>
        <v>0</v>
      </c>
      <c r="AC129" s="36">
        <f>IF(B129="","",IF(I129="Budget",PackWeightBudget,IF(I129="Standard",PackWeightStandard,IF(I129="Gift",PackWeightGift,IF(I129="Premium",PackWeightPremium,0)))))</f>
        <v>0</v>
      </c>
      <c r="AD129" s="20">
        <f>IF(B129="","",IFERROR(INDEX(Shipping!$M$5:$M$64,MATCH(J129,Shipping!$L$5:$L$64,0)),DefaultShipping))</f>
        <v>0</v>
      </c>
      <c r="AE129" s="20">
        <f>IF(B129="","",IFERROR(INDEX(Shipping!$F$5:$F$64,MATCH(J129,Shipping!$L$5:$L$64,0)),0))</f>
        <v>0</v>
      </c>
      <c r="AF129" s="36">
        <f>IF(B129="","",IFERROR(INDEX(Shipping!$C$5:$C$64,MATCH(J129,Shipping!$L$5:$L$64,0)),""))</f>
        <v>0</v>
      </c>
      <c r="AG129" s="20">
        <f>IF(B129="","",ROUND(MAX(0,AD129-AE129),2))</f>
        <v>0</v>
      </c>
      <c r="AH129" s="20">
        <f>IF(B129="","",ROUND(T129+Z129+AA129+AB129+AG129,2))</f>
        <v>0</v>
      </c>
      <c r="AI129" s="33">
        <f>IF(B129="","",IFERROR(INDEX(Channels!$S$5:$S$18,MATCH(IF(H129="",DefaultChannel,H129),Channels!$A$5:$A$18,0)),0))</f>
        <v>0</v>
      </c>
      <c r="AJ129" s="42">
        <f>IF(B129="","",IFERROR(INDEX(Channels!$O$5:$O$18,MATCH(IF(H129="",DefaultChannel,H129),Channels!$A$5:$A$18,0)),"No"))</f>
        <v>0</v>
      </c>
      <c r="AK129" s="20">
        <f>IF(B129="","",ROUND(IFERROR(INDEX(Channels!$T$5:$T$18,MATCH(IF(H129="",DefaultChannel,H129),Channels!$A$5:$A$18,0)),0)+IF(AJ129="Yes",AE129*AI129,0),4))</f>
        <v>0</v>
      </c>
      <c r="AL129" s="33">
        <f>IF(B129="","",IF(OverheadMethod="Share of revenue",IF(RevenueTargetMonth&lt;=0,0,OverheadMonthly/RevenueTargetMonth),0))</f>
        <v>0</v>
      </c>
      <c r="AM129" s="20">
        <f>IF(B129="","",IF(OverheadMethod="Per hour worked",ROUND(OverheadPerHour*Y129,2),IF(OR(OverheadMethod="Per unit made",OverheadMethod="Per order"),OverheadPerUnit,0)))</f>
        <v>0</v>
      </c>
      <c r="AN129" s="33">
        <f>IF(B129="","",IF(N129&lt;&gt;"",N129,TargetRetailMargin))</f>
        <v>0</v>
      </c>
      <c r="AO129" s="41">
        <f>IF(B129="","",1-AN129-AI129-AL129)</f>
        <v>0</v>
      </c>
      <c r="AP129" s="20">
        <f>IF(B129="","",IF(AO129&lt;=0,"",(AH129+AM129+AK129)/AO129))</f>
        <v>0</v>
      </c>
      <c r="AQ129" s="20">
        <f>IF(B129="","",IF(AP129="","Check the settings",ROUND(IF(RoundingRule="None",AP129,IF(RoundingRule="Nearest 0.99",MAX(0.99,CEILING(AP129,1)-0.01),IF(RoundingRule="Nearest 0.95",MAX(0.95,CEILING(AP129,1)-0.05),IF(RoundingRule="Nearest 0.50",CEILING(AP129,0.5),IF(RoundingRule="Nearest 1",CEILING(AP129,1),IF(RoundingRule="Nearest 5",CEILING(AP129,5),IF(RoundingRule="Up to whole 1",CEILING(AP129,1),IF(RoundingRule="Up to whole 5",CEILING(AP129,5),ROUND(AP129,2))))))))),2)))</f>
        <v>0</v>
      </c>
      <c r="AR129" s="20">
        <f>IF(B129="","",IF(M129&lt;&gt;"",M129,IF(ISNUMBER(AQ129),AQ129,"")))</f>
        <v>0</v>
      </c>
      <c r="AS129" s="20">
        <f>IF(B129="","",IF(AR129="","",ROUND(AM129+AR129*AL129,2)))</f>
        <v>0</v>
      </c>
      <c r="AT129" s="20">
        <f>IF(B129="","",IF(AR129="","",ROUND(AH129+AS129,2)))</f>
        <v>0</v>
      </c>
      <c r="AU129" s="20">
        <f>IF(B129="","",IF(AR129="","",ROUND(AR129*AI129+AK129,2)))</f>
        <v>0</v>
      </c>
      <c r="AV129" s="20">
        <f>IF(B129="","",IF(AR129="","",ROUND(AR129-AT129-AU129,2)))</f>
        <v>0</v>
      </c>
      <c r="AW129" s="33">
        <f>IF(B129="","",IF(OR(AR129="",AR129=0),"",AV129/AR129))</f>
        <v>0</v>
      </c>
      <c r="AX129" s="33">
        <f>IF(B129="","",IF(OR(AT129="",AT129=0),"",AV129/AT129))</f>
        <v>0</v>
      </c>
      <c r="AY129" s="20">
        <f>IF(B129="","",IF(OR(Y129="",Y129=0,AV129=""),"",ROUND(AV129/Y129,2)))</f>
        <v>0</v>
      </c>
      <c r="AZ129" s="20">
        <f>IF(B129="","",IF(OR(Y129="",Y129=0,AV129=""),"",ROUND((AV129+Z129)/Y129,2)))</f>
        <v>0</v>
      </c>
      <c r="BA129" s="20">
        <f>IF(B129="","",IF(1-AI129-AL129&lt;=0,"",ROUND((AH129+AM129+AK129)/(1-AI129-AL129),2)))</f>
        <v>0</v>
      </c>
      <c r="BB129" s="20">
        <f>IF(B129="","",IF(AT129="","",ROUND(AT129*2,2)))</f>
        <v>0</v>
      </c>
      <c r="BC129" s="20">
        <f>IF(B129="","",IF(AR129="","",ROUND(AR129*(1-WholesaleDiscount),2)))</f>
        <v>0</v>
      </c>
      <c r="BD129" s="20">
        <f>IF(B129="","",IF(BC129="","",ROUND(BC129-AH129-AM129,2)))</f>
        <v>0</v>
      </c>
      <c r="BE129" s="33">
        <f>IF(B129="","",IF(OR(BC129="",BC129=0),"",BD129/BC129))</f>
        <v>0</v>
      </c>
      <c r="BF129" s="20">
        <f>IF(B129="","",IFERROR(ROUND(AVERAGEIFS(Competitors!$F$5:$F$154,Competitors!$A$5:$A$154,A129),2),""))</f>
        <v>0</v>
      </c>
      <c r="BG129" s="33">
        <f>IF(B129="","",IF(OR(BF129="",BF129=0,AR129=""),"",AR129/BF129-1))</f>
        <v>0</v>
      </c>
      <c r="BH129" s="32">
        <f>IF(B129="","",SUMIFS(Sales!$D$5:$D$804,Sales!$C$5:$C$804,A129))</f>
        <v>0</v>
      </c>
      <c r="BI129" s="20">
        <f>IF(B129="","",ROUND(SUMIFS(Sales!$V$5:$V$804,Sales!$C$5:$C$804,A129),2))</f>
        <v>0</v>
      </c>
      <c r="BJ129" s="20">
        <f>IF(B129="","",ROUND(SUMIFS(Sales!$AG$5:$AG$804,Sales!$C$5:$C$804,A129),2))</f>
        <v>0</v>
      </c>
      <c r="BK129" s="33">
        <f>IF(B129="","",IF(OR(BI129="",BI129=0),"",BJ129/BI129))</f>
        <v>0</v>
      </c>
      <c r="BL129" s="17">
        <f>IF(B129="","",IF(SUMPRODUCT(MAX((Sales!$C$5:$C$804=A129)*Sales!$B$5:$B$804))=0,"",SUMPRODUCT(MAX((Sales!$C$5:$C$804=A129)*Sales!$B$5:$B$804))))</f>
        <v>0</v>
      </c>
      <c r="BM129" s="17">
        <f>IF(B129="","",IF(SUMPRODUCT(MAX(('Price History'!$B$5:$B$304=A129)*'Price History'!$A$5:$A$304))=0,IF(P129="","",P129),SUMPRODUCT(MAX(('Price History'!$B$5:$B$304=A129)*'Price History'!$A$5:$A$304))))</f>
        <v>0</v>
      </c>
      <c r="BN129" s="32">
        <f>IF(B129="","",IF(BM129="","",TodayDate-BM129))</f>
        <v>0</v>
      </c>
      <c r="BO129" s="32">
        <f>IF(B129="","",COUNTIFS($AV$5:$AV$304,"&gt;"&amp;AV129)+COUNTIFS($AV$5:AV129,AV129))</f>
        <v>0</v>
      </c>
      <c r="BP129" s="32">
        <f>IF(B129="","",COUNTIFS($AW$5:$AW$304,"&gt;"&amp;AW129)+COUNTIFS($AW$5:AW129,AW129))</f>
        <v>0</v>
      </c>
      <c r="BQ129" s="32">
        <f>IF(B129="","",COUNTIFS($BI$5:$BI$304,"&gt;"&amp;BI129)+COUNTIFS($BI$5:BI129,BI129))</f>
        <v>0</v>
      </c>
      <c r="BR129" s="32">
        <f>IF(B129="","",COUNTIFS($AY$5:$AY$304,"&gt;"&amp;AY129)+COUNTIFS($AY$5:AY129,AY129))</f>
        <v>0</v>
      </c>
      <c r="BS129" s="43">
        <f>IF(B129="","",IF(AH129=0,"Add - no costs entered yet",IF(AR129="","Check - no price yet",IF(AV129&lt;0,"Loss - every sale costs you money",IF(AND(AZ129&lt;&gt;"",AZ129&lt;MinimumWage),"Below - pays under minimum wage",IF(AW129&lt;MarginWarning,"Low margin - re-price it",IF(AND(AF129&lt;&gt;"",K129&lt;&gt;"",K129+AC129&gt;AF129),"Check - too heavy for that postage band",IF(AND(BN129&lt;&gt;"",BN129&gt;PriceReviewDays),"Due - price has not been reviewed",IF(AND(BG129&lt;&gt;"",BG129&gt;0.5),"Check - well above the market","OK")))))))) )</f>
        <v>0</v>
      </c>
    </row>
    <row r="130" spans="1:71">
      <c r="A130" s="38">
        <f>IF(B130="","",ProductPrefix&amp;TEXT(ROW()-4,"0000"))</f>
        <v>0</v>
      </c>
      <c r="S130" s="38">
        <f>IF(B130="","",IF(C130&lt;&gt;"",C130,UPPER(LEFT(IF(D130="","GEN",D130),3))&amp;"-"&amp;TEXT(ROW()-4,"000")))</f>
        <v>0</v>
      </c>
      <c r="T130" s="20">
        <f>IF(B130="","",ROUND(SUMIFS('Material Usage'!$M$5:$M$904,'Material Usage'!$A$5:$A$904,A130)+SUMIFS(Crochet!$AD$5:$AD$84,Crochet!$A$5:$A$84,A130)+SUMIFS(Jewelry!$AF$5:$AF$84,Jewelry!$A$5:$A$84,A130)+SUMIFS(Candles!$AF$5:$AF$84,Candles!$A$5:$A$84,A130)+SUMIFS(Clothing!$AB$5:$AB$84,Clothing!$A$5:$A$84,A130)+SUMIFS(Woodworking!$AC$5:$AC$84,Woodworking!$A$5:$A$84,A130)+SUMIFS(Digital!$X$5:$X$84,Digital!$A$5:$A$84,A130),2))</f>
        <v>0</v>
      </c>
      <c r="U130" s="20">
        <f>IF(B130="","",ROUND(SUMIFS(Labor!$O$5:$O$304,Labor!$A$5:$A$304,A130)+SUMIFS(Crochet!$AG$5:$AG$84,Crochet!$A$5:$A$84,A130)+SUMIFS(Jewelry!$AI$5:$AI$84,Jewelry!$A$5:$A$84,A130)+SUMIFS(Candles!$AI$5:$AI$84,Candles!$A$5:$A$84,A130)+SUMIFS(Clothing!$AE$5:$AE$84,Clothing!$A$5:$A$84,A130)+SUMIFS(Woodworking!$AF$5:$AF$84,Woodworking!$A$5:$A$84,A130)+SUMIFS(Digital!$Z$5:$Z$84,Digital!$A$5:$A$84,A130),2))</f>
        <v>0</v>
      </c>
      <c r="V130" s="36">
        <f>IF(B130="","",ROUND(SUMIFS(Labor!$P$5:$P$304,Labor!$A$5:$A$304,A130)+SUMIFS(Crochet!$AE$5:$AE$84,Crochet!$A$5:$A$84,A130)+SUMIFS(Jewelry!$AG$5:$AG$84,Jewelry!$A$5:$A$84,A130)+SUMIFS(Candles!$AG$5:$AG$84,Candles!$A$5:$A$84,A130)+SUMIFS(Clothing!$AC$5:$AC$84,Clothing!$A$5:$A$84,A130)+SUMIFS(Woodworking!$AD$5:$AD$84,Woodworking!$A$5:$A$84,A130)+SUMIFS(Digital!$Y$5:$Y$84,Digital!$A$5:$A$84,A130),1))</f>
        <v>0</v>
      </c>
      <c r="W130" s="41">
        <f>IF(B130="","",IFERROR(INDEX(DiffTimeFactors,MATCH(G130,DiffNames,0)),1))</f>
        <v>0</v>
      </c>
      <c r="X130" s="36">
        <f>IF(B130="","",ROUND(V130*W130,1))</f>
        <v>0</v>
      </c>
      <c r="Y130" s="41">
        <f>IF(B130="","",ROUND(X130/60,3))</f>
        <v>0</v>
      </c>
      <c r="Z130" s="20">
        <f>IF(B130="","",ROUND(U130*W130,2))</f>
        <v>0</v>
      </c>
      <c r="AA130" s="20">
        <f>IF(B130="","",ROUND(SUMIFS(Labor!$Q$5:$Q$304,Labor!$A$5:$A$304,A130)+SUMIFS(Crochet!$AH$5:$AH$84,Crochet!$A$5:$A$84,A130)+SUMIFS(Jewelry!$AJ$5:$AJ$84,Jewelry!$A$5:$A$84,A130)+SUMIFS(Candles!$AJ$5:$AJ$84,Candles!$A$5:$A$84,A130)+SUMIFS(Clothing!$AF$5:$AF$84,Clothing!$A$5:$A$84,A130)+SUMIFS(Woodworking!$AH$5:$AH$84,Woodworking!$A$5:$A$84,A130)+SUMIFS(Digital!$AA$5:$AA$84,Digital!$A$5:$A$84,A130),2))</f>
        <v>0</v>
      </c>
      <c r="AB130" s="20">
        <f>IF(B130="","",ROUND(IF(I130="Budget",PackBudget,IF(I130="Standard",PackStandard,IF(I130="Gift",PackGift,IF(I130="Premium",PackPremium,DefaultPackaging)))),2))</f>
        <v>0</v>
      </c>
      <c r="AC130" s="36">
        <f>IF(B130="","",IF(I130="Budget",PackWeightBudget,IF(I130="Standard",PackWeightStandard,IF(I130="Gift",PackWeightGift,IF(I130="Premium",PackWeightPremium,0)))))</f>
        <v>0</v>
      </c>
      <c r="AD130" s="20">
        <f>IF(B130="","",IFERROR(INDEX(Shipping!$M$5:$M$64,MATCH(J130,Shipping!$L$5:$L$64,0)),DefaultShipping))</f>
        <v>0</v>
      </c>
      <c r="AE130" s="20">
        <f>IF(B130="","",IFERROR(INDEX(Shipping!$F$5:$F$64,MATCH(J130,Shipping!$L$5:$L$64,0)),0))</f>
        <v>0</v>
      </c>
      <c r="AF130" s="36">
        <f>IF(B130="","",IFERROR(INDEX(Shipping!$C$5:$C$64,MATCH(J130,Shipping!$L$5:$L$64,0)),""))</f>
        <v>0</v>
      </c>
      <c r="AG130" s="20">
        <f>IF(B130="","",ROUND(MAX(0,AD130-AE130),2))</f>
        <v>0</v>
      </c>
      <c r="AH130" s="20">
        <f>IF(B130="","",ROUND(T130+Z130+AA130+AB130+AG130,2))</f>
        <v>0</v>
      </c>
      <c r="AI130" s="33">
        <f>IF(B130="","",IFERROR(INDEX(Channels!$S$5:$S$18,MATCH(IF(H130="",DefaultChannel,H130),Channels!$A$5:$A$18,0)),0))</f>
        <v>0</v>
      </c>
      <c r="AJ130" s="42">
        <f>IF(B130="","",IFERROR(INDEX(Channels!$O$5:$O$18,MATCH(IF(H130="",DefaultChannel,H130),Channels!$A$5:$A$18,0)),"No"))</f>
        <v>0</v>
      </c>
      <c r="AK130" s="20">
        <f>IF(B130="","",ROUND(IFERROR(INDEX(Channels!$T$5:$T$18,MATCH(IF(H130="",DefaultChannel,H130),Channels!$A$5:$A$18,0)),0)+IF(AJ130="Yes",AE130*AI130,0),4))</f>
        <v>0</v>
      </c>
      <c r="AL130" s="33">
        <f>IF(B130="","",IF(OverheadMethod="Share of revenue",IF(RevenueTargetMonth&lt;=0,0,OverheadMonthly/RevenueTargetMonth),0))</f>
        <v>0</v>
      </c>
      <c r="AM130" s="20">
        <f>IF(B130="","",IF(OverheadMethod="Per hour worked",ROUND(OverheadPerHour*Y130,2),IF(OR(OverheadMethod="Per unit made",OverheadMethod="Per order"),OverheadPerUnit,0)))</f>
        <v>0</v>
      </c>
      <c r="AN130" s="33">
        <f>IF(B130="","",IF(N130&lt;&gt;"",N130,TargetRetailMargin))</f>
        <v>0</v>
      </c>
      <c r="AO130" s="41">
        <f>IF(B130="","",1-AN130-AI130-AL130)</f>
        <v>0</v>
      </c>
      <c r="AP130" s="20">
        <f>IF(B130="","",IF(AO130&lt;=0,"",(AH130+AM130+AK130)/AO130))</f>
        <v>0</v>
      </c>
      <c r="AQ130" s="20">
        <f>IF(B130="","",IF(AP130="","Check the settings",ROUND(IF(RoundingRule="None",AP130,IF(RoundingRule="Nearest 0.99",MAX(0.99,CEILING(AP130,1)-0.01),IF(RoundingRule="Nearest 0.95",MAX(0.95,CEILING(AP130,1)-0.05),IF(RoundingRule="Nearest 0.50",CEILING(AP130,0.5),IF(RoundingRule="Nearest 1",CEILING(AP130,1),IF(RoundingRule="Nearest 5",CEILING(AP130,5),IF(RoundingRule="Up to whole 1",CEILING(AP130,1),IF(RoundingRule="Up to whole 5",CEILING(AP130,5),ROUND(AP130,2))))))))),2)))</f>
        <v>0</v>
      </c>
      <c r="AR130" s="20">
        <f>IF(B130="","",IF(M130&lt;&gt;"",M130,IF(ISNUMBER(AQ130),AQ130,"")))</f>
        <v>0</v>
      </c>
      <c r="AS130" s="20">
        <f>IF(B130="","",IF(AR130="","",ROUND(AM130+AR130*AL130,2)))</f>
        <v>0</v>
      </c>
      <c r="AT130" s="20">
        <f>IF(B130="","",IF(AR130="","",ROUND(AH130+AS130,2)))</f>
        <v>0</v>
      </c>
      <c r="AU130" s="20">
        <f>IF(B130="","",IF(AR130="","",ROUND(AR130*AI130+AK130,2)))</f>
        <v>0</v>
      </c>
      <c r="AV130" s="20">
        <f>IF(B130="","",IF(AR130="","",ROUND(AR130-AT130-AU130,2)))</f>
        <v>0</v>
      </c>
      <c r="AW130" s="33">
        <f>IF(B130="","",IF(OR(AR130="",AR130=0),"",AV130/AR130))</f>
        <v>0</v>
      </c>
      <c r="AX130" s="33">
        <f>IF(B130="","",IF(OR(AT130="",AT130=0),"",AV130/AT130))</f>
        <v>0</v>
      </c>
      <c r="AY130" s="20">
        <f>IF(B130="","",IF(OR(Y130="",Y130=0,AV130=""),"",ROUND(AV130/Y130,2)))</f>
        <v>0</v>
      </c>
      <c r="AZ130" s="20">
        <f>IF(B130="","",IF(OR(Y130="",Y130=0,AV130=""),"",ROUND((AV130+Z130)/Y130,2)))</f>
        <v>0</v>
      </c>
      <c r="BA130" s="20">
        <f>IF(B130="","",IF(1-AI130-AL130&lt;=0,"",ROUND((AH130+AM130+AK130)/(1-AI130-AL130),2)))</f>
        <v>0</v>
      </c>
      <c r="BB130" s="20">
        <f>IF(B130="","",IF(AT130="","",ROUND(AT130*2,2)))</f>
        <v>0</v>
      </c>
      <c r="BC130" s="20">
        <f>IF(B130="","",IF(AR130="","",ROUND(AR130*(1-WholesaleDiscount),2)))</f>
        <v>0</v>
      </c>
      <c r="BD130" s="20">
        <f>IF(B130="","",IF(BC130="","",ROUND(BC130-AH130-AM130,2)))</f>
        <v>0</v>
      </c>
      <c r="BE130" s="33">
        <f>IF(B130="","",IF(OR(BC130="",BC130=0),"",BD130/BC130))</f>
        <v>0</v>
      </c>
      <c r="BF130" s="20">
        <f>IF(B130="","",IFERROR(ROUND(AVERAGEIFS(Competitors!$F$5:$F$154,Competitors!$A$5:$A$154,A130),2),""))</f>
        <v>0</v>
      </c>
      <c r="BG130" s="33">
        <f>IF(B130="","",IF(OR(BF130="",BF130=0,AR130=""),"",AR130/BF130-1))</f>
        <v>0</v>
      </c>
      <c r="BH130" s="32">
        <f>IF(B130="","",SUMIFS(Sales!$D$5:$D$804,Sales!$C$5:$C$804,A130))</f>
        <v>0</v>
      </c>
      <c r="BI130" s="20">
        <f>IF(B130="","",ROUND(SUMIFS(Sales!$V$5:$V$804,Sales!$C$5:$C$804,A130),2))</f>
        <v>0</v>
      </c>
      <c r="BJ130" s="20">
        <f>IF(B130="","",ROUND(SUMIFS(Sales!$AG$5:$AG$804,Sales!$C$5:$C$804,A130),2))</f>
        <v>0</v>
      </c>
      <c r="BK130" s="33">
        <f>IF(B130="","",IF(OR(BI130="",BI130=0),"",BJ130/BI130))</f>
        <v>0</v>
      </c>
      <c r="BL130" s="17">
        <f>IF(B130="","",IF(SUMPRODUCT(MAX((Sales!$C$5:$C$804=A130)*Sales!$B$5:$B$804))=0,"",SUMPRODUCT(MAX((Sales!$C$5:$C$804=A130)*Sales!$B$5:$B$804))))</f>
        <v>0</v>
      </c>
      <c r="BM130" s="17">
        <f>IF(B130="","",IF(SUMPRODUCT(MAX(('Price History'!$B$5:$B$304=A130)*'Price History'!$A$5:$A$304))=0,IF(P130="","",P130),SUMPRODUCT(MAX(('Price History'!$B$5:$B$304=A130)*'Price History'!$A$5:$A$304))))</f>
        <v>0</v>
      </c>
      <c r="BN130" s="32">
        <f>IF(B130="","",IF(BM130="","",TodayDate-BM130))</f>
        <v>0</v>
      </c>
      <c r="BO130" s="32">
        <f>IF(B130="","",COUNTIFS($AV$5:$AV$304,"&gt;"&amp;AV130)+COUNTIFS($AV$5:AV130,AV130))</f>
        <v>0</v>
      </c>
      <c r="BP130" s="32">
        <f>IF(B130="","",COUNTIFS($AW$5:$AW$304,"&gt;"&amp;AW130)+COUNTIFS($AW$5:AW130,AW130))</f>
        <v>0</v>
      </c>
      <c r="BQ130" s="32">
        <f>IF(B130="","",COUNTIFS($BI$5:$BI$304,"&gt;"&amp;BI130)+COUNTIFS($BI$5:BI130,BI130))</f>
        <v>0</v>
      </c>
      <c r="BR130" s="32">
        <f>IF(B130="","",COUNTIFS($AY$5:$AY$304,"&gt;"&amp;AY130)+COUNTIFS($AY$5:AY130,AY130))</f>
        <v>0</v>
      </c>
      <c r="BS130" s="43">
        <f>IF(B130="","",IF(AH130=0,"Add - no costs entered yet",IF(AR130="","Check - no price yet",IF(AV130&lt;0,"Loss - every sale costs you money",IF(AND(AZ130&lt;&gt;"",AZ130&lt;MinimumWage),"Below - pays under minimum wage",IF(AW130&lt;MarginWarning,"Low margin - re-price it",IF(AND(AF130&lt;&gt;"",K130&lt;&gt;"",K130+AC130&gt;AF130),"Check - too heavy for that postage band",IF(AND(BN130&lt;&gt;"",BN130&gt;PriceReviewDays),"Due - price has not been reviewed",IF(AND(BG130&lt;&gt;"",BG130&gt;0.5),"Check - well above the market","OK")))))))) )</f>
        <v>0</v>
      </c>
    </row>
    <row r="131" spans="1:71">
      <c r="A131" s="38">
        <f>IF(B131="","",ProductPrefix&amp;TEXT(ROW()-4,"0000"))</f>
        <v>0</v>
      </c>
      <c r="S131" s="38">
        <f>IF(B131="","",IF(C131&lt;&gt;"",C131,UPPER(LEFT(IF(D131="","GEN",D131),3))&amp;"-"&amp;TEXT(ROW()-4,"000")))</f>
        <v>0</v>
      </c>
      <c r="T131" s="20">
        <f>IF(B131="","",ROUND(SUMIFS('Material Usage'!$M$5:$M$904,'Material Usage'!$A$5:$A$904,A131)+SUMIFS(Crochet!$AD$5:$AD$84,Crochet!$A$5:$A$84,A131)+SUMIFS(Jewelry!$AF$5:$AF$84,Jewelry!$A$5:$A$84,A131)+SUMIFS(Candles!$AF$5:$AF$84,Candles!$A$5:$A$84,A131)+SUMIFS(Clothing!$AB$5:$AB$84,Clothing!$A$5:$A$84,A131)+SUMIFS(Woodworking!$AC$5:$AC$84,Woodworking!$A$5:$A$84,A131)+SUMIFS(Digital!$X$5:$X$84,Digital!$A$5:$A$84,A131),2))</f>
        <v>0</v>
      </c>
      <c r="U131" s="20">
        <f>IF(B131="","",ROUND(SUMIFS(Labor!$O$5:$O$304,Labor!$A$5:$A$304,A131)+SUMIFS(Crochet!$AG$5:$AG$84,Crochet!$A$5:$A$84,A131)+SUMIFS(Jewelry!$AI$5:$AI$84,Jewelry!$A$5:$A$84,A131)+SUMIFS(Candles!$AI$5:$AI$84,Candles!$A$5:$A$84,A131)+SUMIFS(Clothing!$AE$5:$AE$84,Clothing!$A$5:$A$84,A131)+SUMIFS(Woodworking!$AF$5:$AF$84,Woodworking!$A$5:$A$84,A131)+SUMIFS(Digital!$Z$5:$Z$84,Digital!$A$5:$A$84,A131),2))</f>
        <v>0</v>
      </c>
      <c r="V131" s="36">
        <f>IF(B131="","",ROUND(SUMIFS(Labor!$P$5:$P$304,Labor!$A$5:$A$304,A131)+SUMIFS(Crochet!$AE$5:$AE$84,Crochet!$A$5:$A$84,A131)+SUMIFS(Jewelry!$AG$5:$AG$84,Jewelry!$A$5:$A$84,A131)+SUMIFS(Candles!$AG$5:$AG$84,Candles!$A$5:$A$84,A131)+SUMIFS(Clothing!$AC$5:$AC$84,Clothing!$A$5:$A$84,A131)+SUMIFS(Woodworking!$AD$5:$AD$84,Woodworking!$A$5:$A$84,A131)+SUMIFS(Digital!$Y$5:$Y$84,Digital!$A$5:$A$84,A131),1))</f>
        <v>0</v>
      </c>
      <c r="W131" s="41">
        <f>IF(B131="","",IFERROR(INDEX(DiffTimeFactors,MATCH(G131,DiffNames,0)),1))</f>
        <v>0</v>
      </c>
      <c r="X131" s="36">
        <f>IF(B131="","",ROUND(V131*W131,1))</f>
        <v>0</v>
      </c>
      <c r="Y131" s="41">
        <f>IF(B131="","",ROUND(X131/60,3))</f>
        <v>0</v>
      </c>
      <c r="Z131" s="20">
        <f>IF(B131="","",ROUND(U131*W131,2))</f>
        <v>0</v>
      </c>
      <c r="AA131" s="20">
        <f>IF(B131="","",ROUND(SUMIFS(Labor!$Q$5:$Q$304,Labor!$A$5:$A$304,A131)+SUMIFS(Crochet!$AH$5:$AH$84,Crochet!$A$5:$A$84,A131)+SUMIFS(Jewelry!$AJ$5:$AJ$84,Jewelry!$A$5:$A$84,A131)+SUMIFS(Candles!$AJ$5:$AJ$84,Candles!$A$5:$A$84,A131)+SUMIFS(Clothing!$AF$5:$AF$84,Clothing!$A$5:$A$84,A131)+SUMIFS(Woodworking!$AH$5:$AH$84,Woodworking!$A$5:$A$84,A131)+SUMIFS(Digital!$AA$5:$AA$84,Digital!$A$5:$A$84,A131),2))</f>
        <v>0</v>
      </c>
      <c r="AB131" s="20">
        <f>IF(B131="","",ROUND(IF(I131="Budget",PackBudget,IF(I131="Standard",PackStandard,IF(I131="Gift",PackGift,IF(I131="Premium",PackPremium,DefaultPackaging)))),2))</f>
        <v>0</v>
      </c>
      <c r="AC131" s="36">
        <f>IF(B131="","",IF(I131="Budget",PackWeightBudget,IF(I131="Standard",PackWeightStandard,IF(I131="Gift",PackWeightGift,IF(I131="Premium",PackWeightPremium,0)))))</f>
        <v>0</v>
      </c>
      <c r="AD131" s="20">
        <f>IF(B131="","",IFERROR(INDEX(Shipping!$M$5:$M$64,MATCH(J131,Shipping!$L$5:$L$64,0)),DefaultShipping))</f>
        <v>0</v>
      </c>
      <c r="AE131" s="20">
        <f>IF(B131="","",IFERROR(INDEX(Shipping!$F$5:$F$64,MATCH(J131,Shipping!$L$5:$L$64,0)),0))</f>
        <v>0</v>
      </c>
      <c r="AF131" s="36">
        <f>IF(B131="","",IFERROR(INDEX(Shipping!$C$5:$C$64,MATCH(J131,Shipping!$L$5:$L$64,0)),""))</f>
        <v>0</v>
      </c>
      <c r="AG131" s="20">
        <f>IF(B131="","",ROUND(MAX(0,AD131-AE131),2))</f>
        <v>0</v>
      </c>
      <c r="AH131" s="20">
        <f>IF(B131="","",ROUND(T131+Z131+AA131+AB131+AG131,2))</f>
        <v>0</v>
      </c>
      <c r="AI131" s="33">
        <f>IF(B131="","",IFERROR(INDEX(Channels!$S$5:$S$18,MATCH(IF(H131="",DefaultChannel,H131),Channels!$A$5:$A$18,0)),0))</f>
        <v>0</v>
      </c>
      <c r="AJ131" s="42">
        <f>IF(B131="","",IFERROR(INDEX(Channels!$O$5:$O$18,MATCH(IF(H131="",DefaultChannel,H131),Channels!$A$5:$A$18,0)),"No"))</f>
        <v>0</v>
      </c>
      <c r="AK131" s="20">
        <f>IF(B131="","",ROUND(IFERROR(INDEX(Channels!$T$5:$T$18,MATCH(IF(H131="",DefaultChannel,H131),Channels!$A$5:$A$18,0)),0)+IF(AJ131="Yes",AE131*AI131,0),4))</f>
        <v>0</v>
      </c>
      <c r="AL131" s="33">
        <f>IF(B131="","",IF(OverheadMethod="Share of revenue",IF(RevenueTargetMonth&lt;=0,0,OverheadMonthly/RevenueTargetMonth),0))</f>
        <v>0</v>
      </c>
      <c r="AM131" s="20">
        <f>IF(B131="","",IF(OverheadMethod="Per hour worked",ROUND(OverheadPerHour*Y131,2),IF(OR(OverheadMethod="Per unit made",OverheadMethod="Per order"),OverheadPerUnit,0)))</f>
        <v>0</v>
      </c>
      <c r="AN131" s="33">
        <f>IF(B131="","",IF(N131&lt;&gt;"",N131,TargetRetailMargin))</f>
        <v>0</v>
      </c>
      <c r="AO131" s="41">
        <f>IF(B131="","",1-AN131-AI131-AL131)</f>
        <v>0</v>
      </c>
      <c r="AP131" s="20">
        <f>IF(B131="","",IF(AO131&lt;=0,"",(AH131+AM131+AK131)/AO131))</f>
        <v>0</v>
      </c>
      <c r="AQ131" s="20">
        <f>IF(B131="","",IF(AP131="","Check the settings",ROUND(IF(RoundingRule="None",AP131,IF(RoundingRule="Nearest 0.99",MAX(0.99,CEILING(AP131,1)-0.01),IF(RoundingRule="Nearest 0.95",MAX(0.95,CEILING(AP131,1)-0.05),IF(RoundingRule="Nearest 0.50",CEILING(AP131,0.5),IF(RoundingRule="Nearest 1",CEILING(AP131,1),IF(RoundingRule="Nearest 5",CEILING(AP131,5),IF(RoundingRule="Up to whole 1",CEILING(AP131,1),IF(RoundingRule="Up to whole 5",CEILING(AP131,5),ROUND(AP131,2))))))))),2)))</f>
        <v>0</v>
      </c>
      <c r="AR131" s="20">
        <f>IF(B131="","",IF(M131&lt;&gt;"",M131,IF(ISNUMBER(AQ131),AQ131,"")))</f>
        <v>0</v>
      </c>
      <c r="AS131" s="20">
        <f>IF(B131="","",IF(AR131="","",ROUND(AM131+AR131*AL131,2)))</f>
        <v>0</v>
      </c>
      <c r="AT131" s="20">
        <f>IF(B131="","",IF(AR131="","",ROUND(AH131+AS131,2)))</f>
        <v>0</v>
      </c>
      <c r="AU131" s="20">
        <f>IF(B131="","",IF(AR131="","",ROUND(AR131*AI131+AK131,2)))</f>
        <v>0</v>
      </c>
      <c r="AV131" s="20">
        <f>IF(B131="","",IF(AR131="","",ROUND(AR131-AT131-AU131,2)))</f>
        <v>0</v>
      </c>
      <c r="AW131" s="33">
        <f>IF(B131="","",IF(OR(AR131="",AR131=0),"",AV131/AR131))</f>
        <v>0</v>
      </c>
      <c r="AX131" s="33">
        <f>IF(B131="","",IF(OR(AT131="",AT131=0),"",AV131/AT131))</f>
        <v>0</v>
      </c>
      <c r="AY131" s="20">
        <f>IF(B131="","",IF(OR(Y131="",Y131=0,AV131=""),"",ROUND(AV131/Y131,2)))</f>
        <v>0</v>
      </c>
      <c r="AZ131" s="20">
        <f>IF(B131="","",IF(OR(Y131="",Y131=0,AV131=""),"",ROUND((AV131+Z131)/Y131,2)))</f>
        <v>0</v>
      </c>
      <c r="BA131" s="20">
        <f>IF(B131="","",IF(1-AI131-AL131&lt;=0,"",ROUND((AH131+AM131+AK131)/(1-AI131-AL131),2)))</f>
        <v>0</v>
      </c>
      <c r="BB131" s="20">
        <f>IF(B131="","",IF(AT131="","",ROUND(AT131*2,2)))</f>
        <v>0</v>
      </c>
      <c r="BC131" s="20">
        <f>IF(B131="","",IF(AR131="","",ROUND(AR131*(1-WholesaleDiscount),2)))</f>
        <v>0</v>
      </c>
      <c r="BD131" s="20">
        <f>IF(B131="","",IF(BC131="","",ROUND(BC131-AH131-AM131,2)))</f>
        <v>0</v>
      </c>
      <c r="BE131" s="33">
        <f>IF(B131="","",IF(OR(BC131="",BC131=0),"",BD131/BC131))</f>
        <v>0</v>
      </c>
      <c r="BF131" s="20">
        <f>IF(B131="","",IFERROR(ROUND(AVERAGEIFS(Competitors!$F$5:$F$154,Competitors!$A$5:$A$154,A131),2),""))</f>
        <v>0</v>
      </c>
      <c r="BG131" s="33">
        <f>IF(B131="","",IF(OR(BF131="",BF131=0,AR131=""),"",AR131/BF131-1))</f>
        <v>0</v>
      </c>
      <c r="BH131" s="32">
        <f>IF(B131="","",SUMIFS(Sales!$D$5:$D$804,Sales!$C$5:$C$804,A131))</f>
        <v>0</v>
      </c>
      <c r="BI131" s="20">
        <f>IF(B131="","",ROUND(SUMIFS(Sales!$V$5:$V$804,Sales!$C$5:$C$804,A131),2))</f>
        <v>0</v>
      </c>
      <c r="BJ131" s="20">
        <f>IF(B131="","",ROUND(SUMIFS(Sales!$AG$5:$AG$804,Sales!$C$5:$C$804,A131),2))</f>
        <v>0</v>
      </c>
      <c r="BK131" s="33">
        <f>IF(B131="","",IF(OR(BI131="",BI131=0),"",BJ131/BI131))</f>
        <v>0</v>
      </c>
      <c r="BL131" s="17">
        <f>IF(B131="","",IF(SUMPRODUCT(MAX((Sales!$C$5:$C$804=A131)*Sales!$B$5:$B$804))=0,"",SUMPRODUCT(MAX((Sales!$C$5:$C$804=A131)*Sales!$B$5:$B$804))))</f>
        <v>0</v>
      </c>
      <c r="BM131" s="17">
        <f>IF(B131="","",IF(SUMPRODUCT(MAX(('Price History'!$B$5:$B$304=A131)*'Price History'!$A$5:$A$304))=0,IF(P131="","",P131),SUMPRODUCT(MAX(('Price History'!$B$5:$B$304=A131)*'Price History'!$A$5:$A$304))))</f>
        <v>0</v>
      </c>
      <c r="BN131" s="32">
        <f>IF(B131="","",IF(BM131="","",TodayDate-BM131))</f>
        <v>0</v>
      </c>
      <c r="BO131" s="32">
        <f>IF(B131="","",COUNTIFS($AV$5:$AV$304,"&gt;"&amp;AV131)+COUNTIFS($AV$5:AV131,AV131))</f>
        <v>0</v>
      </c>
      <c r="BP131" s="32">
        <f>IF(B131="","",COUNTIFS($AW$5:$AW$304,"&gt;"&amp;AW131)+COUNTIFS($AW$5:AW131,AW131))</f>
        <v>0</v>
      </c>
      <c r="BQ131" s="32">
        <f>IF(B131="","",COUNTIFS($BI$5:$BI$304,"&gt;"&amp;BI131)+COUNTIFS($BI$5:BI131,BI131))</f>
        <v>0</v>
      </c>
      <c r="BR131" s="32">
        <f>IF(B131="","",COUNTIFS($AY$5:$AY$304,"&gt;"&amp;AY131)+COUNTIFS($AY$5:AY131,AY131))</f>
        <v>0</v>
      </c>
      <c r="BS131" s="43">
        <f>IF(B131="","",IF(AH131=0,"Add - no costs entered yet",IF(AR131="","Check - no price yet",IF(AV131&lt;0,"Loss - every sale costs you money",IF(AND(AZ131&lt;&gt;"",AZ131&lt;MinimumWage),"Below - pays under minimum wage",IF(AW131&lt;MarginWarning,"Low margin - re-price it",IF(AND(AF131&lt;&gt;"",K131&lt;&gt;"",K131+AC131&gt;AF131),"Check - too heavy for that postage band",IF(AND(BN131&lt;&gt;"",BN131&gt;PriceReviewDays),"Due - price has not been reviewed",IF(AND(BG131&lt;&gt;"",BG131&gt;0.5),"Check - well above the market","OK")))))))) )</f>
        <v>0</v>
      </c>
    </row>
    <row r="132" spans="1:71">
      <c r="A132" s="38">
        <f>IF(B132="","",ProductPrefix&amp;TEXT(ROW()-4,"0000"))</f>
        <v>0</v>
      </c>
      <c r="S132" s="38">
        <f>IF(B132="","",IF(C132&lt;&gt;"",C132,UPPER(LEFT(IF(D132="","GEN",D132),3))&amp;"-"&amp;TEXT(ROW()-4,"000")))</f>
        <v>0</v>
      </c>
      <c r="T132" s="20">
        <f>IF(B132="","",ROUND(SUMIFS('Material Usage'!$M$5:$M$904,'Material Usage'!$A$5:$A$904,A132)+SUMIFS(Crochet!$AD$5:$AD$84,Crochet!$A$5:$A$84,A132)+SUMIFS(Jewelry!$AF$5:$AF$84,Jewelry!$A$5:$A$84,A132)+SUMIFS(Candles!$AF$5:$AF$84,Candles!$A$5:$A$84,A132)+SUMIFS(Clothing!$AB$5:$AB$84,Clothing!$A$5:$A$84,A132)+SUMIFS(Woodworking!$AC$5:$AC$84,Woodworking!$A$5:$A$84,A132)+SUMIFS(Digital!$X$5:$X$84,Digital!$A$5:$A$84,A132),2))</f>
        <v>0</v>
      </c>
      <c r="U132" s="20">
        <f>IF(B132="","",ROUND(SUMIFS(Labor!$O$5:$O$304,Labor!$A$5:$A$304,A132)+SUMIFS(Crochet!$AG$5:$AG$84,Crochet!$A$5:$A$84,A132)+SUMIFS(Jewelry!$AI$5:$AI$84,Jewelry!$A$5:$A$84,A132)+SUMIFS(Candles!$AI$5:$AI$84,Candles!$A$5:$A$84,A132)+SUMIFS(Clothing!$AE$5:$AE$84,Clothing!$A$5:$A$84,A132)+SUMIFS(Woodworking!$AF$5:$AF$84,Woodworking!$A$5:$A$84,A132)+SUMIFS(Digital!$Z$5:$Z$84,Digital!$A$5:$A$84,A132),2))</f>
        <v>0</v>
      </c>
      <c r="V132" s="36">
        <f>IF(B132="","",ROUND(SUMIFS(Labor!$P$5:$P$304,Labor!$A$5:$A$304,A132)+SUMIFS(Crochet!$AE$5:$AE$84,Crochet!$A$5:$A$84,A132)+SUMIFS(Jewelry!$AG$5:$AG$84,Jewelry!$A$5:$A$84,A132)+SUMIFS(Candles!$AG$5:$AG$84,Candles!$A$5:$A$84,A132)+SUMIFS(Clothing!$AC$5:$AC$84,Clothing!$A$5:$A$84,A132)+SUMIFS(Woodworking!$AD$5:$AD$84,Woodworking!$A$5:$A$84,A132)+SUMIFS(Digital!$Y$5:$Y$84,Digital!$A$5:$A$84,A132),1))</f>
        <v>0</v>
      </c>
      <c r="W132" s="41">
        <f>IF(B132="","",IFERROR(INDEX(DiffTimeFactors,MATCH(G132,DiffNames,0)),1))</f>
        <v>0</v>
      </c>
      <c r="X132" s="36">
        <f>IF(B132="","",ROUND(V132*W132,1))</f>
        <v>0</v>
      </c>
      <c r="Y132" s="41">
        <f>IF(B132="","",ROUND(X132/60,3))</f>
        <v>0</v>
      </c>
      <c r="Z132" s="20">
        <f>IF(B132="","",ROUND(U132*W132,2))</f>
        <v>0</v>
      </c>
      <c r="AA132" s="20">
        <f>IF(B132="","",ROUND(SUMIFS(Labor!$Q$5:$Q$304,Labor!$A$5:$A$304,A132)+SUMIFS(Crochet!$AH$5:$AH$84,Crochet!$A$5:$A$84,A132)+SUMIFS(Jewelry!$AJ$5:$AJ$84,Jewelry!$A$5:$A$84,A132)+SUMIFS(Candles!$AJ$5:$AJ$84,Candles!$A$5:$A$84,A132)+SUMIFS(Clothing!$AF$5:$AF$84,Clothing!$A$5:$A$84,A132)+SUMIFS(Woodworking!$AH$5:$AH$84,Woodworking!$A$5:$A$84,A132)+SUMIFS(Digital!$AA$5:$AA$84,Digital!$A$5:$A$84,A132),2))</f>
        <v>0</v>
      </c>
      <c r="AB132" s="20">
        <f>IF(B132="","",ROUND(IF(I132="Budget",PackBudget,IF(I132="Standard",PackStandard,IF(I132="Gift",PackGift,IF(I132="Premium",PackPremium,DefaultPackaging)))),2))</f>
        <v>0</v>
      </c>
      <c r="AC132" s="36">
        <f>IF(B132="","",IF(I132="Budget",PackWeightBudget,IF(I132="Standard",PackWeightStandard,IF(I132="Gift",PackWeightGift,IF(I132="Premium",PackWeightPremium,0)))))</f>
        <v>0</v>
      </c>
      <c r="AD132" s="20">
        <f>IF(B132="","",IFERROR(INDEX(Shipping!$M$5:$M$64,MATCH(J132,Shipping!$L$5:$L$64,0)),DefaultShipping))</f>
        <v>0</v>
      </c>
      <c r="AE132" s="20">
        <f>IF(B132="","",IFERROR(INDEX(Shipping!$F$5:$F$64,MATCH(J132,Shipping!$L$5:$L$64,0)),0))</f>
        <v>0</v>
      </c>
      <c r="AF132" s="36">
        <f>IF(B132="","",IFERROR(INDEX(Shipping!$C$5:$C$64,MATCH(J132,Shipping!$L$5:$L$64,0)),""))</f>
        <v>0</v>
      </c>
      <c r="AG132" s="20">
        <f>IF(B132="","",ROUND(MAX(0,AD132-AE132),2))</f>
        <v>0</v>
      </c>
      <c r="AH132" s="20">
        <f>IF(B132="","",ROUND(T132+Z132+AA132+AB132+AG132,2))</f>
        <v>0</v>
      </c>
      <c r="AI132" s="33">
        <f>IF(B132="","",IFERROR(INDEX(Channels!$S$5:$S$18,MATCH(IF(H132="",DefaultChannel,H132),Channels!$A$5:$A$18,0)),0))</f>
        <v>0</v>
      </c>
      <c r="AJ132" s="42">
        <f>IF(B132="","",IFERROR(INDEX(Channels!$O$5:$O$18,MATCH(IF(H132="",DefaultChannel,H132),Channels!$A$5:$A$18,0)),"No"))</f>
        <v>0</v>
      </c>
      <c r="AK132" s="20">
        <f>IF(B132="","",ROUND(IFERROR(INDEX(Channels!$T$5:$T$18,MATCH(IF(H132="",DefaultChannel,H132),Channels!$A$5:$A$18,0)),0)+IF(AJ132="Yes",AE132*AI132,0),4))</f>
        <v>0</v>
      </c>
      <c r="AL132" s="33">
        <f>IF(B132="","",IF(OverheadMethod="Share of revenue",IF(RevenueTargetMonth&lt;=0,0,OverheadMonthly/RevenueTargetMonth),0))</f>
        <v>0</v>
      </c>
      <c r="AM132" s="20">
        <f>IF(B132="","",IF(OverheadMethod="Per hour worked",ROUND(OverheadPerHour*Y132,2),IF(OR(OverheadMethod="Per unit made",OverheadMethod="Per order"),OverheadPerUnit,0)))</f>
        <v>0</v>
      </c>
      <c r="AN132" s="33">
        <f>IF(B132="","",IF(N132&lt;&gt;"",N132,TargetRetailMargin))</f>
        <v>0</v>
      </c>
      <c r="AO132" s="41">
        <f>IF(B132="","",1-AN132-AI132-AL132)</f>
        <v>0</v>
      </c>
      <c r="AP132" s="20">
        <f>IF(B132="","",IF(AO132&lt;=0,"",(AH132+AM132+AK132)/AO132))</f>
        <v>0</v>
      </c>
      <c r="AQ132" s="20">
        <f>IF(B132="","",IF(AP132="","Check the settings",ROUND(IF(RoundingRule="None",AP132,IF(RoundingRule="Nearest 0.99",MAX(0.99,CEILING(AP132,1)-0.01),IF(RoundingRule="Nearest 0.95",MAX(0.95,CEILING(AP132,1)-0.05),IF(RoundingRule="Nearest 0.50",CEILING(AP132,0.5),IF(RoundingRule="Nearest 1",CEILING(AP132,1),IF(RoundingRule="Nearest 5",CEILING(AP132,5),IF(RoundingRule="Up to whole 1",CEILING(AP132,1),IF(RoundingRule="Up to whole 5",CEILING(AP132,5),ROUND(AP132,2))))))))),2)))</f>
        <v>0</v>
      </c>
      <c r="AR132" s="20">
        <f>IF(B132="","",IF(M132&lt;&gt;"",M132,IF(ISNUMBER(AQ132),AQ132,"")))</f>
        <v>0</v>
      </c>
      <c r="AS132" s="20">
        <f>IF(B132="","",IF(AR132="","",ROUND(AM132+AR132*AL132,2)))</f>
        <v>0</v>
      </c>
      <c r="AT132" s="20">
        <f>IF(B132="","",IF(AR132="","",ROUND(AH132+AS132,2)))</f>
        <v>0</v>
      </c>
      <c r="AU132" s="20">
        <f>IF(B132="","",IF(AR132="","",ROUND(AR132*AI132+AK132,2)))</f>
        <v>0</v>
      </c>
      <c r="AV132" s="20">
        <f>IF(B132="","",IF(AR132="","",ROUND(AR132-AT132-AU132,2)))</f>
        <v>0</v>
      </c>
      <c r="AW132" s="33">
        <f>IF(B132="","",IF(OR(AR132="",AR132=0),"",AV132/AR132))</f>
        <v>0</v>
      </c>
      <c r="AX132" s="33">
        <f>IF(B132="","",IF(OR(AT132="",AT132=0),"",AV132/AT132))</f>
        <v>0</v>
      </c>
      <c r="AY132" s="20">
        <f>IF(B132="","",IF(OR(Y132="",Y132=0,AV132=""),"",ROUND(AV132/Y132,2)))</f>
        <v>0</v>
      </c>
      <c r="AZ132" s="20">
        <f>IF(B132="","",IF(OR(Y132="",Y132=0,AV132=""),"",ROUND((AV132+Z132)/Y132,2)))</f>
        <v>0</v>
      </c>
      <c r="BA132" s="20">
        <f>IF(B132="","",IF(1-AI132-AL132&lt;=0,"",ROUND((AH132+AM132+AK132)/(1-AI132-AL132),2)))</f>
        <v>0</v>
      </c>
      <c r="BB132" s="20">
        <f>IF(B132="","",IF(AT132="","",ROUND(AT132*2,2)))</f>
        <v>0</v>
      </c>
      <c r="BC132" s="20">
        <f>IF(B132="","",IF(AR132="","",ROUND(AR132*(1-WholesaleDiscount),2)))</f>
        <v>0</v>
      </c>
      <c r="BD132" s="20">
        <f>IF(B132="","",IF(BC132="","",ROUND(BC132-AH132-AM132,2)))</f>
        <v>0</v>
      </c>
      <c r="BE132" s="33">
        <f>IF(B132="","",IF(OR(BC132="",BC132=0),"",BD132/BC132))</f>
        <v>0</v>
      </c>
      <c r="BF132" s="20">
        <f>IF(B132="","",IFERROR(ROUND(AVERAGEIFS(Competitors!$F$5:$F$154,Competitors!$A$5:$A$154,A132),2),""))</f>
        <v>0</v>
      </c>
      <c r="BG132" s="33">
        <f>IF(B132="","",IF(OR(BF132="",BF132=0,AR132=""),"",AR132/BF132-1))</f>
        <v>0</v>
      </c>
      <c r="BH132" s="32">
        <f>IF(B132="","",SUMIFS(Sales!$D$5:$D$804,Sales!$C$5:$C$804,A132))</f>
        <v>0</v>
      </c>
      <c r="BI132" s="20">
        <f>IF(B132="","",ROUND(SUMIFS(Sales!$V$5:$V$804,Sales!$C$5:$C$804,A132),2))</f>
        <v>0</v>
      </c>
      <c r="BJ132" s="20">
        <f>IF(B132="","",ROUND(SUMIFS(Sales!$AG$5:$AG$804,Sales!$C$5:$C$804,A132),2))</f>
        <v>0</v>
      </c>
      <c r="BK132" s="33">
        <f>IF(B132="","",IF(OR(BI132="",BI132=0),"",BJ132/BI132))</f>
        <v>0</v>
      </c>
      <c r="BL132" s="17">
        <f>IF(B132="","",IF(SUMPRODUCT(MAX((Sales!$C$5:$C$804=A132)*Sales!$B$5:$B$804))=0,"",SUMPRODUCT(MAX((Sales!$C$5:$C$804=A132)*Sales!$B$5:$B$804))))</f>
        <v>0</v>
      </c>
      <c r="BM132" s="17">
        <f>IF(B132="","",IF(SUMPRODUCT(MAX(('Price History'!$B$5:$B$304=A132)*'Price History'!$A$5:$A$304))=0,IF(P132="","",P132),SUMPRODUCT(MAX(('Price History'!$B$5:$B$304=A132)*'Price History'!$A$5:$A$304))))</f>
        <v>0</v>
      </c>
      <c r="BN132" s="32">
        <f>IF(B132="","",IF(BM132="","",TodayDate-BM132))</f>
        <v>0</v>
      </c>
      <c r="BO132" s="32">
        <f>IF(B132="","",COUNTIFS($AV$5:$AV$304,"&gt;"&amp;AV132)+COUNTIFS($AV$5:AV132,AV132))</f>
        <v>0</v>
      </c>
      <c r="BP132" s="32">
        <f>IF(B132="","",COUNTIFS($AW$5:$AW$304,"&gt;"&amp;AW132)+COUNTIFS($AW$5:AW132,AW132))</f>
        <v>0</v>
      </c>
      <c r="BQ132" s="32">
        <f>IF(B132="","",COUNTIFS($BI$5:$BI$304,"&gt;"&amp;BI132)+COUNTIFS($BI$5:BI132,BI132))</f>
        <v>0</v>
      </c>
      <c r="BR132" s="32">
        <f>IF(B132="","",COUNTIFS($AY$5:$AY$304,"&gt;"&amp;AY132)+COUNTIFS($AY$5:AY132,AY132))</f>
        <v>0</v>
      </c>
      <c r="BS132" s="43">
        <f>IF(B132="","",IF(AH132=0,"Add - no costs entered yet",IF(AR132="","Check - no price yet",IF(AV132&lt;0,"Loss - every sale costs you money",IF(AND(AZ132&lt;&gt;"",AZ132&lt;MinimumWage),"Below - pays under minimum wage",IF(AW132&lt;MarginWarning,"Low margin - re-price it",IF(AND(AF132&lt;&gt;"",K132&lt;&gt;"",K132+AC132&gt;AF132),"Check - too heavy for that postage band",IF(AND(BN132&lt;&gt;"",BN132&gt;PriceReviewDays),"Due - price has not been reviewed",IF(AND(BG132&lt;&gt;"",BG132&gt;0.5),"Check - well above the market","OK")))))))) )</f>
        <v>0</v>
      </c>
    </row>
    <row r="133" spans="1:71">
      <c r="A133" s="38">
        <f>IF(B133="","",ProductPrefix&amp;TEXT(ROW()-4,"0000"))</f>
        <v>0</v>
      </c>
      <c r="S133" s="38">
        <f>IF(B133="","",IF(C133&lt;&gt;"",C133,UPPER(LEFT(IF(D133="","GEN",D133),3))&amp;"-"&amp;TEXT(ROW()-4,"000")))</f>
        <v>0</v>
      </c>
      <c r="T133" s="20">
        <f>IF(B133="","",ROUND(SUMIFS('Material Usage'!$M$5:$M$904,'Material Usage'!$A$5:$A$904,A133)+SUMIFS(Crochet!$AD$5:$AD$84,Crochet!$A$5:$A$84,A133)+SUMIFS(Jewelry!$AF$5:$AF$84,Jewelry!$A$5:$A$84,A133)+SUMIFS(Candles!$AF$5:$AF$84,Candles!$A$5:$A$84,A133)+SUMIFS(Clothing!$AB$5:$AB$84,Clothing!$A$5:$A$84,A133)+SUMIFS(Woodworking!$AC$5:$AC$84,Woodworking!$A$5:$A$84,A133)+SUMIFS(Digital!$X$5:$X$84,Digital!$A$5:$A$84,A133),2))</f>
        <v>0</v>
      </c>
      <c r="U133" s="20">
        <f>IF(B133="","",ROUND(SUMIFS(Labor!$O$5:$O$304,Labor!$A$5:$A$304,A133)+SUMIFS(Crochet!$AG$5:$AG$84,Crochet!$A$5:$A$84,A133)+SUMIFS(Jewelry!$AI$5:$AI$84,Jewelry!$A$5:$A$84,A133)+SUMIFS(Candles!$AI$5:$AI$84,Candles!$A$5:$A$84,A133)+SUMIFS(Clothing!$AE$5:$AE$84,Clothing!$A$5:$A$84,A133)+SUMIFS(Woodworking!$AF$5:$AF$84,Woodworking!$A$5:$A$84,A133)+SUMIFS(Digital!$Z$5:$Z$84,Digital!$A$5:$A$84,A133),2))</f>
        <v>0</v>
      </c>
      <c r="V133" s="36">
        <f>IF(B133="","",ROUND(SUMIFS(Labor!$P$5:$P$304,Labor!$A$5:$A$304,A133)+SUMIFS(Crochet!$AE$5:$AE$84,Crochet!$A$5:$A$84,A133)+SUMIFS(Jewelry!$AG$5:$AG$84,Jewelry!$A$5:$A$84,A133)+SUMIFS(Candles!$AG$5:$AG$84,Candles!$A$5:$A$84,A133)+SUMIFS(Clothing!$AC$5:$AC$84,Clothing!$A$5:$A$84,A133)+SUMIFS(Woodworking!$AD$5:$AD$84,Woodworking!$A$5:$A$84,A133)+SUMIFS(Digital!$Y$5:$Y$84,Digital!$A$5:$A$84,A133),1))</f>
        <v>0</v>
      </c>
      <c r="W133" s="41">
        <f>IF(B133="","",IFERROR(INDEX(DiffTimeFactors,MATCH(G133,DiffNames,0)),1))</f>
        <v>0</v>
      </c>
      <c r="X133" s="36">
        <f>IF(B133="","",ROUND(V133*W133,1))</f>
        <v>0</v>
      </c>
      <c r="Y133" s="41">
        <f>IF(B133="","",ROUND(X133/60,3))</f>
        <v>0</v>
      </c>
      <c r="Z133" s="20">
        <f>IF(B133="","",ROUND(U133*W133,2))</f>
        <v>0</v>
      </c>
      <c r="AA133" s="20">
        <f>IF(B133="","",ROUND(SUMIFS(Labor!$Q$5:$Q$304,Labor!$A$5:$A$304,A133)+SUMIFS(Crochet!$AH$5:$AH$84,Crochet!$A$5:$A$84,A133)+SUMIFS(Jewelry!$AJ$5:$AJ$84,Jewelry!$A$5:$A$84,A133)+SUMIFS(Candles!$AJ$5:$AJ$84,Candles!$A$5:$A$84,A133)+SUMIFS(Clothing!$AF$5:$AF$84,Clothing!$A$5:$A$84,A133)+SUMIFS(Woodworking!$AH$5:$AH$84,Woodworking!$A$5:$A$84,A133)+SUMIFS(Digital!$AA$5:$AA$84,Digital!$A$5:$A$84,A133),2))</f>
        <v>0</v>
      </c>
      <c r="AB133" s="20">
        <f>IF(B133="","",ROUND(IF(I133="Budget",PackBudget,IF(I133="Standard",PackStandard,IF(I133="Gift",PackGift,IF(I133="Premium",PackPremium,DefaultPackaging)))),2))</f>
        <v>0</v>
      </c>
      <c r="AC133" s="36">
        <f>IF(B133="","",IF(I133="Budget",PackWeightBudget,IF(I133="Standard",PackWeightStandard,IF(I133="Gift",PackWeightGift,IF(I133="Premium",PackWeightPremium,0)))))</f>
        <v>0</v>
      </c>
      <c r="AD133" s="20">
        <f>IF(B133="","",IFERROR(INDEX(Shipping!$M$5:$M$64,MATCH(J133,Shipping!$L$5:$L$64,0)),DefaultShipping))</f>
        <v>0</v>
      </c>
      <c r="AE133" s="20">
        <f>IF(B133="","",IFERROR(INDEX(Shipping!$F$5:$F$64,MATCH(J133,Shipping!$L$5:$L$64,0)),0))</f>
        <v>0</v>
      </c>
      <c r="AF133" s="36">
        <f>IF(B133="","",IFERROR(INDEX(Shipping!$C$5:$C$64,MATCH(J133,Shipping!$L$5:$L$64,0)),""))</f>
        <v>0</v>
      </c>
      <c r="AG133" s="20">
        <f>IF(B133="","",ROUND(MAX(0,AD133-AE133),2))</f>
        <v>0</v>
      </c>
      <c r="AH133" s="20">
        <f>IF(B133="","",ROUND(T133+Z133+AA133+AB133+AG133,2))</f>
        <v>0</v>
      </c>
      <c r="AI133" s="33">
        <f>IF(B133="","",IFERROR(INDEX(Channels!$S$5:$S$18,MATCH(IF(H133="",DefaultChannel,H133),Channels!$A$5:$A$18,0)),0))</f>
        <v>0</v>
      </c>
      <c r="AJ133" s="42">
        <f>IF(B133="","",IFERROR(INDEX(Channels!$O$5:$O$18,MATCH(IF(H133="",DefaultChannel,H133),Channels!$A$5:$A$18,0)),"No"))</f>
        <v>0</v>
      </c>
      <c r="AK133" s="20">
        <f>IF(B133="","",ROUND(IFERROR(INDEX(Channels!$T$5:$T$18,MATCH(IF(H133="",DefaultChannel,H133),Channels!$A$5:$A$18,0)),0)+IF(AJ133="Yes",AE133*AI133,0),4))</f>
        <v>0</v>
      </c>
      <c r="AL133" s="33">
        <f>IF(B133="","",IF(OverheadMethod="Share of revenue",IF(RevenueTargetMonth&lt;=0,0,OverheadMonthly/RevenueTargetMonth),0))</f>
        <v>0</v>
      </c>
      <c r="AM133" s="20">
        <f>IF(B133="","",IF(OverheadMethod="Per hour worked",ROUND(OverheadPerHour*Y133,2),IF(OR(OverheadMethod="Per unit made",OverheadMethod="Per order"),OverheadPerUnit,0)))</f>
        <v>0</v>
      </c>
      <c r="AN133" s="33">
        <f>IF(B133="","",IF(N133&lt;&gt;"",N133,TargetRetailMargin))</f>
        <v>0</v>
      </c>
      <c r="AO133" s="41">
        <f>IF(B133="","",1-AN133-AI133-AL133)</f>
        <v>0</v>
      </c>
      <c r="AP133" s="20">
        <f>IF(B133="","",IF(AO133&lt;=0,"",(AH133+AM133+AK133)/AO133))</f>
        <v>0</v>
      </c>
      <c r="AQ133" s="20">
        <f>IF(B133="","",IF(AP133="","Check the settings",ROUND(IF(RoundingRule="None",AP133,IF(RoundingRule="Nearest 0.99",MAX(0.99,CEILING(AP133,1)-0.01),IF(RoundingRule="Nearest 0.95",MAX(0.95,CEILING(AP133,1)-0.05),IF(RoundingRule="Nearest 0.50",CEILING(AP133,0.5),IF(RoundingRule="Nearest 1",CEILING(AP133,1),IF(RoundingRule="Nearest 5",CEILING(AP133,5),IF(RoundingRule="Up to whole 1",CEILING(AP133,1),IF(RoundingRule="Up to whole 5",CEILING(AP133,5),ROUND(AP133,2))))))))),2)))</f>
        <v>0</v>
      </c>
      <c r="AR133" s="20">
        <f>IF(B133="","",IF(M133&lt;&gt;"",M133,IF(ISNUMBER(AQ133),AQ133,"")))</f>
        <v>0</v>
      </c>
      <c r="AS133" s="20">
        <f>IF(B133="","",IF(AR133="","",ROUND(AM133+AR133*AL133,2)))</f>
        <v>0</v>
      </c>
      <c r="AT133" s="20">
        <f>IF(B133="","",IF(AR133="","",ROUND(AH133+AS133,2)))</f>
        <v>0</v>
      </c>
      <c r="AU133" s="20">
        <f>IF(B133="","",IF(AR133="","",ROUND(AR133*AI133+AK133,2)))</f>
        <v>0</v>
      </c>
      <c r="AV133" s="20">
        <f>IF(B133="","",IF(AR133="","",ROUND(AR133-AT133-AU133,2)))</f>
        <v>0</v>
      </c>
      <c r="AW133" s="33">
        <f>IF(B133="","",IF(OR(AR133="",AR133=0),"",AV133/AR133))</f>
        <v>0</v>
      </c>
      <c r="AX133" s="33">
        <f>IF(B133="","",IF(OR(AT133="",AT133=0),"",AV133/AT133))</f>
        <v>0</v>
      </c>
      <c r="AY133" s="20">
        <f>IF(B133="","",IF(OR(Y133="",Y133=0,AV133=""),"",ROUND(AV133/Y133,2)))</f>
        <v>0</v>
      </c>
      <c r="AZ133" s="20">
        <f>IF(B133="","",IF(OR(Y133="",Y133=0,AV133=""),"",ROUND((AV133+Z133)/Y133,2)))</f>
        <v>0</v>
      </c>
      <c r="BA133" s="20">
        <f>IF(B133="","",IF(1-AI133-AL133&lt;=0,"",ROUND((AH133+AM133+AK133)/(1-AI133-AL133),2)))</f>
        <v>0</v>
      </c>
      <c r="BB133" s="20">
        <f>IF(B133="","",IF(AT133="","",ROUND(AT133*2,2)))</f>
        <v>0</v>
      </c>
      <c r="BC133" s="20">
        <f>IF(B133="","",IF(AR133="","",ROUND(AR133*(1-WholesaleDiscount),2)))</f>
        <v>0</v>
      </c>
      <c r="BD133" s="20">
        <f>IF(B133="","",IF(BC133="","",ROUND(BC133-AH133-AM133,2)))</f>
        <v>0</v>
      </c>
      <c r="BE133" s="33">
        <f>IF(B133="","",IF(OR(BC133="",BC133=0),"",BD133/BC133))</f>
        <v>0</v>
      </c>
      <c r="BF133" s="20">
        <f>IF(B133="","",IFERROR(ROUND(AVERAGEIFS(Competitors!$F$5:$F$154,Competitors!$A$5:$A$154,A133),2),""))</f>
        <v>0</v>
      </c>
      <c r="BG133" s="33">
        <f>IF(B133="","",IF(OR(BF133="",BF133=0,AR133=""),"",AR133/BF133-1))</f>
        <v>0</v>
      </c>
      <c r="BH133" s="32">
        <f>IF(B133="","",SUMIFS(Sales!$D$5:$D$804,Sales!$C$5:$C$804,A133))</f>
        <v>0</v>
      </c>
      <c r="BI133" s="20">
        <f>IF(B133="","",ROUND(SUMIFS(Sales!$V$5:$V$804,Sales!$C$5:$C$804,A133),2))</f>
        <v>0</v>
      </c>
      <c r="BJ133" s="20">
        <f>IF(B133="","",ROUND(SUMIFS(Sales!$AG$5:$AG$804,Sales!$C$5:$C$804,A133),2))</f>
        <v>0</v>
      </c>
      <c r="BK133" s="33">
        <f>IF(B133="","",IF(OR(BI133="",BI133=0),"",BJ133/BI133))</f>
        <v>0</v>
      </c>
      <c r="BL133" s="17">
        <f>IF(B133="","",IF(SUMPRODUCT(MAX((Sales!$C$5:$C$804=A133)*Sales!$B$5:$B$804))=0,"",SUMPRODUCT(MAX((Sales!$C$5:$C$804=A133)*Sales!$B$5:$B$804))))</f>
        <v>0</v>
      </c>
      <c r="BM133" s="17">
        <f>IF(B133="","",IF(SUMPRODUCT(MAX(('Price History'!$B$5:$B$304=A133)*'Price History'!$A$5:$A$304))=0,IF(P133="","",P133),SUMPRODUCT(MAX(('Price History'!$B$5:$B$304=A133)*'Price History'!$A$5:$A$304))))</f>
        <v>0</v>
      </c>
      <c r="BN133" s="32">
        <f>IF(B133="","",IF(BM133="","",TodayDate-BM133))</f>
        <v>0</v>
      </c>
      <c r="BO133" s="32">
        <f>IF(B133="","",COUNTIFS($AV$5:$AV$304,"&gt;"&amp;AV133)+COUNTIFS($AV$5:AV133,AV133))</f>
        <v>0</v>
      </c>
      <c r="BP133" s="32">
        <f>IF(B133="","",COUNTIFS($AW$5:$AW$304,"&gt;"&amp;AW133)+COUNTIFS($AW$5:AW133,AW133))</f>
        <v>0</v>
      </c>
      <c r="BQ133" s="32">
        <f>IF(B133="","",COUNTIFS($BI$5:$BI$304,"&gt;"&amp;BI133)+COUNTIFS($BI$5:BI133,BI133))</f>
        <v>0</v>
      </c>
      <c r="BR133" s="32">
        <f>IF(B133="","",COUNTIFS($AY$5:$AY$304,"&gt;"&amp;AY133)+COUNTIFS($AY$5:AY133,AY133))</f>
        <v>0</v>
      </c>
      <c r="BS133" s="43">
        <f>IF(B133="","",IF(AH133=0,"Add - no costs entered yet",IF(AR133="","Check - no price yet",IF(AV133&lt;0,"Loss - every sale costs you money",IF(AND(AZ133&lt;&gt;"",AZ133&lt;MinimumWage),"Below - pays under minimum wage",IF(AW133&lt;MarginWarning,"Low margin - re-price it",IF(AND(AF133&lt;&gt;"",K133&lt;&gt;"",K133+AC133&gt;AF133),"Check - too heavy for that postage band",IF(AND(BN133&lt;&gt;"",BN133&gt;PriceReviewDays),"Due - price has not been reviewed",IF(AND(BG133&lt;&gt;"",BG133&gt;0.5),"Check - well above the market","OK")))))))) )</f>
        <v>0</v>
      </c>
    </row>
    <row r="134" spans="1:71">
      <c r="A134" s="38">
        <f>IF(B134="","",ProductPrefix&amp;TEXT(ROW()-4,"0000"))</f>
        <v>0</v>
      </c>
      <c r="S134" s="38">
        <f>IF(B134="","",IF(C134&lt;&gt;"",C134,UPPER(LEFT(IF(D134="","GEN",D134),3))&amp;"-"&amp;TEXT(ROW()-4,"000")))</f>
        <v>0</v>
      </c>
      <c r="T134" s="20">
        <f>IF(B134="","",ROUND(SUMIFS('Material Usage'!$M$5:$M$904,'Material Usage'!$A$5:$A$904,A134)+SUMIFS(Crochet!$AD$5:$AD$84,Crochet!$A$5:$A$84,A134)+SUMIFS(Jewelry!$AF$5:$AF$84,Jewelry!$A$5:$A$84,A134)+SUMIFS(Candles!$AF$5:$AF$84,Candles!$A$5:$A$84,A134)+SUMIFS(Clothing!$AB$5:$AB$84,Clothing!$A$5:$A$84,A134)+SUMIFS(Woodworking!$AC$5:$AC$84,Woodworking!$A$5:$A$84,A134)+SUMIFS(Digital!$X$5:$X$84,Digital!$A$5:$A$84,A134),2))</f>
        <v>0</v>
      </c>
      <c r="U134" s="20">
        <f>IF(B134="","",ROUND(SUMIFS(Labor!$O$5:$O$304,Labor!$A$5:$A$304,A134)+SUMIFS(Crochet!$AG$5:$AG$84,Crochet!$A$5:$A$84,A134)+SUMIFS(Jewelry!$AI$5:$AI$84,Jewelry!$A$5:$A$84,A134)+SUMIFS(Candles!$AI$5:$AI$84,Candles!$A$5:$A$84,A134)+SUMIFS(Clothing!$AE$5:$AE$84,Clothing!$A$5:$A$84,A134)+SUMIFS(Woodworking!$AF$5:$AF$84,Woodworking!$A$5:$A$84,A134)+SUMIFS(Digital!$Z$5:$Z$84,Digital!$A$5:$A$84,A134),2))</f>
        <v>0</v>
      </c>
      <c r="V134" s="36">
        <f>IF(B134="","",ROUND(SUMIFS(Labor!$P$5:$P$304,Labor!$A$5:$A$304,A134)+SUMIFS(Crochet!$AE$5:$AE$84,Crochet!$A$5:$A$84,A134)+SUMIFS(Jewelry!$AG$5:$AG$84,Jewelry!$A$5:$A$84,A134)+SUMIFS(Candles!$AG$5:$AG$84,Candles!$A$5:$A$84,A134)+SUMIFS(Clothing!$AC$5:$AC$84,Clothing!$A$5:$A$84,A134)+SUMIFS(Woodworking!$AD$5:$AD$84,Woodworking!$A$5:$A$84,A134)+SUMIFS(Digital!$Y$5:$Y$84,Digital!$A$5:$A$84,A134),1))</f>
        <v>0</v>
      </c>
      <c r="W134" s="41">
        <f>IF(B134="","",IFERROR(INDEX(DiffTimeFactors,MATCH(G134,DiffNames,0)),1))</f>
        <v>0</v>
      </c>
      <c r="X134" s="36">
        <f>IF(B134="","",ROUND(V134*W134,1))</f>
        <v>0</v>
      </c>
      <c r="Y134" s="41">
        <f>IF(B134="","",ROUND(X134/60,3))</f>
        <v>0</v>
      </c>
      <c r="Z134" s="20">
        <f>IF(B134="","",ROUND(U134*W134,2))</f>
        <v>0</v>
      </c>
      <c r="AA134" s="20">
        <f>IF(B134="","",ROUND(SUMIFS(Labor!$Q$5:$Q$304,Labor!$A$5:$A$304,A134)+SUMIFS(Crochet!$AH$5:$AH$84,Crochet!$A$5:$A$84,A134)+SUMIFS(Jewelry!$AJ$5:$AJ$84,Jewelry!$A$5:$A$84,A134)+SUMIFS(Candles!$AJ$5:$AJ$84,Candles!$A$5:$A$84,A134)+SUMIFS(Clothing!$AF$5:$AF$84,Clothing!$A$5:$A$84,A134)+SUMIFS(Woodworking!$AH$5:$AH$84,Woodworking!$A$5:$A$84,A134)+SUMIFS(Digital!$AA$5:$AA$84,Digital!$A$5:$A$84,A134),2))</f>
        <v>0</v>
      </c>
      <c r="AB134" s="20">
        <f>IF(B134="","",ROUND(IF(I134="Budget",PackBudget,IF(I134="Standard",PackStandard,IF(I134="Gift",PackGift,IF(I134="Premium",PackPremium,DefaultPackaging)))),2))</f>
        <v>0</v>
      </c>
      <c r="AC134" s="36">
        <f>IF(B134="","",IF(I134="Budget",PackWeightBudget,IF(I134="Standard",PackWeightStandard,IF(I134="Gift",PackWeightGift,IF(I134="Premium",PackWeightPremium,0)))))</f>
        <v>0</v>
      </c>
      <c r="AD134" s="20">
        <f>IF(B134="","",IFERROR(INDEX(Shipping!$M$5:$M$64,MATCH(J134,Shipping!$L$5:$L$64,0)),DefaultShipping))</f>
        <v>0</v>
      </c>
      <c r="AE134" s="20">
        <f>IF(B134="","",IFERROR(INDEX(Shipping!$F$5:$F$64,MATCH(J134,Shipping!$L$5:$L$64,0)),0))</f>
        <v>0</v>
      </c>
      <c r="AF134" s="36">
        <f>IF(B134="","",IFERROR(INDEX(Shipping!$C$5:$C$64,MATCH(J134,Shipping!$L$5:$L$64,0)),""))</f>
        <v>0</v>
      </c>
      <c r="AG134" s="20">
        <f>IF(B134="","",ROUND(MAX(0,AD134-AE134),2))</f>
        <v>0</v>
      </c>
      <c r="AH134" s="20">
        <f>IF(B134="","",ROUND(T134+Z134+AA134+AB134+AG134,2))</f>
        <v>0</v>
      </c>
      <c r="AI134" s="33">
        <f>IF(B134="","",IFERROR(INDEX(Channels!$S$5:$S$18,MATCH(IF(H134="",DefaultChannel,H134),Channels!$A$5:$A$18,0)),0))</f>
        <v>0</v>
      </c>
      <c r="AJ134" s="42">
        <f>IF(B134="","",IFERROR(INDEX(Channels!$O$5:$O$18,MATCH(IF(H134="",DefaultChannel,H134),Channels!$A$5:$A$18,0)),"No"))</f>
        <v>0</v>
      </c>
      <c r="AK134" s="20">
        <f>IF(B134="","",ROUND(IFERROR(INDEX(Channels!$T$5:$T$18,MATCH(IF(H134="",DefaultChannel,H134),Channels!$A$5:$A$18,0)),0)+IF(AJ134="Yes",AE134*AI134,0),4))</f>
        <v>0</v>
      </c>
      <c r="AL134" s="33">
        <f>IF(B134="","",IF(OverheadMethod="Share of revenue",IF(RevenueTargetMonth&lt;=0,0,OverheadMonthly/RevenueTargetMonth),0))</f>
        <v>0</v>
      </c>
      <c r="AM134" s="20">
        <f>IF(B134="","",IF(OverheadMethod="Per hour worked",ROUND(OverheadPerHour*Y134,2),IF(OR(OverheadMethod="Per unit made",OverheadMethod="Per order"),OverheadPerUnit,0)))</f>
        <v>0</v>
      </c>
      <c r="AN134" s="33">
        <f>IF(B134="","",IF(N134&lt;&gt;"",N134,TargetRetailMargin))</f>
        <v>0</v>
      </c>
      <c r="AO134" s="41">
        <f>IF(B134="","",1-AN134-AI134-AL134)</f>
        <v>0</v>
      </c>
      <c r="AP134" s="20">
        <f>IF(B134="","",IF(AO134&lt;=0,"",(AH134+AM134+AK134)/AO134))</f>
        <v>0</v>
      </c>
      <c r="AQ134" s="20">
        <f>IF(B134="","",IF(AP134="","Check the settings",ROUND(IF(RoundingRule="None",AP134,IF(RoundingRule="Nearest 0.99",MAX(0.99,CEILING(AP134,1)-0.01),IF(RoundingRule="Nearest 0.95",MAX(0.95,CEILING(AP134,1)-0.05),IF(RoundingRule="Nearest 0.50",CEILING(AP134,0.5),IF(RoundingRule="Nearest 1",CEILING(AP134,1),IF(RoundingRule="Nearest 5",CEILING(AP134,5),IF(RoundingRule="Up to whole 1",CEILING(AP134,1),IF(RoundingRule="Up to whole 5",CEILING(AP134,5),ROUND(AP134,2))))))))),2)))</f>
        <v>0</v>
      </c>
      <c r="AR134" s="20">
        <f>IF(B134="","",IF(M134&lt;&gt;"",M134,IF(ISNUMBER(AQ134),AQ134,"")))</f>
        <v>0</v>
      </c>
      <c r="AS134" s="20">
        <f>IF(B134="","",IF(AR134="","",ROUND(AM134+AR134*AL134,2)))</f>
        <v>0</v>
      </c>
      <c r="AT134" s="20">
        <f>IF(B134="","",IF(AR134="","",ROUND(AH134+AS134,2)))</f>
        <v>0</v>
      </c>
      <c r="AU134" s="20">
        <f>IF(B134="","",IF(AR134="","",ROUND(AR134*AI134+AK134,2)))</f>
        <v>0</v>
      </c>
      <c r="AV134" s="20">
        <f>IF(B134="","",IF(AR134="","",ROUND(AR134-AT134-AU134,2)))</f>
        <v>0</v>
      </c>
      <c r="AW134" s="33">
        <f>IF(B134="","",IF(OR(AR134="",AR134=0),"",AV134/AR134))</f>
        <v>0</v>
      </c>
      <c r="AX134" s="33">
        <f>IF(B134="","",IF(OR(AT134="",AT134=0),"",AV134/AT134))</f>
        <v>0</v>
      </c>
      <c r="AY134" s="20">
        <f>IF(B134="","",IF(OR(Y134="",Y134=0,AV134=""),"",ROUND(AV134/Y134,2)))</f>
        <v>0</v>
      </c>
      <c r="AZ134" s="20">
        <f>IF(B134="","",IF(OR(Y134="",Y134=0,AV134=""),"",ROUND((AV134+Z134)/Y134,2)))</f>
        <v>0</v>
      </c>
      <c r="BA134" s="20">
        <f>IF(B134="","",IF(1-AI134-AL134&lt;=0,"",ROUND((AH134+AM134+AK134)/(1-AI134-AL134),2)))</f>
        <v>0</v>
      </c>
      <c r="BB134" s="20">
        <f>IF(B134="","",IF(AT134="","",ROUND(AT134*2,2)))</f>
        <v>0</v>
      </c>
      <c r="BC134" s="20">
        <f>IF(B134="","",IF(AR134="","",ROUND(AR134*(1-WholesaleDiscount),2)))</f>
        <v>0</v>
      </c>
      <c r="BD134" s="20">
        <f>IF(B134="","",IF(BC134="","",ROUND(BC134-AH134-AM134,2)))</f>
        <v>0</v>
      </c>
      <c r="BE134" s="33">
        <f>IF(B134="","",IF(OR(BC134="",BC134=0),"",BD134/BC134))</f>
        <v>0</v>
      </c>
      <c r="BF134" s="20">
        <f>IF(B134="","",IFERROR(ROUND(AVERAGEIFS(Competitors!$F$5:$F$154,Competitors!$A$5:$A$154,A134),2),""))</f>
        <v>0</v>
      </c>
      <c r="BG134" s="33">
        <f>IF(B134="","",IF(OR(BF134="",BF134=0,AR134=""),"",AR134/BF134-1))</f>
        <v>0</v>
      </c>
      <c r="BH134" s="32">
        <f>IF(B134="","",SUMIFS(Sales!$D$5:$D$804,Sales!$C$5:$C$804,A134))</f>
        <v>0</v>
      </c>
      <c r="BI134" s="20">
        <f>IF(B134="","",ROUND(SUMIFS(Sales!$V$5:$V$804,Sales!$C$5:$C$804,A134),2))</f>
        <v>0</v>
      </c>
      <c r="BJ134" s="20">
        <f>IF(B134="","",ROUND(SUMIFS(Sales!$AG$5:$AG$804,Sales!$C$5:$C$804,A134),2))</f>
        <v>0</v>
      </c>
      <c r="BK134" s="33">
        <f>IF(B134="","",IF(OR(BI134="",BI134=0),"",BJ134/BI134))</f>
        <v>0</v>
      </c>
      <c r="BL134" s="17">
        <f>IF(B134="","",IF(SUMPRODUCT(MAX((Sales!$C$5:$C$804=A134)*Sales!$B$5:$B$804))=0,"",SUMPRODUCT(MAX((Sales!$C$5:$C$804=A134)*Sales!$B$5:$B$804))))</f>
        <v>0</v>
      </c>
      <c r="BM134" s="17">
        <f>IF(B134="","",IF(SUMPRODUCT(MAX(('Price History'!$B$5:$B$304=A134)*'Price History'!$A$5:$A$304))=0,IF(P134="","",P134),SUMPRODUCT(MAX(('Price History'!$B$5:$B$304=A134)*'Price History'!$A$5:$A$304))))</f>
        <v>0</v>
      </c>
      <c r="BN134" s="32">
        <f>IF(B134="","",IF(BM134="","",TodayDate-BM134))</f>
        <v>0</v>
      </c>
      <c r="BO134" s="32">
        <f>IF(B134="","",COUNTIFS($AV$5:$AV$304,"&gt;"&amp;AV134)+COUNTIFS($AV$5:AV134,AV134))</f>
        <v>0</v>
      </c>
      <c r="BP134" s="32">
        <f>IF(B134="","",COUNTIFS($AW$5:$AW$304,"&gt;"&amp;AW134)+COUNTIFS($AW$5:AW134,AW134))</f>
        <v>0</v>
      </c>
      <c r="BQ134" s="32">
        <f>IF(B134="","",COUNTIFS($BI$5:$BI$304,"&gt;"&amp;BI134)+COUNTIFS($BI$5:BI134,BI134))</f>
        <v>0</v>
      </c>
      <c r="BR134" s="32">
        <f>IF(B134="","",COUNTIFS($AY$5:$AY$304,"&gt;"&amp;AY134)+COUNTIFS($AY$5:AY134,AY134))</f>
        <v>0</v>
      </c>
      <c r="BS134" s="43">
        <f>IF(B134="","",IF(AH134=0,"Add - no costs entered yet",IF(AR134="","Check - no price yet",IF(AV134&lt;0,"Loss - every sale costs you money",IF(AND(AZ134&lt;&gt;"",AZ134&lt;MinimumWage),"Below - pays under minimum wage",IF(AW134&lt;MarginWarning,"Low margin - re-price it",IF(AND(AF134&lt;&gt;"",K134&lt;&gt;"",K134+AC134&gt;AF134),"Check - too heavy for that postage band",IF(AND(BN134&lt;&gt;"",BN134&gt;PriceReviewDays),"Due - price has not been reviewed",IF(AND(BG134&lt;&gt;"",BG134&gt;0.5),"Check - well above the market","OK")))))))) )</f>
        <v>0</v>
      </c>
    </row>
    <row r="135" spans="1:71">
      <c r="A135" s="38">
        <f>IF(B135="","",ProductPrefix&amp;TEXT(ROW()-4,"0000"))</f>
        <v>0</v>
      </c>
      <c r="S135" s="38">
        <f>IF(B135="","",IF(C135&lt;&gt;"",C135,UPPER(LEFT(IF(D135="","GEN",D135),3))&amp;"-"&amp;TEXT(ROW()-4,"000")))</f>
        <v>0</v>
      </c>
      <c r="T135" s="20">
        <f>IF(B135="","",ROUND(SUMIFS('Material Usage'!$M$5:$M$904,'Material Usage'!$A$5:$A$904,A135)+SUMIFS(Crochet!$AD$5:$AD$84,Crochet!$A$5:$A$84,A135)+SUMIFS(Jewelry!$AF$5:$AF$84,Jewelry!$A$5:$A$84,A135)+SUMIFS(Candles!$AF$5:$AF$84,Candles!$A$5:$A$84,A135)+SUMIFS(Clothing!$AB$5:$AB$84,Clothing!$A$5:$A$84,A135)+SUMIFS(Woodworking!$AC$5:$AC$84,Woodworking!$A$5:$A$84,A135)+SUMIFS(Digital!$X$5:$X$84,Digital!$A$5:$A$84,A135),2))</f>
        <v>0</v>
      </c>
      <c r="U135" s="20">
        <f>IF(B135="","",ROUND(SUMIFS(Labor!$O$5:$O$304,Labor!$A$5:$A$304,A135)+SUMIFS(Crochet!$AG$5:$AG$84,Crochet!$A$5:$A$84,A135)+SUMIFS(Jewelry!$AI$5:$AI$84,Jewelry!$A$5:$A$84,A135)+SUMIFS(Candles!$AI$5:$AI$84,Candles!$A$5:$A$84,A135)+SUMIFS(Clothing!$AE$5:$AE$84,Clothing!$A$5:$A$84,A135)+SUMIFS(Woodworking!$AF$5:$AF$84,Woodworking!$A$5:$A$84,A135)+SUMIFS(Digital!$Z$5:$Z$84,Digital!$A$5:$A$84,A135),2))</f>
        <v>0</v>
      </c>
      <c r="V135" s="36">
        <f>IF(B135="","",ROUND(SUMIFS(Labor!$P$5:$P$304,Labor!$A$5:$A$304,A135)+SUMIFS(Crochet!$AE$5:$AE$84,Crochet!$A$5:$A$84,A135)+SUMIFS(Jewelry!$AG$5:$AG$84,Jewelry!$A$5:$A$84,A135)+SUMIFS(Candles!$AG$5:$AG$84,Candles!$A$5:$A$84,A135)+SUMIFS(Clothing!$AC$5:$AC$84,Clothing!$A$5:$A$84,A135)+SUMIFS(Woodworking!$AD$5:$AD$84,Woodworking!$A$5:$A$84,A135)+SUMIFS(Digital!$Y$5:$Y$84,Digital!$A$5:$A$84,A135),1))</f>
        <v>0</v>
      </c>
      <c r="W135" s="41">
        <f>IF(B135="","",IFERROR(INDEX(DiffTimeFactors,MATCH(G135,DiffNames,0)),1))</f>
        <v>0</v>
      </c>
      <c r="X135" s="36">
        <f>IF(B135="","",ROUND(V135*W135,1))</f>
        <v>0</v>
      </c>
      <c r="Y135" s="41">
        <f>IF(B135="","",ROUND(X135/60,3))</f>
        <v>0</v>
      </c>
      <c r="Z135" s="20">
        <f>IF(B135="","",ROUND(U135*W135,2))</f>
        <v>0</v>
      </c>
      <c r="AA135" s="20">
        <f>IF(B135="","",ROUND(SUMIFS(Labor!$Q$5:$Q$304,Labor!$A$5:$A$304,A135)+SUMIFS(Crochet!$AH$5:$AH$84,Crochet!$A$5:$A$84,A135)+SUMIFS(Jewelry!$AJ$5:$AJ$84,Jewelry!$A$5:$A$84,A135)+SUMIFS(Candles!$AJ$5:$AJ$84,Candles!$A$5:$A$84,A135)+SUMIFS(Clothing!$AF$5:$AF$84,Clothing!$A$5:$A$84,A135)+SUMIFS(Woodworking!$AH$5:$AH$84,Woodworking!$A$5:$A$84,A135)+SUMIFS(Digital!$AA$5:$AA$84,Digital!$A$5:$A$84,A135),2))</f>
        <v>0</v>
      </c>
      <c r="AB135" s="20">
        <f>IF(B135="","",ROUND(IF(I135="Budget",PackBudget,IF(I135="Standard",PackStandard,IF(I135="Gift",PackGift,IF(I135="Premium",PackPremium,DefaultPackaging)))),2))</f>
        <v>0</v>
      </c>
      <c r="AC135" s="36">
        <f>IF(B135="","",IF(I135="Budget",PackWeightBudget,IF(I135="Standard",PackWeightStandard,IF(I135="Gift",PackWeightGift,IF(I135="Premium",PackWeightPremium,0)))))</f>
        <v>0</v>
      </c>
      <c r="AD135" s="20">
        <f>IF(B135="","",IFERROR(INDEX(Shipping!$M$5:$M$64,MATCH(J135,Shipping!$L$5:$L$64,0)),DefaultShipping))</f>
        <v>0</v>
      </c>
      <c r="AE135" s="20">
        <f>IF(B135="","",IFERROR(INDEX(Shipping!$F$5:$F$64,MATCH(J135,Shipping!$L$5:$L$64,0)),0))</f>
        <v>0</v>
      </c>
      <c r="AF135" s="36">
        <f>IF(B135="","",IFERROR(INDEX(Shipping!$C$5:$C$64,MATCH(J135,Shipping!$L$5:$L$64,0)),""))</f>
        <v>0</v>
      </c>
      <c r="AG135" s="20">
        <f>IF(B135="","",ROUND(MAX(0,AD135-AE135),2))</f>
        <v>0</v>
      </c>
      <c r="AH135" s="20">
        <f>IF(B135="","",ROUND(T135+Z135+AA135+AB135+AG135,2))</f>
        <v>0</v>
      </c>
      <c r="AI135" s="33">
        <f>IF(B135="","",IFERROR(INDEX(Channels!$S$5:$S$18,MATCH(IF(H135="",DefaultChannel,H135),Channels!$A$5:$A$18,0)),0))</f>
        <v>0</v>
      </c>
      <c r="AJ135" s="42">
        <f>IF(B135="","",IFERROR(INDEX(Channels!$O$5:$O$18,MATCH(IF(H135="",DefaultChannel,H135),Channels!$A$5:$A$18,0)),"No"))</f>
        <v>0</v>
      </c>
      <c r="AK135" s="20">
        <f>IF(B135="","",ROUND(IFERROR(INDEX(Channels!$T$5:$T$18,MATCH(IF(H135="",DefaultChannel,H135),Channels!$A$5:$A$18,0)),0)+IF(AJ135="Yes",AE135*AI135,0),4))</f>
        <v>0</v>
      </c>
      <c r="AL135" s="33">
        <f>IF(B135="","",IF(OverheadMethod="Share of revenue",IF(RevenueTargetMonth&lt;=0,0,OverheadMonthly/RevenueTargetMonth),0))</f>
        <v>0</v>
      </c>
      <c r="AM135" s="20">
        <f>IF(B135="","",IF(OverheadMethod="Per hour worked",ROUND(OverheadPerHour*Y135,2),IF(OR(OverheadMethod="Per unit made",OverheadMethod="Per order"),OverheadPerUnit,0)))</f>
        <v>0</v>
      </c>
      <c r="AN135" s="33">
        <f>IF(B135="","",IF(N135&lt;&gt;"",N135,TargetRetailMargin))</f>
        <v>0</v>
      </c>
      <c r="AO135" s="41">
        <f>IF(B135="","",1-AN135-AI135-AL135)</f>
        <v>0</v>
      </c>
      <c r="AP135" s="20">
        <f>IF(B135="","",IF(AO135&lt;=0,"",(AH135+AM135+AK135)/AO135))</f>
        <v>0</v>
      </c>
      <c r="AQ135" s="20">
        <f>IF(B135="","",IF(AP135="","Check the settings",ROUND(IF(RoundingRule="None",AP135,IF(RoundingRule="Nearest 0.99",MAX(0.99,CEILING(AP135,1)-0.01),IF(RoundingRule="Nearest 0.95",MAX(0.95,CEILING(AP135,1)-0.05),IF(RoundingRule="Nearest 0.50",CEILING(AP135,0.5),IF(RoundingRule="Nearest 1",CEILING(AP135,1),IF(RoundingRule="Nearest 5",CEILING(AP135,5),IF(RoundingRule="Up to whole 1",CEILING(AP135,1),IF(RoundingRule="Up to whole 5",CEILING(AP135,5),ROUND(AP135,2))))))))),2)))</f>
        <v>0</v>
      </c>
      <c r="AR135" s="20">
        <f>IF(B135="","",IF(M135&lt;&gt;"",M135,IF(ISNUMBER(AQ135),AQ135,"")))</f>
        <v>0</v>
      </c>
      <c r="AS135" s="20">
        <f>IF(B135="","",IF(AR135="","",ROUND(AM135+AR135*AL135,2)))</f>
        <v>0</v>
      </c>
      <c r="AT135" s="20">
        <f>IF(B135="","",IF(AR135="","",ROUND(AH135+AS135,2)))</f>
        <v>0</v>
      </c>
      <c r="AU135" s="20">
        <f>IF(B135="","",IF(AR135="","",ROUND(AR135*AI135+AK135,2)))</f>
        <v>0</v>
      </c>
      <c r="AV135" s="20">
        <f>IF(B135="","",IF(AR135="","",ROUND(AR135-AT135-AU135,2)))</f>
        <v>0</v>
      </c>
      <c r="AW135" s="33">
        <f>IF(B135="","",IF(OR(AR135="",AR135=0),"",AV135/AR135))</f>
        <v>0</v>
      </c>
      <c r="AX135" s="33">
        <f>IF(B135="","",IF(OR(AT135="",AT135=0),"",AV135/AT135))</f>
        <v>0</v>
      </c>
      <c r="AY135" s="20">
        <f>IF(B135="","",IF(OR(Y135="",Y135=0,AV135=""),"",ROUND(AV135/Y135,2)))</f>
        <v>0</v>
      </c>
      <c r="AZ135" s="20">
        <f>IF(B135="","",IF(OR(Y135="",Y135=0,AV135=""),"",ROUND((AV135+Z135)/Y135,2)))</f>
        <v>0</v>
      </c>
      <c r="BA135" s="20">
        <f>IF(B135="","",IF(1-AI135-AL135&lt;=0,"",ROUND((AH135+AM135+AK135)/(1-AI135-AL135),2)))</f>
        <v>0</v>
      </c>
      <c r="BB135" s="20">
        <f>IF(B135="","",IF(AT135="","",ROUND(AT135*2,2)))</f>
        <v>0</v>
      </c>
      <c r="BC135" s="20">
        <f>IF(B135="","",IF(AR135="","",ROUND(AR135*(1-WholesaleDiscount),2)))</f>
        <v>0</v>
      </c>
      <c r="BD135" s="20">
        <f>IF(B135="","",IF(BC135="","",ROUND(BC135-AH135-AM135,2)))</f>
        <v>0</v>
      </c>
      <c r="BE135" s="33">
        <f>IF(B135="","",IF(OR(BC135="",BC135=0),"",BD135/BC135))</f>
        <v>0</v>
      </c>
      <c r="BF135" s="20">
        <f>IF(B135="","",IFERROR(ROUND(AVERAGEIFS(Competitors!$F$5:$F$154,Competitors!$A$5:$A$154,A135),2),""))</f>
        <v>0</v>
      </c>
      <c r="BG135" s="33">
        <f>IF(B135="","",IF(OR(BF135="",BF135=0,AR135=""),"",AR135/BF135-1))</f>
        <v>0</v>
      </c>
      <c r="BH135" s="32">
        <f>IF(B135="","",SUMIFS(Sales!$D$5:$D$804,Sales!$C$5:$C$804,A135))</f>
        <v>0</v>
      </c>
      <c r="BI135" s="20">
        <f>IF(B135="","",ROUND(SUMIFS(Sales!$V$5:$V$804,Sales!$C$5:$C$804,A135),2))</f>
        <v>0</v>
      </c>
      <c r="BJ135" s="20">
        <f>IF(B135="","",ROUND(SUMIFS(Sales!$AG$5:$AG$804,Sales!$C$5:$C$804,A135),2))</f>
        <v>0</v>
      </c>
      <c r="BK135" s="33">
        <f>IF(B135="","",IF(OR(BI135="",BI135=0),"",BJ135/BI135))</f>
        <v>0</v>
      </c>
      <c r="BL135" s="17">
        <f>IF(B135="","",IF(SUMPRODUCT(MAX((Sales!$C$5:$C$804=A135)*Sales!$B$5:$B$804))=0,"",SUMPRODUCT(MAX((Sales!$C$5:$C$804=A135)*Sales!$B$5:$B$804))))</f>
        <v>0</v>
      </c>
      <c r="BM135" s="17">
        <f>IF(B135="","",IF(SUMPRODUCT(MAX(('Price History'!$B$5:$B$304=A135)*'Price History'!$A$5:$A$304))=0,IF(P135="","",P135),SUMPRODUCT(MAX(('Price History'!$B$5:$B$304=A135)*'Price History'!$A$5:$A$304))))</f>
        <v>0</v>
      </c>
      <c r="BN135" s="32">
        <f>IF(B135="","",IF(BM135="","",TodayDate-BM135))</f>
        <v>0</v>
      </c>
      <c r="BO135" s="32">
        <f>IF(B135="","",COUNTIFS($AV$5:$AV$304,"&gt;"&amp;AV135)+COUNTIFS($AV$5:AV135,AV135))</f>
        <v>0</v>
      </c>
      <c r="BP135" s="32">
        <f>IF(B135="","",COUNTIFS($AW$5:$AW$304,"&gt;"&amp;AW135)+COUNTIFS($AW$5:AW135,AW135))</f>
        <v>0</v>
      </c>
      <c r="BQ135" s="32">
        <f>IF(B135="","",COUNTIFS($BI$5:$BI$304,"&gt;"&amp;BI135)+COUNTIFS($BI$5:BI135,BI135))</f>
        <v>0</v>
      </c>
      <c r="BR135" s="32">
        <f>IF(B135="","",COUNTIFS($AY$5:$AY$304,"&gt;"&amp;AY135)+COUNTIFS($AY$5:AY135,AY135))</f>
        <v>0</v>
      </c>
      <c r="BS135" s="43">
        <f>IF(B135="","",IF(AH135=0,"Add - no costs entered yet",IF(AR135="","Check - no price yet",IF(AV135&lt;0,"Loss - every sale costs you money",IF(AND(AZ135&lt;&gt;"",AZ135&lt;MinimumWage),"Below - pays under minimum wage",IF(AW135&lt;MarginWarning,"Low margin - re-price it",IF(AND(AF135&lt;&gt;"",K135&lt;&gt;"",K135+AC135&gt;AF135),"Check - too heavy for that postage band",IF(AND(BN135&lt;&gt;"",BN135&gt;PriceReviewDays),"Due - price has not been reviewed",IF(AND(BG135&lt;&gt;"",BG135&gt;0.5),"Check - well above the market","OK")))))))) )</f>
        <v>0</v>
      </c>
    </row>
    <row r="136" spans="1:71">
      <c r="A136" s="38">
        <f>IF(B136="","",ProductPrefix&amp;TEXT(ROW()-4,"0000"))</f>
        <v>0</v>
      </c>
      <c r="S136" s="38">
        <f>IF(B136="","",IF(C136&lt;&gt;"",C136,UPPER(LEFT(IF(D136="","GEN",D136),3))&amp;"-"&amp;TEXT(ROW()-4,"000")))</f>
        <v>0</v>
      </c>
      <c r="T136" s="20">
        <f>IF(B136="","",ROUND(SUMIFS('Material Usage'!$M$5:$M$904,'Material Usage'!$A$5:$A$904,A136)+SUMIFS(Crochet!$AD$5:$AD$84,Crochet!$A$5:$A$84,A136)+SUMIFS(Jewelry!$AF$5:$AF$84,Jewelry!$A$5:$A$84,A136)+SUMIFS(Candles!$AF$5:$AF$84,Candles!$A$5:$A$84,A136)+SUMIFS(Clothing!$AB$5:$AB$84,Clothing!$A$5:$A$84,A136)+SUMIFS(Woodworking!$AC$5:$AC$84,Woodworking!$A$5:$A$84,A136)+SUMIFS(Digital!$X$5:$X$84,Digital!$A$5:$A$84,A136),2))</f>
        <v>0</v>
      </c>
      <c r="U136" s="20">
        <f>IF(B136="","",ROUND(SUMIFS(Labor!$O$5:$O$304,Labor!$A$5:$A$304,A136)+SUMIFS(Crochet!$AG$5:$AG$84,Crochet!$A$5:$A$84,A136)+SUMIFS(Jewelry!$AI$5:$AI$84,Jewelry!$A$5:$A$84,A136)+SUMIFS(Candles!$AI$5:$AI$84,Candles!$A$5:$A$84,A136)+SUMIFS(Clothing!$AE$5:$AE$84,Clothing!$A$5:$A$84,A136)+SUMIFS(Woodworking!$AF$5:$AF$84,Woodworking!$A$5:$A$84,A136)+SUMIFS(Digital!$Z$5:$Z$84,Digital!$A$5:$A$84,A136),2))</f>
        <v>0</v>
      </c>
      <c r="V136" s="36">
        <f>IF(B136="","",ROUND(SUMIFS(Labor!$P$5:$P$304,Labor!$A$5:$A$304,A136)+SUMIFS(Crochet!$AE$5:$AE$84,Crochet!$A$5:$A$84,A136)+SUMIFS(Jewelry!$AG$5:$AG$84,Jewelry!$A$5:$A$84,A136)+SUMIFS(Candles!$AG$5:$AG$84,Candles!$A$5:$A$84,A136)+SUMIFS(Clothing!$AC$5:$AC$84,Clothing!$A$5:$A$84,A136)+SUMIFS(Woodworking!$AD$5:$AD$84,Woodworking!$A$5:$A$84,A136)+SUMIFS(Digital!$Y$5:$Y$84,Digital!$A$5:$A$84,A136),1))</f>
        <v>0</v>
      </c>
      <c r="W136" s="41">
        <f>IF(B136="","",IFERROR(INDEX(DiffTimeFactors,MATCH(G136,DiffNames,0)),1))</f>
        <v>0</v>
      </c>
      <c r="X136" s="36">
        <f>IF(B136="","",ROUND(V136*W136,1))</f>
        <v>0</v>
      </c>
      <c r="Y136" s="41">
        <f>IF(B136="","",ROUND(X136/60,3))</f>
        <v>0</v>
      </c>
      <c r="Z136" s="20">
        <f>IF(B136="","",ROUND(U136*W136,2))</f>
        <v>0</v>
      </c>
      <c r="AA136" s="20">
        <f>IF(B136="","",ROUND(SUMIFS(Labor!$Q$5:$Q$304,Labor!$A$5:$A$304,A136)+SUMIFS(Crochet!$AH$5:$AH$84,Crochet!$A$5:$A$84,A136)+SUMIFS(Jewelry!$AJ$5:$AJ$84,Jewelry!$A$5:$A$84,A136)+SUMIFS(Candles!$AJ$5:$AJ$84,Candles!$A$5:$A$84,A136)+SUMIFS(Clothing!$AF$5:$AF$84,Clothing!$A$5:$A$84,A136)+SUMIFS(Woodworking!$AH$5:$AH$84,Woodworking!$A$5:$A$84,A136)+SUMIFS(Digital!$AA$5:$AA$84,Digital!$A$5:$A$84,A136),2))</f>
        <v>0</v>
      </c>
      <c r="AB136" s="20">
        <f>IF(B136="","",ROUND(IF(I136="Budget",PackBudget,IF(I136="Standard",PackStandard,IF(I136="Gift",PackGift,IF(I136="Premium",PackPremium,DefaultPackaging)))),2))</f>
        <v>0</v>
      </c>
      <c r="AC136" s="36">
        <f>IF(B136="","",IF(I136="Budget",PackWeightBudget,IF(I136="Standard",PackWeightStandard,IF(I136="Gift",PackWeightGift,IF(I136="Premium",PackWeightPremium,0)))))</f>
        <v>0</v>
      </c>
      <c r="AD136" s="20">
        <f>IF(B136="","",IFERROR(INDEX(Shipping!$M$5:$M$64,MATCH(J136,Shipping!$L$5:$L$64,0)),DefaultShipping))</f>
        <v>0</v>
      </c>
      <c r="AE136" s="20">
        <f>IF(B136="","",IFERROR(INDEX(Shipping!$F$5:$F$64,MATCH(J136,Shipping!$L$5:$L$64,0)),0))</f>
        <v>0</v>
      </c>
      <c r="AF136" s="36">
        <f>IF(B136="","",IFERROR(INDEX(Shipping!$C$5:$C$64,MATCH(J136,Shipping!$L$5:$L$64,0)),""))</f>
        <v>0</v>
      </c>
      <c r="AG136" s="20">
        <f>IF(B136="","",ROUND(MAX(0,AD136-AE136),2))</f>
        <v>0</v>
      </c>
      <c r="AH136" s="20">
        <f>IF(B136="","",ROUND(T136+Z136+AA136+AB136+AG136,2))</f>
        <v>0</v>
      </c>
      <c r="AI136" s="33">
        <f>IF(B136="","",IFERROR(INDEX(Channels!$S$5:$S$18,MATCH(IF(H136="",DefaultChannel,H136),Channels!$A$5:$A$18,0)),0))</f>
        <v>0</v>
      </c>
      <c r="AJ136" s="42">
        <f>IF(B136="","",IFERROR(INDEX(Channels!$O$5:$O$18,MATCH(IF(H136="",DefaultChannel,H136),Channels!$A$5:$A$18,0)),"No"))</f>
        <v>0</v>
      </c>
      <c r="AK136" s="20">
        <f>IF(B136="","",ROUND(IFERROR(INDEX(Channels!$T$5:$T$18,MATCH(IF(H136="",DefaultChannel,H136),Channels!$A$5:$A$18,0)),0)+IF(AJ136="Yes",AE136*AI136,0),4))</f>
        <v>0</v>
      </c>
      <c r="AL136" s="33">
        <f>IF(B136="","",IF(OverheadMethod="Share of revenue",IF(RevenueTargetMonth&lt;=0,0,OverheadMonthly/RevenueTargetMonth),0))</f>
        <v>0</v>
      </c>
      <c r="AM136" s="20">
        <f>IF(B136="","",IF(OverheadMethod="Per hour worked",ROUND(OverheadPerHour*Y136,2),IF(OR(OverheadMethod="Per unit made",OverheadMethod="Per order"),OverheadPerUnit,0)))</f>
        <v>0</v>
      </c>
      <c r="AN136" s="33">
        <f>IF(B136="","",IF(N136&lt;&gt;"",N136,TargetRetailMargin))</f>
        <v>0</v>
      </c>
      <c r="AO136" s="41">
        <f>IF(B136="","",1-AN136-AI136-AL136)</f>
        <v>0</v>
      </c>
      <c r="AP136" s="20">
        <f>IF(B136="","",IF(AO136&lt;=0,"",(AH136+AM136+AK136)/AO136))</f>
        <v>0</v>
      </c>
      <c r="AQ136" s="20">
        <f>IF(B136="","",IF(AP136="","Check the settings",ROUND(IF(RoundingRule="None",AP136,IF(RoundingRule="Nearest 0.99",MAX(0.99,CEILING(AP136,1)-0.01),IF(RoundingRule="Nearest 0.95",MAX(0.95,CEILING(AP136,1)-0.05),IF(RoundingRule="Nearest 0.50",CEILING(AP136,0.5),IF(RoundingRule="Nearest 1",CEILING(AP136,1),IF(RoundingRule="Nearest 5",CEILING(AP136,5),IF(RoundingRule="Up to whole 1",CEILING(AP136,1),IF(RoundingRule="Up to whole 5",CEILING(AP136,5),ROUND(AP136,2))))))))),2)))</f>
        <v>0</v>
      </c>
      <c r="AR136" s="20">
        <f>IF(B136="","",IF(M136&lt;&gt;"",M136,IF(ISNUMBER(AQ136),AQ136,"")))</f>
        <v>0</v>
      </c>
      <c r="AS136" s="20">
        <f>IF(B136="","",IF(AR136="","",ROUND(AM136+AR136*AL136,2)))</f>
        <v>0</v>
      </c>
      <c r="AT136" s="20">
        <f>IF(B136="","",IF(AR136="","",ROUND(AH136+AS136,2)))</f>
        <v>0</v>
      </c>
      <c r="AU136" s="20">
        <f>IF(B136="","",IF(AR136="","",ROUND(AR136*AI136+AK136,2)))</f>
        <v>0</v>
      </c>
      <c r="AV136" s="20">
        <f>IF(B136="","",IF(AR136="","",ROUND(AR136-AT136-AU136,2)))</f>
        <v>0</v>
      </c>
      <c r="AW136" s="33">
        <f>IF(B136="","",IF(OR(AR136="",AR136=0),"",AV136/AR136))</f>
        <v>0</v>
      </c>
      <c r="AX136" s="33">
        <f>IF(B136="","",IF(OR(AT136="",AT136=0),"",AV136/AT136))</f>
        <v>0</v>
      </c>
      <c r="AY136" s="20">
        <f>IF(B136="","",IF(OR(Y136="",Y136=0,AV136=""),"",ROUND(AV136/Y136,2)))</f>
        <v>0</v>
      </c>
      <c r="AZ136" s="20">
        <f>IF(B136="","",IF(OR(Y136="",Y136=0,AV136=""),"",ROUND((AV136+Z136)/Y136,2)))</f>
        <v>0</v>
      </c>
      <c r="BA136" s="20">
        <f>IF(B136="","",IF(1-AI136-AL136&lt;=0,"",ROUND((AH136+AM136+AK136)/(1-AI136-AL136),2)))</f>
        <v>0</v>
      </c>
      <c r="BB136" s="20">
        <f>IF(B136="","",IF(AT136="","",ROUND(AT136*2,2)))</f>
        <v>0</v>
      </c>
      <c r="BC136" s="20">
        <f>IF(B136="","",IF(AR136="","",ROUND(AR136*(1-WholesaleDiscount),2)))</f>
        <v>0</v>
      </c>
      <c r="BD136" s="20">
        <f>IF(B136="","",IF(BC136="","",ROUND(BC136-AH136-AM136,2)))</f>
        <v>0</v>
      </c>
      <c r="BE136" s="33">
        <f>IF(B136="","",IF(OR(BC136="",BC136=0),"",BD136/BC136))</f>
        <v>0</v>
      </c>
      <c r="BF136" s="20">
        <f>IF(B136="","",IFERROR(ROUND(AVERAGEIFS(Competitors!$F$5:$F$154,Competitors!$A$5:$A$154,A136),2),""))</f>
        <v>0</v>
      </c>
      <c r="BG136" s="33">
        <f>IF(B136="","",IF(OR(BF136="",BF136=0,AR136=""),"",AR136/BF136-1))</f>
        <v>0</v>
      </c>
      <c r="BH136" s="32">
        <f>IF(B136="","",SUMIFS(Sales!$D$5:$D$804,Sales!$C$5:$C$804,A136))</f>
        <v>0</v>
      </c>
      <c r="BI136" s="20">
        <f>IF(B136="","",ROUND(SUMIFS(Sales!$V$5:$V$804,Sales!$C$5:$C$804,A136),2))</f>
        <v>0</v>
      </c>
      <c r="BJ136" s="20">
        <f>IF(B136="","",ROUND(SUMIFS(Sales!$AG$5:$AG$804,Sales!$C$5:$C$804,A136),2))</f>
        <v>0</v>
      </c>
      <c r="BK136" s="33">
        <f>IF(B136="","",IF(OR(BI136="",BI136=0),"",BJ136/BI136))</f>
        <v>0</v>
      </c>
      <c r="BL136" s="17">
        <f>IF(B136="","",IF(SUMPRODUCT(MAX((Sales!$C$5:$C$804=A136)*Sales!$B$5:$B$804))=0,"",SUMPRODUCT(MAX((Sales!$C$5:$C$804=A136)*Sales!$B$5:$B$804))))</f>
        <v>0</v>
      </c>
      <c r="BM136" s="17">
        <f>IF(B136="","",IF(SUMPRODUCT(MAX(('Price History'!$B$5:$B$304=A136)*'Price History'!$A$5:$A$304))=0,IF(P136="","",P136),SUMPRODUCT(MAX(('Price History'!$B$5:$B$304=A136)*'Price History'!$A$5:$A$304))))</f>
        <v>0</v>
      </c>
      <c r="BN136" s="32">
        <f>IF(B136="","",IF(BM136="","",TodayDate-BM136))</f>
        <v>0</v>
      </c>
      <c r="BO136" s="32">
        <f>IF(B136="","",COUNTIFS($AV$5:$AV$304,"&gt;"&amp;AV136)+COUNTIFS($AV$5:AV136,AV136))</f>
        <v>0</v>
      </c>
      <c r="BP136" s="32">
        <f>IF(B136="","",COUNTIFS($AW$5:$AW$304,"&gt;"&amp;AW136)+COUNTIFS($AW$5:AW136,AW136))</f>
        <v>0</v>
      </c>
      <c r="BQ136" s="32">
        <f>IF(B136="","",COUNTIFS($BI$5:$BI$304,"&gt;"&amp;BI136)+COUNTIFS($BI$5:BI136,BI136))</f>
        <v>0</v>
      </c>
      <c r="BR136" s="32">
        <f>IF(B136="","",COUNTIFS($AY$5:$AY$304,"&gt;"&amp;AY136)+COUNTIFS($AY$5:AY136,AY136))</f>
        <v>0</v>
      </c>
      <c r="BS136" s="43">
        <f>IF(B136="","",IF(AH136=0,"Add - no costs entered yet",IF(AR136="","Check - no price yet",IF(AV136&lt;0,"Loss - every sale costs you money",IF(AND(AZ136&lt;&gt;"",AZ136&lt;MinimumWage),"Below - pays under minimum wage",IF(AW136&lt;MarginWarning,"Low margin - re-price it",IF(AND(AF136&lt;&gt;"",K136&lt;&gt;"",K136+AC136&gt;AF136),"Check - too heavy for that postage band",IF(AND(BN136&lt;&gt;"",BN136&gt;PriceReviewDays),"Due - price has not been reviewed",IF(AND(BG136&lt;&gt;"",BG136&gt;0.5),"Check - well above the market","OK")))))))) )</f>
        <v>0</v>
      </c>
    </row>
    <row r="137" spans="1:71">
      <c r="A137" s="38">
        <f>IF(B137="","",ProductPrefix&amp;TEXT(ROW()-4,"0000"))</f>
        <v>0</v>
      </c>
      <c r="S137" s="38">
        <f>IF(B137="","",IF(C137&lt;&gt;"",C137,UPPER(LEFT(IF(D137="","GEN",D137),3))&amp;"-"&amp;TEXT(ROW()-4,"000")))</f>
        <v>0</v>
      </c>
      <c r="T137" s="20">
        <f>IF(B137="","",ROUND(SUMIFS('Material Usage'!$M$5:$M$904,'Material Usage'!$A$5:$A$904,A137)+SUMIFS(Crochet!$AD$5:$AD$84,Crochet!$A$5:$A$84,A137)+SUMIFS(Jewelry!$AF$5:$AF$84,Jewelry!$A$5:$A$84,A137)+SUMIFS(Candles!$AF$5:$AF$84,Candles!$A$5:$A$84,A137)+SUMIFS(Clothing!$AB$5:$AB$84,Clothing!$A$5:$A$84,A137)+SUMIFS(Woodworking!$AC$5:$AC$84,Woodworking!$A$5:$A$84,A137)+SUMIFS(Digital!$X$5:$X$84,Digital!$A$5:$A$84,A137),2))</f>
        <v>0</v>
      </c>
      <c r="U137" s="20">
        <f>IF(B137="","",ROUND(SUMIFS(Labor!$O$5:$O$304,Labor!$A$5:$A$304,A137)+SUMIFS(Crochet!$AG$5:$AG$84,Crochet!$A$5:$A$84,A137)+SUMIFS(Jewelry!$AI$5:$AI$84,Jewelry!$A$5:$A$84,A137)+SUMIFS(Candles!$AI$5:$AI$84,Candles!$A$5:$A$84,A137)+SUMIFS(Clothing!$AE$5:$AE$84,Clothing!$A$5:$A$84,A137)+SUMIFS(Woodworking!$AF$5:$AF$84,Woodworking!$A$5:$A$84,A137)+SUMIFS(Digital!$Z$5:$Z$84,Digital!$A$5:$A$84,A137),2))</f>
        <v>0</v>
      </c>
      <c r="V137" s="36">
        <f>IF(B137="","",ROUND(SUMIFS(Labor!$P$5:$P$304,Labor!$A$5:$A$304,A137)+SUMIFS(Crochet!$AE$5:$AE$84,Crochet!$A$5:$A$84,A137)+SUMIFS(Jewelry!$AG$5:$AG$84,Jewelry!$A$5:$A$84,A137)+SUMIFS(Candles!$AG$5:$AG$84,Candles!$A$5:$A$84,A137)+SUMIFS(Clothing!$AC$5:$AC$84,Clothing!$A$5:$A$84,A137)+SUMIFS(Woodworking!$AD$5:$AD$84,Woodworking!$A$5:$A$84,A137)+SUMIFS(Digital!$Y$5:$Y$84,Digital!$A$5:$A$84,A137),1))</f>
        <v>0</v>
      </c>
      <c r="W137" s="41">
        <f>IF(B137="","",IFERROR(INDEX(DiffTimeFactors,MATCH(G137,DiffNames,0)),1))</f>
        <v>0</v>
      </c>
      <c r="X137" s="36">
        <f>IF(B137="","",ROUND(V137*W137,1))</f>
        <v>0</v>
      </c>
      <c r="Y137" s="41">
        <f>IF(B137="","",ROUND(X137/60,3))</f>
        <v>0</v>
      </c>
      <c r="Z137" s="20">
        <f>IF(B137="","",ROUND(U137*W137,2))</f>
        <v>0</v>
      </c>
      <c r="AA137" s="20">
        <f>IF(B137="","",ROUND(SUMIFS(Labor!$Q$5:$Q$304,Labor!$A$5:$A$304,A137)+SUMIFS(Crochet!$AH$5:$AH$84,Crochet!$A$5:$A$84,A137)+SUMIFS(Jewelry!$AJ$5:$AJ$84,Jewelry!$A$5:$A$84,A137)+SUMIFS(Candles!$AJ$5:$AJ$84,Candles!$A$5:$A$84,A137)+SUMIFS(Clothing!$AF$5:$AF$84,Clothing!$A$5:$A$84,A137)+SUMIFS(Woodworking!$AH$5:$AH$84,Woodworking!$A$5:$A$84,A137)+SUMIFS(Digital!$AA$5:$AA$84,Digital!$A$5:$A$84,A137),2))</f>
        <v>0</v>
      </c>
      <c r="AB137" s="20">
        <f>IF(B137="","",ROUND(IF(I137="Budget",PackBudget,IF(I137="Standard",PackStandard,IF(I137="Gift",PackGift,IF(I137="Premium",PackPremium,DefaultPackaging)))),2))</f>
        <v>0</v>
      </c>
      <c r="AC137" s="36">
        <f>IF(B137="","",IF(I137="Budget",PackWeightBudget,IF(I137="Standard",PackWeightStandard,IF(I137="Gift",PackWeightGift,IF(I137="Premium",PackWeightPremium,0)))))</f>
        <v>0</v>
      </c>
      <c r="AD137" s="20">
        <f>IF(B137="","",IFERROR(INDEX(Shipping!$M$5:$M$64,MATCH(J137,Shipping!$L$5:$L$64,0)),DefaultShipping))</f>
        <v>0</v>
      </c>
      <c r="AE137" s="20">
        <f>IF(B137="","",IFERROR(INDEX(Shipping!$F$5:$F$64,MATCH(J137,Shipping!$L$5:$L$64,0)),0))</f>
        <v>0</v>
      </c>
      <c r="AF137" s="36">
        <f>IF(B137="","",IFERROR(INDEX(Shipping!$C$5:$C$64,MATCH(J137,Shipping!$L$5:$L$64,0)),""))</f>
        <v>0</v>
      </c>
      <c r="AG137" s="20">
        <f>IF(B137="","",ROUND(MAX(0,AD137-AE137),2))</f>
        <v>0</v>
      </c>
      <c r="AH137" s="20">
        <f>IF(B137="","",ROUND(T137+Z137+AA137+AB137+AG137,2))</f>
        <v>0</v>
      </c>
      <c r="AI137" s="33">
        <f>IF(B137="","",IFERROR(INDEX(Channels!$S$5:$S$18,MATCH(IF(H137="",DefaultChannel,H137),Channels!$A$5:$A$18,0)),0))</f>
        <v>0</v>
      </c>
      <c r="AJ137" s="42">
        <f>IF(B137="","",IFERROR(INDEX(Channels!$O$5:$O$18,MATCH(IF(H137="",DefaultChannel,H137),Channels!$A$5:$A$18,0)),"No"))</f>
        <v>0</v>
      </c>
      <c r="AK137" s="20">
        <f>IF(B137="","",ROUND(IFERROR(INDEX(Channels!$T$5:$T$18,MATCH(IF(H137="",DefaultChannel,H137),Channels!$A$5:$A$18,0)),0)+IF(AJ137="Yes",AE137*AI137,0),4))</f>
        <v>0</v>
      </c>
      <c r="AL137" s="33">
        <f>IF(B137="","",IF(OverheadMethod="Share of revenue",IF(RevenueTargetMonth&lt;=0,0,OverheadMonthly/RevenueTargetMonth),0))</f>
        <v>0</v>
      </c>
      <c r="AM137" s="20">
        <f>IF(B137="","",IF(OverheadMethod="Per hour worked",ROUND(OverheadPerHour*Y137,2),IF(OR(OverheadMethod="Per unit made",OverheadMethod="Per order"),OverheadPerUnit,0)))</f>
        <v>0</v>
      </c>
      <c r="AN137" s="33">
        <f>IF(B137="","",IF(N137&lt;&gt;"",N137,TargetRetailMargin))</f>
        <v>0</v>
      </c>
      <c r="AO137" s="41">
        <f>IF(B137="","",1-AN137-AI137-AL137)</f>
        <v>0</v>
      </c>
      <c r="AP137" s="20">
        <f>IF(B137="","",IF(AO137&lt;=0,"",(AH137+AM137+AK137)/AO137))</f>
        <v>0</v>
      </c>
      <c r="AQ137" s="20">
        <f>IF(B137="","",IF(AP137="","Check the settings",ROUND(IF(RoundingRule="None",AP137,IF(RoundingRule="Nearest 0.99",MAX(0.99,CEILING(AP137,1)-0.01),IF(RoundingRule="Nearest 0.95",MAX(0.95,CEILING(AP137,1)-0.05),IF(RoundingRule="Nearest 0.50",CEILING(AP137,0.5),IF(RoundingRule="Nearest 1",CEILING(AP137,1),IF(RoundingRule="Nearest 5",CEILING(AP137,5),IF(RoundingRule="Up to whole 1",CEILING(AP137,1),IF(RoundingRule="Up to whole 5",CEILING(AP137,5),ROUND(AP137,2))))))))),2)))</f>
        <v>0</v>
      </c>
      <c r="AR137" s="20">
        <f>IF(B137="","",IF(M137&lt;&gt;"",M137,IF(ISNUMBER(AQ137),AQ137,"")))</f>
        <v>0</v>
      </c>
      <c r="AS137" s="20">
        <f>IF(B137="","",IF(AR137="","",ROUND(AM137+AR137*AL137,2)))</f>
        <v>0</v>
      </c>
      <c r="AT137" s="20">
        <f>IF(B137="","",IF(AR137="","",ROUND(AH137+AS137,2)))</f>
        <v>0</v>
      </c>
      <c r="AU137" s="20">
        <f>IF(B137="","",IF(AR137="","",ROUND(AR137*AI137+AK137,2)))</f>
        <v>0</v>
      </c>
      <c r="AV137" s="20">
        <f>IF(B137="","",IF(AR137="","",ROUND(AR137-AT137-AU137,2)))</f>
        <v>0</v>
      </c>
      <c r="AW137" s="33">
        <f>IF(B137="","",IF(OR(AR137="",AR137=0),"",AV137/AR137))</f>
        <v>0</v>
      </c>
      <c r="AX137" s="33">
        <f>IF(B137="","",IF(OR(AT137="",AT137=0),"",AV137/AT137))</f>
        <v>0</v>
      </c>
      <c r="AY137" s="20">
        <f>IF(B137="","",IF(OR(Y137="",Y137=0,AV137=""),"",ROUND(AV137/Y137,2)))</f>
        <v>0</v>
      </c>
      <c r="AZ137" s="20">
        <f>IF(B137="","",IF(OR(Y137="",Y137=0,AV137=""),"",ROUND((AV137+Z137)/Y137,2)))</f>
        <v>0</v>
      </c>
      <c r="BA137" s="20">
        <f>IF(B137="","",IF(1-AI137-AL137&lt;=0,"",ROUND((AH137+AM137+AK137)/(1-AI137-AL137),2)))</f>
        <v>0</v>
      </c>
      <c r="BB137" s="20">
        <f>IF(B137="","",IF(AT137="","",ROUND(AT137*2,2)))</f>
        <v>0</v>
      </c>
      <c r="BC137" s="20">
        <f>IF(B137="","",IF(AR137="","",ROUND(AR137*(1-WholesaleDiscount),2)))</f>
        <v>0</v>
      </c>
      <c r="BD137" s="20">
        <f>IF(B137="","",IF(BC137="","",ROUND(BC137-AH137-AM137,2)))</f>
        <v>0</v>
      </c>
      <c r="BE137" s="33">
        <f>IF(B137="","",IF(OR(BC137="",BC137=0),"",BD137/BC137))</f>
        <v>0</v>
      </c>
      <c r="BF137" s="20">
        <f>IF(B137="","",IFERROR(ROUND(AVERAGEIFS(Competitors!$F$5:$F$154,Competitors!$A$5:$A$154,A137),2),""))</f>
        <v>0</v>
      </c>
      <c r="BG137" s="33">
        <f>IF(B137="","",IF(OR(BF137="",BF137=0,AR137=""),"",AR137/BF137-1))</f>
        <v>0</v>
      </c>
      <c r="BH137" s="32">
        <f>IF(B137="","",SUMIFS(Sales!$D$5:$D$804,Sales!$C$5:$C$804,A137))</f>
        <v>0</v>
      </c>
      <c r="BI137" s="20">
        <f>IF(B137="","",ROUND(SUMIFS(Sales!$V$5:$V$804,Sales!$C$5:$C$804,A137),2))</f>
        <v>0</v>
      </c>
      <c r="BJ137" s="20">
        <f>IF(B137="","",ROUND(SUMIFS(Sales!$AG$5:$AG$804,Sales!$C$5:$C$804,A137),2))</f>
        <v>0</v>
      </c>
      <c r="BK137" s="33">
        <f>IF(B137="","",IF(OR(BI137="",BI137=0),"",BJ137/BI137))</f>
        <v>0</v>
      </c>
      <c r="BL137" s="17">
        <f>IF(B137="","",IF(SUMPRODUCT(MAX((Sales!$C$5:$C$804=A137)*Sales!$B$5:$B$804))=0,"",SUMPRODUCT(MAX((Sales!$C$5:$C$804=A137)*Sales!$B$5:$B$804))))</f>
        <v>0</v>
      </c>
      <c r="BM137" s="17">
        <f>IF(B137="","",IF(SUMPRODUCT(MAX(('Price History'!$B$5:$B$304=A137)*'Price History'!$A$5:$A$304))=0,IF(P137="","",P137),SUMPRODUCT(MAX(('Price History'!$B$5:$B$304=A137)*'Price History'!$A$5:$A$304))))</f>
        <v>0</v>
      </c>
      <c r="BN137" s="32">
        <f>IF(B137="","",IF(BM137="","",TodayDate-BM137))</f>
        <v>0</v>
      </c>
      <c r="BO137" s="32">
        <f>IF(B137="","",COUNTIFS($AV$5:$AV$304,"&gt;"&amp;AV137)+COUNTIFS($AV$5:AV137,AV137))</f>
        <v>0</v>
      </c>
      <c r="BP137" s="32">
        <f>IF(B137="","",COUNTIFS($AW$5:$AW$304,"&gt;"&amp;AW137)+COUNTIFS($AW$5:AW137,AW137))</f>
        <v>0</v>
      </c>
      <c r="BQ137" s="32">
        <f>IF(B137="","",COUNTIFS($BI$5:$BI$304,"&gt;"&amp;BI137)+COUNTIFS($BI$5:BI137,BI137))</f>
        <v>0</v>
      </c>
      <c r="BR137" s="32">
        <f>IF(B137="","",COUNTIFS($AY$5:$AY$304,"&gt;"&amp;AY137)+COUNTIFS($AY$5:AY137,AY137))</f>
        <v>0</v>
      </c>
      <c r="BS137" s="43">
        <f>IF(B137="","",IF(AH137=0,"Add - no costs entered yet",IF(AR137="","Check - no price yet",IF(AV137&lt;0,"Loss - every sale costs you money",IF(AND(AZ137&lt;&gt;"",AZ137&lt;MinimumWage),"Below - pays under minimum wage",IF(AW137&lt;MarginWarning,"Low margin - re-price it",IF(AND(AF137&lt;&gt;"",K137&lt;&gt;"",K137+AC137&gt;AF137),"Check - too heavy for that postage band",IF(AND(BN137&lt;&gt;"",BN137&gt;PriceReviewDays),"Due - price has not been reviewed",IF(AND(BG137&lt;&gt;"",BG137&gt;0.5),"Check - well above the market","OK")))))))) )</f>
        <v>0</v>
      </c>
    </row>
    <row r="138" spans="1:71">
      <c r="A138" s="38">
        <f>IF(B138="","",ProductPrefix&amp;TEXT(ROW()-4,"0000"))</f>
        <v>0</v>
      </c>
      <c r="S138" s="38">
        <f>IF(B138="","",IF(C138&lt;&gt;"",C138,UPPER(LEFT(IF(D138="","GEN",D138),3))&amp;"-"&amp;TEXT(ROW()-4,"000")))</f>
        <v>0</v>
      </c>
      <c r="T138" s="20">
        <f>IF(B138="","",ROUND(SUMIFS('Material Usage'!$M$5:$M$904,'Material Usage'!$A$5:$A$904,A138)+SUMIFS(Crochet!$AD$5:$AD$84,Crochet!$A$5:$A$84,A138)+SUMIFS(Jewelry!$AF$5:$AF$84,Jewelry!$A$5:$A$84,A138)+SUMIFS(Candles!$AF$5:$AF$84,Candles!$A$5:$A$84,A138)+SUMIFS(Clothing!$AB$5:$AB$84,Clothing!$A$5:$A$84,A138)+SUMIFS(Woodworking!$AC$5:$AC$84,Woodworking!$A$5:$A$84,A138)+SUMIFS(Digital!$X$5:$X$84,Digital!$A$5:$A$84,A138),2))</f>
        <v>0</v>
      </c>
      <c r="U138" s="20">
        <f>IF(B138="","",ROUND(SUMIFS(Labor!$O$5:$O$304,Labor!$A$5:$A$304,A138)+SUMIFS(Crochet!$AG$5:$AG$84,Crochet!$A$5:$A$84,A138)+SUMIFS(Jewelry!$AI$5:$AI$84,Jewelry!$A$5:$A$84,A138)+SUMIFS(Candles!$AI$5:$AI$84,Candles!$A$5:$A$84,A138)+SUMIFS(Clothing!$AE$5:$AE$84,Clothing!$A$5:$A$84,A138)+SUMIFS(Woodworking!$AF$5:$AF$84,Woodworking!$A$5:$A$84,A138)+SUMIFS(Digital!$Z$5:$Z$84,Digital!$A$5:$A$84,A138),2))</f>
        <v>0</v>
      </c>
      <c r="V138" s="36">
        <f>IF(B138="","",ROUND(SUMIFS(Labor!$P$5:$P$304,Labor!$A$5:$A$304,A138)+SUMIFS(Crochet!$AE$5:$AE$84,Crochet!$A$5:$A$84,A138)+SUMIFS(Jewelry!$AG$5:$AG$84,Jewelry!$A$5:$A$84,A138)+SUMIFS(Candles!$AG$5:$AG$84,Candles!$A$5:$A$84,A138)+SUMIFS(Clothing!$AC$5:$AC$84,Clothing!$A$5:$A$84,A138)+SUMIFS(Woodworking!$AD$5:$AD$84,Woodworking!$A$5:$A$84,A138)+SUMIFS(Digital!$Y$5:$Y$84,Digital!$A$5:$A$84,A138),1))</f>
        <v>0</v>
      </c>
      <c r="W138" s="41">
        <f>IF(B138="","",IFERROR(INDEX(DiffTimeFactors,MATCH(G138,DiffNames,0)),1))</f>
        <v>0</v>
      </c>
      <c r="X138" s="36">
        <f>IF(B138="","",ROUND(V138*W138,1))</f>
        <v>0</v>
      </c>
      <c r="Y138" s="41">
        <f>IF(B138="","",ROUND(X138/60,3))</f>
        <v>0</v>
      </c>
      <c r="Z138" s="20">
        <f>IF(B138="","",ROUND(U138*W138,2))</f>
        <v>0</v>
      </c>
      <c r="AA138" s="20">
        <f>IF(B138="","",ROUND(SUMIFS(Labor!$Q$5:$Q$304,Labor!$A$5:$A$304,A138)+SUMIFS(Crochet!$AH$5:$AH$84,Crochet!$A$5:$A$84,A138)+SUMIFS(Jewelry!$AJ$5:$AJ$84,Jewelry!$A$5:$A$84,A138)+SUMIFS(Candles!$AJ$5:$AJ$84,Candles!$A$5:$A$84,A138)+SUMIFS(Clothing!$AF$5:$AF$84,Clothing!$A$5:$A$84,A138)+SUMIFS(Woodworking!$AH$5:$AH$84,Woodworking!$A$5:$A$84,A138)+SUMIFS(Digital!$AA$5:$AA$84,Digital!$A$5:$A$84,A138),2))</f>
        <v>0</v>
      </c>
      <c r="AB138" s="20">
        <f>IF(B138="","",ROUND(IF(I138="Budget",PackBudget,IF(I138="Standard",PackStandard,IF(I138="Gift",PackGift,IF(I138="Premium",PackPremium,DefaultPackaging)))),2))</f>
        <v>0</v>
      </c>
      <c r="AC138" s="36">
        <f>IF(B138="","",IF(I138="Budget",PackWeightBudget,IF(I138="Standard",PackWeightStandard,IF(I138="Gift",PackWeightGift,IF(I138="Premium",PackWeightPremium,0)))))</f>
        <v>0</v>
      </c>
      <c r="AD138" s="20">
        <f>IF(B138="","",IFERROR(INDEX(Shipping!$M$5:$M$64,MATCH(J138,Shipping!$L$5:$L$64,0)),DefaultShipping))</f>
        <v>0</v>
      </c>
      <c r="AE138" s="20">
        <f>IF(B138="","",IFERROR(INDEX(Shipping!$F$5:$F$64,MATCH(J138,Shipping!$L$5:$L$64,0)),0))</f>
        <v>0</v>
      </c>
      <c r="AF138" s="36">
        <f>IF(B138="","",IFERROR(INDEX(Shipping!$C$5:$C$64,MATCH(J138,Shipping!$L$5:$L$64,0)),""))</f>
        <v>0</v>
      </c>
      <c r="AG138" s="20">
        <f>IF(B138="","",ROUND(MAX(0,AD138-AE138),2))</f>
        <v>0</v>
      </c>
      <c r="AH138" s="20">
        <f>IF(B138="","",ROUND(T138+Z138+AA138+AB138+AG138,2))</f>
        <v>0</v>
      </c>
      <c r="AI138" s="33">
        <f>IF(B138="","",IFERROR(INDEX(Channels!$S$5:$S$18,MATCH(IF(H138="",DefaultChannel,H138),Channels!$A$5:$A$18,0)),0))</f>
        <v>0</v>
      </c>
      <c r="AJ138" s="42">
        <f>IF(B138="","",IFERROR(INDEX(Channels!$O$5:$O$18,MATCH(IF(H138="",DefaultChannel,H138),Channels!$A$5:$A$18,0)),"No"))</f>
        <v>0</v>
      </c>
      <c r="AK138" s="20">
        <f>IF(B138="","",ROUND(IFERROR(INDEX(Channels!$T$5:$T$18,MATCH(IF(H138="",DefaultChannel,H138),Channels!$A$5:$A$18,0)),0)+IF(AJ138="Yes",AE138*AI138,0),4))</f>
        <v>0</v>
      </c>
      <c r="AL138" s="33">
        <f>IF(B138="","",IF(OverheadMethod="Share of revenue",IF(RevenueTargetMonth&lt;=0,0,OverheadMonthly/RevenueTargetMonth),0))</f>
        <v>0</v>
      </c>
      <c r="AM138" s="20">
        <f>IF(B138="","",IF(OverheadMethod="Per hour worked",ROUND(OverheadPerHour*Y138,2),IF(OR(OverheadMethod="Per unit made",OverheadMethod="Per order"),OverheadPerUnit,0)))</f>
        <v>0</v>
      </c>
      <c r="AN138" s="33">
        <f>IF(B138="","",IF(N138&lt;&gt;"",N138,TargetRetailMargin))</f>
        <v>0</v>
      </c>
      <c r="AO138" s="41">
        <f>IF(B138="","",1-AN138-AI138-AL138)</f>
        <v>0</v>
      </c>
      <c r="AP138" s="20">
        <f>IF(B138="","",IF(AO138&lt;=0,"",(AH138+AM138+AK138)/AO138))</f>
        <v>0</v>
      </c>
      <c r="AQ138" s="20">
        <f>IF(B138="","",IF(AP138="","Check the settings",ROUND(IF(RoundingRule="None",AP138,IF(RoundingRule="Nearest 0.99",MAX(0.99,CEILING(AP138,1)-0.01),IF(RoundingRule="Nearest 0.95",MAX(0.95,CEILING(AP138,1)-0.05),IF(RoundingRule="Nearest 0.50",CEILING(AP138,0.5),IF(RoundingRule="Nearest 1",CEILING(AP138,1),IF(RoundingRule="Nearest 5",CEILING(AP138,5),IF(RoundingRule="Up to whole 1",CEILING(AP138,1),IF(RoundingRule="Up to whole 5",CEILING(AP138,5),ROUND(AP138,2))))))))),2)))</f>
        <v>0</v>
      </c>
      <c r="AR138" s="20">
        <f>IF(B138="","",IF(M138&lt;&gt;"",M138,IF(ISNUMBER(AQ138),AQ138,"")))</f>
        <v>0</v>
      </c>
      <c r="AS138" s="20">
        <f>IF(B138="","",IF(AR138="","",ROUND(AM138+AR138*AL138,2)))</f>
        <v>0</v>
      </c>
      <c r="AT138" s="20">
        <f>IF(B138="","",IF(AR138="","",ROUND(AH138+AS138,2)))</f>
        <v>0</v>
      </c>
      <c r="AU138" s="20">
        <f>IF(B138="","",IF(AR138="","",ROUND(AR138*AI138+AK138,2)))</f>
        <v>0</v>
      </c>
      <c r="AV138" s="20">
        <f>IF(B138="","",IF(AR138="","",ROUND(AR138-AT138-AU138,2)))</f>
        <v>0</v>
      </c>
      <c r="AW138" s="33">
        <f>IF(B138="","",IF(OR(AR138="",AR138=0),"",AV138/AR138))</f>
        <v>0</v>
      </c>
      <c r="AX138" s="33">
        <f>IF(B138="","",IF(OR(AT138="",AT138=0),"",AV138/AT138))</f>
        <v>0</v>
      </c>
      <c r="AY138" s="20">
        <f>IF(B138="","",IF(OR(Y138="",Y138=0,AV138=""),"",ROUND(AV138/Y138,2)))</f>
        <v>0</v>
      </c>
      <c r="AZ138" s="20">
        <f>IF(B138="","",IF(OR(Y138="",Y138=0,AV138=""),"",ROUND((AV138+Z138)/Y138,2)))</f>
        <v>0</v>
      </c>
      <c r="BA138" s="20">
        <f>IF(B138="","",IF(1-AI138-AL138&lt;=0,"",ROUND((AH138+AM138+AK138)/(1-AI138-AL138),2)))</f>
        <v>0</v>
      </c>
      <c r="BB138" s="20">
        <f>IF(B138="","",IF(AT138="","",ROUND(AT138*2,2)))</f>
        <v>0</v>
      </c>
      <c r="BC138" s="20">
        <f>IF(B138="","",IF(AR138="","",ROUND(AR138*(1-WholesaleDiscount),2)))</f>
        <v>0</v>
      </c>
      <c r="BD138" s="20">
        <f>IF(B138="","",IF(BC138="","",ROUND(BC138-AH138-AM138,2)))</f>
        <v>0</v>
      </c>
      <c r="BE138" s="33">
        <f>IF(B138="","",IF(OR(BC138="",BC138=0),"",BD138/BC138))</f>
        <v>0</v>
      </c>
      <c r="BF138" s="20">
        <f>IF(B138="","",IFERROR(ROUND(AVERAGEIFS(Competitors!$F$5:$F$154,Competitors!$A$5:$A$154,A138),2),""))</f>
        <v>0</v>
      </c>
      <c r="BG138" s="33">
        <f>IF(B138="","",IF(OR(BF138="",BF138=0,AR138=""),"",AR138/BF138-1))</f>
        <v>0</v>
      </c>
      <c r="BH138" s="32">
        <f>IF(B138="","",SUMIFS(Sales!$D$5:$D$804,Sales!$C$5:$C$804,A138))</f>
        <v>0</v>
      </c>
      <c r="BI138" s="20">
        <f>IF(B138="","",ROUND(SUMIFS(Sales!$V$5:$V$804,Sales!$C$5:$C$804,A138),2))</f>
        <v>0</v>
      </c>
      <c r="BJ138" s="20">
        <f>IF(B138="","",ROUND(SUMIFS(Sales!$AG$5:$AG$804,Sales!$C$5:$C$804,A138),2))</f>
        <v>0</v>
      </c>
      <c r="BK138" s="33">
        <f>IF(B138="","",IF(OR(BI138="",BI138=0),"",BJ138/BI138))</f>
        <v>0</v>
      </c>
      <c r="BL138" s="17">
        <f>IF(B138="","",IF(SUMPRODUCT(MAX((Sales!$C$5:$C$804=A138)*Sales!$B$5:$B$804))=0,"",SUMPRODUCT(MAX((Sales!$C$5:$C$804=A138)*Sales!$B$5:$B$804))))</f>
        <v>0</v>
      </c>
      <c r="BM138" s="17">
        <f>IF(B138="","",IF(SUMPRODUCT(MAX(('Price History'!$B$5:$B$304=A138)*'Price History'!$A$5:$A$304))=0,IF(P138="","",P138),SUMPRODUCT(MAX(('Price History'!$B$5:$B$304=A138)*'Price History'!$A$5:$A$304))))</f>
        <v>0</v>
      </c>
      <c r="BN138" s="32">
        <f>IF(B138="","",IF(BM138="","",TodayDate-BM138))</f>
        <v>0</v>
      </c>
      <c r="BO138" s="32">
        <f>IF(B138="","",COUNTIFS($AV$5:$AV$304,"&gt;"&amp;AV138)+COUNTIFS($AV$5:AV138,AV138))</f>
        <v>0</v>
      </c>
      <c r="BP138" s="32">
        <f>IF(B138="","",COUNTIFS($AW$5:$AW$304,"&gt;"&amp;AW138)+COUNTIFS($AW$5:AW138,AW138))</f>
        <v>0</v>
      </c>
      <c r="BQ138" s="32">
        <f>IF(B138="","",COUNTIFS($BI$5:$BI$304,"&gt;"&amp;BI138)+COUNTIFS($BI$5:BI138,BI138))</f>
        <v>0</v>
      </c>
      <c r="BR138" s="32">
        <f>IF(B138="","",COUNTIFS($AY$5:$AY$304,"&gt;"&amp;AY138)+COUNTIFS($AY$5:AY138,AY138))</f>
        <v>0</v>
      </c>
      <c r="BS138" s="43">
        <f>IF(B138="","",IF(AH138=0,"Add - no costs entered yet",IF(AR138="","Check - no price yet",IF(AV138&lt;0,"Loss - every sale costs you money",IF(AND(AZ138&lt;&gt;"",AZ138&lt;MinimumWage),"Below - pays under minimum wage",IF(AW138&lt;MarginWarning,"Low margin - re-price it",IF(AND(AF138&lt;&gt;"",K138&lt;&gt;"",K138+AC138&gt;AF138),"Check - too heavy for that postage band",IF(AND(BN138&lt;&gt;"",BN138&gt;PriceReviewDays),"Due - price has not been reviewed",IF(AND(BG138&lt;&gt;"",BG138&gt;0.5),"Check - well above the market","OK")))))))) )</f>
        <v>0</v>
      </c>
    </row>
    <row r="139" spans="1:71">
      <c r="A139" s="38">
        <f>IF(B139="","",ProductPrefix&amp;TEXT(ROW()-4,"0000"))</f>
        <v>0</v>
      </c>
      <c r="S139" s="38">
        <f>IF(B139="","",IF(C139&lt;&gt;"",C139,UPPER(LEFT(IF(D139="","GEN",D139),3))&amp;"-"&amp;TEXT(ROW()-4,"000")))</f>
        <v>0</v>
      </c>
      <c r="T139" s="20">
        <f>IF(B139="","",ROUND(SUMIFS('Material Usage'!$M$5:$M$904,'Material Usage'!$A$5:$A$904,A139)+SUMIFS(Crochet!$AD$5:$AD$84,Crochet!$A$5:$A$84,A139)+SUMIFS(Jewelry!$AF$5:$AF$84,Jewelry!$A$5:$A$84,A139)+SUMIFS(Candles!$AF$5:$AF$84,Candles!$A$5:$A$84,A139)+SUMIFS(Clothing!$AB$5:$AB$84,Clothing!$A$5:$A$84,A139)+SUMIFS(Woodworking!$AC$5:$AC$84,Woodworking!$A$5:$A$84,A139)+SUMIFS(Digital!$X$5:$X$84,Digital!$A$5:$A$84,A139),2))</f>
        <v>0</v>
      </c>
      <c r="U139" s="20">
        <f>IF(B139="","",ROUND(SUMIFS(Labor!$O$5:$O$304,Labor!$A$5:$A$304,A139)+SUMIFS(Crochet!$AG$5:$AG$84,Crochet!$A$5:$A$84,A139)+SUMIFS(Jewelry!$AI$5:$AI$84,Jewelry!$A$5:$A$84,A139)+SUMIFS(Candles!$AI$5:$AI$84,Candles!$A$5:$A$84,A139)+SUMIFS(Clothing!$AE$5:$AE$84,Clothing!$A$5:$A$84,A139)+SUMIFS(Woodworking!$AF$5:$AF$84,Woodworking!$A$5:$A$84,A139)+SUMIFS(Digital!$Z$5:$Z$84,Digital!$A$5:$A$84,A139),2))</f>
        <v>0</v>
      </c>
      <c r="V139" s="36">
        <f>IF(B139="","",ROUND(SUMIFS(Labor!$P$5:$P$304,Labor!$A$5:$A$304,A139)+SUMIFS(Crochet!$AE$5:$AE$84,Crochet!$A$5:$A$84,A139)+SUMIFS(Jewelry!$AG$5:$AG$84,Jewelry!$A$5:$A$84,A139)+SUMIFS(Candles!$AG$5:$AG$84,Candles!$A$5:$A$84,A139)+SUMIFS(Clothing!$AC$5:$AC$84,Clothing!$A$5:$A$84,A139)+SUMIFS(Woodworking!$AD$5:$AD$84,Woodworking!$A$5:$A$84,A139)+SUMIFS(Digital!$Y$5:$Y$84,Digital!$A$5:$A$84,A139),1))</f>
        <v>0</v>
      </c>
      <c r="W139" s="41">
        <f>IF(B139="","",IFERROR(INDEX(DiffTimeFactors,MATCH(G139,DiffNames,0)),1))</f>
        <v>0</v>
      </c>
      <c r="X139" s="36">
        <f>IF(B139="","",ROUND(V139*W139,1))</f>
        <v>0</v>
      </c>
      <c r="Y139" s="41">
        <f>IF(B139="","",ROUND(X139/60,3))</f>
        <v>0</v>
      </c>
      <c r="Z139" s="20">
        <f>IF(B139="","",ROUND(U139*W139,2))</f>
        <v>0</v>
      </c>
      <c r="AA139" s="20">
        <f>IF(B139="","",ROUND(SUMIFS(Labor!$Q$5:$Q$304,Labor!$A$5:$A$304,A139)+SUMIFS(Crochet!$AH$5:$AH$84,Crochet!$A$5:$A$84,A139)+SUMIFS(Jewelry!$AJ$5:$AJ$84,Jewelry!$A$5:$A$84,A139)+SUMIFS(Candles!$AJ$5:$AJ$84,Candles!$A$5:$A$84,A139)+SUMIFS(Clothing!$AF$5:$AF$84,Clothing!$A$5:$A$84,A139)+SUMIFS(Woodworking!$AH$5:$AH$84,Woodworking!$A$5:$A$84,A139)+SUMIFS(Digital!$AA$5:$AA$84,Digital!$A$5:$A$84,A139),2))</f>
        <v>0</v>
      </c>
      <c r="AB139" s="20">
        <f>IF(B139="","",ROUND(IF(I139="Budget",PackBudget,IF(I139="Standard",PackStandard,IF(I139="Gift",PackGift,IF(I139="Premium",PackPremium,DefaultPackaging)))),2))</f>
        <v>0</v>
      </c>
      <c r="AC139" s="36">
        <f>IF(B139="","",IF(I139="Budget",PackWeightBudget,IF(I139="Standard",PackWeightStandard,IF(I139="Gift",PackWeightGift,IF(I139="Premium",PackWeightPremium,0)))))</f>
        <v>0</v>
      </c>
      <c r="AD139" s="20">
        <f>IF(B139="","",IFERROR(INDEX(Shipping!$M$5:$M$64,MATCH(J139,Shipping!$L$5:$L$64,0)),DefaultShipping))</f>
        <v>0</v>
      </c>
      <c r="AE139" s="20">
        <f>IF(B139="","",IFERROR(INDEX(Shipping!$F$5:$F$64,MATCH(J139,Shipping!$L$5:$L$64,0)),0))</f>
        <v>0</v>
      </c>
      <c r="AF139" s="36">
        <f>IF(B139="","",IFERROR(INDEX(Shipping!$C$5:$C$64,MATCH(J139,Shipping!$L$5:$L$64,0)),""))</f>
        <v>0</v>
      </c>
      <c r="AG139" s="20">
        <f>IF(B139="","",ROUND(MAX(0,AD139-AE139),2))</f>
        <v>0</v>
      </c>
      <c r="AH139" s="20">
        <f>IF(B139="","",ROUND(T139+Z139+AA139+AB139+AG139,2))</f>
        <v>0</v>
      </c>
      <c r="AI139" s="33">
        <f>IF(B139="","",IFERROR(INDEX(Channels!$S$5:$S$18,MATCH(IF(H139="",DefaultChannel,H139),Channels!$A$5:$A$18,0)),0))</f>
        <v>0</v>
      </c>
      <c r="AJ139" s="42">
        <f>IF(B139="","",IFERROR(INDEX(Channels!$O$5:$O$18,MATCH(IF(H139="",DefaultChannel,H139),Channels!$A$5:$A$18,0)),"No"))</f>
        <v>0</v>
      </c>
      <c r="AK139" s="20">
        <f>IF(B139="","",ROUND(IFERROR(INDEX(Channels!$T$5:$T$18,MATCH(IF(H139="",DefaultChannel,H139),Channels!$A$5:$A$18,0)),0)+IF(AJ139="Yes",AE139*AI139,0),4))</f>
        <v>0</v>
      </c>
      <c r="AL139" s="33">
        <f>IF(B139="","",IF(OverheadMethod="Share of revenue",IF(RevenueTargetMonth&lt;=0,0,OverheadMonthly/RevenueTargetMonth),0))</f>
        <v>0</v>
      </c>
      <c r="AM139" s="20">
        <f>IF(B139="","",IF(OverheadMethod="Per hour worked",ROUND(OverheadPerHour*Y139,2),IF(OR(OverheadMethod="Per unit made",OverheadMethod="Per order"),OverheadPerUnit,0)))</f>
        <v>0</v>
      </c>
      <c r="AN139" s="33">
        <f>IF(B139="","",IF(N139&lt;&gt;"",N139,TargetRetailMargin))</f>
        <v>0</v>
      </c>
      <c r="AO139" s="41">
        <f>IF(B139="","",1-AN139-AI139-AL139)</f>
        <v>0</v>
      </c>
      <c r="AP139" s="20">
        <f>IF(B139="","",IF(AO139&lt;=0,"",(AH139+AM139+AK139)/AO139))</f>
        <v>0</v>
      </c>
      <c r="AQ139" s="20">
        <f>IF(B139="","",IF(AP139="","Check the settings",ROUND(IF(RoundingRule="None",AP139,IF(RoundingRule="Nearest 0.99",MAX(0.99,CEILING(AP139,1)-0.01),IF(RoundingRule="Nearest 0.95",MAX(0.95,CEILING(AP139,1)-0.05),IF(RoundingRule="Nearest 0.50",CEILING(AP139,0.5),IF(RoundingRule="Nearest 1",CEILING(AP139,1),IF(RoundingRule="Nearest 5",CEILING(AP139,5),IF(RoundingRule="Up to whole 1",CEILING(AP139,1),IF(RoundingRule="Up to whole 5",CEILING(AP139,5),ROUND(AP139,2))))))))),2)))</f>
        <v>0</v>
      </c>
      <c r="AR139" s="20">
        <f>IF(B139="","",IF(M139&lt;&gt;"",M139,IF(ISNUMBER(AQ139),AQ139,"")))</f>
        <v>0</v>
      </c>
      <c r="AS139" s="20">
        <f>IF(B139="","",IF(AR139="","",ROUND(AM139+AR139*AL139,2)))</f>
        <v>0</v>
      </c>
      <c r="AT139" s="20">
        <f>IF(B139="","",IF(AR139="","",ROUND(AH139+AS139,2)))</f>
        <v>0</v>
      </c>
      <c r="AU139" s="20">
        <f>IF(B139="","",IF(AR139="","",ROUND(AR139*AI139+AK139,2)))</f>
        <v>0</v>
      </c>
      <c r="AV139" s="20">
        <f>IF(B139="","",IF(AR139="","",ROUND(AR139-AT139-AU139,2)))</f>
        <v>0</v>
      </c>
      <c r="AW139" s="33">
        <f>IF(B139="","",IF(OR(AR139="",AR139=0),"",AV139/AR139))</f>
        <v>0</v>
      </c>
      <c r="AX139" s="33">
        <f>IF(B139="","",IF(OR(AT139="",AT139=0),"",AV139/AT139))</f>
        <v>0</v>
      </c>
      <c r="AY139" s="20">
        <f>IF(B139="","",IF(OR(Y139="",Y139=0,AV139=""),"",ROUND(AV139/Y139,2)))</f>
        <v>0</v>
      </c>
      <c r="AZ139" s="20">
        <f>IF(B139="","",IF(OR(Y139="",Y139=0,AV139=""),"",ROUND((AV139+Z139)/Y139,2)))</f>
        <v>0</v>
      </c>
      <c r="BA139" s="20">
        <f>IF(B139="","",IF(1-AI139-AL139&lt;=0,"",ROUND((AH139+AM139+AK139)/(1-AI139-AL139),2)))</f>
        <v>0</v>
      </c>
      <c r="BB139" s="20">
        <f>IF(B139="","",IF(AT139="","",ROUND(AT139*2,2)))</f>
        <v>0</v>
      </c>
      <c r="BC139" s="20">
        <f>IF(B139="","",IF(AR139="","",ROUND(AR139*(1-WholesaleDiscount),2)))</f>
        <v>0</v>
      </c>
      <c r="BD139" s="20">
        <f>IF(B139="","",IF(BC139="","",ROUND(BC139-AH139-AM139,2)))</f>
        <v>0</v>
      </c>
      <c r="BE139" s="33">
        <f>IF(B139="","",IF(OR(BC139="",BC139=0),"",BD139/BC139))</f>
        <v>0</v>
      </c>
      <c r="BF139" s="20">
        <f>IF(B139="","",IFERROR(ROUND(AVERAGEIFS(Competitors!$F$5:$F$154,Competitors!$A$5:$A$154,A139),2),""))</f>
        <v>0</v>
      </c>
      <c r="BG139" s="33">
        <f>IF(B139="","",IF(OR(BF139="",BF139=0,AR139=""),"",AR139/BF139-1))</f>
        <v>0</v>
      </c>
      <c r="BH139" s="32">
        <f>IF(B139="","",SUMIFS(Sales!$D$5:$D$804,Sales!$C$5:$C$804,A139))</f>
        <v>0</v>
      </c>
      <c r="BI139" s="20">
        <f>IF(B139="","",ROUND(SUMIFS(Sales!$V$5:$V$804,Sales!$C$5:$C$804,A139),2))</f>
        <v>0</v>
      </c>
      <c r="BJ139" s="20">
        <f>IF(B139="","",ROUND(SUMIFS(Sales!$AG$5:$AG$804,Sales!$C$5:$C$804,A139),2))</f>
        <v>0</v>
      </c>
      <c r="BK139" s="33">
        <f>IF(B139="","",IF(OR(BI139="",BI139=0),"",BJ139/BI139))</f>
        <v>0</v>
      </c>
      <c r="BL139" s="17">
        <f>IF(B139="","",IF(SUMPRODUCT(MAX((Sales!$C$5:$C$804=A139)*Sales!$B$5:$B$804))=0,"",SUMPRODUCT(MAX((Sales!$C$5:$C$804=A139)*Sales!$B$5:$B$804))))</f>
        <v>0</v>
      </c>
      <c r="BM139" s="17">
        <f>IF(B139="","",IF(SUMPRODUCT(MAX(('Price History'!$B$5:$B$304=A139)*'Price History'!$A$5:$A$304))=0,IF(P139="","",P139),SUMPRODUCT(MAX(('Price History'!$B$5:$B$304=A139)*'Price History'!$A$5:$A$304))))</f>
        <v>0</v>
      </c>
      <c r="BN139" s="32">
        <f>IF(B139="","",IF(BM139="","",TodayDate-BM139))</f>
        <v>0</v>
      </c>
      <c r="BO139" s="32">
        <f>IF(B139="","",COUNTIFS($AV$5:$AV$304,"&gt;"&amp;AV139)+COUNTIFS($AV$5:AV139,AV139))</f>
        <v>0</v>
      </c>
      <c r="BP139" s="32">
        <f>IF(B139="","",COUNTIFS($AW$5:$AW$304,"&gt;"&amp;AW139)+COUNTIFS($AW$5:AW139,AW139))</f>
        <v>0</v>
      </c>
      <c r="BQ139" s="32">
        <f>IF(B139="","",COUNTIFS($BI$5:$BI$304,"&gt;"&amp;BI139)+COUNTIFS($BI$5:BI139,BI139))</f>
        <v>0</v>
      </c>
      <c r="BR139" s="32">
        <f>IF(B139="","",COUNTIFS($AY$5:$AY$304,"&gt;"&amp;AY139)+COUNTIFS($AY$5:AY139,AY139))</f>
        <v>0</v>
      </c>
      <c r="BS139" s="43">
        <f>IF(B139="","",IF(AH139=0,"Add - no costs entered yet",IF(AR139="","Check - no price yet",IF(AV139&lt;0,"Loss - every sale costs you money",IF(AND(AZ139&lt;&gt;"",AZ139&lt;MinimumWage),"Below - pays under minimum wage",IF(AW139&lt;MarginWarning,"Low margin - re-price it",IF(AND(AF139&lt;&gt;"",K139&lt;&gt;"",K139+AC139&gt;AF139),"Check - too heavy for that postage band",IF(AND(BN139&lt;&gt;"",BN139&gt;PriceReviewDays),"Due - price has not been reviewed",IF(AND(BG139&lt;&gt;"",BG139&gt;0.5),"Check - well above the market","OK")))))))) )</f>
        <v>0</v>
      </c>
    </row>
    <row r="140" spans="1:71">
      <c r="A140" s="38">
        <f>IF(B140="","",ProductPrefix&amp;TEXT(ROW()-4,"0000"))</f>
        <v>0</v>
      </c>
      <c r="S140" s="38">
        <f>IF(B140="","",IF(C140&lt;&gt;"",C140,UPPER(LEFT(IF(D140="","GEN",D140),3))&amp;"-"&amp;TEXT(ROW()-4,"000")))</f>
        <v>0</v>
      </c>
      <c r="T140" s="20">
        <f>IF(B140="","",ROUND(SUMIFS('Material Usage'!$M$5:$M$904,'Material Usage'!$A$5:$A$904,A140)+SUMIFS(Crochet!$AD$5:$AD$84,Crochet!$A$5:$A$84,A140)+SUMIFS(Jewelry!$AF$5:$AF$84,Jewelry!$A$5:$A$84,A140)+SUMIFS(Candles!$AF$5:$AF$84,Candles!$A$5:$A$84,A140)+SUMIFS(Clothing!$AB$5:$AB$84,Clothing!$A$5:$A$84,A140)+SUMIFS(Woodworking!$AC$5:$AC$84,Woodworking!$A$5:$A$84,A140)+SUMIFS(Digital!$X$5:$X$84,Digital!$A$5:$A$84,A140),2))</f>
        <v>0</v>
      </c>
      <c r="U140" s="20">
        <f>IF(B140="","",ROUND(SUMIFS(Labor!$O$5:$O$304,Labor!$A$5:$A$304,A140)+SUMIFS(Crochet!$AG$5:$AG$84,Crochet!$A$5:$A$84,A140)+SUMIFS(Jewelry!$AI$5:$AI$84,Jewelry!$A$5:$A$84,A140)+SUMIFS(Candles!$AI$5:$AI$84,Candles!$A$5:$A$84,A140)+SUMIFS(Clothing!$AE$5:$AE$84,Clothing!$A$5:$A$84,A140)+SUMIFS(Woodworking!$AF$5:$AF$84,Woodworking!$A$5:$A$84,A140)+SUMIFS(Digital!$Z$5:$Z$84,Digital!$A$5:$A$84,A140),2))</f>
        <v>0</v>
      </c>
      <c r="V140" s="36">
        <f>IF(B140="","",ROUND(SUMIFS(Labor!$P$5:$P$304,Labor!$A$5:$A$304,A140)+SUMIFS(Crochet!$AE$5:$AE$84,Crochet!$A$5:$A$84,A140)+SUMIFS(Jewelry!$AG$5:$AG$84,Jewelry!$A$5:$A$84,A140)+SUMIFS(Candles!$AG$5:$AG$84,Candles!$A$5:$A$84,A140)+SUMIFS(Clothing!$AC$5:$AC$84,Clothing!$A$5:$A$84,A140)+SUMIFS(Woodworking!$AD$5:$AD$84,Woodworking!$A$5:$A$84,A140)+SUMIFS(Digital!$Y$5:$Y$84,Digital!$A$5:$A$84,A140),1))</f>
        <v>0</v>
      </c>
      <c r="W140" s="41">
        <f>IF(B140="","",IFERROR(INDEX(DiffTimeFactors,MATCH(G140,DiffNames,0)),1))</f>
        <v>0</v>
      </c>
      <c r="X140" s="36">
        <f>IF(B140="","",ROUND(V140*W140,1))</f>
        <v>0</v>
      </c>
      <c r="Y140" s="41">
        <f>IF(B140="","",ROUND(X140/60,3))</f>
        <v>0</v>
      </c>
      <c r="Z140" s="20">
        <f>IF(B140="","",ROUND(U140*W140,2))</f>
        <v>0</v>
      </c>
      <c r="AA140" s="20">
        <f>IF(B140="","",ROUND(SUMIFS(Labor!$Q$5:$Q$304,Labor!$A$5:$A$304,A140)+SUMIFS(Crochet!$AH$5:$AH$84,Crochet!$A$5:$A$84,A140)+SUMIFS(Jewelry!$AJ$5:$AJ$84,Jewelry!$A$5:$A$84,A140)+SUMIFS(Candles!$AJ$5:$AJ$84,Candles!$A$5:$A$84,A140)+SUMIFS(Clothing!$AF$5:$AF$84,Clothing!$A$5:$A$84,A140)+SUMIFS(Woodworking!$AH$5:$AH$84,Woodworking!$A$5:$A$84,A140)+SUMIFS(Digital!$AA$5:$AA$84,Digital!$A$5:$A$84,A140),2))</f>
        <v>0</v>
      </c>
      <c r="AB140" s="20">
        <f>IF(B140="","",ROUND(IF(I140="Budget",PackBudget,IF(I140="Standard",PackStandard,IF(I140="Gift",PackGift,IF(I140="Premium",PackPremium,DefaultPackaging)))),2))</f>
        <v>0</v>
      </c>
      <c r="AC140" s="36">
        <f>IF(B140="","",IF(I140="Budget",PackWeightBudget,IF(I140="Standard",PackWeightStandard,IF(I140="Gift",PackWeightGift,IF(I140="Premium",PackWeightPremium,0)))))</f>
        <v>0</v>
      </c>
      <c r="AD140" s="20">
        <f>IF(B140="","",IFERROR(INDEX(Shipping!$M$5:$M$64,MATCH(J140,Shipping!$L$5:$L$64,0)),DefaultShipping))</f>
        <v>0</v>
      </c>
      <c r="AE140" s="20">
        <f>IF(B140="","",IFERROR(INDEX(Shipping!$F$5:$F$64,MATCH(J140,Shipping!$L$5:$L$64,0)),0))</f>
        <v>0</v>
      </c>
      <c r="AF140" s="36">
        <f>IF(B140="","",IFERROR(INDEX(Shipping!$C$5:$C$64,MATCH(J140,Shipping!$L$5:$L$64,0)),""))</f>
        <v>0</v>
      </c>
      <c r="AG140" s="20">
        <f>IF(B140="","",ROUND(MAX(0,AD140-AE140),2))</f>
        <v>0</v>
      </c>
      <c r="AH140" s="20">
        <f>IF(B140="","",ROUND(T140+Z140+AA140+AB140+AG140,2))</f>
        <v>0</v>
      </c>
      <c r="AI140" s="33">
        <f>IF(B140="","",IFERROR(INDEX(Channels!$S$5:$S$18,MATCH(IF(H140="",DefaultChannel,H140),Channels!$A$5:$A$18,0)),0))</f>
        <v>0</v>
      </c>
      <c r="AJ140" s="42">
        <f>IF(B140="","",IFERROR(INDEX(Channels!$O$5:$O$18,MATCH(IF(H140="",DefaultChannel,H140),Channels!$A$5:$A$18,0)),"No"))</f>
        <v>0</v>
      </c>
      <c r="AK140" s="20">
        <f>IF(B140="","",ROUND(IFERROR(INDEX(Channels!$T$5:$T$18,MATCH(IF(H140="",DefaultChannel,H140),Channels!$A$5:$A$18,0)),0)+IF(AJ140="Yes",AE140*AI140,0),4))</f>
        <v>0</v>
      </c>
      <c r="AL140" s="33">
        <f>IF(B140="","",IF(OverheadMethod="Share of revenue",IF(RevenueTargetMonth&lt;=0,0,OverheadMonthly/RevenueTargetMonth),0))</f>
        <v>0</v>
      </c>
      <c r="AM140" s="20">
        <f>IF(B140="","",IF(OverheadMethod="Per hour worked",ROUND(OverheadPerHour*Y140,2),IF(OR(OverheadMethod="Per unit made",OverheadMethod="Per order"),OverheadPerUnit,0)))</f>
        <v>0</v>
      </c>
      <c r="AN140" s="33">
        <f>IF(B140="","",IF(N140&lt;&gt;"",N140,TargetRetailMargin))</f>
        <v>0</v>
      </c>
      <c r="AO140" s="41">
        <f>IF(B140="","",1-AN140-AI140-AL140)</f>
        <v>0</v>
      </c>
      <c r="AP140" s="20">
        <f>IF(B140="","",IF(AO140&lt;=0,"",(AH140+AM140+AK140)/AO140))</f>
        <v>0</v>
      </c>
      <c r="AQ140" s="20">
        <f>IF(B140="","",IF(AP140="","Check the settings",ROUND(IF(RoundingRule="None",AP140,IF(RoundingRule="Nearest 0.99",MAX(0.99,CEILING(AP140,1)-0.01),IF(RoundingRule="Nearest 0.95",MAX(0.95,CEILING(AP140,1)-0.05),IF(RoundingRule="Nearest 0.50",CEILING(AP140,0.5),IF(RoundingRule="Nearest 1",CEILING(AP140,1),IF(RoundingRule="Nearest 5",CEILING(AP140,5),IF(RoundingRule="Up to whole 1",CEILING(AP140,1),IF(RoundingRule="Up to whole 5",CEILING(AP140,5),ROUND(AP140,2))))))))),2)))</f>
        <v>0</v>
      </c>
      <c r="AR140" s="20">
        <f>IF(B140="","",IF(M140&lt;&gt;"",M140,IF(ISNUMBER(AQ140),AQ140,"")))</f>
        <v>0</v>
      </c>
      <c r="AS140" s="20">
        <f>IF(B140="","",IF(AR140="","",ROUND(AM140+AR140*AL140,2)))</f>
        <v>0</v>
      </c>
      <c r="AT140" s="20">
        <f>IF(B140="","",IF(AR140="","",ROUND(AH140+AS140,2)))</f>
        <v>0</v>
      </c>
      <c r="AU140" s="20">
        <f>IF(B140="","",IF(AR140="","",ROUND(AR140*AI140+AK140,2)))</f>
        <v>0</v>
      </c>
      <c r="AV140" s="20">
        <f>IF(B140="","",IF(AR140="","",ROUND(AR140-AT140-AU140,2)))</f>
        <v>0</v>
      </c>
      <c r="AW140" s="33">
        <f>IF(B140="","",IF(OR(AR140="",AR140=0),"",AV140/AR140))</f>
        <v>0</v>
      </c>
      <c r="AX140" s="33">
        <f>IF(B140="","",IF(OR(AT140="",AT140=0),"",AV140/AT140))</f>
        <v>0</v>
      </c>
      <c r="AY140" s="20">
        <f>IF(B140="","",IF(OR(Y140="",Y140=0,AV140=""),"",ROUND(AV140/Y140,2)))</f>
        <v>0</v>
      </c>
      <c r="AZ140" s="20">
        <f>IF(B140="","",IF(OR(Y140="",Y140=0,AV140=""),"",ROUND((AV140+Z140)/Y140,2)))</f>
        <v>0</v>
      </c>
      <c r="BA140" s="20">
        <f>IF(B140="","",IF(1-AI140-AL140&lt;=0,"",ROUND((AH140+AM140+AK140)/(1-AI140-AL140),2)))</f>
        <v>0</v>
      </c>
      <c r="BB140" s="20">
        <f>IF(B140="","",IF(AT140="","",ROUND(AT140*2,2)))</f>
        <v>0</v>
      </c>
      <c r="BC140" s="20">
        <f>IF(B140="","",IF(AR140="","",ROUND(AR140*(1-WholesaleDiscount),2)))</f>
        <v>0</v>
      </c>
      <c r="BD140" s="20">
        <f>IF(B140="","",IF(BC140="","",ROUND(BC140-AH140-AM140,2)))</f>
        <v>0</v>
      </c>
      <c r="BE140" s="33">
        <f>IF(B140="","",IF(OR(BC140="",BC140=0),"",BD140/BC140))</f>
        <v>0</v>
      </c>
      <c r="BF140" s="20">
        <f>IF(B140="","",IFERROR(ROUND(AVERAGEIFS(Competitors!$F$5:$F$154,Competitors!$A$5:$A$154,A140),2),""))</f>
        <v>0</v>
      </c>
      <c r="BG140" s="33">
        <f>IF(B140="","",IF(OR(BF140="",BF140=0,AR140=""),"",AR140/BF140-1))</f>
        <v>0</v>
      </c>
      <c r="BH140" s="32">
        <f>IF(B140="","",SUMIFS(Sales!$D$5:$D$804,Sales!$C$5:$C$804,A140))</f>
        <v>0</v>
      </c>
      <c r="BI140" s="20">
        <f>IF(B140="","",ROUND(SUMIFS(Sales!$V$5:$V$804,Sales!$C$5:$C$804,A140),2))</f>
        <v>0</v>
      </c>
      <c r="BJ140" s="20">
        <f>IF(B140="","",ROUND(SUMIFS(Sales!$AG$5:$AG$804,Sales!$C$5:$C$804,A140),2))</f>
        <v>0</v>
      </c>
      <c r="BK140" s="33">
        <f>IF(B140="","",IF(OR(BI140="",BI140=0),"",BJ140/BI140))</f>
        <v>0</v>
      </c>
      <c r="BL140" s="17">
        <f>IF(B140="","",IF(SUMPRODUCT(MAX((Sales!$C$5:$C$804=A140)*Sales!$B$5:$B$804))=0,"",SUMPRODUCT(MAX((Sales!$C$5:$C$804=A140)*Sales!$B$5:$B$804))))</f>
        <v>0</v>
      </c>
      <c r="BM140" s="17">
        <f>IF(B140="","",IF(SUMPRODUCT(MAX(('Price History'!$B$5:$B$304=A140)*'Price History'!$A$5:$A$304))=0,IF(P140="","",P140),SUMPRODUCT(MAX(('Price History'!$B$5:$B$304=A140)*'Price History'!$A$5:$A$304))))</f>
        <v>0</v>
      </c>
      <c r="BN140" s="32">
        <f>IF(B140="","",IF(BM140="","",TodayDate-BM140))</f>
        <v>0</v>
      </c>
      <c r="BO140" s="32">
        <f>IF(B140="","",COUNTIFS($AV$5:$AV$304,"&gt;"&amp;AV140)+COUNTIFS($AV$5:AV140,AV140))</f>
        <v>0</v>
      </c>
      <c r="BP140" s="32">
        <f>IF(B140="","",COUNTIFS($AW$5:$AW$304,"&gt;"&amp;AW140)+COUNTIFS($AW$5:AW140,AW140))</f>
        <v>0</v>
      </c>
      <c r="BQ140" s="32">
        <f>IF(B140="","",COUNTIFS($BI$5:$BI$304,"&gt;"&amp;BI140)+COUNTIFS($BI$5:BI140,BI140))</f>
        <v>0</v>
      </c>
      <c r="BR140" s="32">
        <f>IF(B140="","",COUNTIFS($AY$5:$AY$304,"&gt;"&amp;AY140)+COUNTIFS($AY$5:AY140,AY140))</f>
        <v>0</v>
      </c>
      <c r="BS140" s="43">
        <f>IF(B140="","",IF(AH140=0,"Add - no costs entered yet",IF(AR140="","Check - no price yet",IF(AV140&lt;0,"Loss - every sale costs you money",IF(AND(AZ140&lt;&gt;"",AZ140&lt;MinimumWage),"Below - pays under minimum wage",IF(AW140&lt;MarginWarning,"Low margin - re-price it",IF(AND(AF140&lt;&gt;"",K140&lt;&gt;"",K140+AC140&gt;AF140),"Check - too heavy for that postage band",IF(AND(BN140&lt;&gt;"",BN140&gt;PriceReviewDays),"Due - price has not been reviewed",IF(AND(BG140&lt;&gt;"",BG140&gt;0.5),"Check - well above the market","OK")))))))) )</f>
        <v>0</v>
      </c>
    </row>
    <row r="141" spans="1:71">
      <c r="A141" s="38">
        <f>IF(B141="","",ProductPrefix&amp;TEXT(ROW()-4,"0000"))</f>
        <v>0</v>
      </c>
      <c r="S141" s="38">
        <f>IF(B141="","",IF(C141&lt;&gt;"",C141,UPPER(LEFT(IF(D141="","GEN",D141),3))&amp;"-"&amp;TEXT(ROW()-4,"000")))</f>
        <v>0</v>
      </c>
      <c r="T141" s="20">
        <f>IF(B141="","",ROUND(SUMIFS('Material Usage'!$M$5:$M$904,'Material Usage'!$A$5:$A$904,A141)+SUMIFS(Crochet!$AD$5:$AD$84,Crochet!$A$5:$A$84,A141)+SUMIFS(Jewelry!$AF$5:$AF$84,Jewelry!$A$5:$A$84,A141)+SUMIFS(Candles!$AF$5:$AF$84,Candles!$A$5:$A$84,A141)+SUMIFS(Clothing!$AB$5:$AB$84,Clothing!$A$5:$A$84,A141)+SUMIFS(Woodworking!$AC$5:$AC$84,Woodworking!$A$5:$A$84,A141)+SUMIFS(Digital!$X$5:$X$84,Digital!$A$5:$A$84,A141),2))</f>
        <v>0</v>
      </c>
      <c r="U141" s="20">
        <f>IF(B141="","",ROUND(SUMIFS(Labor!$O$5:$O$304,Labor!$A$5:$A$304,A141)+SUMIFS(Crochet!$AG$5:$AG$84,Crochet!$A$5:$A$84,A141)+SUMIFS(Jewelry!$AI$5:$AI$84,Jewelry!$A$5:$A$84,A141)+SUMIFS(Candles!$AI$5:$AI$84,Candles!$A$5:$A$84,A141)+SUMIFS(Clothing!$AE$5:$AE$84,Clothing!$A$5:$A$84,A141)+SUMIFS(Woodworking!$AF$5:$AF$84,Woodworking!$A$5:$A$84,A141)+SUMIFS(Digital!$Z$5:$Z$84,Digital!$A$5:$A$84,A141),2))</f>
        <v>0</v>
      </c>
      <c r="V141" s="36">
        <f>IF(B141="","",ROUND(SUMIFS(Labor!$P$5:$P$304,Labor!$A$5:$A$304,A141)+SUMIFS(Crochet!$AE$5:$AE$84,Crochet!$A$5:$A$84,A141)+SUMIFS(Jewelry!$AG$5:$AG$84,Jewelry!$A$5:$A$84,A141)+SUMIFS(Candles!$AG$5:$AG$84,Candles!$A$5:$A$84,A141)+SUMIFS(Clothing!$AC$5:$AC$84,Clothing!$A$5:$A$84,A141)+SUMIFS(Woodworking!$AD$5:$AD$84,Woodworking!$A$5:$A$84,A141)+SUMIFS(Digital!$Y$5:$Y$84,Digital!$A$5:$A$84,A141),1))</f>
        <v>0</v>
      </c>
      <c r="W141" s="41">
        <f>IF(B141="","",IFERROR(INDEX(DiffTimeFactors,MATCH(G141,DiffNames,0)),1))</f>
        <v>0</v>
      </c>
      <c r="X141" s="36">
        <f>IF(B141="","",ROUND(V141*W141,1))</f>
        <v>0</v>
      </c>
      <c r="Y141" s="41">
        <f>IF(B141="","",ROUND(X141/60,3))</f>
        <v>0</v>
      </c>
      <c r="Z141" s="20">
        <f>IF(B141="","",ROUND(U141*W141,2))</f>
        <v>0</v>
      </c>
      <c r="AA141" s="20">
        <f>IF(B141="","",ROUND(SUMIFS(Labor!$Q$5:$Q$304,Labor!$A$5:$A$304,A141)+SUMIFS(Crochet!$AH$5:$AH$84,Crochet!$A$5:$A$84,A141)+SUMIFS(Jewelry!$AJ$5:$AJ$84,Jewelry!$A$5:$A$84,A141)+SUMIFS(Candles!$AJ$5:$AJ$84,Candles!$A$5:$A$84,A141)+SUMIFS(Clothing!$AF$5:$AF$84,Clothing!$A$5:$A$84,A141)+SUMIFS(Woodworking!$AH$5:$AH$84,Woodworking!$A$5:$A$84,A141)+SUMIFS(Digital!$AA$5:$AA$84,Digital!$A$5:$A$84,A141),2))</f>
        <v>0</v>
      </c>
      <c r="AB141" s="20">
        <f>IF(B141="","",ROUND(IF(I141="Budget",PackBudget,IF(I141="Standard",PackStandard,IF(I141="Gift",PackGift,IF(I141="Premium",PackPremium,DefaultPackaging)))),2))</f>
        <v>0</v>
      </c>
      <c r="AC141" s="36">
        <f>IF(B141="","",IF(I141="Budget",PackWeightBudget,IF(I141="Standard",PackWeightStandard,IF(I141="Gift",PackWeightGift,IF(I141="Premium",PackWeightPremium,0)))))</f>
        <v>0</v>
      </c>
      <c r="AD141" s="20">
        <f>IF(B141="","",IFERROR(INDEX(Shipping!$M$5:$M$64,MATCH(J141,Shipping!$L$5:$L$64,0)),DefaultShipping))</f>
        <v>0</v>
      </c>
      <c r="AE141" s="20">
        <f>IF(B141="","",IFERROR(INDEX(Shipping!$F$5:$F$64,MATCH(J141,Shipping!$L$5:$L$64,0)),0))</f>
        <v>0</v>
      </c>
      <c r="AF141" s="36">
        <f>IF(B141="","",IFERROR(INDEX(Shipping!$C$5:$C$64,MATCH(J141,Shipping!$L$5:$L$64,0)),""))</f>
        <v>0</v>
      </c>
      <c r="AG141" s="20">
        <f>IF(B141="","",ROUND(MAX(0,AD141-AE141),2))</f>
        <v>0</v>
      </c>
      <c r="AH141" s="20">
        <f>IF(B141="","",ROUND(T141+Z141+AA141+AB141+AG141,2))</f>
        <v>0</v>
      </c>
      <c r="AI141" s="33">
        <f>IF(B141="","",IFERROR(INDEX(Channels!$S$5:$S$18,MATCH(IF(H141="",DefaultChannel,H141),Channels!$A$5:$A$18,0)),0))</f>
        <v>0</v>
      </c>
      <c r="AJ141" s="42">
        <f>IF(B141="","",IFERROR(INDEX(Channels!$O$5:$O$18,MATCH(IF(H141="",DefaultChannel,H141),Channels!$A$5:$A$18,0)),"No"))</f>
        <v>0</v>
      </c>
      <c r="AK141" s="20">
        <f>IF(B141="","",ROUND(IFERROR(INDEX(Channels!$T$5:$T$18,MATCH(IF(H141="",DefaultChannel,H141),Channels!$A$5:$A$18,0)),0)+IF(AJ141="Yes",AE141*AI141,0),4))</f>
        <v>0</v>
      </c>
      <c r="AL141" s="33">
        <f>IF(B141="","",IF(OverheadMethod="Share of revenue",IF(RevenueTargetMonth&lt;=0,0,OverheadMonthly/RevenueTargetMonth),0))</f>
        <v>0</v>
      </c>
      <c r="AM141" s="20">
        <f>IF(B141="","",IF(OverheadMethod="Per hour worked",ROUND(OverheadPerHour*Y141,2),IF(OR(OverheadMethod="Per unit made",OverheadMethod="Per order"),OverheadPerUnit,0)))</f>
        <v>0</v>
      </c>
      <c r="AN141" s="33">
        <f>IF(B141="","",IF(N141&lt;&gt;"",N141,TargetRetailMargin))</f>
        <v>0</v>
      </c>
      <c r="AO141" s="41">
        <f>IF(B141="","",1-AN141-AI141-AL141)</f>
        <v>0</v>
      </c>
      <c r="AP141" s="20">
        <f>IF(B141="","",IF(AO141&lt;=0,"",(AH141+AM141+AK141)/AO141))</f>
        <v>0</v>
      </c>
      <c r="AQ141" s="20">
        <f>IF(B141="","",IF(AP141="","Check the settings",ROUND(IF(RoundingRule="None",AP141,IF(RoundingRule="Nearest 0.99",MAX(0.99,CEILING(AP141,1)-0.01),IF(RoundingRule="Nearest 0.95",MAX(0.95,CEILING(AP141,1)-0.05),IF(RoundingRule="Nearest 0.50",CEILING(AP141,0.5),IF(RoundingRule="Nearest 1",CEILING(AP141,1),IF(RoundingRule="Nearest 5",CEILING(AP141,5),IF(RoundingRule="Up to whole 1",CEILING(AP141,1),IF(RoundingRule="Up to whole 5",CEILING(AP141,5),ROUND(AP141,2))))))))),2)))</f>
        <v>0</v>
      </c>
      <c r="AR141" s="20">
        <f>IF(B141="","",IF(M141&lt;&gt;"",M141,IF(ISNUMBER(AQ141),AQ141,"")))</f>
        <v>0</v>
      </c>
      <c r="AS141" s="20">
        <f>IF(B141="","",IF(AR141="","",ROUND(AM141+AR141*AL141,2)))</f>
        <v>0</v>
      </c>
      <c r="AT141" s="20">
        <f>IF(B141="","",IF(AR141="","",ROUND(AH141+AS141,2)))</f>
        <v>0</v>
      </c>
      <c r="AU141" s="20">
        <f>IF(B141="","",IF(AR141="","",ROUND(AR141*AI141+AK141,2)))</f>
        <v>0</v>
      </c>
      <c r="AV141" s="20">
        <f>IF(B141="","",IF(AR141="","",ROUND(AR141-AT141-AU141,2)))</f>
        <v>0</v>
      </c>
      <c r="AW141" s="33">
        <f>IF(B141="","",IF(OR(AR141="",AR141=0),"",AV141/AR141))</f>
        <v>0</v>
      </c>
      <c r="AX141" s="33">
        <f>IF(B141="","",IF(OR(AT141="",AT141=0),"",AV141/AT141))</f>
        <v>0</v>
      </c>
      <c r="AY141" s="20">
        <f>IF(B141="","",IF(OR(Y141="",Y141=0,AV141=""),"",ROUND(AV141/Y141,2)))</f>
        <v>0</v>
      </c>
      <c r="AZ141" s="20">
        <f>IF(B141="","",IF(OR(Y141="",Y141=0,AV141=""),"",ROUND((AV141+Z141)/Y141,2)))</f>
        <v>0</v>
      </c>
      <c r="BA141" s="20">
        <f>IF(B141="","",IF(1-AI141-AL141&lt;=0,"",ROUND((AH141+AM141+AK141)/(1-AI141-AL141),2)))</f>
        <v>0</v>
      </c>
      <c r="BB141" s="20">
        <f>IF(B141="","",IF(AT141="","",ROUND(AT141*2,2)))</f>
        <v>0</v>
      </c>
      <c r="BC141" s="20">
        <f>IF(B141="","",IF(AR141="","",ROUND(AR141*(1-WholesaleDiscount),2)))</f>
        <v>0</v>
      </c>
      <c r="BD141" s="20">
        <f>IF(B141="","",IF(BC141="","",ROUND(BC141-AH141-AM141,2)))</f>
        <v>0</v>
      </c>
      <c r="BE141" s="33">
        <f>IF(B141="","",IF(OR(BC141="",BC141=0),"",BD141/BC141))</f>
        <v>0</v>
      </c>
      <c r="BF141" s="20">
        <f>IF(B141="","",IFERROR(ROUND(AVERAGEIFS(Competitors!$F$5:$F$154,Competitors!$A$5:$A$154,A141),2),""))</f>
        <v>0</v>
      </c>
      <c r="BG141" s="33">
        <f>IF(B141="","",IF(OR(BF141="",BF141=0,AR141=""),"",AR141/BF141-1))</f>
        <v>0</v>
      </c>
      <c r="BH141" s="32">
        <f>IF(B141="","",SUMIFS(Sales!$D$5:$D$804,Sales!$C$5:$C$804,A141))</f>
        <v>0</v>
      </c>
      <c r="BI141" s="20">
        <f>IF(B141="","",ROUND(SUMIFS(Sales!$V$5:$V$804,Sales!$C$5:$C$804,A141),2))</f>
        <v>0</v>
      </c>
      <c r="BJ141" s="20">
        <f>IF(B141="","",ROUND(SUMIFS(Sales!$AG$5:$AG$804,Sales!$C$5:$C$804,A141),2))</f>
        <v>0</v>
      </c>
      <c r="BK141" s="33">
        <f>IF(B141="","",IF(OR(BI141="",BI141=0),"",BJ141/BI141))</f>
        <v>0</v>
      </c>
      <c r="BL141" s="17">
        <f>IF(B141="","",IF(SUMPRODUCT(MAX((Sales!$C$5:$C$804=A141)*Sales!$B$5:$B$804))=0,"",SUMPRODUCT(MAX((Sales!$C$5:$C$804=A141)*Sales!$B$5:$B$804))))</f>
        <v>0</v>
      </c>
      <c r="BM141" s="17">
        <f>IF(B141="","",IF(SUMPRODUCT(MAX(('Price History'!$B$5:$B$304=A141)*'Price History'!$A$5:$A$304))=0,IF(P141="","",P141),SUMPRODUCT(MAX(('Price History'!$B$5:$B$304=A141)*'Price History'!$A$5:$A$304))))</f>
        <v>0</v>
      </c>
      <c r="BN141" s="32">
        <f>IF(B141="","",IF(BM141="","",TodayDate-BM141))</f>
        <v>0</v>
      </c>
      <c r="BO141" s="32">
        <f>IF(B141="","",COUNTIFS($AV$5:$AV$304,"&gt;"&amp;AV141)+COUNTIFS($AV$5:AV141,AV141))</f>
        <v>0</v>
      </c>
      <c r="BP141" s="32">
        <f>IF(B141="","",COUNTIFS($AW$5:$AW$304,"&gt;"&amp;AW141)+COUNTIFS($AW$5:AW141,AW141))</f>
        <v>0</v>
      </c>
      <c r="BQ141" s="32">
        <f>IF(B141="","",COUNTIFS($BI$5:$BI$304,"&gt;"&amp;BI141)+COUNTIFS($BI$5:BI141,BI141))</f>
        <v>0</v>
      </c>
      <c r="BR141" s="32">
        <f>IF(B141="","",COUNTIFS($AY$5:$AY$304,"&gt;"&amp;AY141)+COUNTIFS($AY$5:AY141,AY141))</f>
        <v>0</v>
      </c>
      <c r="BS141" s="43">
        <f>IF(B141="","",IF(AH141=0,"Add - no costs entered yet",IF(AR141="","Check - no price yet",IF(AV141&lt;0,"Loss - every sale costs you money",IF(AND(AZ141&lt;&gt;"",AZ141&lt;MinimumWage),"Below - pays under minimum wage",IF(AW141&lt;MarginWarning,"Low margin - re-price it",IF(AND(AF141&lt;&gt;"",K141&lt;&gt;"",K141+AC141&gt;AF141),"Check - too heavy for that postage band",IF(AND(BN141&lt;&gt;"",BN141&gt;PriceReviewDays),"Due - price has not been reviewed",IF(AND(BG141&lt;&gt;"",BG141&gt;0.5),"Check - well above the market","OK")))))))) )</f>
        <v>0</v>
      </c>
    </row>
    <row r="142" spans="1:71">
      <c r="A142" s="38">
        <f>IF(B142="","",ProductPrefix&amp;TEXT(ROW()-4,"0000"))</f>
        <v>0</v>
      </c>
      <c r="S142" s="38">
        <f>IF(B142="","",IF(C142&lt;&gt;"",C142,UPPER(LEFT(IF(D142="","GEN",D142),3))&amp;"-"&amp;TEXT(ROW()-4,"000")))</f>
        <v>0</v>
      </c>
      <c r="T142" s="20">
        <f>IF(B142="","",ROUND(SUMIFS('Material Usage'!$M$5:$M$904,'Material Usage'!$A$5:$A$904,A142)+SUMIFS(Crochet!$AD$5:$AD$84,Crochet!$A$5:$A$84,A142)+SUMIFS(Jewelry!$AF$5:$AF$84,Jewelry!$A$5:$A$84,A142)+SUMIFS(Candles!$AF$5:$AF$84,Candles!$A$5:$A$84,A142)+SUMIFS(Clothing!$AB$5:$AB$84,Clothing!$A$5:$A$84,A142)+SUMIFS(Woodworking!$AC$5:$AC$84,Woodworking!$A$5:$A$84,A142)+SUMIFS(Digital!$X$5:$X$84,Digital!$A$5:$A$84,A142),2))</f>
        <v>0</v>
      </c>
      <c r="U142" s="20">
        <f>IF(B142="","",ROUND(SUMIFS(Labor!$O$5:$O$304,Labor!$A$5:$A$304,A142)+SUMIFS(Crochet!$AG$5:$AG$84,Crochet!$A$5:$A$84,A142)+SUMIFS(Jewelry!$AI$5:$AI$84,Jewelry!$A$5:$A$84,A142)+SUMIFS(Candles!$AI$5:$AI$84,Candles!$A$5:$A$84,A142)+SUMIFS(Clothing!$AE$5:$AE$84,Clothing!$A$5:$A$84,A142)+SUMIFS(Woodworking!$AF$5:$AF$84,Woodworking!$A$5:$A$84,A142)+SUMIFS(Digital!$Z$5:$Z$84,Digital!$A$5:$A$84,A142),2))</f>
        <v>0</v>
      </c>
      <c r="V142" s="36">
        <f>IF(B142="","",ROUND(SUMIFS(Labor!$P$5:$P$304,Labor!$A$5:$A$304,A142)+SUMIFS(Crochet!$AE$5:$AE$84,Crochet!$A$5:$A$84,A142)+SUMIFS(Jewelry!$AG$5:$AG$84,Jewelry!$A$5:$A$84,A142)+SUMIFS(Candles!$AG$5:$AG$84,Candles!$A$5:$A$84,A142)+SUMIFS(Clothing!$AC$5:$AC$84,Clothing!$A$5:$A$84,A142)+SUMIFS(Woodworking!$AD$5:$AD$84,Woodworking!$A$5:$A$84,A142)+SUMIFS(Digital!$Y$5:$Y$84,Digital!$A$5:$A$84,A142),1))</f>
        <v>0</v>
      </c>
      <c r="W142" s="41">
        <f>IF(B142="","",IFERROR(INDEX(DiffTimeFactors,MATCH(G142,DiffNames,0)),1))</f>
        <v>0</v>
      </c>
      <c r="X142" s="36">
        <f>IF(B142="","",ROUND(V142*W142,1))</f>
        <v>0</v>
      </c>
      <c r="Y142" s="41">
        <f>IF(B142="","",ROUND(X142/60,3))</f>
        <v>0</v>
      </c>
      <c r="Z142" s="20">
        <f>IF(B142="","",ROUND(U142*W142,2))</f>
        <v>0</v>
      </c>
      <c r="AA142" s="20">
        <f>IF(B142="","",ROUND(SUMIFS(Labor!$Q$5:$Q$304,Labor!$A$5:$A$304,A142)+SUMIFS(Crochet!$AH$5:$AH$84,Crochet!$A$5:$A$84,A142)+SUMIFS(Jewelry!$AJ$5:$AJ$84,Jewelry!$A$5:$A$84,A142)+SUMIFS(Candles!$AJ$5:$AJ$84,Candles!$A$5:$A$84,A142)+SUMIFS(Clothing!$AF$5:$AF$84,Clothing!$A$5:$A$84,A142)+SUMIFS(Woodworking!$AH$5:$AH$84,Woodworking!$A$5:$A$84,A142)+SUMIFS(Digital!$AA$5:$AA$84,Digital!$A$5:$A$84,A142),2))</f>
        <v>0</v>
      </c>
      <c r="AB142" s="20">
        <f>IF(B142="","",ROUND(IF(I142="Budget",PackBudget,IF(I142="Standard",PackStandard,IF(I142="Gift",PackGift,IF(I142="Premium",PackPremium,DefaultPackaging)))),2))</f>
        <v>0</v>
      </c>
      <c r="AC142" s="36">
        <f>IF(B142="","",IF(I142="Budget",PackWeightBudget,IF(I142="Standard",PackWeightStandard,IF(I142="Gift",PackWeightGift,IF(I142="Premium",PackWeightPremium,0)))))</f>
        <v>0</v>
      </c>
      <c r="AD142" s="20">
        <f>IF(B142="","",IFERROR(INDEX(Shipping!$M$5:$M$64,MATCH(J142,Shipping!$L$5:$L$64,0)),DefaultShipping))</f>
        <v>0</v>
      </c>
      <c r="AE142" s="20">
        <f>IF(B142="","",IFERROR(INDEX(Shipping!$F$5:$F$64,MATCH(J142,Shipping!$L$5:$L$64,0)),0))</f>
        <v>0</v>
      </c>
      <c r="AF142" s="36">
        <f>IF(B142="","",IFERROR(INDEX(Shipping!$C$5:$C$64,MATCH(J142,Shipping!$L$5:$L$64,0)),""))</f>
        <v>0</v>
      </c>
      <c r="AG142" s="20">
        <f>IF(B142="","",ROUND(MAX(0,AD142-AE142),2))</f>
        <v>0</v>
      </c>
      <c r="AH142" s="20">
        <f>IF(B142="","",ROUND(T142+Z142+AA142+AB142+AG142,2))</f>
        <v>0</v>
      </c>
      <c r="AI142" s="33">
        <f>IF(B142="","",IFERROR(INDEX(Channels!$S$5:$S$18,MATCH(IF(H142="",DefaultChannel,H142),Channels!$A$5:$A$18,0)),0))</f>
        <v>0</v>
      </c>
      <c r="AJ142" s="42">
        <f>IF(B142="","",IFERROR(INDEX(Channels!$O$5:$O$18,MATCH(IF(H142="",DefaultChannel,H142),Channels!$A$5:$A$18,0)),"No"))</f>
        <v>0</v>
      </c>
      <c r="AK142" s="20">
        <f>IF(B142="","",ROUND(IFERROR(INDEX(Channels!$T$5:$T$18,MATCH(IF(H142="",DefaultChannel,H142),Channels!$A$5:$A$18,0)),0)+IF(AJ142="Yes",AE142*AI142,0),4))</f>
        <v>0</v>
      </c>
      <c r="AL142" s="33">
        <f>IF(B142="","",IF(OverheadMethod="Share of revenue",IF(RevenueTargetMonth&lt;=0,0,OverheadMonthly/RevenueTargetMonth),0))</f>
        <v>0</v>
      </c>
      <c r="AM142" s="20">
        <f>IF(B142="","",IF(OverheadMethod="Per hour worked",ROUND(OverheadPerHour*Y142,2),IF(OR(OverheadMethod="Per unit made",OverheadMethod="Per order"),OverheadPerUnit,0)))</f>
        <v>0</v>
      </c>
      <c r="AN142" s="33">
        <f>IF(B142="","",IF(N142&lt;&gt;"",N142,TargetRetailMargin))</f>
        <v>0</v>
      </c>
      <c r="AO142" s="41">
        <f>IF(B142="","",1-AN142-AI142-AL142)</f>
        <v>0</v>
      </c>
      <c r="AP142" s="20">
        <f>IF(B142="","",IF(AO142&lt;=0,"",(AH142+AM142+AK142)/AO142))</f>
        <v>0</v>
      </c>
      <c r="AQ142" s="20">
        <f>IF(B142="","",IF(AP142="","Check the settings",ROUND(IF(RoundingRule="None",AP142,IF(RoundingRule="Nearest 0.99",MAX(0.99,CEILING(AP142,1)-0.01),IF(RoundingRule="Nearest 0.95",MAX(0.95,CEILING(AP142,1)-0.05),IF(RoundingRule="Nearest 0.50",CEILING(AP142,0.5),IF(RoundingRule="Nearest 1",CEILING(AP142,1),IF(RoundingRule="Nearest 5",CEILING(AP142,5),IF(RoundingRule="Up to whole 1",CEILING(AP142,1),IF(RoundingRule="Up to whole 5",CEILING(AP142,5),ROUND(AP142,2))))))))),2)))</f>
        <v>0</v>
      </c>
      <c r="AR142" s="20">
        <f>IF(B142="","",IF(M142&lt;&gt;"",M142,IF(ISNUMBER(AQ142),AQ142,"")))</f>
        <v>0</v>
      </c>
      <c r="AS142" s="20">
        <f>IF(B142="","",IF(AR142="","",ROUND(AM142+AR142*AL142,2)))</f>
        <v>0</v>
      </c>
      <c r="AT142" s="20">
        <f>IF(B142="","",IF(AR142="","",ROUND(AH142+AS142,2)))</f>
        <v>0</v>
      </c>
      <c r="AU142" s="20">
        <f>IF(B142="","",IF(AR142="","",ROUND(AR142*AI142+AK142,2)))</f>
        <v>0</v>
      </c>
      <c r="AV142" s="20">
        <f>IF(B142="","",IF(AR142="","",ROUND(AR142-AT142-AU142,2)))</f>
        <v>0</v>
      </c>
      <c r="AW142" s="33">
        <f>IF(B142="","",IF(OR(AR142="",AR142=0),"",AV142/AR142))</f>
        <v>0</v>
      </c>
      <c r="AX142" s="33">
        <f>IF(B142="","",IF(OR(AT142="",AT142=0),"",AV142/AT142))</f>
        <v>0</v>
      </c>
      <c r="AY142" s="20">
        <f>IF(B142="","",IF(OR(Y142="",Y142=0,AV142=""),"",ROUND(AV142/Y142,2)))</f>
        <v>0</v>
      </c>
      <c r="AZ142" s="20">
        <f>IF(B142="","",IF(OR(Y142="",Y142=0,AV142=""),"",ROUND((AV142+Z142)/Y142,2)))</f>
        <v>0</v>
      </c>
      <c r="BA142" s="20">
        <f>IF(B142="","",IF(1-AI142-AL142&lt;=0,"",ROUND((AH142+AM142+AK142)/(1-AI142-AL142),2)))</f>
        <v>0</v>
      </c>
      <c r="BB142" s="20">
        <f>IF(B142="","",IF(AT142="","",ROUND(AT142*2,2)))</f>
        <v>0</v>
      </c>
      <c r="BC142" s="20">
        <f>IF(B142="","",IF(AR142="","",ROUND(AR142*(1-WholesaleDiscount),2)))</f>
        <v>0</v>
      </c>
      <c r="BD142" s="20">
        <f>IF(B142="","",IF(BC142="","",ROUND(BC142-AH142-AM142,2)))</f>
        <v>0</v>
      </c>
      <c r="BE142" s="33">
        <f>IF(B142="","",IF(OR(BC142="",BC142=0),"",BD142/BC142))</f>
        <v>0</v>
      </c>
      <c r="BF142" s="20">
        <f>IF(B142="","",IFERROR(ROUND(AVERAGEIFS(Competitors!$F$5:$F$154,Competitors!$A$5:$A$154,A142),2),""))</f>
        <v>0</v>
      </c>
      <c r="BG142" s="33">
        <f>IF(B142="","",IF(OR(BF142="",BF142=0,AR142=""),"",AR142/BF142-1))</f>
        <v>0</v>
      </c>
      <c r="BH142" s="32">
        <f>IF(B142="","",SUMIFS(Sales!$D$5:$D$804,Sales!$C$5:$C$804,A142))</f>
        <v>0</v>
      </c>
      <c r="BI142" s="20">
        <f>IF(B142="","",ROUND(SUMIFS(Sales!$V$5:$V$804,Sales!$C$5:$C$804,A142),2))</f>
        <v>0</v>
      </c>
      <c r="BJ142" s="20">
        <f>IF(B142="","",ROUND(SUMIFS(Sales!$AG$5:$AG$804,Sales!$C$5:$C$804,A142),2))</f>
        <v>0</v>
      </c>
      <c r="BK142" s="33">
        <f>IF(B142="","",IF(OR(BI142="",BI142=0),"",BJ142/BI142))</f>
        <v>0</v>
      </c>
      <c r="BL142" s="17">
        <f>IF(B142="","",IF(SUMPRODUCT(MAX((Sales!$C$5:$C$804=A142)*Sales!$B$5:$B$804))=0,"",SUMPRODUCT(MAX((Sales!$C$5:$C$804=A142)*Sales!$B$5:$B$804))))</f>
        <v>0</v>
      </c>
      <c r="BM142" s="17">
        <f>IF(B142="","",IF(SUMPRODUCT(MAX(('Price History'!$B$5:$B$304=A142)*'Price History'!$A$5:$A$304))=0,IF(P142="","",P142),SUMPRODUCT(MAX(('Price History'!$B$5:$B$304=A142)*'Price History'!$A$5:$A$304))))</f>
        <v>0</v>
      </c>
      <c r="BN142" s="32">
        <f>IF(B142="","",IF(BM142="","",TodayDate-BM142))</f>
        <v>0</v>
      </c>
      <c r="BO142" s="32">
        <f>IF(B142="","",COUNTIFS($AV$5:$AV$304,"&gt;"&amp;AV142)+COUNTIFS($AV$5:AV142,AV142))</f>
        <v>0</v>
      </c>
      <c r="BP142" s="32">
        <f>IF(B142="","",COUNTIFS($AW$5:$AW$304,"&gt;"&amp;AW142)+COUNTIFS($AW$5:AW142,AW142))</f>
        <v>0</v>
      </c>
      <c r="BQ142" s="32">
        <f>IF(B142="","",COUNTIFS($BI$5:$BI$304,"&gt;"&amp;BI142)+COUNTIFS($BI$5:BI142,BI142))</f>
        <v>0</v>
      </c>
      <c r="BR142" s="32">
        <f>IF(B142="","",COUNTIFS($AY$5:$AY$304,"&gt;"&amp;AY142)+COUNTIFS($AY$5:AY142,AY142))</f>
        <v>0</v>
      </c>
      <c r="BS142" s="43">
        <f>IF(B142="","",IF(AH142=0,"Add - no costs entered yet",IF(AR142="","Check - no price yet",IF(AV142&lt;0,"Loss - every sale costs you money",IF(AND(AZ142&lt;&gt;"",AZ142&lt;MinimumWage),"Below - pays under minimum wage",IF(AW142&lt;MarginWarning,"Low margin - re-price it",IF(AND(AF142&lt;&gt;"",K142&lt;&gt;"",K142+AC142&gt;AF142),"Check - too heavy for that postage band",IF(AND(BN142&lt;&gt;"",BN142&gt;PriceReviewDays),"Due - price has not been reviewed",IF(AND(BG142&lt;&gt;"",BG142&gt;0.5),"Check - well above the market","OK")))))))) )</f>
        <v>0</v>
      </c>
    </row>
    <row r="143" spans="1:71">
      <c r="A143" s="38">
        <f>IF(B143="","",ProductPrefix&amp;TEXT(ROW()-4,"0000"))</f>
        <v>0</v>
      </c>
      <c r="S143" s="38">
        <f>IF(B143="","",IF(C143&lt;&gt;"",C143,UPPER(LEFT(IF(D143="","GEN",D143),3))&amp;"-"&amp;TEXT(ROW()-4,"000")))</f>
        <v>0</v>
      </c>
      <c r="T143" s="20">
        <f>IF(B143="","",ROUND(SUMIFS('Material Usage'!$M$5:$M$904,'Material Usage'!$A$5:$A$904,A143)+SUMIFS(Crochet!$AD$5:$AD$84,Crochet!$A$5:$A$84,A143)+SUMIFS(Jewelry!$AF$5:$AF$84,Jewelry!$A$5:$A$84,A143)+SUMIFS(Candles!$AF$5:$AF$84,Candles!$A$5:$A$84,A143)+SUMIFS(Clothing!$AB$5:$AB$84,Clothing!$A$5:$A$84,A143)+SUMIFS(Woodworking!$AC$5:$AC$84,Woodworking!$A$5:$A$84,A143)+SUMIFS(Digital!$X$5:$X$84,Digital!$A$5:$A$84,A143),2))</f>
        <v>0</v>
      </c>
      <c r="U143" s="20">
        <f>IF(B143="","",ROUND(SUMIFS(Labor!$O$5:$O$304,Labor!$A$5:$A$304,A143)+SUMIFS(Crochet!$AG$5:$AG$84,Crochet!$A$5:$A$84,A143)+SUMIFS(Jewelry!$AI$5:$AI$84,Jewelry!$A$5:$A$84,A143)+SUMIFS(Candles!$AI$5:$AI$84,Candles!$A$5:$A$84,A143)+SUMIFS(Clothing!$AE$5:$AE$84,Clothing!$A$5:$A$84,A143)+SUMIFS(Woodworking!$AF$5:$AF$84,Woodworking!$A$5:$A$84,A143)+SUMIFS(Digital!$Z$5:$Z$84,Digital!$A$5:$A$84,A143),2))</f>
        <v>0</v>
      </c>
      <c r="V143" s="36">
        <f>IF(B143="","",ROUND(SUMIFS(Labor!$P$5:$P$304,Labor!$A$5:$A$304,A143)+SUMIFS(Crochet!$AE$5:$AE$84,Crochet!$A$5:$A$84,A143)+SUMIFS(Jewelry!$AG$5:$AG$84,Jewelry!$A$5:$A$84,A143)+SUMIFS(Candles!$AG$5:$AG$84,Candles!$A$5:$A$84,A143)+SUMIFS(Clothing!$AC$5:$AC$84,Clothing!$A$5:$A$84,A143)+SUMIFS(Woodworking!$AD$5:$AD$84,Woodworking!$A$5:$A$84,A143)+SUMIFS(Digital!$Y$5:$Y$84,Digital!$A$5:$A$84,A143),1))</f>
        <v>0</v>
      </c>
      <c r="W143" s="41">
        <f>IF(B143="","",IFERROR(INDEX(DiffTimeFactors,MATCH(G143,DiffNames,0)),1))</f>
        <v>0</v>
      </c>
      <c r="X143" s="36">
        <f>IF(B143="","",ROUND(V143*W143,1))</f>
        <v>0</v>
      </c>
      <c r="Y143" s="41">
        <f>IF(B143="","",ROUND(X143/60,3))</f>
        <v>0</v>
      </c>
      <c r="Z143" s="20">
        <f>IF(B143="","",ROUND(U143*W143,2))</f>
        <v>0</v>
      </c>
      <c r="AA143" s="20">
        <f>IF(B143="","",ROUND(SUMIFS(Labor!$Q$5:$Q$304,Labor!$A$5:$A$304,A143)+SUMIFS(Crochet!$AH$5:$AH$84,Crochet!$A$5:$A$84,A143)+SUMIFS(Jewelry!$AJ$5:$AJ$84,Jewelry!$A$5:$A$84,A143)+SUMIFS(Candles!$AJ$5:$AJ$84,Candles!$A$5:$A$84,A143)+SUMIFS(Clothing!$AF$5:$AF$84,Clothing!$A$5:$A$84,A143)+SUMIFS(Woodworking!$AH$5:$AH$84,Woodworking!$A$5:$A$84,A143)+SUMIFS(Digital!$AA$5:$AA$84,Digital!$A$5:$A$84,A143),2))</f>
        <v>0</v>
      </c>
      <c r="AB143" s="20">
        <f>IF(B143="","",ROUND(IF(I143="Budget",PackBudget,IF(I143="Standard",PackStandard,IF(I143="Gift",PackGift,IF(I143="Premium",PackPremium,DefaultPackaging)))),2))</f>
        <v>0</v>
      </c>
      <c r="AC143" s="36">
        <f>IF(B143="","",IF(I143="Budget",PackWeightBudget,IF(I143="Standard",PackWeightStandard,IF(I143="Gift",PackWeightGift,IF(I143="Premium",PackWeightPremium,0)))))</f>
        <v>0</v>
      </c>
      <c r="AD143" s="20">
        <f>IF(B143="","",IFERROR(INDEX(Shipping!$M$5:$M$64,MATCH(J143,Shipping!$L$5:$L$64,0)),DefaultShipping))</f>
        <v>0</v>
      </c>
      <c r="AE143" s="20">
        <f>IF(B143="","",IFERROR(INDEX(Shipping!$F$5:$F$64,MATCH(J143,Shipping!$L$5:$L$64,0)),0))</f>
        <v>0</v>
      </c>
      <c r="AF143" s="36">
        <f>IF(B143="","",IFERROR(INDEX(Shipping!$C$5:$C$64,MATCH(J143,Shipping!$L$5:$L$64,0)),""))</f>
        <v>0</v>
      </c>
      <c r="AG143" s="20">
        <f>IF(B143="","",ROUND(MAX(0,AD143-AE143),2))</f>
        <v>0</v>
      </c>
      <c r="AH143" s="20">
        <f>IF(B143="","",ROUND(T143+Z143+AA143+AB143+AG143,2))</f>
        <v>0</v>
      </c>
      <c r="AI143" s="33">
        <f>IF(B143="","",IFERROR(INDEX(Channels!$S$5:$S$18,MATCH(IF(H143="",DefaultChannel,H143),Channels!$A$5:$A$18,0)),0))</f>
        <v>0</v>
      </c>
      <c r="AJ143" s="42">
        <f>IF(B143="","",IFERROR(INDEX(Channels!$O$5:$O$18,MATCH(IF(H143="",DefaultChannel,H143),Channels!$A$5:$A$18,0)),"No"))</f>
        <v>0</v>
      </c>
      <c r="AK143" s="20">
        <f>IF(B143="","",ROUND(IFERROR(INDEX(Channels!$T$5:$T$18,MATCH(IF(H143="",DefaultChannel,H143),Channels!$A$5:$A$18,0)),0)+IF(AJ143="Yes",AE143*AI143,0),4))</f>
        <v>0</v>
      </c>
      <c r="AL143" s="33">
        <f>IF(B143="","",IF(OverheadMethod="Share of revenue",IF(RevenueTargetMonth&lt;=0,0,OverheadMonthly/RevenueTargetMonth),0))</f>
        <v>0</v>
      </c>
      <c r="AM143" s="20">
        <f>IF(B143="","",IF(OverheadMethod="Per hour worked",ROUND(OverheadPerHour*Y143,2),IF(OR(OverheadMethod="Per unit made",OverheadMethod="Per order"),OverheadPerUnit,0)))</f>
        <v>0</v>
      </c>
      <c r="AN143" s="33">
        <f>IF(B143="","",IF(N143&lt;&gt;"",N143,TargetRetailMargin))</f>
        <v>0</v>
      </c>
      <c r="AO143" s="41">
        <f>IF(B143="","",1-AN143-AI143-AL143)</f>
        <v>0</v>
      </c>
      <c r="AP143" s="20">
        <f>IF(B143="","",IF(AO143&lt;=0,"",(AH143+AM143+AK143)/AO143))</f>
        <v>0</v>
      </c>
      <c r="AQ143" s="20">
        <f>IF(B143="","",IF(AP143="","Check the settings",ROUND(IF(RoundingRule="None",AP143,IF(RoundingRule="Nearest 0.99",MAX(0.99,CEILING(AP143,1)-0.01),IF(RoundingRule="Nearest 0.95",MAX(0.95,CEILING(AP143,1)-0.05),IF(RoundingRule="Nearest 0.50",CEILING(AP143,0.5),IF(RoundingRule="Nearest 1",CEILING(AP143,1),IF(RoundingRule="Nearest 5",CEILING(AP143,5),IF(RoundingRule="Up to whole 1",CEILING(AP143,1),IF(RoundingRule="Up to whole 5",CEILING(AP143,5),ROUND(AP143,2))))))))),2)))</f>
        <v>0</v>
      </c>
      <c r="AR143" s="20">
        <f>IF(B143="","",IF(M143&lt;&gt;"",M143,IF(ISNUMBER(AQ143),AQ143,"")))</f>
        <v>0</v>
      </c>
      <c r="AS143" s="20">
        <f>IF(B143="","",IF(AR143="","",ROUND(AM143+AR143*AL143,2)))</f>
        <v>0</v>
      </c>
      <c r="AT143" s="20">
        <f>IF(B143="","",IF(AR143="","",ROUND(AH143+AS143,2)))</f>
        <v>0</v>
      </c>
      <c r="AU143" s="20">
        <f>IF(B143="","",IF(AR143="","",ROUND(AR143*AI143+AK143,2)))</f>
        <v>0</v>
      </c>
      <c r="AV143" s="20">
        <f>IF(B143="","",IF(AR143="","",ROUND(AR143-AT143-AU143,2)))</f>
        <v>0</v>
      </c>
      <c r="AW143" s="33">
        <f>IF(B143="","",IF(OR(AR143="",AR143=0),"",AV143/AR143))</f>
        <v>0</v>
      </c>
      <c r="AX143" s="33">
        <f>IF(B143="","",IF(OR(AT143="",AT143=0),"",AV143/AT143))</f>
        <v>0</v>
      </c>
      <c r="AY143" s="20">
        <f>IF(B143="","",IF(OR(Y143="",Y143=0,AV143=""),"",ROUND(AV143/Y143,2)))</f>
        <v>0</v>
      </c>
      <c r="AZ143" s="20">
        <f>IF(B143="","",IF(OR(Y143="",Y143=0,AV143=""),"",ROUND((AV143+Z143)/Y143,2)))</f>
        <v>0</v>
      </c>
      <c r="BA143" s="20">
        <f>IF(B143="","",IF(1-AI143-AL143&lt;=0,"",ROUND((AH143+AM143+AK143)/(1-AI143-AL143),2)))</f>
        <v>0</v>
      </c>
      <c r="BB143" s="20">
        <f>IF(B143="","",IF(AT143="","",ROUND(AT143*2,2)))</f>
        <v>0</v>
      </c>
      <c r="BC143" s="20">
        <f>IF(B143="","",IF(AR143="","",ROUND(AR143*(1-WholesaleDiscount),2)))</f>
        <v>0</v>
      </c>
      <c r="BD143" s="20">
        <f>IF(B143="","",IF(BC143="","",ROUND(BC143-AH143-AM143,2)))</f>
        <v>0</v>
      </c>
      <c r="BE143" s="33">
        <f>IF(B143="","",IF(OR(BC143="",BC143=0),"",BD143/BC143))</f>
        <v>0</v>
      </c>
      <c r="BF143" s="20">
        <f>IF(B143="","",IFERROR(ROUND(AVERAGEIFS(Competitors!$F$5:$F$154,Competitors!$A$5:$A$154,A143),2),""))</f>
        <v>0</v>
      </c>
      <c r="BG143" s="33">
        <f>IF(B143="","",IF(OR(BF143="",BF143=0,AR143=""),"",AR143/BF143-1))</f>
        <v>0</v>
      </c>
      <c r="BH143" s="32">
        <f>IF(B143="","",SUMIFS(Sales!$D$5:$D$804,Sales!$C$5:$C$804,A143))</f>
        <v>0</v>
      </c>
      <c r="BI143" s="20">
        <f>IF(B143="","",ROUND(SUMIFS(Sales!$V$5:$V$804,Sales!$C$5:$C$804,A143),2))</f>
        <v>0</v>
      </c>
      <c r="BJ143" s="20">
        <f>IF(B143="","",ROUND(SUMIFS(Sales!$AG$5:$AG$804,Sales!$C$5:$C$804,A143),2))</f>
        <v>0</v>
      </c>
      <c r="BK143" s="33">
        <f>IF(B143="","",IF(OR(BI143="",BI143=0),"",BJ143/BI143))</f>
        <v>0</v>
      </c>
      <c r="BL143" s="17">
        <f>IF(B143="","",IF(SUMPRODUCT(MAX((Sales!$C$5:$C$804=A143)*Sales!$B$5:$B$804))=0,"",SUMPRODUCT(MAX((Sales!$C$5:$C$804=A143)*Sales!$B$5:$B$804))))</f>
        <v>0</v>
      </c>
      <c r="BM143" s="17">
        <f>IF(B143="","",IF(SUMPRODUCT(MAX(('Price History'!$B$5:$B$304=A143)*'Price History'!$A$5:$A$304))=0,IF(P143="","",P143),SUMPRODUCT(MAX(('Price History'!$B$5:$B$304=A143)*'Price History'!$A$5:$A$304))))</f>
        <v>0</v>
      </c>
      <c r="BN143" s="32">
        <f>IF(B143="","",IF(BM143="","",TodayDate-BM143))</f>
        <v>0</v>
      </c>
      <c r="BO143" s="32">
        <f>IF(B143="","",COUNTIFS($AV$5:$AV$304,"&gt;"&amp;AV143)+COUNTIFS($AV$5:AV143,AV143))</f>
        <v>0</v>
      </c>
      <c r="BP143" s="32">
        <f>IF(B143="","",COUNTIFS($AW$5:$AW$304,"&gt;"&amp;AW143)+COUNTIFS($AW$5:AW143,AW143))</f>
        <v>0</v>
      </c>
      <c r="BQ143" s="32">
        <f>IF(B143="","",COUNTIFS($BI$5:$BI$304,"&gt;"&amp;BI143)+COUNTIFS($BI$5:BI143,BI143))</f>
        <v>0</v>
      </c>
      <c r="BR143" s="32">
        <f>IF(B143="","",COUNTIFS($AY$5:$AY$304,"&gt;"&amp;AY143)+COUNTIFS($AY$5:AY143,AY143))</f>
        <v>0</v>
      </c>
      <c r="BS143" s="43">
        <f>IF(B143="","",IF(AH143=0,"Add - no costs entered yet",IF(AR143="","Check - no price yet",IF(AV143&lt;0,"Loss - every sale costs you money",IF(AND(AZ143&lt;&gt;"",AZ143&lt;MinimumWage),"Below - pays under minimum wage",IF(AW143&lt;MarginWarning,"Low margin - re-price it",IF(AND(AF143&lt;&gt;"",K143&lt;&gt;"",K143+AC143&gt;AF143),"Check - too heavy for that postage band",IF(AND(BN143&lt;&gt;"",BN143&gt;PriceReviewDays),"Due - price has not been reviewed",IF(AND(BG143&lt;&gt;"",BG143&gt;0.5),"Check - well above the market","OK")))))))) )</f>
        <v>0</v>
      </c>
    </row>
    <row r="144" spans="1:71">
      <c r="A144" s="38">
        <f>IF(B144="","",ProductPrefix&amp;TEXT(ROW()-4,"0000"))</f>
        <v>0</v>
      </c>
      <c r="S144" s="38">
        <f>IF(B144="","",IF(C144&lt;&gt;"",C144,UPPER(LEFT(IF(D144="","GEN",D144),3))&amp;"-"&amp;TEXT(ROW()-4,"000")))</f>
        <v>0</v>
      </c>
      <c r="T144" s="20">
        <f>IF(B144="","",ROUND(SUMIFS('Material Usage'!$M$5:$M$904,'Material Usage'!$A$5:$A$904,A144)+SUMIFS(Crochet!$AD$5:$AD$84,Crochet!$A$5:$A$84,A144)+SUMIFS(Jewelry!$AF$5:$AF$84,Jewelry!$A$5:$A$84,A144)+SUMIFS(Candles!$AF$5:$AF$84,Candles!$A$5:$A$84,A144)+SUMIFS(Clothing!$AB$5:$AB$84,Clothing!$A$5:$A$84,A144)+SUMIFS(Woodworking!$AC$5:$AC$84,Woodworking!$A$5:$A$84,A144)+SUMIFS(Digital!$X$5:$X$84,Digital!$A$5:$A$84,A144),2))</f>
        <v>0</v>
      </c>
      <c r="U144" s="20">
        <f>IF(B144="","",ROUND(SUMIFS(Labor!$O$5:$O$304,Labor!$A$5:$A$304,A144)+SUMIFS(Crochet!$AG$5:$AG$84,Crochet!$A$5:$A$84,A144)+SUMIFS(Jewelry!$AI$5:$AI$84,Jewelry!$A$5:$A$84,A144)+SUMIFS(Candles!$AI$5:$AI$84,Candles!$A$5:$A$84,A144)+SUMIFS(Clothing!$AE$5:$AE$84,Clothing!$A$5:$A$84,A144)+SUMIFS(Woodworking!$AF$5:$AF$84,Woodworking!$A$5:$A$84,A144)+SUMIFS(Digital!$Z$5:$Z$84,Digital!$A$5:$A$84,A144),2))</f>
        <v>0</v>
      </c>
      <c r="V144" s="36">
        <f>IF(B144="","",ROUND(SUMIFS(Labor!$P$5:$P$304,Labor!$A$5:$A$304,A144)+SUMIFS(Crochet!$AE$5:$AE$84,Crochet!$A$5:$A$84,A144)+SUMIFS(Jewelry!$AG$5:$AG$84,Jewelry!$A$5:$A$84,A144)+SUMIFS(Candles!$AG$5:$AG$84,Candles!$A$5:$A$84,A144)+SUMIFS(Clothing!$AC$5:$AC$84,Clothing!$A$5:$A$84,A144)+SUMIFS(Woodworking!$AD$5:$AD$84,Woodworking!$A$5:$A$84,A144)+SUMIFS(Digital!$Y$5:$Y$84,Digital!$A$5:$A$84,A144),1))</f>
        <v>0</v>
      </c>
      <c r="W144" s="41">
        <f>IF(B144="","",IFERROR(INDEX(DiffTimeFactors,MATCH(G144,DiffNames,0)),1))</f>
        <v>0</v>
      </c>
      <c r="X144" s="36">
        <f>IF(B144="","",ROUND(V144*W144,1))</f>
        <v>0</v>
      </c>
      <c r="Y144" s="41">
        <f>IF(B144="","",ROUND(X144/60,3))</f>
        <v>0</v>
      </c>
      <c r="Z144" s="20">
        <f>IF(B144="","",ROUND(U144*W144,2))</f>
        <v>0</v>
      </c>
      <c r="AA144" s="20">
        <f>IF(B144="","",ROUND(SUMIFS(Labor!$Q$5:$Q$304,Labor!$A$5:$A$304,A144)+SUMIFS(Crochet!$AH$5:$AH$84,Crochet!$A$5:$A$84,A144)+SUMIFS(Jewelry!$AJ$5:$AJ$84,Jewelry!$A$5:$A$84,A144)+SUMIFS(Candles!$AJ$5:$AJ$84,Candles!$A$5:$A$84,A144)+SUMIFS(Clothing!$AF$5:$AF$84,Clothing!$A$5:$A$84,A144)+SUMIFS(Woodworking!$AH$5:$AH$84,Woodworking!$A$5:$A$84,A144)+SUMIFS(Digital!$AA$5:$AA$84,Digital!$A$5:$A$84,A144),2))</f>
        <v>0</v>
      </c>
      <c r="AB144" s="20">
        <f>IF(B144="","",ROUND(IF(I144="Budget",PackBudget,IF(I144="Standard",PackStandard,IF(I144="Gift",PackGift,IF(I144="Premium",PackPremium,DefaultPackaging)))),2))</f>
        <v>0</v>
      </c>
      <c r="AC144" s="36">
        <f>IF(B144="","",IF(I144="Budget",PackWeightBudget,IF(I144="Standard",PackWeightStandard,IF(I144="Gift",PackWeightGift,IF(I144="Premium",PackWeightPremium,0)))))</f>
        <v>0</v>
      </c>
      <c r="AD144" s="20">
        <f>IF(B144="","",IFERROR(INDEX(Shipping!$M$5:$M$64,MATCH(J144,Shipping!$L$5:$L$64,0)),DefaultShipping))</f>
        <v>0</v>
      </c>
      <c r="AE144" s="20">
        <f>IF(B144="","",IFERROR(INDEX(Shipping!$F$5:$F$64,MATCH(J144,Shipping!$L$5:$L$64,0)),0))</f>
        <v>0</v>
      </c>
      <c r="AF144" s="36">
        <f>IF(B144="","",IFERROR(INDEX(Shipping!$C$5:$C$64,MATCH(J144,Shipping!$L$5:$L$64,0)),""))</f>
        <v>0</v>
      </c>
      <c r="AG144" s="20">
        <f>IF(B144="","",ROUND(MAX(0,AD144-AE144),2))</f>
        <v>0</v>
      </c>
      <c r="AH144" s="20">
        <f>IF(B144="","",ROUND(T144+Z144+AA144+AB144+AG144,2))</f>
        <v>0</v>
      </c>
      <c r="AI144" s="33">
        <f>IF(B144="","",IFERROR(INDEX(Channels!$S$5:$S$18,MATCH(IF(H144="",DefaultChannel,H144),Channels!$A$5:$A$18,0)),0))</f>
        <v>0</v>
      </c>
      <c r="AJ144" s="42">
        <f>IF(B144="","",IFERROR(INDEX(Channels!$O$5:$O$18,MATCH(IF(H144="",DefaultChannel,H144),Channels!$A$5:$A$18,0)),"No"))</f>
        <v>0</v>
      </c>
      <c r="AK144" s="20">
        <f>IF(B144="","",ROUND(IFERROR(INDEX(Channels!$T$5:$T$18,MATCH(IF(H144="",DefaultChannel,H144),Channels!$A$5:$A$18,0)),0)+IF(AJ144="Yes",AE144*AI144,0),4))</f>
        <v>0</v>
      </c>
      <c r="AL144" s="33">
        <f>IF(B144="","",IF(OverheadMethod="Share of revenue",IF(RevenueTargetMonth&lt;=0,0,OverheadMonthly/RevenueTargetMonth),0))</f>
        <v>0</v>
      </c>
      <c r="AM144" s="20">
        <f>IF(B144="","",IF(OverheadMethod="Per hour worked",ROUND(OverheadPerHour*Y144,2),IF(OR(OverheadMethod="Per unit made",OverheadMethod="Per order"),OverheadPerUnit,0)))</f>
        <v>0</v>
      </c>
      <c r="AN144" s="33">
        <f>IF(B144="","",IF(N144&lt;&gt;"",N144,TargetRetailMargin))</f>
        <v>0</v>
      </c>
      <c r="AO144" s="41">
        <f>IF(B144="","",1-AN144-AI144-AL144)</f>
        <v>0</v>
      </c>
      <c r="AP144" s="20">
        <f>IF(B144="","",IF(AO144&lt;=0,"",(AH144+AM144+AK144)/AO144))</f>
        <v>0</v>
      </c>
      <c r="AQ144" s="20">
        <f>IF(B144="","",IF(AP144="","Check the settings",ROUND(IF(RoundingRule="None",AP144,IF(RoundingRule="Nearest 0.99",MAX(0.99,CEILING(AP144,1)-0.01),IF(RoundingRule="Nearest 0.95",MAX(0.95,CEILING(AP144,1)-0.05),IF(RoundingRule="Nearest 0.50",CEILING(AP144,0.5),IF(RoundingRule="Nearest 1",CEILING(AP144,1),IF(RoundingRule="Nearest 5",CEILING(AP144,5),IF(RoundingRule="Up to whole 1",CEILING(AP144,1),IF(RoundingRule="Up to whole 5",CEILING(AP144,5),ROUND(AP144,2))))))))),2)))</f>
        <v>0</v>
      </c>
      <c r="AR144" s="20">
        <f>IF(B144="","",IF(M144&lt;&gt;"",M144,IF(ISNUMBER(AQ144),AQ144,"")))</f>
        <v>0</v>
      </c>
      <c r="AS144" s="20">
        <f>IF(B144="","",IF(AR144="","",ROUND(AM144+AR144*AL144,2)))</f>
        <v>0</v>
      </c>
      <c r="AT144" s="20">
        <f>IF(B144="","",IF(AR144="","",ROUND(AH144+AS144,2)))</f>
        <v>0</v>
      </c>
      <c r="AU144" s="20">
        <f>IF(B144="","",IF(AR144="","",ROUND(AR144*AI144+AK144,2)))</f>
        <v>0</v>
      </c>
      <c r="AV144" s="20">
        <f>IF(B144="","",IF(AR144="","",ROUND(AR144-AT144-AU144,2)))</f>
        <v>0</v>
      </c>
      <c r="AW144" s="33">
        <f>IF(B144="","",IF(OR(AR144="",AR144=0),"",AV144/AR144))</f>
        <v>0</v>
      </c>
      <c r="AX144" s="33">
        <f>IF(B144="","",IF(OR(AT144="",AT144=0),"",AV144/AT144))</f>
        <v>0</v>
      </c>
      <c r="AY144" s="20">
        <f>IF(B144="","",IF(OR(Y144="",Y144=0,AV144=""),"",ROUND(AV144/Y144,2)))</f>
        <v>0</v>
      </c>
      <c r="AZ144" s="20">
        <f>IF(B144="","",IF(OR(Y144="",Y144=0,AV144=""),"",ROUND((AV144+Z144)/Y144,2)))</f>
        <v>0</v>
      </c>
      <c r="BA144" s="20">
        <f>IF(B144="","",IF(1-AI144-AL144&lt;=0,"",ROUND((AH144+AM144+AK144)/(1-AI144-AL144),2)))</f>
        <v>0</v>
      </c>
      <c r="BB144" s="20">
        <f>IF(B144="","",IF(AT144="","",ROUND(AT144*2,2)))</f>
        <v>0</v>
      </c>
      <c r="BC144" s="20">
        <f>IF(B144="","",IF(AR144="","",ROUND(AR144*(1-WholesaleDiscount),2)))</f>
        <v>0</v>
      </c>
      <c r="BD144" s="20">
        <f>IF(B144="","",IF(BC144="","",ROUND(BC144-AH144-AM144,2)))</f>
        <v>0</v>
      </c>
      <c r="BE144" s="33">
        <f>IF(B144="","",IF(OR(BC144="",BC144=0),"",BD144/BC144))</f>
        <v>0</v>
      </c>
      <c r="BF144" s="20">
        <f>IF(B144="","",IFERROR(ROUND(AVERAGEIFS(Competitors!$F$5:$F$154,Competitors!$A$5:$A$154,A144),2),""))</f>
        <v>0</v>
      </c>
      <c r="BG144" s="33">
        <f>IF(B144="","",IF(OR(BF144="",BF144=0,AR144=""),"",AR144/BF144-1))</f>
        <v>0</v>
      </c>
      <c r="BH144" s="32">
        <f>IF(B144="","",SUMIFS(Sales!$D$5:$D$804,Sales!$C$5:$C$804,A144))</f>
        <v>0</v>
      </c>
      <c r="BI144" s="20">
        <f>IF(B144="","",ROUND(SUMIFS(Sales!$V$5:$V$804,Sales!$C$5:$C$804,A144),2))</f>
        <v>0</v>
      </c>
      <c r="BJ144" s="20">
        <f>IF(B144="","",ROUND(SUMIFS(Sales!$AG$5:$AG$804,Sales!$C$5:$C$804,A144),2))</f>
        <v>0</v>
      </c>
      <c r="BK144" s="33">
        <f>IF(B144="","",IF(OR(BI144="",BI144=0),"",BJ144/BI144))</f>
        <v>0</v>
      </c>
      <c r="BL144" s="17">
        <f>IF(B144="","",IF(SUMPRODUCT(MAX((Sales!$C$5:$C$804=A144)*Sales!$B$5:$B$804))=0,"",SUMPRODUCT(MAX((Sales!$C$5:$C$804=A144)*Sales!$B$5:$B$804))))</f>
        <v>0</v>
      </c>
      <c r="BM144" s="17">
        <f>IF(B144="","",IF(SUMPRODUCT(MAX(('Price History'!$B$5:$B$304=A144)*'Price History'!$A$5:$A$304))=0,IF(P144="","",P144),SUMPRODUCT(MAX(('Price History'!$B$5:$B$304=A144)*'Price History'!$A$5:$A$304))))</f>
        <v>0</v>
      </c>
      <c r="BN144" s="32">
        <f>IF(B144="","",IF(BM144="","",TodayDate-BM144))</f>
        <v>0</v>
      </c>
      <c r="BO144" s="32">
        <f>IF(B144="","",COUNTIFS($AV$5:$AV$304,"&gt;"&amp;AV144)+COUNTIFS($AV$5:AV144,AV144))</f>
        <v>0</v>
      </c>
      <c r="BP144" s="32">
        <f>IF(B144="","",COUNTIFS($AW$5:$AW$304,"&gt;"&amp;AW144)+COUNTIFS($AW$5:AW144,AW144))</f>
        <v>0</v>
      </c>
      <c r="BQ144" s="32">
        <f>IF(B144="","",COUNTIFS($BI$5:$BI$304,"&gt;"&amp;BI144)+COUNTIFS($BI$5:BI144,BI144))</f>
        <v>0</v>
      </c>
      <c r="BR144" s="32">
        <f>IF(B144="","",COUNTIFS($AY$5:$AY$304,"&gt;"&amp;AY144)+COUNTIFS($AY$5:AY144,AY144))</f>
        <v>0</v>
      </c>
      <c r="BS144" s="43">
        <f>IF(B144="","",IF(AH144=0,"Add - no costs entered yet",IF(AR144="","Check - no price yet",IF(AV144&lt;0,"Loss - every sale costs you money",IF(AND(AZ144&lt;&gt;"",AZ144&lt;MinimumWage),"Below - pays under minimum wage",IF(AW144&lt;MarginWarning,"Low margin - re-price it",IF(AND(AF144&lt;&gt;"",K144&lt;&gt;"",K144+AC144&gt;AF144),"Check - too heavy for that postage band",IF(AND(BN144&lt;&gt;"",BN144&gt;PriceReviewDays),"Due - price has not been reviewed",IF(AND(BG144&lt;&gt;"",BG144&gt;0.5),"Check - well above the market","OK")))))))) )</f>
        <v>0</v>
      </c>
    </row>
    <row r="145" spans="1:71">
      <c r="A145" s="38">
        <f>IF(B145="","",ProductPrefix&amp;TEXT(ROW()-4,"0000"))</f>
        <v>0</v>
      </c>
      <c r="S145" s="38">
        <f>IF(B145="","",IF(C145&lt;&gt;"",C145,UPPER(LEFT(IF(D145="","GEN",D145),3))&amp;"-"&amp;TEXT(ROW()-4,"000")))</f>
        <v>0</v>
      </c>
      <c r="T145" s="20">
        <f>IF(B145="","",ROUND(SUMIFS('Material Usage'!$M$5:$M$904,'Material Usage'!$A$5:$A$904,A145)+SUMIFS(Crochet!$AD$5:$AD$84,Crochet!$A$5:$A$84,A145)+SUMIFS(Jewelry!$AF$5:$AF$84,Jewelry!$A$5:$A$84,A145)+SUMIFS(Candles!$AF$5:$AF$84,Candles!$A$5:$A$84,A145)+SUMIFS(Clothing!$AB$5:$AB$84,Clothing!$A$5:$A$84,A145)+SUMIFS(Woodworking!$AC$5:$AC$84,Woodworking!$A$5:$A$84,A145)+SUMIFS(Digital!$X$5:$X$84,Digital!$A$5:$A$84,A145),2))</f>
        <v>0</v>
      </c>
      <c r="U145" s="20">
        <f>IF(B145="","",ROUND(SUMIFS(Labor!$O$5:$O$304,Labor!$A$5:$A$304,A145)+SUMIFS(Crochet!$AG$5:$AG$84,Crochet!$A$5:$A$84,A145)+SUMIFS(Jewelry!$AI$5:$AI$84,Jewelry!$A$5:$A$84,A145)+SUMIFS(Candles!$AI$5:$AI$84,Candles!$A$5:$A$84,A145)+SUMIFS(Clothing!$AE$5:$AE$84,Clothing!$A$5:$A$84,A145)+SUMIFS(Woodworking!$AF$5:$AF$84,Woodworking!$A$5:$A$84,A145)+SUMIFS(Digital!$Z$5:$Z$84,Digital!$A$5:$A$84,A145),2))</f>
        <v>0</v>
      </c>
      <c r="V145" s="36">
        <f>IF(B145="","",ROUND(SUMIFS(Labor!$P$5:$P$304,Labor!$A$5:$A$304,A145)+SUMIFS(Crochet!$AE$5:$AE$84,Crochet!$A$5:$A$84,A145)+SUMIFS(Jewelry!$AG$5:$AG$84,Jewelry!$A$5:$A$84,A145)+SUMIFS(Candles!$AG$5:$AG$84,Candles!$A$5:$A$84,A145)+SUMIFS(Clothing!$AC$5:$AC$84,Clothing!$A$5:$A$84,A145)+SUMIFS(Woodworking!$AD$5:$AD$84,Woodworking!$A$5:$A$84,A145)+SUMIFS(Digital!$Y$5:$Y$84,Digital!$A$5:$A$84,A145),1))</f>
        <v>0</v>
      </c>
      <c r="W145" s="41">
        <f>IF(B145="","",IFERROR(INDEX(DiffTimeFactors,MATCH(G145,DiffNames,0)),1))</f>
        <v>0</v>
      </c>
      <c r="X145" s="36">
        <f>IF(B145="","",ROUND(V145*W145,1))</f>
        <v>0</v>
      </c>
      <c r="Y145" s="41">
        <f>IF(B145="","",ROUND(X145/60,3))</f>
        <v>0</v>
      </c>
      <c r="Z145" s="20">
        <f>IF(B145="","",ROUND(U145*W145,2))</f>
        <v>0</v>
      </c>
      <c r="AA145" s="20">
        <f>IF(B145="","",ROUND(SUMIFS(Labor!$Q$5:$Q$304,Labor!$A$5:$A$304,A145)+SUMIFS(Crochet!$AH$5:$AH$84,Crochet!$A$5:$A$84,A145)+SUMIFS(Jewelry!$AJ$5:$AJ$84,Jewelry!$A$5:$A$84,A145)+SUMIFS(Candles!$AJ$5:$AJ$84,Candles!$A$5:$A$84,A145)+SUMIFS(Clothing!$AF$5:$AF$84,Clothing!$A$5:$A$84,A145)+SUMIFS(Woodworking!$AH$5:$AH$84,Woodworking!$A$5:$A$84,A145)+SUMIFS(Digital!$AA$5:$AA$84,Digital!$A$5:$A$84,A145),2))</f>
        <v>0</v>
      </c>
      <c r="AB145" s="20">
        <f>IF(B145="","",ROUND(IF(I145="Budget",PackBudget,IF(I145="Standard",PackStandard,IF(I145="Gift",PackGift,IF(I145="Premium",PackPremium,DefaultPackaging)))),2))</f>
        <v>0</v>
      </c>
      <c r="AC145" s="36">
        <f>IF(B145="","",IF(I145="Budget",PackWeightBudget,IF(I145="Standard",PackWeightStandard,IF(I145="Gift",PackWeightGift,IF(I145="Premium",PackWeightPremium,0)))))</f>
        <v>0</v>
      </c>
      <c r="AD145" s="20">
        <f>IF(B145="","",IFERROR(INDEX(Shipping!$M$5:$M$64,MATCH(J145,Shipping!$L$5:$L$64,0)),DefaultShipping))</f>
        <v>0</v>
      </c>
      <c r="AE145" s="20">
        <f>IF(B145="","",IFERROR(INDEX(Shipping!$F$5:$F$64,MATCH(J145,Shipping!$L$5:$L$64,0)),0))</f>
        <v>0</v>
      </c>
      <c r="AF145" s="36">
        <f>IF(B145="","",IFERROR(INDEX(Shipping!$C$5:$C$64,MATCH(J145,Shipping!$L$5:$L$64,0)),""))</f>
        <v>0</v>
      </c>
      <c r="AG145" s="20">
        <f>IF(B145="","",ROUND(MAX(0,AD145-AE145),2))</f>
        <v>0</v>
      </c>
      <c r="AH145" s="20">
        <f>IF(B145="","",ROUND(T145+Z145+AA145+AB145+AG145,2))</f>
        <v>0</v>
      </c>
      <c r="AI145" s="33">
        <f>IF(B145="","",IFERROR(INDEX(Channels!$S$5:$S$18,MATCH(IF(H145="",DefaultChannel,H145),Channels!$A$5:$A$18,0)),0))</f>
        <v>0</v>
      </c>
      <c r="AJ145" s="42">
        <f>IF(B145="","",IFERROR(INDEX(Channels!$O$5:$O$18,MATCH(IF(H145="",DefaultChannel,H145),Channels!$A$5:$A$18,0)),"No"))</f>
        <v>0</v>
      </c>
      <c r="AK145" s="20">
        <f>IF(B145="","",ROUND(IFERROR(INDEX(Channels!$T$5:$T$18,MATCH(IF(H145="",DefaultChannel,H145),Channels!$A$5:$A$18,0)),0)+IF(AJ145="Yes",AE145*AI145,0),4))</f>
        <v>0</v>
      </c>
      <c r="AL145" s="33">
        <f>IF(B145="","",IF(OverheadMethod="Share of revenue",IF(RevenueTargetMonth&lt;=0,0,OverheadMonthly/RevenueTargetMonth),0))</f>
        <v>0</v>
      </c>
      <c r="AM145" s="20">
        <f>IF(B145="","",IF(OverheadMethod="Per hour worked",ROUND(OverheadPerHour*Y145,2),IF(OR(OverheadMethod="Per unit made",OverheadMethod="Per order"),OverheadPerUnit,0)))</f>
        <v>0</v>
      </c>
      <c r="AN145" s="33">
        <f>IF(B145="","",IF(N145&lt;&gt;"",N145,TargetRetailMargin))</f>
        <v>0</v>
      </c>
      <c r="AO145" s="41">
        <f>IF(B145="","",1-AN145-AI145-AL145)</f>
        <v>0</v>
      </c>
      <c r="AP145" s="20">
        <f>IF(B145="","",IF(AO145&lt;=0,"",(AH145+AM145+AK145)/AO145))</f>
        <v>0</v>
      </c>
      <c r="AQ145" s="20">
        <f>IF(B145="","",IF(AP145="","Check the settings",ROUND(IF(RoundingRule="None",AP145,IF(RoundingRule="Nearest 0.99",MAX(0.99,CEILING(AP145,1)-0.01),IF(RoundingRule="Nearest 0.95",MAX(0.95,CEILING(AP145,1)-0.05),IF(RoundingRule="Nearest 0.50",CEILING(AP145,0.5),IF(RoundingRule="Nearest 1",CEILING(AP145,1),IF(RoundingRule="Nearest 5",CEILING(AP145,5),IF(RoundingRule="Up to whole 1",CEILING(AP145,1),IF(RoundingRule="Up to whole 5",CEILING(AP145,5),ROUND(AP145,2))))))))),2)))</f>
        <v>0</v>
      </c>
      <c r="AR145" s="20">
        <f>IF(B145="","",IF(M145&lt;&gt;"",M145,IF(ISNUMBER(AQ145),AQ145,"")))</f>
        <v>0</v>
      </c>
      <c r="AS145" s="20">
        <f>IF(B145="","",IF(AR145="","",ROUND(AM145+AR145*AL145,2)))</f>
        <v>0</v>
      </c>
      <c r="AT145" s="20">
        <f>IF(B145="","",IF(AR145="","",ROUND(AH145+AS145,2)))</f>
        <v>0</v>
      </c>
      <c r="AU145" s="20">
        <f>IF(B145="","",IF(AR145="","",ROUND(AR145*AI145+AK145,2)))</f>
        <v>0</v>
      </c>
      <c r="AV145" s="20">
        <f>IF(B145="","",IF(AR145="","",ROUND(AR145-AT145-AU145,2)))</f>
        <v>0</v>
      </c>
      <c r="AW145" s="33">
        <f>IF(B145="","",IF(OR(AR145="",AR145=0),"",AV145/AR145))</f>
        <v>0</v>
      </c>
      <c r="AX145" s="33">
        <f>IF(B145="","",IF(OR(AT145="",AT145=0),"",AV145/AT145))</f>
        <v>0</v>
      </c>
      <c r="AY145" s="20">
        <f>IF(B145="","",IF(OR(Y145="",Y145=0,AV145=""),"",ROUND(AV145/Y145,2)))</f>
        <v>0</v>
      </c>
      <c r="AZ145" s="20">
        <f>IF(B145="","",IF(OR(Y145="",Y145=0,AV145=""),"",ROUND((AV145+Z145)/Y145,2)))</f>
        <v>0</v>
      </c>
      <c r="BA145" s="20">
        <f>IF(B145="","",IF(1-AI145-AL145&lt;=0,"",ROUND((AH145+AM145+AK145)/(1-AI145-AL145),2)))</f>
        <v>0</v>
      </c>
      <c r="BB145" s="20">
        <f>IF(B145="","",IF(AT145="","",ROUND(AT145*2,2)))</f>
        <v>0</v>
      </c>
      <c r="BC145" s="20">
        <f>IF(B145="","",IF(AR145="","",ROUND(AR145*(1-WholesaleDiscount),2)))</f>
        <v>0</v>
      </c>
      <c r="BD145" s="20">
        <f>IF(B145="","",IF(BC145="","",ROUND(BC145-AH145-AM145,2)))</f>
        <v>0</v>
      </c>
      <c r="BE145" s="33">
        <f>IF(B145="","",IF(OR(BC145="",BC145=0),"",BD145/BC145))</f>
        <v>0</v>
      </c>
      <c r="BF145" s="20">
        <f>IF(B145="","",IFERROR(ROUND(AVERAGEIFS(Competitors!$F$5:$F$154,Competitors!$A$5:$A$154,A145),2),""))</f>
        <v>0</v>
      </c>
      <c r="BG145" s="33">
        <f>IF(B145="","",IF(OR(BF145="",BF145=0,AR145=""),"",AR145/BF145-1))</f>
        <v>0</v>
      </c>
      <c r="BH145" s="32">
        <f>IF(B145="","",SUMIFS(Sales!$D$5:$D$804,Sales!$C$5:$C$804,A145))</f>
        <v>0</v>
      </c>
      <c r="BI145" s="20">
        <f>IF(B145="","",ROUND(SUMIFS(Sales!$V$5:$V$804,Sales!$C$5:$C$804,A145),2))</f>
        <v>0</v>
      </c>
      <c r="BJ145" s="20">
        <f>IF(B145="","",ROUND(SUMIFS(Sales!$AG$5:$AG$804,Sales!$C$5:$C$804,A145),2))</f>
        <v>0</v>
      </c>
      <c r="BK145" s="33">
        <f>IF(B145="","",IF(OR(BI145="",BI145=0),"",BJ145/BI145))</f>
        <v>0</v>
      </c>
      <c r="BL145" s="17">
        <f>IF(B145="","",IF(SUMPRODUCT(MAX((Sales!$C$5:$C$804=A145)*Sales!$B$5:$B$804))=0,"",SUMPRODUCT(MAX((Sales!$C$5:$C$804=A145)*Sales!$B$5:$B$804))))</f>
        <v>0</v>
      </c>
      <c r="BM145" s="17">
        <f>IF(B145="","",IF(SUMPRODUCT(MAX(('Price History'!$B$5:$B$304=A145)*'Price History'!$A$5:$A$304))=0,IF(P145="","",P145),SUMPRODUCT(MAX(('Price History'!$B$5:$B$304=A145)*'Price History'!$A$5:$A$304))))</f>
        <v>0</v>
      </c>
      <c r="BN145" s="32">
        <f>IF(B145="","",IF(BM145="","",TodayDate-BM145))</f>
        <v>0</v>
      </c>
      <c r="BO145" s="32">
        <f>IF(B145="","",COUNTIFS($AV$5:$AV$304,"&gt;"&amp;AV145)+COUNTIFS($AV$5:AV145,AV145))</f>
        <v>0</v>
      </c>
      <c r="BP145" s="32">
        <f>IF(B145="","",COUNTIFS($AW$5:$AW$304,"&gt;"&amp;AW145)+COUNTIFS($AW$5:AW145,AW145))</f>
        <v>0</v>
      </c>
      <c r="BQ145" s="32">
        <f>IF(B145="","",COUNTIFS($BI$5:$BI$304,"&gt;"&amp;BI145)+COUNTIFS($BI$5:BI145,BI145))</f>
        <v>0</v>
      </c>
      <c r="BR145" s="32">
        <f>IF(B145="","",COUNTIFS($AY$5:$AY$304,"&gt;"&amp;AY145)+COUNTIFS($AY$5:AY145,AY145))</f>
        <v>0</v>
      </c>
      <c r="BS145" s="43">
        <f>IF(B145="","",IF(AH145=0,"Add - no costs entered yet",IF(AR145="","Check - no price yet",IF(AV145&lt;0,"Loss - every sale costs you money",IF(AND(AZ145&lt;&gt;"",AZ145&lt;MinimumWage),"Below - pays under minimum wage",IF(AW145&lt;MarginWarning,"Low margin - re-price it",IF(AND(AF145&lt;&gt;"",K145&lt;&gt;"",K145+AC145&gt;AF145),"Check - too heavy for that postage band",IF(AND(BN145&lt;&gt;"",BN145&gt;PriceReviewDays),"Due - price has not been reviewed",IF(AND(BG145&lt;&gt;"",BG145&gt;0.5),"Check - well above the market","OK")))))))) )</f>
        <v>0</v>
      </c>
    </row>
    <row r="146" spans="1:71">
      <c r="A146" s="38">
        <f>IF(B146="","",ProductPrefix&amp;TEXT(ROW()-4,"0000"))</f>
        <v>0</v>
      </c>
      <c r="S146" s="38">
        <f>IF(B146="","",IF(C146&lt;&gt;"",C146,UPPER(LEFT(IF(D146="","GEN",D146),3))&amp;"-"&amp;TEXT(ROW()-4,"000")))</f>
        <v>0</v>
      </c>
      <c r="T146" s="20">
        <f>IF(B146="","",ROUND(SUMIFS('Material Usage'!$M$5:$M$904,'Material Usage'!$A$5:$A$904,A146)+SUMIFS(Crochet!$AD$5:$AD$84,Crochet!$A$5:$A$84,A146)+SUMIFS(Jewelry!$AF$5:$AF$84,Jewelry!$A$5:$A$84,A146)+SUMIFS(Candles!$AF$5:$AF$84,Candles!$A$5:$A$84,A146)+SUMIFS(Clothing!$AB$5:$AB$84,Clothing!$A$5:$A$84,A146)+SUMIFS(Woodworking!$AC$5:$AC$84,Woodworking!$A$5:$A$84,A146)+SUMIFS(Digital!$X$5:$X$84,Digital!$A$5:$A$84,A146),2))</f>
        <v>0</v>
      </c>
      <c r="U146" s="20">
        <f>IF(B146="","",ROUND(SUMIFS(Labor!$O$5:$O$304,Labor!$A$5:$A$304,A146)+SUMIFS(Crochet!$AG$5:$AG$84,Crochet!$A$5:$A$84,A146)+SUMIFS(Jewelry!$AI$5:$AI$84,Jewelry!$A$5:$A$84,A146)+SUMIFS(Candles!$AI$5:$AI$84,Candles!$A$5:$A$84,A146)+SUMIFS(Clothing!$AE$5:$AE$84,Clothing!$A$5:$A$84,A146)+SUMIFS(Woodworking!$AF$5:$AF$84,Woodworking!$A$5:$A$84,A146)+SUMIFS(Digital!$Z$5:$Z$84,Digital!$A$5:$A$84,A146),2))</f>
        <v>0</v>
      </c>
      <c r="V146" s="36">
        <f>IF(B146="","",ROUND(SUMIFS(Labor!$P$5:$P$304,Labor!$A$5:$A$304,A146)+SUMIFS(Crochet!$AE$5:$AE$84,Crochet!$A$5:$A$84,A146)+SUMIFS(Jewelry!$AG$5:$AG$84,Jewelry!$A$5:$A$84,A146)+SUMIFS(Candles!$AG$5:$AG$84,Candles!$A$5:$A$84,A146)+SUMIFS(Clothing!$AC$5:$AC$84,Clothing!$A$5:$A$84,A146)+SUMIFS(Woodworking!$AD$5:$AD$84,Woodworking!$A$5:$A$84,A146)+SUMIFS(Digital!$Y$5:$Y$84,Digital!$A$5:$A$84,A146),1))</f>
        <v>0</v>
      </c>
      <c r="W146" s="41">
        <f>IF(B146="","",IFERROR(INDEX(DiffTimeFactors,MATCH(G146,DiffNames,0)),1))</f>
        <v>0</v>
      </c>
      <c r="X146" s="36">
        <f>IF(B146="","",ROUND(V146*W146,1))</f>
        <v>0</v>
      </c>
      <c r="Y146" s="41">
        <f>IF(B146="","",ROUND(X146/60,3))</f>
        <v>0</v>
      </c>
      <c r="Z146" s="20">
        <f>IF(B146="","",ROUND(U146*W146,2))</f>
        <v>0</v>
      </c>
      <c r="AA146" s="20">
        <f>IF(B146="","",ROUND(SUMIFS(Labor!$Q$5:$Q$304,Labor!$A$5:$A$304,A146)+SUMIFS(Crochet!$AH$5:$AH$84,Crochet!$A$5:$A$84,A146)+SUMIFS(Jewelry!$AJ$5:$AJ$84,Jewelry!$A$5:$A$84,A146)+SUMIFS(Candles!$AJ$5:$AJ$84,Candles!$A$5:$A$84,A146)+SUMIFS(Clothing!$AF$5:$AF$84,Clothing!$A$5:$A$84,A146)+SUMIFS(Woodworking!$AH$5:$AH$84,Woodworking!$A$5:$A$84,A146)+SUMIFS(Digital!$AA$5:$AA$84,Digital!$A$5:$A$84,A146),2))</f>
        <v>0</v>
      </c>
      <c r="AB146" s="20">
        <f>IF(B146="","",ROUND(IF(I146="Budget",PackBudget,IF(I146="Standard",PackStandard,IF(I146="Gift",PackGift,IF(I146="Premium",PackPremium,DefaultPackaging)))),2))</f>
        <v>0</v>
      </c>
      <c r="AC146" s="36">
        <f>IF(B146="","",IF(I146="Budget",PackWeightBudget,IF(I146="Standard",PackWeightStandard,IF(I146="Gift",PackWeightGift,IF(I146="Premium",PackWeightPremium,0)))))</f>
        <v>0</v>
      </c>
      <c r="AD146" s="20">
        <f>IF(B146="","",IFERROR(INDEX(Shipping!$M$5:$M$64,MATCH(J146,Shipping!$L$5:$L$64,0)),DefaultShipping))</f>
        <v>0</v>
      </c>
      <c r="AE146" s="20">
        <f>IF(B146="","",IFERROR(INDEX(Shipping!$F$5:$F$64,MATCH(J146,Shipping!$L$5:$L$64,0)),0))</f>
        <v>0</v>
      </c>
      <c r="AF146" s="36">
        <f>IF(B146="","",IFERROR(INDEX(Shipping!$C$5:$C$64,MATCH(J146,Shipping!$L$5:$L$64,0)),""))</f>
        <v>0</v>
      </c>
      <c r="AG146" s="20">
        <f>IF(B146="","",ROUND(MAX(0,AD146-AE146),2))</f>
        <v>0</v>
      </c>
      <c r="AH146" s="20">
        <f>IF(B146="","",ROUND(T146+Z146+AA146+AB146+AG146,2))</f>
        <v>0</v>
      </c>
      <c r="AI146" s="33">
        <f>IF(B146="","",IFERROR(INDEX(Channels!$S$5:$S$18,MATCH(IF(H146="",DefaultChannel,H146),Channels!$A$5:$A$18,0)),0))</f>
        <v>0</v>
      </c>
      <c r="AJ146" s="42">
        <f>IF(B146="","",IFERROR(INDEX(Channels!$O$5:$O$18,MATCH(IF(H146="",DefaultChannel,H146),Channels!$A$5:$A$18,0)),"No"))</f>
        <v>0</v>
      </c>
      <c r="AK146" s="20">
        <f>IF(B146="","",ROUND(IFERROR(INDEX(Channels!$T$5:$T$18,MATCH(IF(H146="",DefaultChannel,H146),Channels!$A$5:$A$18,0)),0)+IF(AJ146="Yes",AE146*AI146,0),4))</f>
        <v>0</v>
      </c>
      <c r="AL146" s="33">
        <f>IF(B146="","",IF(OverheadMethod="Share of revenue",IF(RevenueTargetMonth&lt;=0,0,OverheadMonthly/RevenueTargetMonth),0))</f>
        <v>0</v>
      </c>
      <c r="AM146" s="20">
        <f>IF(B146="","",IF(OverheadMethod="Per hour worked",ROUND(OverheadPerHour*Y146,2),IF(OR(OverheadMethod="Per unit made",OverheadMethod="Per order"),OverheadPerUnit,0)))</f>
        <v>0</v>
      </c>
      <c r="AN146" s="33">
        <f>IF(B146="","",IF(N146&lt;&gt;"",N146,TargetRetailMargin))</f>
        <v>0</v>
      </c>
      <c r="AO146" s="41">
        <f>IF(B146="","",1-AN146-AI146-AL146)</f>
        <v>0</v>
      </c>
      <c r="AP146" s="20">
        <f>IF(B146="","",IF(AO146&lt;=0,"",(AH146+AM146+AK146)/AO146))</f>
        <v>0</v>
      </c>
      <c r="AQ146" s="20">
        <f>IF(B146="","",IF(AP146="","Check the settings",ROUND(IF(RoundingRule="None",AP146,IF(RoundingRule="Nearest 0.99",MAX(0.99,CEILING(AP146,1)-0.01),IF(RoundingRule="Nearest 0.95",MAX(0.95,CEILING(AP146,1)-0.05),IF(RoundingRule="Nearest 0.50",CEILING(AP146,0.5),IF(RoundingRule="Nearest 1",CEILING(AP146,1),IF(RoundingRule="Nearest 5",CEILING(AP146,5),IF(RoundingRule="Up to whole 1",CEILING(AP146,1),IF(RoundingRule="Up to whole 5",CEILING(AP146,5),ROUND(AP146,2))))))))),2)))</f>
        <v>0</v>
      </c>
      <c r="AR146" s="20">
        <f>IF(B146="","",IF(M146&lt;&gt;"",M146,IF(ISNUMBER(AQ146),AQ146,"")))</f>
        <v>0</v>
      </c>
      <c r="AS146" s="20">
        <f>IF(B146="","",IF(AR146="","",ROUND(AM146+AR146*AL146,2)))</f>
        <v>0</v>
      </c>
      <c r="AT146" s="20">
        <f>IF(B146="","",IF(AR146="","",ROUND(AH146+AS146,2)))</f>
        <v>0</v>
      </c>
      <c r="AU146" s="20">
        <f>IF(B146="","",IF(AR146="","",ROUND(AR146*AI146+AK146,2)))</f>
        <v>0</v>
      </c>
      <c r="AV146" s="20">
        <f>IF(B146="","",IF(AR146="","",ROUND(AR146-AT146-AU146,2)))</f>
        <v>0</v>
      </c>
      <c r="AW146" s="33">
        <f>IF(B146="","",IF(OR(AR146="",AR146=0),"",AV146/AR146))</f>
        <v>0</v>
      </c>
      <c r="AX146" s="33">
        <f>IF(B146="","",IF(OR(AT146="",AT146=0),"",AV146/AT146))</f>
        <v>0</v>
      </c>
      <c r="AY146" s="20">
        <f>IF(B146="","",IF(OR(Y146="",Y146=0,AV146=""),"",ROUND(AV146/Y146,2)))</f>
        <v>0</v>
      </c>
      <c r="AZ146" s="20">
        <f>IF(B146="","",IF(OR(Y146="",Y146=0,AV146=""),"",ROUND((AV146+Z146)/Y146,2)))</f>
        <v>0</v>
      </c>
      <c r="BA146" s="20">
        <f>IF(B146="","",IF(1-AI146-AL146&lt;=0,"",ROUND((AH146+AM146+AK146)/(1-AI146-AL146),2)))</f>
        <v>0</v>
      </c>
      <c r="BB146" s="20">
        <f>IF(B146="","",IF(AT146="","",ROUND(AT146*2,2)))</f>
        <v>0</v>
      </c>
      <c r="BC146" s="20">
        <f>IF(B146="","",IF(AR146="","",ROUND(AR146*(1-WholesaleDiscount),2)))</f>
        <v>0</v>
      </c>
      <c r="BD146" s="20">
        <f>IF(B146="","",IF(BC146="","",ROUND(BC146-AH146-AM146,2)))</f>
        <v>0</v>
      </c>
      <c r="BE146" s="33">
        <f>IF(B146="","",IF(OR(BC146="",BC146=0),"",BD146/BC146))</f>
        <v>0</v>
      </c>
      <c r="BF146" s="20">
        <f>IF(B146="","",IFERROR(ROUND(AVERAGEIFS(Competitors!$F$5:$F$154,Competitors!$A$5:$A$154,A146),2),""))</f>
        <v>0</v>
      </c>
      <c r="BG146" s="33">
        <f>IF(B146="","",IF(OR(BF146="",BF146=0,AR146=""),"",AR146/BF146-1))</f>
        <v>0</v>
      </c>
      <c r="BH146" s="32">
        <f>IF(B146="","",SUMIFS(Sales!$D$5:$D$804,Sales!$C$5:$C$804,A146))</f>
        <v>0</v>
      </c>
      <c r="BI146" s="20">
        <f>IF(B146="","",ROUND(SUMIFS(Sales!$V$5:$V$804,Sales!$C$5:$C$804,A146),2))</f>
        <v>0</v>
      </c>
      <c r="BJ146" s="20">
        <f>IF(B146="","",ROUND(SUMIFS(Sales!$AG$5:$AG$804,Sales!$C$5:$C$804,A146),2))</f>
        <v>0</v>
      </c>
      <c r="BK146" s="33">
        <f>IF(B146="","",IF(OR(BI146="",BI146=0),"",BJ146/BI146))</f>
        <v>0</v>
      </c>
      <c r="BL146" s="17">
        <f>IF(B146="","",IF(SUMPRODUCT(MAX((Sales!$C$5:$C$804=A146)*Sales!$B$5:$B$804))=0,"",SUMPRODUCT(MAX((Sales!$C$5:$C$804=A146)*Sales!$B$5:$B$804))))</f>
        <v>0</v>
      </c>
      <c r="BM146" s="17">
        <f>IF(B146="","",IF(SUMPRODUCT(MAX(('Price History'!$B$5:$B$304=A146)*'Price History'!$A$5:$A$304))=0,IF(P146="","",P146),SUMPRODUCT(MAX(('Price History'!$B$5:$B$304=A146)*'Price History'!$A$5:$A$304))))</f>
        <v>0</v>
      </c>
      <c r="BN146" s="32">
        <f>IF(B146="","",IF(BM146="","",TodayDate-BM146))</f>
        <v>0</v>
      </c>
      <c r="BO146" s="32">
        <f>IF(B146="","",COUNTIFS($AV$5:$AV$304,"&gt;"&amp;AV146)+COUNTIFS($AV$5:AV146,AV146))</f>
        <v>0</v>
      </c>
      <c r="BP146" s="32">
        <f>IF(B146="","",COUNTIFS($AW$5:$AW$304,"&gt;"&amp;AW146)+COUNTIFS($AW$5:AW146,AW146))</f>
        <v>0</v>
      </c>
      <c r="BQ146" s="32">
        <f>IF(B146="","",COUNTIFS($BI$5:$BI$304,"&gt;"&amp;BI146)+COUNTIFS($BI$5:BI146,BI146))</f>
        <v>0</v>
      </c>
      <c r="BR146" s="32">
        <f>IF(B146="","",COUNTIFS($AY$5:$AY$304,"&gt;"&amp;AY146)+COUNTIFS($AY$5:AY146,AY146))</f>
        <v>0</v>
      </c>
      <c r="BS146" s="43">
        <f>IF(B146="","",IF(AH146=0,"Add - no costs entered yet",IF(AR146="","Check - no price yet",IF(AV146&lt;0,"Loss - every sale costs you money",IF(AND(AZ146&lt;&gt;"",AZ146&lt;MinimumWage),"Below - pays under minimum wage",IF(AW146&lt;MarginWarning,"Low margin - re-price it",IF(AND(AF146&lt;&gt;"",K146&lt;&gt;"",K146+AC146&gt;AF146),"Check - too heavy for that postage band",IF(AND(BN146&lt;&gt;"",BN146&gt;PriceReviewDays),"Due - price has not been reviewed",IF(AND(BG146&lt;&gt;"",BG146&gt;0.5),"Check - well above the market","OK")))))))) )</f>
        <v>0</v>
      </c>
    </row>
    <row r="147" spans="1:71">
      <c r="A147" s="38">
        <f>IF(B147="","",ProductPrefix&amp;TEXT(ROW()-4,"0000"))</f>
        <v>0</v>
      </c>
      <c r="S147" s="38">
        <f>IF(B147="","",IF(C147&lt;&gt;"",C147,UPPER(LEFT(IF(D147="","GEN",D147),3))&amp;"-"&amp;TEXT(ROW()-4,"000")))</f>
        <v>0</v>
      </c>
      <c r="T147" s="20">
        <f>IF(B147="","",ROUND(SUMIFS('Material Usage'!$M$5:$M$904,'Material Usage'!$A$5:$A$904,A147)+SUMIFS(Crochet!$AD$5:$AD$84,Crochet!$A$5:$A$84,A147)+SUMIFS(Jewelry!$AF$5:$AF$84,Jewelry!$A$5:$A$84,A147)+SUMIFS(Candles!$AF$5:$AF$84,Candles!$A$5:$A$84,A147)+SUMIFS(Clothing!$AB$5:$AB$84,Clothing!$A$5:$A$84,A147)+SUMIFS(Woodworking!$AC$5:$AC$84,Woodworking!$A$5:$A$84,A147)+SUMIFS(Digital!$X$5:$X$84,Digital!$A$5:$A$84,A147),2))</f>
        <v>0</v>
      </c>
      <c r="U147" s="20">
        <f>IF(B147="","",ROUND(SUMIFS(Labor!$O$5:$O$304,Labor!$A$5:$A$304,A147)+SUMIFS(Crochet!$AG$5:$AG$84,Crochet!$A$5:$A$84,A147)+SUMIFS(Jewelry!$AI$5:$AI$84,Jewelry!$A$5:$A$84,A147)+SUMIFS(Candles!$AI$5:$AI$84,Candles!$A$5:$A$84,A147)+SUMIFS(Clothing!$AE$5:$AE$84,Clothing!$A$5:$A$84,A147)+SUMIFS(Woodworking!$AF$5:$AF$84,Woodworking!$A$5:$A$84,A147)+SUMIFS(Digital!$Z$5:$Z$84,Digital!$A$5:$A$84,A147),2))</f>
        <v>0</v>
      </c>
      <c r="V147" s="36">
        <f>IF(B147="","",ROUND(SUMIFS(Labor!$P$5:$P$304,Labor!$A$5:$A$304,A147)+SUMIFS(Crochet!$AE$5:$AE$84,Crochet!$A$5:$A$84,A147)+SUMIFS(Jewelry!$AG$5:$AG$84,Jewelry!$A$5:$A$84,A147)+SUMIFS(Candles!$AG$5:$AG$84,Candles!$A$5:$A$84,A147)+SUMIFS(Clothing!$AC$5:$AC$84,Clothing!$A$5:$A$84,A147)+SUMIFS(Woodworking!$AD$5:$AD$84,Woodworking!$A$5:$A$84,A147)+SUMIFS(Digital!$Y$5:$Y$84,Digital!$A$5:$A$84,A147),1))</f>
        <v>0</v>
      </c>
      <c r="W147" s="41">
        <f>IF(B147="","",IFERROR(INDEX(DiffTimeFactors,MATCH(G147,DiffNames,0)),1))</f>
        <v>0</v>
      </c>
      <c r="X147" s="36">
        <f>IF(B147="","",ROUND(V147*W147,1))</f>
        <v>0</v>
      </c>
      <c r="Y147" s="41">
        <f>IF(B147="","",ROUND(X147/60,3))</f>
        <v>0</v>
      </c>
      <c r="Z147" s="20">
        <f>IF(B147="","",ROUND(U147*W147,2))</f>
        <v>0</v>
      </c>
      <c r="AA147" s="20">
        <f>IF(B147="","",ROUND(SUMIFS(Labor!$Q$5:$Q$304,Labor!$A$5:$A$304,A147)+SUMIFS(Crochet!$AH$5:$AH$84,Crochet!$A$5:$A$84,A147)+SUMIFS(Jewelry!$AJ$5:$AJ$84,Jewelry!$A$5:$A$84,A147)+SUMIFS(Candles!$AJ$5:$AJ$84,Candles!$A$5:$A$84,A147)+SUMIFS(Clothing!$AF$5:$AF$84,Clothing!$A$5:$A$84,A147)+SUMIFS(Woodworking!$AH$5:$AH$84,Woodworking!$A$5:$A$84,A147)+SUMIFS(Digital!$AA$5:$AA$84,Digital!$A$5:$A$84,A147),2))</f>
        <v>0</v>
      </c>
      <c r="AB147" s="20">
        <f>IF(B147="","",ROUND(IF(I147="Budget",PackBudget,IF(I147="Standard",PackStandard,IF(I147="Gift",PackGift,IF(I147="Premium",PackPremium,DefaultPackaging)))),2))</f>
        <v>0</v>
      </c>
      <c r="AC147" s="36">
        <f>IF(B147="","",IF(I147="Budget",PackWeightBudget,IF(I147="Standard",PackWeightStandard,IF(I147="Gift",PackWeightGift,IF(I147="Premium",PackWeightPremium,0)))))</f>
        <v>0</v>
      </c>
      <c r="AD147" s="20">
        <f>IF(B147="","",IFERROR(INDEX(Shipping!$M$5:$M$64,MATCH(J147,Shipping!$L$5:$L$64,0)),DefaultShipping))</f>
        <v>0</v>
      </c>
      <c r="AE147" s="20">
        <f>IF(B147="","",IFERROR(INDEX(Shipping!$F$5:$F$64,MATCH(J147,Shipping!$L$5:$L$64,0)),0))</f>
        <v>0</v>
      </c>
      <c r="AF147" s="36">
        <f>IF(B147="","",IFERROR(INDEX(Shipping!$C$5:$C$64,MATCH(J147,Shipping!$L$5:$L$64,0)),""))</f>
        <v>0</v>
      </c>
      <c r="AG147" s="20">
        <f>IF(B147="","",ROUND(MAX(0,AD147-AE147),2))</f>
        <v>0</v>
      </c>
      <c r="AH147" s="20">
        <f>IF(B147="","",ROUND(T147+Z147+AA147+AB147+AG147,2))</f>
        <v>0</v>
      </c>
      <c r="AI147" s="33">
        <f>IF(B147="","",IFERROR(INDEX(Channels!$S$5:$S$18,MATCH(IF(H147="",DefaultChannel,H147),Channels!$A$5:$A$18,0)),0))</f>
        <v>0</v>
      </c>
      <c r="AJ147" s="42">
        <f>IF(B147="","",IFERROR(INDEX(Channels!$O$5:$O$18,MATCH(IF(H147="",DefaultChannel,H147),Channels!$A$5:$A$18,0)),"No"))</f>
        <v>0</v>
      </c>
      <c r="AK147" s="20">
        <f>IF(B147="","",ROUND(IFERROR(INDEX(Channels!$T$5:$T$18,MATCH(IF(H147="",DefaultChannel,H147),Channels!$A$5:$A$18,0)),0)+IF(AJ147="Yes",AE147*AI147,0),4))</f>
        <v>0</v>
      </c>
      <c r="AL147" s="33">
        <f>IF(B147="","",IF(OverheadMethod="Share of revenue",IF(RevenueTargetMonth&lt;=0,0,OverheadMonthly/RevenueTargetMonth),0))</f>
        <v>0</v>
      </c>
      <c r="AM147" s="20">
        <f>IF(B147="","",IF(OverheadMethod="Per hour worked",ROUND(OverheadPerHour*Y147,2),IF(OR(OverheadMethod="Per unit made",OverheadMethod="Per order"),OverheadPerUnit,0)))</f>
        <v>0</v>
      </c>
      <c r="AN147" s="33">
        <f>IF(B147="","",IF(N147&lt;&gt;"",N147,TargetRetailMargin))</f>
        <v>0</v>
      </c>
      <c r="AO147" s="41">
        <f>IF(B147="","",1-AN147-AI147-AL147)</f>
        <v>0</v>
      </c>
      <c r="AP147" s="20">
        <f>IF(B147="","",IF(AO147&lt;=0,"",(AH147+AM147+AK147)/AO147))</f>
        <v>0</v>
      </c>
      <c r="AQ147" s="20">
        <f>IF(B147="","",IF(AP147="","Check the settings",ROUND(IF(RoundingRule="None",AP147,IF(RoundingRule="Nearest 0.99",MAX(0.99,CEILING(AP147,1)-0.01),IF(RoundingRule="Nearest 0.95",MAX(0.95,CEILING(AP147,1)-0.05),IF(RoundingRule="Nearest 0.50",CEILING(AP147,0.5),IF(RoundingRule="Nearest 1",CEILING(AP147,1),IF(RoundingRule="Nearest 5",CEILING(AP147,5),IF(RoundingRule="Up to whole 1",CEILING(AP147,1),IF(RoundingRule="Up to whole 5",CEILING(AP147,5),ROUND(AP147,2))))))))),2)))</f>
        <v>0</v>
      </c>
      <c r="AR147" s="20">
        <f>IF(B147="","",IF(M147&lt;&gt;"",M147,IF(ISNUMBER(AQ147),AQ147,"")))</f>
        <v>0</v>
      </c>
      <c r="AS147" s="20">
        <f>IF(B147="","",IF(AR147="","",ROUND(AM147+AR147*AL147,2)))</f>
        <v>0</v>
      </c>
      <c r="AT147" s="20">
        <f>IF(B147="","",IF(AR147="","",ROUND(AH147+AS147,2)))</f>
        <v>0</v>
      </c>
      <c r="AU147" s="20">
        <f>IF(B147="","",IF(AR147="","",ROUND(AR147*AI147+AK147,2)))</f>
        <v>0</v>
      </c>
      <c r="AV147" s="20">
        <f>IF(B147="","",IF(AR147="","",ROUND(AR147-AT147-AU147,2)))</f>
        <v>0</v>
      </c>
      <c r="AW147" s="33">
        <f>IF(B147="","",IF(OR(AR147="",AR147=0),"",AV147/AR147))</f>
        <v>0</v>
      </c>
      <c r="AX147" s="33">
        <f>IF(B147="","",IF(OR(AT147="",AT147=0),"",AV147/AT147))</f>
        <v>0</v>
      </c>
      <c r="AY147" s="20">
        <f>IF(B147="","",IF(OR(Y147="",Y147=0,AV147=""),"",ROUND(AV147/Y147,2)))</f>
        <v>0</v>
      </c>
      <c r="AZ147" s="20">
        <f>IF(B147="","",IF(OR(Y147="",Y147=0,AV147=""),"",ROUND((AV147+Z147)/Y147,2)))</f>
        <v>0</v>
      </c>
      <c r="BA147" s="20">
        <f>IF(B147="","",IF(1-AI147-AL147&lt;=0,"",ROUND((AH147+AM147+AK147)/(1-AI147-AL147),2)))</f>
        <v>0</v>
      </c>
      <c r="BB147" s="20">
        <f>IF(B147="","",IF(AT147="","",ROUND(AT147*2,2)))</f>
        <v>0</v>
      </c>
      <c r="BC147" s="20">
        <f>IF(B147="","",IF(AR147="","",ROUND(AR147*(1-WholesaleDiscount),2)))</f>
        <v>0</v>
      </c>
      <c r="BD147" s="20">
        <f>IF(B147="","",IF(BC147="","",ROUND(BC147-AH147-AM147,2)))</f>
        <v>0</v>
      </c>
      <c r="BE147" s="33">
        <f>IF(B147="","",IF(OR(BC147="",BC147=0),"",BD147/BC147))</f>
        <v>0</v>
      </c>
      <c r="BF147" s="20">
        <f>IF(B147="","",IFERROR(ROUND(AVERAGEIFS(Competitors!$F$5:$F$154,Competitors!$A$5:$A$154,A147),2),""))</f>
        <v>0</v>
      </c>
      <c r="BG147" s="33">
        <f>IF(B147="","",IF(OR(BF147="",BF147=0,AR147=""),"",AR147/BF147-1))</f>
        <v>0</v>
      </c>
      <c r="BH147" s="32">
        <f>IF(B147="","",SUMIFS(Sales!$D$5:$D$804,Sales!$C$5:$C$804,A147))</f>
        <v>0</v>
      </c>
      <c r="BI147" s="20">
        <f>IF(B147="","",ROUND(SUMIFS(Sales!$V$5:$V$804,Sales!$C$5:$C$804,A147),2))</f>
        <v>0</v>
      </c>
      <c r="BJ147" s="20">
        <f>IF(B147="","",ROUND(SUMIFS(Sales!$AG$5:$AG$804,Sales!$C$5:$C$804,A147),2))</f>
        <v>0</v>
      </c>
      <c r="BK147" s="33">
        <f>IF(B147="","",IF(OR(BI147="",BI147=0),"",BJ147/BI147))</f>
        <v>0</v>
      </c>
      <c r="BL147" s="17">
        <f>IF(B147="","",IF(SUMPRODUCT(MAX((Sales!$C$5:$C$804=A147)*Sales!$B$5:$B$804))=0,"",SUMPRODUCT(MAX((Sales!$C$5:$C$804=A147)*Sales!$B$5:$B$804))))</f>
        <v>0</v>
      </c>
      <c r="BM147" s="17">
        <f>IF(B147="","",IF(SUMPRODUCT(MAX(('Price History'!$B$5:$B$304=A147)*'Price History'!$A$5:$A$304))=0,IF(P147="","",P147),SUMPRODUCT(MAX(('Price History'!$B$5:$B$304=A147)*'Price History'!$A$5:$A$304))))</f>
        <v>0</v>
      </c>
      <c r="BN147" s="32">
        <f>IF(B147="","",IF(BM147="","",TodayDate-BM147))</f>
        <v>0</v>
      </c>
      <c r="BO147" s="32">
        <f>IF(B147="","",COUNTIFS($AV$5:$AV$304,"&gt;"&amp;AV147)+COUNTIFS($AV$5:AV147,AV147))</f>
        <v>0</v>
      </c>
      <c r="BP147" s="32">
        <f>IF(B147="","",COUNTIFS($AW$5:$AW$304,"&gt;"&amp;AW147)+COUNTIFS($AW$5:AW147,AW147))</f>
        <v>0</v>
      </c>
      <c r="BQ147" s="32">
        <f>IF(B147="","",COUNTIFS($BI$5:$BI$304,"&gt;"&amp;BI147)+COUNTIFS($BI$5:BI147,BI147))</f>
        <v>0</v>
      </c>
      <c r="BR147" s="32">
        <f>IF(B147="","",COUNTIFS($AY$5:$AY$304,"&gt;"&amp;AY147)+COUNTIFS($AY$5:AY147,AY147))</f>
        <v>0</v>
      </c>
      <c r="BS147" s="43">
        <f>IF(B147="","",IF(AH147=0,"Add - no costs entered yet",IF(AR147="","Check - no price yet",IF(AV147&lt;0,"Loss - every sale costs you money",IF(AND(AZ147&lt;&gt;"",AZ147&lt;MinimumWage),"Below - pays under minimum wage",IF(AW147&lt;MarginWarning,"Low margin - re-price it",IF(AND(AF147&lt;&gt;"",K147&lt;&gt;"",K147+AC147&gt;AF147),"Check - too heavy for that postage band",IF(AND(BN147&lt;&gt;"",BN147&gt;PriceReviewDays),"Due - price has not been reviewed",IF(AND(BG147&lt;&gt;"",BG147&gt;0.5),"Check - well above the market","OK")))))))) )</f>
        <v>0</v>
      </c>
    </row>
    <row r="148" spans="1:71">
      <c r="A148" s="38">
        <f>IF(B148="","",ProductPrefix&amp;TEXT(ROW()-4,"0000"))</f>
        <v>0</v>
      </c>
      <c r="S148" s="38">
        <f>IF(B148="","",IF(C148&lt;&gt;"",C148,UPPER(LEFT(IF(D148="","GEN",D148),3))&amp;"-"&amp;TEXT(ROW()-4,"000")))</f>
        <v>0</v>
      </c>
      <c r="T148" s="20">
        <f>IF(B148="","",ROUND(SUMIFS('Material Usage'!$M$5:$M$904,'Material Usage'!$A$5:$A$904,A148)+SUMIFS(Crochet!$AD$5:$AD$84,Crochet!$A$5:$A$84,A148)+SUMIFS(Jewelry!$AF$5:$AF$84,Jewelry!$A$5:$A$84,A148)+SUMIFS(Candles!$AF$5:$AF$84,Candles!$A$5:$A$84,A148)+SUMIFS(Clothing!$AB$5:$AB$84,Clothing!$A$5:$A$84,A148)+SUMIFS(Woodworking!$AC$5:$AC$84,Woodworking!$A$5:$A$84,A148)+SUMIFS(Digital!$X$5:$X$84,Digital!$A$5:$A$84,A148),2))</f>
        <v>0</v>
      </c>
      <c r="U148" s="20">
        <f>IF(B148="","",ROUND(SUMIFS(Labor!$O$5:$O$304,Labor!$A$5:$A$304,A148)+SUMIFS(Crochet!$AG$5:$AG$84,Crochet!$A$5:$A$84,A148)+SUMIFS(Jewelry!$AI$5:$AI$84,Jewelry!$A$5:$A$84,A148)+SUMIFS(Candles!$AI$5:$AI$84,Candles!$A$5:$A$84,A148)+SUMIFS(Clothing!$AE$5:$AE$84,Clothing!$A$5:$A$84,A148)+SUMIFS(Woodworking!$AF$5:$AF$84,Woodworking!$A$5:$A$84,A148)+SUMIFS(Digital!$Z$5:$Z$84,Digital!$A$5:$A$84,A148),2))</f>
        <v>0</v>
      </c>
      <c r="V148" s="36">
        <f>IF(B148="","",ROUND(SUMIFS(Labor!$P$5:$P$304,Labor!$A$5:$A$304,A148)+SUMIFS(Crochet!$AE$5:$AE$84,Crochet!$A$5:$A$84,A148)+SUMIFS(Jewelry!$AG$5:$AG$84,Jewelry!$A$5:$A$84,A148)+SUMIFS(Candles!$AG$5:$AG$84,Candles!$A$5:$A$84,A148)+SUMIFS(Clothing!$AC$5:$AC$84,Clothing!$A$5:$A$84,A148)+SUMIFS(Woodworking!$AD$5:$AD$84,Woodworking!$A$5:$A$84,A148)+SUMIFS(Digital!$Y$5:$Y$84,Digital!$A$5:$A$84,A148),1))</f>
        <v>0</v>
      </c>
      <c r="W148" s="41">
        <f>IF(B148="","",IFERROR(INDEX(DiffTimeFactors,MATCH(G148,DiffNames,0)),1))</f>
        <v>0</v>
      </c>
      <c r="X148" s="36">
        <f>IF(B148="","",ROUND(V148*W148,1))</f>
        <v>0</v>
      </c>
      <c r="Y148" s="41">
        <f>IF(B148="","",ROUND(X148/60,3))</f>
        <v>0</v>
      </c>
      <c r="Z148" s="20">
        <f>IF(B148="","",ROUND(U148*W148,2))</f>
        <v>0</v>
      </c>
      <c r="AA148" s="20">
        <f>IF(B148="","",ROUND(SUMIFS(Labor!$Q$5:$Q$304,Labor!$A$5:$A$304,A148)+SUMIFS(Crochet!$AH$5:$AH$84,Crochet!$A$5:$A$84,A148)+SUMIFS(Jewelry!$AJ$5:$AJ$84,Jewelry!$A$5:$A$84,A148)+SUMIFS(Candles!$AJ$5:$AJ$84,Candles!$A$5:$A$84,A148)+SUMIFS(Clothing!$AF$5:$AF$84,Clothing!$A$5:$A$84,A148)+SUMIFS(Woodworking!$AH$5:$AH$84,Woodworking!$A$5:$A$84,A148)+SUMIFS(Digital!$AA$5:$AA$84,Digital!$A$5:$A$84,A148),2))</f>
        <v>0</v>
      </c>
      <c r="AB148" s="20">
        <f>IF(B148="","",ROUND(IF(I148="Budget",PackBudget,IF(I148="Standard",PackStandard,IF(I148="Gift",PackGift,IF(I148="Premium",PackPremium,DefaultPackaging)))),2))</f>
        <v>0</v>
      </c>
      <c r="AC148" s="36">
        <f>IF(B148="","",IF(I148="Budget",PackWeightBudget,IF(I148="Standard",PackWeightStandard,IF(I148="Gift",PackWeightGift,IF(I148="Premium",PackWeightPremium,0)))))</f>
        <v>0</v>
      </c>
      <c r="AD148" s="20">
        <f>IF(B148="","",IFERROR(INDEX(Shipping!$M$5:$M$64,MATCH(J148,Shipping!$L$5:$L$64,0)),DefaultShipping))</f>
        <v>0</v>
      </c>
      <c r="AE148" s="20">
        <f>IF(B148="","",IFERROR(INDEX(Shipping!$F$5:$F$64,MATCH(J148,Shipping!$L$5:$L$64,0)),0))</f>
        <v>0</v>
      </c>
      <c r="AF148" s="36">
        <f>IF(B148="","",IFERROR(INDEX(Shipping!$C$5:$C$64,MATCH(J148,Shipping!$L$5:$L$64,0)),""))</f>
        <v>0</v>
      </c>
      <c r="AG148" s="20">
        <f>IF(B148="","",ROUND(MAX(0,AD148-AE148),2))</f>
        <v>0</v>
      </c>
      <c r="AH148" s="20">
        <f>IF(B148="","",ROUND(T148+Z148+AA148+AB148+AG148,2))</f>
        <v>0</v>
      </c>
      <c r="AI148" s="33">
        <f>IF(B148="","",IFERROR(INDEX(Channels!$S$5:$S$18,MATCH(IF(H148="",DefaultChannel,H148),Channels!$A$5:$A$18,0)),0))</f>
        <v>0</v>
      </c>
      <c r="AJ148" s="42">
        <f>IF(B148="","",IFERROR(INDEX(Channels!$O$5:$O$18,MATCH(IF(H148="",DefaultChannel,H148),Channels!$A$5:$A$18,0)),"No"))</f>
        <v>0</v>
      </c>
      <c r="AK148" s="20">
        <f>IF(B148="","",ROUND(IFERROR(INDEX(Channels!$T$5:$T$18,MATCH(IF(H148="",DefaultChannel,H148),Channels!$A$5:$A$18,0)),0)+IF(AJ148="Yes",AE148*AI148,0),4))</f>
        <v>0</v>
      </c>
      <c r="AL148" s="33">
        <f>IF(B148="","",IF(OverheadMethod="Share of revenue",IF(RevenueTargetMonth&lt;=0,0,OverheadMonthly/RevenueTargetMonth),0))</f>
        <v>0</v>
      </c>
      <c r="AM148" s="20">
        <f>IF(B148="","",IF(OverheadMethod="Per hour worked",ROUND(OverheadPerHour*Y148,2),IF(OR(OverheadMethod="Per unit made",OverheadMethod="Per order"),OverheadPerUnit,0)))</f>
        <v>0</v>
      </c>
      <c r="AN148" s="33">
        <f>IF(B148="","",IF(N148&lt;&gt;"",N148,TargetRetailMargin))</f>
        <v>0</v>
      </c>
      <c r="AO148" s="41">
        <f>IF(B148="","",1-AN148-AI148-AL148)</f>
        <v>0</v>
      </c>
      <c r="AP148" s="20">
        <f>IF(B148="","",IF(AO148&lt;=0,"",(AH148+AM148+AK148)/AO148))</f>
        <v>0</v>
      </c>
      <c r="AQ148" s="20">
        <f>IF(B148="","",IF(AP148="","Check the settings",ROUND(IF(RoundingRule="None",AP148,IF(RoundingRule="Nearest 0.99",MAX(0.99,CEILING(AP148,1)-0.01),IF(RoundingRule="Nearest 0.95",MAX(0.95,CEILING(AP148,1)-0.05),IF(RoundingRule="Nearest 0.50",CEILING(AP148,0.5),IF(RoundingRule="Nearest 1",CEILING(AP148,1),IF(RoundingRule="Nearest 5",CEILING(AP148,5),IF(RoundingRule="Up to whole 1",CEILING(AP148,1),IF(RoundingRule="Up to whole 5",CEILING(AP148,5),ROUND(AP148,2))))))))),2)))</f>
        <v>0</v>
      </c>
      <c r="AR148" s="20">
        <f>IF(B148="","",IF(M148&lt;&gt;"",M148,IF(ISNUMBER(AQ148),AQ148,"")))</f>
        <v>0</v>
      </c>
      <c r="AS148" s="20">
        <f>IF(B148="","",IF(AR148="","",ROUND(AM148+AR148*AL148,2)))</f>
        <v>0</v>
      </c>
      <c r="AT148" s="20">
        <f>IF(B148="","",IF(AR148="","",ROUND(AH148+AS148,2)))</f>
        <v>0</v>
      </c>
      <c r="AU148" s="20">
        <f>IF(B148="","",IF(AR148="","",ROUND(AR148*AI148+AK148,2)))</f>
        <v>0</v>
      </c>
      <c r="AV148" s="20">
        <f>IF(B148="","",IF(AR148="","",ROUND(AR148-AT148-AU148,2)))</f>
        <v>0</v>
      </c>
      <c r="AW148" s="33">
        <f>IF(B148="","",IF(OR(AR148="",AR148=0),"",AV148/AR148))</f>
        <v>0</v>
      </c>
      <c r="AX148" s="33">
        <f>IF(B148="","",IF(OR(AT148="",AT148=0),"",AV148/AT148))</f>
        <v>0</v>
      </c>
      <c r="AY148" s="20">
        <f>IF(B148="","",IF(OR(Y148="",Y148=0,AV148=""),"",ROUND(AV148/Y148,2)))</f>
        <v>0</v>
      </c>
      <c r="AZ148" s="20">
        <f>IF(B148="","",IF(OR(Y148="",Y148=0,AV148=""),"",ROUND((AV148+Z148)/Y148,2)))</f>
        <v>0</v>
      </c>
      <c r="BA148" s="20">
        <f>IF(B148="","",IF(1-AI148-AL148&lt;=0,"",ROUND((AH148+AM148+AK148)/(1-AI148-AL148),2)))</f>
        <v>0</v>
      </c>
      <c r="BB148" s="20">
        <f>IF(B148="","",IF(AT148="","",ROUND(AT148*2,2)))</f>
        <v>0</v>
      </c>
      <c r="BC148" s="20">
        <f>IF(B148="","",IF(AR148="","",ROUND(AR148*(1-WholesaleDiscount),2)))</f>
        <v>0</v>
      </c>
      <c r="BD148" s="20">
        <f>IF(B148="","",IF(BC148="","",ROUND(BC148-AH148-AM148,2)))</f>
        <v>0</v>
      </c>
      <c r="BE148" s="33">
        <f>IF(B148="","",IF(OR(BC148="",BC148=0),"",BD148/BC148))</f>
        <v>0</v>
      </c>
      <c r="BF148" s="20">
        <f>IF(B148="","",IFERROR(ROUND(AVERAGEIFS(Competitors!$F$5:$F$154,Competitors!$A$5:$A$154,A148),2),""))</f>
        <v>0</v>
      </c>
      <c r="BG148" s="33">
        <f>IF(B148="","",IF(OR(BF148="",BF148=0,AR148=""),"",AR148/BF148-1))</f>
        <v>0</v>
      </c>
      <c r="BH148" s="32">
        <f>IF(B148="","",SUMIFS(Sales!$D$5:$D$804,Sales!$C$5:$C$804,A148))</f>
        <v>0</v>
      </c>
      <c r="BI148" s="20">
        <f>IF(B148="","",ROUND(SUMIFS(Sales!$V$5:$V$804,Sales!$C$5:$C$804,A148),2))</f>
        <v>0</v>
      </c>
      <c r="BJ148" s="20">
        <f>IF(B148="","",ROUND(SUMIFS(Sales!$AG$5:$AG$804,Sales!$C$5:$C$804,A148),2))</f>
        <v>0</v>
      </c>
      <c r="BK148" s="33">
        <f>IF(B148="","",IF(OR(BI148="",BI148=0),"",BJ148/BI148))</f>
        <v>0</v>
      </c>
      <c r="BL148" s="17">
        <f>IF(B148="","",IF(SUMPRODUCT(MAX((Sales!$C$5:$C$804=A148)*Sales!$B$5:$B$804))=0,"",SUMPRODUCT(MAX((Sales!$C$5:$C$804=A148)*Sales!$B$5:$B$804))))</f>
        <v>0</v>
      </c>
      <c r="BM148" s="17">
        <f>IF(B148="","",IF(SUMPRODUCT(MAX(('Price History'!$B$5:$B$304=A148)*'Price History'!$A$5:$A$304))=0,IF(P148="","",P148),SUMPRODUCT(MAX(('Price History'!$B$5:$B$304=A148)*'Price History'!$A$5:$A$304))))</f>
        <v>0</v>
      </c>
      <c r="BN148" s="32">
        <f>IF(B148="","",IF(BM148="","",TodayDate-BM148))</f>
        <v>0</v>
      </c>
      <c r="BO148" s="32">
        <f>IF(B148="","",COUNTIFS($AV$5:$AV$304,"&gt;"&amp;AV148)+COUNTIFS($AV$5:AV148,AV148))</f>
        <v>0</v>
      </c>
      <c r="BP148" s="32">
        <f>IF(B148="","",COUNTIFS($AW$5:$AW$304,"&gt;"&amp;AW148)+COUNTIFS($AW$5:AW148,AW148))</f>
        <v>0</v>
      </c>
      <c r="BQ148" s="32">
        <f>IF(B148="","",COUNTIFS($BI$5:$BI$304,"&gt;"&amp;BI148)+COUNTIFS($BI$5:BI148,BI148))</f>
        <v>0</v>
      </c>
      <c r="BR148" s="32">
        <f>IF(B148="","",COUNTIFS($AY$5:$AY$304,"&gt;"&amp;AY148)+COUNTIFS($AY$5:AY148,AY148))</f>
        <v>0</v>
      </c>
      <c r="BS148" s="43">
        <f>IF(B148="","",IF(AH148=0,"Add - no costs entered yet",IF(AR148="","Check - no price yet",IF(AV148&lt;0,"Loss - every sale costs you money",IF(AND(AZ148&lt;&gt;"",AZ148&lt;MinimumWage),"Below - pays under minimum wage",IF(AW148&lt;MarginWarning,"Low margin - re-price it",IF(AND(AF148&lt;&gt;"",K148&lt;&gt;"",K148+AC148&gt;AF148),"Check - too heavy for that postage band",IF(AND(BN148&lt;&gt;"",BN148&gt;PriceReviewDays),"Due - price has not been reviewed",IF(AND(BG148&lt;&gt;"",BG148&gt;0.5),"Check - well above the market","OK")))))))) )</f>
        <v>0</v>
      </c>
    </row>
    <row r="149" spans="1:71">
      <c r="A149" s="38">
        <f>IF(B149="","",ProductPrefix&amp;TEXT(ROW()-4,"0000"))</f>
        <v>0</v>
      </c>
      <c r="S149" s="38">
        <f>IF(B149="","",IF(C149&lt;&gt;"",C149,UPPER(LEFT(IF(D149="","GEN",D149),3))&amp;"-"&amp;TEXT(ROW()-4,"000")))</f>
        <v>0</v>
      </c>
      <c r="T149" s="20">
        <f>IF(B149="","",ROUND(SUMIFS('Material Usage'!$M$5:$M$904,'Material Usage'!$A$5:$A$904,A149)+SUMIFS(Crochet!$AD$5:$AD$84,Crochet!$A$5:$A$84,A149)+SUMIFS(Jewelry!$AF$5:$AF$84,Jewelry!$A$5:$A$84,A149)+SUMIFS(Candles!$AF$5:$AF$84,Candles!$A$5:$A$84,A149)+SUMIFS(Clothing!$AB$5:$AB$84,Clothing!$A$5:$A$84,A149)+SUMIFS(Woodworking!$AC$5:$AC$84,Woodworking!$A$5:$A$84,A149)+SUMIFS(Digital!$X$5:$X$84,Digital!$A$5:$A$84,A149),2))</f>
        <v>0</v>
      </c>
      <c r="U149" s="20">
        <f>IF(B149="","",ROUND(SUMIFS(Labor!$O$5:$O$304,Labor!$A$5:$A$304,A149)+SUMIFS(Crochet!$AG$5:$AG$84,Crochet!$A$5:$A$84,A149)+SUMIFS(Jewelry!$AI$5:$AI$84,Jewelry!$A$5:$A$84,A149)+SUMIFS(Candles!$AI$5:$AI$84,Candles!$A$5:$A$84,A149)+SUMIFS(Clothing!$AE$5:$AE$84,Clothing!$A$5:$A$84,A149)+SUMIFS(Woodworking!$AF$5:$AF$84,Woodworking!$A$5:$A$84,A149)+SUMIFS(Digital!$Z$5:$Z$84,Digital!$A$5:$A$84,A149),2))</f>
        <v>0</v>
      </c>
      <c r="V149" s="36">
        <f>IF(B149="","",ROUND(SUMIFS(Labor!$P$5:$P$304,Labor!$A$5:$A$304,A149)+SUMIFS(Crochet!$AE$5:$AE$84,Crochet!$A$5:$A$84,A149)+SUMIFS(Jewelry!$AG$5:$AG$84,Jewelry!$A$5:$A$84,A149)+SUMIFS(Candles!$AG$5:$AG$84,Candles!$A$5:$A$84,A149)+SUMIFS(Clothing!$AC$5:$AC$84,Clothing!$A$5:$A$84,A149)+SUMIFS(Woodworking!$AD$5:$AD$84,Woodworking!$A$5:$A$84,A149)+SUMIFS(Digital!$Y$5:$Y$84,Digital!$A$5:$A$84,A149),1))</f>
        <v>0</v>
      </c>
      <c r="W149" s="41">
        <f>IF(B149="","",IFERROR(INDEX(DiffTimeFactors,MATCH(G149,DiffNames,0)),1))</f>
        <v>0</v>
      </c>
      <c r="X149" s="36">
        <f>IF(B149="","",ROUND(V149*W149,1))</f>
        <v>0</v>
      </c>
      <c r="Y149" s="41">
        <f>IF(B149="","",ROUND(X149/60,3))</f>
        <v>0</v>
      </c>
      <c r="Z149" s="20">
        <f>IF(B149="","",ROUND(U149*W149,2))</f>
        <v>0</v>
      </c>
      <c r="AA149" s="20">
        <f>IF(B149="","",ROUND(SUMIFS(Labor!$Q$5:$Q$304,Labor!$A$5:$A$304,A149)+SUMIFS(Crochet!$AH$5:$AH$84,Crochet!$A$5:$A$84,A149)+SUMIFS(Jewelry!$AJ$5:$AJ$84,Jewelry!$A$5:$A$84,A149)+SUMIFS(Candles!$AJ$5:$AJ$84,Candles!$A$5:$A$84,A149)+SUMIFS(Clothing!$AF$5:$AF$84,Clothing!$A$5:$A$84,A149)+SUMIFS(Woodworking!$AH$5:$AH$84,Woodworking!$A$5:$A$84,A149)+SUMIFS(Digital!$AA$5:$AA$84,Digital!$A$5:$A$84,A149),2))</f>
        <v>0</v>
      </c>
      <c r="AB149" s="20">
        <f>IF(B149="","",ROUND(IF(I149="Budget",PackBudget,IF(I149="Standard",PackStandard,IF(I149="Gift",PackGift,IF(I149="Premium",PackPremium,DefaultPackaging)))),2))</f>
        <v>0</v>
      </c>
      <c r="AC149" s="36">
        <f>IF(B149="","",IF(I149="Budget",PackWeightBudget,IF(I149="Standard",PackWeightStandard,IF(I149="Gift",PackWeightGift,IF(I149="Premium",PackWeightPremium,0)))))</f>
        <v>0</v>
      </c>
      <c r="AD149" s="20">
        <f>IF(B149="","",IFERROR(INDEX(Shipping!$M$5:$M$64,MATCH(J149,Shipping!$L$5:$L$64,0)),DefaultShipping))</f>
        <v>0</v>
      </c>
      <c r="AE149" s="20">
        <f>IF(B149="","",IFERROR(INDEX(Shipping!$F$5:$F$64,MATCH(J149,Shipping!$L$5:$L$64,0)),0))</f>
        <v>0</v>
      </c>
      <c r="AF149" s="36">
        <f>IF(B149="","",IFERROR(INDEX(Shipping!$C$5:$C$64,MATCH(J149,Shipping!$L$5:$L$64,0)),""))</f>
        <v>0</v>
      </c>
      <c r="AG149" s="20">
        <f>IF(B149="","",ROUND(MAX(0,AD149-AE149),2))</f>
        <v>0</v>
      </c>
      <c r="AH149" s="20">
        <f>IF(B149="","",ROUND(T149+Z149+AA149+AB149+AG149,2))</f>
        <v>0</v>
      </c>
      <c r="AI149" s="33">
        <f>IF(B149="","",IFERROR(INDEX(Channels!$S$5:$S$18,MATCH(IF(H149="",DefaultChannel,H149),Channels!$A$5:$A$18,0)),0))</f>
        <v>0</v>
      </c>
      <c r="AJ149" s="42">
        <f>IF(B149="","",IFERROR(INDEX(Channels!$O$5:$O$18,MATCH(IF(H149="",DefaultChannel,H149),Channels!$A$5:$A$18,0)),"No"))</f>
        <v>0</v>
      </c>
      <c r="AK149" s="20">
        <f>IF(B149="","",ROUND(IFERROR(INDEX(Channels!$T$5:$T$18,MATCH(IF(H149="",DefaultChannel,H149),Channels!$A$5:$A$18,0)),0)+IF(AJ149="Yes",AE149*AI149,0),4))</f>
        <v>0</v>
      </c>
      <c r="AL149" s="33">
        <f>IF(B149="","",IF(OverheadMethod="Share of revenue",IF(RevenueTargetMonth&lt;=0,0,OverheadMonthly/RevenueTargetMonth),0))</f>
        <v>0</v>
      </c>
      <c r="AM149" s="20">
        <f>IF(B149="","",IF(OverheadMethod="Per hour worked",ROUND(OverheadPerHour*Y149,2),IF(OR(OverheadMethod="Per unit made",OverheadMethod="Per order"),OverheadPerUnit,0)))</f>
        <v>0</v>
      </c>
      <c r="AN149" s="33">
        <f>IF(B149="","",IF(N149&lt;&gt;"",N149,TargetRetailMargin))</f>
        <v>0</v>
      </c>
      <c r="AO149" s="41">
        <f>IF(B149="","",1-AN149-AI149-AL149)</f>
        <v>0</v>
      </c>
      <c r="AP149" s="20">
        <f>IF(B149="","",IF(AO149&lt;=0,"",(AH149+AM149+AK149)/AO149))</f>
        <v>0</v>
      </c>
      <c r="AQ149" s="20">
        <f>IF(B149="","",IF(AP149="","Check the settings",ROUND(IF(RoundingRule="None",AP149,IF(RoundingRule="Nearest 0.99",MAX(0.99,CEILING(AP149,1)-0.01),IF(RoundingRule="Nearest 0.95",MAX(0.95,CEILING(AP149,1)-0.05),IF(RoundingRule="Nearest 0.50",CEILING(AP149,0.5),IF(RoundingRule="Nearest 1",CEILING(AP149,1),IF(RoundingRule="Nearest 5",CEILING(AP149,5),IF(RoundingRule="Up to whole 1",CEILING(AP149,1),IF(RoundingRule="Up to whole 5",CEILING(AP149,5),ROUND(AP149,2))))))))),2)))</f>
        <v>0</v>
      </c>
      <c r="AR149" s="20">
        <f>IF(B149="","",IF(M149&lt;&gt;"",M149,IF(ISNUMBER(AQ149),AQ149,"")))</f>
        <v>0</v>
      </c>
      <c r="AS149" s="20">
        <f>IF(B149="","",IF(AR149="","",ROUND(AM149+AR149*AL149,2)))</f>
        <v>0</v>
      </c>
      <c r="AT149" s="20">
        <f>IF(B149="","",IF(AR149="","",ROUND(AH149+AS149,2)))</f>
        <v>0</v>
      </c>
      <c r="AU149" s="20">
        <f>IF(B149="","",IF(AR149="","",ROUND(AR149*AI149+AK149,2)))</f>
        <v>0</v>
      </c>
      <c r="AV149" s="20">
        <f>IF(B149="","",IF(AR149="","",ROUND(AR149-AT149-AU149,2)))</f>
        <v>0</v>
      </c>
      <c r="AW149" s="33">
        <f>IF(B149="","",IF(OR(AR149="",AR149=0),"",AV149/AR149))</f>
        <v>0</v>
      </c>
      <c r="AX149" s="33">
        <f>IF(B149="","",IF(OR(AT149="",AT149=0),"",AV149/AT149))</f>
        <v>0</v>
      </c>
      <c r="AY149" s="20">
        <f>IF(B149="","",IF(OR(Y149="",Y149=0,AV149=""),"",ROUND(AV149/Y149,2)))</f>
        <v>0</v>
      </c>
      <c r="AZ149" s="20">
        <f>IF(B149="","",IF(OR(Y149="",Y149=0,AV149=""),"",ROUND((AV149+Z149)/Y149,2)))</f>
        <v>0</v>
      </c>
      <c r="BA149" s="20">
        <f>IF(B149="","",IF(1-AI149-AL149&lt;=0,"",ROUND((AH149+AM149+AK149)/(1-AI149-AL149),2)))</f>
        <v>0</v>
      </c>
      <c r="BB149" s="20">
        <f>IF(B149="","",IF(AT149="","",ROUND(AT149*2,2)))</f>
        <v>0</v>
      </c>
      <c r="BC149" s="20">
        <f>IF(B149="","",IF(AR149="","",ROUND(AR149*(1-WholesaleDiscount),2)))</f>
        <v>0</v>
      </c>
      <c r="BD149" s="20">
        <f>IF(B149="","",IF(BC149="","",ROUND(BC149-AH149-AM149,2)))</f>
        <v>0</v>
      </c>
      <c r="BE149" s="33">
        <f>IF(B149="","",IF(OR(BC149="",BC149=0),"",BD149/BC149))</f>
        <v>0</v>
      </c>
      <c r="BF149" s="20">
        <f>IF(B149="","",IFERROR(ROUND(AVERAGEIFS(Competitors!$F$5:$F$154,Competitors!$A$5:$A$154,A149),2),""))</f>
        <v>0</v>
      </c>
      <c r="BG149" s="33">
        <f>IF(B149="","",IF(OR(BF149="",BF149=0,AR149=""),"",AR149/BF149-1))</f>
        <v>0</v>
      </c>
      <c r="BH149" s="32">
        <f>IF(B149="","",SUMIFS(Sales!$D$5:$D$804,Sales!$C$5:$C$804,A149))</f>
        <v>0</v>
      </c>
      <c r="BI149" s="20">
        <f>IF(B149="","",ROUND(SUMIFS(Sales!$V$5:$V$804,Sales!$C$5:$C$804,A149),2))</f>
        <v>0</v>
      </c>
      <c r="BJ149" s="20">
        <f>IF(B149="","",ROUND(SUMIFS(Sales!$AG$5:$AG$804,Sales!$C$5:$C$804,A149),2))</f>
        <v>0</v>
      </c>
      <c r="BK149" s="33">
        <f>IF(B149="","",IF(OR(BI149="",BI149=0),"",BJ149/BI149))</f>
        <v>0</v>
      </c>
      <c r="BL149" s="17">
        <f>IF(B149="","",IF(SUMPRODUCT(MAX((Sales!$C$5:$C$804=A149)*Sales!$B$5:$B$804))=0,"",SUMPRODUCT(MAX((Sales!$C$5:$C$804=A149)*Sales!$B$5:$B$804))))</f>
        <v>0</v>
      </c>
      <c r="BM149" s="17">
        <f>IF(B149="","",IF(SUMPRODUCT(MAX(('Price History'!$B$5:$B$304=A149)*'Price History'!$A$5:$A$304))=0,IF(P149="","",P149),SUMPRODUCT(MAX(('Price History'!$B$5:$B$304=A149)*'Price History'!$A$5:$A$304))))</f>
        <v>0</v>
      </c>
      <c r="BN149" s="32">
        <f>IF(B149="","",IF(BM149="","",TodayDate-BM149))</f>
        <v>0</v>
      </c>
      <c r="BO149" s="32">
        <f>IF(B149="","",COUNTIFS($AV$5:$AV$304,"&gt;"&amp;AV149)+COUNTIFS($AV$5:AV149,AV149))</f>
        <v>0</v>
      </c>
      <c r="BP149" s="32">
        <f>IF(B149="","",COUNTIFS($AW$5:$AW$304,"&gt;"&amp;AW149)+COUNTIFS($AW$5:AW149,AW149))</f>
        <v>0</v>
      </c>
      <c r="BQ149" s="32">
        <f>IF(B149="","",COUNTIFS($BI$5:$BI$304,"&gt;"&amp;BI149)+COUNTIFS($BI$5:BI149,BI149))</f>
        <v>0</v>
      </c>
      <c r="BR149" s="32">
        <f>IF(B149="","",COUNTIFS($AY$5:$AY$304,"&gt;"&amp;AY149)+COUNTIFS($AY$5:AY149,AY149))</f>
        <v>0</v>
      </c>
      <c r="BS149" s="43">
        <f>IF(B149="","",IF(AH149=0,"Add - no costs entered yet",IF(AR149="","Check - no price yet",IF(AV149&lt;0,"Loss - every sale costs you money",IF(AND(AZ149&lt;&gt;"",AZ149&lt;MinimumWage),"Below - pays under minimum wage",IF(AW149&lt;MarginWarning,"Low margin - re-price it",IF(AND(AF149&lt;&gt;"",K149&lt;&gt;"",K149+AC149&gt;AF149),"Check - too heavy for that postage band",IF(AND(BN149&lt;&gt;"",BN149&gt;PriceReviewDays),"Due - price has not been reviewed",IF(AND(BG149&lt;&gt;"",BG149&gt;0.5),"Check - well above the market","OK")))))))) )</f>
        <v>0</v>
      </c>
    </row>
    <row r="150" spans="1:71">
      <c r="A150" s="38">
        <f>IF(B150="","",ProductPrefix&amp;TEXT(ROW()-4,"0000"))</f>
        <v>0</v>
      </c>
      <c r="S150" s="38">
        <f>IF(B150="","",IF(C150&lt;&gt;"",C150,UPPER(LEFT(IF(D150="","GEN",D150),3))&amp;"-"&amp;TEXT(ROW()-4,"000")))</f>
        <v>0</v>
      </c>
      <c r="T150" s="20">
        <f>IF(B150="","",ROUND(SUMIFS('Material Usage'!$M$5:$M$904,'Material Usage'!$A$5:$A$904,A150)+SUMIFS(Crochet!$AD$5:$AD$84,Crochet!$A$5:$A$84,A150)+SUMIFS(Jewelry!$AF$5:$AF$84,Jewelry!$A$5:$A$84,A150)+SUMIFS(Candles!$AF$5:$AF$84,Candles!$A$5:$A$84,A150)+SUMIFS(Clothing!$AB$5:$AB$84,Clothing!$A$5:$A$84,A150)+SUMIFS(Woodworking!$AC$5:$AC$84,Woodworking!$A$5:$A$84,A150)+SUMIFS(Digital!$X$5:$X$84,Digital!$A$5:$A$84,A150),2))</f>
        <v>0</v>
      </c>
      <c r="U150" s="20">
        <f>IF(B150="","",ROUND(SUMIFS(Labor!$O$5:$O$304,Labor!$A$5:$A$304,A150)+SUMIFS(Crochet!$AG$5:$AG$84,Crochet!$A$5:$A$84,A150)+SUMIFS(Jewelry!$AI$5:$AI$84,Jewelry!$A$5:$A$84,A150)+SUMIFS(Candles!$AI$5:$AI$84,Candles!$A$5:$A$84,A150)+SUMIFS(Clothing!$AE$5:$AE$84,Clothing!$A$5:$A$84,A150)+SUMIFS(Woodworking!$AF$5:$AF$84,Woodworking!$A$5:$A$84,A150)+SUMIFS(Digital!$Z$5:$Z$84,Digital!$A$5:$A$84,A150),2))</f>
        <v>0</v>
      </c>
      <c r="V150" s="36">
        <f>IF(B150="","",ROUND(SUMIFS(Labor!$P$5:$P$304,Labor!$A$5:$A$304,A150)+SUMIFS(Crochet!$AE$5:$AE$84,Crochet!$A$5:$A$84,A150)+SUMIFS(Jewelry!$AG$5:$AG$84,Jewelry!$A$5:$A$84,A150)+SUMIFS(Candles!$AG$5:$AG$84,Candles!$A$5:$A$84,A150)+SUMIFS(Clothing!$AC$5:$AC$84,Clothing!$A$5:$A$84,A150)+SUMIFS(Woodworking!$AD$5:$AD$84,Woodworking!$A$5:$A$84,A150)+SUMIFS(Digital!$Y$5:$Y$84,Digital!$A$5:$A$84,A150),1))</f>
        <v>0</v>
      </c>
      <c r="W150" s="41">
        <f>IF(B150="","",IFERROR(INDEX(DiffTimeFactors,MATCH(G150,DiffNames,0)),1))</f>
        <v>0</v>
      </c>
      <c r="X150" s="36">
        <f>IF(B150="","",ROUND(V150*W150,1))</f>
        <v>0</v>
      </c>
      <c r="Y150" s="41">
        <f>IF(B150="","",ROUND(X150/60,3))</f>
        <v>0</v>
      </c>
      <c r="Z150" s="20">
        <f>IF(B150="","",ROUND(U150*W150,2))</f>
        <v>0</v>
      </c>
      <c r="AA150" s="20">
        <f>IF(B150="","",ROUND(SUMIFS(Labor!$Q$5:$Q$304,Labor!$A$5:$A$304,A150)+SUMIFS(Crochet!$AH$5:$AH$84,Crochet!$A$5:$A$84,A150)+SUMIFS(Jewelry!$AJ$5:$AJ$84,Jewelry!$A$5:$A$84,A150)+SUMIFS(Candles!$AJ$5:$AJ$84,Candles!$A$5:$A$84,A150)+SUMIFS(Clothing!$AF$5:$AF$84,Clothing!$A$5:$A$84,A150)+SUMIFS(Woodworking!$AH$5:$AH$84,Woodworking!$A$5:$A$84,A150)+SUMIFS(Digital!$AA$5:$AA$84,Digital!$A$5:$A$84,A150),2))</f>
        <v>0</v>
      </c>
      <c r="AB150" s="20">
        <f>IF(B150="","",ROUND(IF(I150="Budget",PackBudget,IF(I150="Standard",PackStandard,IF(I150="Gift",PackGift,IF(I150="Premium",PackPremium,DefaultPackaging)))),2))</f>
        <v>0</v>
      </c>
      <c r="AC150" s="36">
        <f>IF(B150="","",IF(I150="Budget",PackWeightBudget,IF(I150="Standard",PackWeightStandard,IF(I150="Gift",PackWeightGift,IF(I150="Premium",PackWeightPremium,0)))))</f>
        <v>0</v>
      </c>
      <c r="AD150" s="20">
        <f>IF(B150="","",IFERROR(INDEX(Shipping!$M$5:$M$64,MATCH(J150,Shipping!$L$5:$L$64,0)),DefaultShipping))</f>
        <v>0</v>
      </c>
      <c r="AE150" s="20">
        <f>IF(B150="","",IFERROR(INDEX(Shipping!$F$5:$F$64,MATCH(J150,Shipping!$L$5:$L$64,0)),0))</f>
        <v>0</v>
      </c>
      <c r="AF150" s="36">
        <f>IF(B150="","",IFERROR(INDEX(Shipping!$C$5:$C$64,MATCH(J150,Shipping!$L$5:$L$64,0)),""))</f>
        <v>0</v>
      </c>
      <c r="AG150" s="20">
        <f>IF(B150="","",ROUND(MAX(0,AD150-AE150),2))</f>
        <v>0</v>
      </c>
      <c r="AH150" s="20">
        <f>IF(B150="","",ROUND(T150+Z150+AA150+AB150+AG150,2))</f>
        <v>0</v>
      </c>
      <c r="AI150" s="33">
        <f>IF(B150="","",IFERROR(INDEX(Channels!$S$5:$S$18,MATCH(IF(H150="",DefaultChannel,H150),Channels!$A$5:$A$18,0)),0))</f>
        <v>0</v>
      </c>
      <c r="AJ150" s="42">
        <f>IF(B150="","",IFERROR(INDEX(Channels!$O$5:$O$18,MATCH(IF(H150="",DefaultChannel,H150),Channels!$A$5:$A$18,0)),"No"))</f>
        <v>0</v>
      </c>
      <c r="AK150" s="20">
        <f>IF(B150="","",ROUND(IFERROR(INDEX(Channels!$T$5:$T$18,MATCH(IF(H150="",DefaultChannel,H150),Channels!$A$5:$A$18,0)),0)+IF(AJ150="Yes",AE150*AI150,0),4))</f>
        <v>0</v>
      </c>
      <c r="AL150" s="33">
        <f>IF(B150="","",IF(OverheadMethod="Share of revenue",IF(RevenueTargetMonth&lt;=0,0,OverheadMonthly/RevenueTargetMonth),0))</f>
        <v>0</v>
      </c>
      <c r="AM150" s="20">
        <f>IF(B150="","",IF(OverheadMethod="Per hour worked",ROUND(OverheadPerHour*Y150,2),IF(OR(OverheadMethod="Per unit made",OverheadMethod="Per order"),OverheadPerUnit,0)))</f>
        <v>0</v>
      </c>
      <c r="AN150" s="33">
        <f>IF(B150="","",IF(N150&lt;&gt;"",N150,TargetRetailMargin))</f>
        <v>0</v>
      </c>
      <c r="AO150" s="41">
        <f>IF(B150="","",1-AN150-AI150-AL150)</f>
        <v>0</v>
      </c>
      <c r="AP150" s="20">
        <f>IF(B150="","",IF(AO150&lt;=0,"",(AH150+AM150+AK150)/AO150))</f>
        <v>0</v>
      </c>
      <c r="AQ150" s="20">
        <f>IF(B150="","",IF(AP150="","Check the settings",ROUND(IF(RoundingRule="None",AP150,IF(RoundingRule="Nearest 0.99",MAX(0.99,CEILING(AP150,1)-0.01),IF(RoundingRule="Nearest 0.95",MAX(0.95,CEILING(AP150,1)-0.05),IF(RoundingRule="Nearest 0.50",CEILING(AP150,0.5),IF(RoundingRule="Nearest 1",CEILING(AP150,1),IF(RoundingRule="Nearest 5",CEILING(AP150,5),IF(RoundingRule="Up to whole 1",CEILING(AP150,1),IF(RoundingRule="Up to whole 5",CEILING(AP150,5),ROUND(AP150,2))))))))),2)))</f>
        <v>0</v>
      </c>
      <c r="AR150" s="20">
        <f>IF(B150="","",IF(M150&lt;&gt;"",M150,IF(ISNUMBER(AQ150),AQ150,"")))</f>
        <v>0</v>
      </c>
      <c r="AS150" s="20">
        <f>IF(B150="","",IF(AR150="","",ROUND(AM150+AR150*AL150,2)))</f>
        <v>0</v>
      </c>
      <c r="AT150" s="20">
        <f>IF(B150="","",IF(AR150="","",ROUND(AH150+AS150,2)))</f>
        <v>0</v>
      </c>
      <c r="AU150" s="20">
        <f>IF(B150="","",IF(AR150="","",ROUND(AR150*AI150+AK150,2)))</f>
        <v>0</v>
      </c>
      <c r="AV150" s="20">
        <f>IF(B150="","",IF(AR150="","",ROUND(AR150-AT150-AU150,2)))</f>
        <v>0</v>
      </c>
      <c r="AW150" s="33">
        <f>IF(B150="","",IF(OR(AR150="",AR150=0),"",AV150/AR150))</f>
        <v>0</v>
      </c>
      <c r="AX150" s="33">
        <f>IF(B150="","",IF(OR(AT150="",AT150=0),"",AV150/AT150))</f>
        <v>0</v>
      </c>
      <c r="AY150" s="20">
        <f>IF(B150="","",IF(OR(Y150="",Y150=0,AV150=""),"",ROUND(AV150/Y150,2)))</f>
        <v>0</v>
      </c>
      <c r="AZ150" s="20">
        <f>IF(B150="","",IF(OR(Y150="",Y150=0,AV150=""),"",ROUND((AV150+Z150)/Y150,2)))</f>
        <v>0</v>
      </c>
      <c r="BA150" s="20">
        <f>IF(B150="","",IF(1-AI150-AL150&lt;=0,"",ROUND((AH150+AM150+AK150)/(1-AI150-AL150),2)))</f>
        <v>0</v>
      </c>
      <c r="BB150" s="20">
        <f>IF(B150="","",IF(AT150="","",ROUND(AT150*2,2)))</f>
        <v>0</v>
      </c>
      <c r="BC150" s="20">
        <f>IF(B150="","",IF(AR150="","",ROUND(AR150*(1-WholesaleDiscount),2)))</f>
        <v>0</v>
      </c>
      <c r="BD150" s="20">
        <f>IF(B150="","",IF(BC150="","",ROUND(BC150-AH150-AM150,2)))</f>
        <v>0</v>
      </c>
      <c r="BE150" s="33">
        <f>IF(B150="","",IF(OR(BC150="",BC150=0),"",BD150/BC150))</f>
        <v>0</v>
      </c>
      <c r="BF150" s="20">
        <f>IF(B150="","",IFERROR(ROUND(AVERAGEIFS(Competitors!$F$5:$F$154,Competitors!$A$5:$A$154,A150),2),""))</f>
        <v>0</v>
      </c>
      <c r="BG150" s="33">
        <f>IF(B150="","",IF(OR(BF150="",BF150=0,AR150=""),"",AR150/BF150-1))</f>
        <v>0</v>
      </c>
      <c r="BH150" s="32">
        <f>IF(B150="","",SUMIFS(Sales!$D$5:$D$804,Sales!$C$5:$C$804,A150))</f>
        <v>0</v>
      </c>
      <c r="BI150" s="20">
        <f>IF(B150="","",ROUND(SUMIFS(Sales!$V$5:$V$804,Sales!$C$5:$C$804,A150),2))</f>
        <v>0</v>
      </c>
      <c r="BJ150" s="20">
        <f>IF(B150="","",ROUND(SUMIFS(Sales!$AG$5:$AG$804,Sales!$C$5:$C$804,A150),2))</f>
        <v>0</v>
      </c>
      <c r="BK150" s="33">
        <f>IF(B150="","",IF(OR(BI150="",BI150=0),"",BJ150/BI150))</f>
        <v>0</v>
      </c>
      <c r="BL150" s="17">
        <f>IF(B150="","",IF(SUMPRODUCT(MAX((Sales!$C$5:$C$804=A150)*Sales!$B$5:$B$804))=0,"",SUMPRODUCT(MAX((Sales!$C$5:$C$804=A150)*Sales!$B$5:$B$804))))</f>
        <v>0</v>
      </c>
      <c r="BM150" s="17">
        <f>IF(B150="","",IF(SUMPRODUCT(MAX(('Price History'!$B$5:$B$304=A150)*'Price History'!$A$5:$A$304))=0,IF(P150="","",P150),SUMPRODUCT(MAX(('Price History'!$B$5:$B$304=A150)*'Price History'!$A$5:$A$304))))</f>
        <v>0</v>
      </c>
      <c r="BN150" s="32">
        <f>IF(B150="","",IF(BM150="","",TodayDate-BM150))</f>
        <v>0</v>
      </c>
      <c r="BO150" s="32">
        <f>IF(B150="","",COUNTIFS($AV$5:$AV$304,"&gt;"&amp;AV150)+COUNTIFS($AV$5:AV150,AV150))</f>
        <v>0</v>
      </c>
      <c r="BP150" s="32">
        <f>IF(B150="","",COUNTIFS($AW$5:$AW$304,"&gt;"&amp;AW150)+COUNTIFS($AW$5:AW150,AW150))</f>
        <v>0</v>
      </c>
      <c r="BQ150" s="32">
        <f>IF(B150="","",COUNTIFS($BI$5:$BI$304,"&gt;"&amp;BI150)+COUNTIFS($BI$5:BI150,BI150))</f>
        <v>0</v>
      </c>
      <c r="BR150" s="32">
        <f>IF(B150="","",COUNTIFS($AY$5:$AY$304,"&gt;"&amp;AY150)+COUNTIFS($AY$5:AY150,AY150))</f>
        <v>0</v>
      </c>
      <c r="BS150" s="43">
        <f>IF(B150="","",IF(AH150=0,"Add - no costs entered yet",IF(AR150="","Check - no price yet",IF(AV150&lt;0,"Loss - every sale costs you money",IF(AND(AZ150&lt;&gt;"",AZ150&lt;MinimumWage),"Below - pays under minimum wage",IF(AW150&lt;MarginWarning,"Low margin - re-price it",IF(AND(AF150&lt;&gt;"",K150&lt;&gt;"",K150+AC150&gt;AF150),"Check - too heavy for that postage band",IF(AND(BN150&lt;&gt;"",BN150&gt;PriceReviewDays),"Due - price has not been reviewed",IF(AND(BG150&lt;&gt;"",BG150&gt;0.5),"Check - well above the market","OK")))))))) )</f>
        <v>0</v>
      </c>
    </row>
    <row r="151" spans="1:71">
      <c r="A151" s="38">
        <f>IF(B151="","",ProductPrefix&amp;TEXT(ROW()-4,"0000"))</f>
        <v>0</v>
      </c>
      <c r="S151" s="38">
        <f>IF(B151="","",IF(C151&lt;&gt;"",C151,UPPER(LEFT(IF(D151="","GEN",D151),3))&amp;"-"&amp;TEXT(ROW()-4,"000")))</f>
        <v>0</v>
      </c>
      <c r="T151" s="20">
        <f>IF(B151="","",ROUND(SUMIFS('Material Usage'!$M$5:$M$904,'Material Usage'!$A$5:$A$904,A151)+SUMIFS(Crochet!$AD$5:$AD$84,Crochet!$A$5:$A$84,A151)+SUMIFS(Jewelry!$AF$5:$AF$84,Jewelry!$A$5:$A$84,A151)+SUMIFS(Candles!$AF$5:$AF$84,Candles!$A$5:$A$84,A151)+SUMIFS(Clothing!$AB$5:$AB$84,Clothing!$A$5:$A$84,A151)+SUMIFS(Woodworking!$AC$5:$AC$84,Woodworking!$A$5:$A$84,A151)+SUMIFS(Digital!$X$5:$X$84,Digital!$A$5:$A$84,A151),2))</f>
        <v>0</v>
      </c>
      <c r="U151" s="20">
        <f>IF(B151="","",ROUND(SUMIFS(Labor!$O$5:$O$304,Labor!$A$5:$A$304,A151)+SUMIFS(Crochet!$AG$5:$AG$84,Crochet!$A$5:$A$84,A151)+SUMIFS(Jewelry!$AI$5:$AI$84,Jewelry!$A$5:$A$84,A151)+SUMIFS(Candles!$AI$5:$AI$84,Candles!$A$5:$A$84,A151)+SUMIFS(Clothing!$AE$5:$AE$84,Clothing!$A$5:$A$84,A151)+SUMIFS(Woodworking!$AF$5:$AF$84,Woodworking!$A$5:$A$84,A151)+SUMIFS(Digital!$Z$5:$Z$84,Digital!$A$5:$A$84,A151),2))</f>
        <v>0</v>
      </c>
      <c r="V151" s="36">
        <f>IF(B151="","",ROUND(SUMIFS(Labor!$P$5:$P$304,Labor!$A$5:$A$304,A151)+SUMIFS(Crochet!$AE$5:$AE$84,Crochet!$A$5:$A$84,A151)+SUMIFS(Jewelry!$AG$5:$AG$84,Jewelry!$A$5:$A$84,A151)+SUMIFS(Candles!$AG$5:$AG$84,Candles!$A$5:$A$84,A151)+SUMIFS(Clothing!$AC$5:$AC$84,Clothing!$A$5:$A$84,A151)+SUMIFS(Woodworking!$AD$5:$AD$84,Woodworking!$A$5:$A$84,A151)+SUMIFS(Digital!$Y$5:$Y$84,Digital!$A$5:$A$84,A151),1))</f>
        <v>0</v>
      </c>
      <c r="W151" s="41">
        <f>IF(B151="","",IFERROR(INDEX(DiffTimeFactors,MATCH(G151,DiffNames,0)),1))</f>
        <v>0</v>
      </c>
      <c r="X151" s="36">
        <f>IF(B151="","",ROUND(V151*W151,1))</f>
        <v>0</v>
      </c>
      <c r="Y151" s="41">
        <f>IF(B151="","",ROUND(X151/60,3))</f>
        <v>0</v>
      </c>
      <c r="Z151" s="20">
        <f>IF(B151="","",ROUND(U151*W151,2))</f>
        <v>0</v>
      </c>
      <c r="AA151" s="20">
        <f>IF(B151="","",ROUND(SUMIFS(Labor!$Q$5:$Q$304,Labor!$A$5:$A$304,A151)+SUMIFS(Crochet!$AH$5:$AH$84,Crochet!$A$5:$A$84,A151)+SUMIFS(Jewelry!$AJ$5:$AJ$84,Jewelry!$A$5:$A$84,A151)+SUMIFS(Candles!$AJ$5:$AJ$84,Candles!$A$5:$A$84,A151)+SUMIFS(Clothing!$AF$5:$AF$84,Clothing!$A$5:$A$84,A151)+SUMIFS(Woodworking!$AH$5:$AH$84,Woodworking!$A$5:$A$84,A151)+SUMIFS(Digital!$AA$5:$AA$84,Digital!$A$5:$A$84,A151),2))</f>
        <v>0</v>
      </c>
      <c r="AB151" s="20">
        <f>IF(B151="","",ROUND(IF(I151="Budget",PackBudget,IF(I151="Standard",PackStandard,IF(I151="Gift",PackGift,IF(I151="Premium",PackPremium,DefaultPackaging)))),2))</f>
        <v>0</v>
      </c>
      <c r="AC151" s="36">
        <f>IF(B151="","",IF(I151="Budget",PackWeightBudget,IF(I151="Standard",PackWeightStandard,IF(I151="Gift",PackWeightGift,IF(I151="Premium",PackWeightPremium,0)))))</f>
        <v>0</v>
      </c>
      <c r="AD151" s="20">
        <f>IF(B151="","",IFERROR(INDEX(Shipping!$M$5:$M$64,MATCH(J151,Shipping!$L$5:$L$64,0)),DefaultShipping))</f>
        <v>0</v>
      </c>
      <c r="AE151" s="20">
        <f>IF(B151="","",IFERROR(INDEX(Shipping!$F$5:$F$64,MATCH(J151,Shipping!$L$5:$L$64,0)),0))</f>
        <v>0</v>
      </c>
      <c r="AF151" s="36">
        <f>IF(B151="","",IFERROR(INDEX(Shipping!$C$5:$C$64,MATCH(J151,Shipping!$L$5:$L$64,0)),""))</f>
        <v>0</v>
      </c>
      <c r="AG151" s="20">
        <f>IF(B151="","",ROUND(MAX(0,AD151-AE151),2))</f>
        <v>0</v>
      </c>
      <c r="AH151" s="20">
        <f>IF(B151="","",ROUND(T151+Z151+AA151+AB151+AG151,2))</f>
        <v>0</v>
      </c>
      <c r="AI151" s="33">
        <f>IF(B151="","",IFERROR(INDEX(Channels!$S$5:$S$18,MATCH(IF(H151="",DefaultChannel,H151),Channels!$A$5:$A$18,0)),0))</f>
        <v>0</v>
      </c>
      <c r="AJ151" s="42">
        <f>IF(B151="","",IFERROR(INDEX(Channels!$O$5:$O$18,MATCH(IF(H151="",DefaultChannel,H151),Channels!$A$5:$A$18,0)),"No"))</f>
        <v>0</v>
      </c>
      <c r="AK151" s="20">
        <f>IF(B151="","",ROUND(IFERROR(INDEX(Channels!$T$5:$T$18,MATCH(IF(H151="",DefaultChannel,H151),Channels!$A$5:$A$18,0)),0)+IF(AJ151="Yes",AE151*AI151,0),4))</f>
        <v>0</v>
      </c>
      <c r="AL151" s="33">
        <f>IF(B151="","",IF(OverheadMethod="Share of revenue",IF(RevenueTargetMonth&lt;=0,0,OverheadMonthly/RevenueTargetMonth),0))</f>
        <v>0</v>
      </c>
      <c r="AM151" s="20">
        <f>IF(B151="","",IF(OverheadMethod="Per hour worked",ROUND(OverheadPerHour*Y151,2),IF(OR(OverheadMethod="Per unit made",OverheadMethod="Per order"),OverheadPerUnit,0)))</f>
        <v>0</v>
      </c>
      <c r="AN151" s="33">
        <f>IF(B151="","",IF(N151&lt;&gt;"",N151,TargetRetailMargin))</f>
        <v>0</v>
      </c>
      <c r="AO151" s="41">
        <f>IF(B151="","",1-AN151-AI151-AL151)</f>
        <v>0</v>
      </c>
      <c r="AP151" s="20">
        <f>IF(B151="","",IF(AO151&lt;=0,"",(AH151+AM151+AK151)/AO151))</f>
        <v>0</v>
      </c>
      <c r="AQ151" s="20">
        <f>IF(B151="","",IF(AP151="","Check the settings",ROUND(IF(RoundingRule="None",AP151,IF(RoundingRule="Nearest 0.99",MAX(0.99,CEILING(AP151,1)-0.01),IF(RoundingRule="Nearest 0.95",MAX(0.95,CEILING(AP151,1)-0.05),IF(RoundingRule="Nearest 0.50",CEILING(AP151,0.5),IF(RoundingRule="Nearest 1",CEILING(AP151,1),IF(RoundingRule="Nearest 5",CEILING(AP151,5),IF(RoundingRule="Up to whole 1",CEILING(AP151,1),IF(RoundingRule="Up to whole 5",CEILING(AP151,5),ROUND(AP151,2))))))))),2)))</f>
        <v>0</v>
      </c>
      <c r="AR151" s="20">
        <f>IF(B151="","",IF(M151&lt;&gt;"",M151,IF(ISNUMBER(AQ151),AQ151,"")))</f>
        <v>0</v>
      </c>
      <c r="AS151" s="20">
        <f>IF(B151="","",IF(AR151="","",ROUND(AM151+AR151*AL151,2)))</f>
        <v>0</v>
      </c>
      <c r="AT151" s="20">
        <f>IF(B151="","",IF(AR151="","",ROUND(AH151+AS151,2)))</f>
        <v>0</v>
      </c>
      <c r="AU151" s="20">
        <f>IF(B151="","",IF(AR151="","",ROUND(AR151*AI151+AK151,2)))</f>
        <v>0</v>
      </c>
      <c r="AV151" s="20">
        <f>IF(B151="","",IF(AR151="","",ROUND(AR151-AT151-AU151,2)))</f>
        <v>0</v>
      </c>
      <c r="AW151" s="33">
        <f>IF(B151="","",IF(OR(AR151="",AR151=0),"",AV151/AR151))</f>
        <v>0</v>
      </c>
      <c r="AX151" s="33">
        <f>IF(B151="","",IF(OR(AT151="",AT151=0),"",AV151/AT151))</f>
        <v>0</v>
      </c>
      <c r="AY151" s="20">
        <f>IF(B151="","",IF(OR(Y151="",Y151=0,AV151=""),"",ROUND(AV151/Y151,2)))</f>
        <v>0</v>
      </c>
      <c r="AZ151" s="20">
        <f>IF(B151="","",IF(OR(Y151="",Y151=0,AV151=""),"",ROUND((AV151+Z151)/Y151,2)))</f>
        <v>0</v>
      </c>
      <c r="BA151" s="20">
        <f>IF(B151="","",IF(1-AI151-AL151&lt;=0,"",ROUND((AH151+AM151+AK151)/(1-AI151-AL151),2)))</f>
        <v>0</v>
      </c>
      <c r="BB151" s="20">
        <f>IF(B151="","",IF(AT151="","",ROUND(AT151*2,2)))</f>
        <v>0</v>
      </c>
      <c r="BC151" s="20">
        <f>IF(B151="","",IF(AR151="","",ROUND(AR151*(1-WholesaleDiscount),2)))</f>
        <v>0</v>
      </c>
      <c r="BD151" s="20">
        <f>IF(B151="","",IF(BC151="","",ROUND(BC151-AH151-AM151,2)))</f>
        <v>0</v>
      </c>
      <c r="BE151" s="33">
        <f>IF(B151="","",IF(OR(BC151="",BC151=0),"",BD151/BC151))</f>
        <v>0</v>
      </c>
      <c r="BF151" s="20">
        <f>IF(B151="","",IFERROR(ROUND(AVERAGEIFS(Competitors!$F$5:$F$154,Competitors!$A$5:$A$154,A151),2),""))</f>
        <v>0</v>
      </c>
      <c r="BG151" s="33">
        <f>IF(B151="","",IF(OR(BF151="",BF151=0,AR151=""),"",AR151/BF151-1))</f>
        <v>0</v>
      </c>
      <c r="BH151" s="32">
        <f>IF(B151="","",SUMIFS(Sales!$D$5:$D$804,Sales!$C$5:$C$804,A151))</f>
        <v>0</v>
      </c>
      <c r="BI151" s="20">
        <f>IF(B151="","",ROUND(SUMIFS(Sales!$V$5:$V$804,Sales!$C$5:$C$804,A151),2))</f>
        <v>0</v>
      </c>
      <c r="BJ151" s="20">
        <f>IF(B151="","",ROUND(SUMIFS(Sales!$AG$5:$AG$804,Sales!$C$5:$C$804,A151),2))</f>
        <v>0</v>
      </c>
      <c r="BK151" s="33">
        <f>IF(B151="","",IF(OR(BI151="",BI151=0),"",BJ151/BI151))</f>
        <v>0</v>
      </c>
      <c r="BL151" s="17">
        <f>IF(B151="","",IF(SUMPRODUCT(MAX((Sales!$C$5:$C$804=A151)*Sales!$B$5:$B$804))=0,"",SUMPRODUCT(MAX((Sales!$C$5:$C$804=A151)*Sales!$B$5:$B$804))))</f>
        <v>0</v>
      </c>
      <c r="BM151" s="17">
        <f>IF(B151="","",IF(SUMPRODUCT(MAX(('Price History'!$B$5:$B$304=A151)*'Price History'!$A$5:$A$304))=0,IF(P151="","",P151),SUMPRODUCT(MAX(('Price History'!$B$5:$B$304=A151)*'Price History'!$A$5:$A$304))))</f>
        <v>0</v>
      </c>
      <c r="BN151" s="32">
        <f>IF(B151="","",IF(BM151="","",TodayDate-BM151))</f>
        <v>0</v>
      </c>
      <c r="BO151" s="32">
        <f>IF(B151="","",COUNTIFS($AV$5:$AV$304,"&gt;"&amp;AV151)+COUNTIFS($AV$5:AV151,AV151))</f>
        <v>0</v>
      </c>
      <c r="BP151" s="32">
        <f>IF(B151="","",COUNTIFS($AW$5:$AW$304,"&gt;"&amp;AW151)+COUNTIFS($AW$5:AW151,AW151))</f>
        <v>0</v>
      </c>
      <c r="BQ151" s="32">
        <f>IF(B151="","",COUNTIFS($BI$5:$BI$304,"&gt;"&amp;BI151)+COUNTIFS($BI$5:BI151,BI151))</f>
        <v>0</v>
      </c>
      <c r="BR151" s="32">
        <f>IF(B151="","",COUNTIFS($AY$5:$AY$304,"&gt;"&amp;AY151)+COUNTIFS($AY$5:AY151,AY151))</f>
        <v>0</v>
      </c>
      <c r="BS151" s="43">
        <f>IF(B151="","",IF(AH151=0,"Add - no costs entered yet",IF(AR151="","Check - no price yet",IF(AV151&lt;0,"Loss - every sale costs you money",IF(AND(AZ151&lt;&gt;"",AZ151&lt;MinimumWage),"Below - pays under minimum wage",IF(AW151&lt;MarginWarning,"Low margin - re-price it",IF(AND(AF151&lt;&gt;"",K151&lt;&gt;"",K151+AC151&gt;AF151),"Check - too heavy for that postage band",IF(AND(BN151&lt;&gt;"",BN151&gt;PriceReviewDays),"Due - price has not been reviewed",IF(AND(BG151&lt;&gt;"",BG151&gt;0.5),"Check - well above the market","OK")))))))) )</f>
        <v>0</v>
      </c>
    </row>
    <row r="152" spans="1:71">
      <c r="A152" s="38">
        <f>IF(B152="","",ProductPrefix&amp;TEXT(ROW()-4,"0000"))</f>
        <v>0</v>
      </c>
      <c r="S152" s="38">
        <f>IF(B152="","",IF(C152&lt;&gt;"",C152,UPPER(LEFT(IF(D152="","GEN",D152),3))&amp;"-"&amp;TEXT(ROW()-4,"000")))</f>
        <v>0</v>
      </c>
      <c r="T152" s="20">
        <f>IF(B152="","",ROUND(SUMIFS('Material Usage'!$M$5:$M$904,'Material Usage'!$A$5:$A$904,A152)+SUMIFS(Crochet!$AD$5:$AD$84,Crochet!$A$5:$A$84,A152)+SUMIFS(Jewelry!$AF$5:$AF$84,Jewelry!$A$5:$A$84,A152)+SUMIFS(Candles!$AF$5:$AF$84,Candles!$A$5:$A$84,A152)+SUMIFS(Clothing!$AB$5:$AB$84,Clothing!$A$5:$A$84,A152)+SUMIFS(Woodworking!$AC$5:$AC$84,Woodworking!$A$5:$A$84,A152)+SUMIFS(Digital!$X$5:$X$84,Digital!$A$5:$A$84,A152),2))</f>
        <v>0</v>
      </c>
      <c r="U152" s="20">
        <f>IF(B152="","",ROUND(SUMIFS(Labor!$O$5:$O$304,Labor!$A$5:$A$304,A152)+SUMIFS(Crochet!$AG$5:$AG$84,Crochet!$A$5:$A$84,A152)+SUMIFS(Jewelry!$AI$5:$AI$84,Jewelry!$A$5:$A$84,A152)+SUMIFS(Candles!$AI$5:$AI$84,Candles!$A$5:$A$84,A152)+SUMIFS(Clothing!$AE$5:$AE$84,Clothing!$A$5:$A$84,A152)+SUMIFS(Woodworking!$AF$5:$AF$84,Woodworking!$A$5:$A$84,A152)+SUMIFS(Digital!$Z$5:$Z$84,Digital!$A$5:$A$84,A152),2))</f>
        <v>0</v>
      </c>
      <c r="V152" s="36">
        <f>IF(B152="","",ROUND(SUMIFS(Labor!$P$5:$P$304,Labor!$A$5:$A$304,A152)+SUMIFS(Crochet!$AE$5:$AE$84,Crochet!$A$5:$A$84,A152)+SUMIFS(Jewelry!$AG$5:$AG$84,Jewelry!$A$5:$A$84,A152)+SUMIFS(Candles!$AG$5:$AG$84,Candles!$A$5:$A$84,A152)+SUMIFS(Clothing!$AC$5:$AC$84,Clothing!$A$5:$A$84,A152)+SUMIFS(Woodworking!$AD$5:$AD$84,Woodworking!$A$5:$A$84,A152)+SUMIFS(Digital!$Y$5:$Y$84,Digital!$A$5:$A$84,A152),1))</f>
        <v>0</v>
      </c>
      <c r="W152" s="41">
        <f>IF(B152="","",IFERROR(INDEX(DiffTimeFactors,MATCH(G152,DiffNames,0)),1))</f>
        <v>0</v>
      </c>
      <c r="X152" s="36">
        <f>IF(B152="","",ROUND(V152*W152,1))</f>
        <v>0</v>
      </c>
      <c r="Y152" s="41">
        <f>IF(B152="","",ROUND(X152/60,3))</f>
        <v>0</v>
      </c>
      <c r="Z152" s="20">
        <f>IF(B152="","",ROUND(U152*W152,2))</f>
        <v>0</v>
      </c>
      <c r="AA152" s="20">
        <f>IF(B152="","",ROUND(SUMIFS(Labor!$Q$5:$Q$304,Labor!$A$5:$A$304,A152)+SUMIFS(Crochet!$AH$5:$AH$84,Crochet!$A$5:$A$84,A152)+SUMIFS(Jewelry!$AJ$5:$AJ$84,Jewelry!$A$5:$A$84,A152)+SUMIFS(Candles!$AJ$5:$AJ$84,Candles!$A$5:$A$84,A152)+SUMIFS(Clothing!$AF$5:$AF$84,Clothing!$A$5:$A$84,A152)+SUMIFS(Woodworking!$AH$5:$AH$84,Woodworking!$A$5:$A$84,A152)+SUMIFS(Digital!$AA$5:$AA$84,Digital!$A$5:$A$84,A152),2))</f>
        <v>0</v>
      </c>
      <c r="AB152" s="20">
        <f>IF(B152="","",ROUND(IF(I152="Budget",PackBudget,IF(I152="Standard",PackStandard,IF(I152="Gift",PackGift,IF(I152="Premium",PackPremium,DefaultPackaging)))),2))</f>
        <v>0</v>
      </c>
      <c r="AC152" s="36">
        <f>IF(B152="","",IF(I152="Budget",PackWeightBudget,IF(I152="Standard",PackWeightStandard,IF(I152="Gift",PackWeightGift,IF(I152="Premium",PackWeightPremium,0)))))</f>
        <v>0</v>
      </c>
      <c r="AD152" s="20">
        <f>IF(B152="","",IFERROR(INDEX(Shipping!$M$5:$M$64,MATCH(J152,Shipping!$L$5:$L$64,0)),DefaultShipping))</f>
        <v>0</v>
      </c>
      <c r="AE152" s="20">
        <f>IF(B152="","",IFERROR(INDEX(Shipping!$F$5:$F$64,MATCH(J152,Shipping!$L$5:$L$64,0)),0))</f>
        <v>0</v>
      </c>
      <c r="AF152" s="36">
        <f>IF(B152="","",IFERROR(INDEX(Shipping!$C$5:$C$64,MATCH(J152,Shipping!$L$5:$L$64,0)),""))</f>
        <v>0</v>
      </c>
      <c r="AG152" s="20">
        <f>IF(B152="","",ROUND(MAX(0,AD152-AE152),2))</f>
        <v>0</v>
      </c>
      <c r="AH152" s="20">
        <f>IF(B152="","",ROUND(T152+Z152+AA152+AB152+AG152,2))</f>
        <v>0</v>
      </c>
      <c r="AI152" s="33">
        <f>IF(B152="","",IFERROR(INDEX(Channels!$S$5:$S$18,MATCH(IF(H152="",DefaultChannel,H152),Channels!$A$5:$A$18,0)),0))</f>
        <v>0</v>
      </c>
      <c r="AJ152" s="42">
        <f>IF(B152="","",IFERROR(INDEX(Channels!$O$5:$O$18,MATCH(IF(H152="",DefaultChannel,H152),Channels!$A$5:$A$18,0)),"No"))</f>
        <v>0</v>
      </c>
      <c r="AK152" s="20">
        <f>IF(B152="","",ROUND(IFERROR(INDEX(Channels!$T$5:$T$18,MATCH(IF(H152="",DefaultChannel,H152),Channels!$A$5:$A$18,0)),0)+IF(AJ152="Yes",AE152*AI152,0),4))</f>
        <v>0</v>
      </c>
      <c r="AL152" s="33">
        <f>IF(B152="","",IF(OverheadMethod="Share of revenue",IF(RevenueTargetMonth&lt;=0,0,OverheadMonthly/RevenueTargetMonth),0))</f>
        <v>0</v>
      </c>
      <c r="AM152" s="20">
        <f>IF(B152="","",IF(OverheadMethod="Per hour worked",ROUND(OverheadPerHour*Y152,2),IF(OR(OverheadMethod="Per unit made",OverheadMethod="Per order"),OverheadPerUnit,0)))</f>
        <v>0</v>
      </c>
      <c r="AN152" s="33">
        <f>IF(B152="","",IF(N152&lt;&gt;"",N152,TargetRetailMargin))</f>
        <v>0</v>
      </c>
      <c r="AO152" s="41">
        <f>IF(B152="","",1-AN152-AI152-AL152)</f>
        <v>0</v>
      </c>
      <c r="AP152" s="20">
        <f>IF(B152="","",IF(AO152&lt;=0,"",(AH152+AM152+AK152)/AO152))</f>
        <v>0</v>
      </c>
      <c r="AQ152" s="20">
        <f>IF(B152="","",IF(AP152="","Check the settings",ROUND(IF(RoundingRule="None",AP152,IF(RoundingRule="Nearest 0.99",MAX(0.99,CEILING(AP152,1)-0.01),IF(RoundingRule="Nearest 0.95",MAX(0.95,CEILING(AP152,1)-0.05),IF(RoundingRule="Nearest 0.50",CEILING(AP152,0.5),IF(RoundingRule="Nearest 1",CEILING(AP152,1),IF(RoundingRule="Nearest 5",CEILING(AP152,5),IF(RoundingRule="Up to whole 1",CEILING(AP152,1),IF(RoundingRule="Up to whole 5",CEILING(AP152,5),ROUND(AP152,2))))))))),2)))</f>
        <v>0</v>
      </c>
      <c r="AR152" s="20">
        <f>IF(B152="","",IF(M152&lt;&gt;"",M152,IF(ISNUMBER(AQ152),AQ152,"")))</f>
        <v>0</v>
      </c>
      <c r="AS152" s="20">
        <f>IF(B152="","",IF(AR152="","",ROUND(AM152+AR152*AL152,2)))</f>
        <v>0</v>
      </c>
      <c r="AT152" s="20">
        <f>IF(B152="","",IF(AR152="","",ROUND(AH152+AS152,2)))</f>
        <v>0</v>
      </c>
      <c r="AU152" s="20">
        <f>IF(B152="","",IF(AR152="","",ROUND(AR152*AI152+AK152,2)))</f>
        <v>0</v>
      </c>
      <c r="AV152" s="20">
        <f>IF(B152="","",IF(AR152="","",ROUND(AR152-AT152-AU152,2)))</f>
        <v>0</v>
      </c>
      <c r="AW152" s="33">
        <f>IF(B152="","",IF(OR(AR152="",AR152=0),"",AV152/AR152))</f>
        <v>0</v>
      </c>
      <c r="AX152" s="33">
        <f>IF(B152="","",IF(OR(AT152="",AT152=0),"",AV152/AT152))</f>
        <v>0</v>
      </c>
      <c r="AY152" s="20">
        <f>IF(B152="","",IF(OR(Y152="",Y152=0,AV152=""),"",ROUND(AV152/Y152,2)))</f>
        <v>0</v>
      </c>
      <c r="AZ152" s="20">
        <f>IF(B152="","",IF(OR(Y152="",Y152=0,AV152=""),"",ROUND((AV152+Z152)/Y152,2)))</f>
        <v>0</v>
      </c>
      <c r="BA152" s="20">
        <f>IF(B152="","",IF(1-AI152-AL152&lt;=0,"",ROUND((AH152+AM152+AK152)/(1-AI152-AL152),2)))</f>
        <v>0</v>
      </c>
      <c r="BB152" s="20">
        <f>IF(B152="","",IF(AT152="","",ROUND(AT152*2,2)))</f>
        <v>0</v>
      </c>
      <c r="BC152" s="20">
        <f>IF(B152="","",IF(AR152="","",ROUND(AR152*(1-WholesaleDiscount),2)))</f>
        <v>0</v>
      </c>
      <c r="BD152" s="20">
        <f>IF(B152="","",IF(BC152="","",ROUND(BC152-AH152-AM152,2)))</f>
        <v>0</v>
      </c>
      <c r="BE152" s="33">
        <f>IF(B152="","",IF(OR(BC152="",BC152=0),"",BD152/BC152))</f>
        <v>0</v>
      </c>
      <c r="BF152" s="20">
        <f>IF(B152="","",IFERROR(ROUND(AVERAGEIFS(Competitors!$F$5:$F$154,Competitors!$A$5:$A$154,A152),2),""))</f>
        <v>0</v>
      </c>
      <c r="BG152" s="33">
        <f>IF(B152="","",IF(OR(BF152="",BF152=0,AR152=""),"",AR152/BF152-1))</f>
        <v>0</v>
      </c>
      <c r="BH152" s="32">
        <f>IF(B152="","",SUMIFS(Sales!$D$5:$D$804,Sales!$C$5:$C$804,A152))</f>
        <v>0</v>
      </c>
      <c r="BI152" s="20">
        <f>IF(B152="","",ROUND(SUMIFS(Sales!$V$5:$V$804,Sales!$C$5:$C$804,A152),2))</f>
        <v>0</v>
      </c>
      <c r="BJ152" s="20">
        <f>IF(B152="","",ROUND(SUMIFS(Sales!$AG$5:$AG$804,Sales!$C$5:$C$804,A152),2))</f>
        <v>0</v>
      </c>
      <c r="BK152" s="33">
        <f>IF(B152="","",IF(OR(BI152="",BI152=0),"",BJ152/BI152))</f>
        <v>0</v>
      </c>
      <c r="BL152" s="17">
        <f>IF(B152="","",IF(SUMPRODUCT(MAX((Sales!$C$5:$C$804=A152)*Sales!$B$5:$B$804))=0,"",SUMPRODUCT(MAX((Sales!$C$5:$C$804=A152)*Sales!$B$5:$B$804))))</f>
        <v>0</v>
      </c>
      <c r="BM152" s="17">
        <f>IF(B152="","",IF(SUMPRODUCT(MAX(('Price History'!$B$5:$B$304=A152)*'Price History'!$A$5:$A$304))=0,IF(P152="","",P152),SUMPRODUCT(MAX(('Price History'!$B$5:$B$304=A152)*'Price History'!$A$5:$A$304))))</f>
        <v>0</v>
      </c>
      <c r="BN152" s="32">
        <f>IF(B152="","",IF(BM152="","",TodayDate-BM152))</f>
        <v>0</v>
      </c>
      <c r="BO152" s="32">
        <f>IF(B152="","",COUNTIFS($AV$5:$AV$304,"&gt;"&amp;AV152)+COUNTIFS($AV$5:AV152,AV152))</f>
        <v>0</v>
      </c>
      <c r="BP152" s="32">
        <f>IF(B152="","",COUNTIFS($AW$5:$AW$304,"&gt;"&amp;AW152)+COUNTIFS($AW$5:AW152,AW152))</f>
        <v>0</v>
      </c>
      <c r="BQ152" s="32">
        <f>IF(B152="","",COUNTIFS($BI$5:$BI$304,"&gt;"&amp;BI152)+COUNTIFS($BI$5:BI152,BI152))</f>
        <v>0</v>
      </c>
      <c r="BR152" s="32">
        <f>IF(B152="","",COUNTIFS($AY$5:$AY$304,"&gt;"&amp;AY152)+COUNTIFS($AY$5:AY152,AY152))</f>
        <v>0</v>
      </c>
      <c r="BS152" s="43">
        <f>IF(B152="","",IF(AH152=0,"Add - no costs entered yet",IF(AR152="","Check - no price yet",IF(AV152&lt;0,"Loss - every sale costs you money",IF(AND(AZ152&lt;&gt;"",AZ152&lt;MinimumWage),"Below - pays under minimum wage",IF(AW152&lt;MarginWarning,"Low margin - re-price it",IF(AND(AF152&lt;&gt;"",K152&lt;&gt;"",K152+AC152&gt;AF152),"Check - too heavy for that postage band",IF(AND(BN152&lt;&gt;"",BN152&gt;PriceReviewDays),"Due - price has not been reviewed",IF(AND(BG152&lt;&gt;"",BG152&gt;0.5),"Check - well above the market","OK")))))))) )</f>
        <v>0</v>
      </c>
    </row>
    <row r="153" spans="1:71">
      <c r="A153" s="38">
        <f>IF(B153="","",ProductPrefix&amp;TEXT(ROW()-4,"0000"))</f>
        <v>0</v>
      </c>
      <c r="S153" s="38">
        <f>IF(B153="","",IF(C153&lt;&gt;"",C153,UPPER(LEFT(IF(D153="","GEN",D153),3))&amp;"-"&amp;TEXT(ROW()-4,"000")))</f>
        <v>0</v>
      </c>
      <c r="T153" s="20">
        <f>IF(B153="","",ROUND(SUMIFS('Material Usage'!$M$5:$M$904,'Material Usage'!$A$5:$A$904,A153)+SUMIFS(Crochet!$AD$5:$AD$84,Crochet!$A$5:$A$84,A153)+SUMIFS(Jewelry!$AF$5:$AF$84,Jewelry!$A$5:$A$84,A153)+SUMIFS(Candles!$AF$5:$AF$84,Candles!$A$5:$A$84,A153)+SUMIFS(Clothing!$AB$5:$AB$84,Clothing!$A$5:$A$84,A153)+SUMIFS(Woodworking!$AC$5:$AC$84,Woodworking!$A$5:$A$84,A153)+SUMIFS(Digital!$X$5:$X$84,Digital!$A$5:$A$84,A153),2))</f>
        <v>0</v>
      </c>
      <c r="U153" s="20">
        <f>IF(B153="","",ROUND(SUMIFS(Labor!$O$5:$O$304,Labor!$A$5:$A$304,A153)+SUMIFS(Crochet!$AG$5:$AG$84,Crochet!$A$5:$A$84,A153)+SUMIFS(Jewelry!$AI$5:$AI$84,Jewelry!$A$5:$A$84,A153)+SUMIFS(Candles!$AI$5:$AI$84,Candles!$A$5:$A$84,A153)+SUMIFS(Clothing!$AE$5:$AE$84,Clothing!$A$5:$A$84,A153)+SUMIFS(Woodworking!$AF$5:$AF$84,Woodworking!$A$5:$A$84,A153)+SUMIFS(Digital!$Z$5:$Z$84,Digital!$A$5:$A$84,A153),2))</f>
        <v>0</v>
      </c>
      <c r="V153" s="36">
        <f>IF(B153="","",ROUND(SUMIFS(Labor!$P$5:$P$304,Labor!$A$5:$A$304,A153)+SUMIFS(Crochet!$AE$5:$AE$84,Crochet!$A$5:$A$84,A153)+SUMIFS(Jewelry!$AG$5:$AG$84,Jewelry!$A$5:$A$84,A153)+SUMIFS(Candles!$AG$5:$AG$84,Candles!$A$5:$A$84,A153)+SUMIFS(Clothing!$AC$5:$AC$84,Clothing!$A$5:$A$84,A153)+SUMIFS(Woodworking!$AD$5:$AD$84,Woodworking!$A$5:$A$84,A153)+SUMIFS(Digital!$Y$5:$Y$84,Digital!$A$5:$A$84,A153),1))</f>
        <v>0</v>
      </c>
      <c r="W153" s="41">
        <f>IF(B153="","",IFERROR(INDEX(DiffTimeFactors,MATCH(G153,DiffNames,0)),1))</f>
        <v>0</v>
      </c>
      <c r="X153" s="36">
        <f>IF(B153="","",ROUND(V153*W153,1))</f>
        <v>0</v>
      </c>
      <c r="Y153" s="41">
        <f>IF(B153="","",ROUND(X153/60,3))</f>
        <v>0</v>
      </c>
      <c r="Z153" s="20">
        <f>IF(B153="","",ROUND(U153*W153,2))</f>
        <v>0</v>
      </c>
      <c r="AA153" s="20">
        <f>IF(B153="","",ROUND(SUMIFS(Labor!$Q$5:$Q$304,Labor!$A$5:$A$304,A153)+SUMIFS(Crochet!$AH$5:$AH$84,Crochet!$A$5:$A$84,A153)+SUMIFS(Jewelry!$AJ$5:$AJ$84,Jewelry!$A$5:$A$84,A153)+SUMIFS(Candles!$AJ$5:$AJ$84,Candles!$A$5:$A$84,A153)+SUMIFS(Clothing!$AF$5:$AF$84,Clothing!$A$5:$A$84,A153)+SUMIFS(Woodworking!$AH$5:$AH$84,Woodworking!$A$5:$A$84,A153)+SUMIFS(Digital!$AA$5:$AA$84,Digital!$A$5:$A$84,A153),2))</f>
        <v>0</v>
      </c>
      <c r="AB153" s="20">
        <f>IF(B153="","",ROUND(IF(I153="Budget",PackBudget,IF(I153="Standard",PackStandard,IF(I153="Gift",PackGift,IF(I153="Premium",PackPremium,DefaultPackaging)))),2))</f>
        <v>0</v>
      </c>
      <c r="AC153" s="36">
        <f>IF(B153="","",IF(I153="Budget",PackWeightBudget,IF(I153="Standard",PackWeightStandard,IF(I153="Gift",PackWeightGift,IF(I153="Premium",PackWeightPremium,0)))))</f>
        <v>0</v>
      </c>
      <c r="AD153" s="20">
        <f>IF(B153="","",IFERROR(INDEX(Shipping!$M$5:$M$64,MATCH(J153,Shipping!$L$5:$L$64,0)),DefaultShipping))</f>
        <v>0</v>
      </c>
      <c r="AE153" s="20">
        <f>IF(B153="","",IFERROR(INDEX(Shipping!$F$5:$F$64,MATCH(J153,Shipping!$L$5:$L$64,0)),0))</f>
        <v>0</v>
      </c>
      <c r="AF153" s="36">
        <f>IF(B153="","",IFERROR(INDEX(Shipping!$C$5:$C$64,MATCH(J153,Shipping!$L$5:$L$64,0)),""))</f>
        <v>0</v>
      </c>
      <c r="AG153" s="20">
        <f>IF(B153="","",ROUND(MAX(0,AD153-AE153),2))</f>
        <v>0</v>
      </c>
      <c r="AH153" s="20">
        <f>IF(B153="","",ROUND(T153+Z153+AA153+AB153+AG153,2))</f>
        <v>0</v>
      </c>
      <c r="AI153" s="33">
        <f>IF(B153="","",IFERROR(INDEX(Channels!$S$5:$S$18,MATCH(IF(H153="",DefaultChannel,H153),Channels!$A$5:$A$18,0)),0))</f>
        <v>0</v>
      </c>
      <c r="AJ153" s="42">
        <f>IF(B153="","",IFERROR(INDEX(Channels!$O$5:$O$18,MATCH(IF(H153="",DefaultChannel,H153),Channels!$A$5:$A$18,0)),"No"))</f>
        <v>0</v>
      </c>
      <c r="AK153" s="20">
        <f>IF(B153="","",ROUND(IFERROR(INDEX(Channels!$T$5:$T$18,MATCH(IF(H153="",DefaultChannel,H153),Channels!$A$5:$A$18,0)),0)+IF(AJ153="Yes",AE153*AI153,0),4))</f>
        <v>0</v>
      </c>
      <c r="AL153" s="33">
        <f>IF(B153="","",IF(OverheadMethod="Share of revenue",IF(RevenueTargetMonth&lt;=0,0,OverheadMonthly/RevenueTargetMonth),0))</f>
        <v>0</v>
      </c>
      <c r="AM153" s="20">
        <f>IF(B153="","",IF(OverheadMethod="Per hour worked",ROUND(OverheadPerHour*Y153,2),IF(OR(OverheadMethod="Per unit made",OverheadMethod="Per order"),OverheadPerUnit,0)))</f>
        <v>0</v>
      </c>
      <c r="AN153" s="33">
        <f>IF(B153="","",IF(N153&lt;&gt;"",N153,TargetRetailMargin))</f>
        <v>0</v>
      </c>
      <c r="AO153" s="41">
        <f>IF(B153="","",1-AN153-AI153-AL153)</f>
        <v>0</v>
      </c>
      <c r="AP153" s="20">
        <f>IF(B153="","",IF(AO153&lt;=0,"",(AH153+AM153+AK153)/AO153))</f>
        <v>0</v>
      </c>
      <c r="AQ153" s="20">
        <f>IF(B153="","",IF(AP153="","Check the settings",ROUND(IF(RoundingRule="None",AP153,IF(RoundingRule="Nearest 0.99",MAX(0.99,CEILING(AP153,1)-0.01),IF(RoundingRule="Nearest 0.95",MAX(0.95,CEILING(AP153,1)-0.05),IF(RoundingRule="Nearest 0.50",CEILING(AP153,0.5),IF(RoundingRule="Nearest 1",CEILING(AP153,1),IF(RoundingRule="Nearest 5",CEILING(AP153,5),IF(RoundingRule="Up to whole 1",CEILING(AP153,1),IF(RoundingRule="Up to whole 5",CEILING(AP153,5),ROUND(AP153,2))))))))),2)))</f>
        <v>0</v>
      </c>
      <c r="AR153" s="20">
        <f>IF(B153="","",IF(M153&lt;&gt;"",M153,IF(ISNUMBER(AQ153),AQ153,"")))</f>
        <v>0</v>
      </c>
      <c r="AS153" s="20">
        <f>IF(B153="","",IF(AR153="","",ROUND(AM153+AR153*AL153,2)))</f>
        <v>0</v>
      </c>
      <c r="AT153" s="20">
        <f>IF(B153="","",IF(AR153="","",ROUND(AH153+AS153,2)))</f>
        <v>0</v>
      </c>
      <c r="AU153" s="20">
        <f>IF(B153="","",IF(AR153="","",ROUND(AR153*AI153+AK153,2)))</f>
        <v>0</v>
      </c>
      <c r="AV153" s="20">
        <f>IF(B153="","",IF(AR153="","",ROUND(AR153-AT153-AU153,2)))</f>
        <v>0</v>
      </c>
      <c r="AW153" s="33">
        <f>IF(B153="","",IF(OR(AR153="",AR153=0),"",AV153/AR153))</f>
        <v>0</v>
      </c>
      <c r="AX153" s="33">
        <f>IF(B153="","",IF(OR(AT153="",AT153=0),"",AV153/AT153))</f>
        <v>0</v>
      </c>
      <c r="AY153" s="20">
        <f>IF(B153="","",IF(OR(Y153="",Y153=0,AV153=""),"",ROUND(AV153/Y153,2)))</f>
        <v>0</v>
      </c>
      <c r="AZ153" s="20">
        <f>IF(B153="","",IF(OR(Y153="",Y153=0,AV153=""),"",ROUND((AV153+Z153)/Y153,2)))</f>
        <v>0</v>
      </c>
      <c r="BA153" s="20">
        <f>IF(B153="","",IF(1-AI153-AL153&lt;=0,"",ROUND((AH153+AM153+AK153)/(1-AI153-AL153),2)))</f>
        <v>0</v>
      </c>
      <c r="BB153" s="20">
        <f>IF(B153="","",IF(AT153="","",ROUND(AT153*2,2)))</f>
        <v>0</v>
      </c>
      <c r="BC153" s="20">
        <f>IF(B153="","",IF(AR153="","",ROUND(AR153*(1-WholesaleDiscount),2)))</f>
        <v>0</v>
      </c>
      <c r="BD153" s="20">
        <f>IF(B153="","",IF(BC153="","",ROUND(BC153-AH153-AM153,2)))</f>
        <v>0</v>
      </c>
      <c r="BE153" s="33">
        <f>IF(B153="","",IF(OR(BC153="",BC153=0),"",BD153/BC153))</f>
        <v>0</v>
      </c>
      <c r="BF153" s="20">
        <f>IF(B153="","",IFERROR(ROUND(AVERAGEIFS(Competitors!$F$5:$F$154,Competitors!$A$5:$A$154,A153),2),""))</f>
        <v>0</v>
      </c>
      <c r="BG153" s="33">
        <f>IF(B153="","",IF(OR(BF153="",BF153=0,AR153=""),"",AR153/BF153-1))</f>
        <v>0</v>
      </c>
      <c r="BH153" s="32">
        <f>IF(B153="","",SUMIFS(Sales!$D$5:$D$804,Sales!$C$5:$C$804,A153))</f>
        <v>0</v>
      </c>
      <c r="BI153" s="20">
        <f>IF(B153="","",ROUND(SUMIFS(Sales!$V$5:$V$804,Sales!$C$5:$C$804,A153),2))</f>
        <v>0</v>
      </c>
      <c r="BJ153" s="20">
        <f>IF(B153="","",ROUND(SUMIFS(Sales!$AG$5:$AG$804,Sales!$C$5:$C$804,A153),2))</f>
        <v>0</v>
      </c>
      <c r="BK153" s="33">
        <f>IF(B153="","",IF(OR(BI153="",BI153=0),"",BJ153/BI153))</f>
        <v>0</v>
      </c>
      <c r="BL153" s="17">
        <f>IF(B153="","",IF(SUMPRODUCT(MAX((Sales!$C$5:$C$804=A153)*Sales!$B$5:$B$804))=0,"",SUMPRODUCT(MAX((Sales!$C$5:$C$804=A153)*Sales!$B$5:$B$804))))</f>
        <v>0</v>
      </c>
      <c r="BM153" s="17">
        <f>IF(B153="","",IF(SUMPRODUCT(MAX(('Price History'!$B$5:$B$304=A153)*'Price History'!$A$5:$A$304))=0,IF(P153="","",P153),SUMPRODUCT(MAX(('Price History'!$B$5:$B$304=A153)*'Price History'!$A$5:$A$304))))</f>
        <v>0</v>
      </c>
      <c r="BN153" s="32">
        <f>IF(B153="","",IF(BM153="","",TodayDate-BM153))</f>
        <v>0</v>
      </c>
      <c r="BO153" s="32">
        <f>IF(B153="","",COUNTIFS($AV$5:$AV$304,"&gt;"&amp;AV153)+COUNTIFS($AV$5:AV153,AV153))</f>
        <v>0</v>
      </c>
      <c r="BP153" s="32">
        <f>IF(B153="","",COUNTIFS($AW$5:$AW$304,"&gt;"&amp;AW153)+COUNTIFS($AW$5:AW153,AW153))</f>
        <v>0</v>
      </c>
      <c r="BQ153" s="32">
        <f>IF(B153="","",COUNTIFS($BI$5:$BI$304,"&gt;"&amp;BI153)+COUNTIFS($BI$5:BI153,BI153))</f>
        <v>0</v>
      </c>
      <c r="BR153" s="32">
        <f>IF(B153="","",COUNTIFS($AY$5:$AY$304,"&gt;"&amp;AY153)+COUNTIFS($AY$5:AY153,AY153))</f>
        <v>0</v>
      </c>
      <c r="BS153" s="43">
        <f>IF(B153="","",IF(AH153=0,"Add - no costs entered yet",IF(AR153="","Check - no price yet",IF(AV153&lt;0,"Loss - every sale costs you money",IF(AND(AZ153&lt;&gt;"",AZ153&lt;MinimumWage),"Below - pays under minimum wage",IF(AW153&lt;MarginWarning,"Low margin - re-price it",IF(AND(AF153&lt;&gt;"",K153&lt;&gt;"",K153+AC153&gt;AF153),"Check - too heavy for that postage band",IF(AND(BN153&lt;&gt;"",BN153&gt;PriceReviewDays),"Due - price has not been reviewed",IF(AND(BG153&lt;&gt;"",BG153&gt;0.5),"Check - well above the market","OK")))))))) )</f>
        <v>0</v>
      </c>
    </row>
    <row r="154" spans="1:71">
      <c r="A154" s="38">
        <f>IF(B154="","",ProductPrefix&amp;TEXT(ROW()-4,"0000"))</f>
        <v>0</v>
      </c>
      <c r="S154" s="38">
        <f>IF(B154="","",IF(C154&lt;&gt;"",C154,UPPER(LEFT(IF(D154="","GEN",D154),3))&amp;"-"&amp;TEXT(ROW()-4,"000")))</f>
        <v>0</v>
      </c>
      <c r="T154" s="20">
        <f>IF(B154="","",ROUND(SUMIFS('Material Usage'!$M$5:$M$904,'Material Usage'!$A$5:$A$904,A154)+SUMIFS(Crochet!$AD$5:$AD$84,Crochet!$A$5:$A$84,A154)+SUMIFS(Jewelry!$AF$5:$AF$84,Jewelry!$A$5:$A$84,A154)+SUMIFS(Candles!$AF$5:$AF$84,Candles!$A$5:$A$84,A154)+SUMIFS(Clothing!$AB$5:$AB$84,Clothing!$A$5:$A$84,A154)+SUMIFS(Woodworking!$AC$5:$AC$84,Woodworking!$A$5:$A$84,A154)+SUMIFS(Digital!$X$5:$X$84,Digital!$A$5:$A$84,A154),2))</f>
        <v>0</v>
      </c>
      <c r="U154" s="20">
        <f>IF(B154="","",ROUND(SUMIFS(Labor!$O$5:$O$304,Labor!$A$5:$A$304,A154)+SUMIFS(Crochet!$AG$5:$AG$84,Crochet!$A$5:$A$84,A154)+SUMIFS(Jewelry!$AI$5:$AI$84,Jewelry!$A$5:$A$84,A154)+SUMIFS(Candles!$AI$5:$AI$84,Candles!$A$5:$A$84,A154)+SUMIFS(Clothing!$AE$5:$AE$84,Clothing!$A$5:$A$84,A154)+SUMIFS(Woodworking!$AF$5:$AF$84,Woodworking!$A$5:$A$84,A154)+SUMIFS(Digital!$Z$5:$Z$84,Digital!$A$5:$A$84,A154),2))</f>
        <v>0</v>
      </c>
      <c r="V154" s="36">
        <f>IF(B154="","",ROUND(SUMIFS(Labor!$P$5:$P$304,Labor!$A$5:$A$304,A154)+SUMIFS(Crochet!$AE$5:$AE$84,Crochet!$A$5:$A$84,A154)+SUMIFS(Jewelry!$AG$5:$AG$84,Jewelry!$A$5:$A$84,A154)+SUMIFS(Candles!$AG$5:$AG$84,Candles!$A$5:$A$84,A154)+SUMIFS(Clothing!$AC$5:$AC$84,Clothing!$A$5:$A$84,A154)+SUMIFS(Woodworking!$AD$5:$AD$84,Woodworking!$A$5:$A$84,A154)+SUMIFS(Digital!$Y$5:$Y$84,Digital!$A$5:$A$84,A154),1))</f>
        <v>0</v>
      </c>
      <c r="W154" s="41">
        <f>IF(B154="","",IFERROR(INDEX(DiffTimeFactors,MATCH(G154,DiffNames,0)),1))</f>
        <v>0</v>
      </c>
      <c r="X154" s="36">
        <f>IF(B154="","",ROUND(V154*W154,1))</f>
        <v>0</v>
      </c>
      <c r="Y154" s="41">
        <f>IF(B154="","",ROUND(X154/60,3))</f>
        <v>0</v>
      </c>
      <c r="Z154" s="20">
        <f>IF(B154="","",ROUND(U154*W154,2))</f>
        <v>0</v>
      </c>
      <c r="AA154" s="20">
        <f>IF(B154="","",ROUND(SUMIFS(Labor!$Q$5:$Q$304,Labor!$A$5:$A$304,A154)+SUMIFS(Crochet!$AH$5:$AH$84,Crochet!$A$5:$A$84,A154)+SUMIFS(Jewelry!$AJ$5:$AJ$84,Jewelry!$A$5:$A$84,A154)+SUMIFS(Candles!$AJ$5:$AJ$84,Candles!$A$5:$A$84,A154)+SUMIFS(Clothing!$AF$5:$AF$84,Clothing!$A$5:$A$84,A154)+SUMIFS(Woodworking!$AH$5:$AH$84,Woodworking!$A$5:$A$84,A154)+SUMIFS(Digital!$AA$5:$AA$84,Digital!$A$5:$A$84,A154),2))</f>
        <v>0</v>
      </c>
      <c r="AB154" s="20">
        <f>IF(B154="","",ROUND(IF(I154="Budget",PackBudget,IF(I154="Standard",PackStandard,IF(I154="Gift",PackGift,IF(I154="Premium",PackPremium,DefaultPackaging)))),2))</f>
        <v>0</v>
      </c>
      <c r="AC154" s="36">
        <f>IF(B154="","",IF(I154="Budget",PackWeightBudget,IF(I154="Standard",PackWeightStandard,IF(I154="Gift",PackWeightGift,IF(I154="Premium",PackWeightPremium,0)))))</f>
        <v>0</v>
      </c>
      <c r="AD154" s="20">
        <f>IF(B154="","",IFERROR(INDEX(Shipping!$M$5:$M$64,MATCH(J154,Shipping!$L$5:$L$64,0)),DefaultShipping))</f>
        <v>0</v>
      </c>
      <c r="AE154" s="20">
        <f>IF(B154="","",IFERROR(INDEX(Shipping!$F$5:$F$64,MATCH(J154,Shipping!$L$5:$L$64,0)),0))</f>
        <v>0</v>
      </c>
      <c r="AF154" s="36">
        <f>IF(B154="","",IFERROR(INDEX(Shipping!$C$5:$C$64,MATCH(J154,Shipping!$L$5:$L$64,0)),""))</f>
        <v>0</v>
      </c>
      <c r="AG154" s="20">
        <f>IF(B154="","",ROUND(MAX(0,AD154-AE154),2))</f>
        <v>0</v>
      </c>
      <c r="AH154" s="20">
        <f>IF(B154="","",ROUND(T154+Z154+AA154+AB154+AG154,2))</f>
        <v>0</v>
      </c>
      <c r="AI154" s="33">
        <f>IF(B154="","",IFERROR(INDEX(Channels!$S$5:$S$18,MATCH(IF(H154="",DefaultChannel,H154),Channels!$A$5:$A$18,0)),0))</f>
        <v>0</v>
      </c>
      <c r="AJ154" s="42">
        <f>IF(B154="","",IFERROR(INDEX(Channels!$O$5:$O$18,MATCH(IF(H154="",DefaultChannel,H154),Channels!$A$5:$A$18,0)),"No"))</f>
        <v>0</v>
      </c>
      <c r="AK154" s="20">
        <f>IF(B154="","",ROUND(IFERROR(INDEX(Channels!$T$5:$T$18,MATCH(IF(H154="",DefaultChannel,H154),Channels!$A$5:$A$18,0)),0)+IF(AJ154="Yes",AE154*AI154,0),4))</f>
        <v>0</v>
      </c>
      <c r="AL154" s="33">
        <f>IF(B154="","",IF(OverheadMethod="Share of revenue",IF(RevenueTargetMonth&lt;=0,0,OverheadMonthly/RevenueTargetMonth),0))</f>
        <v>0</v>
      </c>
      <c r="AM154" s="20">
        <f>IF(B154="","",IF(OverheadMethod="Per hour worked",ROUND(OverheadPerHour*Y154,2),IF(OR(OverheadMethod="Per unit made",OverheadMethod="Per order"),OverheadPerUnit,0)))</f>
        <v>0</v>
      </c>
      <c r="AN154" s="33">
        <f>IF(B154="","",IF(N154&lt;&gt;"",N154,TargetRetailMargin))</f>
        <v>0</v>
      </c>
      <c r="AO154" s="41">
        <f>IF(B154="","",1-AN154-AI154-AL154)</f>
        <v>0</v>
      </c>
      <c r="AP154" s="20">
        <f>IF(B154="","",IF(AO154&lt;=0,"",(AH154+AM154+AK154)/AO154))</f>
        <v>0</v>
      </c>
      <c r="AQ154" s="20">
        <f>IF(B154="","",IF(AP154="","Check the settings",ROUND(IF(RoundingRule="None",AP154,IF(RoundingRule="Nearest 0.99",MAX(0.99,CEILING(AP154,1)-0.01),IF(RoundingRule="Nearest 0.95",MAX(0.95,CEILING(AP154,1)-0.05),IF(RoundingRule="Nearest 0.50",CEILING(AP154,0.5),IF(RoundingRule="Nearest 1",CEILING(AP154,1),IF(RoundingRule="Nearest 5",CEILING(AP154,5),IF(RoundingRule="Up to whole 1",CEILING(AP154,1),IF(RoundingRule="Up to whole 5",CEILING(AP154,5),ROUND(AP154,2))))))))),2)))</f>
        <v>0</v>
      </c>
      <c r="AR154" s="20">
        <f>IF(B154="","",IF(M154&lt;&gt;"",M154,IF(ISNUMBER(AQ154),AQ154,"")))</f>
        <v>0</v>
      </c>
      <c r="AS154" s="20">
        <f>IF(B154="","",IF(AR154="","",ROUND(AM154+AR154*AL154,2)))</f>
        <v>0</v>
      </c>
      <c r="AT154" s="20">
        <f>IF(B154="","",IF(AR154="","",ROUND(AH154+AS154,2)))</f>
        <v>0</v>
      </c>
      <c r="AU154" s="20">
        <f>IF(B154="","",IF(AR154="","",ROUND(AR154*AI154+AK154,2)))</f>
        <v>0</v>
      </c>
      <c r="AV154" s="20">
        <f>IF(B154="","",IF(AR154="","",ROUND(AR154-AT154-AU154,2)))</f>
        <v>0</v>
      </c>
      <c r="AW154" s="33">
        <f>IF(B154="","",IF(OR(AR154="",AR154=0),"",AV154/AR154))</f>
        <v>0</v>
      </c>
      <c r="AX154" s="33">
        <f>IF(B154="","",IF(OR(AT154="",AT154=0),"",AV154/AT154))</f>
        <v>0</v>
      </c>
      <c r="AY154" s="20">
        <f>IF(B154="","",IF(OR(Y154="",Y154=0,AV154=""),"",ROUND(AV154/Y154,2)))</f>
        <v>0</v>
      </c>
      <c r="AZ154" s="20">
        <f>IF(B154="","",IF(OR(Y154="",Y154=0,AV154=""),"",ROUND((AV154+Z154)/Y154,2)))</f>
        <v>0</v>
      </c>
      <c r="BA154" s="20">
        <f>IF(B154="","",IF(1-AI154-AL154&lt;=0,"",ROUND((AH154+AM154+AK154)/(1-AI154-AL154),2)))</f>
        <v>0</v>
      </c>
      <c r="BB154" s="20">
        <f>IF(B154="","",IF(AT154="","",ROUND(AT154*2,2)))</f>
        <v>0</v>
      </c>
      <c r="BC154" s="20">
        <f>IF(B154="","",IF(AR154="","",ROUND(AR154*(1-WholesaleDiscount),2)))</f>
        <v>0</v>
      </c>
      <c r="BD154" s="20">
        <f>IF(B154="","",IF(BC154="","",ROUND(BC154-AH154-AM154,2)))</f>
        <v>0</v>
      </c>
      <c r="BE154" s="33">
        <f>IF(B154="","",IF(OR(BC154="",BC154=0),"",BD154/BC154))</f>
        <v>0</v>
      </c>
      <c r="BF154" s="20">
        <f>IF(B154="","",IFERROR(ROUND(AVERAGEIFS(Competitors!$F$5:$F$154,Competitors!$A$5:$A$154,A154),2),""))</f>
        <v>0</v>
      </c>
      <c r="BG154" s="33">
        <f>IF(B154="","",IF(OR(BF154="",BF154=0,AR154=""),"",AR154/BF154-1))</f>
        <v>0</v>
      </c>
      <c r="BH154" s="32">
        <f>IF(B154="","",SUMIFS(Sales!$D$5:$D$804,Sales!$C$5:$C$804,A154))</f>
        <v>0</v>
      </c>
      <c r="BI154" s="20">
        <f>IF(B154="","",ROUND(SUMIFS(Sales!$V$5:$V$804,Sales!$C$5:$C$804,A154),2))</f>
        <v>0</v>
      </c>
      <c r="BJ154" s="20">
        <f>IF(B154="","",ROUND(SUMIFS(Sales!$AG$5:$AG$804,Sales!$C$5:$C$804,A154),2))</f>
        <v>0</v>
      </c>
      <c r="BK154" s="33">
        <f>IF(B154="","",IF(OR(BI154="",BI154=0),"",BJ154/BI154))</f>
        <v>0</v>
      </c>
      <c r="BL154" s="17">
        <f>IF(B154="","",IF(SUMPRODUCT(MAX((Sales!$C$5:$C$804=A154)*Sales!$B$5:$B$804))=0,"",SUMPRODUCT(MAX((Sales!$C$5:$C$804=A154)*Sales!$B$5:$B$804))))</f>
        <v>0</v>
      </c>
      <c r="BM154" s="17">
        <f>IF(B154="","",IF(SUMPRODUCT(MAX(('Price History'!$B$5:$B$304=A154)*'Price History'!$A$5:$A$304))=0,IF(P154="","",P154),SUMPRODUCT(MAX(('Price History'!$B$5:$B$304=A154)*'Price History'!$A$5:$A$304))))</f>
        <v>0</v>
      </c>
      <c r="BN154" s="32">
        <f>IF(B154="","",IF(BM154="","",TodayDate-BM154))</f>
        <v>0</v>
      </c>
      <c r="BO154" s="32">
        <f>IF(B154="","",COUNTIFS($AV$5:$AV$304,"&gt;"&amp;AV154)+COUNTIFS($AV$5:AV154,AV154))</f>
        <v>0</v>
      </c>
      <c r="BP154" s="32">
        <f>IF(B154="","",COUNTIFS($AW$5:$AW$304,"&gt;"&amp;AW154)+COUNTIFS($AW$5:AW154,AW154))</f>
        <v>0</v>
      </c>
      <c r="BQ154" s="32">
        <f>IF(B154="","",COUNTIFS($BI$5:$BI$304,"&gt;"&amp;BI154)+COUNTIFS($BI$5:BI154,BI154))</f>
        <v>0</v>
      </c>
      <c r="BR154" s="32">
        <f>IF(B154="","",COUNTIFS($AY$5:$AY$304,"&gt;"&amp;AY154)+COUNTIFS($AY$5:AY154,AY154))</f>
        <v>0</v>
      </c>
      <c r="BS154" s="43">
        <f>IF(B154="","",IF(AH154=0,"Add - no costs entered yet",IF(AR154="","Check - no price yet",IF(AV154&lt;0,"Loss - every sale costs you money",IF(AND(AZ154&lt;&gt;"",AZ154&lt;MinimumWage),"Below - pays under minimum wage",IF(AW154&lt;MarginWarning,"Low margin - re-price it",IF(AND(AF154&lt;&gt;"",K154&lt;&gt;"",K154+AC154&gt;AF154),"Check - too heavy for that postage band",IF(AND(BN154&lt;&gt;"",BN154&gt;PriceReviewDays),"Due - price has not been reviewed",IF(AND(BG154&lt;&gt;"",BG154&gt;0.5),"Check - well above the market","OK")))))))) )</f>
        <v>0</v>
      </c>
    </row>
    <row r="155" spans="1:71">
      <c r="A155" s="38">
        <f>IF(B155="","",ProductPrefix&amp;TEXT(ROW()-4,"0000"))</f>
        <v>0</v>
      </c>
      <c r="S155" s="38">
        <f>IF(B155="","",IF(C155&lt;&gt;"",C155,UPPER(LEFT(IF(D155="","GEN",D155),3))&amp;"-"&amp;TEXT(ROW()-4,"000")))</f>
        <v>0</v>
      </c>
      <c r="T155" s="20">
        <f>IF(B155="","",ROUND(SUMIFS('Material Usage'!$M$5:$M$904,'Material Usage'!$A$5:$A$904,A155)+SUMIFS(Crochet!$AD$5:$AD$84,Crochet!$A$5:$A$84,A155)+SUMIFS(Jewelry!$AF$5:$AF$84,Jewelry!$A$5:$A$84,A155)+SUMIFS(Candles!$AF$5:$AF$84,Candles!$A$5:$A$84,A155)+SUMIFS(Clothing!$AB$5:$AB$84,Clothing!$A$5:$A$84,A155)+SUMIFS(Woodworking!$AC$5:$AC$84,Woodworking!$A$5:$A$84,A155)+SUMIFS(Digital!$X$5:$X$84,Digital!$A$5:$A$84,A155),2))</f>
        <v>0</v>
      </c>
      <c r="U155" s="20">
        <f>IF(B155="","",ROUND(SUMIFS(Labor!$O$5:$O$304,Labor!$A$5:$A$304,A155)+SUMIFS(Crochet!$AG$5:$AG$84,Crochet!$A$5:$A$84,A155)+SUMIFS(Jewelry!$AI$5:$AI$84,Jewelry!$A$5:$A$84,A155)+SUMIFS(Candles!$AI$5:$AI$84,Candles!$A$5:$A$84,A155)+SUMIFS(Clothing!$AE$5:$AE$84,Clothing!$A$5:$A$84,A155)+SUMIFS(Woodworking!$AF$5:$AF$84,Woodworking!$A$5:$A$84,A155)+SUMIFS(Digital!$Z$5:$Z$84,Digital!$A$5:$A$84,A155),2))</f>
        <v>0</v>
      </c>
      <c r="V155" s="36">
        <f>IF(B155="","",ROUND(SUMIFS(Labor!$P$5:$P$304,Labor!$A$5:$A$304,A155)+SUMIFS(Crochet!$AE$5:$AE$84,Crochet!$A$5:$A$84,A155)+SUMIFS(Jewelry!$AG$5:$AG$84,Jewelry!$A$5:$A$84,A155)+SUMIFS(Candles!$AG$5:$AG$84,Candles!$A$5:$A$84,A155)+SUMIFS(Clothing!$AC$5:$AC$84,Clothing!$A$5:$A$84,A155)+SUMIFS(Woodworking!$AD$5:$AD$84,Woodworking!$A$5:$A$84,A155)+SUMIFS(Digital!$Y$5:$Y$84,Digital!$A$5:$A$84,A155),1))</f>
        <v>0</v>
      </c>
      <c r="W155" s="41">
        <f>IF(B155="","",IFERROR(INDEX(DiffTimeFactors,MATCH(G155,DiffNames,0)),1))</f>
        <v>0</v>
      </c>
      <c r="X155" s="36">
        <f>IF(B155="","",ROUND(V155*W155,1))</f>
        <v>0</v>
      </c>
      <c r="Y155" s="41">
        <f>IF(B155="","",ROUND(X155/60,3))</f>
        <v>0</v>
      </c>
      <c r="Z155" s="20">
        <f>IF(B155="","",ROUND(U155*W155,2))</f>
        <v>0</v>
      </c>
      <c r="AA155" s="20">
        <f>IF(B155="","",ROUND(SUMIFS(Labor!$Q$5:$Q$304,Labor!$A$5:$A$304,A155)+SUMIFS(Crochet!$AH$5:$AH$84,Crochet!$A$5:$A$84,A155)+SUMIFS(Jewelry!$AJ$5:$AJ$84,Jewelry!$A$5:$A$84,A155)+SUMIFS(Candles!$AJ$5:$AJ$84,Candles!$A$5:$A$84,A155)+SUMIFS(Clothing!$AF$5:$AF$84,Clothing!$A$5:$A$84,A155)+SUMIFS(Woodworking!$AH$5:$AH$84,Woodworking!$A$5:$A$84,A155)+SUMIFS(Digital!$AA$5:$AA$84,Digital!$A$5:$A$84,A155),2))</f>
        <v>0</v>
      </c>
      <c r="AB155" s="20">
        <f>IF(B155="","",ROUND(IF(I155="Budget",PackBudget,IF(I155="Standard",PackStandard,IF(I155="Gift",PackGift,IF(I155="Premium",PackPremium,DefaultPackaging)))),2))</f>
        <v>0</v>
      </c>
      <c r="AC155" s="36">
        <f>IF(B155="","",IF(I155="Budget",PackWeightBudget,IF(I155="Standard",PackWeightStandard,IF(I155="Gift",PackWeightGift,IF(I155="Premium",PackWeightPremium,0)))))</f>
        <v>0</v>
      </c>
      <c r="AD155" s="20">
        <f>IF(B155="","",IFERROR(INDEX(Shipping!$M$5:$M$64,MATCH(J155,Shipping!$L$5:$L$64,0)),DefaultShipping))</f>
        <v>0</v>
      </c>
      <c r="AE155" s="20">
        <f>IF(B155="","",IFERROR(INDEX(Shipping!$F$5:$F$64,MATCH(J155,Shipping!$L$5:$L$64,0)),0))</f>
        <v>0</v>
      </c>
      <c r="AF155" s="36">
        <f>IF(B155="","",IFERROR(INDEX(Shipping!$C$5:$C$64,MATCH(J155,Shipping!$L$5:$L$64,0)),""))</f>
        <v>0</v>
      </c>
      <c r="AG155" s="20">
        <f>IF(B155="","",ROUND(MAX(0,AD155-AE155),2))</f>
        <v>0</v>
      </c>
      <c r="AH155" s="20">
        <f>IF(B155="","",ROUND(T155+Z155+AA155+AB155+AG155,2))</f>
        <v>0</v>
      </c>
      <c r="AI155" s="33">
        <f>IF(B155="","",IFERROR(INDEX(Channels!$S$5:$S$18,MATCH(IF(H155="",DefaultChannel,H155),Channels!$A$5:$A$18,0)),0))</f>
        <v>0</v>
      </c>
      <c r="AJ155" s="42">
        <f>IF(B155="","",IFERROR(INDEX(Channels!$O$5:$O$18,MATCH(IF(H155="",DefaultChannel,H155),Channels!$A$5:$A$18,0)),"No"))</f>
        <v>0</v>
      </c>
      <c r="AK155" s="20">
        <f>IF(B155="","",ROUND(IFERROR(INDEX(Channels!$T$5:$T$18,MATCH(IF(H155="",DefaultChannel,H155),Channels!$A$5:$A$18,0)),0)+IF(AJ155="Yes",AE155*AI155,0),4))</f>
        <v>0</v>
      </c>
      <c r="AL155" s="33">
        <f>IF(B155="","",IF(OverheadMethod="Share of revenue",IF(RevenueTargetMonth&lt;=0,0,OverheadMonthly/RevenueTargetMonth),0))</f>
        <v>0</v>
      </c>
      <c r="AM155" s="20">
        <f>IF(B155="","",IF(OverheadMethod="Per hour worked",ROUND(OverheadPerHour*Y155,2),IF(OR(OverheadMethod="Per unit made",OverheadMethod="Per order"),OverheadPerUnit,0)))</f>
        <v>0</v>
      </c>
      <c r="AN155" s="33">
        <f>IF(B155="","",IF(N155&lt;&gt;"",N155,TargetRetailMargin))</f>
        <v>0</v>
      </c>
      <c r="AO155" s="41">
        <f>IF(B155="","",1-AN155-AI155-AL155)</f>
        <v>0</v>
      </c>
      <c r="AP155" s="20">
        <f>IF(B155="","",IF(AO155&lt;=0,"",(AH155+AM155+AK155)/AO155))</f>
        <v>0</v>
      </c>
      <c r="AQ155" s="20">
        <f>IF(B155="","",IF(AP155="","Check the settings",ROUND(IF(RoundingRule="None",AP155,IF(RoundingRule="Nearest 0.99",MAX(0.99,CEILING(AP155,1)-0.01),IF(RoundingRule="Nearest 0.95",MAX(0.95,CEILING(AP155,1)-0.05),IF(RoundingRule="Nearest 0.50",CEILING(AP155,0.5),IF(RoundingRule="Nearest 1",CEILING(AP155,1),IF(RoundingRule="Nearest 5",CEILING(AP155,5),IF(RoundingRule="Up to whole 1",CEILING(AP155,1),IF(RoundingRule="Up to whole 5",CEILING(AP155,5),ROUND(AP155,2))))))))),2)))</f>
        <v>0</v>
      </c>
      <c r="AR155" s="20">
        <f>IF(B155="","",IF(M155&lt;&gt;"",M155,IF(ISNUMBER(AQ155),AQ155,"")))</f>
        <v>0</v>
      </c>
      <c r="AS155" s="20">
        <f>IF(B155="","",IF(AR155="","",ROUND(AM155+AR155*AL155,2)))</f>
        <v>0</v>
      </c>
      <c r="AT155" s="20">
        <f>IF(B155="","",IF(AR155="","",ROUND(AH155+AS155,2)))</f>
        <v>0</v>
      </c>
      <c r="AU155" s="20">
        <f>IF(B155="","",IF(AR155="","",ROUND(AR155*AI155+AK155,2)))</f>
        <v>0</v>
      </c>
      <c r="AV155" s="20">
        <f>IF(B155="","",IF(AR155="","",ROUND(AR155-AT155-AU155,2)))</f>
        <v>0</v>
      </c>
      <c r="AW155" s="33">
        <f>IF(B155="","",IF(OR(AR155="",AR155=0),"",AV155/AR155))</f>
        <v>0</v>
      </c>
      <c r="AX155" s="33">
        <f>IF(B155="","",IF(OR(AT155="",AT155=0),"",AV155/AT155))</f>
        <v>0</v>
      </c>
      <c r="AY155" s="20">
        <f>IF(B155="","",IF(OR(Y155="",Y155=0,AV155=""),"",ROUND(AV155/Y155,2)))</f>
        <v>0</v>
      </c>
      <c r="AZ155" s="20">
        <f>IF(B155="","",IF(OR(Y155="",Y155=0,AV155=""),"",ROUND((AV155+Z155)/Y155,2)))</f>
        <v>0</v>
      </c>
      <c r="BA155" s="20">
        <f>IF(B155="","",IF(1-AI155-AL155&lt;=0,"",ROUND((AH155+AM155+AK155)/(1-AI155-AL155),2)))</f>
        <v>0</v>
      </c>
      <c r="BB155" s="20">
        <f>IF(B155="","",IF(AT155="","",ROUND(AT155*2,2)))</f>
        <v>0</v>
      </c>
      <c r="BC155" s="20">
        <f>IF(B155="","",IF(AR155="","",ROUND(AR155*(1-WholesaleDiscount),2)))</f>
        <v>0</v>
      </c>
      <c r="BD155" s="20">
        <f>IF(B155="","",IF(BC155="","",ROUND(BC155-AH155-AM155,2)))</f>
        <v>0</v>
      </c>
      <c r="BE155" s="33">
        <f>IF(B155="","",IF(OR(BC155="",BC155=0),"",BD155/BC155))</f>
        <v>0</v>
      </c>
      <c r="BF155" s="20">
        <f>IF(B155="","",IFERROR(ROUND(AVERAGEIFS(Competitors!$F$5:$F$154,Competitors!$A$5:$A$154,A155),2),""))</f>
        <v>0</v>
      </c>
      <c r="BG155" s="33">
        <f>IF(B155="","",IF(OR(BF155="",BF155=0,AR155=""),"",AR155/BF155-1))</f>
        <v>0</v>
      </c>
      <c r="BH155" s="32">
        <f>IF(B155="","",SUMIFS(Sales!$D$5:$D$804,Sales!$C$5:$C$804,A155))</f>
        <v>0</v>
      </c>
      <c r="BI155" s="20">
        <f>IF(B155="","",ROUND(SUMIFS(Sales!$V$5:$V$804,Sales!$C$5:$C$804,A155),2))</f>
        <v>0</v>
      </c>
      <c r="BJ155" s="20">
        <f>IF(B155="","",ROUND(SUMIFS(Sales!$AG$5:$AG$804,Sales!$C$5:$C$804,A155),2))</f>
        <v>0</v>
      </c>
      <c r="BK155" s="33">
        <f>IF(B155="","",IF(OR(BI155="",BI155=0),"",BJ155/BI155))</f>
        <v>0</v>
      </c>
      <c r="BL155" s="17">
        <f>IF(B155="","",IF(SUMPRODUCT(MAX((Sales!$C$5:$C$804=A155)*Sales!$B$5:$B$804))=0,"",SUMPRODUCT(MAX((Sales!$C$5:$C$804=A155)*Sales!$B$5:$B$804))))</f>
        <v>0</v>
      </c>
      <c r="BM155" s="17">
        <f>IF(B155="","",IF(SUMPRODUCT(MAX(('Price History'!$B$5:$B$304=A155)*'Price History'!$A$5:$A$304))=0,IF(P155="","",P155),SUMPRODUCT(MAX(('Price History'!$B$5:$B$304=A155)*'Price History'!$A$5:$A$304))))</f>
        <v>0</v>
      </c>
      <c r="BN155" s="32">
        <f>IF(B155="","",IF(BM155="","",TodayDate-BM155))</f>
        <v>0</v>
      </c>
      <c r="BO155" s="32">
        <f>IF(B155="","",COUNTIFS($AV$5:$AV$304,"&gt;"&amp;AV155)+COUNTIFS($AV$5:AV155,AV155))</f>
        <v>0</v>
      </c>
      <c r="BP155" s="32">
        <f>IF(B155="","",COUNTIFS($AW$5:$AW$304,"&gt;"&amp;AW155)+COUNTIFS($AW$5:AW155,AW155))</f>
        <v>0</v>
      </c>
      <c r="BQ155" s="32">
        <f>IF(B155="","",COUNTIFS($BI$5:$BI$304,"&gt;"&amp;BI155)+COUNTIFS($BI$5:BI155,BI155))</f>
        <v>0</v>
      </c>
      <c r="BR155" s="32">
        <f>IF(B155="","",COUNTIFS($AY$5:$AY$304,"&gt;"&amp;AY155)+COUNTIFS($AY$5:AY155,AY155))</f>
        <v>0</v>
      </c>
      <c r="BS155" s="43">
        <f>IF(B155="","",IF(AH155=0,"Add - no costs entered yet",IF(AR155="","Check - no price yet",IF(AV155&lt;0,"Loss - every sale costs you money",IF(AND(AZ155&lt;&gt;"",AZ155&lt;MinimumWage),"Below - pays under minimum wage",IF(AW155&lt;MarginWarning,"Low margin - re-price it",IF(AND(AF155&lt;&gt;"",K155&lt;&gt;"",K155+AC155&gt;AF155),"Check - too heavy for that postage band",IF(AND(BN155&lt;&gt;"",BN155&gt;PriceReviewDays),"Due - price has not been reviewed",IF(AND(BG155&lt;&gt;"",BG155&gt;0.5),"Check - well above the market","OK")))))))) )</f>
        <v>0</v>
      </c>
    </row>
    <row r="156" spans="1:71">
      <c r="A156" s="38">
        <f>IF(B156="","",ProductPrefix&amp;TEXT(ROW()-4,"0000"))</f>
        <v>0</v>
      </c>
      <c r="S156" s="38">
        <f>IF(B156="","",IF(C156&lt;&gt;"",C156,UPPER(LEFT(IF(D156="","GEN",D156),3))&amp;"-"&amp;TEXT(ROW()-4,"000")))</f>
        <v>0</v>
      </c>
      <c r="T156" s="20">
        <f>IF(B156="","",ROUND(SUMIFS('Material Usage'!$M$5:$M$904,'Material Usage'!$A$5:$A$904,A156)+SUMIFS(Crochet!$AD$5:$AD$84,Crochet!$A$5:$A$84,A156)+SUMIFS(Jewelry!$AF$5:$AF$84,Jewelry!$A$5:$A$84,A156)+SUMIFS(Candles!$AF$5:$AF$84,Candles!$A$5:$A$84,A156)+SUMIFS(Clothing!$AB$5:$AB$84,Clothing!$A$5:$A$84,A156)+SUMIFS(Woodworking!$AC$5:$AC$84,Woodworking!$A$5:$A$84,A156)+SUMIFS(Digital!$X$5:$X$84,Digital!$A$5:$A$84,A156),2))</f>
        <v>0</v>
      </c>
      <c r="U156" s="20">
        <f>IF(B156="","",ROUND(SUMIFS(Labor!$O$5:$O$304,Labor!$A$5:$A$304,A156)+SUMIFS(Crochet!$AG$5:$AG$84,Crochet!$A$5:$A$84,A156)+SUMIFS(Jewelry!$AI$5:$AI$84,Jewelry!$A$5:$A$84,A156)+SUMIFS(Candles!$AI$5:$AI$84,Candles!$A$5:$A$84,A156)+SUMIFS(Clothing!$AE$5:$AE$84,Clothing!$A$5:$A$84,A156)+SUMIFS(Woodworking!$AF$5:$AF$84,Woodworking!$A$5:$A$84,A156)+SUMIFS(Digital!$Z$5:$Z$84,Digital!$A$5:$A$84,A156),2))</f>
        <v>0</v>
      </c>
      <c r="V156" s="36">
        <f>IF(B156="","",ROUND(SUMIFS(Labor!$P$5:$P$304,Labor!$A$5:$A$304,A156)+SUMIFS(Crochet!$AE$5:$AE$84,Crochet!$A$5:$A$84,A156)+SUMIFS(Jewelry!$AG$5:$AG$84,Jewelry!$A$5:$A$84,A156)+SUMIFS(Candles!$AG$5:$AG$84,Candles!$A$5:$A$84,A156)+SUMIFS(Clothing!$AC$5:$AC$84,Clothing!$A$5:$A$84,A156)+SUMIFS(Woodworking!$AD$5:$AD$84,Woodworking!$A$5:$A$84,A156)+SUMIFS(Digital!$Y$5:$Y$84,Digital!$A$5:$A$84,A156),1))</f>
        <v>0</v>
      </c>
      <c r="W156" s="41">
        <f>IF(B156="","",IFERROR(INDEX(DiffTimeFactors,MATCH(G156,DiffNames,0)),1))</f>
        <v>0</v>
      </c>
      <c r="X156" s="36">
        <f>IF(B156="","",ROUND(V156*W156,1))</f>
        <v>0</v>
      </c>
      <c r="Y156" s="41">
        <f>IF(B156="","",ROUND(X156/60,3))</f>
        <v>0</v>
      </c>
      <c r="Z156" s="20">
        <f>IF(B156="","",ROUND(U156*W156,2))</f>
        <v>0</v>
      </c>
      <c r="AA156" s="20">
        <f>IF(B156="","",ROUND(SUMIFS(Labor!$Q$5:$Q$304,Labor!$A$5:$A$304,A156)+SUMIFS(Crochet!$AH$5:$AH$84,Crochet!$A$5:$A$84,A156)+SUMIFS(Jewelry!$AJ$5:$AJ$84,Jewelry!$A$5:$A$84,A156)+SUMIFS(Candles!$AJ$5:$AJ$84,Candles!$A$5:$A$84,A156)+SUMIFS(Clothing!$AF$5:$AF$84,Clothing!$A$5:$A$84,A156)+SUMIFS(Woodworking!$AH$5:$AH$84,Woodworking!$A$5:$A$84,A156)+SUMIFS(Digital!$AA$5:$AA$84,Digital!$A$5:$A$84,A156),2))</f>
        <v>0</v>
      </c>
      <c r="AB156" s="20">
        <f>IF(B156="","",ROUND(IF(I156="Budget",PackBudget,IF(I156="Standard",PackStandard,IF(I156="Gift",PackGift,IF(I156="Premium",PackPremium,DefaultPackaging)))),2))</f>
        <v>0</v>
      </c>
      <c r="AC156" s="36">
        <f>IF(B156="","",IF(I156="Budget",PackWeightBudget,IF(I156="Standard",PackWeightStandard,IF(I156="Gift",PackWeightGift,IF(I156="Premium",PackWeightPremium,0)))))</f>
        <v>0</v>
      </c>
      <c r="AD156" s="20">
        <f>IF(B156="","",IFERROR(INDEX(Shipping!$M$5:$M$64,MATCH(J156,Shipping!$L$5:$L$64,0)),DefaultShipping))</f>
        <v>0</v>
      </c>
      <c r="AE156" s="20">
        <f>IF(B156="","",IFERROR(INDEX(Shipping!$F$5:$F$64,MATCH(J156,Shipping!$L$5:$L$64,0)),0))</f>
        <v>0</v>
      </c>
      <c r="AF156" s="36">
        <f>IF(B156="","",IFERROR(INDEX(Shipping!$C$5:$C$64,MATCH(J156,Shipping!$L$5:$L$64,0)),""))</f>
        <v>0</v>
      </c>
      <c r="AG156" s="20">
        <f>IF(B156="","",ROUND(MAX(0,AD156-AE156),2))</f>
        <v>0</v>
      </c>
      <c r="AH156" s="20">
        <f>IF(B156="","",ROUND(T156+Z156+AA156+AB156+AG156,2))</f>
        <v>0</v>
      </c>
      <c r="AI156" s="33">
        <f>IF(B156="","",IFERROR(INDEX(Channels!$S$5:$S$18,MATCH(IF(H156="",DefaultChannel,H156),Channels!$A$5:$A$18,0)),0))</f>
        <v>0</v>
      </c>
      <c r="AJ156" s="42">
        <f>IF(B156="","",IFERROR(INDEX(Channels!$O$5:$O$18,MATCH(IF(H156="",DefaultChannel,H156),Channels!$A$5:$A$18,0)),"No"))</f>
        <v>0</v>
      </c>
      <c r="AK156" s="20">
        <f>IF(B156="","",ROUND(IFERROR(INDEX(Channels!$T$5:$T$18,MATCH(IF(H156="",DefaultChannel,H156),Channels!$A$5:$A$18,0)),0)+IF(AJ156="Yes",AE156*AI156,0),4))</f>
        <v>0</v>
      </c>
      <c r="AL156" s="33">
        <f>IF(B156="","",IF(OverheadMethod="Share of revenue",IF(RevenueTargetMonth&lt;=0,0,OverheadMonthly/RevenueTargetMonth),0))</f>
        <v>0</v>
      </c>
      <c r="AM156" s="20">
        <f>IF(B156="","",IF(OverheadMethod="Per hour worked",ROUND(OverheadPerHour*Y156,2),IF(OR(OverheadMethod="Per unit made",OverheadMethod="Per order"),OverheadPerUnit,0)))</f>
        <v>0</v>
      </c>
      <c r="AN156" s="33">
        <f>IF(B156="","",IF(N156&lt;&gt;"",N156,TargetRetailMargin))</f>
        <v>0</v>
      </c>
      <c r="AO156" s="41">
        <f>IF(B156="","",1-AN156-AI156-AL156)</f>
        <v>0</v>
      </c>
      <c r="AP156" s="20">
        <f>IF(B156="","",IF(AO156&lt;=0,"",(AH156+AM156+AK156)/AO156))</f>
        <v>0</v>
      </c>
      <c r="AQ156" s="20">
        <f>IF(B156="","",IF(AP156="","Check the settings",ROUND(IF(RoundingRule="None",AP156,IF(RoundingRule="Nearest 0.99",MAX(0.99,CEILING(AP156,1)-0.01),IF(RoundingRule="Nearest 0.95",MAX(0.95,CEILING(AP156,1)-0.05),IF(RoundingRule="Nearest 0.50",CEILING(AP156,0.5),IF(RoundingRule="Nearest 1",CEILING(AP156,1),IF(RoundingRule="Nearest 5",CEILING(AP156,5),IF(RoundingRule="Up to whole 1",CEILING(AP156,1),IF(RoundingRule="Up to whole 5",CEILING(AP156,5),ROUND(AP156,2))))))))),2)))</f>
        <v>0</v>
      </c>
      <c r="AR156" s="20">
        <f>IF(B156="","",IF(M156&lt;&gt;"",M156,IF(ISNUMBER(AQ156),AQ156,"")))</f>
        <v>0</v>
      </c>
      <c r="AS156" s="20">
        <f>IF(B156="","",IF(AR156="","",ROUND(AM156+AR156*AL156,2)))</f>
        <v>0</v>
      </c>
      <c r="AT156" s="20">
        <f>IF(B156="","",IF(AR156="","",ROUND(AH156+AS156,2)))</f>
        <v>0</v>
      </c>
      <c r="AU156" s="20">
        <f>IF(B156="","",IF(AR156="","",ROUND(AR156*AI156+AK156,2)))</f>
        <v>0</v>
      </c>
      <c r="AV156" s="20">
        <f>IF(B156="","",IF(AR156="","",ROUND(AR156-AT156-AU156,2)))</f>
        <v>0</v>
      </c>
      <c r="AW156" s="33">
        <f>IF(B156="","",IF(OR(AR156="",AR156=0),"",AV156/AR156))</f>
        <v>0</v>
      </c>
      <c r="AX156" s="33">
        <f>IF(B156="","",IF(OR(AT156="",AT156=0),"",AV156/AT156))</f>
        <v>0</v>
      </c>
      <c r="AY156" s="20">
        <f>IF(B156="","",IF(OR(Y156="",Y156=0,AV156=""),"",ROUND(AV156/Y156,2)))</f>
        <v>0</v>
      </c>
      <c r="AZ156" s="20">
        <f>IF(B156="","",IF(OR(Y156="",Y156=0,AV156=""),"",ROUND((AV156+Z156)/Y156,2)))</f>
        <v>0</v>
      </c>
      <c r="BA156" s="20">
        <f>IF(B156="","",IF(1-AI156-AL156&lt;=0,"",ROUND((AH156+AM156+AK156)/(1-AI156-AL156),2)))</f>
        <v>0</v>
      </c>
      <c r="BB156" s="20">
        <f>IF(B156="","",IF(AT156="","",ROUND(AT156*2,2)))</f>
        <v>0</v>
      </c>
      <c r="BC156" s="20">
        <f>IF(B156="","",IF(AR156="","",ROUND(AR156*(1-WholesaleDiscount),2)))</f>
        <v>0</v>
      </c>
      <c r="BD156" s="20">
        <f>IF(B156="","",IF(BC156="","",ROUND(BC156-AH156-AM156,2)))</f>
        <v>0</v>
      </c>
      <c r="BE156" s="33">
        <f>IF(B156="","",IF(OR(BC156="",BC156=0),"",BD156/BC156))</f>
        <v>0</v>
      </c>
      <c r="BF156" s="20">
        <f>IF(B156="","",IFERROR(ROUND(AVERAGEIFS(Competitors!$F$5:$F$154,Competitors!$A$5:$A$154,A156),2),""))</f>
        <v>0</v>
      </c>
      <c r="BG156" s="33">
        <f>IF(B156="","",IF(OR(BF156="",BF156=0,AR156=""),"",AR156/BF156-1))</f>
        <v>0</v>
      </c>
      <c r="BH156" s="32">
        <f>IF(B156="","",SUMIFS(Sales!$D$5:$D$804,Sales!$C$5:$C$804,A156))</f>
        <v>0</v>
      </c>
      <c r="BI156" s="20">
        <f>IF(B156="","",ROUND(SUMIFS(Sales!$V$5:$V$804,Sales!$C$5:$C$804,A156),2))</f>
        <v>0</v>
      </c>
      <c r="BJ156" s="20">
        <f>IF(B156="","",ROUND(SUMIFS(Sales!$AG$5:$AG$804,Sales!$C$5:$C$804,A156),2))</f>
        <v>0</v>
      </c>
      <c r="BK156" s="33">
        <f>IF(B156="","",IF(OR(BI156="",BI156=0),"",BJ156/BI156))</f>
        <v>0</v>
      </c>
      <c r="BL156" s="17">
        <f>IF(B156="","",IF(SUMPRODUCT(MAX((Sales!$C$5:$C$804=A156)*Sales!$B$5:$B$804))=0,"",SUMPRODUCT(MAX((Sales!$C$5:$C$804=A156)*Sales!$B$5:$B$804))))</f>
        <v>0</v>
      </c>
      <c r="BM156" s="17">
        <f>IF(B156="","",IF(SUMPRODUCT(MAX(('Price History'!$B$5:$B$304=A156)*'Price History'!$A$5:$A$304))=0,IF(P156="","",P156),SUMPRODUCT(MAX(('Price History'!$B$5:$B$304=A156)*'Price History'!$A$5:$A$304))))</f>
        <v>0</v>
      </c>
      <c r="BN156" s="32">
        <f>IF(B156="","",IF(BM156="","",TodayDate-BM156))</f>
        <v>0</v>
      </c>
      <c r="BO156" s="32">
        <f>IF(B156="","",COUNTIFS($AV$5:$AV$304,"&gt;"&amp;AV156)+COUNTIFS($AV$5:AV156,AV156))</f>
        <v>0</v>
      </c>
      <c r="BP156" s="32">
        <f>IF(B156="","",COUNTIFS($AW$5:$AW$304,"&gt;"&amp;AW156)+COUNTIFS($AW$5:AW156,AW156))</f>
        <v>0</v>
      </c>
      <c r="BQ156" s="32">
        <f>IF(B156="","",COUNTIFS($BI$5:$BI$304,"&gt;"&amp;BI156)+COUNTIFS($BI$5:BI156,BI156))</f>
        <v>0</v>
      </c>
      <c r="BR156" s="32">
        <f>IF(B156="","",COUNTIFS($AY$5:$AY$304,"&gt;"&amp;AY156)+COUNTIFS($AY$5:AY156,AY156))</f>
        <v>0</v>
      </c>
      <c r="BS156" s="43">
        <f>IF(B156="","",IF(AH156=0,"Add - no costs entered yet",IF(AR156="","Check - no price yet",IF(AV156&lt;0,"Loss - every sale costs you money",IF(AND(AZ156&lt;&gt;"",AZ156&lt;MinimumWage),"Below - pays under minimum wage",IF(AW156&lt;MarginWarning,"Low margin - re-price it",IF(AND(AF156&lt;&gt;"",K156&lt;&gt;"",K156+AC156&gt;AF156),"Check - too heavy for that postage band",IF(AND(BN156&lt;&gt;"",BN156&gt;PriceReviewDays),"Due - price has not been reviewed",IF(AND(BG156&lt;&gt;"",BG156&gt;0.5),"Check - well above the market","OK")))))))) )</f>
        <v>0</v>
      </c>
    </row>
    <row r="157" spans="1:71">
      <c r="A157" s="38">
        <f>IF(B157="","",ProductPrefix&amp;TEXT(ROW()-4,"0000"))</f>
        <v>0</v>
      </c>
      <c r="S157" s="38">
        <f>IF(B157="","",IF(C157&lt;&gt;"",C157,UPPER(LEFT(IF(D157="","GEN",D157),3))&amp;"-"&amp;TEXT(ROW()-4,"000")))</f>
        <v>0</v>
      </c>
      <c r="T157" s="20">
        <f>IF(B157="","",ROUND(SUMIFS('Material Usage'!$M$5:$M$904,'Material Usage'!$A$5:$A$904,A157)+SUMIFS(Crochet!$AD$5:$AD$84,Crochet!$A$5:$A$84,A157)+SUMIFS(Jewelry!$AF$5:$AF$84,Jewelry!$A$5:$A$84,A157)+SUMIFS(Candles!$AF$5:$AF$84,Candles!$A$5:$A$84,A157)+SUMIFS(Clothing!$AB$5:$AB$84,Clothing!$A$5:$A$84,A157)+SUMIFS(Woodworking!$AC$5:$AC$84,Woodworking!$A$5:$A$84,A157)+SUMIFS(Digital!$X$5:$X$84,Digital!$A$5:$A$84,A157),2))</f>
        <v>0</v>
      </c>
      <c r="U157" s="20">
        <f>IF(B157="","",ROUND(SUMIFS(Labor!$O$5:$O$304,Labor!$A$5:$A$304,A157)+SUMIFS(Crochet!$AG$5:$AG$84,Crochet!$A$5:$A$84,A157)+SUMIFS(Jewelry!$AI$5:$AI$84,Jewelry!$A$5:$A$84,A157)+SUMIFS(Candles!$AI$5:$AI$84,Candles!$A$5:$A$84,A157)+SUMIFS(Clothing!$AE$5:$AE$84,Clothing!$A$5:$A$84,A157)+SUMIFS(Woodworking!$AF$5:$AF$84,Woodworking!$A$5:$A$84,A157)+SUMIFS(Digital!$Z$5:$Z$84,Digital!$A$5:$A$84,A157),2))</f>
        <v>0</v>
      </c>
      <c r="V157" s="36">
        <f>IF(B157="","",ROUND(SUMIFS(Labor!$P$5:$P$304,Labor!$A$5:$A$304,A157)+SUMIFS(Crochet!$AE$5:$AE$84,Crochet!$A$5:$A$84,A157)+SUMIFS(Jewelry!$AG$5:$AG$84,Jewelry!$A$5:$A$84,A157)+SUMIFS(Candles!$AG$5:$AG$84,Candles!$A$5:$A$84,A157)+SUMIFS(Clothing!$AC$5:$AC$84,Clothing!$A$5:$A$84,A157)+SUMIFS(Woodworking!$AD$5:$AD$84,Woodworking!$A$5:$A$84,A157)+SUMIFS(Digital!$Y$5:$Y$84,Digital!$A$5:$A$84,A157),1))</f>
        <v>0</v>
      </c>
      <c r="W157" s="41">
        <f>IF(B157="","",IFERROR(INDEX(DiffTimeFactors,MATCH(G157,DiffNames,0)),1))</f>
        <v>0</v>
      </c>
      <c r="X157" s="36">
        <f>IF(B157="","",ROUND(V157*W157,1))</f>
        <v>0</v>
      </c>
      <c r="Y157" s="41">
        <f>IF(B157="","",ROUND(X157/60,3))</f>
        <v>0</v>
      </c>
      <c r="Z157" s="20">
        <f>IF(B157="","",ROUND(U157*W157,2))</f>
        <v>0</v>
      </c>
      <c r="AA157" s="20">
        <f>IF(B157="","",ROUND(SUMIFS(Labor!$Q$5:$Q$304,Labor!$A$5:$A$304,A157)+SUMIFS(Crochet!$AH$5:$AH$84,Crochet!$A$5:$A$84,A157)+SUMIFS(Jewelry!$AJ$5:$AJ$84,Jewelry!$A$5:$A$84,A157)+SUMIFS(Candles!$AJ$5:$AJ$84,Candles!$A$5:$A$84,A157)+SUMIFS(Clothing!$AF$5:$AF$84,Clothing!$A$5:$A$84,A157)+SUMIFS(Woodworking!$AH$5:$AH$84,Woodworking!$A$5:$A$84,A157)+SUMIFS(Digital!$AA$5:$AA$84,Digital!$A$5:$A$84,A157),2))</f>
        <v>0</v>
      </c>
      <c r="AB157" s="20">
        <f>IF(B157="","",ROUND(IF(I157="Budget",PackBudget,IF(I157="Standard",PackStandard,IF(I157="Gift",PackGift,IF(I157="Premium",PackPremium,DefaultPackaging)))),2))</f>
        <v>0</v>
      </c>
      <c r="AC157" s="36">
        <f>IF(B157="","",IF(I157="Budget",PackWeightBudget,IF(I157="Standard",PackWeightStandard,IF(I157="Gift",PackWeightGift,IF(I157="Premium",PackWeightPremium,0)))))</f>
        <v>0</v>
      </c>
      <c r="AD157" s="20">
        <f>IF(B157="","",IFERROR(INDEX(Shipping!$M$5:$M$64,MATCH(J157,Shipping!$L$5:$L$64,0)),DefaultShipping))</f>
        <v>0</v>
      </c>
      <c r="AE157" s="20">
        <f>IF(B157="","",IFERROR(INDEX(Shipping!$F$5:$F$64,MATCH(J157,Shipping!$L$5:$L$64,0)),0))</f>
        <v>0</v>
      </c>
      <c r="AF157" s="36">
        <f>IF(B157="","",IFERROR(INDEX(Shipping!$C$5:$C$64,MATCH(J157,Shipping!$L$5:$L$64,0)),""))</f>
        <v>0</v>
      </c>
      <c r="AG157" s="20">
        <f>IF(B157="","",ROUND(MAX(0,AD157-AE157),2))</f>
        <v>0</v>
      </c>
      <c r="AH157" s="20">
        <f>IF(B157="","",ROUND(T157+Z157+AA157+AB157+AG157,2))</f>
        <v>0</v>
      </c>
      <c r="AI157" s="33">
        <f>IF(B157="","",IFERROR(INDEX(Channels!$S$5:$S$18,MATCH(IF(H157="",DefaultChannel,H157),Channels!$A$5:$A$18,0)),0))</f>
        <v>0</v>
      </c>
      <c r="AJ157" s="42">
        <f>IF(B157="","",IFERROR(INDEX(Channels!$O$5:$O$18,MATCH(IF(H157="",DefaultChannel,H157),Channels!$A$5:$A$18,0)),"No"))</f>
        <v>0</v>
      </c>
      <c r="AK157" s="20">
        <f>IF(B157="","",ROUND(IFERROR(INDEX(Channels!$T$5:$T$18,MATCH(IF(H157="",DefaultChannel,H157),Channels!$A$5:$A$18,0)),0)+IF(AJ157="Yes",AE157*AI157,0),4))</f>
        <v>0</v>
      </c>
      <c r="AL157" s="33">
        <f>IF(B157="","",IF(OverheadMethod="Share of revenue",IF(RevenueTargetMonth&lt;=0,0,OverheadMonthly/RevenueTargetMonth),0))</f>
        <v>0</v>
      </c>
      <c r="AM157" s="20">
        <f>IF(B157="","",IF(OverheadMethod="Per hour worked",ROUND(OverheadPerHour*Y157,2),IF(OR(OverheadMethod="Per unit made",OverheadMethod="Per order"),OverheadPerUnit,0)))</f>
        <v>0</v>
      </c>
      <c r="AN157" s="33">
        <f>IF(B157="","",IF(N157&lt;&gt;"",N157,TargetRetailMargin))</f>
        <v>0</v>
      </c>
      <c r="AO157" s="41">
        <f>IF(B157="","",1-AN157-AI157-AL157)</f>
        <v>0</v>
      </c>
      <c r="AP157" s="20">
        <f>IF(B157="","",IF(AO157&lt;=0,"",(AH157+AM157+AK157)/AO157))</f>
        <v>0</v>
      </c>
      <c r="AQ157" s="20">
        <f>IF(B157="","",IF(AP157="","Check the settings",ROUND(IF(RoundingRule="None",AP157,IF(RoundingRule="Nearest 0.99",MAX(0.99,CEILING(AP157,1)-0.01),IF(RoundingRule="Nearest 0.95",MAX(0.95,CEILING(AP157,1)-0.05),IF(RoundingRule="Nearest 0.50",CEILING(AP157,0.5),IF(RoundingRule="Nearest 1",CEILING(AP157,1),IF(RoundingRule="Nearest 5",CEILING(AP157,5),IF(RoundingRule="Up to whole 1",CEILING(AP157,1),IF(RoundingRule="Up to whole 5",CEILING(AP157,5),ROUND(AP157,2))))))))),2)))</f>
        <v>0</v>
      </c>
      <c r="AR157" s="20">
        <f>IF(B157="","",IF(M157&lt;&gt;"",M157,IF(ISNUMBER(AQ157),AQ157,"")))</f>
        <v>0</v>
      </c>
      <c r="AS157" s="20">
        <f>IF(B157="","",IF(AR157="","",ROUND(AM157+AR157*AL157,2)))</f>
        <v>0</v>
      </c>
      <c r="AT157" s="20">
        <f>IF(B157="","",IF(AR157="","",ROUND(AH157+AS157,2)))</f>
        <v>0</v>
      </c>
      <c r="AU157" s="20">
        <f>IF(B157="","",IF(AR157="","",ROUND(AR157*AI157+AK157,2)))</f>
        <v>0</v>
      </c>
      <c r="AV157" s="20">
        <f>IF(B157="","",IF(AR157="","",ROUND(AR157-AT157-AU157,2)))</f>
        <v>0</v>
      </c>
      <c r="AW157" s="33">
        <f>IF(B157="","",IF(OR(AR157="",AR157=0),"",AV157/AR157))</f>
        <v>0</v>
      </c>
      <c r="AX157" s="33">
        <f>IF(B157="","",IF(OR(AT157="",AT157=0),"",AV157/AT157))</f>
        <v>0</v>
      </c>
      <c r="AY157" s="20">
        <f>IF(B157="","",IF(OR(Y157="",Y157=0,AV157=""),"",ROUND(AV157/Y157,2)))</f>
        <v>0</v>
      </c>
      <c r="AZ157" s="20">
        <f>IF(B157="","",IF(OR(Y157="",Y157=0,AV157=""),"",ROUND((AV157+Z157)/Y157,2)))</f>
        <v>0</v>
      </c>
      <c r="BA157" s="20">
        <f>IF(B157="","",IF(1-AI157-AL157&lt;=0,"",ROUND((AH157+AM157+AK157)/(1-AI157-AL157),2)))</f>
        <v>0</v>
      </c>
      <c r="BB157" s="20">
        <f>IF(B157="","",IF(AT157="","",ROUND(AT157*2,2)))</f>
        <v>0</v>
      </c>
      <c r="BC157" s="20">
        <f>IF(B157="","",IF(AR157="","",ROUND(AR157*(1-WholesaleDiscount),2)))</f>
        <v>0</v>
      </c>
      <c r="BD157" s="20">
        <f>IF(B157="","",IF(BC157="","",ROUND(BC157-AH157-AM157,2)))</f>
        <v>0</v>
      </c>
      <c r="BE157" s="33">
        <f>IF(B157="","",IF(OR(BC157="",BC157=0),"",BD157/BC157))</f>
        <v>0</v>
      </c>
      <c r="BF157" s="20">
        <f>IF(B157="","",IFERROR(ROUND(AVERAGEIFS(Competitors!$F$5:$F$154,Competitors!$A$5:$A$154,A157),2),""))</f>
        <v>0</v>
      </c>
      <c r="BG157" s="33">
        <f>IF(B157="","",IF(OR(BF157="",BF157=0,AR157=""),"",AR157/BF157-1))</f>
        <v>0</v>
      </c>
      <c r="BH157" s="32">
        <f>IF(B157="","",SUMIFS(Sales!$D$5:$D$804,Sales!$C$5:$C$804,A157))</f>
        <v>0</v>
      </c>
      <c r="BI157" s="20">
        <f>IF(B157="","",ROUND(SUMIFS(Sales!$V$5:$V$804,Sales!$C$5:$C$804,A157),2))</f>
        <v>0</v>
      </c>
      <c r="BJ157" s="20">
        <f>IF(B157="","",ROUND(SUMIFS(Sales!$AG$5:$AG$804,Sales!$C$5:$C$804,A157),2))</f>
        <v>0</v>
      </c>
      <c r="BK157" s="33">
        <f>IF(B157="","",IF(OR(BI157="",BI157=0),"",BJ157/BI157))</f>
        <v>0</v>
      </c>
      <c r="BL157" s="17">
        <f>IF(B157="","",IF(SUMPRODUCT(MAX((Sales!$C$5:$C$804=A157)*Sales!$B$5:$B$804))=0,"",SUMPRODUCT(MAX((Sales!$C$5:$C$804=A157)*Sales!$B$5:$B$804))))</f>
        <v>0</v>
      </c>
      <c r="BM157" s="17">
        <f>IF(B157="","",IF(SUMPRODUCT(MAX(('Price History'!$B$5:$B$304=A157)*'Price History'!$A$5:$A$304))=0,IF(P157="","",P157),SUMPRODUCT(MAX(('Price History'!$B$5:$B$304=A157)*'Price History'!$A$5:$A$304))))</f>
        <v>0</v>
      </c>
      <c r="BN157" s="32">
        <f>IF(B157="","",IF(BM157="","",TodayDate-BM157))</f>
        <v>0</v>
      </c>
      <c r="BO157" s="32">
        <f>IF(B157="","",COUNTIFS($AV$5:$AV$304,"&gt;"&amp;AV157)+COUNTIFS($AV$5:AV157,AV157))</f>
        <v>0</v>
      </c>
      <c r="BP157" s="32">
        <f>IF(B157="","",COUNTIFS($AW$5:$AW$304,"&gt;"&amp;AW157)+COUNTIFS($AW$5:AW157,AW157))</f>
        <v>0</v>
      </c>
      <c r="BQ157" s="32">
        <f>IF(B157="","",COUNTIFS($BI$5:$BI$304,"&gt;"&amp;BI157)+COUNTIFS($BI$5:BI157,BI157))</f>
        <v>0</v>
      </c>
      <c r="BR157" s="32">
        <f>IF(B157="","",COUNTIFS($AY$5:$AY$304,"&gt;"&amp;AY157)+COUNTIFS($AY$5:AY157,AY157))</f>
        <v>0</v>
      </c>
      <c r="BS157" s="43">
        <f>IF(B157="","",IF(AH157=0,"Add - no costs entered yet",IF(AR157="","Check - no price yet",IF(AV157&lt;0,"Loss - every sale costs you money",IF(AND(AZ157&lt;&gt;"",AZ157&lt;MinimumWage),"Below - pays under minimum wage",IF(AW157&lt;MarginWarning,"Low margin - re-price it",IF(AND(AF157&lt;&gt;"",K157&lt;&gt;"",K157+AC157&gt;AF157),"Check - too heavy for that postage band",IF(AND(BN157&lt;&gt;"",BN157&gt;PriceReviewDays),"Due - price has not been reviewed",IF(AND(BG157&lt;&gt;"",BG157&gt;0.5),"Check - well above the market","OK")))))))) )</f>
        <v>0</v>
      </c>
    </row>
    <row r="158" spans="1:71">
      <c r="A158" s="38">
        <f>IF(B158="","",ProductPrefix&amp;TEXT(ROW()-4,"0000"))</f>
        <v>0</v>
      </c>
      <c r="S158" s="38">
        <f>IF(B158="","",IF(C158&lt;&gt;"",C158,UPPER(LEFT(IF(D158="","GEN",D158),3))&amp;"-"&amp;TEXT(ROW()-4,"000")))</f>
        <v>0</v>
      </c>
      <c r="T158" s="20">
        <f>IF(B158="","",ROUND(SUMIFS('Material Usage'!$M$5:$M$904,'Material Usage'!$A$5:$A$904,A158)+SUMIFS(Crochet!$AD$5:$AD$84,Crochet!$A$5:$A$84,A158)+SUMIFS(Jewelry!$AF$5:$AF$84,Jewelry!$A$5:$A$84,A158)+SUMIFS(Candles!$AF$5:$AF$84,Candles!$A$5:$A$84,A158)+SUMIFS(Clothing!$AB$5:$AB$84,Clothing!$A$5:$A$84,A158)+SUMIFS(Woodworking!$AC$5:$AC$84,Woodworking!$A$5:$A$84,A158)+SUMIFS(Digital!$X$5:$X$84,Digital!$A$5:$A$84,A158),2))</f>
        <v>0</v>
      </c>
      <c r="U158" s="20">
        <f>IF(B158="","",ROUND(SUMIFS(Labor!$O$5:$O$304,Labor!$A$5:$A$304,A158)+SUMIFS(Crochet!$AG$5:$AG$84,Crochet!$A$5:$A$84,A158)+SUMIFS(Jewelry!$AI$5:$AI$84,Jewelry!$A$5:$A$84,A158)+SUMIFS(Candles!$AI$5:$AI$84,Candles!$A$5:$A$84,A158)+SUMIFS(Clothing!$AE$5:$AE$84,Clothing!$A$5:$A$84,A158)+SUMIFS(Woodworking!$AF$5:$AF$84,Woodworking!$A$5:$A$84,A158)+SUMIFS(Digital!$Z$5:$Z$84,Digital!$A$5:$A$84,A158),2))</f>
        <v>0</v>
      </c>
      <c r="V158" s="36">
        <f>IF(B158="","",ROUND(SUMIFS(Labor!$P$5:$P$304,Labor!$A$5:$A$304,A158)+SUMIFS(Crochet!$AE$5:$AE$84,Crochet!$A$5:$A$84,A158)+SUMIFS(Jewelry!$AG$5:$AG$84,Jewelry!$A$5:$A$84,A158)+SUMIFS(Candles!$AG$5:$AG$84,Candles!$A$5:$A$84,A158)+SUMIFS(Clothing!$AC$5:$AC$84,Clothing!$A$5:$A$84,A158)+SUMIFS(Woodworking!$AD$5:$AD$84,Woodworking!$A$5:$A$84,A158)+SUMIFS(Digital!$Y$5:$Y$84,Digital!$A$5:$A$84,A158),1))</f>
        <v>0</v>
      </c>
      <c r="W158" s="41">
        <f>IF(B158="","",IFERROR(INDEX(DiffTimeFactors,MATCH(G158,DiffNames,0)),1))</f>
        <v>0</v>
      </c>
      <c r="X158" s="36">
        <f>IF(B158="","",ROUND(V158*W158,1))</f>
        <v>0</v>
      </c>
      <c r="Y158" s="41">
        <f>IF(B158="","",ROUND(X158/60,3))</f>
        <v>0</v>
      </c>
      <c r="Z158" s="20">
        <f>IF(B158="","",ROUND(U158*W158,2))</f>
        <v>0</v>
      </c>
      <c r="AA158" s="20">
        <f>IF(B158="","",ROUND(SUMIFS(Labor!$Q$5:$Q$304,Labor!$A$5:$A$304,A158)+SUMIFS(Crochet!$AH$5:$AH$84,Crochet!$A$5:$A$84,A158)+SUMIFS(Jewelry!$AJ$5:$AJ$84,Jewelry!$A$5:$A$84,A158)+SUMIFS(Candles!$AJ$5:$AJ$84,Candles!$A$5:$A$84,A158)+SUMIFS(Clothing!$AF$5:$AF$84,Clothing!$A$5:$A$84,A158)+SUMIFS(Woodworking!$AH$5:$AH$84,Woodworking!$A$5:$A$84,A158)+SUMIFS(Digital!$AA$5:$AA$84,Digital!$A$5:$A$84,A158),2))</f>
        <v>0</v>
      </c>
      <c r="AB158" s="20">
        <f>IF(B158="","",ROUND(IF(I158="Budget",PackBudget,IF(I158="Standard",PackStandard,IF(I158="Gift",PackGift,IF(I158="Premium",PackPremium,DefaultPackaging)))),2))</f>
        <v>0</v>
      </c>
      <c r="AC158" s="36">
        <f>IF(B158="","",IF(I158="Budget",PackWeightBudget,IF(I158="Standard",PackWeightStandard,IF(I158="Gift",PackWeightGift,IF(I158="Premium",PackWeightPremium,0)))))</f>
        <v>0</v>
      </c>
      <c r="AD158" s="20">
        <f>IF(B158="","",IFERROR(INDEX(Shipping!$M$5:$M$64,MATCH(J158,Shipping!$L$5:$L$64,0)),DefaultShipping))</f>
        <v>0</v>
      </c>
      <c r="AE158" s="20">
        <f>IF(B158="","",IFERROR(INDEX(Shipping!$F$5:$F$64,MATCH(J158,Shipping!$L$5:$L$64,0)),0))</f>
        <v>0</v>
      </c>
      <c r="AF158" s="36">
        <f>IF(B158="","",IFERROR(INDEX(Shipping!$C$5:$C$64,MATCH(J158,Shipping!$L$5:$L$64,0)),""))</f>
        <v>0</v>
      </c>
      <c r="AG158" s="20">
        <f>IF(B158="","",ROUND(MAX(0,AD158-AE158),2))</f>
        <v>0</v>
      </c>
      <c r="AH158" s="20">
        <f>IF(B158="","",ROUND(T158+Z158+AA158+AB158+AG158,2))</f>
        <v>0</v>
      </c>
      <c r="AI158" s="33">
        <f>IF(B158="","",IFERROR(INDEX(Channels!$S$5:$S$18,MATCH(IF(H158="",DefaultChannel,H158),Channels!$A$5:$A$18,0)),0))</f>
        <v>0</v>
      </c>
      <c r="AJ158" s="42">
        <f>IF(B158="","",IFERROR(INDEX(Channels!$O$5:$O$18,MATCH(IF(H158="",DefaultChannel,H158),Channels!$A$5:$A$18,0)),"No"))</f>
        <v>0</v>
      </c>
      <c r="AK158" s="20">
        <f>IF(B158="","",ROUND(IFERROR(INDEX(Channels!$T$5:$T$18,MATCH(IF(H158="",DefaultChannel,H158),Channels!$A$5:$A$18,0)),0)+IF(AJ158="Yes",AE158*AI158,0),4))</f>
        <v>0</v>
      </c>
      <c r="AL158" s="33">
        <f>IF(B158="","",IF(OverheadMethod="Share of revenue",IF(RevenueTargetMonth&lt;=0,0,OverheadMonthly/RevenueTargetMonth),0))</f>
        <v>0</v>
      </c>
      <c r="AM158" s="20">
        <f>IF(B158="","",IF(OverheadMethod="Per hour worked",ROUND(OverheadPerHour*Y158,2),IF(OR(OverheadMethod="Per unit made",OverheadMethod="Per order"),OverheadPerUnit,0)))</f>
        <v>0</v>
      </c>
      <c r="AN158" s="33">
        <f>IF(B158="","",IF(N158&lt;&gt;"",N158,TargetRetailMargin))</f>
        <v>0</v>
      </c>
      <c r="AO158" s="41">
        <f>IF(B158="","",1-AN158-AI158-AL158)</f>
        <v>0</v>
      </c>
      <c r="AP158" s="20">
        <f>IF(B158="","",IF(AO158&lt;=0,"",(AH158+AM158+AK158)/AO158))</f>
        <v>0</v>
      </c>
      <c r="AQ158" s="20">
        <f>IF(B158="","",IF(AP158="","Check the settings",ROUND(IF(RoundingRule="None",AP158,IF(RoundingRule="Nearest 0.99",MAX(0.99,CEILING(AP158,1)-0.01),IF(RoundingRule="Nearest 0.95",MAX(0.95,CEILING(AP158,1)-0.05),IF(RoundingRule="Nearest 0.50",CEILING(AP158,0.5),IF(RoundingRule="Nearest 1",CEILING(AP158,1),IF(RoundingRule="Nearest 5",CEILING(AP158,5),IF(RoundingRule="Up to whole 1",CEILING(AP158,1),IF(RoundingRule="Up to whole 5",CEILING(AP158,5),ROUND(AP158,2))))))))),2)))</f>
        <v>0</v>
      </c>
      <c r="AR158" s="20">
        <f>IF(B158="","",IF(M158&lt;&gt;"",M158,IF(ISNUMBER(AQ158),AQ158,"")))</f>
        <v>0</v>
      </c>
      <c r="AS158" s="20">
        <f>IF(B158="","",IF(AR158="","",ROUND(AM158+AR158*AL158,2)))</f>
        <v>0</v>
      </c>
      <c r="AT158" s="20">
        <f>IF(B158="","",IF(AR158="","",ROUND(AH158+AS158,2)))</f>
        <v>0</v>
      </c>
      <c r="AU158" s="20">
        <f>IF(B158="","",IF(AR158="","",ROUND(AR158*AI158+AK158,2)))</f>
        <v>0</v>
      </c>
      <c r="AV158" s="20">
        <f>IF(B158="","",IF(AR158="","",ROUND(AR158-AT158-AU158,2)))</f>
        <v>0</v>
      </c>
      <c r="AW158" s="33">
        <f>IF(B158="","",IF(OR(AR158="",AR158=0),"",AV158/AR158))</f>
        <v>0</v>
      </c>
      <c r="AX158" s="33">
        <f>IF(B158="","",IF(OR(AT158="",AT158=0),"",AV158/AT158))</f>
        <v>0</v>
      </c>
      <c r="AY158" s="20">
        <f>IF(B158="","",IF(OR(Y158="",Y158=0,AV158=""),"",ROUND(AV158/Y158,2)))</f>
        <v>0</v>
      </c>
      <c r="AZ158" s="20">
        <f>IF(B158="","",IF(OR(Y158="",Y158=0,AV158=""),"",ROUND((AV158+Z158)/Y158,2)))</f>
        <v>0</v>
      </c>
      <c r="BA158" s="20">
        <f>IF(B158="","",IF(1-AI158-AL158&lt;=0,"",ROUND((AH158+AM158+AK158)/(1-AI158-AL158),2)))</f>
        <v>0</v>
      </c>
      <c r="BB158" s="20">
        <f>IF(B158="","",IF(AT158="","",ROUND(AT158*2,2)))</f>
        <v>0</v>
      </c>
      <c r="BC158" s="20">
        <f>IF(B158="","",IF(AR158="","",ROUND(AR158*(1-WholesaleDiscount),2)))</f>
        <v>0</v>
      </c>
      <c r="BD158" s="20">
        <f>IF(B158="","",IF(BC158="","",ROUND(BC158-AH158-AM158,2)))</f>
        <v>0</v>
      </c>
      <c r="BE158" s="33">
        <f>IF(B158="","",IF(OR(BC158="",BC158=0),"",BD158/BC158))</f>
        <v>0</v>
      </c>
      <c r="BF158" s="20">
        <f>IF(B158="","",IFERROR(ROUND(AVERAGEIFS(Competitors!$F$5:$F$154,Competitors!$A$5:$A$154,A158),2),""))</f>
        <v>0</v>
      </c>
      <c r="BG158" s="33">
        <f>IF(B158="","",IF(OR(BF158="",BF158=0,AR158=""),"",AR158/BF158-1))</f>
        <v>0</v>
      </c>
      <c r="BH158" s="32">
        <f>IF(B158="","",SUMIFS(Sales!$D$5:$D$804,Sales!$C$5:$C$804,A158))</f>
        <v>0</v>
      </c>
      <c r="BI158" s="20">
        <f>IF(B158="","",ROUND(SUMIFS(Sales!$V$5:$V$804,Sales!$C$5:$C$804,A158),2))</f>
        <v>0</v>
      </c>
      <c r="BJ158" s="20">
        <f>IF(B158="","",ROUND(SUMIFS(Sales!$AG$5:$AG$804,Sales!$C$5:$C$804,A158),2))</f>
        <v>0</v>
      </c>
      <c r="BK158" s="33">
        <f>IF(B158="","",IF(OR(BI158="",BI158=0),"",BJ158/BI158))</f>
        <v>0</v>
      </c>
      <c r="BL158" s="17">
        <f>IF(B158="","",IF(SUMPRODUCT(MAX((Sales!$C$5:$C$804=A158)*Sales!$B$5:$B$804))=0,"",SUMPRODUCT(MAX((Sales!$C$5:$C$804=A158)*Sales!$B$5:$B$804))))</f>
        <v>0</v>
      </c>
      <c r="BM158" s="17">
        <f>IF(B158="","",IF(SUMPRODUCT(MAX(('Price History'!$B$5:$B$304=A158)*'Price History'!$A$5:$A$304))=0,IF(P158="","",P158),SUMPRODUCT(MAX(('Price History'!$B$5:$B$304=A158)*'Price History'!$A$5:$A$304))))</f>
        <v>0</v>
      </c>
      <c r="BN158" s="32">
        <f>IF(B158="","",IF(BM158="","",TodayDate-BM158))</f>
        <v>0</v>
      </c>
      <c r="BO158" s="32">
        <f>IF(B158="","",COUNTIFS($AV$5:$AV$304,"&gt;"&amp;AV158)+COUNTIFS($AV$5:AV158,AV158))</f>
        <v>0</v>
      </c>
      <c r="BP158" s="32">
        <f>IF(B158="","",COUNTIFS($AW$5:$AW$304,"&gt;"&amp;AW158)+COUNTIFS($AW$5:AW158,AW158))</f>
        <v>0</v>
      </c>
      <c r="BQ158" s="32">
        <f>IF(B158="","",COUNTIFS($BI$5:$BI$304,"&gt;"&amp;BI158)+COUNTIFS($BI$5:BI158,BI158))</f>
        <v>0</v>
      </c>
      <c r="BR158" s="32">
        <f>IF(B158="","",COUNTIFS($AY$5:$AY$304,"&gt;"&amp;AY158)+COUNTIFS($AY$5:AY158,AY158))</f>
        <v>0</v>
      </c>
      <c r="BS158" s="43">
        <f>IF(B158="","",IF(AH158=0,"Add - no costs entered yet",IF(AR158="","Check - no price yet",IF(AV158&lt;0,"Loss - every sale costs you money",IF(AND(AZ158&lt;&gt;"",AZ158&lt;MinimumWage),"Below - pays under minimum wage",IF(AW158&lt;MarginWarning,"Low margin - re-price it",IF(AND(AF158&lt;&gt;"",K158&lt;&gt;"",K158+AC158&gt;AF158),"Check - too heavy for that postage band",IF(AND(BN158&lt;&gt;"",BN158&gt;PriceReviewDays),"Due - price has not been reviewed",IF(AND(BG158&lt;&gt;"",BG158&gt;0.5),"Check - well above the market","OK")))))))) )</f>
        <v>0</v>
      </c>
    </row>
    <row r="159" spans="1:71">
      <c r="A159" s="38">
        <f>IF(B159="","",ProductPrefix&amp;TEXT(ROW()-4,"0000"))</f>
        <v>0</v>
      </c>
      <c r="S159" s="38">
        <f>IF(B159="","",IF(C159&lt;&gt;"",C159,UPPER(LEFT(IF(D159="","GEN",D159),3))&amp;"-"&amp;TEXT(ROW()-4,"000")))</f>
        <v>0</v>
      </c>
      <c r="T159" s="20">
        <f>IF(B159="","",ROUND(SUMIFS('Material Usage'!$M$5:$M$904,'Material Usage'!$A$5:$A$904,A159)+SUMIFS(Crochet!$AD$5:$AD$84,Crochet!$A$5:$A$84,A159)+SUMIFS(Jewelry!$AF$5:$AF$84,Jewelry!$A$5:$A$84,A159)+SUMIFS(Candles!$AF$5:$AF$84,Candles!$A$5:$A$84,A159)+SUMIFS(Clothing!$AB$5:$AB$84,Clothing!$A$5:$A$84,A159)+SUMIFS(Woodworking!$AC$5:$AC$84,Woodworking!$A$5:$A$84,A159)+SUMIFS(Digital!$X$5:$X$84,Digital!$A$5:$A$84,A159),2))</f>
        <v>0</v>
      </c>
      <c r="U159" s="20">
        <f>IF(B159="","",ROUND(SUMIFS(Labor!$O$5:$O$304,Labor!$A$5:$A$304,A159)+SUMIFS(Crochet!$AG$5:$AG$84,Crochet!$A$5:$A$84,A159)+SUMIFS(Jewelry!$AI$5:$AI$84,Jewelry!$A$5:$A$84,A159)+SUMIFS(Candles!$AI$5:$AI$84,Candles!$A$5:$A$84,A159)+SUMIFS(Clothing!$AE$5:$AE$84,Clothing!$A$5:$A$84,A159)+SUMIFS(Woodworking!$AF$5:$AF$84,Woodworking!$A$5:$A$84,A159)+SUMIFS(Digital!$Z$5:$Z$84,Digital!$A$5:$A$84,A159),2))</f>
        <v>0</v>
      </c>
      <c r="V159" s="36">
        <f>IF(B159="","",ROUND(SUMIFS(Labor!$P$5:$P$304,Labor!$A$5:$A$304,A159)+SUMIFS(Crochet!$AE$5:$AE$84,Crochet!$A$5:$A$84,A159)+SUMIFS(Jewelry!$AG$5:$AG$84,Jewelry!$A$5:$A$84,A159)+SUMIFS(Candles!$AG$5:$AG$84,Candles!$A$5:$A$84,A159)+SUMIFS(Clothing!$AC$5:$AC$84,Clothing!$A$5:$A$84,A159)+SUMIFS(Woodworking!$AD$5:$AD$84,Woodworking!$A$5:$A$84,A159)+SUMIFS(Digital!$Y$5:$Y$84,Digital!$A$5:$A$84,A159),1))</f>
        <v>0</v>
      </c>
      <c r="W159" s="41">
        <f>IF(B159="","",IFERROR(INDEX(DiffTimeFactors,MATCH(G159,DiffNames,0)),1))</f>
        <v>0</v>
      </c>
      <c r="X159" s="36">
        <f>IF(B159="","",ROUND(V159*W159,1))</f>
        <v>0</v>
      </c>
      <c r="Y159" s="41">
        <f>IF(B159="","",ROUND(X159/60,3))</f>
        <v>0</v>
      </c>
      <c r="Z159" s="20">
        <f>IF(B159="","",ROUND(U159*W159,2))</f>
        <v>0</v>
      </c>
      <c r="AA159" s="20">
        <f>IF(B159="","",ROUND(SUMIFS(Labor!$Q$5:$Q$304,Labor!$A$5:$A$304,A159)+SUMIFS(Crochet!$AH$5:$AH$84,Crochet!$A$5:$A$84,A159)+SUMIFS(Jewelry!$AJ$5:$AJ$84,Jewelry!$A$5:$A$84,A159)+SUMIFS(Candles!$AJ$5:$AJ$84,Candles!$A$5:$A$84,A159)+SUMIFS(Clothing!$AF$5:$AF$84,Clothing!$A$5:$A$84,A159)+SUMIFS(Woodworking!$AH$5:$AH$84,Woodworking!$A$5:$A$84,A159)+SUMIFS(Digital!$AA$5:$AA$84,Digital!$A$5:$A$84,A159),2))</f>
        <v>0</v>
      </c>
      <c r="AB159" s="20">
        <f>IF(B159="","",ROUND(IF(I159="Budget",PackBudget,IF(I159="Standard",PackStandard,IF(I159="Gift",PackGift,IF(I159="Premium",PackPremium,DefaultPackaging)))),2))</f>
        <v>0</v>
      </c>
      <c r="AC159" s="36">
        <f>IF(B159="","",IF(I159="Budget",PackWeightBudget,IF(I159="Standard",PackWeightStandard,IF(I159="Gift",PackWeightGift,IF(I159="Premium",PackWeightPremium,0)))))</f>
        <v>0</v>
      </c>
      <c r="AD159" s="20">
        <f>IF(B159="","",IFERROR(INDEX(Shipping!$M$5:$M$64,MATCH(J159,Shipping!$L$5:$L$64,0)),DefaultShipping))</f>
        <v>0</v>
      </c>
      <c r="AE159" s="20">
        <f>IF(B159="","",IFERROR(INDEX(Shipping!$F$5:$F$64,MATCH(J159,Shipping!$L$5:$L$64,0)),0))</f>
        <v>0</v>
      </c>
      <c r="AF159" s="36">
        <f>IF(B159="","",IFERROR(INDEX(Shipping!$C$5:$C$64,MATCH(J159,Shipping!$L$5:$L$64,0)),""))</f>
        <v>0</v>
      </c>
      <c r="AG159" s="20">
        <f>IF(B159="","",ROUND(MAX(0,AD159-AE159),2))</f>
        <v>0</v>
      </c>
      <c r="AH159" s="20">
        <f>IF(B159="","",ROUND(T159+Z159+AA159+AB159+AG159,2))</f>
        <v>0</v>
      </c>
      <c r="AI159" s="33">
        <f>IF(B159="","",IFERROR(INDEX(Channels!$S$5:$S$18,MATCH(IF(H159="",DefaultChannel,H159),Channels!$A$5:$A$18,0)),0))</f>
        <v>0</v>
      </c>
      <c r="AJ159" s="42">
        <f>IF(B159="","",IFERROR(INDEX(Channels!$O$5:$O$18,MATCH(IF(H159="",DefaultChannel,H159),Channels!$A$5:$A$18,0)),"No"))</f>
        <v>0</v>
      </c>
      <c r="AK159" s="20">
        <f>IF(B159="","",ROUND(IFERROR(INDEX(Channels!$T$5:$T$18,MATCH(IF(H159="",DefaultChannel,H159),Channels!$A$5:$A$18,0)),0)+IF(AJ159="Yes",AE159*AI159,0),4))</f>
        <v>0</v>
      </c>
      <c r="AL159" s="33">
        <f>IF(B159="","",IF(OverheadMethod="Share of revenue",IF(RevenueTargetMonth&lt;=0,0,OverheadMonthly/RevenueTargetMonth),0))</f>
        <v>0</v>
      </c>
      <c r="AM159" s="20">
        <f>IF(B159="","",IF(OverheadMethod="Per hour worked",ROUND(OverheadPerHour*Y159,2),IF(OR(OverheadMethod="Per unit made",OverheadMethod="Per order"),OverheadPerUnit,0)))</f>
        <v>0</v>
      </c>
      <c r="AN159" s="33">
        <f>IF(B159="","",IF(N159&lt;&gt;"",N159,TargetRetailMargin))</f>
        <v>0</v>
      </c>
      <c r="AO159" s="41">
        <f>IF(B159="","",1-AN159-AI159-AL159)</f>
        <v>0</v>
      </c>
      <c r="AP159" s="20">
        <f>IF(B159="","",IF(AO159&lt;=0,"",(AH159+AM159+AK159)/AO159))</f>
        <v>0</v>
      </c>
      <c r="AQ159" s="20">
        <f>IF(B159="","",IF(AP159="","Check the settings",ROUND(IF(RoundingRule="None",AP159,IF(RoundingRule="Nearest 0.99",MAX(0.99,CEILING(AP159,1)-0.01),IF(RoundingRule="Nearest 0.95",MAX(0.95,CEILING(AP159,1)-0.05),IF(RoundingRule="Nearest 0.50",CEILING(AP159,0.5),IF(RoundingRule="Nearest 1",CEILING(AP159,1),IF(RoundingRule="Nearest 5",CEILING(AP159,5),IF(RoundingRule="Up to whole 1",CEILING(AP159,1),IF(RoundingRule="Up to whole 5",CEILING(AP159,5),ROUND(AP159,2))))))))),2)))</f>
        <v>0</v>
      </c>
      <c r="AR159" s="20">
        <f>IF(B159="","",IF(M159&lt;&gt;"",M159,IF(ISNUMBER(AQ159),AQ159,"")))</f>
        <v>0</v>
      </c>
      <c r="AS159" s="20">
        <f>IF(B159="","",IF(AR159="","",ROUND(AM159+AR159*AL159,2)))</f>
        <v>0</v>
      </c>
      <c r="AT159" s="20">
        <f>IF(B159="","",IF(AR159="","",ROUND(AH159+AS159,2)))</f>
        <v>0</v>
      </c>
      <c r="AU159" s="20">
        <f>IF(B159="","",IF(AR159="","",ROUND(AR159*AI159+AK159,2)))</f>
        <v>0</v>
      </c>
      <c r="AV159" s="20">
        <f>IF(B159="","",IF(AR159="","",ROUND(AR159-AT159-AU159,2)))</f>
        <v>0</v>
      </c>
      <c r="AW159" s="33">
        <f>IF(B159="","",IF(OR(AR159="",AR159=0),"",AV159/AR159))</f>
        <v>0</v>
      </c>
      <c r="AX159" s="33">
        <f>IF(B159="","",IF(OR(AT159="",AT159=0),"",AV159/AT159))</f>
        <v>0</v>
      </c>
      <c r="AY159" s="20">
        <f>IF(B159="","",IF(OR(Y159="",Y159=0,AV159=""),"",ROUND(AV159/Y159,2)))</f>
        <v>0</v>
      </c>
      <c r="AZ159" s="20">
        <f>IF(B159="","",IF(OR(Y159="",Y159=0,AV159=""),"",ROUND((AV159+Z159)/Y159,2)))</f>
        <v>0</v>
      </c>
      <c r="BA159" s="20">
        <f>IF(B159="","",IF(1-AI159-AL159&lt;=0,"",ROUND((AH159+AM159+AK159)/(1-AI159-AL159),2)))</f>
        <v>0</v>
      </c>
      <c r="BB159" s="20">
        <f>IF(B159="","",IF(AT159="","",ROUND(AT159*2,2)))</f>
        <v>0</v>
      </c>
      <c r="BC159" s="20">
        <f>IF(B159="","",IF(AR159="","",ROUND(AR159*(1-WholesaleDiscount),2)))</f>
        <v>0</v>
      </c>
      <c r="BD159" s="20">
        <f>IF(B159="","",IF(BC159="","",ROUND(BC159-AH159-AM159,2)))</f>
        <v>0</v>
      </c>
      <c r="BE159" s="33">
        <f>IF(B159="","",IF(OR(BC159="",BC159=0),"",BD159/BC159))</f>
        <v>0</v>
      </c>
      <c r="BF159" s="20">
        <f>IF(B159="","",IFERROR(ROUND(AVERAGEIFS(Competitors!$F$5:$F$154,Competitors!$A$5:$A$154,A159),2),""))</f>
        <v>0</v>
      </c>
      <c r="BG159" s="33">
        <f>IF(B159="","",IF(OR(BF159="",BF159=0,AR159=""),"",AR159/BF159-1))</f>
        <v>0</v>
      </c>
      <c r="BH159" s="32">
        <f>IF(B159="","",SUMIFS(Sales!$D$5:$D$804,Sales!$C$5:$C$804,A159))</f>
        <v>0</v>
      </c>
      <c r="BI159" s="20">
        <f>IF(B159="","",ROUND(SUMIFS(Sales!$V$5:$V$804,Sales!$C$5:$C$804,A159),2))</f>
        <v>0</v>
      </c>
      <c r="BJ159" s="20">
        <f>IF(B159="","",ROUND(SUMIFS(Sales!$AG$5:$AG$804,Sales!$C$5:$C$804,A159),2))</f>
        <v>0</v>
      </c>
      <c r="BK159" s="33">
        <f>IF(B159="","",IF(OR(BI159="",BI159=0),"",BJ159/BI159))</f>
        <v>0</v>
      </c>
      <c r="BL159" s="17">
        <f>IF(B159="","",IF(SUMPRODUCT(MAX((Sales!$C$5:$C$804=A159)*Sales!$B$5:$B$804))=0,"",SUMPRODUCT(MAX((Sales!$C$5:$C$804=A159)*Sales!$B$5:$B$804))))</f>
        <v>0</v>
      </c>
      <c r="BM159" s="17">
        <f>IF(B159="","",IF(SUMPRODUCT(MAX(('Price History'!$B$5:$B$304=A159)*'Price History'!$A$5:$A$304))=0,IF(P159="","",P159),SUMPRODUCT(MAX(('Price History'!$B$5:$B$304=A159)*'Price History'!$A$5:$A$304))))</f>
        <v>0</v>
      </c>
      <c r="BN159" s="32">
        <f>IF(B159="","",IF(BM159="","",TodayDate-BM159))</f>
        <v>0</v>
      </c>
      <c r="BO159" s="32">
        <f>IF(B159="","",COUNTIFS($AV$5:$AV$304,"&gt;"&amp;AV159)+COUNTIFS($AV$5:AV159,AV159))</f>
        <v>0</v>
      </c>
      <c r="BP159" s="32">
        <f>IF(B159="","",COUNTIFS($AW$5:$AW$304,"&gt;"&amp;AW159)+COUNTIFS($AW$5:AW159,AW159))</f>
        <v>0</v>
      </c>
      <c r="BQ159" s="32">
        <f>IF(B159="","",COUNTIFS($BI$5:$BI$304,"&gt;"&amp;BI159)+COUNTIFS($BI$5:BI159,BI159))</f>
        <v>0</v>
      </c>
      <c r="BR159" s="32">
        <f>IF(B159="","",COUNTIFS($AY$5:$AY$304,"&gt;"&amp;AY159)+COUNTIFS($AY$5:AY159,AY159))</f>
        <v>0</v>
      </c>
      <c r="BS159" s="43">
        <f>IF(B159="","",IF(AH159=0,"Add - no costs entered yet",IF(AR159="","Check - no price yet",IF(AV159&lt;0,"Loss - every sale costs you money",IF(AND(AZ159&lt;&gt;"",AZ159&lt;MinimumWage),"Below - pays under minimum wage",IF(AW159&lt;MarginWarning,"Low margin - re-price it",IF(AND(AF159&lt;&gt;"",K159&lt;&gt;"",K159+AC159&gt;AF159),"Check - too heavy for that postage band",IF(AND(BN159&lt;&gt;"",BN159&gt;PriceReviewDays),"Due - price has not been reviewed",IF(AND(BG159&lt;&gt;"",BG159&gt;0.5),"Check - well above the market","OK")))))))) )</f>
        <v>0</v>
      </c>
    </row>
    <row r="160" spans="1:71">
      <c r="A160" s="38">
        <f>IF(B160="","",ProductPrefix&amp;TEXT(ROW()-4,"0000"))</f>
        <v>0</v>
      </c>
      <c r="S160" s="38">
        <f>IF(B160="","",IF(C160&lt;&gt;"",C160,UPPER(LEFT(IF(D160="","GEN",D160),3))&amp;"-"&amp;TEXT(ROW()-4,"000")))</f>
        <v>0</v>
      </c>
      <c r="T160" s="20">
        <f>IF(B160="","",ROUND(SUMIFS('Material Usage'!$M$5:$M$904,'Material Usage'!$A$5:$A$904,A160)+SUMIFS(Crochet!$AD$5:$AD$84,Crochet!$A$5:$A$84,A160)+SUMIFS(Jewelry!$AF$5:$AF$84,Jewelry!$A$5:$A$84,A160)+SUMIFS(Candles!$AF$5:$AF$84,Candles!$A$5:$A$84,A160)+SUMIFS(Clothing!$AB$5:$AB$84,Clothing!$A$5:$A$84,A160)+SUMIFS(Woodworking!$AC$5:$AC$84,Woodworking!$A$5:$A$84,A160)+SUMIFS(Digital!$X$5:$X$84,Digital!$A$5:$A$84,A160),2))</f>
        <v>0</v>
      </c>
      <c r="U160" s="20">
        <f>IF(B160="","",ROUND(SUMIFS(Labor!$O$5:$O$304,Labor!$A$5:$A$304,A160)+SUMIFS(Crochet!$AG$5:$AG$84,Crochet!$A$5:$A$84,A160)+SUMIFS(Jewelry!$AI$5:$AI$84,Jewelry!$A$5:$A$84,A160)+SUMIFS(Candles!$AI$5:$AI$84,Candles!$A$5:$A$84,A160)+SUMIFS(Clothing!$AE$5:$AE$84,Clothing!$A$5:$A$84,A160)+SUMIFS(Woodworking!$AF$5:$AF$84,Woodworking!$A$5:$A$84,A160)+SUMIFS(Digital!$Z$5:$Z$84,Digital!$A$5:$A$84,A160),2))</f>
        <v>0</v>
      </c>
      <c r="V160" s="36">
        <f>IF(B160="","",ROUND(SUMIFS(Labor!$P$5:$P$304,Labor!$A$5:$A$304,A160)+SUMIFS(Crochet!$AE$5:$AE$84,Crochet!$A$5:$A$84,A160)+SUMIFS(Jewelry!$AG$5:$AG$84,Jewelry!$A$5:$A$84,A160)+SUMIFS(Candles!$AG$5:$AG$84,Candles!$A$5:$A$84,A160)+SUMIFS(Clothing!$AC$5:$AC$84,Clothing!$A$5:$A$84,A160)+SUMIFS(Woodworking!$AD$5:$AD$84,Woodworking!$A$5:$A$84,A160)+SUMIFS(Digital!$Y$5:$Y$84,Digital!$A$5:$A$84,A160),1))</f>
        <v>0</v>
      </c>
      <c r="W160" s="41">
        <f>IF(B160="","",IFERROR(INDEX(DiffTimeFactors,MATCH(G160,DiffNames,0)),1))</f>
        <v>0</v>
      </c>
      <c r="X160" s="36">
        <f>IF(B160="","",ROUND(V160*W160,1))</f>
        <v>0</v>
      </c>
      <c r="Y160" s="41">
        <f>IF(B160="","",ROUND(X160/60,3))</f>
        <v>0</v>
      </c>
      <c r="Z160" s="20">
        <f>IF(B160="","",ROUND(U160*W160,2))</f>
        <v>0</v>
      </c>
      <c r="AA160" s="20">
        <f>IF(B160="","",ROUND(SUMIFS(Labor!$Q$5:$Q$304,Labor!$A$5:$A$304,A160)+SUMIFS(Crochet!$AH$5:$AH$84,Crochet!$A$5:$A$84,A160)+SUMIFS(Jewelry!$AJ$5:$AJ$84,Jewelry!$A$5:$A$84,A160)+SUMIFS(Candles!$AJ$5:$AJ$84,Candles!$A$5:$A$84,A160)+SUMIFS(Clothing!$AF$5:$AF$84,Clothing!$A$5:$A$84,A160)+SUMIFS(Woodworking!$AH$5:$AH$84,Woodworking!$A$5:$A$84,A160)+SUMIFS(Digital!$AA$5:$AA$84,Digital!$A$5:$A$84,A160),2))</f>
        <v>0</v>
      </c>
      <c r="AB160" s="20">
        <f>IF(B160="","",ROUND(IF(I160="Budget",PackBudget,IF(I160="Standard",PackStandard,IF(I160="Gift",PackGift,IF(I160="Premium",PackPremium,DefaultPackaging)))),2))</f>
        <v>0</v>
      </c>
      <c r="AC160" s="36">
        <f>IF(B160="","",IF(I160="Budget",PackWeightBudget,IF(I160="Standard",PackWeightStandard,IF(I160="Gift",PackWeightGift,IF(I160="Premium",PackWeightPremium,0)))))</f>
        <v>0</v>
      </c>
      <c r="AD160" s="20">
        <f>IF(B160="","",IFERROR(INDEX(Shipping!$M$5:$M$64,MATCH(J160,Shipping!$L$5:$L$64,0)),DefaultShipping))</f>
        <v>0</v>
      </c>
      <c r="AE160" s="20">
        <f>IF(B160="","",IFERROR(INDEX(Shipping!$F$5:$F$64,MATCH(J160,Shipping!$L$5:$L$64,0)),0))</f>
        <v>0</v>
      </c>
      <c r="AF160" s="36">
        <f>IF(B160="","",IFERROR(INDEX(Shipping!$C$5:$C$64,MATCH(J160,Shipping!$L$5:$L$64,0)),""))</f>
        <v>0</v>
      </c>
      <c r="AG160" s="20">
        <f>IF(B160="","",ROUND(MAX(0,AD160-AE160),2))</f>
        <v>0</v>
      </c>
      <c r="AH160" s="20">
        <f>IF(B160="","",ROUND(T160+Z160+AA160+AB160+AG160,2))</f>
        <v>0</v>
      </c>
      <c r="AI160" s="33">
        <f>IF(B160="","",IFERROR(INDEX(Channels!$S$5:$S$18,MATCH(IF(H160="",DefaultChannel,H160),Channels!$A$5:$A$18,0)),0))</f>
        <v>0</v>
      </c>
      <c r="AJ160" s="42">
        <f>IF(B160="","",IFERROR(INDEX(Channels!$O$5:$O$18,MATCH(IF(H160="",DefaultChannel,H160),Channels!$A$5:$A$18,0)),"No"))</f>
        <v>0</v>
      </c>
      <c r="AK160" s="20">
        <f>IF(B160="","",ROUND(IFERROR(INDEX(Channels!$T$5:$T$18,MATCH(IF(H160="",DefaultChannel,H160),Channels!$A$5:$A$18,0)),0)+IF(AJ160="Yes",AE160*AI160,0),4))</f>
        <v>0</v>
      </c>
      <c r="AL160" s="33">
        <f>IF(B160="","",IF(OverheadMethod="Share of revenue",IF(RevenueTargetMonth&lt;=0,0,OverheadMonthly/RevenueTargetMonth),0))</f>
        <v>0</v>
      </c>
      <c r="AM160" s="20">
        <f>IF(B160="","",IF(OverheadMethod="Per hour worked",ROUND(OverheadPerHour*Y160,2),IF(OR(OverheadMethod="Per unit made",OverheadMethod="Per order"),OverheadPerUnit,0)))</f>
        <v>0</v>
      </c>
      <c r="AN160" s="33">
        <f>IF(B160="","",IF(N160&lt;&gt;"",N160,TargetRetailMargin))</f>
        <v>0</v>
      </c>
      <c r="AO160" s="41">
        <f>IF(B160="","",1-AN160-AI160-AL160)</f>
        <v>0</v>
      </c>
      <c r="AP160" s="20">
        <f>IF(B160="","",IF(AO160&lt;=0,"",(AH160+AM160+AK160)/AO160))</f>
        <v>0</v>
      </c>
      <c r="AQ160" s="20">
        <f>IF(B160="","",IF(AP160="","Check the settings",ROUND(IF(RoundingRule="None",AP160,IF(RoundingRule="Nearest 0.99",MAX(0.99,CEILING(AP160,1)-0.01),IF(RoundingRule="Nearest 0.95",MAX(0.95,CEILING(AP160,1)-0.05),IF(RoundingRule="Nearest 0.50",CEILING(AP160,0.5),IF(RoundingRule="Nearest 1",CEILING(AP160,1),IF(RoundingRule="Nearest 5",CEILING(AP160,5),IF(RoundingRule="Up to whole 1",CEILING(AP160,1),IF(RoundingRule="Up to whole 5",CEILING(AP160,5),ROUND(AP160,2))))))))),2)))</f>
        <v>0</v>
      </c>
      <c r="AR160" s="20">
        <f>IF(B160="","",IF(M160&lt;&gt;"",M160,IF(ISNUMBER(AQ160),AQ160,"")))</f>
        <v>0</v>
      </c>
      <c r="AS160" s="20">
        <f>IF(B160="","",IF(AR160="","",ROUND(AM160+AR160*AL160,2)))</f>
        <v>0</v>
      </c>
      <c r="AT160" s="20">
        <f>IF(B160="","",IF(AR160="","",ROUND(AH160+AS160,2)))</f>
        <v>0</v>
      </c>
      <c r="AU160" s="20">
        <f>IF(B160="","",IF(AR160="","",ROUND(AR160*AI160+AK160,2)))</f>
        <v>0</v>
      </c>
      <c r="AV160" s="20">
        <f>IF(B160="","",IF(AR160="","",ROUND(AR160-AT160-AU160,2)))</f>
        <v>0</v>
      </c>
      <c r="AW160" s="33">
        <f>IF(B160="","",IF(OR(AR160="",AR160=0),"",AV160/AR160))</f>
        <v>0</v>
      </c>
      <c r="AX160" s="33">
        <f>IF(B160="","",IF(OR(AT160="",AT160=0),"",AV160/AT160))</f>
        <v>0</v>
      </c>
      <c r="AY160" s="20">
        <f>IF(B160="","",IF(OR(Y160="",Y160=0,AV160=""),"",ROUND(AV160/Y160,2)))</f>
        <v>0</v>
      </c>
      <c r="AZ160" s="20">
        <f>IF(B160="","",IF(OR(Y160="",Y160=0,AV160=""),"",ROUND((AV160+Z160)/Y160,2)))</f>
        <v>0</v>
      </c>
      <c r="BA160" s="20">
        <f>IF(B160="","",IF(1-AI160-AL160&lt;=0,"",ROUND((AH160+AM160+AK160)/(1-AI160-AL160),2)))</f>
        <v>0</v>
      </c>
      <c r="BB160" s="20">
        <f>IF(B160="","",IF(AT160="","",ROUND(AT160*2,2)))</f>
        <v>0</v>
      </c>
      <c r="BC160" s="20">
        <f>IF(B160="","",IF(AR160="","",ROUND(AR160*(1-WholesaleDiscount),2)))</f>
        <v>0</v>
      </c>
      <c r="BD160" s="20">
        <f>IF(B160="","",IF(BC160="","",ROUND(BC160-AH160-AM160,2)))</f>
        <v>0</v>
      </c>
      <c r="BE160" s="33">
        <f>IF(B160="","",IF(OR(BC160="",BC160=0),"",BD160/BC160))</f>
        <v>0</v>
      </c>
      <c r="BF160" s="20">
        <f>IF(B160="","",IFERROR(ROUND(AVERAGEIFS(Competitors!$F$5:$F$154,Competitors!$A$5:$A$154,A160),2),""))</f>
        <v>0</v>
      </c>
      <c r="BG160" s="33">
        <f>IF(B160="","",IF(OR(BF160="",BF160=0,AR160=""),"",AR160/BF160-1))</f>
        <v>0</v>
      </c>
      <c r="BH160" s="32">
        <f>IF(B160="","",SUMIFS(Sales!$D$5:$D$804,Sales!$C$5:$C$804,A160))</f>
        <v>0</v>
      </c>
      <c r="BI160" s="20">
        <f>IF(B160="","",ROUND(SUMIFS(Sales!$V$5:$V$804,Sales!$C$5:$C$804,A160),2))</f>
        <v>0</v>
      </c>
      <c r="BJ160" s="20">
        <f>IF(B160="","",ROUND(SUMIFS(Sales!$AG$5:$AG$804,Sales!$C$5:$C$804,A160),2))</f>
        <v>0</v>
      </c>
      <c r="BK160" s="33">
        <f>IF(B160="","",IF(OR(BI160="",BI160=0),"",BJ160/BI160))</f>
        <v>0</v>
      </c>
      <c r="BL160" s="17">
        <f>IF(B160="","",IF(SUMPRODUCT(MAX((Sales!$C$5:$C$804=A160)*Sales!$B$5:$B$804))=0,"",SUMPRODUCT(MAX((Sales!$C$5:$C$804=A160)*Sales!$B$5:$B$804))))</f>
        <v>0</v>
      </c>
      <c r="BM160" s="17">
        <f>IF(B160="","",IF(SUMPRODUCT(MAX(('Price History'!$B$5:$B$304=A160)*'Price History'!$A$5:$A$304))=0,IF(P160="","",P160),SUMPRODUCT(MAX(('Price History'!$B$5:$B$304=A160)*'Price History'!$A$5:$A$304))))</f>
        <v>0</v>
      </c>
      <c r="BN160" s="32">
        <f>IF(B160="","",IF(BM160="","",TodayDate-BM160))</f>
        <v>0</v>
      </c>
      <c r="BO160" s="32">
        <f>IF(B160="","",COUNTIFS($AV$5:$AV$304,"&gt;"&amp;AV160)+COUNTIFS($AV$5:AV160,AV160))</f>
        <v>0</v>
      </c>
      <c r="BP160" s="32">
        <f>IF(B160="","",COUNTIFS($AW$5:$AW$304,"&gt;"&amp;AW160)+COUNTIFS($AW$5:AW160,AW160))</f>
        <v>0</v>
      </c>
      <c r="BQ160" s="32">
        <f>IF(B160="","",COUNTIFS($BI$5:$BI$304,"&gt;"&amp;BI160)+COUNTIFS($BI$5:BI160,BI160))</f>
        <v>0</v>
      </c>
      <c r="BR160" s="32">
        <f>IF(B160="","",COUNTIFS($AY$5:$AY$304,"&gt;"&amp;AY160)+COUNTIFS($AY$5:AY160,AY160))</f>
        <v>0</v>
      </c>
      <c r="BS160" s="43">
        <f>IF(B160="","",IF(AH160=0,"Add - no costs entered yet",IF(AR160="","Check - no price yet",IF(AV160&lt;0,"Loss - every sale costs you money",IF(AND(AZ160&lt;&gt;"",AZ160&lt;MinimumWage),"Below - pays under minimum wage",IF(AW160&lt;MarginWarning,"Low margin - re-price it",IF(AND(AF160&lt;&gt;"",K160&lt;&gt;"",K160+AC160&gt;AF160),"Check - too heavy for that postage band",IF(AND(BN160&lt;&gt;"",BN160&gt;PriceReviewDays),"Due - price has not been reviewed",IF(AND(BG160&lt;&gt;"",BG160&gt;0.5),"Check - well above the market","OK")))))))) )</f>
        <v>0</v>
      </c>
    </row>
    <row r="161" spans="1:71">
      <c r="A161" s="38">
        <f>IF(B161="","",ProductPrefix&amp;TEXT(ROW()-4,"0000"))</f>
        <v>0</v>
      </c>
      <c r="S161" s="38">
        <f>IF(B161="","",IF(C161&lt;&gt;"",C161,UPPER(LEFT(IF(D161="","GEN",D161),3))&amp;"-"&amp;TEXT(ROW()-4,"000")))</f>
        <v>0</v>
      </c>
      <c r="T161" s="20">
        <f>IF(B161="","",ROUND(SUMIFS('Material Usage'!$M$5:$M$904,'Material Usage'!$A$5:$A$904,A161)+SUMIFS(Crochet!$AD$5:$AD$84,Crochet!$A$5:$A$84,A161)+SUMIFS(Jewelry!$AF$5:$AF$84,Jewelry!$A$5:$A$84,A161)+SUMIFS(Candles!$AF$5:$AF$84,Candles!$A$5:$A$84,A161)+SUMIFS(Clothing!$AB$5:$AB$84,Clothing!$A$5:$A$84,A161)+SUMIFS(Woodworking!$AC$5:$AC$84,Woodworking!$A$5:$A$84,A161)+SUMIFS(Digital!$X$5:$X$84,Digital!$A$5:$A$84,A161),2))</f>
        <v>0</v>
      </c>
      <c r="U161" s="20">
        <f>IF(B161="","",ROUND(SUMIFS(Labor!$O$5:$O$304,Labor!$A$5:$A$304,A161)+SUMIFS(Crochet!$AG$5:$AG$84,Crochet!$A$5:$A$84,A161)+SUMIFS(Jewelry!$AI$5:$AI$84,Jewelry!$A$5:$A$84,A161)+SUMIFS(Candles!$AI$5:$AI$84,Candles!$A$5:$A$84,A161)+SUMIFS(Clothing!$AE$5:$AE$84,Clothing!$A$5:$A$84,A161)+SUMIFS(Woodworking!$AF$5:$AF$84,Woodworking!$A$5:$A$84,A161)+SUMIFS(Digital!$Z$5:$Z$84,Digital!$A$5:$A$84,A161),2))</f>
        <v>0</v>
      </c>
      <c r="V161" s="36">
        <f>IF(B161="","",ROUND(SUMIFS(Labor!$P$5:$P$304,Labor!$A$5:$A$304,A161)+SUMIFS(Crochet!$AE$5:$AE$84,Crochet!$A$5:$A$84,A161)+SUMIFS(Jewelry!$AG$5:$AG$84,Jewelry!$A$5:$A$84,A161)+SUMIFS(Candles!$AG$5:$AG$84,Candles!$A$5:$A$84,A161)+SUMIFS(Clothing!$AC$5:$AC$84,Clothing!$A$5:$A$84,A161)+SUMIFS(Woodworking!$AD$5:$AD$84,Woodworking!$A$5:$A$84,A161)+SUMIFS(Digital!$Y$5:$Y$84,Digital!$A$5:$A$84,A161),1))</f>
        <v>0</v>
      </c>
      <c r="W161" s="41">
        <f>IF(B161="","",IFERROR(INDEX(DiffTimeFactors,MATCH(G161,DiffNames,0)),1))</f>
        <v>0</v>
      </c>
      <c r="X161" s="36">
        <f>IF(B161="","",ROUND(V161*W161,1))</f>
        <v>0</v>
      </c>
      <c r="Y161" s="41">
        <f>IF(B161="","",ROUND(X161/60,3))</f>
        <v>0</v>
      </c>
      <c r="Z161" s="20">
        <f>IF(B161="","",ROUND(U161*W161,2))</f>
        <v>0</v>
      </c>
      <c r="AA161" s="20">
        <f>IF(B161="","",ROUND(SUMIFS(Labor!$Q$5:$Q$304,Labor!$A$5:$A$304,A161)+SUMIFS(Crochet!$AH$5:$AH$84,Crochet!$A$5:$A$84,A161)+SUMIFS(Jewelry!$AJ$5:$AJ$84,Jewelry!$A$5:$A$84,A161)+SUMIFS(Candles!$AJ$5:$AJ$84,Candles!$A$5:$A$84,A161)+SUMIFS(Clothing!$AF$5:$AF$84,Clothing!$A$5:$A$84,A161)+SUMIFS(Woodworking!$AH$5:$AH$84,Woodworking!$A$5:$A$84,A161)+SUMIFS(Digital!$AA$5:$AA$84,Digital!$A$5:$A$84,A161),2))</f>
        <v>0</v>
      </c>
      <c r="AB161" s="20">
        <f>IF(B161="","",ROUND(IF(I161="Budget",PackBudget,IF(I161="Standard",PackStandard,IF(I161="Gift",PackGift,IF(I161="Premium",PackPremium,DefaultPackaging)))),2))</f>
        <v>0</v>
      </c>
      <c r="AC161" s="36">
        <f>IF(B161="","",IF(I161="Budget",PackWeightBudget,IF(I161="Standard",PackWeightStandard,IF(I161="Gift",PackWeightGift,IF(I161="Premium",PackWeightPremium,0)))))</f>
        <v>0</v>
      </c>
      <c r="AD161" s="20">
        <f>IF(B161="","",IFERROR(INDEX(Shipping!$M$5:$M$64,MATCH(J161,Shipping!$L$5:$L$64,0)),DefaultShipping))</f>
        <v>0</v>
      </c>
      <c r="AE161" s="20">
        <f>IF(B161="","",IFERROR(INDEX(Shipping!$F$5:$F$64,MATCH(J161,Shipping!$L$5:$L$64,0)),0))</f>
        <v>0</v>
      </c>
      <c r="AF161" s="36">
        <f>IF(B161="","",IFERROR(INDEX(Shipping!$C$5:$C$64,MATCH(J161,Shipping!$L$5:$L$64,0)),""))</f>
        <v>0</v>
      </c>
      <c r="AG161" s="20">
        <f>IF(B161="","",ROUND(MAX(0,AD161-AE161),2))</f>
        <v>0</v>
      </c>
      <c r="AH161" s="20">
        <f>IF(B161="","",ROUND(T161+Z161+AA161+AB161+AG161,2))</f>
        <v>0</v>
      </c>
      <c r="AI161" s="33">
        <f>IF(B161="","",IFERROR(INDEX(Channels!$S$5:$S$18,MATCH(IF(H161="",DefaultChannel,H161),Channels!$A$5:$A$18,0)),0))</f>
        <v>0</v>
      </c>
      <c r="AJ161" s="42">
        <f>IF(B161="","",IFERROR(INDEX(Channels!$O$5:$O$18,MATCH(IF(H161="",DefaultChannel,H161),Channels!$A$5:$A$18,0)),"No"))</f>
        <v>0</v>
      </c>
      <c r="AK161" s="20">
        <f>IF(B161="","",ROUND(IFERROR(INDEX(Channels!$T$5:$T$18,MATCH(IF(H161="",DefaultChannel,H161),Channels!$A$5:$A$18,0)),0)+IF(AJ161="Yes",AE161*AI161,0),4))</f>
        <v>0</v>
      </c>
      <c r="AL161" s="33">
        <f>IF(B161="","",IF(OverheadMethod="Share of revenue",IF(RevenueTargetMonth&lt;=0,0,OverheadMonthly/RevenueTargetMonth),0))</f>
        <v>0</v>
      </c>
      <c r="AM161" s="20">
        <f>IF(B161="","",IF(OverheadMethod="Per hour worked",ROUND(OverheadPerHour*Y161,2),IF(OR(OverheadMethod="Per unit made",OverheadMethod="Per order"),OverheadPerUnit,0)))</f>
        <v>0</v>
      </c>
      <c r="AN161" s="33">
        <f>IF(B161="","",IF(N161&lt;&gt;"",N161,TargetRetailMargin))</f>
        <v>0</v>
      </c>
      <c r="AO161" s="41">
        <f>IF(B161="","",1-AN161-AI161-AL161)</f>
        <v>0</v>
      </c>
      <c r="AP161" s="20">
        <f>IF(B161="","",IF(AO161&lt;=0,"",(AH161+AM161+AK161)/AO161))</f>
        <v>0</v>
      </c>
      <c r="AQ161" s="20">
        <f>IF(B161="","",IF(AP161="","Check the settings",ROUND(IF(RoundingRule="None",AP161,IF(RoundingRule="Nearest 0.99",MAX(0.99,CEILING(AP161,1)-0.01),IF(RoundingRule="Nearest 0.95",MAX(0.95,CEILING(AP161,1)-0.05),IF(RoundingRule="Nearest 0.50",CEILING(AP161,0.5),IF(RoundingRule="Nearest 1",CEILING(AP161,1),IF(RoundingRule="Nearest 5",CEILING(AP161,5),IF(RoundingRule="Up to whole 1",CEILING(AP161,1),IF(RoundingRule="Up to whole 5",CEILING(AP161,5),ROUND(AP161,2))))))))),2)))</f>
        <v>0</v>
      </c>
      <c r="AR161" s="20">
        <f>IF(B161="","",IF(M161&lt;&gt;"",M161,IF(ISNUMBER(AQ161),AQ161,"")))</f>
        <v>0</v>
      </c>
      <c r="AS161" s="20">
        <f>IF(B161="","",IF(AR161="","",ROUND(AM161+AR161*AL161,2)))</f>
        <v>0</v>
      </c>
      <c r="AT161" s="20">
        <f>IF(B161="","",IF(AR161="","",ROUND(AH161+AS161,2)))</f>
        <v>0</v>
      </c>
      <c r="AU161" s="20">
        <f>IF(B161="","",IF(AR161="","",ROUND(AR161*AI161+AK161,2)))</f>
        <v>0</v>
      </c>
      <c r="AV161" s="20">
        <f>IF(B161="","",IF(AR161="","",ROUND(AR161-AT161-AU161,2)))</f>
        <v>0</v>
      </c>
      <c r="AW161" s="33">
        <f>IF(B161="","",IF(OR(AR161="",AR161=0),"",AV161/AR161))</f>
        <v>0</v>
      </c>
      <c r="AX161" s="33">
        <f>IF(B161="","",IF(OR(AT161="",AT161=0),"",AV161/AT161))</f>
        <v>0</v>
      </c>
      <c r="AY161" s="20">
        <f>IF(B161="","",IF(OR(Y161="",Y161=0,AV161=""),"",ROUND(AV161/Y161,2)))</f>
        <v>0</v>
      </c>
      <c r="AZ161" s="20">
        <f>IF(B161="","",IF(OR(Y161="",Y161=0,AV161=""),"",ROUND((AV161+Z161)/Y161,2)))</f>
        <v>0</v>
      </c>
      <c r="BA161" s="20">
        <f>IF(B161="","",IF(1-AI161-AL161&lt;=0,"",ROUND((AH161+AM161+AK161)/(1-AI161-AL161),2)))</f>
        <v>0</v>
      </c>
      <c r="BB161" s="20">
        <f>IF(B161="","",IF(AT161="","",ROUND(AT161*2,2)))</f>
        <v>0</v>
      </c>
      <c r="BC161" s="20">
        <f>IF(B161="","",IF(AR161="","",ROUND(AR161*(1-WholesaleDiscount),2)))</f>
        <v>0</v>
      </c>
      <c r="BD161" s="20">
        <f>IF(B161="","",IF(BC161="","",ROUND(BC161-AH161-AM161,2)))</f>
        <v>0</v>
      </c>
      <c r="BE161" s="33">
        <f>IF(B161="","",IF(OR(BC161="",BC161=0),"",BD161/BC161))</f>
        <v>0</v>
      </c>
      <c r="BF161" s="20">
        <f>IF(B161="","",IFERROR(ROUND(AVERAGEIFS(Competitors!$F$5:$F$154,Competitors!$A$5:$A$154,A161),2),""))</f>
        <v>0</v>
      </c>
      <c r="BG161" s="33">
        <f>IF(B161="","",IF(OR(BF161="",BF161=0,AR161=""),"",AR161/BF161-1))</f>
        <v>0</v>
      </c>
      <c r="BH161" s="32">
        <f>IF(B161="","",SUMIFS(Sales!$D$5:$D$804,Sales!$C$5:$C$804,A161))</f>
        <v>0</v>
      </c>
      <c r="BI161" s="20">
        <f>IF(B161="","",ROUND(SUMIFS(Sales!$V$5:$V$804,Sales!$C$5:$C$804,A161),2))</f>
        <v>0</v>
      </c>
      <c r="BJ161" s="20">
        <f>IF(B161="","",ROUND(SUMIFS(Sales!$AG$5:$AG$804,Sales!$C$5:$C$804,A161),2))</f>
        <v>0</v>
      </c>
      <c r="BK161" s="33">
        <f>IF(B161="","",IF(OR(BI161="",BI161=0),"",BJ161/BI161))</f>
        <v>0</v>
      </c>
      <c r="BL161" s="17">
        <f>IF(B161="","",IF(SUMPRODUCT(MAX((Sales!$C$5:$C$804=A161)*Sales!$B$5:$B$804))=0,"",SUMPRODUCT(MAX((Sales!$C$5:$C$804=A161)*Sales!$B$5:$B$804))))</f>
        <v>0</v>
      </c>
      <c r="BM161" s="17">
        <f>IF(B161="","",IF(SUMPRODUCT(MAX(('Price History'!$B$5:$B$304=A161)*'Price History'!$A$5:$A$304))=0,IF(P161="","",P161),SUMPRODUCT(MAX(('Price History'!$B$5:$B$304=A161)*'Price History'!$A$5:$A$304))))</f>
        <v>0</v>
      </c>
      <c r="BN161" s="32">
        <f>IF(B161="","",IF(BM161="","",TodayDate-BM161))</f>
        <v>0</v>
      </c>
      <c r="BO161" s="32">
        <f>IF(B161="","",COUNTIFS($AV$5:$AV$304,"&gt;"&amp;AV161)+COUNTIFS($AV$5:AV161,AV161))</f>
        <v>0</v>
      </c>
      <c r="BP161" s="32">
        <f>IF(B161="","",COUNTIFS($AW$5:$AW$304,"&gt;"&amp;AW161)+COUNTIFS($AW$5:AW161,AW161))</f>
        <v>0</v>
      </c>
      <c r="BQ161" s="32">
        <f>IF(B161="","",COUNTIFS($BI$5:$BI$304,"&gt;"&amp;BI161)+COUNTIFS($BI$5:BI161,BI161))</f>
        <v>0</v>
      </c>
      <c r="BR161" s="32">
        <f>IF(B161="","",COUNTIFS($AY$5:$AY$304,"&gt;"&amp;AY161)+COUNTIFS($AY$5:AY161,AY161))</f>
        <v>0</v>
      </c>
      <c r="BS161" s="43">
        <f>IF(B161="","",IF(AH161=0,"Add - no costs entered yet",IF(AR161="","Check - no price yet",IF(AV161&lt;0,"Loss - every sale costs you money",IF(AND(AZ161&lt;&gt;"",AZ161&lt;MinimumWage),"Below - pays under minimum wage",IF(AW161&lt;MarginWarning,"Low margin - re-price it",IF(AND(AF161&lt;&gt;"",K161&lt;&gt;"",K161+AC161&gt;AF161),"Check - too heavy for that postage band",IF(AND(BN161&lt;&gt;"",BN161&gt;PriceReviewDays),"Due - price has not been reviewed",IF(AND(BG161&lt;&gt;"",BG161&gt;0.5),"Check - well above the market","OK")))))))) )</f>
        <v>0</v>
      </c>
    </row>
    <row r="162" spans="1:71">
      <c r="A162" s="38">
        <f>IF(B162="","",ProductPrefix&amp;TEXT(ROW()-4,"0000"))</f>
        <v>0</v>
      </c>
      <c r="S162" s="38">
        <f>IF(B162="","",IF(C162&lt;&gt;"",C162,UPPER(LEFT(IF(D162="","GEN",D162),3))&amp;"-"&amp;TEXT(ROW()-4,"000")))</f>
        <v>0</v>
      </c>
      <c r="T162" s="20">
        <f>IF(B162="","",ROUND(SUMIFS('Material Usage'!$M$5:$M$904,'Material Usage'!$A$5:$A$904,A162)+SUMIFS(Crochet!$AD$5:$AD$84,Crochet!$A$5:$A$84,A162)+SUMIFS(Jewelry!$AF$5:$AF$84,Jewelry!$A$5:$A$84,A162)+SUMIFS(Candles!$AF$5:$AF$84,Candles!$A$5:$A$84,A162)+SUMIFS(Clothing!$AB$5:$AB$84,Clothing!$A$5:$A$84,A162)+SUMIFS(Woodworking!$AC$5:$AC$84,Woodworking!$A$5:$A$84,A162)+SUMIFS(Digital!$X$5:$X$84,Digital!$A$5:$A$84,A162),2))</f>
        <v>0</v>
      </c>
      <c r="U162" s="20">
        <f>IF(B162="","",ROUND(SUMIFS(Labor!$O$5:$O$304,Labor!$A$5:$A$304,A162)+SUMIFS(Crochet!$AG$5:$AG$84,Crochet!$A$5:$A$84,A162)+SUMIFS(Jewelry!$AI$5:$AI$84,Jewelry!$A$5:$A$84,A162)+SUMIFS(Candles!$AI$5:$AI$84,Candles!$A$5:$A$84,A162)+SUMIFS(Clothing!$AE$5:$AE$84,Clothing!$A$5:$A$84,A162)+SUMIFS(Woodworking!$AF$5:$AF$84,Woodworking!$A$5:$A$84,A162)+SUMIFS(Digital!$Z$5:$Z$84,Digital!$A$5:$A$84,A162),2))</f>
        <v>0</v>
      </c>
      <c r="V162" s="36">
        <f>IF(B162="","",ROUND(SUMIFS(Labor!$P$5:$P$304,Labor!$A$5:$A$304,A162)+SUMIFS(Crochet!$AE$5:$AE$84,Crochet!$A$5:$A$84,A162)+SUMIFS(Jewelry!$AG$5:$AG$84,Jewelry!$A$5:$A$84,A162)+SUMIFS(Candles!$AG$5:$AG$84,Candles!$A$5:$A$84,A162)+SUMIFS(Clothing!$AC$5:$AC$84,Clothing!$A$5:$A$84,A162)+SUMIFS(Woodworking!$AD$5:$AD$84,Woodworking!$A$5:$A$84,A162)+SUMIFS(Digital!$Y$5:$Y$84,Digital!$A$5:$A$84,A162),1))</f>
        <v>0</v>
      </c>
      <c r="W162" s="41">
        <f>IF(B162="","",IFERROR(INDEX(DiffTimeFactors,MATCH(G162,DiffNames,0)),1))</f>
        <v>0</v>
      </c>
      <c r="X162" s="36">
        <f>IF(B162="","",ROUND(V162*W162,1))</f>
        <v>0</v>
      </c>
      <c r="Y162" s="41">
        <f>IF(B162="","",ROUND(X162/60,3))</f>
        <v>0</v>
      </c>
      <c r="Z162" s="20">
        <f>IF(B162="","",ROUND(U162*W162,2))</f>
        <v>0</v>
      </c>
      <c r="AA162" s="20">
        <f>IF(B162="","",ROUND(SUMIFS(Labor!$Q$5:$Q$304,Labor!$A$5:$A$304,A162)+SUMIFS(Crochet!$AH$5:$AH$84,Crochet!$A$5:$A$84,A162)+SUMIFS(Jewelry!$AJ$5:$AJ$84,Jewelry!$A$5:$A$84,A162)+SUMIFS(Candles!$AJ$5:$AJ$84,Candles!$A$5:$A$84,A162)+SUMIFS(Clothing!$AF$5:$AF$84,Clothing!$A$5:$A$84,A162)+SUMIFS(Woodworking!$AH$5:$AH$84,Woodworking!$A$5:$A$84,A162)+SUMIFS(Digital!$AA$5:$AA$84,Digital!$A$5:$A$84,A162),2))</f>
        <v>0</v>
      </c>
      <c r="AB162" s="20">
        <f>IF(B162="","",ROUND(IF(I162="Budget",PackBudget,IF(I162="Standard",PackStandard,IF(I162="Gift",PackGift,IF(I162="Premium",PackPremium,DefaultPackaging)))),2))</f>
        <v>0</v>
      </c>
      <c r="AC162" s="36">
        <f>IF(B162="","",IF(I162="Budget",PackWeightBudget,IF(I162="Standard",PackWeightStandard,IF(I162="Gift",PackWeightGift,IF(I162="Premium",PackWeightPremium,0)))))</f>
        <v>0</v>
      </c>
      <c r="AD162" s="20">
        <f>IF(B162="","",IFERROR(INDEX(Shipping!$M$5:$M$64,MATCH(J162,Shipping!$L$5:$L$64,0)),DefaultShipping))</f>
        <v>0</v>
      </c>
      <c r="AE162" s="20">
        <f>IF(B162="","",IFERROR(INDEX(Shipping!$F$5:$F$64,MATCH(J162,Shipping!$L$5:$L$64,0)),0))</f>
        <v>0</v>
      </c>
      <c r="AF162" s="36">
        <f>IF(B162="","",IFERROR(INDEX(Shipping!$C$5:$C$64,MATCH(J162,Shipping!$L$5:$L$64,0)),""))</f>
        <v>0</v>
      </c>
      <c r="AG162" s="20">
        <f>IF(B162="","",ROUND(MAX(0,AD162-AE162),2))</f>
        <v>0</v>
      </c>
      <c r="AH162" s="20">
        <f>IF(B162="","",ROUND(T162+Z162+AA162+AB162+AG162,2))</f>
        <v>0</v>
      </c>
      <c r="AI162" s="33">
        <f>IF(B162="","",IFERROR(INDEX(Channels!$S$5:$S$18,MATCH(IF(H162="",DefaultChannel,H162),Channels!$A$5:$A$18,0)),0))</f>
        <v>0</v>
      </c>
      <c r="AJ162" s="42">
        <f>IF(B162="","",IFERROR(INDEX(Channels!$O$5:$O$18,MATCH(IF(H162="",DefaultChannel,H162),Channels!$A$5:$A$18,0)),"No"))</f>
        <v>0</v>
      </c>
      <c r="AK162" s="20">
        <f>IF(B162="","",ROUND(IFERROR(INDEX(Channels!$T$5:$T$18,MATCH(IF(H162="",DefaultChannel,H162),Channels!$A$5:$A$18,0)),0)+IF(AJ162="Yes",AE162*AI162,0),4))</f>
        <v>0</v>
      </c>
      <c r="AL162" s="33">
        <f>IF(B162="","",IF(OverheadMethod="Share of revenue",IF(RevenueTargetMonth&lt;=0,0,OverheadMonthly/RevenueTargetMonth),0))</f>
        <v>0</v>
      </c>
      <c r="AM162" s="20">
        <f>IF(B162="","",IF(OverheadMethod="Per hour worked",ROUND(OverheadPerHour*Y162,2),IF(OR(OverheadMethod="Per unit made",OverheadMethod="Per order"),OverheadPerUnit,0)))</f>
        <v>0</v>
      </c>
      <c r="AN162" s="33">
        <f>IF(B162="","",IF(N162&lt;&gt;"",N162,TargetRetailMargin))</f>
        <v>0</v>
      </c>
      <c r="AO162" s="41">
        <f>IF(B162="","",1-AN162-AI162-AL162)</f>
        <v>0</v>
      </c>
      <c r="AP162" s="20">
        <f>IF(B162="","",IF(AO162&lt;=0,"",(AH162+AM162+AK162)/AO162))</f>
        <v>0</v>
      </c>
      <c r="AQ162" s="20">
        <f>IF(B162="","",IF(AP162="","Check the settings",ROUND(IF(RoundingRule="None",AP162,IF(RoundingRule="Nearest 0.99",MAX(0.99,CEILING(AP162,1)-0.01),IF(RoundingRule="Nearest 0.95",MAX(0.95,CEILING(AP162,1)-0.05),IF(RoundingRule="Nearest 0.50",CEILING(AP162,0.5),IF(RoundingRule="Nearest 1",CEILING(AP162,1),IF(RoundingRule="Nearest 5",CEILING(AP162,5),IF(RoundingRule="Up to whole 1",CEILING(AP162,1),IF(RoundingRule="Up to whole 5",CEILING(AP162,5),ROUND(AP162,2))))))))),2)))</f>
        <v>0</v>
      </c>
      <c r="AR162" s="20">
        <f>IF(B162="","",IF(M162&lt;&gt;"",M162,IF(ISNUMBER(AQ162),AQ162,"")))</f>
        <v>0</v>
      </c>
      <c r="AS162" s="20">
        <f>IF(B162="","",IF(AR162="","",ROUND(AM162+AR162*AL162,2)))</f>
        <v>0</v>
      </c>
      <c r="AT162" s="20">
        <f>IF(B162="","",IF(AR162="","",ROUND(AH162+AS162,2)))</f>
        <v>0</v>
      </c>
      <c r="AU162" s="20">
        <f>IF(B162="","",IF(AR162="","",ROUND(AR162*AI162+AK162,2)))</f>
        <v>0</v>
      </c>
      <c r="AV162" s="20">
        <f>IF(B162="","",IF(AR162="","",ROUND(AR162-AT162-AU162,2)))</f>
        <v>0</v>
      </c>
      <c r="AW162" s="33">
        <f>IF(B162="","",IF(OR(AR162="",AR162=0),"",AV162/AR162))</f>
        <v>0</v>
      </c>
      <c r="AX162" s="33">
        <f>IF(B162="","",IF(OR(AT162="",AT162=0),"",AV162/AT162))</f>
        <v>0</v>
      </c>
      <c r="AY162" s="20">
        <f>IF(B162="","",IF(OR(Y162="",Y162=0,AV162=""),"",ROUND(AV162/Y162,2)))</f>
        <v>0</v>
      </c>
      <c r="AZ162" s="20">
        <f>IF(B162="","",IF(OR(Y162="",Y162=0,AV162=""),"",ROUND((AV162+Z162)/Y162,2)))</f>
        <v>0</v>
      </c>
      <c r="BA162" s="20">
        <f>IF(B162="","",IF(1-AI162-AL162&lt;=0,"",ROUND((AH162+AM162+AK162)/(1-AI162-AL162),2)))</f>
        <v>0</v>
      </c>
      <c r="BB162" s="20">
        <f>IF(B162="","",IF(AT162="","",ROUND(AT162*2,2)))</f>
        <v>0</v>
      </c>
      <c r="BC162" s="20">
        <f>IF(B162="","",IF(AR162="","",ROUND(AR162*(1-WholesaleDiscount),2)))</f>
        <v>0</v>
      </c>
      <c r="BD162" s="20">
        <f>IF(B162="","",IF(BC162="","",ROUND(BC162-AH162-AM162,2)))</f>
        <v>0</v>
      </c>
      <c r="BE162" s="33">
        <f>IF(B162="","",IF(OR(BC162="",BC162=0),"",BD162/BC162))</f>
        <v>0</v>
      </c>
      <c r="BF162" s="20">
        <f>IF(B162="","",IFERROR(ROUND(AVERAGEIFS(Competitors!$F$5:$F$154,Competitors!$A$5:$A$154,A162),2),""))</f>
        <v>0</v>
      </c>
      <c r="BG162" s="33">
        <f>IF(B162="","",IF(OR(BF162="",BF162=0,AR162=""),"",AR162/BF162-1))</f>
        <v>0</v>
      </c>
      <c r="BH162" s="32">
        <f>IF(B162="","",SUMIFS(Sales!$D$5:$D$804,Sales!$C$5:$C$804,A162))</f>
        <v>0</v>
      </c>
      <c r="BI162" s="20">
        <f>IF(B162="","",ROUND(SUMIFS(Sales!$V$5:$V$804,Sales!$C$5:$C$804,A162),2))</f>
        <v>0</v>
      </c>
      <c r="BJ162" s="20">
        <f>IF(B162="","",ROUND(SUMIFS(Sales!$AG$5:$AG$804,Sales!$C$5:$C$804,A162),2))</f>
        <v>0</v>
      </c>
      <c r="BK162" s="33">
        <f>IF(B162="","",IF(OR(BI162="",BI162=0),"",BJ162/BI162))</f>
        <v>0</v>
      </c>
      <c r="BL162" s="17">
        <f>IF(B162="","",IF(SUMPRODUCT(MAX((Sales!$C$5:$C$804=A162)*Sales!$B$5:$B$804))=0,"",SUMPRODUCT(MAX((Sales!$C$5:$C$804=A162)*Sales!$B$5:$B$804))))</f>
        <v>0</v>
      </c>
      <c r="BM162" s="17">
        <f>IF(B162="","",IF(SUMPRODUCT(MAX(('Price History'!$B$5:$B$304=A162)*'Price History'!$A$5:$A$304))=0,IF(P162="","",P162),SUMPRODUCT(MAX(('Price History'!$B$5:$B$304=A162)*'Price History'!$A$5:$A$304))))</f>
        <v>0</v>
      </c>
      <c r="BN162" s="32">
        <f>IF(B162="","",IF(BM162="","",TodayDate-BM162))</f>
        <v>0</v>
      </c>
      <c r="BO162" s="32">
        <f>IF(B162="","",COUNTIFS($AV$5:$AV$304,"&gt;"&amp;AV162)+COUNTIFS($AV$5:AV162,AV162))</f>
        <v>0</v>
      </c>
      <c r="BP162" s="32">
        <f>IF(B162="","",COUNTIFS($AW$5:$AW$304,"&gt;"&amp;AW162)+COUNTIFS($AW$5:AW162,AW162))</f>
        <v>0</v>
      </c>
      <c r="BQ162" s="32">
        <f>IF(B162="","",COUNTIFS($BI$5:$BI$304,"&gt;"&amp;BI162)+COUNTIFS($BI$5:BI162,BI162))</f>
        <v>0</v>
      </c>
      <c r="BR162" s="32">
        <f>IF(B162="","",COUNTIFS($AY$5:$AY$304,"&gt;"&amp;AY162)+COUNTIFS($AY$5:AY162,AY162))</f>
        <v>0</v>
      </c>
      <c r="BS162" s="43">
        <f>IF(B162="","",IF(AH162=0,"Add - no costs entered yet",IF(AR162="","Check - no price yet",IF(AV162&lt;0,"Loss - every sale costs you money",IF(AND(AZ162&lt;&gt;"",AZ162&lt;MinimumWage),"Below - pays under minimum wage",IF(AW162&lt;MarginWarning,"Low margin - re-price it",IF(AND(AF162&lt;&gt;"",K162&lt;&gt;"",K162+AC162&gt;AF162),"Check - too heavy for that postage band",IF(AND(BN162&lt;&gt;"",BN162&gt;PriceReviewDays),"Due - price has not been reviewed",IF(AND(BG162&lt;&gt;"",BG162&gt;0.5),"Check - well above the market","OK")))))))) )</f>
        <v>0</v>
      </c>
    </row>
    <row r="163" spans="1:71">
      <c r="A163" s="38">
        <f>IF(B163="","",ProductPrefix&amp;TEXT(ROW()-4,"0000"))</f>
        <v>0</v>
      </c>
      <c r="S163" s="38">
        <f>IF(B163="","",IF(C163&lt;&gt;"",C163,UPPER(LEFT(IF(D163="","GEN",D163),3))&amp;"-"&amp;TEXT(ROW()-4,"000")))</f>
        <v>0</v>
      </c>
      <c r="T163" s="20">
        <f>IF(B163="","",ROUND(SUMIFS('Material Usage'!$M$5:$M$904,'Material Usage'!$A$5:$A$904,A163)+SUMIFS(Crochet!$AD$5:$AD$84,Crochet!$A$5:$A$84,A163)+SUMIFS(Jewelry!$AF$5:$AF$84,Jewelry!$A$5:$A$84,A163)+SUMIFS(Candles!$AF$5:$AF$84,Candles!$A$5:$A$84,A163)+SUMIFS(Clothing!$AB$5:$AB$84,Clothing!$A$5:$A$84,A163)+SUMIFS(Woodworking!$AC$5:$AC$84,Woodworking!$A$5:$A$84,A163)+SUMIFS(Digital!$X$5:$X$84,Digital!$A$5:$A$84,A163),2))</f>
        <v>0</v>
      </c>
      <c r="U163" s="20">
        <f>IF(B163="","",ROUND(SUMIFS(Labor!$O$5:$O$304,Labor!$A$5:$A$304,A163)+SUMIFS(Crochet!$AG$5:$AG$84,Crochet!$A$5:$A$84,A163)+SUMIFS(Jewelry!$AI$5:$AI$84,Jewelry!$A$5:$A$84,A163)+SUMIFS(Candles!$AI$5:$AI$84,Candles!$A$5:$A$84,A163)+SUMIFS(Clothing!$AE$5:$AE$84,Clothing!$A$5:$A$84,A163)+SUMIFS(Woodworking!$AF$5:$AF$84,Woodworking!$A$5:$A$84,A163)+SUMIFS(Digital!$Z$5:$Z$84,Digital!$A$5:$A$84,A163),2))</f>
        <v>0</v>
      </c>
      <c r="V163" s="36">
        <f>IF(B163="","",ROUND(SUMIFS(Labor!$P$5:$P$304,Labor!$A$5:$A$304,A163)+SUMIFS(Crochet!$AE$5:$AE$84,Crochet!$A$5:$A$84,A163)+SUMIFS(Jewelry!$AG$5:$AG$84,Jewelry!$A$5:$A$84,A163)+SUMIFS(Candles!$AG$5:$AG$84,Candles!$A$5:$A$84,A163)+SUMIFS(Clothing!$AC$5:$AC$84,Clothing!$A$5:$A$84,A163)+SUMIFS(Woodworking!$AD$5:$AD$84,Woodworking!$A$5:$A$84,A163)+SUMIFS(Digital!$Y$5:$Y$84,Digital!$A$5:$A$84,A163),1))</f>
        <v>0</v>
      </c>
      <c r="W163" s="41">
        <f>IF(B163="","",IFERROR(INDEX(DiffTimeFactors,MATCH(G163,DiffNames,0)),1))</f>
        <v>0</v>
      </c>
      <c r="X163" s="36">
        <f>IF(B163="","",ROUND(V163*W163,1))</f>
        <v>0</v>
      </c>
      <c r="Y163" s="41">
        <f>IF(B163="","",ROUND(X163/60,3))</f>
        <v>0</v>
      </c>
      <c r="Z163" s="20">
        <f>IF(B163="","",ROUND(U163*W163,2))</f>
        <v>0</v>
      </c>
      <c r="AA163" s="20">
        <f>IF(B163="","",ROUND(SUMIFS(Labor!$Q$5:$Q$304,Labor!$A$5:$A$304,A163)+SUMIFS(Crochet!$AH$5:$AH$84,Crochet!$A$5:$A$84,A163)+SUMIFS(Jewelry!$AJ$5:$AJ$84,Jewelry!$A$5:$A$84,A163)+SUMIFS(Candles!$AJ$5:$AJ$84,Candles!$A$5:$A$84,A163)+SUMIFS(Clothing!$AF$5:$AF$84,Clothing!$A$5:$A$84,A163)+SUMIFS(Woodworking!$AH$5:$AH$84,Woodworking!$A$5:$A$84,A163)+SUMIFS(Digital!$AA$5:$AA$84,Digital!$A$5:$A$84,A163),2))</f>
        <v>0</v>
      </c>
      <c r="AB163" s="20">
        <f>IF(B163="","",ROUND(IF(I163="Budget",PackBudget,IF(I163="Standard",PackStandard,IF(I163="Gift",PackGift,IF(I163="Premium",PackPremium,DefaultPackaging)))),2))</f>
        <v>0</v>
      </c>
      <c r="AC163" s="36">
        <f>IF(B163="","",IF(I163="Budget",PackWeightBudget,IF(I163="Standard",PackWeightStandard,IF(I163="Gift",PackWeightGift,IF(I163="Premium",PackWeightPremium,0)))))</f>
        <v>0</v>
      </c>
      <c r="AD163" s="20">
        <f>IF(B163="","",IFERROR(INDEX(Shipping!$M$5:$M$64,MATCH(J163,Shipping!$L$5:$L$64,0)),DefaultShipping))</f>
        <v>0</v>
      </c>
      <c r="AE163" s="20">
        <f>IF(B163="","",IFERROR(INDEX(Shipping!$F$5:$F$64,MATCH(J163,Shipping!$L$5:$L$64,0)),0))</f>
        <v>0</v>
      </c>
      <c r="AF163" s="36">
        <f>IF(B163="","",IFERROR(INDEX(Shipping!$C$5:$C$64,MATCH(J163,Shipping!$L$5:$L$64,0)),""))</f>
        <v>0</v>
      </c>
      <c r="AG163" s="20">
        <f>IF(B163="","",ROUND(MAX(0,AD163-AE163),2))</f>
        <v>0</v>
      </c>
      <c r="AH163" s="20">
        <f>IF(B163="","",ROUND(T163+Z163+AA163+AB163+AG163,2))</f>
        <v>0</v>
      </c>
      <c r="AI163" s="33">
        <f>IF(B163="","",IFERROR(INDEX(Channels!$S$5:$S$18,MATCH(IF(H163="",DefaultChannel,H163),Channels!$A$5:$A$18,0)),0))</f>
        <v>0</v>
      </c>
      <c r="AJ163" s="42">
        <f>IF(B163="","",IFERROR(INDEX(Channels!$O$5:$O$18,MATCH(IF(H163="",DefaultChannel,H163),Channels!$A$5:$A$18,0)),"No"))</f>
        <v>0</v>
      </c>
      <c r="AK163" s="20">
        <f>IF(B163="","",ROUND(IFERROR(INDEX(Channels!$T$5:$T$18,MATCH(IF(H163="",DefaultChannel,H163),Channels!$A$5:$A$18,0)),0)+IF(AJ163="Yes",AE163*AI163,0),4))</f>
        <v>0</v>
      </c>
      <c r="AL163" s="33">
        <f>IF(B163="","",IF(OverheadMethod="Share of revenue",IF(RevenueTargetMonth&lt;=0,0,OverheadMonthly/RevenueTargetMonth),0))</f>
        <v>0</v>
      </c>
      <c r="AM163" s="20">
        <f>IF(B163="","",IF(OverheadMethod="Per hour worked",ROUND(OverheadPerHour*Y163,2),IF(OR(OverheadMethod="Per unit made",OverheadMethod="Per order"),OverheadPerUnit,0)))</f>
        <v>0</v>
      </c>
      <c r="AN163" s="33">
        <f>IF(B163="","",IF(N163&lt;&gt;"",N163,TargetRetailMargin))</f>
        <v>0</v>
      </c>
      <c r="AO163" s="41">
        <f>IF(B163="","",1-AN163-AI163-AL163)</f>
        <v>0</v>
      </c>
      <c r="AP163" s="20">
        <f>IF(B163="","",IF(AO163&lt;=0,"",(AH163+AM163+AK163)/AO163))</f>
        <v>0</v>
      </c>
      <c r="AQ163" s="20">
        <f>IF(B163="","",IF(AP163="","Check the settings",ROUND(IF(RoundingRule="None",AP163,IF(RoundingRule="Nearest 0.99",MAX(0.99,CEILING(AP163,1)-0.01),IF(RoundingRule="Nearest 0.95",MAX(0.95,CEILING(AP163,1)-0.05),IF(RoundingRule="Nearest 0.50",CEILING(AP163,0.5),IF(RoundingRule="Nearest 1",CEILING(AP163,1),IF(RoundingRule="Nearest 5",CEILING(AP163,5),IF(RoundingRule="Up to whole 1",CEILING(AP163,1),IF(RoundingRule="Up to whole 5",CEILING(AP163,5),ROUND(AP163,2))))))))),2)))</f>
        <v>0</v>
      </c>
      <c r="AR163" s="20">
        <f>IF(B163="","",IF(M163&lt;&gt;"",M163,IF(ISNUMBER(AQ163),AQ163,"")))</f>
        <v>0</v>
      </c>
      <c r="AS163" s="20">
        <f>IF(B163="","",IF(AR163="","",ROUND(AM163+AR163*AL163,2)))</f>
        <v>0</v>
      </c>
      <c r="AT163" s="20">
        <f>IF(B163="","",IF(AR163="","",ROUND(AH163+AS163,2)))</f>
        <v>0</v>
      </c>
      <c r="AU163" s="20">
        <f>IF(B163="","",IF(AR163="","",ROUND(AR163*AI163+AK163,2)))</f>
        <v>0</v>
      </c>
      <c r="AV163" s="20">
        <f>IF(B163="","",IF(AR163="","",ROUND(AR163-AT163-AU163,2)))</f>
        <v>0</v>
      </c>
      <c r="AW163" s="33">
        <f>IF(B163="","",IF(OR(AR163="",AR163=0),"",AV163/AR163))</f>
        <v>0</v>
      </c>
      <c r="AX163" s="33">
        <f>IF(B163="","",IF(OR(AT163="",AT163=0),"",AV163/AT163))</f>
        <v>0</v>
      </c>
      <c r="AY163" s="20">
        <f>IF(B163="","",IF(OR(Y163="",Y163=0,AV163=""),"",ROUND(AV163/Y163,2)))</f>
        <v>0</v>
      </c>
      <c r="AZ163" s="20">
        <f>IF(B163="","",IF(OR(Y163="",Y163=0,AV163=""),"",ROUND((AV163+Z163)/Y163,2)))</f>
        <v>0</v>
      </c>
      <c r="BA163" s="20">
        <f>IF(B163="","",IF(1-AI163-AL163&lt;=0,"",ROUND((AH163+AM163+AK163)/(1-AI163-AL163),2)))</f>
        <v>0</v>
      </c>
      <c r="BB163" s="20">
        <f>IF(B163="","",IF(AT163="","",ROUND(AT163*2,2)))</f>
        <v>0</v>
      </c>
      <c r="BC163" s="20">
        <f>IF(B163="","",IF(AR163="","",ROUND(AR163*(1-WholesaleDiscount),2)))</f>
        <v>0</v>
      </c>
      <c r="BD163" s="20">
        <f>IF(B163="","",IF(BC163="","",ROUND(BC163-AH163-AM163,2)))</f>
        <v>0</v>
      </c>
      <c r="BE163" s="33">
        <f>IF(B163="","",IF(OR(BC163="",BC163=0),"",BD163/BC163))</f>
        <v>0</v>
      </c>
      <c r="BF163" s="20">
        <f>IF(B163="","",IFERROR(ROUND(AVERAGEIFS(Competitors!$F$5:$F$154,Competitors!$A$5:$A$154,A163),2),""))</f>
        <v>0</v>
      </c>
      <c r="BG163" s="33">
        <f>IF(B163="","",IF(OR(BF163="",BF163=0,AR163=""),"",AR163/BF163-1))</f>
        <v>0</v>
      </c>
      <c r="BH163" s="32">
        <f>IF(B163="","",SUMIFS(Sales!$D$5:$D$804,Sales!$C$5:$C$804,A163))</f>
        <v>0</v>
      </c>
      <c r="BI163" s="20">
        <f>IF(B163="","",ROUND(SUMIFS(Sales!$V$5:$V$804,Sales!$C$5:$C$804,A163),2))</f>
        <v>0</v>
      </c>
      <c r="BJ163" s="20">
        <f>IF(B163="","",ROUND(SUMIFS(Sales!$AG$5:$AG$804,Sales!$C$5:$C$804,A163),2))</f>
        <v>0</v>
      </c>
      <c r="BK163" s="33">
        <f>IF(B163="","",IF(OR(BI163="",BI163=0),"",BJ163/BI163))</f>
        <v>0</v>
      </c>
      <c r="BL163" s="17">
        <f>IF(B163="","",IF(SUMPRODUCT(MAX((Sales!$C$5:$C$804=A163)*Sales!$B$5:$B$804))=0,"",SUMPRODUCT(MAX((Sales!$C$5:$C$804=A163)*Sales!$B$5:$B$804))))</f>
        <v>0</v>
      </c>
      <c r="BM163" s="17">
        <f>IF(B163="","",IF(SUMPRODUCT(MAX(('Price History'!$B$5:$B$304=A163)*'Price History'!$A$5:$A$304))=0,IF(P163="","",P163),SUMPRODUCT(MAX(('Price History'!$B$5:$B$304=A163)*'Price History'!$A$5:$A$304))))</f>
        <v>0</v>
      </c>
      <c r="BN163" s="32">
        <f>IF(B163="","",IF(BM163="","",TodayDate-BM163))</f>
        <v>0</v>
      </c>
      <c r="BO163" s="32">
        <f>IF(B163="","",COUNTIFS($AV$5:$AV$304,"&gt;"&amp;AV163)+COUNTIFS($AV$5:AV163,AV163))</f>
        <v>0</v>
      </c>
      <c r="BP163" s="32">
        <f>IF(B163="","",COUNTIFS($AW$5:$AW$304,"&gt;"&amp;AW163)+COUNTIFS($AW$5:AW163,AW163))</f>
        <v>0</v>
      </c>
      <c r="BQ163" s="32">
        <f>IF(B163="","",COUNTIFS($BI$5:$BI$304,"&gt;"&amp;BI163)+COUNTIFS($BI$5:BI163,BI163))</f>
        <v>0</v>
      </c>
      <c r="BR163" s="32">
        <f>IF(B163="","",COUNTIFS($AY$5:$AY$304,"&gt;"&amp;AY163)+COUNTIFS($AY$5:AY163,AY163))</f>
        <v>0</v>
      </c>
      <c r="BS163" s="43">
        <f>IF(B163="","",IF(AH163=0,"Add - no costs entered yet",IF(AR163="","Check - no price yet",IF(AV163&lt;0,"Loss - every sale costs you money",IF(AND(AZ163&lt;&gt;"",AZ163&lt;MinimumWage),"Below - pays under minimum wage",IF(AW163&lt;MarginWarning,"Low margin - re-price it",IF(AND(AF163&lt;&gt;"",K163&lt;&gt;"",K163+AC163&gt;AF163),"Check - too heavy for that postage band",IF(AND(BN163&lt;&gt;"",BN163&gt;PriceReviewDays),"Due - price has not been reviewed",IF(AND(BG163&lt;&gt;"",BG163&gt;0.5),"Check - well above the market","OK")))))))) )</f>
        <v>0</v>
      </c>
    </row>
    <row r="164" spans="1:71">
      <c r="A164" s="38">
        <f>IF(B164="","",ProductPrefix&amp;TEXT(ROW()-4,"0000"))</f>
        <v>0</v>
      </c>
      <c r="S164" s="38">
        <f>IF(B164="","",IF(C164&lt;&gt;"",C164,UPPER(LEFT(IF(D164="","GEN",D164),3))&amp;"-"&amp;TEXT(ROW()-4,"000")))</f>
        <v>0</v>
      </c>
      <c r="T164" s="20">
        <f>IF(B164="","",ROUND(SUMIFS('Material Usage'!$M$5:$M$904,'Material Usage'!$A$5:$A$904,A164)+SUMIFS(Crochet!$AD$5:$AD$84,Crochet!$A$5:$A$84,A164)+SUMIFS(Jewelry!$AF$5:$AF$84,Jewelry!$A$5:$A$84,A164)+SUMIFS(Candles!$AF$5:$AF$84,Candles!$A$5:$A$84,A164)+SUMIFS(Clothing!$AB$5:$AB$84,Clothing!$A$5:$A$84,A164)+SUMIFS(Woodworking!$AC$5:$AC$84,Woodworking!$A$5:$A$84,A164)+SUMIFS(Digital!$X$5:$X$84,Digital!$A$5:$A$84,A164),2))</f>
        <v>0</v>
      </c>
      <c r="U164" s="20">
        <f>IF(B164="","",ROUND(SUMIFS(Labor!$O$5:$O$304,Labor!$A$5:$A$304,A164)+SUMIFS(Crochet!$AG$5:$AG$84,Crochet!$A$5:$A$84,A164)+SUMIFS(Jewelry!$AI$5:$AI$84,Jewelry!$A$5:$A$84,A164)+SUMIFS(Candles!$AI$5:$AI$84,Candles!$A$5:$A$84,A164)+SUMIFS(Clothing!$AE$5:$AE$84,Clothing!$A$5:$A$84,A164)+SUMIFS(Woodworking!$AF$5:$AF$84,Woodworking!$A$5:$A$84,A164)+SUMIFS(Digital!$Z$5:$Z$84,Digital!$A$5:$A$84,A164),2))</f>
        <v>0</v>
      </c>
      <c r="V164" s="36">
        <f>IF(B164="","",ROUND(SUMIFS(Labor!$P$5:$P$304,Labor!$A$5:$A$304,A164)+SUMIFS(Crochet!$AE$5:$AE$84,Crochet!$A$5:$A$84,A164)+SUMIFS(Jewelry!$AG$5:$AG$84,Jewelry!$A$5:$A$84,A164)+SUMIFS(Candles!$AG$5:$AG$84,Candles!$A$5:$A$84,A164)+SUMIFS(Clothing!$AC$5:$AC$84,Clothing!$A$5:$A$84,A164)+SUMIFS(Woodworking!$AD$5:$AD$84,Woodworking!$A$5:$A$84,A164)+SUMIFS(Digital!$Y$5:$Y$84,Digital!$A$5:$A$84,A164),1))</f>
        <v>0</v>
      </c>
      <c r="W164" s="41">
        <f>IF(B164="","",IFERROR(INDEX(DiffTimeFactors,MATCH(G164,DiffNames,0)),1))</f>
        <v>0</v>
      </c>
      <c r="X164" s="36">
        <f>IF(B164="","",ROUND(V164*W164,1))</f>
        <v>0</v>
      </c>
      <c r="Y164" s="41">
        <f>IF(B164="","",ROUND(X164/60,3))</f>
        <v>0</v>
      </c>
      <c r="Z164" s="20">
        <f>IF(B164="","",ROUND(U164*W164,2))</f>
        <v>0</v>
      </c>
      <c r="AA164" s="20">
        <f>IF(B164="","",ROUND(SUMIFS(Labor!$Q$5:$Q$304,Labor!$A$5:$A$304,A164)+SUMIFS(Crochet!$AH$5:$AH$84,Crochet!$A$5:$A$84,A164)+SUMIFS(Jewelry!$AJ$5:$AJ$84,Jewelry!$A$5:$A$84,A164)+SUMIFS(Candles!$AJ$5:$AJ$84,Candles!$A$5:$A$84,A164)+SUMIFS(Clothing!$AF$5:$AF$84,Clothing!$A$5:$A$84,A164)+SUMIFS(Woodworking!$AH$5:$AH$84,Woodworking!$A$5:$A$84,A164)+SUMIFS(Digital!$AA$5:$AA$84,Digital!$A$5:$A$84,A164),2))</f>
        <v>0</v>
      </c>
      <c r="AB164" s="20">
        <f>IF(B164="","",ROUND(IF(I164="Budget",PackBudget,IF(I164="Standard",PackStandard,IF(I164="Gift",PackGift,IF(I164="Premium",PackPremium,DefaultPackaging)))),2))</f>
        <v>0</v>
      </c>
      <c r="AC164" s="36">
        <f>IF(B164="","",IF(I164="Budget",PackWeightBudget,IF(I164="Standard",PackWeightStandard,IF(I164="Gift",PackWeightGift,IF(I164="Premium",PackWeightPremium,0)))))</f>
        <v>0</v>
      </c>
      <c r="AD164" s="20">
        <f>IF(B164="","",IFERROR(INDEX(Shipping!$M$5:$M$64,MATCH(J164,Shipping!$L$5:$L$64,0)),DefaultShipping))</f>
        <v>0</v>
      </c>
      <c r="AE164" s="20">
        <f>IF(B164="","",IFERROR(INDEX(Shipping!$F$5:$F$64,MATCH(J164,Shipping!$L$5:$L$64,0)),0))</f>
        <v>0</v>
      </c>
      <c r="AF164" s="36">
        <f>IF(B164="","",IFERROR(INDEX(Shipping!$C$5:$C$64,MATCH(J164,Shipping!$L$5:$L$64,0)),""))</f>
        <v>0</v>
      </c>
      <c r="AG164" s="20">
        <f>IF(B164="","",ROUND(MAX(0,AD164-AE164),2))</f>
        <v>0</v>
      </c>
      <c r="AH164" s="20">
        <f>IF(B164="","",ROUND(T164+Z164+AA164+AB164+AG164,2))</f>
        <v>0</v>
      </c>
      <c r="AI164" s="33">
        <f>IF(B164="","",IFERROR(INDEX(Channels!$S$5:$S$18,MATCH(IF(H164="",DefaultChannel,H164),Channels!$A$5:$A$18,0)),0))</f>
        <v>0</v>
      </c>
      <c r="AJ164" s="42">
        <f>IF(B164="","",IFERROR(INDEX(Channels!$O$5:$O$18,MATCH(IF(H164="",DefaultChannel,H164),Channels!$A$5:$A$18,0)),"No"))</f>
        <v>0</v>
      </c>
      <c r="AK164" s="20">
        <f>IF(B164="","",ROUND(IFERROR(INDEX(Channels!$T$5:$T$18,MATCH(IF(H164="",DefaultChannel,H164),Channels!$A$5:$A$18,0)),0)+IF(AJ164="Yes",AE164*AI164,0),4))</f>
        <v>0</v>
      </c>
      <c r="AL164" s="33">
        <f>IF(B164="","",IF(OverheadMethod="Share of revenue",IF(RevenueTargetMonth&lt;=0,0,OverheadMonthly/RevenueTargetMonth),0))</f>
        <v>0</v>
      </c>
      <c r="AM164" s="20">
        <f>IF(B164="","",IF(OverheadMethod="Per hour worked",ROUND(OverheadPerHour*Y164,2),IF(OR(OverheadMethod="Per unit made",OverheadMethod="Per order"),OverheadPerUnit,0)))</f>
        <v>0</v>
      </c>
      <c r="AN164" s="33">
        <f>IF(B164="","",IF(N164&lt;&gt;"",N164,TargetRetailMargin))</f>
        <v>0</v>
      </c>
      <c r="AO164" s="41">
        <f>IF(B164="","",1-AN164-AI164-AL164)</f>
        <v>0</v>
      </c>
      <c r="AP164" s="20">
        <f>IF(B164="","",IF(AO164&lt;=0,"",(AH164+AM164+AK164)/AO164))</f>
        <v>0</v>
      </c>
      <c r="AQ164" s="20">
        <f>IF(B164="","",IF(AP164="","Check the settings",ROUND(IF(RoundingRule="None",AP164,IF(RoundingRule="Nearest 0.99",MAX(0.99,CEILING(AP164,1)-0.01),IF(RoundingRule="Nearest 0.95",MAX(0.95,CEILING(AP164,1)-0.05),IF(RoundingRule="Nearest 0.50",CEILING(AP164,0.5),IF(RoundingRule="Nearest 1",CEILING(AP164,1),IF(RoundingRule="Nearest 5",CEILING(AP164,5),IF(RoundingRule="Up to whole 1",CEILING(AP164,1),IF(RoundingRule="Up to whole 5",CEILING(AP164,5),ROUND(AP164,2))))))))),2)))</f>
        <v>0</v>
      </c>
      <c r="AR164" s="20">
        <f>IF(B164="","",IF(M164&lt;&gt;"",M164,IF(ISNUMBER(AQ164),AQ164,"")))</f>
        <v>0</v>
      </c>
      <c r="AS164" s="20">
        <f>IF(B164="","",IF(AR164="","",ROUND(AM164+AR164*AL164,2)))</f>
        <v>0</v>
      </c>
      <c r="AT164" s="20">
        <f>IF(B164="","",IF(AR164="","",ROUND(AH164+AS164,2)))</f>
        <v>0</v>
      </c>
      <c r="AU164" s="20">
        <f>IF(B164="","",IF(AR164="","",ROUND(AR164*AI164+AK164,2)))</f>
        <v>0</v>
      </c>
      <c r="AV164" s="20">
        <f>IF(B164="","",IF(AR164="","",ROUND(AR164-AT164-AU164,2)))</f>
        <v>0</v>
      </c>
      <c r="AW164" s="33">
        <f>IF(B164="","",IF(OR(AR164="",AR164=0),"",AV164/AR164))</f>
        <v>0</v>
      </c>
      <c r="AX164" s="33">
        <f>IF(B164="","",IF(OR(AT164="",AT164=0),"",AV164/AT164))</f>
        <v>0</v>
      </c>
      <c r="AY164" s="20">
        <f>IF(B164="","",IF(OR(Y164="",Y164=0,AV164=""),"",ROUND(AV164/Y164,2)))</f>
        <v>0</v>
      </c>
      <c r="AZ164" s="20">
        <f>IF(B164="","",IF(OR(Y164="",Y164=0,AV164=""),"",ROUND((AV164+Z164)/Y164,2)))</f>
        <v>0</v>
      </c>
      <c r="BA164" s="20">
        <f>IF(B164="","",IF(1-AI164-AL164&lt;=0,"",ROUND((AH164+AM164+AK164)/(1-AI164-AL164),2)))</f>
        <v>0</v>
      </c>
      <c r="BB164" s="20">
        <f>IF(B164="","",IF(AT164="","",ROUND(AT164*2,2)))</f>
        <v>0</v>
      </c>
      <c r="BC164" s="20">
        <f>IF(B164="","",IF(AR164="","",ROUND(AR164*(1-WholesaleDiscount),2)))</f>
        <v>0</v>
      </c>
      <c r="BD164" s="20">
        <f>IF(B164="","",IF(BC164="","",ROUND(BC164-AH164-AM164,2)))</f>
        <v>0</v>
      </c>
      <c r="BE164" s="33">
        <f>IF(B164="","",IF(OR(BC164="",BC164=0),"",BD164/BC164))</f>
        <v>0</v>
      </c>
      <c r="BF164" s="20">
        <f>IF(B164="","",IFERROR(ROUND(AVERAGEIFS(Competitors!$F$5:$F$154,Competitors!$A$5:$A$154,A164),2),""))</f>
        <v>0</v>
      </c>
      <c r="BG164" s="33">
        <f>IF(B164="","",IF(OR(BF164="",BF164=0,AR164=""),"",AR164/BF164-1))</f>
        <v>0</v>
      </c>
      <c r="BH164" s="32">
        <f>IF(B164="","",SUMIFS(Sales!$D$5:$D$804,Sales!$C$5:$C$804,A164))</f>
        <v>0</v>
      </c>
      <c r="BI164" s="20">
        <f>IF(B164="","",ROUND(SUMIFS(Sales!$V$5:$V$804,Sales!$C$5:$C$804,A164),2))</f>
        <v>0</v>
      </c>
      <c r="BJ164" s="20">
        <f>IF(B164="","",ROUND(SUMIFS(Sales!$AG$5:$AG$804,Sales!$C$5:$C$804,A164),2))</f>
        <v>0</v>
      </c>
      <c r="BK164" s="33">
        <f>IF(B164="","",IF(OR(BI164="",BI164=0),"",BJ164/BI164))</f>
        <v>0</v>
      </c>
      <c r="BL164" s="17">
        <f>IF(B164="","",IF(SUMPRODUCT(MAX((Sales!$C$5:$C$804=A164)*Sales!$B$5:$B$804))=0,"",SUMPRODUCT(MAX((Sales!$C$5:$C$804=A164)*Sales!$B$5:$B$804))))</f>
        <v>0</v>
      </c>
      <c r="BM164" s="17">
        <f>IF(B164="","",IF(SUMPRODUCT(MAX(('Price History'!$B$5:$B$304=A164)*'Price History'!$A$5:$A$304))=0,IF(P164="","",P164),SUMPRODUCT(MAX(('Price History'!$B$5:$B$304=A164)*'Price History'!$A$5:$A$304))))</f>
        <v>0</v>
      </c>
      <c r="BN164" s="32">
        <f>IF(B164="","",IF(BM164="","",TodayDate-BM164))</f>
        <v>0</v>
      </c>
      <c r="BO164" s="32">
        <f>IF(B164="","",COUNTIFS($AV$5:$AV$304,"&gt;"&amp;AV164)+COUNTIFS($AV$5:AV164,AV164))</f>
        <v>0</v>
      </c>
      <c r="BP164" s="32">
        <f>IF(B164="","",COUNTIFS($AW$5:$AW$304,"&gt;"&amp;AW164)+COUNTIFS($AW$5:AW164,AW164))</f>
        <v>0</v>
      </c>
      <c r="BQ164" s="32">
        <f>IF(B164="","",COUNTIFS($BI$5:$BI$304,"&gt;"&amp;BI164)+COUNTIFS($BI$5:BI164,BI164))</f>
        <v>0</v>
      </c>
      <c r="BR164" s="32">
        <f>IF(B164="","",COUNTIFS($AY$5:$AY$304,"&gt;"&amp;AY164)+COUNTIFS($AY$5:AY164,AY164))</f>
        <v>0</v>
      </c>
      <c r="BS164" s="43">
        <f>IF(B164="","",IF(AH164=0,"Add - no costs entered yet",IF(AR164="","Check - no price yet",IF(AV164&lt;0,"Loss - every sale costs you money",IF(AND(AZ164&lt;&gt;"",AZ164&lt;MinimumWage),"Below - pays under minimum wage",IF(AW164&lt;MarginWarning,"Low margin - re-price it",IF(AND(AF164&lt;&gt;"",K164&lt;&gt;"",K164+AC164&gt;AF164),"Check - too heavy for that postage band",IF(AND(BN164&lt;&gt;"",BN164&gt;PriceReviewDays),"Due - price has not been reviewed",IF(AND(BG164&lt;&gt;"",BG164&gt;0.5),"Check - well above the market","OK")))))))) )</f>
        <v>0</v>
      </c>
    </row>
    <row r="165" spans="1:71">
      <c r="A165" s="38">
        <f>IF(B165="","",ProductPrefix&amp;TEXT(ROW()-4,"0000"))</f>
        <v>0</v>
      </c>
      <c r="S165" s="38">
        <f>IF(B165="","",IF(C165&lt;&gt;"",C165,UPPER(LEFT(IF(D165="","GEN",D165),3))&amp;"-"&amp;TEXT(ROW()-4,"000")))</f>
        <v>0</v>
      </c>
      <c r="T165" s="20">
        <f>IF(B165="","",ROUND(SUMIFS('Material Usage'!$M$5:$M$904,'Material Usage'!$A$5:$A$904,A165)+SUMIFS(Crochet!$AD$5:$AD$84,Crochet!$A$5:$A$84,A165)+SUMIFS(Jewelry!$AF$5:$AF$84,Jewelry!$A$5:$A$84,A165)+SUMIFS(Candles!$AF$5:$AF$84,Candles!$A$5:$A$84,A165)+SUMIFS(Clothing!$AB$5:$AB$84,Clothing!$A$5:$A$84,A165)+SUMIFS(Woodworking!$AC$5:$AC$84,Woodworking!$A$5:$A$84,A165)+SUMIFS(Digital!$X$5:$X$84,Digital!$A$5:$A$84,A165),2))</f>
        <v>0</v>
      </c>
      <c r="U165" s="20">
        <f>IF(B165="","",ROUND(SUMIFS(Labor!$O$5:$O$304,Labor!$A$5:$A$304,A165)+SUMIFS(Crochet!$AG$5:$AG$84,Crochet!$A$5:$A$84,A165)+SUMIFS(Jewelry!$AI$5:$AI$84,Jewelry!$A$5:$A$84,A165)+SUMIFS(Candles!$AI$5:$AI$84,Candles!$A$5:$A$84,A165)+SUMIFS(Clothing!$AE$5:$AE$84,Clothing!$A$5:$A$84,A165)+SUMIFS(Woodworking!$AF$5:$AF$84,Woodworking!$A$5:$A$84,A165)+SUMIFS(Digital!$Z$5:$Z$84,Digital!$A$5:$A$84,A165),2))</f>
        <v>0</v>
      </c>
      <c r="V165" s="36">
        <f>IF(B165="","",ROUND(SUMIFS(Labor!$P$5:$P$304,Labor!$A$5:$A$304,A165)+SUMIFS(Crochet!$AE$5:$AE$84,Crochet!$A$5:$A$84,A165)+SUMIFS(Jewelry!$AG$5:$AG$84,Jewelry!$A$5:$A$84,A165)+SUMIFS(Candles!$AG$5:$AG$84,Candles!$A$5:$A$84,A165)+SUMIFS(Clothing!$AC$5:$AC$84,Clothing!$A$5:$A$84,A165)+SUMIFS(Woodworking!$AD$5:$AD$84,Woodworking!$A$5:$A$84,A165)+SUMIFS(Digital!$Y$5:$Y$84,Digital!$A$5:$A$84,A165),1))</f>
        <v>0</v>
      </c>
      <c r="W165" s="41">
        <f>IF(B165="","",IFERROR(INDEX(DiffTimeFactors,MATCH(G165,DiffNames,0)),1))</f>
        <v>0</v>
      </c>
      <c r="X165" s="36">
        <f>IF(B165="","",ROUND(V165*W165,1))</f>
        <v>0</v>
      </c>
      <c r="Y165" s="41">
        <f>IF(B165="","",ROUND(X165/60,3))</f>
        <v>0</v>
      </c>
      <c r="Z165" s="20">
        <f>IF(B165="","",ROUND(U165*W165,2))</f>
        <v>0</v>
      </c>
      <c r="AA165" s="20">
        <f>IF(B165="","",ROUND(SUMIFS(Labor!$Q$5:$Q$304,Labor!$A$5:$A$304,A165)+SUMIFS(Crochet!$AH$5:$AH$84,Crochet!$A$5:$A$84,A165)+SUMIFS(Jewelry!$AJ$5:$AJ$84,Jewelry!$A$5:$A$84,A165)+SUMIFS(Candles!$AJ$5:$AJ$84,Candles!$A$5:$A$84,A165)+SUMIFS(Clothing!$AF$5:$AF$84,Clothing!$A$5:$A$84,A165)+SUMIFS(Woodworking!$AH$5:$AH$84,Woodworking!$A$5:$A$84,A165)+SUMIFS(Digital!$AA$5:$AA$84,Digital!$A$5:$A$84,A165),2))</f>
        <v>0</v>
      </c>
      <c r="AB165" s="20">
        <f>IF(B165="","",ROUND(IF(I165="Budget",PackBudget,IF(I165="Standard",PackStandard,IF(I165="Gift",PackGift,IF(I165="Premium",PackPremium,DefaultPackaging)))),2))</f>
        <v>0</v>
      </c>
      <c r="AC165" s="36">
        <f>IF(B165="","",IF(I165="Budget",PackWeightBudget,IF(I165="Standard",PackWeightStandard,IF(I165="Gift",PackWeightGift,IF(I165="Premium",PackWeightPremium,0)))))</f>
        <v>0</v>
      </c>
      <c r="AD165" s="20">
        <f>IF(B165="","",IFERROR(INDEX(Shipping!$M$5:$M$64,MATCH(J165,Shipping!$L$5:$L$64,0)),DefaultShipping))</f>
        <v>0</v>
      </c>
      <c r="AE165" s="20">
        <f>IF(B165="","",IFERROR(INDEX(Shipping!$F$5:$F$64,MATCH(J165,Shipping!$L$5:$L$64,0)),0))</f>
        <v>0</v>
      </c>
      <c r="AF165" s="36">
        <f>IF(B165="","",IFERROR(INDEX(Shipping!$C$5:$C$64,MATCH(J165,Shipping!$L$5:$L$64,0)),""))</f>
        <v>0</v>
      </c>
      <c r="AG165" s="20">
        <f>IF(B165="","",ROUND(MAX(0,AD165-AE165),2))</f>
        <v>0</v>
      </c>
      <c r="AH165" s="20">
        <f>IF(B165="","",ROUND(T165+Z165+AA165+AB165+AG165,2))</f>
        <v>0</v>
      </c>
      <c r="AI165" s="33">
        <f>IF(B165="","",IFERROR(INDEX(Channels!$S$5:$S$18,MATCH(IF(H165="",DefaultChannel,H165),Channels!$A$5:$A$18,0)),0))</f>
        <v>0</v>
      </c>
      <c r="AJ165" s="42">
        <f>IF(B165="","",IFERROR(INDEX(Channels!$O$5:$O$18,MATCH(IF(H165="",DefaultChannel,H165),Channels!$A$5:$A$18,0)),"No"))</f>
        <v>0</v>
      </c>
      <c r="AK165" s="20">
        <f>IF(B165="","",ROUND(IFERROR(INDEX(Channels!$T$5:$T$18,MATCH(IF(H165="",DefaultChannel,H165),Channels!$A$5:$A$18,0)),0)+IF(AJ165="Yes",AE165*AI165,0),4))</f>
        <v>0</v>
      </c>
      <c r="AL165" s="33">
        <f>IF(B165="","",IF(OverheadMethod="Share of revenue",IF(RevenueTargetMonth&lt;=0,0,OverheadMonthly/RevenueTargetMonth),0))</f>
        <v>0</v>
      </c>
      <c r="AM165" s="20">
        <f>IF(B165="","",IF(OverheadMethod="Per hour worked",ROUND(OverheadPerHour*Y165,2),IF(OR(OverheadMethod="Per unit made",OverheadMethod="Per order"),OverheadPerUnit,0)))</f>
        <v>0</v>
      </c>
      <c r="AN165" s="33">
        <f>IF(B165="","",IF(N165&lt;&gt;"",N165,TargetRetailMargin))</f>
        <v>0</v>
      </c>
      <c r="AO165" s="41">
        <f>IF(B165="","",1-AN165-AI165-AL165)</f>
        <v>0</v>
      </c>
      <c r="AP165" s="20">
        <f>IF(B165="","",IF(AO165&lt;=0,"",(AH165+AM165+AK165)/AO165))</f>
        <v>0</v>
      </c>
      <c r="AQ165" s="20">
        <f>IF(B165="","",IF(AP165="","Check the settings",ROUND(IF(RoundingRule="None",AP165,IF(RoundingRule="Nearest 0.99",MAX(0.99,CEILING(AP165,1)-0.01),IF(RoundingRule="Nearest 0.95",MAX(0.95,CEILING(AP165,1)-0.05),IF(RoundingRule="Nearest 0.50",CEILING(AP165,0.5),IF(RoundingRule="Nearest 1",CEILING(AP165,1),IF(RoundingRule="Nearest 5",CEILING(AP165,5),IF(RoundingRule="Up to whole 1",CEILING(AP165,1),IF(RoundingRule="Up to whole 5",CEILING(AP165,5),ROUND(AP165,2))))))))),2)))</f>
        <v>0</v>
      </c>
      <c r="AR165" s="20">
        <f>IF(B165="","",IF(M165&lt;&gt;"",M165,IF(ISNUMBER(AQ165),AQ165,"")))</f>
        <v>0</v>
      </c>
      <c r="AS165" s="20">
        <f>IF(B165="","",IF(AR165="","",ROUND(AM165+AR165*AL165,2)))</f>
        <v>0</v>
      </c>
      <c r="AT165" s="20">
        <f>IF(B165="","",IF(AR165="","",ROUND(AH165+AS165,2)))</f>
        <v>0</v>
      </c>
      <c r="AU165" s="20">
        <f>IF(B165="","",IF(AR165="","",ROUND(AR165*AI165+AK165,2)))</f>
        <v>0</v>
      </c>
      <c r="AV165" s="20">
        <f>IF(B165="","",IF(AR165="","",ROUND(AR165-AT165-AU165,2)))</f>
        <v>0</v>
      </c>
      <c r="AW165" s="33">
        <f>IF(B165="","",IF(OR(AR165="",AR165=0),"",AV165/AR165))</f>
        <v>0</v>
      </c>
      <c r="AX165" s="33">
        <f>IF(B165="","",IF(OR(AT165="",AT165=0),"",AV165/AT165))</f>
        <v>0</v>
      </c>
      <c r="AY165" s="20">
        <f>IF(B165="","",IF(OR(Y165="",Y165=0,AV165=""),"",ROUND(AV165/Y165,2)))</f>
        <v>0</v>
      </c>
      <c r="AZ165" s="20">
        <f>IF(B165="","",IF(OR(Y165="",Y165=0,AV165=""),"",ROUND((AV165+Z165)/Y165,2)))</f>
        <v>0</v>
      </c>
      <c r="BA165" s="20">
        <f>IF(B165="","",IF(1-AI165-AL165&lt;=0,"",ROUND((AH165+AM165+AK165)/(1-AI165-AL165),2)))</f>
        <v>0</v>
      </c>
      <c r="BB165" s="20">
        <f>IF(B165="","",IF(AT165="","",ROUND(AT165*2,2)))</f>
        <v>0</v>
      </c>
      <c r="BC165" s="20">
        <f>IF(B165="","",IF(AR165="","",ROUND(AR165*(1-WholesaleDiscount),2)))</f>
        <v>0</v>
      </c>
      <c r="BD165" s="20">
        <f>IF(B165="","",IF(BC165="","",ROUND(BC165-AH165-AM165,2)))</f>
        <v>0</v>
      </c>
      <c r="BE165" s="33">
        <f>IF(B165="","",IF(OR(BC165="",BC165=0),"",BD165/BC165))</f>
        <v>0</v>
      </c>
      <c r="BF165" s="20">
        <f>IF(B165="","",IFERROR(ROUND(AVERAGEIFS(Competitors!$F$5:$F$154,Competitors!$A$5:$A$154,A165),2),""))</f>
        <v>0</v>
      </c>
      <c r="BG165" s="33">
        <f>IF(B165="","",IF(OR(BF165="",BF165=0,AR165=""),"",AR165/BF165-1))</f>
        <v>0</v>
      </c>
      <c r="BH165" s="32">
        <f>IF(B165="","",SUMIFS(Sales!$D$5:$D$804,Sales!$C$5:$C$804,A165))</f>
        <v>0</v>
      </c>
      <c r="BI165" s="20">
        <f>IF(B165="","",ROUND(SUMIFS(Sales!$V$5:$V$804,Sales!$C$5:$C$804,A165),2))</f>
        <v>0</v>
      </c>
      <c r="BJ165" s="20">
        <f>IF(B165="","",ROUND(SUMIFS(Sales!$AG$5:$AG$804,Sales!$C$5:$C$804,A165),2))</f>
        <v>0</v>
      </c>
      <c r="BK165" s="33">
        <f>IF(B165="","",IF(OR(BI165="",BI165=0),"",BJ165/BI165))</f>
        <v>0</v>
      </c>
      <c r="BL165" s="17">
        <f>IF(B165="","",IF(SUMPRODUCT(MAX((Sales!$C$5:$C$804=A165)*Sales!$B$5:$B$804))=0,"",SUMPRODUCT(MAX((Sales!$C$5:$C$804=A165)*Sales!$B$5:$B$804))))</f>
        <v>0</v>
      </c>
      <c r="BM165" s="17">
        <f>IF(B165="","",IF(SUMPRODUCT(MAX(('Price History'!$B$5:$B$304=A165)*'Price History'!$A$5:$A$304))=0,IF(P165="","",P165),SUMPRODUCT(MAX(('Price History'!$B$5:$B$304=A165)*'Price History'!$A$5:$A$304))))</f>
        <v>0</v>
      </c>
      <c r="BN165" s="32">
        <f>IF(B165="","",IF(BM165="","",TodayDate-BM165))</f>
        <v>0</v>
      </c>
      <c r="BO165" s="32">
        <f>IF(B165="","",COUNTIFS($AV$5:$AV$304,"&gt;"&amp;AV165)+COUNTIFS($AV$5:AV165,AV165))</f>
        <v>0</v>
      </c>
      <c r="BP165" s="32">
        <f>IF(B165="","",COUNTIFS($AW$5:$AW$304,"&gt;"&amp;AW165)+COUNTIFS($AW$5:AW165,AW165))</f>
        <v>0</v>
      </c>
      <c r="BQ165" s="32">
        <f>IF(B165="","",COUNTIFS($BI$5:$BI$304,"&gt;"&amp;BI165)+COUNTIFS($BI$5:BI165,BI165))</f>
        <v>0</v>
      </c>
      <c r="BR165" s="32">
        <f>IF(B165="","",COUNTIFS($AY$5:$AY$304,"&gt;"&amp;AY165)+COUNTIFS($AY$5:AY165,AY165))</f>
        <v>0</v>
      </c>
      <c r="BS165" s="43">
        <f>IF(B165="","",IF(AH165=0,"Add - no costs entered yet",IF(AR165="","Check - no price yet",IF(AV165&lt;0,"Loss - every sale costs you money",IF(AND(AZ165&lt;&gt;"",AZ165&lt;MinimumWage),"Below - pays under minimum wage",IF(AW165&lt;MarginWarning,"Low margin - re-price it",IF(AND(AF165&lt;&gt;"",K165&lt;&gt;"",K165+AC165&gt;AF165),"Check - too heavy for that postage band",IF(AND(BN165&lt;&gt;"",BN165&gt;PriceReviewDays),"Due - price has not been reviewed",IF(AND(BG165&lt;&gt;"",BG165&gt;0.5),"Check - well above the market","OK")))))))) )</f>
        <v>0</v>
      </c>
    </row>
    <row r="166" spans="1:71">
      <c r="A166" s="38">
        <f>IF(B166="","",ProductPrefix&amp;TEXT(ROW()-4,"0000"))</f>
        <v>0</v>
      </c>
      <c r="S166" s="38">
        <f>IF(B166="","",IF(C166&lt;&gt;"",C166,UPPER(LEFT(IF(D166="","GEN",D166),3))&amp;"-"&amp;TEXT(ROW()-4,"000")))</f>
        <v>0</v>
      </c>
      <c r="T166" s="20">
        <f>IF(B166="","",ROUND(SUMIFS('Material Usage'!$M$5:$M$904,'Material Usage'!$A$5:$A$904,A166)+SUMIFS(Crochet!$AD$5:$AD$84,Crochet!$A$5:$A$84,A166)+SUMIFS(Jewelry!$AF$5:$AF$84,Jewelry!$A$5:$A$84,A166)+SUMIFS(Candles!$AF$5:$AF$84,Candles!$A$5:$A$84,A166)+SUMIFS(Clothing!$AB$5:$AB$84,Clothing!$A$5:$A$84,A166)+SUMIFS(Woodworking!$AC$5:$AC$84,Woodworking!$A$5:$A$84,A166)+SUMIFS(Digital!$X$5:$X$84,Digital!$A$5:$A$84,A166),2))</f>
        <v>0</v>
      </c>
      <c r="U166" s="20">
        <f>IF(B166="","",ROUND(SUMIFS(Labor!$O$5:$O$304,Labor!$A$5:$A$304,A166)+SUMIFS(Crochet!$AG$5:$AG$84,Crochet!$A$5:$A$84,A166)+SUMIFS(Jewelry!$AI$5:$AI$84,Jewelry!$A$5:$A$84,A166)+SUMIFS(Candles!$AI$5:$AI$84,Candles!$A$5:$A$84,A166)+SUMIFS(Clothing!$AE$5:$AE$84,Clothing!$A$5:$A$84,A166)+SUMIFS(Woodworking!$AF$5:$AF$84,Woodworking!$A$5:$A$84,A166)+SUMIFS(Digital!$Z$5:$Z$84,Digital!$A$5:$A$84,A166),2))</f>
        <v>0</v>
      </c>
      <c r="V166" s="36">
        <f>IF(B166="","",ROUND(SUMIFS(Labor!$P$5:$P$304,Labor!$A$5:$A$304,A166)+SUMIFS(Crochet!$AE$5:$AE$84,Crochet!$A$5:$A$84,A166)+SUMIFS(Jewelry!$AG$5:$AG$84,Jewelry!$A$5:$A$84,A166)+SUMIFS(Candles!$AG$5:$AG$84,Candles!$A$5:$A$84,A166)+SUMIFS(Clothing!$AC$5:$AC$84,Clothing!$A$5:$A$84,A166)+SUMIFS(Woodworking!$AD$5:$AD$84,Woodworking!$A$5:$A$84,A166)+SUMIFS(Digital!$Y$5:$Y$84,Digital!$A$5:$A$84,A166),1))</f>
        <v>0</v>
      </c>
      <c r="W166" s="41">
        <f>IF(B166="","",IFERROR(INDEX(DiffTimeFactors,MATCH(G166,DiffNames,0)),1))</f>
        <v>0</v>
      </c>
      <c r="X166" s="36">
        <f>IF(B166="","",ROUND(V166*W166,1))</f>
        <v>0</v>
      </c>
      <c r="Y166" s="41">
        <f>IF(B166="","",ROUND(X166/60,3))</f>
        <v>0</v>
      </c>
      <c r="Z166" s="20">
        <f>IF(B166="","",ROUND(U166*W166,2))</f>
        <v>0</v>
      </c>
      <c r="AA166" s="20">
        <f>IF(B166="","",ROUND(SUMIFS(Labor!$Q$5:$Q$304,Labor!$A$5:$A$304,A166)+SUMIFS(Crochet!$AH$5:$AH$84,Crochet!$A$5:$A$84,A166)+SUMIFS(Jewelry!$AJ$5:$AJ$84,Jewelry!$A$5:$A$84,A166)+SUMIFS(Candles!$AJ$5:$AJ$84,Candles!$A$5:$A$84,A166)+SUMIFS(Clothing!$AF$5:$AF$84,Clothing!$A$5:$A$84,A166)+SUMIFS(Woodworking!$AH$5:$AH$84,Woodworking!$A$5:$A$84,A166)+SUMIFS(Digital!$AA$5:$AA$84,Digital!$A$5:$A$84,A166),2))</f>
        <v>0</v>
      </c>
      <c r="AB166" s="20">
        <f>IF(B166="","",ROUND(IF(I166="Budget",PackBudget,IF(I166="Standard",PackStandard,IF(I166="Gift",PackGift,IF(I166="Premium",PackPremium,DefaultPackaging)))),2))</f>
        <v>0</v>
      </c>
      <c r="AC166" s="36">
        <f>IF(B166="","",IF(I166="Budget",PackWeightBudget,IF(I166="Standard",PackWeightStandard,IF(I166="Gift",PackWeightGift,IF(I166="Premium",PackWeightPremium,0)))))</f>
        <v>0</v>
      </c>
      <c r="AD166" s="20">
        <f>IF(B166="","",IFERROR(INDEX(Shipping!$M$5:$M$64,MATCH(J166,Shipping!$L$5:$L$64,0)),DefaultShipping))</f>
        <v>0</v>
      </c>
      <c r="AE166" s="20">
        <f>IF(B166="","",IFERROR(INDEX(Shipping!$F$5:$F$64,MATCH(J166,Shipping!$L$5:$L$64,0)),0))</f>
        <v>0</v>
      </c>
      <c r="AF166" s="36">
        <f>IF(B166="","",IFERROR(INDEX(Shipping!$C$5:$C$64,MATCH(J166,Shipping!$L$5:$L$64,0)),""))</f>
        <v>0</v>
      </c>
      <c r="AG166" s="20">
        <f>IF(B166="","",ROUND(MAX(0,AD166-AE166),2))</f>
        <v>0</v>
      </c>
      <c r="AH166" s="20">
        <f>IF(B166="","",ROUND(T166+Z166+AA166+AB166+AG166,2))</f>
        <v>0</v>
      </c>
      <c r="AI166" s="33">
        <f>IF(B166="","",IFERROR(INDEX(Channels!$S$5:$S$18,MATCH(IF(H166="",DefaultChannel,H166),Channels!$A$5:$A$18,0)),0))</f>
        <v>0</v>
      </c>
      <c r="AJ166" s="42">
        <f>IF(B166="","",IFERROR(INDEX(Channels!$O$5:$O$18,MATCH(IF(H166="",DefaultChannel,H166),Channels!$A$5:$A$18,0)),"No"))</f>
        <v>0</v>
      </c>
      <c r="AK166" s="20">
        <f>IF(B166="","",ROUND(IFERROR(INDEX(Channels!$T$5:$T$18,MATCH(IF(H166="",DefaultChannel,H166),Channels!$A$5:$A$18,0)),0)+IF(AJ166="Yes",AE166*AI166,0),4))</f>
        <v>0</v>
      </c>
      <c r="AL166" s="33">
        <f>IF(B166="","",IF(OverheadMethod="Share of revenue",IF(RevenueTargetMonth&lt;=0,0,OverheadMonthly/RevenueTargetMonth),0))</f>
        <v>0</v>
      </c>
      <c r="AM166" s="20">
        <f>IF(B166="","",IF(OverheadMethod="Per hour worked",ROUND(OverheadPerHour*Y166,2),IF(OR(OverheadMethod="Per unit made",OverheadMethod="Per order"),OverheadPerUnit,0)))</f>
        <v>0</v>
      </c>
      <c r="AN166" s="33">
        <f>IF(B166="","",IF(N166&lt;&gt;"",N166,TargetRetailMargin))</f>
        <v>0</v>
      </c>
      <c r="AO166" s="41">
        <f>IF(B166="","",1-AN166-AI166-AL166)</f>
        <v>0</v>
      </c>
      <c r="AP166" s="20">
        <f>IF(B166="","",IF(AO166&lt;=0,"",(AH166+AM166+AK166)/AO166))</f>
        <v>0</v>
      </c>
      <c r="AQ166" s="20">
        <f>IF(B166="","",IF(AP166="","Check the settings",ROUND(IF(RoundingRule="None",AP166,IF(RoundingRule="Nearest 0.99",MAX(0.99,CEILING(AP166,1)-0.01),IF(RoundingRule="Nearest 0.95",MAX(0.95,CEILING(AP166,1)-0.05),IF(RoundingRule="Nearest 0.50",CEILING(AP166,0.5),IF(RoundingRule="Nearest 1",CEILING(AP166,1),IF(RoundingRule="Nearest 5",CEILING(AP166,5),IF(RoundingRule="Up to whole 1",CEILING(AP166,1),IF(RoundingRule="Up to whole 5",CEILING(AP166,5),ROUND(AP166,2))))))))),2)))</f>
        <v>0</v>
      </c>
      <c r="AR166" s="20">
        <f>IF(B166="","",IF(M166&lt;&gt;"",M166,IF(ISNUMBER(AQ166),AQ166,"")))</f>
        <v>0</v>
      </c>
      <c r="AS166" s="20">
        <f>IF(B166="","",IF(AR166="","",ROUND(AM166+AR166*AL166,2)))</f>
        <v>0</v>
      </c>
      <c r="AT166" s="20">
        <f>IF(B166="","",IF(AR166="","",ROUND(AH166+AS166,2)))</f>
        <v>0</v>
      </c>
      <c r="AU166" s="20">
        <f>IF(B166="","",IF(AR166="","",ROUND(AR166*AI166+AK166,2)))</f>
        <v>0</v>
      </c>
      <c r="AV166" s="20">
        <f>IF(B166="","",IF(AR166="","",ROUND(AR166-AT166-AU166,2)))</f>
        <v>0</v>
      </c>
      <c r="AW166" s="33">
        <f>IF(B166="","",IF(OR(AR166="",AR166=0),"",AV166/AR166))</f>
        <v>0</v>
      </c>
      <c r="AX166" s="33">
        <f>IF(B166="","",IF(OR(AT166="",AT166=0),"",AV166/AT166))</f>
        <v>0</v>
      </c>
      <c r="AY166" s="20">
        <f>IF(B166="","",IF(OR(Y166="",Y166=0,AV166=""),"",ROUND(AV166/Y166,2)))</f>
        <v>0</v>
      </c>
      <c r="AZ166" s="20">
        <f>IF(B166="","",IF(OR(Y166="",Y166=0,AV166=""),"",ROUND((AV166+Z166)/Y166,2)))</f>
        <v>0</v>
      </c>
      <c r="BA166" s="20">
        <f>IF(B166="","",IF(1-AI166-AL166&lt;=0,"",ROUND((AH166+AM166+AK166)/(1-AI166-AL166),2)))</f>
        <v>0</v>
      </c>
      <c r="BB166" s="20">
        <f>IF(B166="","",IF(AT166="","",ROUND(AT166*2,2)))</f>
        <v>0</v>
      </c>
      <c r="BC166" s="20">
        <f>IF(B166="","",IF(AR166="","",ROUND(AR166*(1-WholesaleDiscount),2)))</f>
        <v>0</v>
      </c>
      <c r="BD166" s="20">
        <f>IF(B166="","",IF(BC166="","",ROUND(BC166-AH166-AM166,2)))</f>
        <v>0</v>
      </c>
      <c r="BE166" s="33">
        <f>IF(B166="","",IF(OR(BC166="",BC166=0),"",BD166/BC166))</f>
        <v>0</v>
      </c>
      <c r="BF166" s="20">
        <f>IF(B166="","",IFERROR(ROUND(AVERAGEIFS(Competitors!$F$5:$F$154,Competitors!$A$5:$A$154,A166),2),""))</f>
        <v>0</v>
      </c>
      <c r="BG166" s="33">
        <f>IF(B166="","",IF(OR(BF166="",BF166=0,AR166=""),"",AR166/BF166-1))</f>
        <v>0</v>
      </c>
      <c r="BH166" s="32">
        <f>IF(B166="","",SUMIFS(Sales!$D$5:$D$804,Sales!$C$5:$C$804,A166))</f>
        <v>0</v>
      </c>
      <c r="BI166" s="20">
        <f>IF(B166="","",ROUND(SUMIFS(Sales!$V$5:$V$804,Sales!$C$5:$C$804,A166),2))</f>
        <v>0</v>
      </c>
      <c r="BJ166" s="20">
        <f>IF(B166="","",ROUND(SUMIFS(Sales!$AG$5:$AG$804,Sales!$C$5:$C$804,A166),2))</f>
        <v>0</v>
      </c>
      <c r="BK166" s="33">
        <f>IF(B166="","",IF(OR(BI166="",BI166=0),"",BJ166/BI166))</f>
        <v>0</v>
      </c>
      <c r="BL166" s="17">
        <f>IF(B166="","",IF(SUMPRODUCT(MAX((Sales!$C$5:$C$804=A166)*Sales!$B$5:$B$804))=0,"",SUMPRODUCT(MAX((Sales!$C$5:$C$804=A166)*Sales!$B$5:$B$804))))</f>
        <v>0</v>
      </c>
      <c r="BM166" s="17">
        <f>IF(B166="","",IF(SUMPRODUCT(MAX(('Price History'!$B$5:$B$304=A166)*'Price History'!$A$5:$A$304))=0,IF(P166="","",P166),SUMPRODUCT(MAX(('Price History'!$B$5:$B$304=A166)*'Price History'!$A$5:$A$304))))</f>
        <v>0</v>
      </c>
      <c r="BN166" s="32">
        <f>IF(B166="","",IF(BM166="","",TodayDate-BM166))</f>
        <v>0</v>
      </c>
      <c r="BO166" s="32">
        <f>IF(B166="","",COUNTIFS($AV$5:$AV$304,"&gt;"&amp;AV166)+COUNTIFS($AV$5:AV166,AV166))</f>
        <v>0</v>
      </c>
      <c r="BP166" s="32">
        <f>IF(B166="","",COUNTIFS($AW$5:$AW$304,"&gt;"&amp;AW166)+COUNTIFS($AW$5:AW166,AW166))</f>
        <v>0</v>
      </c>
      <c r="BQ166" s="32">
        <f>IF(B166="","",COUNTIFS($BI$5:$BI$304,"&gt;"&amp;BI166)+COUNTIFS($BI$5:BI166,BI166))</f>
        <v>0</v>
      </c>
      <c r="BR166" s="32">
        <f>IF(B166="","",COUNTIFS($AY$5:$AY$304,"&gt;"&amp;AY166)+COUNTIFS($AY$5:AY166,AY166))</f>
        <v>0</v>
      </c>
      <c r="BS166" s="43">
        <f>IF(B166="","",IF(AH166=0,"Add - no costs entered yet",IF(AR166="","Check - no price yet",IF(AV166&lt;0,"Loss - every sale costs you money",IF(AND(AZ166&lt;&gt;"",AZ166&lt;MinimumWage),"Below - pays under minimum wage",IF(AW166&lt;MarginWarning,"Low margin - re-price it",IF(AND(AF166&lt;&gt;"",K166&lt;&gt;"",K166+AC166&gt;AF166),"Check - too heavy for that postage band",IF(AND(BN166&lt;&gt;"",BN166&gt;PriceReviewDays),"Due - price has not been reviewed",IF(AND(BG166&lt;&gt;"",BG166&gt;0.5),"Check - well above the market","OK")))))))) )</f>
        <v>0</v>
      </c>
    </row>
    <row r="167" spans="1:71">
      <c r="A167" s="38">
        <f>IF(B167="","",ProductPrefix&amp;TEXT(ROW()-4,"0000"))</f>
        <v>0</v>
      </c>
      <c r="S167" s="38">
        <f>IF(B167="","",IF(C167&lt;&gt;"",C167,UPPER(LEFT(IF(D167="","GEN",D167),3))&amp;"-"&amp;TEXT(ROW()-4,"000")))</f>
        <v>0</v>
      </c>
      <c r="T167" s="20">
        <f>IF(B167="","",ROUND(SUMIFS('Material Usage'!$M$5:$M$904,'Material Usage'!$A$5:$A$904,A167)+SUMIFS(Crochet!$AD$5:$AD$84,Crochet!$A$5:$A$84,A167)+SUMIFS(Jewelry!$AF$5:$AF$84,Jewelry!$A$5:$A$84,A167)+SUMIFS(Candles!$AF$5:$AF$84,Candles!$A$5:$A$84,A167)+SUMIFS(Clothing!$AB$5:$AB$84,Clothing!$A$5:$A$84,A167)+SUMIFS(Woodworking!$AC$5:$AC$84,Woodworking!$A$5:$A$84,A167)+SUMIFS(Digital!$X$5:$X$84,Digital!$A$5:$A$84,A167),2))</f>
        <v>0</v>
      </c>
      <c r="U167" s="20">
        <f>IF(B167="","",ROUND(SUMIFS(Labor!$O$5:$O$304,Labor!$A$5:$A$304,A167)+SUMIFS(Crochet!$AG$5:$AG$84,Crochet!$A$5:$A$84,A167)+SUMIFS(Jewelry!$AI$5:$AI$84,Jewelry!$A$5:$A$84,A167)+SUMIFS(Candles!$AI$5:$AI$84,Candles!$A$5:$A$84,A167)+SUMIFS(Clothing!$AE$5:$AE$84,Clothing!$A$5:$A$84,A167)+SUMIFS(Woodworking!$AF$5:$AF$84,Woodworking!$A$5:$A$84,A167)+SUMIFS(Digital!$Z$5:$Z$84,Digital!$A$5:$A$84,A167),2))</f>
        <v>0</v>
      </c>
      <c r="V167" s="36">
        <f>IF(B167="","",ROUND(SUMIFS(Labor!$P$5:$P$304,Labor!$A$5:$A$304,A167)+SUMIFS(Crochet!$AE$5:$AE$84,Crochet!$A$5:$A$84,A167)+SUMIFS(Jewelry!$AG$5:$AG$84,Jewelry!$A$5:$A$84,A167)+SUMIFS(Candles!$AG$5:$AG$84,Candles!$A$5:$A$84,A167)+SUMIFS(Clothing!$AC$5:$AC$84,Clothing!$A$5:$A$84,A167)+SUMIFS(Woodworking!$AD$5:$AD$84,Woodworking!$A$5:$A$84,A167)+SUMIFS(Digital!$Y$5:$Y$84,Digital!$A$5:$A$84,A167),1))</f>
        <v>0</v>
      </c>
      <c r="W167" s="41">
        <f>IF(B167="","",IFERROR(INDEX(DiffTimeFactors,MATCH(G167,DiffNames,0)),1))</f>
        <v>0</v>
      </c>
      <c r="X167" s="36">
        <f>IF(B167="","",ROUND(V167*W167,1))</f>
        <v>0</v>
      </c>
      <c r="Y167" s="41">
        <f>IF(B167="","",ROUND(X167/60,3))</f>
        <v>0</v>
      </c>
      <c r="Z167" s="20">
        <f>IF(B167="","",ROUND(U167*W167,2))</f>
        <v>0</v>
      </c>
      <c r="AA167" s="20">
        <f>IF(B167="","",ROUND(SUMIFS(Labor!$Q$5:$Q$304,Labor!$A$5:$A$304,A167)+SUMIFS(Crochet!$AH$5:$AH$84,Crochet!$A$5:$A$84,A167)+SUMIFS(Jewelry!$AJ$5:$AJ$84,Jewelry!$A$5:$A$84,A167)+SUMIFS(Candles!$AJ$5:$AJ$84,Candles!$A$5:$A$84,A167)+SUMIFS(Clothing!$AF$5:$AF$84,Clothing!$A$5:$A$84,A167)+SUMIFS(Woodworking!$AH$5:$AH$84,Woodworking!$A$5:$A$84,A167)+SUMIFS(Digital!$AA$5:$AA$84,Digital!$A$5:$A$84,A167),2))</f>
        <v>0</v>
      </c>
      <c r="AB167" s="20">
        <f>IF(B167="","",ROUND(IF(I167="Budget",PackBudget,IF(I167="Standard",PackStandard,IF(I167="Gift",PackGift,IF(I167="Premium",PackPremium,DefaultPackaging)))),2))</f>
        <v>0</v>
      </c>
      <c r="AC167" s="36">
        <f>IF(B167="","",IF(I167="Budget",PackWeightBudget,IF(I167="Standard",PackWeightStandard,IF(I167="Gift",PackWeightGift,IF(I167="Premium",PackWeightPremium,0)))))</f>
        <v>0</v>
      </c>
      <c r="AD167" s="20">
        <f>IF(B167="","",IFERROR(INDEX(Shipping!$M$5:$M$64,MATCH(J167,Shipping!$L$5:$L$64,0)),DefaultShipping))</f>
        <v>0</v>
      </c>
      <c r="AE167" s="20">
        <f>IF(B167="","",IFERROR(INDEX(Shipping!$F$5:$F$64,MATCH(J167,Shipping!$L$5:$L$64,0)),0))</f>
        <v>0</v>
      </c>
      <c r="AF167" s="36">
        <f>IF(B167="","",IFERROR(INDEX(Shipping!$C$5:$C$64,MATCH(J167,Shipping!$L$5:$L$64,0)),""))</f>
        <v>0</v>
      </c>
      <c r="AG167" s="20">
        <f>IF(B167="","",ROUND(MAX(0,AD167-AE167),2))</f>
        <v>0</v>
      </c>
      <c r="AH167" s="20">
        <f>IF(B167="","",ROUND(T167+Z167+AA167+AB167+AG167,2))</f>
        <v>0</v>
      </c>
      <c r="AI167" s="33">
        <f>IF(B167="","",IFERROR(INDEX(Channels!$S$5:$S$18,MATCH(IF(H167="",DefaultChannel,H167),Channels!$A$5:$A$18,0)),0))</f>
        <v>0</v>
      </c>
      <c r="AJ167" s="42">
        <f>IF(B167="","",IFERROR(INDEX(Channels!$O$5:$O$18,MATCH(IF(H167="",DefaultChannel,H167),Channels!$A$5:$A$18,0)),"No"))</f>
        <v>0</v>
      </c>
      <c r="AK167" s="20">
        <f>IF(B167="","",ROUND(IFERROR(INDEX(Channels!$T$5:$T$18,MATCH(IF(H167="",DefaultChannel,H167),Channels!$A$5:$A$18,0)),0)+IF(AJ167="Yes",AE167*AI167,0),4))</f>
        <v>0</v>
      </c>
      <c r="AL167" s="33">
        <f>IF(B167="","",IF(OverheadMethod="Share of revenue",IF(RevenueTargetMonth&lt;=0,0,OverheadMonthly/RevenueTargetMonth),0))</f>
        <v>0</v>
      </c>
      <c r="AM167" s="20">
        <f>IF(B167="","",IF(OverheadMethod="Per hour worked",ROUND(OverheadPerHour*Y167,2),IF(OR(OverheadMethod="Per unit made",OverheadMethod="Per order"),OverheadPerUnit,0)))</f>
        <v>0</v>
      </c>
      <c r="AN167" s="33">
        <f>IF(B167="","",IF(N167&lt;&gt;"",N167,TargetRetailMargin))</f>
        <v>0</v>
      </c>
      <c r="AO167" s="41">
        <f>IF(B167="","",1-AN167-AI167-AL167)</f>
        <v>0</v>
      </c>
      <c r="AP167" s="20">
        <f>IF(B167="","",IF(AO167&lt;=0,"",(AH167+AM167+AK167)/AO167))</f>
        <v>0</v>
      </c>
      <c r="AQ167" s="20">
        <f>IF(B167="","",IF(AP167="","Check the settings",ROUND(IF(RoundingRule="None",AP167,IF(RoundingRule="Nearest 0.99",MAX(0.99,CEILING(AP167,1)-0.01),IF(RoundingRule="Nearest 0.95",MAX(0.95,CEILING(AP167,1)-0.05),IF(RoundingRule="Nearest 0.50",CEILING(AP167,0.5),IF(RoundingRule="Nearest 1",CEILING(AP167,1),IF(RoundingRule="Nearest 5",CEILING(AP167,5),IF(RoundingRule="Up to whole 1",CEILING(AP167,1),IF(RoundingRule="Up to whole 5",CEILING(AP167,5),ROUND(AP167,2))))))))),2)))</f>
        <v>0</v>
      </c>
      <c r="AR167" s="20">
        <f>IF(B167="","",IF(M167&lt;&gt;"",M167,IF(ISNUMBER(AQ167),AQ167,"")))</f>
        <v>0</v>
      </c>
      <c r="AS167" s="20">
        <f>IF(B167="","",IF(AR167="","",ROUND(AM167+AR167*AL167,2)))</f>
        <v>0</v>
      </c>
      <c r="AT167" s="20">
        <f>IF(B167="","",IF(AR167="","",ROUND(AH167+AS167,2)))</f>
        <v>0</v>
      </c>
      <c r="AU167" s="20">
        <f>IF(B167="","",IF(AR167="","",ROUND(AR167*AI167+AK167,2)))</f>
        <v>0</v>
      </c>
      <c r="AV167" s="20">
        <f>IF(B167="","",IF(AR167="","",ROUND(AR167-AT167-AU167,2)))</f>
        <v>0</v>
      </c>
      <c r="AW167" s="33">
        <f>IF(B167="","",IF(OR(AR167="",AR167=0),"",AV167/AR167))</f>
        <v>0</v>
      </c>
      <c r="AX167" s="33">
        <f>IF(B167="","",IF(OR(AT167="",AT167=0),"",AV167/AT167))</f>
        <v>0</v>
      </c>
      <c r="AY167" s="20">
        <f>IF(B167="","",IF(OR(Y167="",Y167=0,AV167=""),"",ROUND(AV167/Y167,2)))</f>
        <v>0</v>
      </c>
      <c r="AZ167" s="20">
        <f>IF(B167="","",IF(OR(Y167="",Y167=0,AV167=""),"",ROUND((AV167+Z167)/Y167,2)))</f>
        <v>0</v>
      </c>
      <c r="BA167" s="20">
        <f>IF(B167="","",IF(1-AI167-AL167&lt;=0,"",ROUND((AH167+AM167+AK167)/(1-AI167-AL167),2)))</f>
        <v>0</v>
      </c>
      <c r="BB167" s="20">
        <f>IF(B167="","",IF(AT167="","",ROUND(AT167*2,2)))</f>
        <v>0</v>
      </c>
      <c r="BC167" s="20">
        <f>IF(B167="","",IF(AR167="","",ROUND(AR167*(1-WholesaleDiscount),2)))</f>
        <v>0</v>
      </c>
      <c r="BD167" s="20">
        <f>IF(B167="","",IF(BC167="","",ROUND(BC167-AH167-AM167,2)))</f>
        <v>0</v>
      </c>
      <c r="BE167" s="33">
        <f>IF(B167="","",IF(OR(BC167="",BC167=0),"",BD167/BC167))</f>
        <v>0</v>
      </c>
      <c r="BF167" s="20">
        <f>IF(B167="","",IFERROR(ROUND(AVERAGEIFS(Competitors!$F$5:$F$154,Competitors!$A$5:$A$154,A167),2),""))</f>
        <v>0</v>
      </c>
      <c r="BG167" s="33">
        <f>IF(B167="","",IF(OR(BF167="",BF167=0,AR167=""),"",AR167/BF167-1))</f>
        <v>0</v>
      </c>
      <c r="BH167" s="32">
        <f>IF(B167="","",SUMIFS(Sales!$D$5:$D$804,Sales!$C$5:$C$804,A167))</f>
        <v>0</v>
      </c>
      <c r="BI167" s="20">
        <f>IF(B167="","",ROUND(SUMIFS(Sales!$V$5:$V$804,Sales!$C$5:$C$804,A167),2))</f>
        <v>0</v>
      </c>
      <c r="BJ167" s="20">
        <f>IF(B167="","",ROUND(SUMIFS(Sales!$AG$5:$AG$804,Sales!$C$5:$C$804,A167),2))</f>
        <v>0</v>
      </c>
      <c r="BK167" s="33">
        <f>IF(B167="","",IF(OR(BI167="",BI167=0),"",BJ167/BI167))</f>
        <v>0</v>
      </c>
      <c r="BL167" s="17">
        <f>IF(B167="","",IF(SUMPRODUCT(MAX((Sales!$C$5:$C$804=A167)*Sales!$B$5:$B$804))=0,"",SUMPRODUCT(MAX((Sales!$C$5:$C$804=A167)*Sales!$B$5:$B$804))))</f>
        <v>0</v>
      </c>
      <c r="BM167" s="17">
        <f>IF(B167="","",IF(SUMPRODUCT(MAX(('Price History'!$B$5:$B$304=A167)*'Price History'!$A$5:$A$304))=0,IF(P167="","",P167),SUMPRODUCT(MAX(('Price History'!$B$5:$B$304=A167)*'Price History'!$A$5:$A$304))))</f>
        <v>0</v>
      </c>
      <c r="BN167" s="32">
        <f>IF(B167="","",IF(BM167="","",TodayDate-BM167))</f>
        <v>0</v>
      </c>
      <c r="BO167" s="32">
        <f>IF(B167="","",COUNTIFS($AV$5:$AV$304,"&gt;"&amp;AV167)+COUNTIFS($AV$5:AV167,AV167))</f>
        <v>0</v>
      </c>
      <c r="BP167" s="32">
        <f>IF(B167="","",COUNTIFS($AW$5:$AW$304,"&gt;"&amp;AW167)+COUNTIFS($AW$5:AW167,AW167))</f>
        <v>0</v>
      </c>
      <c r="BQ167" s="32">
        <f>IF(B167="","",COUNTIFS($BI$5:$BI$304,"&gt;"&amp;BI167)+COUNTIFS($BI$5:BI167,BI167))</f>
        <v>0</v>
      </c>
      <c r="BR167" s="32">
        <f>IF(B167="","",COUNTIFS($AY$5:$AY$304,"&gt;"&amp;AY167)+COUNTIFS($AY$5:AY167,AY167))</f>
        <v>0</v>
      </c>
      <c r="BS167" s="43">
        <f>IF(B167="","",IF(AH167=0,"Add - no costs entered yet",IF(AR167="","Check - no price yet",IF(AV167&lt;0,"Loss - every sale costs you money",IF(AND(AZ167&lt;&gt;"",AZ167&lt;MinimumWage),"Below - pays under minimum wage",IF(AW167&lt;MarginWarning,"Low margin - re-price it",IF(AND(AF167&lt;&gt;"",K167&lt;&gt;"",K167+AC167&gt;AF167),"Check - too heavy for that postage band",IF(AND(BN167&lt;&gt;"",BN167&gt;PriceReviewDays),"Due - price has not been reviewed",IF(AND(BG167&lt;&gt;"",BG167&gt;0.5),"Check - well above the market","OK")))))))) )</f>
        <v>0</v>
      </c>
    </row>
    <row r="168" spans="1:71">
      <c r="A168" s="38">
        <f>IF(B168="","",ProductPrefix&amp;TEXT(ROW()-4,"0000"))</f>
        <v>0</v>
      </c>
      <c r="S168" s="38">
        <f>IF(B168="","",IF(C168&lt;&gt;"",C168,UPPER(LEFT(IF(D168="","GEN",D168),3))&amp;"-"&amp;TEXT(ROW()-4,"000")))</f>
        <v>0</v>
      </c>
      <c r="T168" s="20">
        <f>IF(B168="","",ROUND(SUMIFS('Material Usage'!$M$5:$M$904,'Material Usage'!$A$5:$A$904,A168)+SUMIFS(Crochet!$AD$5:$AD$84,Crochet!$A$5:$A$84,A168)+SUMIFS(Jewelry!$AF$5:$AF$84,Jewelry!$A$5:$A$84,A168)+SUMIFS(Candles!$AF$5:$AF$84,Candles!$A$5:$A$84,A168)+SUMIFS(Clothing!$AB$5:$AB$84,Clothing!$A$5:$A$84,A168)+SUMIFS(Woodworking!$AC$5:$AC$84,Woodworking!$A$5:$A$84,A168)+SUMIFS(Digital!$X$5:$X$84,Digital!$A$5:$A$84,A168),2))</f>
        <v>0</v>
      </c>
      <c r="U168" s="20">
        <f>IF(B168="","",ROUND(SUMIFS(Labor!$O$5:$O$304,Labor!$A$5:$A$304,A168)+SUMIFS(Crochet!$AG$5:$AG$84,Crochet!$A$5:$A$84,A168)+SUMIFS(Jewelry!$AI$5:$AI$84,Jewelry!$A$5:$A$84,A168)+SUMIFS(Candles!$AI$5:$AI$84,Candles!$A$5:$A$84,A168)+SUMIFS(Clothing!$AE$5:$AE$84,Clothing!$A$5:$A$84,A168)+SUMIFS(Woodworking!$AF$5:$AF$84,Woodworking!$A$5:$A$84,A168)+SUMIFS(Digital!$Z$5:$Z$84,Digital!$A$5:$A$84,A168),2))</f>
        <v>0</v>
      </c>
      <c r="V168" s="36">
        <f>IF(B168="","",ROUND(SUMIFS(Labor!$P$5:$P$304,Labor!$A$5:$A$304,A168)+SUMIFS(Crochet!$AE$5:$AE$84,Crochet!$A$5:$A$84,A168)+SUMIFS(Jewelry!$AG$5:$AG$84,Jewelry!$A$5:$A$84,A168)+SUMIFS(Candles!$AG$5:$AG$84,Candles!$A$5:$A$84,A168)+SUMIFS(Clothing!$AC$5:$AC$84,Clothing!$A$5:$A$84,A168)+SUMIFS(Woodworking!$AD$5:$AD$84,Woodworking!$A$5:$A$84,A168)+SUMIFS(Digital!$Y$5:$Y$84,Digital!$A$5:$A$84,A168),1))</f>
        <v>0</v>
      </c>
      <c r="W168" s="41">
        <f>IF(B168="","",IFERROR(INDEX(DiffTimeFactors,MATCH(G168,DiffNames,0)),1))</f>
        <v>0</v>
      </c>
      <c r="X168" s="36">
        <f>IF(B168="","",ROUND(V168*W168,1))</f>
        <v>0</v>
      </c>
      <c r="Y168" s="41">
        <f>IF(B168="","",ROUND(X168/60,3))</f>
        <v>0</v>
      </c>
      <c r="Z168" s="20">
        <f>IF(B168="","",ROUND(U168*W168,2))</f>
        <v>0</v>
      </c>
      <c r="AA168" s="20">
        <f>IF(B168="","",ROUND(SUMIFS(Labor!$Q$5:$Q$304,Labor!$A$5:$A$304,A168)+SUMIFS(Crochet!$AH$5:$AH$84,Crochet!$A$5:$A$84,A168)+SUMIFS(Jewelry!$AJ$5:$AJ$84,Jewelry!$A$5:$A$84,A168)+SUMIFS(Candles!$AJ$5:$AJ$84,Candles!$A$5:$A$84,A168)+SUMIFS(Clothing!$AF$5:$AF$84,Clothing!$A$5:$A$84,A168)+SUMIFS(Woodworking!$AH$5:$AH$84,Woodworking!$A$5:$A$84,A168)+SUMIFS(Digital!$AA$5:$AA$84,Digital!$A$5:$A$84,A168),2))</f>
        <v>0</v>
      </c>
      <c r="AB168" s="20">
        <f>IF(B168="","",ROUND(IF(I168="Budget",PackBudget,IF(I168="Standard",PackStandard,IF(I168="Gift",PackGift,IF(I168="Premium",PackPremium,DefaultPackaging)))),2))</f>
        <v>0</v>
      </c>
      <c r="AC168" s="36">
        <f>IF(B168="","",IF(I168="Budget",PackWeightBudget,IF(I168="Standard",PackWeightStandard,IF(I168="Gift",PackWeightGift,IF(I168="Premium",PackWeightPremium,0)))))</f>
        <v>0</v>
      </c>
      <c r="AD168" s="20">
        <f>IF(B168="","",IFERROR(INDEX(Shipping!$M$5:$M$64,MATCH(J168,Shipping!$L$5:$L$64,0)),DefaultShipping))</f>
        <v>0</v>
      </c>
      <c r="AE168" s="20">
        <f>IF(B168="","",IFERROR(INDEX(Shipping!$F$5:$F$64,MATCH(J168,Shipping!$L$5:$L$64,0)),0))</f>
        <v>0</v>
      </c>
      <c r="AF168" s="36">
        <f>IF(B168="","",IFERROR(INDEX(Shipping!$C$5:$C$64,MATCH(J168,Shipping!$L$5:$L$64,0)),""))</f>
        <v>0</v>
      </c>
      <c r="AG168" s="20">
        <f>IF(B168="","",ROUND(MAX(0,AD168-AE168),2))</f>
        <v>0</v>
      </c>
      <c r="AH168" s="20">
        <f>IF(B168="","",ROUND(T168+Z168+AA168+AB168+AG168,2))</f>
        <v>0</v>
      </c>
      <c r="AI168" s="33">
        <f>IF(B168="","",IFERROR(INDEX(Channels!$S$5:$S$18,MATCH(IF(H168="",DefaultChannel,H168),Channels!$A$5:$A$18,0)),0))</f>
        <v>0</v>
      </c>
      <c r="AJ168" s="42">
        <f>IF(B168="","",IFERROR(INDEX(Channels!$O$5:$O$18,MATCH(IF(H168="",DefaultChannel,H168),Channels!$A$5:$A$18,0)),"No"))</f>
        <v>0</v>
      </c>
      <c r="AK168" s="20">
        <f>IF(B168="","",ROUND(IFERROR(INDEX(Channels!$T$5:$T$18,MATCH(IF(H168="",DefaultChannel,H168),Channels!$A$5:$A$18,0)),0)+IF(AJ168="Yes",AE168*AI168,0),4))</f>
        <v>0</v>
      </c>
      <c r="AL168" s="33">
        <f>IF(B168="","",IF(OverheadMethod="Share of revenue",IF(RevenueTargetMonth&lt;=0,0,OverheadMonthly/RevenueTargetMonth),0))</f>
        <v>0</v>
      </c>
      <c r="AM168" s="20">
        <f>IF(B168="","",IF(OverheadMethod="Per hour worked",ROUND(OverheadPerHour*Y168,2),IF(OR(OverheadMethod="Per unit made",OverheadMethod="Per order"),OverheadPerUnit,0)))</f>
        <v>0</v>
      </c>
      <c r="AN168" s="33">
        <f>IF(B168="","",IF(N168&lt;&gt;"",N168,TargetRetailMargin))</f>
        <v>0</v>
      </c>
      <c r="AO168" s="41">
        <f>IF(B168="","",1-AN168-AI168-AL168)</f>
        <v>0</v>
      </c>
      <c r="AP168" s="20">
        <f>IF(B168="","",IF(AO168&lt;=0,"",(AH168+AM168+AK168)/AO168))</f>
        <v>0</v>
      </c>
      <c r="AQ168" s="20">
        <f>IF(B168="","",IF(AP168="","Check the settings",ROUND(IF(RoundingRule="None",AP168,IF(RoundingRule="Nearest 0.99",MAX(0.99,CEILING(AP168,1)-0.01),IF(RoundingRule="Nearest 0.95",MAX(0.95,CEILING(AP168,1)-0.05),IF(RoundingRule="Nearest 0.50",CEILING(AP168,0.5),IF(RoundingRule="Nearest 1",CEILING(AP168,1),IF(RoundingRule="Nearest 5",CEILING(AP168,5),IF(RoundingRule="Up to whole 1",CEILING(AP168,1),IF(RoundingRule="Up to whole 5",CEILING(AP168,5),ROUND(AP168,2))))))))),2)))</f>
        <v>0</v>
      </c>
      <c r="AR168" s="20">
        <f>IF(B168="","",IF(M168&lt;&gt;"",M168,IF(ISNUMBER(AQ168),AQ168,"")))</f>
        <v>0</v>
      </c>
      <c r="AS168" s="20">
        <f>IF(B168="","",IF(AR168="","",ROUND(AM168+AR168*AL168,2)))</f>
        <v>0</v>
      </c>
      <c r="AT168" s="20">
        <f>IF(B168="","",IF(AR168="","",ROUND(AH168+AS168,2)))</f>
        <v>0</v>
      </c>
      <c r="AU168" s="20">
        <f>IF(B168="","",IF(AR168="","",ROUND(AR168*AI168+AK168,2)))</f>
        <v>0</v>
      </c>
      <c r="AV168" s="20">
        <f>IF(B168="","",IF(AR168="","",ROUND(AR168-AT168-AU168,2)))</f>
        <v>0</v>
      </c>
      <c r="AW168" s="33">
        <f>IF(B168="","",IF(OR(AR168="",AR168=0),"",AV168/AR168))</f>
        <v>0</v>
      </c>
      <c r="AX168" s="33">
        <f>IF(B168="","",IF(OR(AT168="",AT168=0),"",AV168/AT168))</f>
        <v>0</v>
      </c>
      <c r="AY168" s="20">
        <f>IF(B168="","",IF(OR(Y168="",Y168=0,AV168=""),"",ROUND(AV168/Y168,2)))</f>
        <v>0</v>
      </c>
      <c r="AZ168" s="20">
        <f>IF(B168="","",IF(OR(Y168="",Y168=0,AV168=""),"",ROUND((AV168+Z168)/Y168,2)))</f>
        <v>0</v>
      </c>
      <c r="BA168" s="20">
        <f>IF(B168="","",IF(1-AI168-AL168&lt;=0,"",ROUND((AH168+AM168+AK168)/(1-AI168-AL168),2)))</f>
        <v>0</v>
      </c>
      <c r="BB168" s="20">
        <f>IF(B168="","",IF(AT168="","",ROUND(AT168*2,2)))</f>
        <v>0</v>
      </c>
      <c r="BC168" s="20">
        <f>IF(B168="","",IF(AR168="","",ROUND(AR168*(1-WholesaleDiscount),2)))</f>
        <v>0</v>
      </c>
      <c r="BD168" s="20">
        <f>IF(B168="","",IF(BC168="","",ROUND(BC168-AH168-AM168,2)))</f>
        <v>0</v>
      </c>
      <c r="BE168" s="33">
        <f>IF(B168="","",IF(OR(BC168="",BC168=0),"",BD168/BC168))</f>
        <v>0</v>
      </c>
      <c r="BF168" s="20">
        <f>IF(B168="","",IFERROR(ROUND(AVERAGEIFS(Competitors!$F$5:$F$154,Competitors!$A$5:$A$154,A168),2),""))</f>
        <v>0</v>
      </c>
      <c r="BG168" s="33">
        <f>IF(B168="","",IF(OR(BF168="",BF168=0,AR168=""),"",AR168/BF168-1))</f>
        <v>0</v>
      </c>
      <c r="BH168" s="32">
        <f>IF(B168="","",SUMIFS(Sales!$D$5:$D$804,Sales!$C$5:$C$804,A168))</f>
        <v>0</v>
      </c>
      <c r="BI168" s="20">
        <f>IF(B168="","",ROUND(SUMIFS(Sales!$V$5:$V$804,Sales!$C$5:$C$804,A168),2))</f>
        <v>0</v>
      </c>
      <c r="BJ168" s="20">
        <f>IF(B168="","",ROUND(SUMIFS(Sales!$AG$5:$AG$804,Sales!$C$5:$C$804,A168),2))</f>
        <v>0</v>
      </c>
      <c r="BK168" s="33">
        <f>IF(B168="","",IF(OR(BI168="",BI168=0),"",BJ168/BI168))</f>
        <v>0</v>
      </c>
      <c r="BL168" s="17">
        <f>IF(B168="","",IF(SUMPRODUCT(MAX((Sales!$C$5:$C$804=A168)*Sales!$B$5:$B$804))=0,"",SUMPRODUCT(MAX((Sales!$C$5:$C$804=A168)*Sales!$B$5:$B$804))))</f>
        <v>0</v>
      </c>
      <c r="BM168" s="17">
        <f>IF(B168="","",IF(SUMPRODUCT(MAX(('Price History'!$B$5:$B$304=A168)*'Price History'!$A$5:$A$304))=0,IF(P168="","",P168),SUMPRODUCT(MAX(('Price History'!$B$5:$B$304=A168)*'Price History'!$A$5:$A$304))))</f>
        <v>0</v>
      </c>
      <c r="BN168" s="32">
        <f>IF(B168="","",IF(BM168="","",TodayDate-BM168))</f>
        <v>0</v>
      </c>
      <c r="BO168" s="32">
        <f>IF(B168="","",COUNTIFS($AV$5:$AV$304,"&gt;"&amp;AV168)+COUNTIFS($AV$5:AV168,AV168))</f>
        <v>0</v>
      </c>
      <c r="BP168" s="32">
        <f>IF(B168="","",COUNTIFS($AW$5:$AW$304,"&gt;"&amp;AW168)+COUNTIFS($AW$5:AW168,AW168))</f>
        <v>0</v>
      </c>
      <c r="BQ168" s="32">
        <f>IF(B168="","",COUNTIFS($BI$5:$BI$304,"&gt;"&amp;BI168)+COUNTIFS($BI$5:BI168,BI168))</f>
        <v>0</v>
      </c>
      <c r="BR168" s="32">
        <f>IF(B168="","",COUNTIFS($AY$5:$AY$304,"&gt;"&amp;AY168)+COUNTIFS($AY$5:AY168,AY168))</f>
        <v>0</v>
      </c>
      <c r="BS168" s="43">
        <f>IF(B168="","",IF(AH168=0,"Add - no costs entered yet",IF(AR168="","Check - no price yet",IF(AV168&lt;0,"Loss - every sale costs you money",IF(AND(AZ168&lt;&gt;"",AZ168&lt;MinimumWage),"Below - pays under minimum wage",IF(AW168&lt;MarginWarning,"Low margin - re-price it",IF(AND(AF168&lt;&gt;"",K168&lt;&gt;"",K168+AC168&gt;AF168),"Check - too heavy for that postage band",IF(AND(BN168&lt;&gt;"",BN168&gt;PriceReviewDays),"Due - price has not been reviewed",IF(AND(BG168&lt;&gt;"",BG168&gt;0.5),"Check - well above the market","OK")))))))) )</f>
        <v>0</v>
      </c>
    </row>
    <row r="169" spans="1:71">
      <c r="A169" s="38">
        <f>IF(B169="","",ProductPrefix&amp;TEXT(ROW()-4,"0000"))</f>
        <v>0</v>
      </c>
      <c r="S169" s="38">
        <f>IF(B169="","",IF(C169&lt;&gt;"",C169,UPPER(LEFT(IF(D169="","GEN",D169),3))&amp;"-"&amp;TEXT(ROW()-4,"000")))</f>
        <v>0</v>
      </c>
      <c r="T169" s="20">
        <f>IF(B169="","",ROUND(SUMIFS('Material Usage'!$M$5:$M$904,'Material Usage'!$A$5:$A$904,A169)+SUMIFS(Crochet!$AD$5:$AD$84,Crochet!$A$5:$A$84,A169)+SUMIFS(Jewelry!$AF$5:$AF$84,Jewelry!$A$5:$A$84,A169)+SUMIFS(Candles!$AF$5:$AF$84,Candles!$A$5:$A$84,A169)+SUMIFS(Clothing!$AB$5:$AB$84,Clothing!$A$5:$A$84,A169)+SUMIFS(Woodworking!$AC$5:$AC$84,Woodworking!$A$5:$A$84,A169)+SUMIFS(Digital!$X$5:$X$84,Digital!$A$5:$A$84,A169),2))</f>
        <v>0</v>
      </c>
      <c r="U169" s="20">
        <f>IF(B169="","",ROUND(SUMIFS(Labor!$O$5:$O$304,Labor!$A$5:$A$304,A169)+SUMIFS(Crochet!$AG$5:$AG$84,Crochet!$A$5:$A$84,A169)+SUMIFS(Jewelry!$AI$5:$AI$84,Jewelry!$A$5:$A$84,A169)+SUMIFS(Candles!$AI$5:$AI$84,Candles!$A$5:$A$84,A169)+SUMIFS(Clothing!$AE$5:$AE$84,Clothing!$A$5:$A$84,A169)+SUMIFS(Woodworking!$AF$5:$AF$84,Woodworking!$A$5:$A$84,A169)+SUMIFS(Digital!$Z$5:$Z$84,Digital!$A$5:$A$84,A169),2))</f>
        <v>0</v>
      </c>
      <c r="V169" s="36">
        <f>IF(B169="","",ROUND(SUMIFS(Labor!$P$5:$P$304,Labor!$A$5:$A$304,A169)+SUMIFS(Crochet!$AE$5:$AE$84,Crochet!$A$5:$A$84,A169)+SUMIFS(Jewelry!$AG$5:$AG$84,Jewelry!$A$5:$A$84,A169)+SUMIFS(Candles!$AG$5:$AG$84,Candles!$A$5:$A$84,A169)+SUMIFS(Clothing!$AC$5:$AC$84,Clothing!$A$5:$A$84,A169)+SUMIFS(Woodworking!$AD$5:$AD$84,Woodworking!$A$5:$A$84,A169)+SUMIFS(Digital!$Y$5:$Y$84,Digital!$A$5:$A$84,A169),1))</f>
        <v>0</v>
      </c>
      <c r="W169" s="41">
        <f>IF(B169="","",IFERROR(INDEX(DiffTimeFactors,MATCH(G169,DiffNames,0)),1))</f>
        <v>0</v>
      </c>
      <c r="X169" s="36">
        <f>IF(B169="","",ROUND(V169*W169,1))</f>
        <v>0</v>
      </c>
      <c r="Y169" s="41">
        <f>IF(B169="","",ROUND(X169/60,3))</f>
        <v>0</v>
      </c>
      <c r="Z169" s="20">
        <f>IF(B169="","",ROUND(U169*W169,2))</f>
        <v>0</v>
      </c>
      <c r="AA169" s="20">
        <f>IF(B169="","",ROUND(SUMIFS(Labor!$Q$5:$Q$304,Labor!$A$5:$A$304,A169)+SUMIFS(Crochet!$AH$5:$AH$84,Crochet!$A$5:$A$84,A169)+SUMIFS(Jewelry!$AJ$5:$AJ$84,Jewelry!$A$5:$A$84,A169)+SUMIFS(Candles!$AJ$5:$AJ$84,Candles!$A$5:$A$84,A169)+SUMIFS(Clothing!$AF$5:$AF$84,Clothing!$A$5:$A$84,A169)+SUMIFS(Woodworking!$AH$5:$AH$84,Woodworking!$A$5:$A$84,A169)+SUMIFS(Digital!$AA$5:$AA$84,Digital!$A$5:$A$84,A169),2))</f>
        <v>0</v>
      </c>
      <c r="AB169" s="20">
        <f>IF(B169="","",ROUND(IF(I169="Budget",PackBudget,IF(I169="Standard",PackStandard,IF(I169="Gift",PackGift,IF(I169="Premium",PackPremium,DefaultPackaging)))),2))</f>
        <v>0</v>
      </c>
      <c r="AC169" s="36">
        <f>IF(B169="","",IF(I169="Budget",PackWeightBudget,IF(I169="Standard",PackWeightStandard,IF(I169="Gift",PackWeightGift,IF(I169="Premium",PackWeightPremium,0)))))</f>
        <v>0</v>
      </c>
      <c r="AD169" s="20">
        <f>IF(B169="","",IFERROR(INDEX(Shipping!$M$5:$M$64,MATCH(J169,Shipping!$L$5:$L$64,0)),DefaultShipping))</f>
        <v>0</v>
      </c>
      <c r="AE169" s="20">
        <f>IF(B169="","",IFERROR(INDEX(Shipping!$F$5:$F$64,MATCH(J169,Shipping!$L$5:$L$64,0)),0))</f>
        <v>0</v>
      </c>
      <c r="AF169" s="36">
        <f>IF(B169="","",IFERROR(INDEX(Shipping!$C$5:$C$64,MATCH(J169,Shipping!$L$5:$L$64,0)),""))</f>
        <v>0</v>
      </c>
      <c r="AG169" s="20">
        <f>IF(B169="","",ROUND(MAX(0,AD169-AE169),2))</f>
        <v>0</v>
      </c>
      <c r="AH169" s="20">
        <f>IF(B169="","",ROUND(T169+Z169+AA169+AB169+AG169,2))</f>
        <v>0</v>
      </c>
      <c r="AI169" s="33">
        <f>IF(B169="","",IFERROR(INDEX(Channels!$S$5:$S$18,MATCH(IF(H169="",DefaultChannel,H169),Channels!$A$5:$A$18,0)),0))</f>
        <v>0</v>
      </c>
      <c r="AJ169" s="42">
        <f>IF(B169="","",IFERROR(INDEX(Channels!$O$5:$O$18,MATCH(IF(H169="",DefaultChannel,H169),Channels!$A$5:$A$18,0)),"No"))</f>
        <v>0</v>
      </c>
      <c r="AK169" s="20">
        <f>IF(B169="","",ROUND(IFERROR(INDEX(Channels!$T$5:$T$18,MATCH(IF(H169="",DefaultChannel,H169),Channels!$A$5:$A$18,0)),0)+IF(AJ169="Yes",AE169*AI169,0),4))</f>
        <v>0</v>
      </c>
      <c r="AL169" s="33">
        <f>IF(B169="","",IF(OverheadMethod="Share of revenue",IF(RevenueTargetMonth&lt;=0,0,OverheadMonthly/RevenueTargetMonth),0))</f>
        <v>0</v>
      </c>
      <c r="AM169" s="20">
        <f>IF(B169="","",IF(OverheadMethod="Per hour worked",ROUND(OverheadPerHour*Y169,2),IF(OR(OverheadMethod="Per unit made",OverheadMethod="Per order"),OverheadPerUnit,0)))</f>
        <v>0</v>
      </c>
      <c r="AN169" s="33">
        <f>IF(B169="","",IF(N169&lt;&gt;"",N169,TargetRetailMargin))</f>
        <v>0</v>
      </c>
      <c r="AO169" s="41">
        <f>IF(B169="","",1-AN169-AI169-AL169)</f>
        <v>0</v>
      </c>
      <c r="AP169" s="20">
        <f>IF(B169="","",IF(AO169&lt;=0,"",(AH169+AM169+AK169)/AO169))</f>
        <v>0</v>
      </c>
      <c r="AQ169" s="20">
        <f>IF(B169="","",IF(AP169="","Check the settings",ROUND(IF(RoundingRule="None",AP169,IF(RoundingRule="Nearest 0.99",MAX(0.99,CEILING(AP169,1)-0.01),IF(RoundingRule="Nearest 0.95",MAX(0.95,CEILING(AP169,1)-0.05),IF(RoundingRule="Nearest 0.50",CEILING(AP169,0.5),IF(RoundingRule="Nearest 1",CEILING(AP169,1),IF(RoundingRule="Nearest 5",CEILING(AP169,5),IF(RoundingRule="Up to whole 1",CEILING(AP169,1),IF(RoundingRule="Up to whole 5",CEILING(AP169,5),ROUND(AP169,2))))))))),2)))</f>
        <v>0</v>
      </c>
      <c r="AR169" s="20">
        <f>IF(B169="","",IF(M169&lt;&gt;"",M169,IF(ISNUMBER(AQ169),AQ169,"")))</f>
        <v>0</v>
      </c>
      <c r="AS169" s="20">
        <f>IF(B169="","",IF(AR169="","",ROUND(AM169+AR169*AL169,2)))</f>
        <v>0</v>
      </c>
      <c r="AT169" s="20">
        <f>IF(B169="","",IF(AR169="","",ROUND(AH169+AS169,2)))</f>
        <v>0</v>
      </c>
      <c r="AU169" s="20">
        <f>IF(B169="","",IF(AR169="","",ROUND(AR169*AI169+AK169,2)))</f>
        <v>0</v>
      </c>
      <c r="AV169" s="20">
        <f>IF(B169="","",IF(AR169="","",ROUND(AR169-AT169-AU169,2)))</f>
        <v>0</v>
      </c>
      <c r="AW169" s="33">
        <f>IF(B169="","",IF(OR(AR169="",AR169=0),"",AV169/AR169))</f>
        <v>0</v>
      </c>
      <c r="AX169" s="33">
        <f>IF(B169="","",IF(OR(AT169="",AT169=0),"",AV169/AT169))</f>
        <v>0</v>
      </c>
      <c r="AY169" s="20">
        <f>IF(B169="","",IF(OR(Y169="",Y169=0,AV169=""),"",ROUND(AV169/Y169,2)))</f>
        <v>0</v>
      </c>
      <c r="AZ169" s="20">
        <f>IF(B169="","",IF(OR(Y169="",Y169=0,AV169=""),"",ROUND((AV169+Z169)/Y169,2)))</f>
        <v>0</v>
      </c>
      <c r="BA169" s="20">
        <f>IF(B169="","",IF(1-AI169-AL169&lt;=0,"",ROUND((AH169+AM169+AK169)/(1-AI169-AL169),2)))</f>
        <v>0</v>
      </c>
      <c r="BB169" s="20">
        <f>IF(B169="","",IF(AT169="","",ROUND(AT169*2,2)))</f>
        <v>0</v>
      </c>
      <c r="BC169" s="20">
        <f>IF(B169="","",IF(AR169="","",ROUND(AR169*(1-WholesaleDiscount),2)))</f>
        <v>0</v>
      </c>
      <c r="BD169" s="20">
        <f>IF(B169="","",IF(BC169="","",ROUND(BC169-AH169-AM169,2)))</f>
        <v>0</v>
      </c>
      <c r="BE169" s="33">
        <f>IF(B169="","",IF(OR(BC169="",BC169=0),"",BD169/BC169))</f>
        <v>0</v>
      </c>
      <c r="BF169" s="20">
        <f>IF(B169="","",IFERROR(ROUND(AVERAGEIFS(Competitors!$F$5:$F$154,Competitors!$A$5:$A$154,A169),2),""))</f>
        <v>0</v>
      </c>
      <c r="BG169" s="33">
        <f>IF(B169="","",IF(OR(BF169="",BF169=0,AR169=""),"",AR169/BF169-1))</f>
        <v>0</v>
      </c>
      <c r="BH169" s="32">
        <f>IF(B169="","",SUMIFS(Sales!$D$5:$D$804,Sales!$C$5:$C$804,A169))</f>
        <v>0</v>
      </c>
      <c r="BI169" s="20">
        <f>IF(B169="","",ROUND(SUMIFS(Sales!$V$5:$V$804,Sales!$C$5:$C$804,A169),2))</f>
        <v>0</v>
      </c>
      <c r="BJ169" s="20">
        <f>IF(B169="","",ROUND(SUMIFS(Sales!$AG$5:$AG$804,Sales!$C$5:$C$804,A169),2))</f>
        <v>0</v>
      </c>
      <c r="BK169" s="33">
        <f>IF(B169="","",IF(OR(BI169="",BI169=0),"",BJ169/BI169))</f>
        <v>0</v>
      </c>
      <c r="BL169" s="17">
        <f>IF(B169="","",IF(SUMPRODUCT(MAX((Sales!$C$5:$C$804=A169)*Sales!$B$5:$B$804))=0,"",SUMPRODUCT(MAX((Sales!$C$5:$C$804=A169)*Sales!$B$5:$B$804))))</f>
        <v>0</v>
      </c>
      <c r="BM169" s="17">
        <f>IF(B169="","",IF(SUMPRODUCT(MAX(('Price History'!$B$5:$B$304=A169)*'Price History'!$A$5:$A$304))=0,IF(P169="","",P169),SUMPRODUCT(MAX(('Price History'!$B$5:$B$304=A169)*'Price History'!$A$5:$A$304))))</f>
        <v>0</v>
      </c>
      <c r="BN169" s="32">
        <f>IF(B169="","",IF(BM169="","",TodayDate-BM169))</f>
        <v>0</v>
      </c>
      <c r="BO169" s="32">
        <f>IF(B169="","",COUNTIFS($AV$5:$AV$304,"&gt;"&amp;AV169)+COUNTIFS($AV$5:AV169,AV169))</f>
        <v>0</v>
      </c>
      <c r="BP169" s="32">
        <f>IF(B169="","",COUNTIFS($AW$5:$AW$304,"&gt;"&amp;AW169)+COUNTIFS($AW$5:AW169,AW169))</f>
        <v>0</v>
      </c>
      <c r="BQ169" s="32">
        <f>IF(B169="","",COUNTIFS($BI$5:$BI$304,"&gt;"&amp;BI169)+COUNTIFS($BI$5:BI169,BI169))</f>
        <v>0</v>
      </c>
      <c r="BR169" s="32">
        <f>IF(B169="","",COUNTIFS($AY$5:$AY$304,"&gt;"&amp;AY169)+COUNTIFS($AY$5:AY169,AY169))</f>
        <v>0</v>
      </c>
      <c r="BS169" s="43">
        <f>IF(B169="","",IF(AH169=0,"Add - no costs entered yet",IF(AR169="","Check - no price yet",IF(AV169&lt;0,"Loss - every sale costs you money",IF(AND(AZ169&lt;&gt;"",AZ169&lt;MinimumWage),"Below - pays under minimum wage",IF(AW169&lt;MarginWarning,"Low margin - re-price it",IF(AND(AF169&lt;&gt;"",K169&lt;&gt;"",K169+AC169&gt;AF169),"Check - too heavy for that postage band",IF(AND(BN169&lt;&gt;"",BN169&gt;PriceReviewDays),"Due - price has not been reviewed",IF(AND(BG169&lt;&gt;"",BG169&gt;0.5),"Check - well above the market","OK")))))))) )</f>
        <v>0</v>
      </c>
    </row>
    <row r="170" spans="1:71">
      <c r="A170" s="38">
        <f>IF(B170="","",ProductPrefix&amp;TEXT(ROW()-4,"0000"))</f>
        <v>0</v>
      </c>
      <c r="S170" s="38">
        <f>IF(B170="","",IF(C170&lt;&gt;"",C170,UPPER(LEFT(IF(D170="","GEN",D170),3))&amp;"-"&amp;TEXT(ROW()-4,"000")))</f>
        <v>0</v>
      </c>
      <c r="T170" s="20">
        <f>IF(B170="","",ROUND(SUMIFS('Material Usage'!$M$5:$M$904,'Material Usage'!$A$5:$A$904,A170)+SUMIFS(Crochet!$AD$5:$AD$84,Crochet!$A$5:$A$84,A170)+SUMIFS(Jewelry!$AF$5:$AF$84,Jewelry!$A$5:$A$84,A170)+SUMIFS(Candles!$AF$5:$AF$84,Candles!$A$5:$A$84,A170)+SUMIFS(Clothing!$AB$5:$AB$84,Clothing!$A$5:$A$84,A170)+SUMIFS(Woodworking!$AC$5:$AC$84,Woodworking!$A$5:$A$84,A170)+SUMIFS(Digital!$X$5:$X$84,Digital!$A$5:$A$84,A170),2))</f>
        <v>0</v>
      </c>
      <c r="U170" s="20">
        <f>IF(B170="","",ROUND(SUMIFS(Labor!$O$5:$O$304,Labor!$A$5:$A$304,A170)+SUMIFS(Crochet!$AG$5:$AG$84,Crochet!$A$5:$A$84,A170)+SUMIFS(Jewelry!$AI$5:$AI$84,Jewelry!$A$5:$A$84,A170)+SUMIFS(Candles!$AI$5:$AI$84,Candles!$A$5:$A$84,A170)+SUMIFS(Clothing!$AE$5:$AE$84,Clothing!$A$5:$A$84,A170)+SUMIFS(Woodworking!$AF$5:$AF$84,Woodworking!$A$5:$A$84,A170)+SUMIFS(Digital!$Z$5:$Z$84,Digital!$A$5:$A$84,A170),2))</f>
        <v>0</v>
      </c>
      <c r="V170" s="36">
        <f>IF(B170="","",ROUND(SUMIFS(Labor!$P$5:$P$304,Labor!$A$5:$A$304,A170)+SUMIFS(Crochet!$AE$5:$AE$84,Crochet!$A$5:$A$84,A170)+SUMIFS(Jewelry!$AG$5:$AG$84,Jewelry!$A$5:$A$84,A170)+SUMIFS(Candles!$AG$5:$AG$84,Candles!$A$5:$A$84,A170)+SUMIFS(Clothing!$AC$5:$AC$84,Clothing!$A$5:$A$84,A170)+SUMIFS(Woodworking!$AD$5:$AD$84,Woodworking!$A$5:$A$84,A170)+SUMIFS(Digital!$Y$5:$Y$84,Digital!$A$5:$A$84,A170),1))</f>
        <v>0</v>
      </c>
      <c r="W170" s="41">
        <f>IF(B170="","",IFERROR(INDEX(DiffTimeFactors,MATCH(G170,DiffNames,0)),1))</f>
        <v>0</v>
      </c>
      <c r="X170" s="36">
        <f>IF(B170="","",ROUND(V170*W170,1))</f>
        <v>0</v>
      </c>
      <c r="Y170" s="41">
        <f>IF(B170="","",ROUND(X170/60,3))</f>
        <v>0</v>
      </c>
      <c r="Z170" s="20">
        <f>IF(B170="","",ROUND(U170*W170,2))</f>
        <v>0</v>
      </c>
      <c r="AA170" s="20">
        <f>IF(B170="","",ROUND(SUMIFS(Labor!$Q$5:$Q$304,Labor!$A$5:$A$304,A170)+SUMIFS(Crochet!$AH$5:$AH$84,Crochet!$A$5:$A$84,A170)+SUMIFS(Jewelry!$AJ$5:$AJ$84,Jewelry!$A$5:$A$84,A170)+SUMIFS(Candles!$AJ$5:$AJ$84,Candles!$A$5:$A$84,A170)+SUMIFS(Clothing!$AF$5:$AF$84,Clothing!$A$5:$A$84,A170)+SUMIFS(Woodworking!$AH$5:$AH$84,Woodworking!$A$5:$A$84,A170)+SUMIFS(Digital!$AA$5:$AA$84,Digital!$A$5:$A$84,A170),2))</f>
        <v>0</v>
      </c>
      <c r="AB170" s="20">
        <f>IF(B170="","",ROUND(IF(I170="Budget",PackBudget,IF(I170="Standard",PackStandard,IF(I170="Gift",PackGift,IF(I170="Premium",PackPremium,DefaultPackaging)))),2))</f>
        <v>0</v>
      </c>
      <c r="AC170" s="36">
        <f>IF(B170="","",IF(I170="Budget",PackWeightBudget,IF(I170="Standard",PackWeightStandard,IF(I170="Gift",PackWeightGift,IF(I170="Premium",PackWeightPremium,0)))))</f>
        <v>0</v>
      </c>
      <c r="AD170" s="20">
        <f>IF(B170="","",IFERROR(INDEX(Shipping!$M$5:$M$64,MATCH(J170,Shipping!$L$5:$L$64,0)),DefaultShipping))</f>
        <v>0</v>
      </c>
      <c r="AE170" s="20">
        <f>IF(B170="","",IFERROR(INDEX(Shipping!$F$5:$F$64,MATCH(J170,Shipping!$L$5:$L$64,0)),0))</f>
        <v>0</v>
      </c>
      <c r="AF170" s="36">
        <f>IF(B170="","",IFERROR(INDEX(Shipping!$C$5:$C$64,MATCH(J170,Shipping!$L$5:$L$64,0)),""))</f>
        <v>0</v>
      </c>
      <c r="AG170" s="20">
        <f>IF(B170="","",ROUND(MAX(0,AD170-AE170),2))</f>
        <v>0</v>
      </c>
      <c r="AH170" s="20">
        <f>IF(B170="","",ROUND(T170+Z170+AA170+AB170+AG170,2))</f>
        <v>0</v>
      </c>
      <c r="AI170" s="33">
        <f>IF(B170="","",IFERROR(INDEX(Channels!$S$5:$S$18,MATCH(IF(H170="",DefaultChannel,H170),Channels!$A$5:$A$18,0)),0))</f>
        <v>0</v>
      </c>
      <c r="AJ170" s="42">
        <f>IF(B170="","",IFERROR(INDEX(Channels!$O$5:$O$18,MATCH(IF(H170="",DefaultChannel,H170),Channels!$A$5:$A$18,0)),"No"))</f>
        <v>0</v>
      </c>
      <c r="AK170" s="20">
        <f>IF(B170="","",ROUND(IFERROR(INDEX(Channels!$T$5:$T$18,MATCH(IF(H170="",DefaultChannel,H170),Channels!$A$5:$A$18,0)),0)+IF(AJ170="Yes",AE170*AI170,0),4))</f>
        <v>0</v>
      </c>
      <c r="AL170" s="33">
        <f>IF(B170="","",IF(OverheadMethod="Share of revenue",IF(RevenueTargetMonth&lt;=0,0,OverheadMonthly/RevenueTargetMonth),0))</f>
        <v>0</v>
      </c>
      <c r="AM170" s="20">
        <f>IF(B170="","",IF(OverheadMethod="Per hour worked",ROUND(OverheadPerHour*Y170,2),IF(OR(OverheadMethod="Per unit made",OverheadMethod="Per order"),OverheadPerUnit,0)))</f>
        <v>0</v>
      </c>
      <c r="AN170" s="33">
        <f>IF(B170="","",IF(N170&lt;&gt;"",N170,TargetRetailMargin))</f>
        <v>0</v>
      </c>
      <c r="AO170" s="41">
        <f>IF(B170="","",1-AN170-AI170-AL170)</f>
        <v>0</v>
      </c>
      <c r="AP170" s="20">
        <f>IF(B170="","",IF(AO170&lt;=0,"",(AH170+AM170+AK170)/AO170))</f>
        <v>0</v>
      </c>
      <c r="AQ170" s="20">
        <f>IF(B170="","",IF(AP170="","Check the settings",ROUND(IF(RoundingRule="None",AP170,IF(RoundingRule="Nearest 0.99",MAX(0.99,CEILING(AP170,1)-0.01),IF(RoundingRule="Nearest 0.95",MAX(0.95,CEILING(AP170,1)-0.05),IF(RoundingRule="Nearest 0.50",CEILING(AP170,0.5),IF(RoundingRule="Nearest 1",CEILING(AP170,1),IF(RoundingRule="Nearest 5",CEILING(AP170,5),IF(RoundingRule="Up to whole 1",CEILING(AP170,1),IF(RoundingRule="Up to whole 5",CEILING(AP170,5),ROUND(AP170,2))))))))),2)))</f>
        <v>0</v>
      </c>
      <c r="AR170" s="20">
        <f>IF(B170="","",IF(M170&lt;&gt;"",M170,IF(ISNUMBER(AQ170),AQ170,"")))</f>
        <v>0</v>
      </c>
      <c r="AS170" s="20">
        <f>IF(B170="","",IF(AR170="","",ROUND(AM170+AR170*AL170,2)))</f>
        <v>0</v>
      </c>
      <c r="AT170" s="20">
        <f>IF(B170="","",IF(AR170="","",ROUND(AH170+AS170,2)))</f>
        <v>0</v>
      </c>
      <c r="AU170" s="20">
        <f>IF(B170="","",IF(AR170="","",ROUND(AR170*AI170+AK170,2)))</f>
        <v>0</v>
      </c>
      <c r="AV170" s="20">
        <f>IF(B170="","",IF(AR170="","",ROUND(AR170-AT170-AU170,2)))</f>
        <v>0</v>
      </c>
      <c r="AW170" s="33">
        <f>IF(B170="","",IF(OR(AR170="",AR170=0),"",AV170/AR170))</f>
        <v>0</v>
      </c>
      <c r="AX170" s="33">
        <f>IF(B170="","",IF(OR(AT170="",AT170=0),"",AV170/AT170))</f>
        <v>0</v>
      </c>
      <c r="AY170" s="20">
        <f>IF(B170="","",IF(OR(Y170="",Y170=0,AV170=""),"",ROUND(AV170/Y170,2)))</f>
        <v>0</v>
      </c>
      <c r="AZ170" s="20">
        <f>IF(B170="","",IF(OR(Y170="",Y170=0,AV170=""),"",ROUND((AV170+Z170)/Y170,2)))</f>
        <v>0</v>
      </c>
      <c r="BA170" s="20">
        <f>IF(B170="","",IF(1-AI170-AL170&lt;=0,"",ROUND((AH170+AM170+AK170)/(1-AI170-AL170),2)))</f>
        <v>0</v>
      </c>
      <c r="BB170" s="20">
        <f>IF(B170="","",IF(AT170="","",ROUND(AT170*2,2)))</f>
        <v>0</v>
      </c>
      <c r="BC170" s="20">
        <f>IF(B170="","",IF(AR170="","",ROUND(AR170*(1-WholesaleDiscount),2)))</f>
        <v>0</v>
      </c>
      <c r="BD170" s="20">
        <f>IF(B170="","",IF(BC170="","",ROUND(BC170-AH170-AM170,2)))</f>
        <v>0</v>
      </c>
      <c r="BE170" s="33">
        <f>IF(B170="","",IF(OR(BC170="",BC170=0),"",BD170/BC170))</f>
        <v>0</v>
      </c>
      <c r="BF170" s="20">
        <f>IF(B170="","",IFERROR(ROUND(AVERAGEIFS(Competitors!$F$5:$F$154,Competitors!$A$5:$A$154,A170),2),""))</f>
        <v>0</v>
      </c>
      <c r="BG170" s="33">
        <f>IF(B170="","",IF(OR(BF170="",BF170=0,AR170=""),"",AR170/BF170-1))</f>
        <v>0</v>
      </c>
      <c r="BH170" s="32">
        <f>IF(B170="","",SUMIFS(Sales!$D$5:$D$804,Sales!$C$5:$C$804,A170))</f>
        <v>0</v>
      </c>
      <c r="BI170" s="20">
        <f>IF(B170="","",ROUND(SUMIFS(Sales!$V$5:$V$804,Sales!$C$5:$C$804,A170),2))</f>
        <v>0</v>
      </c>
      <c r="BJ170" s="20">
        <f>IF(B170="","",ROUND(SUMIFS(Sales!$AG$5:$AG$804,Sales!$C$5:$C$804,A170),2))</f>
        <v>0</v>
      </c>
      <c r="BK170" s="33">
        <f>IF(B170="","",IF(OR(BI170="",BI170=0),"",BJ170/BI170))</f>
        <v>0</v>
      </c>
      <c r="BL170" s="17">
        <f>IF(B170="","",IF(SUMPRODUCT(MAX((Sales!$C$5:$C$804=A170)*Sales!$B$5:$B$804))=0,"",SUMPRODUCT(MAX((Sales!$C$5:$C$804=A170)*Sales!$B$5:$B$804))))</f>
        <v>0</v>
      </c>
      <c r="BM170" s="17">
        <f>IF(B170="","",IF(SUMPRODUCT(MAX(('Price History'!$B$5:$B$304=A170)*'Price History'!$A$5:$A$304))=0,IF(P170="","",P170),SUMPRODUCT(MAX(('Price History'!$B$5:$B$304=A170)*'Price History'!$A$5:$A$304))))</f>
        <v>0</v>
      </c>
      <c r="BN170" s="32">
        <f>IF(B170="","",IF(BM170="","",TodayDate-BM170))</f>
        <v>0</v>
      </c>
      <c r="BO170" s="32">
        <f>IF(B170="","",COUNTIFS($AV$5:$AV$304,"&gt;"&amp;AV170)+COUNTIFS($AV$5:AV170,AV170))</f>
        <v>0</v>
      </c>
      <c r="BP170" s="32">
        <f>IF(B170="","",COUNTIFS($AW$5:$AW$304,"&gt;"&amp;AW170)+COUNTIFS($AW$5:AW170,AW170))</f>
        <v>0</v>
      </c>
      <c r="BQ170" s="32">
        <f>IF(B170="","",COUNTIFS($BI$5:$BI$304,"&gt;"&amp;BI170)+COUNTIFS($BI$5:BI170,BI170))</f>
        <v>0</v>
      </c>
      <c r="BR170" s="32">
        <f>IF(B170="","",COUNTIFS($AY$5:$AY$304,"&gt;"&amp;AY170)+COUNTIFS($AY$5:AY170,AY170))</f>
        <v>0</v>
      </c>
      <c r="BS170" s="43">
        <f>IF(B170="","",IF(AH170=0,"Add - no costs entered yet",IF(AR170="","Check - no price yet",IF(AV170&lt;0,"Loss - every sale costs you money",IF(AND(AZ170&lt;&gt;"",AZ170&lt;MinimumWage),"Below - pays under minimum wage",IF(AW170&lt;MarginWarning,"Low margin - re-price it",IF(AND(AF170&lt;&gt;"",K170&lt;&gt;"",K170+AC170&gt;AF170),"Check - too heavy for that postage band",IF(AND(BN170&lt;&gt;"",BN170&gt;PriceReviewDays),"Due - price has not been reviewed",IF(AND(BG170&lt;&gt;"",BG170&gt;0.5),"Check - well above the market","OK")))))))) )</f>
        <v>0</v>
      </c>
    </row>
    <row r="171" spans="1:71">
      <c r="A171" s="38">
        <f>IF(B171="","",ProductPrefix&amp;TEXT(ROW()-4,"0000"))</f>
        <v>0</v>
      </c>
      <c r="S171" s="38">
        <f>IF(B171="","",IF(C171&lt;&gt;"",C171,UPPER(LEFT(IF(D171="","GEN",D171),3))&amp;"-"&amp;TEXT(ROW()-4,"000")))</f>
        <v>0</v>
      </c>
      <c r="T171" s="20">
        <f>IF(B171="","",ROUND(SUMIFS('Material Usage'!$M$5:$M$904,'Material Usage'!$A$5:$A$904,A171)+SUMIFS(Crochet!$AD$5:$AD$84,Crochet!$A$5:$A$84,A171)+SUMIFS(Jewelry!$AF$5:$AF$84,Jewelry!$A$5:$A$84,A171)+SUMIFS(Candles!$AF$5:$AF$84,Candles!$A$5:$A$84,A171)+SUMIFS(Clothing!$AB$5:$AB$84,Clothing!$A$5:$A$84,A171)+SUMIFS(Woodworking!$AC$5:$AC$84,Woodworking!$A$5:$A$84,A171)+SUMIFS(Digital!$X$5:$X$84,Digital!$A$5:$A$84,A171),2))</f>
        <v>0</v>
      </c>
      <c r="U171" s="20">
        <f>IF(B171="","",ROUND(SUMIFS(Labor!$O$5:$O$304,Labor!$A$5:$A$304,A171)+SUMIFS(Crochet!$AG$5:$AG$84,Crochet!$A$5:$A$84,A171)+SUMIFS(Jewelry!$AI$5:$AI$84,Jewelry!$A$5:$A$84,A171)+SUMIFS(Candles!$AI$5:$AI$84,Candles!$A$5:$A$84,A171)+SUMIFS(Clothing!$AE$5:$AE$84,Clothing!$A$5:$A$84,A171)+SUMIFS(Woodworking!$AF$5:$AF$84,Woodworking!$A$5:$A$84,A171)+SUMIFS(Digital!$Z$5:$Z$84,Digital!$A$5:$A$84,A171),2))</f>
        <v>0</v>
      </c>
      <c r="V171" s="36">
        <f>IF(B171="","",ROUND(SUMIFS(Labor!$P$5:$P$304,Labor!$A$5:$A$304,A171)+SUMIFS(Crochet!$AE$5:$AE$84,Crochet!$A$5:$A$84,A171)+SUMIFS(Jewelry!$AG$5:$AG$84,Jewelry!$A$5:$A$84,A171)+SUMIFS(Candles!$AG$5:$AG$84,Candles!$A$5:$A$84,A171)+SUMIFS(Clothing!$AC$5:$AC$84,Clothing!$A$5:$A$84,A171)+SUMIFS(Woodworking!$AD$5:$AD$84,Woodworking!$A$5:$A$84,A171)+SUMIFS(Digital!$Y$5:$Y$84,Digital!$A$5:$A$84,A171),1))</f>
        <v>0</v>
      </c>
      <c r="W171" s="41">
        <f>IF(B171="","",IFERROR(INDEX(DiffTimeFactors,MATCH(G171,DiffNames,0)),1))</f>
        <v>0</v>
      </c>
      <c r="X171" s="36">
        <f>IF(B171="","",ROUND(V171*W171,1))</f>
        <v>0</v>
      </c>
      <c r="Y171" s="41">
        <f>IF(B171="","",ROUND(X171/60,3))</f>
        <v>0</v>
      </c>
      <c r="Z171" s="20">
        <f>IF(B171="","",ROUND(U171*W171,2))</f>
        <v>0</v>
      </c>
      <c r="AA171" s="20">
        <f>IF(B171="","",ROUND(SUMIFS(Labor!$Q$5:$Q$304,Labor!$A$5:$A$304,A171)+SUMIFS(Crochet!$AH$5:$AH$84,Crochet!$A$5:$A$84,A171)+SUMIFS(Jewelry!$AJ$5:$AJ$84,Jewelry!$A$5:$A$84,A171)+SUMIFS(Candles!$AJ$5:$AJ$84,Candles!$A$5:$A$84,A171)+SUMIFS(Clothing!$AF$5:$AF$84,Clothing!$A$5:$A$84,A171)+SUMIFS(Woodworking!$AH$5:$AH$84,Woodworking!$A$5:$A$84,A171)+SUMIFS(Digital!$AA$5:$AA$84,Digital!$A$5:$A$84,A171),2))</f>
        <v>0</v>
      </c>
      <c r="AB171" s="20">
        <f>IF(B171="","",ROUND(IF(I171="Budget",PackBudget,IF(I171="Standard",PackStandard,IF(I171="Gift",PackGift,IF(I171="Premium",PackPremium,DefaultPackaging)))),2))</f>
        <v>0</v>
      </c>
      <c r="AC171" s="36">
        <f>IF(B171="","",IF(I171="Budget",PackWeightBudget,IF(I171="Standard",PackWeightStandard,IF(I171="Gift",PackWeightGift,IF(I171="Premium",PackWeightPremium,0)))))</f>
        <v>0</v>
      </c>
      <c r="AD171" s="20">
        <f>IF(B171="","",IFERROR(INDEX(Shipping!$M$5:$M$64,MATCH(J171,Shipping!$L$5:$L$64,0)),DefaultShipping))</f>
        <v>0</v>
      </c>
      <c r="AE171" s="20">
        <f>IF(B171="","",IFERROR(INDEX(Shipping!$F$5:$F$64,MATCH(J171,Shipping!$L$5:$L$64,0)),0))</f>
        <v>0</v>
      </c>
      <c r="AF171" s="36">
        <f>IF(B171="","",IFERROR(INDEX(Shipping!$C$5:$C$64,MATCH(J171,Shipping!$L$5:$L$64,0)),""))</f>
        <v>0</v>
      </c>
      <c r="AG171" s="20">
        <f>IF(B171="","",ROUND(MAX(0,AD171-AE171),2))</f>
        <v>0</v>
      </c>
      <c r="AH171" s="20">
        <f>IF(B171="","",ROUND(T171+Z171+AA171+AB171+AG171,2))</f>
        <v>0</v>
      </c>
      <c r="AI171" s="33">
        <f>IF(B171="","",IFERROR(INDEX(Channels!$S$5:$S$18,MATCH(IF(H171="",DefaultChannel,H171),Channels!$A$5:$A$18,0)),0))</f>
        <v>0</v>
      </c>
      <c r="AJ171" s="42">
        <f>IF(B171="","",IFERROR(INDEX(Channels!$O$5:$O$18,MATCH(IF(H171="",DefaultChannel,H171),Channels!$A$5:$A$18,0)),"No"))</f>
        <v>0</v>
      </c>
      <c r="AK171" s="20">
        <f>IF(B171="","",ROUND(IFERROR(INDEX(Channels!$T$5:$T$18,MATCH(IF(H171="",DefaultChannel,H171),Channels!$A$5:$A$18,0)),0)+IF(AJ171="Yes",AE171*AI171,0),4))</f>
        <v>0</v>
      </c>
      <c r="AL171" s="33">
        <f>IF(B171="","",IF(OverheadMethod="Share of revenue",IF(RevenueTargetMonth&lt;=0,0,OverheadMonthly/RevenueTargetMonth),0))</f>
        <v>0</v>
      </c>
      <c r="AM171" s="20">
        <f>IF(B171="","",IF(OverheadMethod="Per hour worked",ROUND(OverheadPerHour*Y171,2),IF(OR(OverheadMethod="Per unit made",OverheadMethod="Per order"),OverheadPerUnit,0)))</f>
        <v>0</v>
      </c>
      <c r="AN171" s="33">
        <f>IF(B171="","",IF(N171&lt;&gt;"",N171,TargetRetailMargin))</f>
        <v>0</v>
      </c>
      <c r="AO171" s="41">
        <f>IF(B171="","",1-AN171-AI171-AL171)</f>
        <v>0</v>
      </c>
      <c r="AP171" s="20">
        <f>IF(B171="","",IF(AO171&lt;=0,"",(AH171+AM171+AK171)/AO171))</f>
        <v>0</v>
      </c>
      <c r="AQ171" s="20">
        <f>IF(B171="","",IF(AP171="","Check the settings",ROUND(IF(RoundingRule="None",AP171,IF(RoundingRule="Nearest 0.99",MAX(0.99,CEILING(AP171,1)-0.01),IF(RoundingRule="Nearest 0.95",MAX(0.95,CEILING(AP171,1)-0.05),IF(RoundingRule="Nearest 0.50",CEILING(AP171,0.5),IF(RoundingRule="Nearest 1",CEILING(AP171,1),IF(RoundingRule="Nearest 5",CEILING(AP171,5),IF(RoundingRule="Up to whole 1",CEILING(AP171,1),IF(RoundingRule="Up to whole 5",CEILING(AP171,5),ROUND(AP171,2))))))))),2)))</f>
        <v>0</v>
      </c>
      <c r="AR171" s="20">
        <f>IF(B171="","",IF(M171&lt;&gt;"",M171,IF(ISNUMBER(AQ171),AQ171,"")))</f>
        <v>0</v>
      </c>
      <c r="AS171" s="20">
        <f>IF(B171="","",IF(AR171="","",ROUND(AM171+AR171*AL171,2)))</f>
        <v>0</v>
      </c>
      <c r="AT171" s="20">
        <f>IF(B171="","",IF(AR171="","",ROUND(AH171+AS171,2)))</f>
        <v>0</v>
      </c>
      <c r="AU171" s="20">
        <f>IF(B171="","",IF(AR171="","",ROUND(AR171*AI171+AK171,2)))</f>
        <v>0</v>
      </c>
      <c r="AV171" s="20">
        <f>IF(B171="","",IF(AR171="","",ROUND(AR171-AT171-AU171,2)))</f>
        <v>0</v>
      </c>
      <c r="AW171" s="33">
        <f>IF(B171="","",IF(OR(AR171="",AR171=0),"",AV171/AR171))</f>
        <v>0</v>
      </c>
      <c r="AX171" s="33">
        <f>IF(B171="","",IF(OR(AT171="",AT171=0),"",AV171/AT171))</f>
        <v>0</v>
      </c>
      <c r="AY171" s="20">
        <f>IF(B171="","",IF(OR(Y171="",Y171=0,AV171=""),"",ROUND(AV171/Y171,2)))</f>
        <v>0</v>
      </c>
      <c r="AZ171" s="20">
        <f>IF(B171="","",IF(OR(Y171="",Y171=0,AV171=""),"",ROUND((AV171+Z171)/Y171,2)))</f>
        <v>0</v>
      </c>
      <c r="BA171" s="20">
        <f>IF(B171="","",IF(1-AI171-AL171&lt;=0,"",ROUND((AH171+AM171+AK171)/(1-AI171-AL171),2)))</f>
        <v>0</v>
      </c>
      <c r="BB171" s="20">
        <f>IF(B171="","",IF(AT171="","",ROUND(AT171*2,2)))</f>
        <v>0</v>
      </c>
      <c r="BC171" s="20">
        <f>IF(B171="","",IF(AR171="","",ROUND(AR171*(1-WholesaleDiscount),2)))</f>
        <v>0</v>
      </c>
      <c r="BD171" s="20">
        <f>IF(B171="","",IF(BC171="","",ROUND(BC171-AH171-AM171,2)))</f>
        <v>0</v>
      </c>
      <c r="BE171" s="33">
        <f>IF(B171="","",IF(OR(BC171="",BC171=0),"",BD171/BC171))</f>
        <v>0</v>
      </c>
      <c r="BF171" s="20">
        <f>IF(B171="","",IFERROR(ROUND(AVERAGEIFS(Competitors!$F$5:$F$154,Competitors!$A$5:$A$154,A171),2),""))</f>
        <v>0</v>
      </c>
      <c r="BG171" s="33">
        <f>IF(B171="","",IF(OR(BF171="",BF171=0,AR171=""),"",AR171/BF171-1))</f>
        <v>0</v>
      </c>
      <c r="BH171" s="32">
        <f>IF(B171="","",SUMIFS(Sales!$D$5:$D$804,Sales!$C$5:$C$804,A171))</f>
        <v>0</v>
      </c>
      <c r="BI171" s="20">
        <f>IF(B171="","",ROUND(SUMIFS(Sales!$V$5:$V$804,Sales!$C$5:$C$804,A171),2))</f>
        <v>0</v>
      </c>
      <c r="BJ171" s="20">
        <f>IF(B171="","",ROUND(SUMIFS(Sales!$AG$5:$AG$804,Sales!$C$5:$C$804,A171),2))</f>
        <v>0</v>
      </c>
      <c r="BK171" s="33">
        <f>IF(B171="","",IF(OR(BI171="",BI171=0),"",BJ171/BI171))</f>
        <v>0</v>
      </c>
      <c r="BL171" s="17">
        <f>IF(B171="","",IF(SUMPRODUCT(MAX((Sales!$C$5:$C$804=A171)*Sales!$B$5:$B$804))=0,"",SUMPRODUCT(MAX((Sales!$C$5:$C$804=A171)*Sales!$B$5:$B$804))))</f>
        <v>0</v>
      </c>
      <c r="BM171" s="17">
        <f>IF(B171="","",IF(SUMPRODUCT(MAX(('Price History'!$B$5:$B$304=A171)*'Price History'!$A$5:$A$304))=0,IF(P171="","",P171),SUMPRODUCT(MAX(('Price History'!$B$5:$B$304=A171)*'Price History'!$A$5:$A$304))))</f>
        <v>0</v>
      </c>
      <c r="BN171" s="32">
        <f>IF(B171="","",IF(BM171="","",TodayDate-BM171))</f>
        <v>0</v>
      </c>
      <c r="BO171" s="32">
        <f>IF(B171="","",COUNTIFS($AV$5:$AV$304,"&gt;"&amp;AV171)+COUNTIFS($AV$5:AV171,AV171))</f>
        <v>0</v>
      </c>
      <c r="BP171" s="32">
        <f>IF(B171="","",COUNTIFS($AW$5:$AW$304,"&gt;"&amp;AW171)+COUNTIFS($AW$5:AW171,AW171))</f>
        <v>0</v>
      </c>
      <c r="BQ171" s="32">
        <f>IF(B171="","",COUNTIFS($BI$5:$BI$304,"&gt;"&amp;BI171)+COUNTIFS($BI$5:BI171,BI171))</f>
        <v>0</v>
      </c>
      <c r="BR171" s="32">
        <f>IF(B171="","",COUNTIFS($AY$5:$AY$304,"&gt;"&amp;AY171)+COUNTIFS($AY$5:AY171,AY171))</f>
        <v>0</v>
      </c>
      <c r="BS171" s="43">
        <f>IF(B171="","",IF(AH171=0,"Add - no costs entered yet",IF(AR171="","Check - no price yet",IF(AV171&lt;0,"Loss - every sale costs you money",IF(AND(AZ171&lt;&gt;"",AZ171&lt;MinimumWage),"Below - pays under minimum wage",IF(AW171&lt;MarginWarning,"Low margin - re-price it",IF(AND(AF171&lt;&gt;"",K171&lt;&gt;"",K171+AC171&gt;AF171),"Check - too heavy for that postage band",IF(AND(BN171&lt;&gt;"",BN171&gt;PriceReviewDays),"Due - price has not been reviewed",IF(AND(BG171&lt;&gt;"",BG171&gt;0.5),"Check - well above the market","OK")))))))) )</f>
        <v>0</v>
      </c>
    </row>
    <row r="172" spans="1:71">
      <c r="A172" s="38">
        <f>IF(B172="","",ProductPrefix&amp;TEXT(ROW()-4,"0000"))</f>
        <v>0</v>
      </c>
      <c r="S172" s="38">
        <f>IF(B172="","",IF(C172&lt;&gt;"",C172,UPPER(LEFT(IF(D172="","GEN",D172),3))&amp;"-"&amp;TEXT(ROW()-4,"000")))</f>
        <v>0</v>
      </c>
      <c r="T172" s="20">
        <f>IF(B172="","",ROUND(SUMIFS('Material Usage'!$M$5:$M$904,'Material Usage'!$A$5:$A$904,A172)+SUMIFS(Crochet!$AD$5:$AD$84,Crochet!$A$5:$A$84,A172)+SUMIFS(Jewelry!$AF$5:$AF$84,Jewelry!$A$5:$A$84,A172)+SUMIFS(Candles!$AF$5:$AF$84,Candles!$A$5:$A$84,A172)+SUMIFS(Clothing!$AB$5:$AB$84,Clothing!$A$5:$A$84,A172)+SUMIFS(Woodworking!$AC$5:$AC$84,Woodworking!$A$5:$A$84,A172)+SUMIFS(Digital!$X$5:$X$84,Digital!$A$5:$A$84,A172),2))</f>
        <v>0</v>
      </c>
      <c r="U172" s="20">
        <f>IF(B172="","",ROUND(SUMIFS(Labor!$O$5:$O$304,Labor!$A$5:$A$304,A172)+SUMIFS(Crochet!$AG$5:$AG$84,Crochet!$A$5:$A$84,A172)+SUMIFS(Jewelry!$AI$5:$AI$84,Jewelry!$A$5:$A$84,A172)+SUMIFS(Candles!$AI$5:$AI$84,Candles!$A$5:$A$84,A172)+SUMIFS(Clothing!$AE$5:$AE$84,Clothing!$A$5:$A$84,A172)+SUMIFS(Woodworking!$AF$5:$AF$84,Woodworking!$A$5:$A$84,A172)+SUMIFS(Digital!$Z$5:$Z$84,Digital!$A$5:$A$84,A172),2))</f>
        <v>0</v>
      </c>
      <c r="V172" s="36">
        <f>IF(B172="","",ROUND(SUMIFS(Labor!$P$5:$P$304,Labor!$A$5:$A$304,A172)+SUMIFS(Crochet!$AE$5:$AE$84,Crochet!$A$5:$A$84,A172)+SUMIFS(Jewelry!$AG$5:$AG$84,Jewelry!$A$5:$A$84,A172)+SUMIFS(Candles!$AG$5:$AG$84,Candles!$A$5:$A$84,A172)+SUMIFS(Clothing!$AC$5:$AC$84,Clothing!$A$5:$A$84,A172)+SUMIFS(Woodworking!$AD$5:$AD$84,Woodworking!$A$5:$A$84,A172)+SUMIFS(Digital!$Y$5:$Y$84,Digital!$A$5:$A$84,A172),1))</f>
        <v>0</v>
      </c>
      <c r="W172" s="41">
        <f>IF(B172="","",IFERROR(INDEX(DiffTimeFactors,MATCH(G172,DiffNames,0)),1))</f>
        <v>0</v>
      </c>
      <c r="X172" s="36">
        <f>IF(B172="","",ROUND(V172*W172,1))</f>
        <v>0</v>
      </c>
      <c r="Y172" s="41">
        <f>IF(B172="","",ROUND(X172/60,3))</f>
        <v>0</v>
      </c>
      <c r="Z172" s="20">
        <f>IF(B172="","",ROUND(U172*W172,2))</f>
        <v>0</v>
      </c>
      <c r="AA172" s="20">
        <f>IF(B172="","",ROUND(SUMIFS(Labor!$Q$5:$Q$304,Labor!$A$5:$A$304,A172)+SUMIFS(Crochet!$AH$5:$AH$84,Crochet!$A$5:$A$84,A172)+SUMIFS(Jewelry!$AJ$5:$AJ$84,Jewelry!$A$5:$A$84,A172)+SUMIFS(Candles!$AJ$5:$AJ$84,Candles!$A$5:$A$84,A172)+SUMIFS(Clothing!$AF$5:$AF$84,Clothing!$A$5:$A$84,A172)+SUMIFS(Woodworking!$AH$5:$AH$84,Woodworking!$A$5:$A$84,A172)+SUMIFS(Digital!$AA$5:$AA$84,Digital!$A$5:$A$84,A172),2))</f>
        <v>0</v>
      </c>
      <c r="AB172" s="20">
        <f>IF(B172="","",ROUND(IF(I172="Budget",PackBudget,IF(I172="Standard",PackStandard,IF(I172="Gift",PackGift,IF(I172="Premium",PackPremium,DefaultPackaging)))),2))</f>
        <v>0</v>
      </c>
      <c r="AC172" s="36">
        <f>IF(B172="","",IF(I172="Budget",PackWeightBudget,IF(I172="Standard",PackWeightStandard,IF(I172="Gift",PackWeightGift,IF(I172="Premium",PackWeightPremium,0)))))</f>
        <v>0</v>
      </c>
      <c r="AD172" s="20">
        <f>IF(B172="","",IFERROR(INDEX(Shipping!$M$5:$M$64,MATCH(J172,Shipping!$L$5:$L$64,0)),DefaultShipping))</f>
        <v>0</v>
      </c>
      <c r="AE172" s="20">
        <f>IF(B172="","",IFERROR(INDEX(Shipping!$F$5:$F$64,MATCH(J172,Shipping!$L$5:$L$64,0)),0))</f>
        <v>0</v>
      </c>
      <c r="AF172" s="36">
        <f>IF(B172="","",IFERROR(INDEX(Shipping!$C$5:$C$64,MATCH(J172,Shipping!$L$5:$L$64,0)),""))</f>
        <v>0</v>
      </c>
      <c r="AG172" s="20">
        <f>IF(B172="","",ROUND(MAX(0,AD172-AE172),2))</f>
        <v>0</v>
      </c>
      <c r="AH172" s="20">
        <f>IF(B172="","",ROUND(T172+Z172+AA172+AB172+AG172,2))</f>
        <v>0</v>
      </c>
      <c r="AI172" s="33">
        <f>IF(B172="","",IFERROR(INDEX(Channels!$S$5:$S$18,MATCH(IF(H172="",DefaultChannel,H172),Channels!$A$5:$A$18,0)),0))</f>
        <v>0</v>
      </c>
      <c r="AJ172" s="42">
        <f>IF(B172="","",IFERROR(INDEX(Channels!$O$5:$O$18,MATCH(IF(H172="",DefaultChannel,H172),Channels!$A$5:$A$18,0)),"No"))</f>
        <v>0</v>
      </c>
      <c r="AK172" s="20">
        <f>IF(B172="","",ROUND(IFERROR(INDEX(Channels!$T$5:$T$18,MATCH(IF(H172="",DefaultChannel,H172),Channels!$A$5:$A$18,0)),0)+IF(AJ172="Yes",AE172*AI172,0),4))</f>
        <v>0</v>
      </c>
      <c r="AL172" s="33">
        <f>IF(B172="","",IF(OverheadMethod="Share of revenue",IF(RevenueTargetMonth&lt;=0,0,OverheadMonthly/RevenueTargetMonth),0))</f>
        <v>0</v>
      </c>
      <c r="AM172" s="20">
        <f>IF(B172="","",IF(OverheadMethod="Per hour worked",ROUND(OverheadPerHour*Y172,2),IF(OR(OverheadMethod="Per unit made",OverheadMethod="Per order"),OverheadPerUnit,0)))</f>
        <v>0</v>
      </c>
      <c r="AN172" s="33">
        <f>IF(B172="","",IF(N172&lt;&gt;"",N172,TargetRetailMargin))</f>
        <v>0</v>
      </c>
      <c r="AO172" s="41">
        <f>IF(B172="","",1-AN172-AI172-AL172)</f>
        <v>0</v>
      </c>
      <c r="AP172" s="20">
        <f>IF(B172="","",IF(AO172&lt;=0,"",(AH172+AM172+AK172)/AO172))</f>
        <v>0</v>
      </c>
      <c r="AQ172" s="20">
        <f>IF(B172="","",IF(AP172="","Check the settings",ROUND(IF(RoundingRule="None",AP172,IF(RoundingRule="Nearest 0.99",MAX(0.99,CEILING(AP172,1)-0.01),IF(RoundingRule="Nearest 0.95",MAX(0.95,CEILING(AP172,1)-0.05),IF(RoundingRule="Nearest 0.50",CEILING(AP172,0.5),IF(RoundingRule="Nearest 1",CEILING(AP172,1),IF(RoundingRule="Nearest 5",CEILING(AP172,5),IF(RoundingRule="Up to whole 1",CEILING(AP172,1),IF(RoundingRule="Up to whole 5",CEILING(AP172,5),ROUND(AP172,2))))))))),2)))</f>
        <v>0</v>
      </c>
      <c r="AR172" s="20">
        <f>IF(B172="","",IF(M172&lt;&gt;"",M172,IF(ISNUMBER(AQ172),AQ172,"")))</f>
        <v>0</v>
      </c>
      <c r="AS172" s="20">
        <f>IF(B172="","",IF(AR172="","",ROUND(AM172+AR172*AL172,2)))</f>
        <v>0</v>
      </c>
      <c r="AT172" s="20">
        <f>IF(B172="","",IF(AR172="","",ROUND(AH172+AS172,2)))</f>
        <v>0</v>
      </c>
      <c r="AU172" s="20">
        <f>IF(B172="","",IF(AR172="","",ROUND(AR172*AI172+AK172,2)))</f>
        <v>0</v>
      </c>
      <c r="AV172" s="20">
        <f>IF(B172="","",IF(AR172="","",ROUND(AR172-AT172-AU172,2)))</f>
        <v>0</v>
      </c>
      <c r="AW172" s="33">
        <f>IF(B172="","",IF(OR(AR172="",AR172=0),"",AV172/AR172))</f>
        <v>0</v>
      </c>
      <c r="AX172" s="33">
        <f>IF(B172="","",IF(OR(AT172="",AT172=0),"",AV172/AT172))</f>
        <v>0</v>
      </c>
      <c r="AY172" s="20">
        <f>IF(B172="","",IF(OR(Y172="",Y172=0,AV172=""),"",ROUND(AV172/Y172,2)))</f>
        <v>0</v>
      </c>
      <c r="AZ172" s="20">
        <f>IF(B172="","",IF(OR(Y172="",Y172=0,AV172=""),"",ROUND((AV172+Z172)/Y172,2)))</f>
        <v>0</v>
      </c>
      <c r="BA172" s="20">
        <f>IF(B172="","",IF(1-AI172-AL172&lt;=0,"",ROUND((AH172+AM172+AK172)/(1-AI172-AL172),2)))</f>
        <v>0</v>
      </c>
      <c r="BB172" s="20">
        <f>IF(B172="","",IF(AT172="","",ROUND(AT172*2,2)))</f>
        <v>0</v>
      </c>
      <c r="BC172" s="20">
        <f>IF(B172="","",IF(AR172="","",ROUND(AR172*(1-WholesaleDiscount),2)))</f>
        <v>0</v>
      </c>
      <c r="BD172" s="20">
        <f>IF(B172="","",IF(BC172="","",ROUND(BC172-AH172-AM172,2)))</f>
        <v>0</v>
      </c>
      <c r="BE172" s="33">
        <f>IF(B172="","",IF(OR(BC172="",BC172=0),"",BD172/BC172))</f>
        <v>0</v>
      </c>
      <c r="BF172" s="20">
        <f>IF(B172="","",IFERROR(ROUND(AVERAGEIFS(Competitors!$F$5:$F$154,Competitors!$A$5:$A$154,A172),2),""))</f>
        <v>0</v>
      </c>
      <c r="BG172" s="33">
        <f>IF(B172="","",IF(OR(BF172="",BF172=0,AR172=""),"",AR172/BF172-1))</f>
        <v>0</v>
      </c>
      <c r="BH172" s="32">
        <f>IF(B172="","",SUMIFS(Sales!$D$5:$D$804,Sales!$C$5:$C$804,A172))</f>
        <v>0</v>
      </c>
      <c r="BI172" s="20">
        <f>IF(B172="","",ROUND(SUMIFS(Sales!$V$5:$V$804,Sales!$C$5:$C$804,A172),2))</f>
        <v>0</v>
      </c>
      <c r="BJ172" s="20">
        <f>IF(B172="","",ROUND(SUMIFS(Sales!$AG$5:$AG$804,Sales!$C$5:$C$804,A172),2))</f>
        <v>0</v>
      </c>
      <c r="BK172" s="33">
        <f>IF(B172="","",IF(OR(BI172="",BI172=0),"",BJ172/BI172))</f>
        <v>0</v>
      </c>
      <c r="BL172" s="17">
        <f>IF(B172="","",IF(SUMPRODUCT(MAX((Sales!$C$5:$C$804=A172)*Sales!$B$5:$B$804))=0,"",SUMPRODUCT(MAX((Sales!$C$5:$C$804=A172)*Sales!$B$5:$B$804))))</f>
        <v>0</v>
      </c>
      <c r="BM172" s="17">
        <f>IF(B172="","",IF(SUMPRODUCT(MAX(('Price History'!$B$5:$B$304=A172)*'Price History'!$A$5:$A$304))=0,IF(P172="","",P172),SUMPRODUCT(MAX(('Price History'!$B$5:$B$304=A172)*'Price History'!$A$5:$A$304))))</f>
        <v>0</v>
      </c>
      <c r="BN172" s="32">
        <f>IF(B172="","",IF(BM172="","",TodayDate-BM172))</f>
        <v>0</v>
      </c>
      <c r="BO172" s="32">
        <f>IF(B172="","",COUNTIFS($AV$5:$AV$304,"&gt;"&amp;AV172)+COUNTIFS($AV$5:AV172,AV172))</f>
        <v>0</v>
      </c>
      <c r="BP172" s="32">
        <f>IF(B172="","",COUNTIFS($AW$5:$AW$304,"&gt;"&amp;AW172)+COUNTIFS($AW$5:AW172,AW172))</f>
        <v>0</v>
      </c>
      <c r="BQ172" s="32">
        <f>IF(B172="","",COUNTIFS($BI$5:$BI$304,"&gt;"&amp;BI172)+COUNTIFS($BI$5:BI172,BI172))</f>
        <v>0</v>
      </c>
      <c r="BR172" s="32">
        <f>IF(B172="","",COUNTIFS($AY$5:$AY$304,"&gt;"&amp;AY172)+COUNTIFS($AY$5:AY172,AY172))</f>
        <v>0</v>
      </c>
      <c r="BS172" s="43">
        <f>IF(B172="","",IF(AH172=0,"Add - no costs entered yet",IF(AR172="","Check - no price yet",IF(AV172&lt;0,"Loss - every sale costs you money",IF(AND(AZ172&lt;&gt;"",AZ172&lt;MinimumWage),"Below - pays under minimum wage",IF(AW172&lt;MarginWarning,"Low margin - re-price it",IF(AND(AF172&lt;&gt;"",K172&lt;&gt;"",K172+AC172&gt;AF172),"Check - too heavy for that postage band",IF(AND(BN172&lt;&gt;"",BN172&gt;PriceReviewDays),"Due - price has not been reviewed",IF(AND(BG172&lt;&gt;"",BG172&gt;0.5),"Check - well above the market","OK")))))))) )</f>
        <v>0</v>
      </c>
    </row>
    <row r="173" spans="1:71">
      <c r="A173" s="38">
        <f>IF(B173="","",ProductPrefix&amp;TEXT(ROW()-4,"0000"))</f>
        <v>0</v>
      </c>
      <c r="S173" s="38">
        <f>IF(B173="","",IF(C173&lt;&gt;"",C173,UPPER(LEFT(IF(D173="","GEN",D173),3))&amp;"-"&amp;TEXT(ROW()-4,"000")))</f>
        <v>0</v>
      </c>
      <c r="T173" s="20">
        <f>IF(B173="","",ROUND(SUMIFS('Material Usage'!$M$5:$M$904,'Material Usage'!$A$5:$A$904,A173)+SUMIFS(Crochet!$AD$5:$AD$84,Crochet!$A$5:$A$84,A173)+SUMIFS(Jewelry!$AF$5:$AF$84,Jewelry!$A$5:$A$84,A173)+SUMIFS(Candles!$AF$5:$AF$84,Candles!$A$5:$A$84,A173)+SUMIFS(Clothing!$AB$5:$AB$84,Clothing!$A$5:$A$84,A173)+SUMIFS(Woodworking!$AC$5:$AC$84,Woodworking!$A$5:$A$84,A173)+SUMIFS(Digital!$X$5:$X$84,Digital!$A$5:$A$84,A173),2))</f>
        <v>0</v>
      </c>
      <c r="U173" s="20">
        <f>IF(B173="","",ROUND(SUMIFS(Labor!$O$5:$O$304,Labor!$A$5:$A$304,A173)+SUMIFS(Crochet!$AG$5:$AG$84,Crochet!$A$5:$A$84,A173)+SUMIFS(Jewelry!$AI$5:$AI$84,Jewelry!$A$5:$A$84,A173)+SUMIFS(Candles!$AI$5:$AI$84,Candles!$A$5:$A$84,A173)+SUMIFS(Clothing!$AE$5:$AE$84,Clothing!$A$5:$A$84,A173)+SUMIFS(Woodworking!$AF$5:$AF$84,Woodworking!$A$5:$A$84,A173)+SUMIFS(Digital!$Z$5:$Z$84,Digital!$A$5:$A$84,A173),2))</f>
        <v>0</v>
      </c>
      <c r="V173" s="36">
        <f>IF(B173="","",ROUND(SUMIFS(Labor!$P$5:$P$304,Labor!$A$5:$A$304,A173)+SUMIFS(Crochet!$AE$5:$AE$84,Crochet!$A$5:$A$84,A173)+SUMIFS(Jewelry!$AG$5:$AG$84,Jewelry!$A$5:$A$84,A173)+SUMIFS(Candles!$AG$5:$AG$84,Candles!$A$5:$A$84,A173)+SUMIFS(Clothing!$AC$5:$AC$84,Clothing!$A$5:$A$84,A173)+SUMIFS(Woodworking!$AD$5:$AD$84,Woodworking!$A$5:$A$84,A173)+SUMIFS(Digital!$Y$5:$Y$84,Digital!$A$5:$A$84,A173),1))</f>
        <v>0</v>
      </c>
      <c r="W173" s="41">
        <f>IF(B173="","",IFERROR(INDEX(DiffTimeFactors,MATCH(G173,DiffNames,0)),1))</f>
        <v>0</v>
      </c>
      <c r="X173" s="36">
        <f>IF(B173="","",ROUND(V173*W173,1))</f>
        <v>0</v>
      </c>
      <c r="Y173" s="41">
        <f>IF(B173="","",ROUND(X173/60,3))</f>
        <v>0</v>
      </c>
      <c r="Z173" s="20">
        <f>IF(B173="","",ROUND(U173*W173,2))</f>
        <v>0</v>
      </c>
      <c r="AA173" s="20">
        <f>IF(B173="","",ROUND(SUMIFS(Labor!$Q$5:$Q$304,Labor!$A$5:$A$304,A173)+SUMIFS(Crochet!$AH$5:$AH$84,Crochet!$A$5:$A$84,A173)+SUMIFS(Jewelry!$AJ$5:$AJ$84,Jewelry!$A$5:$A$84,A173)+SUMIFS(Candles!$AJ$5:$AJ$84,Candles!$A$5:$A$84,A173)+SUMIFS(Clothing!$AF$5:$AF$84,Clothing!$A$5:$A$84,A173)+SUMIFS(Woodworking!$AH$5:$AH$84,Woodworking!$A$5:$A$84,A173)+SUMIFS(Digital!$AA$5:$AA$84,Digital!$A$5:$A$84,A173),2))</f>
        <v>0</v>
      </c>
      <c r="AB173" s="20">
        <f>IF(B173="","",ROUND(IF(I173="Budget",PackBudget,IF(I173="Standard",PackStandard,IF(I173="Gift",PackGift,IF(I173="Premium",PackPremium,DefaultPackaging)))),2))</f>
        <v>0</v>
      </c>
      <c r="AC173" s="36">
        <f>IF(B173="","",IF(I173="Budget",PackWeightBudget,IF(I173="Standard",PackWeightStandard,IF(I173="Gift",PackWeightGift,IF(I173="Premium",PackWeightPremium,0)))))</f>
        <v>0</v>
      </c>
      <c r="AD173" s="20">
        <f>IF(B173="","",IFERROR(INDEX(Shipping!$M$5:$M$64,MATCH(J173,Shipping!$L$5:$L$64,0)),DefaultShipping))</f>
        <v>0</v>
      </c>
      <c r="AE173" s="20">
        <f>IF(B173="","",IFERROR(INDEX(Shipping!$F$5:$F$64,MATCH(J173,Shipping!$L$5:$L$64,0)),0))</f>
        <v>0</v>
      </c>
      <c r="AF173" s="36">
        <f>IF(B173="","",IFERROR(INDEX(Shipping!$C$5:$C$64,MATCH(J173,Shipping!$L$5:$L$64,0)),""))</f>
        <v>0</v>
      </c>
      <c r="AG173" s="20">
        <f>IF(B173="","",ROUND(MAX(0,AD173-AE173),2))</f>
        <v>0</v>
      </c>
      <c r="AH173" s="20">
        <f>IF(B173="","",ROUND(T173+Z173+AA173+AB173+AG173,2))</f>
        <v>0</v>
      </c>
      <c r="AI173" s="33">
        <f>IF(B173="","",IFERROR(INDEX(Channels!$S$5:$S$18,MATCH(IF(H173="",DefaultChannel,H173),Channels!$A$5:$A$18,0)),0))</f>
        <v>0</v>
      </c>
      <c r="AJ173" s="42">
        <f>IF(B173="","",IFERROR(INDEX(Channels!$O$5:$O$18,MATCH(IF(H173="",DefaultChannel,H173),Channels!$A$5:$A$18,0)),"No"))</f>
        <v>0</v>
      </c>
      <c r="AK173" s="20">
        <f>IF(B173="","",ROUND(IFERROR(INDEX(Channels!$T$5:$T$18,MATCH(IF(H173="",DefaultChannel,H173),Channels!$A$5:$A$18,0)),0)+IF(AJ173="Yes",AE173*AI173,0),4))</f>
        <v>0</v>
      </c>
      <c r="AL173" s="33">
        <f>IF(B173="","",IF(OverheadMethod="Share of revenue",IF(RevenueTargetMonth&lt;=0,0,OverheadMonthly/RevenueTargetMonth),0))</f>
        <v>0</v>
      </c>
      <c r="AM173" s="20">
        <f>IF(B173="","",IF(OverheadMethod="Per hour worked",ROUND(OverheadPerHour*Y173,2),IF(OR(OverheadMethod="Per unit made",OverheadMethod="Per order"),OverheadPerUnit,0)))</f>
        <v>0</v>
      </c>
      <c r="AN173" s="33">
        <f>IF(B173="","",IF(N173&lt;&gt;"",N173,TargetRetailMargin))</f>
        <v>0</v>
      </c>
      <c r="AO173" s="41">
        <f>IF(B173="","",1-AN173-AI173-AL173)</f>
        <v>0</v>
      </c>
      <c r="AP173" s="20">
        <f>IF(B173="","",IF(AO173&lt;=0,"",(AH173+AM173+AK173)/AO173))</f>
        <v>0</v>
      </c>
      <c r="AQ173" s="20">
        <f>IF(B173="","",IF(AP173="","Check the settings",ROUND(IF(RoundingRule="None",AP173,IF(RoundingRule="Nearest 0.99",MAX(0.99,CEILING(AP173,1)-0.01),IF(RoundingRule="Nearest 0.95",MAX(0.95,CEILING(AP173,1)-0.05),IF(RoundingRule="Nearest 0.50",CEILING(AP173,0.5),IF(RoundingRule="Nearest 1",CEILING(AP173,1),IF(RoundingRule="Nearest 5",CEILING(AP173,5),IF(RoundingRule="Up to whole 1",CEILING(AP173,1),IF(RoundingRule="Up to whole 5",CEILING(AP173,5),ROUND(AP173,2))))))))),2)))</f>
        <v>0</v>
      </c>
      <c r="AR173" s="20">
        <f>IF(B173="","",IF(M173&lt;&gt;"",M173,IF(ISNUMBER(AQ173),AQ173,"")))</f>
        <v>0</v>
      </c>
      <c r="AS173" s="20">
        <f>IF(B173="","",IF(AR173="","",ROUND(AM173+AR173*AL173,2)))</f>
        <v>0</v>
      </c>
      <c r="AT173" s="20">
        <f>IF(B173="","",IF(AR173="","",ROUND(AH173+AS173,2)))</f>
        <v>0</v>
      </c>
      <c r="AU173" s="20">
        <f>IF(B173="","",IF(AR173="","",ROUND(AR173*AI173+AK173,2)))</f>
        <v>0</v>
      </c>
      <c r="AV173" s="20">
        <f>IF(B173="","",IF(AR173="","",ROUND(AR173-AT173-AU173,2)))</f>
        <v>0</v>
      </c>
      <c r="AW173" s="33">
        <f>IF(B173="","",IF(OR(AR173="",AR173=0),"",AV173/AR173))</f>
        <v>0</v>
      </c>
      <c r="AX173" s="33">
        <f>IF(B173="","",IF(OR(AT173="",AT173=0),"",AV173/AT173))</f>
        <v>0</v>
      </c>
      <c r="AY173" s="20">
        <f>IF(B173="","",IF(OR(Y173="",Y173=0,AV173=""),"",ROUND(AV173/Y173,2)))</f>
        <v>0</v>
      </c>
      <c r="AZ173" s="20">
        <f>IF(B173="","",IF(OR(Y173="",Y173=0,AV173=""),"",ROUND((AV173+Z173)/Y173,2)))</f>
        <v>0</v>
      </c>
      <c r="BA173" s="20">
        <f>IF(B173="","",IF(1-AI173-AL173&lt;=0,"",ROUND((AH173+AM173+AK173)/(1-AI173-AL173),2)))</f>
        <v>0</v>
      </c>
      <c r="BB173" s="20">
        <f>IF(B173="","",IF(AT173="","",ROUND(AT173*2,2)))</f>
        <v>0</v>
      </c>
      <c r="BC173" s="20">
        <f>IF(B173="","",IF(AR173="","",ROUND(AR173*(1-WholesaleDiscount),2)))</f>
        <v>0</v>
      </c>
      <c r="BD173" s="20">
        <f>IF(B173="","",IF(BC173="","",ROUND(BC173-AH173-AM173,2)))</f>
        <v>0</v>
      </c>
      <c r="BE173" s="33">
        <f>IF(B173="","",IF(OR(BC173="",BC173=0),"",BD173/BC173))</f>
        <v>0</v>
      </c>
      <c r="BF173" s="20">
        <f>IF(B173="","",IFERROR(ROUND(AVERAGEIFS(Competitors!$F$5:$F$154,Competitors!$A$5:$A$154,A173),2),""))</f>
        <v>0</v>
      </c>
      <c r="BG173" s="33">
        <f>IF(B173="","",IF(OR(BF173="",BF173=0,AR173=""),"",AR173/BF173-1))</f>
        <v>0</v>
      </c>
      <c r="BH173" s="32">
        <f>IF(B173="","",SUMIFS(Sales!$D$5:$D$804,Sales!$C$5:$C$804,A173))</f>
        <v>0</v>
      </c>
      <c r="BI173" s="20">
        <f>IF(B173="","",ROUND(SUMIFS(Sales!$V$5:$V$804,Sales!$C$5:$C$804,A173),2))</f>
        <v>0</v>
      </c>
      <c r="BJ173" s="20">
        <f>IF(B173="","",ROUND(SUMIFS(Sales!$AG$5:$AG$804,Sales!$C$5:$C$804,A173),2))</f>
        <v>0</v>
      </c>
      <c r="BK173" s="33">
        <f>IF(B173="","",IF(OR(BI173="",BI173=0),"",BJ173/BI173))</f>
        <v>0</v>
      </c>
      <c r="BL173" s="17">
        <f>IF(B173="","",IF(SUMPRODUCT(MAX((Sales!$C$5:$C$804=A173)*Sales!$B$5:$B$804))=0,"",SUMPRODUCT(MAX((Sales!$C$5:$C$804=A173)*Sales!$B$5:$B$804))))</f>
        <v>0</v>
      </c>
      <c r="BM173" s="17">
        <f>IF(B173="","",IF(SUMPRODUCT(MAX(('Price History'!$B$5:$B$304=A173)*'Price History'!$A$5:$A$304))=0,IF(P173="","",P173),SUMPRODUCT(MAX(('Price History'!$B$5:$B$304=A173)*'Price History'!$A$5:$A$304))))</f>
        <v>0</v>
      </c>
      <c r="BN173" s="32">
        <f>IF(B173="","",IF(BM173="","",TodayDate-BM173))</f>
        <v>0</v>
      </c>
      <c r="BO173" s="32">
        <f>IF(B173="","",COUNTIFS($AV$5:$AV$304,"&gt;"&amp;AV173)+COUNTIFS($AV$5:AV173,AV173))</f>
        <v>0</v>
      </c>
      <c r="BP173" s="32">
        <f>IF(B173="","",COUNTIFS($AW$5:$AW$304,"&gt;"&amp;AW173)+COUNTIFS($AW$5:AW173,AW173))</f>
        <v>0</v>
      </c>
      <c r="BQ173" s="32">
        <f>IF(B173="","",COUNTIFS($BI$5:$BI$304,"&gt;"&amp;BI173)+COUNTIFS($BI$5:BI173,BI173))</f>
        <v>0</v>
      </c>
      <c r="BR173" s="32">
        <f>IF(B173="","",COUNTIFS($AY$5:$AY$304,"&gt;"&amp;AY173)+COUNTIFS($AY$5:AY173,AY173))</f>
        <v>0</v>
      </c>
      <c r="BS173" s="43">
        <f>IF(B173="","",IF(AH173=0,"Add - no costs entered yet",IF(AR173="","Check - no price yet",IF(AV173&lt;0,"Loss - every sale costs you money",IF(AND(AZ173&lt;&gt;"",AZ173&lt;MinimumWage),"Below - pays under minimum wage",IF(AW173&lt;MarginWarning,"Low margin - re-price it",IF(AND(AF173&lt;&gt;"",K173&lt;&gt;"",K173+AC173&gt;AF173),"Check - too heavy for that postage band",IF(AND(BN173&lt;&gt;"",BN173&gt;PriceReviewDays),"Due - price has not been reviewed",IF(AND(BG173&lt;&gt;"",BG173&gt;0.5),"Check - well above the market","OK")))))))) )</f>
        <v>0</v>
      </c>
    </row>
    <row r="174" spans="1:71">
      <c r="A174" s="38">
        <f>IF(B174="","",ProductPrefix&amp;TEXT(ROW()-4,"0000"))</f>
        <v>0</v>
      </c>
      <c r="S174" s="38">
        <f>IF(B174="","",IF(C174&lt;&gt;"",C174,UPPER(LEFT(IF(D174="","GEN",D174),3))&amp;"-"&amp;TEXT(ROW()-4,"000")))</f>
        <v>0</v>
      </c>
      <c r="T174" s="20">
        <f>IF(B174="","",ROUND(SUMIFS('Material Usage'!$M$5:$M$904,'Material Usage'!$A$5:$A$904,A174)+SUMIFS(Crochet!$AD$5:$AD$84,Crochet!$A$5:$A$84,A174)+SUMIFS(Jewelry!$AF$5:$AF$84,Jewelry!$A$5:$A$84,A174)+SUMIFS(Candles!$AF$5:$AF$84,Candles!$A$5:$A$84,A174)+SUMIFS(Clothing!$AB$5:$AB$84,Clothing!$A$5:$A$84,A174)+SUMIFS(Woodworking!$AC$5:$AC$84,Woodworking!$A$5:$A$84,A174)+SUMIFS(Digital!$X$5:$X$84,Digital!$A$5:$A$84,A174),2))</f>
        <v>0</v>
      </c>
      <c r="U174" s="20">
        <f>IF(B174="","",ROUND(SUMIFS(Labor!$O$5:$O$304,Labor!$A$5:$A$304,A174)+SUMIFS(Crochet!$AG$5:$AG$84,Crochet!$A$5:$A$84,A174)+SUMIFS(Jewelry!$AI$5:$AI$84,Jewelry!$A$5:$A$84,A174)+SUMIFS(Candles!$AI$5:$AI$84,Candles!$A$5:$A$84,A174)+SUMIFS(Clothing!$AE$5:$AE$84,Clothing!$A$5:$A$84,A174)+SUMIFS(Woodworking!$AF$5:$AF$84,Woodworking!$A$5:$A$84,A174)+SUMIFS(Digital!$Z$5:$Z$84,Digital!$A$5:$A$84,A174),2))</f>
        <v>0</v>
      </c>
      <c r="V174" s="36">
        <f>IF(B174="","",ROUND(SUMIFS(Labor!$P$5:$P$304,Labor!$A$5:$A$304,A174)+SUMIFS(Crochet!$AE$5:$AE$84,Crochet!$A$5:$A$84,A174)+SUMIFS(Jewelry!$AG$5:$AG$84,Jewelry!$A$5:$A$84,A174)+SUMIFS(Candles!$AG$5:$AG$84,Candles!$A$5:$A$84,A174)+SUMIFS(Clothing!$AC$5:$AC$84,Clothing!$A$5:$A$84,A174)+SUMIFS(Woodworking!$AD$5:$AD$84,Woodworking!$A$5:$A$84,A174)+SUMIFS(Digital!$Y$5:$Y$84,Digital!$A$5:$A$84,A174),1))</f>
        <v>0</v>
      </c>
      <c r="W174" s="41">
        <f>IF(B174="","",IFERROR(INDEX(DiffTimeFactors,MATCH(G174,DiffNames,0)),1))</f>
        <v>0</v>
      </c>
      <c r="X174" s="36">
        <f>IF(B174="","",ROUND(V174*W174,1))</f>
        <v>0</v>
      </c>
      <c r="Y174" s="41">
        <f>IF(B174="","",ROUND(X174/60,3))</f>
        <v>0</v>
      </c>
      <c r="Z174" s="20">
        <f>IF(B174="","",ROUND(U174*W174,2))</f>
        <v>0</v>
      </c>
      <c r="AA174" s="20">
        <f>IF(B174="","",ROUND(SUMIFS(Labor!$Q$5:$Q$304,Labor!$A$5:$A$304,A174)+SUMIFS(Crochet!$AH$5:$AH$84,Crochet!$A$5:$A$84,A174)+SUMIFS(Jewelry!$AJ$5:$AJ$84,Jewelry!$A$5:$A$84,A174)+SUMIFS(Candles!$AJ$5:$AJ$84,Candles!$A$5:$A$84,A174)+SUMIFS(Clothing!$AF$5:$AF$84,Clothing!$A$5:$A$84,A174)+SUMIFS(Woodworking!$AH$5:$AH$84,Woodworking!$A$5:$A$84,A174)+SUMIFS(Digital!$AA$5:$AA$84,Digital!$A$5:$A$84,A174),2))</f>
        <v>0</v>
      </c>
      <c r="AB174" s="20">
        <f>IF(B174="","",ROUND(IF(I174="Budget",PackBudget,IF(I174="Standard",PackStandard,IF(I174="Gift",PackGift,IF(I174="Premium",PackPremium,DefaultPackaging)))),2))</f>
        <v>0</v>
      </c>
      <c r="AC174" s="36">
        <f>IF(B174="","",IF(I174="Budget",PackWeightBudget,IF(I174="Standard",PackWeightStandard,IF(I174="Gift",PackWeightGift,IF(I174="Premium",PackWeightPremium,0)))))</f>
        <v>0</v>
      </c>
      <c r="AD174" s="20">
        <f>IF(B174="","",IFERROR(INDEX(Shipping!$M$5:$M$64,MATCH(J174,Shipping!$L$5:$L$64,0)),DefaultShipping))</f>
        <v>0</v>
      </c>
      <c r="AE174" s="20">
        <f>IF(B174="","",IFERROR(INDEX(Shipping!$F$5:$F$64,MATCH(J174,Shipping!$L$5:$L$64,0)),0))</f>
        <v>0</v>
      </c>
      <c r="AF174" s="36">
        <f>IF(B174="","",IFERROR(INDEX(Shipping!$C$5:$C$64,MATCH(J174,Shipping!$L$5:$L$64,0)),""))</f>
        <v>0</v>
      </c>
      <c r="AG174" s="20">
        <f>IF(B174="","",ROUND(MAX(0,AD174-AE174),2))</f>
        <v>0</v>
      </c>
      <c r="AH174" s="20">
        <f>IF(B174="","",ROUND(T174+Z174+AA174+AB174+AG174,2))</f>
        <v>0</v>
      </c>
      <c r="AI174" s="33">
        <f>IF(B174="","",IFERROR(INDEX(Channels!$S$5:$S$18,MATCH(IF(H174="",DefaultChannel,H174),Channels!$A$5:$A$18,0)),0))</f>
        <v>0</v>
      </c>
      <c r="AJ174" s="42">
        <f>IF(B174="","",IFERROR(INDEX(Channels!$O$5:$O$18,MATCH(IF(H174="",DefaultChannel,H174),Channels!$A$5:$A$18,0)),"No"))</f>
        <v>0</v>
      </c>
      <c r="AK174" s="20">
        <f>IF(B174="","",ROUND(IFERROR(INDEX(Channels!$T$5:$T$18,MATCH(IF(H174="",DefaultChannel,H174),Channels!$A$5:$A$18,0)),0)+IF(AJ174="Yes",AE174*AI174,0),4))</f>
        <v>0</v>
      </c>
      <c r="AL174" s="33">
        <f>IF(B174="","",IF(OverheadMethod="Share of revenue",IF(RevenueTargetMonth&lt;=0,0,OverheadMonthly/RevenueTargetMonth),0))</f>
        <v>0</v>
      </c>
      <c r="AM174" s="20">
        <f>IF(B174="","",IF(OverheadMethod="Per hour worked",ROUND(OverheadPerHour*Y174,2),IF(OR(OverheadMethod="Per unit made",OverheadMethod="Per order"),OverheadPerUnit,0)))</f>
        <v>0</v>
      </c>
      <c r="AN174" s="33">
        <f>IF(B174="","",IF(N174&lt;&gt;"",N174,TargetRetailMargin))</f>
        <v>0</v>
      </c>
      <c r="AO174" s="41">
        <f>IF(B174="","",1-AN174-AI174-AL174)</f>
        <v>0</v>
      </c>
      <c r="AP174" s="20">
        <f>IF(B174="","",IF(AO174&lt;=0,"",(AH174+AM174+AK174)/AO174))</f>
        <v>0</v>
      </c>
      <c r="AQ174" s="20">
        <f>IF(B174="","",IF(AP174="","Check the settings",ROUND(IF(RoundingRule="None",AP174,IF(RoundingRule="Nearest 0.99",MAX(0.99,CEILING(AP174,1)-0.01),IF(RoundingRule="Nearest 0.95",MAX(0.95,CEILING(AP174,1)-0.05),IF(RoundingRule="Nearest 0.50",CEILING(AP174,0.5),IF(RoundingRule="Nearest 1",CEILING(AP174,1),IF(RoundingRule="Nearest 5",CEILING(AP174,5),IF(RoundingRule="Up to whole 1",CEILING(AP174,1),IF(RoundingRule="Up to whole 5",CEILING(AP174,5),ROUND(AP174,2))))))))),2)))</f>
        <v>0</v>
      </c>
      <c r="AR174" s="20">
        <f>IF(B174="","",IF(M174&lt;&gt;"",M174,IF(ISNUMBER(AQ174),AQ174,"")))</f>
        <v>0</v>
      </c>
      <c r="AS174" s="20">
        <f>IF(B174="","",IF(AR174="","",ROUND(AM174+AR174*AL174,2)))</f>
        <v>0</v>
      </c>
      <c r="AT174" s="20">
        <f>IF(B174="","",IF(AR174="","",ROUND(AH174+AS174,2)))</f>
        <v>0</v>
      </c>
      <c r="AU174" s="20">
        <f>IF(B174="","",IF(AR174="","",ROUND(AR174*AI174+AK174,2)))</f>
        <v>0</v>
      </c>
      <c r="AV174" s="20">
        <f>IF(B174="","",IF(AR174="","",ROUND(AR174-AT174-AU174,2)))</f>
        <v>0</v>
      </c>
      <c r="AW174" s="33">
        <f>IF(B174="","",IF(OR(AR174="",AR174=0),"",AV174/AR174))</f>
        <v>0</v>
      </c>
      <c r="AX174" s="33">
        <f>IF(B174="","",IF(OR(AT174="",AT174=0),"",AV174/AT174))</f>
        <v>0</v>
      </c>
      <c r="AY174" s="20">
        <f>IF(B174="","",IF(OR(Y174="",Y174=0,AV174=""),"",ROUND(AV174/Y174,2)))</f>
        <v>0</v>
      </c>
      <c r="AZ174" s="20">
        <f>IF(B174="","",IF(OR(Y174="",Y174=0,AV174=""),"",ROUND((AV174+Z174)/Y174,2)))</f>
        <v>0</v>
      </c>
      <c r="BA174" s="20">
        <f>IF(B174="","",IF(1-AI174-AL174&lt;=0,"",ROUND((AH174+AM174+AK174)/(1-AI174-AL174),2)))</f>
        <v>0</v>
      </c>
      <c r="BB174" s="20">
        <f>IF(B174="","",IF(AT174="","",ROUND(AT174*2,2)))</f>
        <v>0</v>
      </c>
      <c r="BC174" s="20">
        <f>IF(B174="","",IF(AR174="","",ROUND(AR174*(1-WholesaleDiscount),2)))</f>
        <v>0</v>
      </c>
      <c r="BD174" s="20">
        <f>IF(B174="","",IF(BC174="","",ROUND(BC174-AH174-AM174,2)))</f>
        <v>0</v>
      </c>
      <c r="BE174" s="33">
        <f>IF(B174="","",IF(OR(BC174="",BC174=0),"",BD174/BC174))</f>
        <v>0</v>
      </c>
      <c r="BF174" s="20">
        <f>IF(B174="","",IFERROR(ROUND(AVERAGEIFS(Competitors!$F$5:$F$154,Competitors!$A$5:$A$154,A174),2),""))</f>
        <v>0</v>
      </c>
      <c r="BG174" s="33">
        <f>IF(B174="","",IF(OR(BF174="",BF174=0,AR174=""),"",AR174/BF174-1))</f>
        <v>0</v>
      </c>
      <c r="BH174" s="32">
        <f>IF(B174="","",SUMIFS(Sales!$D$5:$D$804,Sales!$C$5:$C$804,A174))</f>
        <v>0</v>
      </c>
      <c r="BI174" s="20">
        <f>IF(B174="","",ROUND(SUMIFS(Sales!$V$5:$V$804,Sales!$C$5:$C$804,A174),2))</f>
        <v>0</v>
      </c>
      <c r="BJ174" s="20">
        <f>IF(B174="","",ROUND(SUMIFS(Sales!$AG$5:$AG$804,Sales!$C$5:$C$804,A174),2))</f>
        <v>0</v>
      </c>
      <c r="BK174" s="33">
        <f>IF(B174="","",IF(OR(BI174="",BI174=0),"",BJ174/BI174))</f>
        <v>0</v>
      </c>
      <c r="BL174" s="17">
        <f>IF(B174="","",IF(SUMPRODUCT(MAX((Sales!$C$5:$C$804=A174)*Sales!$B$5:$B$804))=0,"",SUMPRODUCT(MAX((Sales!$C$5:$C$804=A174)*Sales!$B$5:$B$804))))</f>
        <v>0</v>
      </c>
      <c r="BM174" s="17">
        <f>IF(B174="","",IF(SUMPRODUCT(MAX(('Price History'!$B$5:$B$304=A174)*'Price History'!$A$5:$A$304))=0,IF(P174="","",P174),SUMPRODUCT(MAX(('Price History'!$B$5:$B$304=A174)*'Price History'!$A$5:$A$304))))</f>
        <v>0</v>
      </c>
      <c r="BN174" s="32">
        <f>IF(B174="","",IF(BM174="","",TodayDate-BM174))</f>
        <v>0</v>
      </c>
      <c r="BO174" s="32">
        <f>IF(B174="","",COUNTIFS($AV$5:$AV$304,"&gt;"&amp;AV174)+COUNTIFS($AV$5:AV174,AV174))</f>
        <v>0</v>
      </c>
      <c r="BP174" s="32">
        <f>IF(B174="","",COUNTIFS($AW$5:$AW$304,"&gt;"&amp;AW174)+COUNTIFS($AW$5:AW174,AW174))</f>
        <v>0</v>
      </c>
      <c r="BQ174" s="32">
        <f>IF(B174="","",COUNTIFS($BI$5:$BI$304,"&gt;"&amp;BI174)+COUNTIFS($BI$5:BI174,BI174))</f>
        <v>0</v>
      </c>
      <c r="BR174" s="32">
        <f>IF(B174="","",COUNTIFS($AY$5:$AY$304,"&gt;"&amp;AY174)+COUNTIFS($AY$5:AY174,AY174))</f>
        <v>0</v>
      </c>
      <c r="BS174" s="43">
        <f>IF(B174="","",IF(AH174=0,"Add - no costs entered yet",IF(AR174="","Check - no price yet",IF(AV174&lt;0,"Loss - every sale costs you money",IF(AND(AZ174&lt;&gt;"",AZ174&lt;MinimumWage),"Below - pays under minimum wage",IF(AW174&lt;MarginWarning,"Low margin - re-price it",IF(AND(AF174&lt;&gt;"",K174&lt;&gt;"",K174+AC174&gt;AF174),"Check - too heavy for that postage band",IF(AND(BN174&lt;&gt;"",BN174&gt;PriceReviewDays),"Due - price has not been reviewed",IF(AND(BG174&lt;&gt;"",BG174&gt;0.5),"Check - well above the market","OK")))))))) )</f>
        <v>0</v>
      </c>
    </row>
    <row r="175" spans="1:71">
      <c r="A175" s="38">
        <f>IF(B175="","",ProductPrefix&amp;TEXT(ROW()-4,"0000"))</f>
        <v>0</v>
      </c>
      <c r="S175" s="38">
        <f>IF(B175="","",IF(C175&lt;&gt;"",C175,UPPER(LEFT(IF(D175="","GEN",D175),3))&amp;"-"&amp;TEXT(ROW()-4,"000")))</f>
        <v>0</v>
      </c>
      <c r="T175" s="20">
        <f>IF(B175="","",ROUND(SUMIFS('Material Usage'!$M$5:$M$904,'Material Usage'!$A$5:$A$904,A175)+SUMIFS(Crochet!$AD$5:$AD$84,Crochet!$A$5:$A$84,A175)+SUMIFS(Jewelry!$AF$5:$AF$84,Jewelry!$A$5:$A$84,A175)+SUMIFS(Candles!$AF$5:$AF$84,Candles!$A$5:$A$84,A175)+SUMIFS(Clothing!$AB$5:$AB$84,Clothing!$A$5:$A$84,A175)+SUMIFS(Woodworking!$AC$5:$AC$84,Woodworking!$A$5:$A$84,A175)+SUMIFS(Digital!$X$5:$X$84,Digital!$A$5:$A$84,A175),2))</f>
        <v>0</v>
      </c>
      <c r="U175" s="20">
        <f>IF(B175="","",ROUND(SUMIFS(Labor!$O$5:$O$304,Labor!$A$5:$A$304,A175)+SUMIFS(Crochet!$AG$5:$AG$84,Crochet!$A$5:$A$84,A175)+SUMIFS(Jewelry!$AI$5:$AI$84,Jewelry!$A$5:$A$84,A175)+SUMIFS(Candles!$AI$5:$AI$84,Candles!$A$5:$A$84,A175)+SUMIFS(Clothing!$AE$5:$AE$84,Clothing!$A$5:$A$84,A175)+SUMIFS(Woodworking!$AF$5:$AF$84,Woodworking!$A$5:$A$84,A175)+SUMIFS(Digital!$Z$5:$Z$84,Digital!$A$5:$A$84,A175),2))</f>
        <v>0</v>
      </c>
      <c r="V175" s="36">
        <f>IF(B175="","",ROUND(SUMIFS(Labor!$P$5:$P$304,Labor!$A$5:$A$304,A175)+SUMIFS(Crochet!$AE$5:$AE$84,Crochet!$A$5:$A$84,A175)+SUMIFS(Jewelry!$AG$5:$AG$84,Jewelry!$A$5:$A$84,A175)+SUMIFS(Candles!$AG$5:$AG$84,Candles!$A$5:$A$84,A175)+SUMIFS(Clothing!$AC$5:$AC$84,Clothing!$A$5:$A$84,A175)+SUMIFS(Woodworking!$AD$5:$AD$84,Woodworking!$A$5:$A$84,A175)+SUMIFS(Digital!$Y$5:$Y$84,Digital!$A$5:$A$84,A175),1))</f>
        <v>0</v>
      </c>
      <c r="W175" s="41">
        <f>IF(B175="","",IFERROR(INDEX(DiffTimeFactors,MATCH(G175,DiffNames,0)),1))</f>
        <v>0</v>
      </c>
      <c r="X175" s="36">
        <f>IF(B175="","",ROUND(V175*W175,1))</f>
        <v>0</v>
      </c>
      <c r="Y175" s="41">
        <f>IF(B175="","",ROUND(X175/60,3))</f>
        <v>0</v>
      </c>
      <c r="Z175" s="20">
        <f>IF(B175="","",ROUND(U175*W175,2))</f>
        <v>0</v>
      </c>
      <c r="AA175" s="20">
        <f>IF(B175="","",ROUND(SUMIFS(Labor!$Q$5:$Q$304,Labor!$A$5:$A$304,A175)+SUMIFS(Crochet!$AH$5:$AH$84,Crochet!$A$5:$A$84,A175)+SUMIFS(Jewelry!$AJ$5:$AJ$84,Jewelry!$A$5:$A$84,A175)+SUMIFS(Candles!$AJ$5:$AJ$84,Candles!$A$5:$A$84,A175)+SUMIFS(Clothing!$AF$5:$AF$84,Clothing!$A$5:$A$84,A175)+SUMIFS(Woodworking!$AH$5:$AH$84,Woodworking!$A$5:$A$84,A175)+SUMIFS(Digital!$AA$5:$AA$84,Digital!$A$5:$A$84,A175),2))</f>
        <v>0</v>
      </c>
      <c r="AB175" s="20">
        <f>IF(B175="","",ROUND(IF(I175="Budget",PackBudget,IF(I175="Standard",PackStandard,IF(I175="Gift",PackGift,IF(I175="Premium",PackPremium,DefaultPackaging)))),2))</f>
        <v>0</v>
      </c>
      <c r="AC175" s="36">
        <f>IF(B175="","",IF(I175="Budget",PackWeightBudget,IF(I175="Standard",PackWeightStandard,IF(I175="Gift",PackWeightGift,IF(I175="Premium",PackWeightPremium,0)))))</f>
        <v>0</v>
      </c>
      <c r="AD175" s="20">
        <f>IF(B175="","",IFERROR(INDEX(Shipping!$M$5:$M$64,MATCH(J175,Shipping!$L$5:$L$64,0)),DefaultShipping))</f>
        <v>0</v>
      </c>
      <c r="AE175" s="20">
        <f>IF(B175="","",IFERROR(INDEX(Shipping!$F$5:$F$64,MATCH(J175,Shipping!$L$5:$L$64,0)),0))</f>
        <v>0</v>
      </c>
      <c r="AF175" s="36">
        <f>IF(B175="","",IFERROR(INDEX(Shipping!$C$5:$C$64,MATCH(J175,Shipping!$L$5:$L$64,0)),""))</f>
        <v>0</v>
      </c>
      <c r="AG175" s="20">
        <f>IF(B175="","",ROUND(MAX(0,AD175-AE175),2))</f>
        <v>0</v>
      </c>
      <c r="AH175" s="20">
        <f>IF(B175="","",ROUND(T175+Z175+AA175+AB175+AG175,2))</f>
        <v>0</v>
      </c>
      <c r="AI175" s="33">
        <f>IF(B175="","",IFERROR(INDEX(Channels!$S$5:$S$18,MATCH(IF(H175="",DefaultChannel,H175),Channels!$A$5:$A$18,0)),0))</f>
        <v>0</v>
      </c>
      <c r="AJ175" s="42">
        <f>IF(B175="","",IFERROR(INDEX(Channels!$O$5:$O$18,MATCH(IF(H175="",DefaultChannel,H175),Channels!$A$5:$A$18,0)),"No"))</f>
        <v>0</v>
      </c>
      <c r="AK175" s="20">
        <f>IF(B175="","",ROUND(IFERROR(INDEX(Channels!$T$5:$T$18,MATCH(IF(H175="",DefaultChannel,H175),Channels!$A$5:$A$18,0)),0)+IF(AJ175="Yes",AE175*AI175,0),4))</f>
        <v>0</v>
      </c>
      <c r="AL175" s="33">
        <f>IF(B175="","",IF(OverheadMethod="Share of revenue",IF(RevenueTargetMonth&lt;=0,0,OverheadMonthly/RevenueTargetMonth),0))</f>
        <v>0</v>
      </c>
      <c r="AM175" s="20">
        <f>IF(B175="","",IF(OverheadMethod="Per hour worked",ROUND(OverheadPerHour*Y175,2),IF(OR(OverheadMethod="Per unit made",OverheadMethod="Per order"),OverheadPerUnit,0)))</f>
        <v>0</v>
      </c>
      <c r="AN175" s="33">
        <f>IF(B175="","",IF(N175&lt;&gt;"",N175,TargetRetailMargin))</f>
        <v>0</v>
      </c>
      <c r="AO175" s="41">
        <f>IF(B175="","",1-AN175-AI175-AL175)</f>
        <v>0</v>
      </c>
      <c r="AP175" s="20">
        <f>IF(B175="","",IF(AO175&lt;=0,"",(AH175+AM175+AK175)/AO175))</f>
        <v>0</v>
      </c>
      <c r="AQ175" s="20">
        <f>IF(B175="","",IF(AP175="","Check the settings",ROUND(IF(RoundingRule="None",AP175,IF(RoundingRule="Nearest 0.99",MAX(0.99,CEILING(AP175,1)-0.01),IF(RoundingRule="Nearest 0.95",MAX(0.95,CEILING(AP175,1)-0.05),IF(RoundingRule="Nearest 0.50",CEILING(AP175,0.5),IF(RoundingRule="Nearest 1",CEILING(AP175,1),IF(RoundingRule="Nearest 5",CEILING(AP175,5),IF(RoundingRule="Up to whole 1",CEILING(AP175,1),IF(RoundingRule="Up to whole 5",CEILING(AP175,5),ROUND(AP175,2))))))))),2)))</f>
        <v>0</v>
      </c>
      <c r="AR175" s="20">
        <f>IF(B175="","",IF(M175&lt;&gt;"",M175,IF(ISNUMBER(AQ175),AQ175,"")))</f>
        <v>0</v>
      </c>
      <c r="AS175" s="20">
        <f>IF(B175="","",IF(AR175="","",ROUND(AM175+AR175*AL175,2)))</f>
        <v>0</v>
      </c>
      <c r="AT175" s="20">
        <f>IF(B175="","",IF(AR175="","",ROUND(AH175+AS175,2)))</f>
        <v>0</v>
      </c>
      <c r="AU175" s="20">
        <f>IF(B175="","",IF(AR175="","",ROUND(AR175*AI175+AK175,2)))</f>
        <v>0</v>
      </c>
      <c r="AV175" s="20">
        <f>IF(B175="","",IF(AR175="","",ROUND(AR175-AT175-AU175,2)))</f>
        <v>0</v>
      </c>
      <c r="AW175" s="33">
        <f>IF(B175="","",IF(OR(AR175="",AR175=0),"",AV175/AR175))</f>
        <v>0</v>
      </c>
      <c r="AX175" s="33">
        <f>IF(B175="","",IF(OR(AT175="",AT175=0),"",AV175/AT175))</f>
        <v>0</v>
      </c>
      <c r="AY175" s="20">
        <f>IF(B175="","",IF(OR(Y175="",Y175=0,AV175=""),"",ROUND(AV175/Y175,2)))</f>
        <v>0</v>
      </c>
      <c r="AZ175" s="20">
        <f>IF(B175="","",IF(OR(Y175="",Y175=0,AV175=""),"",ROUND((AV175+Z175)/Y175,2)))</f>
        <v>0</v>
      </c>
      <c r="BA175" s="20">
        <f>IF(B175="","",IF(1-AI175-AL175&lt;=0,"",ROUND((AH175+AM175+AK175)/(1-AI175-AL175),2)))</f>
        <v>0</v>
      </c>
      <c r="BB175" s="20">
        <f>IF(B175="","",IF(AT175="","",ROUND(AT175*2,2)))</f>
        <v>0</v>
      </c>
      <c r="BC175" s="20">
        <f>IF(B175="","",IF(AR175="","",ROUND(AR175*(1-WholesaleDiscount),2)))</f>
        <v>0</v>
      </c>
      <c r="BD175" s="20">
        <f>IF(B175="","",IF(BC175="","",ROUND(BC175-AH175-AM175,2)))</f>
        <v>0</v>
      </c>
      <c r="BE175" s="33">
        <f>IF(B175="","",IF(OR(BC175="",BC175=0),"",BD175/BC175))</f>
        <v>0</v>
      </c>
      <c r="BF175" s="20">
        <f>IF(B175="","",IFERROR(ROUND(AVERAGEIFS(Competitors!$F$5:$F$154,Competitors!$A$5:$A$154,A175),2),""))</f>
        <v>0</v>
      </c>
      <c r="BG175" s="33">
        <f>IF(B175="","",IF(OR(BF175="",BF175=0,AR175=""),"",AR175/BF175-1))</f>
        <v>0</v>
      </c>
      <c r="BH175" s="32">
        <f>IF(B175="","",SUMIFS(Sales!$D$5:$D$804,Sales!$C$5:$C$804,A175))</f>
        <v>0</v>
      </c>
      <c r="BI175" s="20">
        <f>IF(B175="","",ROUND(SUMIFS(Sales!$V$5:$V$804,Sales!$C$5:$C$804,A175),2))</f>
        <v>0</v>
      </c>
      <c r="BJ175" s="20">
        <f>IF(B175="","",ROUND(SUMIFS(Sales!$AG$5:$AG$804,Sales!$C$5:$C$804,A175),2))</f>
        <v>0</v>
      </c>
      <c r="BK175" s="33">
        <f>IF(B175="","",IF(OR(BI175="",BI175=0),"",BJ175/BI175))</f>
        <v>0</v>
      </c>
      <c r="BL175" s="17">
        <f>IF(B175="","",IF(SUMPRODUCT(MAX((Sales!$C$5:$C$804=A175)*Sales!$B$5:$B$804))=0,"",SUMPRODUCT(MAX((Sales!$C$5:$C$804=A175)*Sales!$B$5:$B$804))))</f>
        <v>0</v>
      </c>
      <c r="BM175" s="17">
        <f>IF(B175="","",IF(SUMPRODUCT(MAX(('Price History'!$B$5:$B$304=A175)*'Price History'!$A$5:$A$304))=0,IF(P175="","",P175),SUMPRODUCT(MAX(('Price History'!$B$5:$B$304=A175)*'Price History'!$A$5:$A$304))))</f>
        <v>0</v>
      </c>
      <c r="BN175" s="32">
        <f>IF(B175="","",IF(BM175="","",TodayDate-BM175))</f>
        <v>0</v>
      </c>
      <c r="BO175" s="32">
        <f>IF(B175="","",COUNTIFS($AV$5:$AV$304,"&gt;"&amp;AV175)+COUNTIFS($AV$5:AV175,AV175))</f>
        <v>0</v>
      </c>
      <c r="BP175" s="32">
        <f>IF(B175="","",COUNTIFS($AW$5:$AW$304,"&gt;"&amp;AW175)+COUNTIFS($AW$5:AW175,AW175))</f>
        <v>0</v>
      </c>
      <c r="BQ175" s="32">
        <f>IF(B175="","",COUNTIFS($BI$5:$BI$304,"&gt;"&amp;BI175)+COUNTIFS($BI$5:BI175,BI175))</f>
        <v>0</v>
      </c>
      <c r="BR175" s="32">
        <f>IF(B175="","",COUNTIFS($AY$5:$AY$304,"&gt;"&amp;AY175)+COUNTIFS($AY$5:AY175,AY175))</f>
        <v>0</v>
      </c>
      <c r="BS175" s="43">
        <f>IF(B175="","",IF(AH175=0,"Add - no costs entered yet",IF(AR175="","Check - no price yet",IF(AV175&lt;0,"Loss - every sale costs you money",IF(AND(AZ175&lt;&gt;"",AZ175&lt;MinimumWage),"Below - pays under minimum wage",IF(AW175&lt;MarginWarning,"Low margin - re-price it",IF(AND(AF175&lt;&gt;"",K175&lt;&gt;"",K175+AC175&gt;AF175),"Check - too heavy for that postage band",IF(AND(BN175&lt;&gt;"",BN175&gt;PriceReviewDays),"Due - price has not been reviewed",IF(AND(BG175&lt;&gt;"",BG175&gt;0.5),"Check - well above the market","OK")))))))) )</f>
        <v>0</v>
      </c>
    </row>
    <row r="176" spans="1:71">
      <c r="A176" s="38">
        <f>IF(B176="","",ProductPrefix&amp;TEXT(ROW()-4,"0000"))</f>
        <v>0</v>
      </c>
      <c r="S176" s="38">
        <f>IF(B176="","",IF(C176&lt;&gt;"",C176,UPPER(LEFT(IF(D176="","GEN",D176),3))&amp;"-"&amp;TEXT(ROW()-4,"000")))</f>
        <v>0</v>
      </c>
      <c r="T176" s="20">
        <f>IF(B176="","",ROUND(SUMIFS('Material Usage'!$M$5:$M$904,'Material Usage'!$A$5:$A$904,A176)+SUMIFS(Crochet!$AD$5:$AD$84,Crochet!$A$5:$A$84,A176)+SUMIFS(Jewelry!$AF$5:$AF$84,Jewelry!$A$5:$A$84,A176)+SUMIFS(Candles!$AF$5:$AF$84,Candles!$A$5:$A$84,A176)+SUMIFS(Clothing!$AB$5:$AB$84,Clothing!$A$5:$A$84,A176)+SUMIFS(Woodworking!$AC$5:$AC$84,Woodworking!$A$5:$A$84,A176)+SUMIFS(Digital!$X$5:$X$84,Digital!$A$5:$A$84,A176),2))</f>
        <v>0</v>
      </c>
      <c r="U176" s="20">
        <f>IF(B176="","",ROUND(SUMIFS(Labor!$O$5:$O$304,Labor!$A$5:$A$304,A176)+SUMIFS(Crochet!$AG$5:$AG$84,Crochet!$A$5:$A$84,A176)+SUMIFS(Jewelry!$AI$5:$AI$84,Jewelry!$A$5:$A$84,A176)+SUMIFS(Candles!$AI$5:$AI$84,Candles!$A$5:$A$84,A176)+SUMIFS(Clothing!$AE$5:$AE$84,Clothing!$A$5:$A$84,A176)+SUMIFS(Woodworking!$AF$5:$AF$84,Woodworking!$A$5:$A$84,A176)+SUMIFS(Digital!$Z$5:$Z$84,Digital!$A$5:$A$84,A176),2))</f>
        <v>0</v>
      </c>
      <c r="V176" s="36">
        <f>IF(B176="","",ROUND(SUMIFS(Labor!$P$5:$P$304,Labor!$A$5:$A$304,A176)+SUMIFS(Crochet!$AE$5:$AE$84,Crochet!$A$5:$A$84,A176)+SUMIFS(Jewelry!$AG$5:$AG$84,Jewelry!$A$5:$A$84,A176)+SUMIFS(Candles!$AG$5:$AG$84,Candles!$A$5:$A$84,A176)+SUMIFS(Clothing!$AC$5:$AC$84,Clothing!$A$5:$A$84,A176)+SUMIFS(Woodworking!$AD$5:$AD$84,Woodworking!$A$5:$A$84,A176)+SUMIFS(Digital!$Y$5:$Y$84,Digital!$A$5:$A$84,A176),1))</f>
        <v>0</v>
      </c>
      <c r="W176" s="41">
        <f>IF(B176="","",IFERROR(INDEX(DiffTimeFactors,MATCH(G176,DiffNames,0)),1))</f>
        <v>0</v>
      </c>
      <c r="X176" s="36">
        <f>IF(B176="","",ROUND(V176*W176,1))</f>
        <v>0</v>
      </c>
      <c r="Y176" s="41">
        <f>IF(B176="","",ROUND(X176/60,3))</f>
        <v>0</v>
      </c>
      <c r="Z176" s="20">
        <f>IF(B176="","",ROUND(U176*W176,2))</f>
        <v>0</v>
      </c>
      <c r="AA176" s="20">
        <f>IF(B176="","",ROUND(SUMIFS(Labor!$Q$5:$Q$304,Labor!$A$5:$A$304,A176)+SUMIFS(Crochet!$AH$5:$AH$84,Crochet!$A$5:$A$84,A176)+SUMIFS(Jewelry!$AJ$5:$AJ$84,Jewelry!$A$5:$A$84,A176)+SUMIFS(Candles!$AJ$5:$AJ$84,Candles!$A$5:$A$84,A176)+SUMIFS(Clothing!$AF$5:$AF$84,Clothing!$A$5:$A$84,A176)+SUMIFS(Woodworking!$AH$5:$AH$84,Woodworking!$A$5:$A$84,A176)+SUMIFS(Digital!$AA$5:$AA$84,Digital!$A$5:$A$84,A176),2))</f>
        <v>0</v>
      </c>
      <c r="AB176" s="20">
        <f>IF(B176="","",ROUND(IF(I176="Budget",PackBudget,IF(I176="Standard",PackStandard,IF(I176="Gift",PackGift,IF(I176="Premium",PackPremium,DefaultPackaging)))),2))</f>
        <v>0</v>
      </c>
      <c r="AC176" s="36">
        <f>IF(B176="","",IF(I176="Budget",PackWeightBudget,IF(I176="Standard",PackWeightStandard,IF(I176="Gift",PackWeightGift,IF(I176="Premium",PackWeightPremium,0)))))</f>
        <v>0</v>
      </c>
      <c r="AD176" s="20">
        <f>IF(B176="","",IFERROR(INDEX(Shipping!$M$5:$M$64,MATCH(J176,Shipping!$L$5:$L$64,0)),DefaultShipping))</f>
        <v>0</v>
      </c>
      <c r="AE176" s="20">
        <f>IF(B176="","",IFERROR(INDEX(Shipping!$F$5:$F$64,MATCH(J176,Shipping!$L$5:$L$64,0)),0))</f>
        <v>0</v>
      </c>
      <c r="AF176" s="36">
        <f>IF(B176="","",IFERROR(INDEX(Shipping!$C$5:$C$64,MATCH(J176,Shipping!$L$5:$L$64,0)),""))</f>
        <v>0</v>
      </c>
      <c r="AG176" s="20">
        <f>IF(B176="","",ROUND(MAX(0,AD176-AE176),2))</f>
        <v>0</v>
      </c>
      <c r="AH176" s="20">
        <f>IF(B176="","",ROUND(T176+Z176+AA176+AB176+AG176,2))</f>
        <v>0</v>
      </c>
      <c r="AI176" s="33">
        <f>IF(B176="","",IFERROR(INDEX(Channels!$S$5:$S$18,MATCH(IF(H176="",DefaultChannel,H176),Channels!$A$5:$A$18,0)),0))</f>
        <v>0</v>
      </c>
      <c r="AJ176" s="42">
        <f>IF(B176="","",IFERROR(INDEX(Channels!$O$5:$O$18,MATCH(IF(H176="",DefaultChannel,H176),Channels!$A$5:$A$18,0)),"No"))</f>
        <v>0</v>
      </c>
      <c r="AK176" s="20">
        <f>IF(B176="","",ROUND(IFERROR(INDEX(Channels!$T$5:$T$18,MATCH(IF(H176="",DefaultChannel,H176),Channels!$A$5:$A$18,0)),0)+IF(AJ176="Yes",AE176*AI176,0),4))</f>
        <v>0</v>
      </c>
      <c r="AL176" s="33">
        <f>IF(B176="","",IF(OverheadMethod="Share of revenue",IF(RevenueTargetMonth&lt;=0,0,OverheadMonthly/RevenueTargetMonth),0))</f>
        <v>0</v>
      </c>
      <c r="AM176" s="20">
        <f>IF(B176="","",IF(OverheadMethod="Per hour worked",ROUND(OverheadPerHour*Y176,2),IF(OR(OverheadMethod="Per unit made",OverheadMethod="Per order"),OverheadPerUnit,0)))</f>
        <v>0</v>
      </c>
      <c r="AN176" s="33">
        <f>IF(B176="","",IF(N176&lt;&gt;"",N176,TargetRetailMargin))</f>
        <v>0</v>
      </c>
      <c r="AO176" s="41">
        <f>IF(B176="","",1-AN176-AI176-AL176)</f>
        <v>0</v>
      </c>
      <c r="AP176" s="20">
        <f>IF(B176="","",IF(AO176&lt;=0,"",(AH176+AM176+AK176)/AO176))</f>
        <v>0</v>
      </c>
      <c r="AQ176" s="20">
        <f>IF(B176="","",IF(AP176="","Check the settings",ROUND(IF(RoundingRule="None",AP176,IF(RoundingRule="Nearest 0.99",MAX(0.99,CEILING(AP176,1)-0.01),IF(RoundingRule="Nearest 0.95",MAX(0.95,CEILING(AP176,1)-0.05),IF(RoundingRule="Nearest 0.50",CEILING(AP176,0.5),IF(RoundingRule="Nearest 1",CEILING(AP176,1),IF(RoundingRule="Nearest 5",CEILING(AP176,5),IF(RoundingRule="Up to whole 1",CEILING(AP176,1),IF(RoundingRule="Up to whole 5",CEILING(AP176,5),ROUND(AP176,2))))))))),2)))</f>
        <v>0</v>
      </c>
      <c r="AR176" s="20">
        <f>IF(B176="","",IF(M176&lt;&gt;"",M176,IF(ISNUMBER(AQ176),AQ176,"")))</f>
        <v>0</v>
      </c>
      <c r="AS176" s="20">
        <f>IF(B176="","",IF(AR176="","",ROUND(AM176+AR176*AL176,2)))</f>
        <v>0</v>
      </c>
      <c r="AT176" s="20">
        <f>IF(B176="","",IF(AR176="","",ROUND(AH176+AS176,2)))</f>
        <v>0</v>
      </c>
      <c r="AU176" s="20">
        <f>IF(B176="","",IF(AR176="","",ROUND(AR176*AI176+AK176,2)))</f>
        <v>0</v>
      </c>
      <c r="AV176" s="20">
        <f>IF(B176="","",IF(AR176="","",ROUND(AR176-AT176-AU176,2)))</f>
        <v>0</v>
      </c>
      <c r="AW176" s="33">
        <f>IF(B176="","",IF(OR(AR176="",AR176=0),"",AV176/AR176))</f>
        <v>0</v>
      </c>
      <c r="AX176" s="33">
        <f>IF(B176="","",IF(OR(AT176="",AT176=0),"",AV176/AT176))</f>
        <v>0</v>
      </c>
      <c r="AY176" s="20">
        <f>IF(B176="","",IF(OR(Y176="",Y176=0,AV176=""),"",ROUND(AV176/Y176,2)))</f>
        <v>0</v>
      </c>
      <c r="AZ176" s="20">
        <f>IF(B176="","",IF(OR(Y176="",Y176=0,AV176=""),"",ROUND((AV176+Z176)/Y176,2)))</f>
        <v>0</v>
      </c>
      <c r="BA176" s="20">
        <f>IF(B176="","",IF(1-AI176-AL176&lt;=0,"",ROUND((AH176+AM176+AK176)/(1-AI176-AL176),2)))</f>
        <v>0</v>
      </c>
      <c r="BB176" s="20">
        <f>IF(B176="","",IF(AT176="","",ROUND(AT176*2,2)))</f>
        <v>0</v>
      </c>
      <c r="BC176" s="20">
        <f>IF(B176="","",IF(AR176="","",ROUND(AR176*(1-WholesaleDiscount),2)))</f>
        <v>0</v>
      </c>
      <c r="BD176" s="20">
        <f>IF(B176="","",IF(BC176="","",ROUND(BC176-AH176-AM176,2)))</f>
        <v>0</v>
      </c>
      <c r="BE176" s="33">
        <f>IF(B176="","",IF(OR(BC176="",BC176=0),"",BD176/BC176))</f>
        <v>0</v>
      </c>
      <c r="BF176" s="20">
        <f>IF(B176="","",IFERROR(ROUND(AVERAGEIFS(Competitors!$F$5:$F$154,Competitors!$A$5:$A$154,A176),2),""))</f>
        <v>0</v>
      </c>
      <c r="BG176" s="33">
        <f>IF(B176="","",IF(OR(BF176="",BF176=0,AR176=""),"",AR176/BF176-1))</f>
        <v>0</v>
      </c>
      <c r="BH176" s="32">
        <f>IF(B176="","",SUMIFS(Sales!$D$5:$D$804,Sales!$C$5:$C$804,A176))</f>
        <v>0</v>
      </c>
      <c r="BI176" s="20">
        <f>IF(B176="","",ROUND(SUMIFS(Sales!$V$5:$V$804,Sales!$C$5:$C$804,A176),2))</f>
        <v>0</v>
      </c>
      <c r="BJ176" s="20">
        <f>IF(B176="","",ROUND(SUMIFS(Sales!$AG$5:$AG$804,Sales!$C$5:$C$804,A176),2))</f>
        <v>0</v>
      </c>
      <c r="BK176" s="33">
        <f>IF(B176="","",IF(OR(BI176="",BI176=0),"",BJ176/BI176))</f>
        <v>0</v>
      </c>
      <c r="BL176" s="17">
        <f>IF(B176="","",IF(SUMPRODUCT(MAX((Sales!$C$5:$C$804=A176)*Sales!$B$5:$B$804))=0,"",SUMPRODUCT(MAX((Sales!$C$5:$C$804=A176)*Sales!$B$5:$B$804))))</f>
        <v>0</v>
      </c>
      <c r="BM176" s="17">
        <f>IF(B176="","",IF(SUMPRODUCT(MAX(('Price History'!$B$5:$B$304=A176)*'Price History'!$A$5:$A$304))=0,IF(P176="","",P176),SUMPRODUCT(MAX(('Price History'!$B$5:$B$304=A176)*'Price History'!$A$5:$A$304))))</f>
        <v>0</v>
      </c>
      <c r="BN176" s="32">
        <f>IF(B176="","",IF(BM176="","",TodayDate-BM176))</f>
        <v>0</v>
      </c>
      <c r="BO176" s="32">
        <f>IF(B176="","",COUNTIFS($AV$5:$AV$304,"&gt;"&amp;AV176)+COUNTIFS($AV$5:AV176,AV176))</f>
        <v>0</v>
      </c>
      <c r="BP176" s="32">
        <f>IF(B176="","",COUNTIFS($AW$5:$AW$304,"&gt;"&amp;AW176)+COUNTIFS($AW$5:AW176,AW176))</f>
        <v>0</v>
      </c>
      <c r="BQ176" s="32">
        <f>IF(B176="","",COUNTIFS($BI$5:$BI$304,"&gt;"&amp;BI176)+COUNTIFS($BI$5:BI176,BI176))</f>
        <v>0</v>
      </c>
      <c r="BR176" s="32">
        <f>IF(B176="","",COUNTIFS($AY$5:$AY$304,"&gt;"&amp;AY176)+COUNTIFS($AY$5:AY176,AY176))</f>
        <v>0</v>
      </c>
      <c r="BS176" s="43">
        <f>IF(B176="","",IF(AH176=0,"Add - no costs entered yet",IF(AR176="","Check - no price yet",IF(AV176&lt;0,"Loss - every sale costs you money",IF(AND(AZ176&lt;&gt;"",AZ176&lt;MinimumWage),"Below - pays under minimum wage",IF(AW176&lt;MarginWarning,"Low margin - re-price it",IF(AND(AF176&lt;&gt;"",K176&lt;&gt;"",K176+AC176&gt;AF176),"Check - too heavy for that postage band",IF(AND(BN176&lt;&gt;"",BN176&gt;PriceReviewDays),"Due - price has not been reviewed",IF(AND(BG176&lt;&gt;"",BG176&gt;0.5),"Check - well above the market","OK")))))))) )</f>
        <v>0</v>
      </c>
    </row>
    <row r="177" spans="1:71">
      <c r="A177" s="38">
        <f>IF(B177="","",ProductPrefix&amp;TEXT(ROW()-4,"0000"))</f>
        <v>0</v>
      </c>
      <c r="S177" s="38">
        <f>IF(B177="","",IF(C177&lt;&gt;"",C177,UPPER(LEFT(IF(D177="","GEN",D177),3))&amp;"-"&amp;TEXT(ROW()-4,"000")))</f>
        <v>0</v>
      </c>
      <c r="T177" s="20">
        <f>IF(B177="","",ROUND(SUMIFS('Material Usage'!$M$5:$M$904,'Material Usage'!$A$5:$A$904,A177)+SUMIFS(Crochet!$AD$5:$AD$84,Crochet!$A$5:$A$84,A177)+SUMIFS(Jewelry!$AF$5:$AF$84,Jewelry!$A$5:$A$84,A177)+SUMIFS(Candles!$AF$5:$AF$84,Candles!$A$5:$A$84,A177)+SUMIFS(Clothing!$AB$5:$AB$84,Clothing!$A$5:$A$84,A177)+SUMIFS(Woodworking!$AC$5:$AC$84,Woodworking!$A$5:$A$84,A177)+SUMIFS(Digital!$X$5:$X$84,Digital!$A$5:$A$84,A177),2))</f>
        <v>0</v>
      </c>
      <c r="U177" s="20">
        <f>IF(B177="","",ROUND(SUMIFS(Labor!$O$5:$O$304,Labor!$A$5:$A$304,A177)+SUMIFS(Crochet!$AG$5:$AG$84,Crochet!$A$5:$A$84,A177)+SUMIFS(Jewelry!$AI$5:$AI$84,Jewelry!$A$5:$A$84,A177)+SUMIFS(Candles!$AI$5:$AI$84,Candles!$A$5:$A$84,A177)+SUMIFS(Clothing!$AE$5:$AE$84,Clothing!$A$5:$A$84,A177)+SUMIFS(Woodworking!$AF$5:$AF$84,Woodworking!$A$5:$A$84,A177)+SUMIFS(Digital!$Z$5:$Z$84,Digital!$A$5:$A$84,A177),2))</f>
        <v>0</v>
      </c>
      <c r="V177" s="36">
        <f>IF(B177="","",ROUND(SUMIFS(Labor!$P$5:$P$304,Labor!$A$5:$A$304,A177)+SUMIFS(Crochet!$AE$5:$AE$84,Crochet!$A$5:$A$84,A177)+SUMIFS(Jewelry!$AG$5:$AG$84,Jewelry!$A$5:$A$84,A177)+SUMIFS(Candles!$AG$5:$AG$84,Candles!$A$5:$A$84,A177)+SUMIFS(Clothing!$AC$5:$AC$84,Clothing!$A$5:$A$84,A177)+SUMIFS(Woodworking!$AD$5:$AD$84,Woodworking!$A$5:$A$84,A177)+SUMIFS(Digital!$Y$5:$Y$84,Digital!$A$5:$A$84,A177),1))</f>
        <v>0</v>
      </c>
      <c r="W177" s="41">
        <f>IF(B177="","",IFERROR(INDEX(DiffTimeFactors,MATCH(G177,DiffNames,0)),1))</f>
        <v>0</v>
      </c>
      <c r="X177" s="36">
        <f>IF(B177="","",ROUND(V177*W177,1))</f>
        <v>0</v>
      </c>
      <c r="Y177" s="41">
        <f>IF(B177="","",ROUND(X177/60,3))</f>
        <v>0</v>
      </c>
      <c r="Z177" s="20">
        <f>IF(B177="","",ROUND(U177*W177,2))</f>
        <v>0</v>
      </c>
      <c r="AA177" s="20">
        <f>IF(B177="","",ROUND(SUMIFS(Labor!$Q$5:$Q$304,Labor!$A$5:$A$304,A177)+SUMIFS(Crochet!$AH$5:$AH$84,Crochet!$A$5:$A$84,A177)+SUMIFS(Jewelry!$AJ$5:$AJ$84,Jewelry!$A$5:$A$84,A177)+SUMIFS(Candles!$AJ$5:$AJ$84,Candles!$A$5:$A$84,A177)+SUMIFS(Clothing!$AF$5:$AF$84,Clothing!$A$5:$A$84,A177)+SUMIFS(Woodworking!$AH$5:$AH$84,Woodworking!$A$5:$A$84,A177)+SUMIFS(Digital!$AA$5:$AA$84,Digital!$A$5:$A$84,A177),2))</f>
        <v>0</v>
      </c>
      <c r="AB177" s="20">
        <f>IF(B177="","",ROUND(IF(I177="Budget",PackBudget,IF(I177="Standard",PackStandard,IF(I177="Gift",PackGift,IF(I177="Premium",PackPremium,DefaultPackaging)))),2))</f>
        <v>0</v>
      </c>
      <c r="AC177" s="36">
        <f>IF(B177="","",IF(I177="Budget",PackWeightBudget,IF(I177="Standard",PackWeightStandard,IF(I177="Gift",PackWeightGift,IF(I177="Premium",PackWeightPremium,0)))))</f>
        <v>0</v>
      </c>
      <c r="AD177" s="20">
        <f>IF(B177="","",IFERROR(INDEX(Shipping!$M$5:$M$64,MATCH(J177,Shipping!$L$5:$L$64,0)),DefaultShipping))</f>
        <v>0</v>
      </c>
      <c r="AE177" s="20">
        <f>IF(B177="","",IFERROR(INDEX(Shipping!$F$5:$F$64,MATCH(J177,Shipping!$L$5:$L$64,0)),0))</f>
        <v>0</v>
      </c>
      <c r="AF177" s="36">
        <f>IF(B177="","",IFERROR(INDEX(Shipping!$C$5:$C$64,MATCH(J177,Shipping!$L$5:$L$64,0)),""))</f>
        <v>0</v>
      </c>
      <c r="AG177" s="20">
        <f>IF(B177="","",ROUND(MAX(0,AD177-AE177),2))</f>
        <v>0</v>
      </c>
      <c r="AH177" s="20">
        <f>IF(B177="","",ROUND(T177+Z177+AA177+AB177+AG177,2))</f>
        <v>0</v>
      </c>
      <c r="AI177" s="33">
        <f>IF(B177="","",IFERROR(INDEX(Channels!$S$5:$S$18,MATCH(IF(H177="",DefaultChannel,H177),Channels!$A$5:$A$18,0)),0))</f>
        <v>0</v>
      </c>
      <c r="AJ177" s="42">
        <f>IF(B177="","",IFERROR(INDEX(Channels!$O$5:$O$18,MATCH(IF(H177="",DefaultChannel,H177),Channels!$A$5:$A$18,0)),"No"))</f>
        <v>0</v>
      </c>
      <c r="AK177" s="20">
        <f>IF(B177="","",ROUND(IFERROR(INDEX(Channels!$T$5:$T$18,MATCH(IF(H177="",DefaultChannel,H177),Channels!$A$5:$A$18,0)),0)+IF(AJ177="Yes",AE177*AI177,0),4))</f>
        <v>0</v>
      </c>
      <c r="AL177" s="33">
        <f>IF(B177="","",IF(OverheadMethod="Share of revenue",IF(RevenueTargetMonth&lt;=0,0,OverheadMonthly/RevenueTargetMonth),0))</f>
        <v>0</v>
      </c>
      <c r="AM177" s="20">
        <f>IF(B177="","",IF(OverheadMethod="Per hour worked",ROUND(OverheadPerHour*Y177,2),IF(OR(OverheadMethod="Per unit made",OverheadMethod="Per order"),OverheadPerUnit,0)))</f>
        <v>0</v>
      </c>
      <c r="AN177" s="33">
        <f>IF(B177="","",IF(N177&lt;&gt;"",N177,TargetRetailMargin))</f>
        <v>0</v>
      </c>
      <c r="AO177" s="41">
        <f>IF(B177="","",1-AN177-AI177-AL177)</f>
        <v>0</v>
      </c>
      <c r="AP177" s="20">
        <f>IF(B177="","",IF(AO177&lt;=0,"",(AH177+AM177+AK177)/AO177))</f>
        <v>0</v>
      </c>
      <c r="AQ177" s="20">
        <f>IF(B177="","",IF(AP177="","Check the settings",ROUND(IF(RoundingRule="None",AP177,IF(RoundingRule="Nearest 0.99",MAX(0.99,CEILING(AP177,1)-0.01),IF(RoundingRule="Nearest 0.95",MAX(0.95,CEILING(AP177,1)-0.05),IF(RoundingRule="Nearest 0.50",CEILING(AP177,0.5),IF(RoundingRule="Nearest 1",CEILING(AP177,1),IF(RoundingRule="Nearest 5",CEILING(AP177,5),IF(RoundingRule="Up to whole 1",CEILING(AP177,1),IF(RoundingRule="Up to whole 5",CEILING(AP177,5),ROUND(AP177,2))))))))),2)))</f>
        <v>0</v>
      </c>
      <c r="AR177" s="20">
        <f>IF(B177="","",IF(M177&lt;&gt;"",M177,IF(ISNUMBER(AQ177),AQ177,"")))</f>
        <v>0</v>
      </c>
      <c r="AS177" s="20">
        <f>IF(B177="","",IF(AR177="","",ROUND(AM177+AR177*AL177,2)))</f>
        <v>0</v>
      </c>
      <c r="AT177" s="20">
        <f>IF(B177="","",IF(AR177="","",ROUND(AH177+AS177,2)))</f>
        <v>0</v>
      </c>
      <c r="AU177" s="20">
        <f>IF(B177="","",IF(AR177="","",ROUND(AR177*AI177+AK177,2)))</f>
        <v>0</v>
      </c>
      <c r="AV177" s="20">
        <f>IF(B177="","",IF(AR177="","",ROUND(AR177-AT177-AU177,2)))</f>
        <v>0</v>
      </c>
      <c r="AW177" s="33">
        <f>IF(B177="","",IF(OR(AR177="",AR177=0),"",AV177/AR177))</f>
        <v>0</v>
      </c>
      <c r="AX177" s="33">
        <f>IF(B177="","",IF(OR(AT177="",AT177=0),"",AV177/AT177))</f>
        <v>0</v>
      </c>
      <c r="AY177" s="20">
        <f>IF(B177="","",IF(OR(Y177="",Y177=0,AV177=""),"",ROUND(AV177/Y177,2)))</f>
        <v>0</v>
      </c>
      <c r="AZ177" s="20">
        <f>IF(B177="","",IF(OR(Y177="",Y177=0,AV177=""),"",ROUND((AV177+Z177)/Y177,2)))</f>
        <v>0</v>
      </c>
      <c r="BA177" s="20">
        <f>IF(B177="","",IF(1-AI177-AL177&lt;=0,"",ROUND((AH177+AM177+AK177)/(1-AI177-AL177),2)))</f>
        <v>0</v>
      </c>
      <c r="BB177" s="20">
        <f>IF(B177="","",IF(AT177="","",ROUND(AT177*2,2)))</f>
        <v>0</v>
      </c>
      <c r="BC177" s="20">
        <f>IF(B177="","",IF(AR177="","",ROUND(AR177*(1-WholesaleDiscount),2)))</f>
        <v>0</v>
      </c>
      <c r="BD177" s="20">
        <f>IF(B177="","",IF(BC177="","",ROUND(BC177-AH177-AM177,2)))</f>
        <v>0</v>
      </c>
      <c r="BE177" s="33">
        <f>IF(B177="","",IF(OR(BC177="",BC177=0),"",BD177/BC177))</f>
        <v>0</v>
      </c>
      <c r="BF177" s="20">
        <f>IF(B177="","",IFERROR(ROUND(AVERAGEIFS(Competitors!$F$5:$F$154,Competitors!$A$5:$A$154,A177),2),""))</f>
        <v>0</v>
      </c>
      <c r="BG177" s="33">
        <f>IF(B177="","",IF(OR(BF177="",BF177=0,AR177=""),"",AR177/BF177-1))</f>
        <v>0</v>
      </c>
      <c r="BH177" s="32">
        <f>IF(B177="","",SUMIFS(Sales!$D$5:$D$804,Sales!$C$5:$C$804,A177))</f>
        <v>0</v>
      </c>
      <c r="BI177" s="20">
        <f>IF(B177="","",ROUND(SUMIFS(Sales!$V$5:$V$804,Sales!$C$5:$C$804,A177),2))</f>
        <v>0</v>
      </c>
      <c r="BJ177" s="20">
        <f>IF(B177="","",ROUND(SUMIFS(Sales!$AG$5:$AG$804,Sales!$C$5:$C$804,A177),2))</f>
        <v>0</v>
      </c>
      <c r="BK177" s="33">
        <f>IF(B177="","",IF(OR(BI177="",BI177=0),"",BJ177/BI177))</f>
        <v>0</v>
      </c>
      <c r="BL177" s="17">
        <f>IF(B177="","",IF(SUMPRODUCT(MAX((Sales!$C$5:$C$804=A177)*Sales!$B$5:$B$804))=0,"",SUMPRODUCT(MAX((Sales!$C$5:$C$804=A177)*Sales!$B$5:$B$804))))</f>
        <v>0</v>
      </c>
      <c r="BM177" s="17">
        <f>IF(B177="","",IF(SUMPRODUCT(MAX(('Price History'!$B$5:$B$304=A177)*'Price History'!$A$5:$A$304))=0,IF(P177="","",P177),SUMPRODUCT(MAX(('Price History'!$B$5:$B$304=A177)*'Price History'!$A$5:$A$304))))</f>
        <v>0</v>
      </c>
      <c r="BN177" s="32">
        <f>IF(B177="","",IF(BM177="","",TodayDate-BM177))</f>
        <v>0</v>
      </c>
      <c r="BO177" s="32">
        <f>IF(B177="","",COUNTIFS($AV$5:$AV$304,"&gt;"&amp;AV177)+COUNTIFS($AV$5:AV177,AV177))</f>
        <v>0</v>
      </c>
      <c r="BP177" s="32">
        <f>IF(B177="","",COUNTIFS($AW$5:$AW$304,"&gt;"&amp;AW177)+COUNTIFS($AW$5:AW177,AW177))</f>
        <v>0</v>
      </c>
      <c r="BQ177" s="32">
        <f>IF(B177="","",COUNTIFS($BI$5:$BI$304,"&gt;"&amp;BI177)+COUNTIFS($BI$5:BI177,BI177))</f>
        <v>0</v>
      </c>
      <c r="BR177" s="32">
        <f>IF(B177="","",COUNTIFS($AY$5:$AY$304,"&gt;"&amp;AY177)+COUNTIFS($AY$5:AY177,AY177))</f>
        <v>0</v>
      </c>
      <c r="BS177" s="43">
        <f>IF(B177="","",IF(AH177=0,"Add - no costs entered yet",IF(AR177="","Check - no price yet",IF(AV177&lt;0,"Loss - every sale costs you money",IF(AND(AZ177&lt;&gt;"",AZ177&lt;MinimumWage),"Below - pays under minimum wage",IF(AW177&lt;MarginWarning,"Low margin - re-price it",IF(AND(AF177&lt;&gt;"",K177&lt;&gt;"",K177+AC177&gt;AF177),"Check - too heavy for that postage band",IF(AND(BN177&lt;&gt;"",BN177&gt;PriceReviewDays),"Due - price has not been reviewed",IF(AND(BG177&lt;&gt;"",BG177&gt;0.5),"Check - well above the market","OK")))))))) )</f>
        <v>0</v>
      </c>
    </row>
    <row r="178" spans="1:71">
      <c r="A178" s="38">
        <f>IF(B178="","",ProductPrefix&amp;TEXT(ROW()-4,"0000"))</f>
        <v>0</v>
      </c>
      <c r="S178" s="38">
        <f>IF(B178="","",IF(C178&lt;&gt;"",C178,UPPER(LEFT(IF(D178="","GEN",D178),3))&amp;"-"&amp;TEXT(ROW()-4,"000")))</f>
        <v>0</v>
      </c>
      <c r="T178" s="20">
        <f>IF(B178="","",ROUND(SUMIFS('Material Usage'!$M$5:$M$904,'Material Usage'!$A$5:$A$904,A178)+SUMIFS(Crochet!$AD$5:$AD$84,Crochet!$A$5:$A$84,A178)+SUMIFS(Jewelry!$AF$5:$AF$84,Jewelry!$A$5:$A$84,A178)+SUMIFS(Candles!$AF$5:$AF$84,Candles!$A$5:$A$84,A178)+SUMIFS(Clothing!$AB$5:$AB$84,Clothing!$A$5:$A$84,A178)+SUMIFS(Woodworking!$AC$5:$AC$84,Woodworking!$A$5:$A$84,A178)+SUMIFS(Digital!$X$5:$X$84,Digital!$A$5:$A$84,A178),2))</f>
        <v>0</v>
      </c>
      <c r="U178" s="20">
        <f>IF(B178="","",ROUND(SUMIFS(Labor!$O$5:$O$304,Labor!$A$5:$A$304,A178)+SUMIFS(Crochet!$AG$5:$AG$84,Crochet!$A$5:$A$84,A178)+SUMIFS(Jewelry!$AI$5:$AI$84,Jewelry!$A$5:$A$84,A178)+SUMIFS(Candles!$AI$5:$AI$84,Candles!$A$5:$A$84,A178)+SUMIFS(Clothing!$AE$5:$AE$84,Clothing!$A$5:$A$84,A178)+SUMIFS(Woodworking!$AF$5:$AF$84,Woodworking!$A$5:$A$84,A178)+SUMIFS(Digital!$Z$5:$Z$84,Digital!$A$5:$A$84,A178),2))</f>
        <v>0</v>
      </c>
      <c r="V178" s="36">
        <f>IF(B178="","",ROUND(SUMIFS(Labor!$P$5:$P$304,Labor!$A$5:$A$304,A178)+SUMIFS(Crochet!$AE$5:$AE$84,Crochet!$A$5:$A$84,A178)+SUMIFS(Jewelry!$AG$5:$AG$84,Jewelry!$A$5:$A$84,A178)+SUMIFS(Candles!$AG$5:$AG$84,Candles!$A$5:$A$84,A178)+SUMIFS(Clothing!$AC$5:$AC$84,Clothing!$A$5:$A$84,A178)+SUMIFS(Woodworking!$AD$5:$AD$84,Woodworking!$A$5:$A$84,A178)+SUMIFS(Digital!$Y$5:$Y$84,Digital!$A$5:$A$84,A178),1))</f>
        <v>0</v>
      </c>
      <c r="W178" s="41">
        <f>IF(B178="","",IFERROR(INDEX(DiffTimeFactors,MATCH(G178,DiffNames,0)),1))</f>
        <v>0</v>
      </c>
      <c r="X178" s="36">
        <f>IF(B178="","",ROUND(V178*W178,1))</f>
        <v>0</v>
      </c>
      <c r="Y178" s="41">
        <f>IF(B178="","",ROUND(X178/60,3))</f>
        <v>0</v>
      </c>
      <c r="Z178" s="20">
        <f>IF(B178="","",ROUND(U178*W178,2))</f>
        <v>0</v>
      </c>
      <c r="AA178" s="20">
        <f>IF(B178="","",ROUND(SUMIFS(Labor!$Q$5:$Q$304,Labor!$A$5:$A$304,A178)+SUMIFS(Crochet!$AH$5:$AH$84,Crochet!$A$5:$A$84,A178)+SUMIFS(Jewelry!$AJ$5:$AJ$84,Jewelry!$A$5:$A$84,A178)+SUMIFS(Candles!$AJ$5:$AJ$84,Candles!$A$5:$A$84,A178)+SUMIFS(Clothing!$AF$5:$AF$84,Clothing!$A$5:$A$84,A178)+SUMIFS(Woodworking!$AH$5:$AH$84,Woodworking!$A$5:$A$84,A178)+SUMIFS(Digital!$AA$5:$AA$84,Digital!$A$5:$A$84,A178),2))</f>
        <v>0</v>
      </c>
      <c r="AB178" s="20">
        <f>IF(B178="","",ROUND(IF(I178="Budget",PackBudget,IF(I178="Standard",PackStandard,IF(I178="Gift",PackGift,IF(I178="Premium",PackPremium,DefaultPackaging)))),2))</f>
        <v>0</v>
      </c>
      <c r="AC178" s="36">
        <f>IF(B178="","",IF(I178="Budget",PackWeightBudget,IF(I178="Standard",PackWeightStandard,IF(I178="Gift",PackWeightGift,IF(I178="Premium",PackWeightPremium,0)))))</f>
        <v>0</v>
      </c>
      <c r="AD178" s="20">
        <f>IF(B178="","",IFERROR(INDEX(Shipping!$M$5:$M$64,MATCH(J178,Shipping!$L$5:$L$64,0)),DefaultShipping))</f>
        <v>0</v>
      </c>
      <c r="AE178" s="20">
        <f>IF(B178="","",IFERROR(INDEX(Shipping!$F$5:$F$64,MATCH(J178,Shipping!$L$5:$L$64,0)),0))</f>
        <v>0</v>
      </c>
      <c r="AF178" s="36">
        <f>IF(B178="","",IFERROR(INDEX(Shipping!$C$5:$C$64,MATCH(J178,Shipping!$L$5:$L$64,0)),""))</f>
        <v>0</v>
      </c>
      <c r="AG178" s="20">
        <f>IF(B178="","",ROUND(MAX(0,AD178-AE178),2))</f>
        <v>0</v>
      </c>
      <c r="AH178" s="20">
        <f>IF(B178="","",ROUND(T178+Z178+AA178+AB178+AG178,2))</f>
        <v>0</v>
      </c>
      <c r="AI178" s="33">
        <f>IF(B178="","",IFERROR(INDEX(Channels!$S$5:$S$18,MATCH(IF(H178="",DefaultChannel,H178),Channels!$A$5:$A$18,0)),0))</f>
        <v>0</v>
      </c>
      <c r="AJ178" s="42">
        <f>IF(B178="","",IFERROR(INDEX(Channels!$O$5:$O$18,MATCH(IF(H178="",DefaultChannel,H178),Channels!$A$5:$A$18,0)),"No"))</f>
        <v>0</v>
      </c>
      <c r="AK178" s="20">
        <f>IF(B178="","",ROUND(IFERROR(INDEX(Channels!$T$5:$T$18,MATCH(IF(H178="",DefaultChannel,H178),Channels!$A$5:$A$18,0)),0)+IF(AJ178="Yes",AE178*AI178,0),4))</f>
        <v>0</v>
      </c>
      <c r="AL178" s="33">
        <f>IF(B178="","",IF(OverheadMethod="Share of revenue",IF(RevenueTargetMonth&lt;=0,0,OverheadMonthly/RevenueTargetMonth),0))</f>
        <v>0</v>
      </c>
      <c r="AM178" s="20">
        <f>IF(B178="","",IF(OverheadMethod="Per hour worked",ROUND(OverheadPerHour*Y178,2),IF(OR(OverheadMethod="Per unit made",OverheadMethod="Per order"),OverheadPerUnit,0)))</f>
        <v>0</v>
      </c>
      <c r="AN178" s="33">
        <f>IF(B178="","",IF(N178&lt;&gt;"",N178,TargetRetailMargin))</f>
        <v>0</v>
      </c>
      <c r="AO178" s="41">
        <f>IF(B178="","",1-AN178-AI178-AL178)</f>
        <v>0</v>
      </c>
      <c r="AP178" s="20">
        <f>IF(B178="","",IF(AO178&lt;=0,"",(AH178+AM178+AK178)/AO178))</f>
        <v>0</v>
      </c>
      <c r="AQ178" s="20">
        <f>IF(B178="","",IF(AP178="","Check the settings",ROUND(IF(RoundingRule="None",AP178,IF(RoundingRule="Nearest 0.99",MAX(0.99,CEILING(AP178,1)-0.01),IF(RoundingRule="Nearest 0.95",MAX(0.95,CEILING(AP178,1)-0.05),IF(RoundingRule="Nearest 0.50",CEILING(AP178,0.5),IF(RoundingRule="Nearest 1",CEILING(AP178,1),IF(RoundingRule="Nearest 5",CEILING(AP178,5),IF(RoundingRule="Up to whole 1",CEILING(AP178,1),IF(RoundingRule="Up to whole 5",CEILING(AP178,5),ROUND(AP178,2))))))))),2)))</f>
        <v>0</v>
      </c>
      <c r="AR178" s="20">
        <f>IF(B178="","",IF(M178&lt;&gt;"",M178,IF(ISNUMBER(AQ178),AQ178,"")))</f>
        <v>0</v>
      </c>
      <c r="AS178" s="20">
        <f>IF(B178="","",IF(AR178="","",ROUND(AM178+AR178*AL178,2)))</f>
        <v>0</v>
      </c>
      <c r="AT178" s="20">
        <f>IF(B178="","",IF(AR178="","",ROUND(AH178+AS178,2)))</f>
        <v>0</v>
      </c>
      <c r="AU178" s="20">
        <f>IF(B178="","",IF(AR178="","",ROUND(AR178*AI178+AK178,2)))</f>
        <v>0</v>
      </c>
      <c r="AV178" s="20">
        <f>IF(B178="","",IF(AR178="","",ROUND(AR178-AT178-AU178,2)))</f>
        <v>0</v>
      </c>
      <c r="AW178" s="33">
        <f>IF(B178="","",IF(OR(AR178="",AR178=0),"",AV178/AR178))</f>
        <v>0</v>
      </c>
      <c r="AX178" s="33">
        <f>IF(B178="","",IF(OR(AT178="",AT178=0),"",AV178/AT178))</f>
        <v>0</v>
      </c>
      <c r="AY178" s="20">
        <f>IF(B178="","",IF(OR(Y178="",Y178=0,AV178=""),"",ROUND(AV178/Y178,2)))</f>
        <v>0</v>
      </c>
      <c r="AZ178" s="20">
        <f>IF(B178="","",IF(OR(Y178="",Y178=0,AV178=""),"",ROUND((AV178+Z178)/Y178,2)))</f>
        <v>0</v>
      </c>
      <c r="BA178" s="20">
        <f>IF(B178="","",IF(1-AI178-AL178&lt;=0,"",ROUND((AH178+AM178+AK178)/(1-AI178-AL178),2)))</f>
        <v>0</v>
      </c>
      <c r="BB178" s="20">
        <f>IF(B178="","",IF(AT178="","",ROUND(AT178*2,2)))</f>
        <v>0</v>
      </c>
      <c r="BC178" s="20">
        <f>IF(B178="","",IF(AR178="","",ROUND(AR178*(1-WholesaleDiscount),2)))</f>
        <v>0</v>
      </c>
      <c r="BD178" s="20">
        <f>IF(B178="","",IF(BC178="","",ROUND(BC178-AH178-AM178,2)))</f>
        <v>0</v>
      </c>
      <c r="BE178" s="33">
        <f>IF(B178="","",IF(OR(BC178="",BC178=0),"",BD178/BC178))</f>
        <v>0</v>
      </c>
      <c r="BF178" s="20">
        <f>IF(B178="","",IFERROR(ROUND(AVERAGEIFS(Competitors!$F$5:$F$154,Competitors!$A$5:$A$154,A178),2),""))</f>
        <v>0</v>
      </c>
      <c r="BG178" s="33">
        <f>IF(B178="","",IF(OR(BF178="",BF178=0,AR178=""),"",AR178/BF178-1))</f>
        <v>0</v>
      </c>
      <c r="BH178" s="32">
        <f>IF(B178="","",SUMIFS(Sales!$D$5:$D$804,Sales!$C$5:$C$804,A178))</f>
        <v>0</v>
      </c>
      <c r="BI178" s="20">
        <f>IF(B178="","",ROUND(SUMIFS(Sales!$V$5:$V$804,Sales!$C$5:$C$804,A178),2))</f>
        <v>0</v>
      </c>
      <c r="BJ178" s="20">
        <f>IF(B178="","",ROUND(SUMIFS(Sales!$AG$5:$AG$804,Sales!$C$5:$C$804,A178),2))</f>
        <v>0</v>
      </c>
      <c r="BK178" s="33">
        <f>IF(B178="","",IF(OR(BI178="",BI178=0),"",BJ178/BI178))</f>
        <v>0</v>
      </c>
      <c r="BL178" s="17">
        <f>IF(B178="","",IF(SUMPRODUCT(MAX((Sales!$C$5:$C$804=A178)*Sales!$B$5:$B$804))=0,"",SUMPRODUCT(MAX((Sales!$C$5:$C$804=A178)*Sales!$B$5:$B$804))))</f>
        <v>0</v>
      </c>
      <c r="BM178" s="17">
        <f>IF(B178="","",IF(SUMPRODUCT(MAX(('Price History'!$B$5:$B$304=A178)*'Price History'!$A$5:$A$304))=0,IF(P178="","",P178),SUMPRODUCT(MAX(('Price History'!$B$5:$B$304=A178)*'Price History'!$A$5:$A$304))))</f>
        <v>0</v>
      </c>
      <c r="BN178" s="32">
        <f>IF(B178="","",IF(BM178="","",TodayDate-BM178))</f>
        <v>0</v>
      </c>
      <c r="BO178" s="32">
        <f>IF(B178="","",COUNTIFS($AV$5:$AV$304,"&gt;"&amp;AV178)+COUNTIFS($AV$5:AV178,AV178))</f>
        <v>0</v>
      </c>
      <c r="BP178" s="32">
        <f>IF(B178="","",COUNTIFS($AW$5:$AW$304,"&gt;"&amp;AW178)+COUNTIFS($AW$5:AW178,AW178))</f>
        <v>0</v>
      </c>
      <c r="BQ178" s="32">
        <f>IF(B178="","",COUNTIFS($BI$5:$BI$304,"&gt;"&amp;BI178)+COUNTIFS($BI$5:BI178,BI178))</f>
        <v>0</v>
      </c>
      <c r="BR178" s="32">
        <f>IF(B178="","",COUNTIFS($AY$5:$AY$304,"&gt;"&amp;AY178)+COUNTIFS($AY$5:AY178,AY178))</f>
        <v>0</v>
      </c>
      <c r="BS178" s="43">
        <f>IF(B178="","",IF(AH178=0,"Add - no costs entered yet",IF(AR178="","Check - no price yet",IF(AV178&lt;0,"Loss - every sale costs you money",IF(AND(AZ178&lt;&gt;"",AZ178&lt;MinimumWage),"Below - pays under minimum wage",IF(AW178&lt;MarginWarning,"Low margin - re-price it",IF(AND(AF178&lt;&gt;"",K178&lt;&gt;"",K178+AC178&gt;AF178),"Check - too heavy for that postage band",IF(AND(BN178&lt;&gt;"",BN178&gt;PriceReviewDays),"Due - price has not been reviewed",IF(AND(BG178&lt;&gt;"",BG178&gt;0.5),"Check - well above the market","OK")))))))) )</f>
        <v>0</v>
      </c>
    </row>
    <row r="179" spans="1:71">
      <c r="A179" s="38">
        <f>IF(B179="","",ProductPrefix&amp;TEXT(ROW()-4,"0000"))</f>
        <v>0</v>
      </c>
      <c r="S179" s="38">
        <f>IF(B179="","",IF(C179&lt;&gt;"",C179,UPPER(LEFT(IF(D179="","GEN",D179),3))&amp;"-"&amp;TEXT(ROW()-4,"000")))</f>
        <v>0</v>
      </c>
      <c r="T179" s="20">
        <f>IF(B179="","",ROUND(SUMIFS('Material Usage'!$M$5:$M$904,'Material Usage'!$A$5:$A$904,A179)+SUMIFS(Crochet!$AD$5:$AD$84,Crochet!$A$5:$A$84,A179)+SUMIFS(Jewelry!$AF$5:$AF$84,Jewelry!$A$5:$A$84,A179)+SUMIFS(Candles!$AF$5:$AF$84,Candles!$A$5:$A$84,A179)+SUMIFS(Clothing!$AB$5:$AB$84,Clothing!$A$5:$A$84,A179)+SUMIFS(Woodworking!$AC$5:$AC$84,Woodworking!$A$5:$A$84,A179)+SUMIFS(Digital!$X$5:$X$84,Digital!$A$5:$A$84,A179),2))</f>
        <v>0</v>
      </c>
      <c r="U179" s="20">
        <f>IF(B179="","",ROUND(SUMIFS(Labor!$O$5:$O$304,Labor!$A$5:$A$304,A179)+SUMIFS(Crochet!$AG$5:$AG$84,Crochet!$A$5:$A$84,A179)+SUMIFS(Jewelry!$AI$5:$AI$84,Jewelry!$A$5:$A$84,A179)+SUMIFS(Candles!$AI$5:$AI$84,Candles!$A$5:$A$84,A179)+SUMIFS(Clothing!$AE$5:$AE$84,Clothing!$A$5:$A$84,A179)+SUMIFS(Woodworking!$AF$5:$AF$84,Woodworking!$A$5:$A$84,A179)+SUMIFS(Digital!$Z$5:$Z$84,Digital!$A$5:$A$84,A179),2))</f>
        <v>0</v>
      </c>
      <c r="V179" s="36">
        <f>IF(B179="","",ROUND(SUMIFS(Labor!$P$5:$P$304,Labor!$A$5:$A$304,A179)+SUMIFS(Crochet!$AE$5:$AE$84,Crochet!$A$5:$A$84,A179)+SUMIFS(Jewelry!$AG$5:$AG$84,Jewelry!$A$5:$A$84,A179)+SUMIFS(Candles!$AG$5:$AG$84,Candles!$A$5:$A$84,A179)+SUMIFS(Clothing!$AC$5:$AC$84,Clothing!$A$5:$A$84,A179)+SUMIFS(Woodworking!$AD$5:$AD$84,Woodworking!$A$5:$A$84,A179)+SUMIFS(Digital!$Y$5:$Y$84,Digital!$A$5:$A$84,A179),1))</f>
        <v>0</v>
      </c>
      <c r="W179" s="41">
        <f>IF(B179="","",IFERROR(INDEX(DiffTimeFactors,MATCH(G179,DiffNames,0)),1))</f>
        <v>0</v>
      </c>
      <c r="X179" s="36">
        <f>IF(B179="","",ROUND(V179*W179,1))</f>
        <v>0</v>
      </c>
      <c r="Y179" s="41">
        <f>IF(B179="","",ROUND(X179/60,3))</f>
        <v>0</v>
      </c>
      <c r="Z179" s="20">
        <f>IF(B179="","",ROUND(U179*W179,2))</f>
        <v>0</v>
      </c>
      <c r="AA179" s="20">
        <f>IF(B179="","",ROUND(SUMIFS(Labor!$Q$5:$Q$304,Labor!$A$5:$A$304,A179)+SUMIFS(Crochet!$AH$5:$AH$84,Crochet!$A$5:$A$84,A179)+SUMIFS(Jewelry!$AJ$5:$AJ$84,Jewelry!$A$5:$A$84,A179)+SUMIFS(Candles!$AJ$5:$AJ$84,Candles!$A$5:$A$84,A179)+SUMIFS(Clothing!$AF$5:$AF$84,Clothing!$A$5:$A$84,A179)+SUMIFS(Woodworking!$AH$5:$AH$84,Woodworking!$A$5:$A$84,A179)+SUMIFS(Digital!$AA$5:$AA$84,Digital!$A$5:$A$84,A179),2))</f>
        <v>0</v>
      </c>
      <c r="AB179" s="20">
        <f>IF(B179="","",ROUND(IF(I179="Budget",PackBudget,IF(I179="Standard",PackStandard,IF(I179="Gift",PackGift,IF(I179="Premium",PackPremium,DefaultPackaging)))),2))</f>
        <v>0</v>
      </c>
      <c r="AC179" s="36">
        <f>IF(B179="","",IF(I179="Budget",PackWeightBudget,IF(I179="Standard",PackWeightStandard,IF(I179="Gift",PackWeightGift,IF(I179="Premium",PackWeightPremium,0)))))</f>
        <v>0</v>
      </c>
      <c r="AD179" s="20">
        <f>IF(B179="","",IFERROR(INDEX(Shipping!$M$5:$M$64,MATCH(J179,Shipping!$L$5:$L$64,0)),DefaultShipping))</f>
        <v>0</v>
      </c>
      <c r="AE179" s="20">
        <f>IF(B179="","",IFERROR(INDEX(Shipping!$F$5:$F$64,MATCH(J179,Shipping!$L$5:$L$64,0)),0))</f>
        <v>0</v>
      </c>
      <c r="AF179" s="36">
        <f>IF(B179="","",IFERROR(INDEX(Shipping!$C$5:$C$64,MATCH(J179,Shipping!$L$5:$L$64,0)),""))</f>
        <v>0</v>
      </c>
      <c r="AG179" s="20">
        <f>IF(B179="","",ROUND(MAX(0,AD179-AE179),2))</f>
        <v>0</v>
      </c>
      <c r="AH179" s="20">
        <f>IF(B179="","",ROUND(T179+Z179+AA179+AB179+AG179,2))</f>
        <v>0</v>
      </c>
      <c r="AI179" s="33">
        <f>IF(B179="","",IFERROR(INDEX(Channels!$S$5:$S$18,MATCH(IF(H179="",DefaultChannel,H179),Channels!$A$5:$A$18,0)),0))</f>
        <v>0</v>
      </c>
      <c r="AJ179" s="42">
        <f>IF(B179="","",IFERROR(INDEX(Channels!$O$5:$O$18,MATCH(IF(H179="",DefaultChannel,H179),Channels!$A$5:$A$18,0)),"No"))</f>
        <v>0</v>
      </c>
      <c r="AK179" s="20">
        <f>IF(B179="","",ROUND(IFERROR(INDEX(Channels!$T$5:$T$18,MATCH(IF(H179="",DefaultChannel,H179),Channels!$A$5:$A$18,0)),0)+IF(AJ179="Yes",AE179*AI179,0),4))</f>
        <v>0</v>
      </c>
      <c r="AL179" s="33">
        <f>IF(B179="","",IF(OverheadMethod="Share of revenue",IF(RevenueTargetMonth&lt;=0,0,OverheadMonthly/RevenueTargetMonth),0))</f>
        <v>0</v>
      </c>
      <c r="AM179" s="20">
        <f>IF(B179="","",IF(OverheadMethod="Per hour worked",ROUND(OverheadPerHour*Y179,2),IF(OR(OverheadMethod="Per unit made",OverheadMethod="Per order"),OverheadPerUnit,0)))</f>
        <v>0</v>
      </c>
      <c r="AN179" s="33">
        <f>IF(B179="","",IF(N179&lt;&gt;"",N179,TargetRetailMargin))</f>
        <v>0</v>
      </c>
      <c r="AO179" s="41">
        <f>IF(B179="","",1-AN179-AI179-AL179)</f>
        <v>0</v>
      </c>
      <c r="AP179" s="20">
        <f>IF(B179="","",IF(AO179&lt;=0,"",(AH179+AM179+AK179)/AO179))</f>
        <v>0</v>
      </c>
      <c r="AQ179" s="20">
        <f>IF(B179="","",IF(AP179="","Check the settings",ROUND(IF(RoundingRule="None",AP179,IF(RoundingRule="Nearest 0.99",MAX(0.99,CEILING(AP179,1)-0.01),IF(RoundingRule="Nearest 0.95",MAX(0.95,CEILING(AP179,1)-0.05),IF(RoundingRule="Nearest 0.50",CEILING(AP179,0.5),IF(RoundingRule="Nearest 1",CEILING(AP179,1),IF(RoundingRule="Nearest 5",CEILING(AP179,5),IF(RoundingRule="Up to whole 1",CEILING(AP179,1),IF(RoundingRule="Up to whole 5",CEILING(AP179,5),ROUND(AP179,2))))))))),2)))</f>
        <v>0</v>
      </c>
      <c r="AR179" s="20">
        <f>IF(B179="","",IF(M179&lt;&gt;"",M179,IF(ISNUMBER(AQ179),AQ179,"")))</f>
        <v>0</v>
      </c>
      <c r="AS179" s="20">
        <f>IF(B179="","",IF(AR179="","",ROUND(AM179+AR179*AL179,2)))</f>
        <v>0</v>
      </c>
      <c r="AT179" s="20">
        <f>IF(B179="","",IF(AR179="","",ROUND(AH179+AS179,2)))</f>
        <v>0</v>
      </c>
      <c r="AU179" s="20">
        <f>IF(B179="","",IF(AR179="","",ROUND(AR179*AI179+AK179,2)))</f>
        <v>0</v>
      </c>
      <c r="AV179" s="20">
        <f>IF(B179="","",IF(AR179="","",ROUND(AR179-AT179-AU179,2)))</f>
        <v>0</v>
      </c>
      <c r="AW179" s="33">
        <f>IF(B179="","",IF(OR(AR179="",AR179=0),"",AV179/AR179))</f>
        <v>0</v>
      </c>
      <c r="AX179" s="33">
        <f>IF(B179="","",IF(OR(AT179="",AT179=0),"",AV179/AT179))</f>
        <v>0</v>
      </c>
      <c r="AY179" s="20">
        <f>IF(B179="","",IF(OR(Y179="",Y179=0,AV179=""),"",ROUND(AV179/Y179,2)))</f>
        <v>0</v>
      </c>
      <c r="AZ179" s="20">
        <f>IF(B179="","",IF(OR(Y179="",Y179=0,AV179=""),"",ROUND((AV179+Z179)/Y179,2)))</f>
        <v>0</v>
      </c>
      <c r="BA179" s="20">
        <f>IF(B179="","",IF(1-AI179-AL179&lt;=0,"",ROUND((AH179+AM179+AK179)/(1-AI179-AL179),2)))</f>
        <v>0</v>
      </c>
      <c r="BB179" s="20">
        <f>IF(B179="","",IF(AT179="","",ROUND(AT179*2,2)))</f>
        <v>0</v>
      </c>
      <c r="BC179" s="20">
        <f>IF(B179="","",IF(AR179="","",ROUND(AR179*(1-WholesaleDiscount),2)))</f>
        <v>0</v>
      </c>
      <c r="BD179" s="20">
        <f>IF(B179="","",IF(BC179="","",ROUND(BC179-AH179-AM179,2)))</f>
        <v>0</v>
      </c>
      <c r="BE179" s="33">
        <f>IF(B179="","",IF(OR(BC179="",BC179=0),"",BD179/BC179))</f>
        <v>0</v>
      </c>
      <c r="BF179" s="20">
        <f>IF(B179="","",IFERROR(ROUND(AVERAGEIFS(Competitors!$F$5:$F$154,Competitors!$A$5:$A$154,A179),2),""))</f>
        <v>0</v>
      </c>
      <c r="BG179" s="33">
        <f>IF(B179="","",IF(OR(BF179="",BF179=0,AR179=""),"",AR179/BF179-1))</f>
        <v>0</v>
      </c>
      <c r="BH179" s="32">
        <f>IF(B179="","",SUMIFS(Sales!$D$5:$D$804,Sales!$C$5:$C$804,A179))</f>
        <v>0</v>
      </c>
      <c r="BI179" s="20">
        <f>IF(B179="","",ROUND(SUMIFS(Sales!$V$5:$V$804,Sales!$C$5:$C$804,A179),2))</f>
        <v>0</v>
      </c>
      <c r="BJ179" s="20">
        <f>IF(B179="","",ROUND(SUMIFS(Sales!$AG$5:$AG$804,Sales!$C$5:$C$804,A179),2))</f>
        <v>0</v>
      </c>
      <c r="BK179" s="33">
        <f>IF(B179="","",IF(OR(BI179="",BI179=0),"",BJ179/BI179))</f>
        <v>0</v>
      </c>
      <c r="BL179" s="17">
        <f>IF(B179="","",IF(SUMPRODUCT(MAX((Sales!$C$5:$C$804=A179)*Sales!$B$5:$B$804))=0,"",SUMPRODUCT(MAX((Sales!$C$5:$C$804=A179)*Sales!$B$5:$B$804))))</f>
        <v>0</v>
      </c>
      <c r="BM179" s="17">
        <f>IF(B179="","",IF(SUMPRODUCT(MAX(('Price History'!$B$5:$B$304=A179)*'Price History'!$A$5:$A$304))=0,IF(P179="","",P179),SUMPRODUCT(MAX(('Price History'!$B$5:$B$304=A179)*'Price History'!$A$5:$A$304))))</f>
        <v>0</v>
      </c>
      <c r="BN179" s="32">
        <f>IF(B179="","",IF(BM179="","",TodayDate-BM179))</f>
        <v>0</v>
      </c>
      <c r="BO179" s="32">
        <f>IF(B179="","",COUNTIFS($AV$5:$AV$304,"&gt;"&amp;AV179)+COUNTIFS($AV$5:AV179,AV179))</f>
        <v>0</v>
      </c>
      <c r="BP179" s="32">
        <f>IF(B179="","",COUNTIFS($AW$5:$AW$304,"&gt;"&amp;AW179)+COUNTIFS($AW$5:AW179,AW179))</f>
        <v>0</v>
      </c>
      <c r="BQ179" s="32">
        <f>IF(B179="","",COUNTIFS($BI$5:$BI$304,"&gt;"&amp;BI179)+COUNTIFS($BI$5:BI179,BI179))</f>
        <v>0</v>
      </c>
      <c r="BR179" s="32">
        <f>IF(B179="","",COUNTIFS($AY$5:$AY$304,"&gt;"&amp;AY179)+COUNTIFS($AY$5:AY179,AY179))</f>
        <v>0</v>
      </c>
      <c r="BS179" s="43">
        <f>IF(B179="","",IF(AH179=0,"Add - no costs entered yet",IF(AR179="","Check - no price yet",IF(AV179&lt;0,"Loss - every sale costs you money",IF(AND(AZ179&lt;&gt;"",AZ179&lt;MinimumWage),"Below - pays under minimum wage",IF(AW179&lt;MarginWarning,"Low margin - re-price it",IF(AND(AF179&lt;&gt;"",K179&lt;&gt;"",K179+AC179&gt;AF179),"Check - too heavy for that postage band",IF(AND(BN179&lt;&gt;"",BN179&gt;PriceReviewDays),"Due - price has not been reviewed",IF(AND(BG179&lt;&gt;"",BG179&gt;0.5),"Check - well above the market","OK")))))))) )</f>
        <v>0</v>
      </c>
    </row>
    <row r="180" spans="1:71">
      <c r="A180" s="38">
        <f>IF(B180="","",ProductPrefix&amp;TEXT(ROW()-4,"0000"))</f>
        <v>0</v>
      </c>
      <c r="S180" s="38">
        <f>IF(B180="","",IF(C180&lt;&gt;"",C180,UPPER(LEFT(IF(D180="","GEN",D180),3))&amp;"-"&amp;TEXT(ROW()-4,"000")))</f>
        <v>0</v>
      </c>
      <c r="T180" s="20">
        <f>IF(B180="","",ROUND(SUMIFS('Material Usage'!$M$5:$M$904,'Material Usage'!$A$5:$A$904,A180)+SUMIFS(Crochet!$AD$5:$AD$84,Crochet!$A$5:$A$84,A180)+SUMIFS(Jewelry!$AF$5:$AF$84,Jewelry!$A$5:$A$84,A180)+SUMIFS(Candles!$AF$5:$AF$84,Candles!$A$5:$A$84,A180)+SUMIFS(Clothing!$AB$5:$AB$84,Clothing!$A$5:$A$84,A180)+SUMIFS(Woodworking!$AC$5:$AC$84,Woodworking!$A$5:$A$84,A180)+SUMIFS(Digital!$X$5:$X$84,Digital!$A$5:$A$84,A180),2))</f>
        <v>0</v>
      </c>
      <c r="U180" s="20">
        <f>IF(B180="","",ROUND(SUMIFS(Labor!$O$5:$O$304,Labor!$A$5:$A$304,A180)+SUMIFS(Crochet!$AG$5:$AG$84,Crochet!$A$5:$A$84,A180)+SUMIFS(Jewelry!$AI$5:$AI$84,Jewelry!$A$5:$A$84,A180)+SUMIFS(Candles!$AI$5:$AI$84,Candles!$A$5:$A$84,A180)+SUMIFS(Clothing!$AE$5:$AE$84,Clothing!$A$5:$A$84,A180)+SUMIFS(Woodworking!$AF$5:$AF$84,Woodworking!$A$5:$A$84,A180)+SUMIFS(Digital!$Z$5:$Z$84,Digital!$A$5:$A$84,A180),2))</f>
        <v>0</v>
      </c>
      <c r="V180" s="36">
        <f>IF(B180="","",ROUND(SUMIFS(Labor!$P$5:$P$304,Labor!$A$5:$A$304,A180)+SUMIFS(Crochet!$AE$5:$AE$84,Crochet!$A$5:$A$84,A180)+SUMIFS(Jewelry!$AG$5:$AG$84,Jewelry!$A$5:$A$84,A180)+SUMIFS(Candles!$AG$5:$AG$84,Candles!$A$5:$A$84,A180)+SUMIFS(Clothing!$AC$5:$AC$84,Clothing!$A$5:$A$84,A180)+SUMIFS(Woodworking!$AD$5:$AD$84,Woodworking!$A$5:$A$84,A180)+SUMIFS(Digital!$Y$5:$Y$84,Digital!$A$5:$A$84,A180),1))</f>
        <v>0</v>
      </c>
      <c r="W180" s="41">
        <f>IF(B180="","",IFERROR(INDEX(DiffTimeFactors,MATCH(G180,DiffNames,0)),1))</f>
        <v>0</v>
      </c>
      <c r="X180" s="36">
        <f>IF(B180="","",ROUND(V180*W180,1))</f>
        <v>0</v>
      </c>
      <c r="Y180" s="41">
        <f>IF(B180="","",ROUND(X180/60,3))</f>
        <v>0</v>
      </c>
      <c r="Z180" s="20">
        <f>IF(B180="","",ROUND(U180*W180,2))</f>
        <v>0</v>
      </c>
      <c r="AA180" s="20">
        <f>IF(B180="","",ROUND(SUMIFS(Labor!$Q$5:$Q$304,Labor!$A$5:$A$304,A180)+SUMIFS(Crochet!$AH$5:$AH$84,Crochet!$A$5:$A$84,A180)+SUMIFS(Jewelry!$AJ$5:$AJ$84,Jewelry!$A$5:$A$84,A180)+SUMIFS(Candles!$AJ$5:$AJ$84,Candles!$A$5:$A$84,A180)+SUMIFS(Clothing!$AF$5:$AF$84,Clothing!$A$5:$A$84,A180)+SUMIFS(Woodworking!$AH$5:$AH$84,Woodworking!$A$5:$A$84,A180)+SUMIFS(Digital!$AA$5:$AA$84,Digital!$A$5:$A$84,A180),2))</f>
        <v>0</v>
      </c>
      <c r="AB180" s="20">
        <f>IF(B180="","",ROUND(IF(I180="Budget",PackBudget,IF(I180="Standard",PackStandard,IF(I180="Gift",PackGift,IF(I180="Premium",PackPremium,DefaultPackaging)))),2))</f>
        <v>0</v>
      </c>
      <c r="AC180" s="36">
        <f>IF(B180="","",IF(I180="Budget",PackWeightBudget,IF(I180="Standard",PackWeightStandard,IF(I180="Gift",PackWeightGift,IF(I180="Premium",PackWeightPremium,0)))))</f>
        <v>0</v>
      </c>
      <c r="AD180" s="20">
        <f>IF(B180="","",IFERROR(INDEX(Shipping!$M$5:$M$64,MATCH(J180,Shipping!$L$5:$L$64,0)),DefaultShipping))</f>
        <v>0</v>
      </c>
      <c r="AE180" s="20">
        <f>IF(B180="","",IFERROR(INDEX(Shipping!$F$5:$F$64,MATCH(J180,Shipping!$L$5:$L$64,0)),0))</f>
        <v>0</v>
      </c>
      <c r="AF180" s="36">
        <f>IF(B180="","",IFERROR(INDEX(Shipping!$C$5:$C$64,MATCH(J180,Shipping!$L$5:$L$64,0)),""))</f>
        <v>0</v>
      </c>
      <c r="AG180" s="20">
        <f>IF(B180="","",ROUND(MAX(0,AD180-AE180),2))</f>
        <v>0</v>
      </c>
      <c r="AH180" s="20">
        <f>IF(B180="","",ROUND(T180+Z180+AA180+AB180+AG180,2))</f>
        <v>0</v>
      </c>
      <c r="AI180" s="33">
        <f>IF(B180="","",IFERROR(INDEX(Channels!$S$5:$S$18,MATCH(IF(H180="",DefaultChannel,H180),Channels!$A$5:$A$18,0)),0))</f>
        <v>0</v>
      </c>
      <c r="AJ180" s="42">
        <f>IF(B180="","",IFERROR(INDEX(Channels!$O$5:$O$18,MATCH(IF(H180="",DefaultChannel,H180),Channels!$A$5:$A$18,0)),"No"))</f>
        <v>0</v>
      </c>
      <c r="AK180" s="20">
        <f>IF(B180="","",ROUND(IFERROR(INDEX(Channels!$T$5:$T$18,MATCH(IF(H180="",DefaultChannel,H180),Channels!$A$5:$A$18,0)),0)+IF(AJ180="Yes",AE180*AI180,0),4))</f>
        <v>0</v>
      </c>
      <c r="AL180" s="33">
        <f>IF(B180="","",IF(OverheadMethod="Share of revenue",IF(RevenueTargetMonth&lt;=0,0,OverheadMonthly/RevenueTargetMonth),0))</f>
        <v>0</v>
      </c>
      <c r="AM180" s="20">
        <f>IF(B180="","",IF(OverheadMethod="Per hour worked",ROUND(OverheadPerHour*Y180,2),IF(OR(OverheadMethod="Per unit made",OverheadMethod="Per order"),OverheadPerUnit,0)))</f>
        <v>0</v>
      </c>
      <c r="AN180" s="33">
        <f>IF(B180="","",IF(N180&lt;&gt;"",N180,TargetRetailMargin))</f>
        <v>0</v>
      </c>
      <c r="AO180" s="41">
        <f>IF(B180="","",1-AN180-AI180-AL180)</f>
        <v>0</v>
      </c>
      <c r="AP180" s="20">
        <f>IF(B180="","",IF(AO180&lt;=0,"",(AH180+AM180+AK180)/AO180))</f>
        <v>0</v>
      </c>
      <c r="AQ180" s="20">
        <f>IF(B180="","",IF(AP180="","Check the settings",ROUND(IF(RoundingRule="None",AP180,IF(RoundingRule="Nearest 0.99",MAX(0.99,CEILING(AP180,1)-0.01),IF(RoundingRule="Nearest 0.95",MAX(0.95,CEILING(AP180,1)-0.05),IF(RoundingRule="Nearest 0.50",CEILING(AP180,0.5),IF(RoundingRule="Nearest 1",CEILING(AP180,1),IF(RoundingRule="Nearest 5",CEILING(AP180,5),IF(RoundingRule="Up to whole 1",CEILING(AP180,1),IF(RoundingRule="Up to whole 5",CEILING(AP180,5),ROUND(AP180,2))))))))),2)))</f>
        <v>0</v>
      </c>
      <c r="AR180" s="20">
        <f>IF(B180="","",IF(M180&lt;&gt;"",M180,IF(ISNUMBER(AQ180),AQ180,"")))</f>
        <v>0</v>
      </c>
      <c r="AS180" s="20">
        <f>IF(B180="","",IF(AR180="","",ROUND(AM180+AR180*AL180,2)))</f>
        <v>0</v>
      </c>
      <c r="AT180" s="20">
        <f>IF(B180="","",IF(AR180="","",ROUND(AH180+AS180,2)))</f>
        <v>0</v>
      </c>
      <c r="AU180" s="20">
        <f>IF(B180="","",IF(AR180="","",ROUND(AR180*AI180+AK180,2)))</f>
        <v>0</v>
      </c>
      <c r="AV180" s="20">
        <f>IF(B180="","",IF(AR180="","",ROUND(AR180-AT180-AU180,2)))</f>
        <v>0</v>
      </c>
      <c r="AW180" s="33">
        <f>IF(B180="","",IF(OR(AR180="",AR180=0),"",AV180/AR180))</f>
        <v>0</v>
      </c>
      <c r="AX180" s="33">
        <f>IF(B180="","",IF(OR(AT180="",AT180=0),"",AV180/AT180))</f>
        <v>0</v>
      </c>
      <c r="AY180" s="20">
        <f>IF(B180="","",IF(OR(Y180="",Y180=0,AV180=""),"",ROUND(AV180/Y180,2)))</f>
        <v>0</v>
      </c>
      <c r="AZ180" s="20">
        <f>IF(B180="","",IF(OR(Y180="",Y180=0,AV180=""),"",ROUND((AV180+Z180)/Y180,2)))</f>
        <v>0</v>
      </c>
      <c r="BA180" s="20">
        <f>IF(B180="","",IF(1-AI180-AL180&lt;=0,"",ROUND((AH180+AM180+AK180)/(1-AI180-AL180),2)))</f>
        <v>0</v>
      </c>
      <c r="BB180" s="20">
        <f>IF(B180="","",IF(AT180="","",ROUND(AT180*2,2)))</f>
        <v>0</v>
      </c>
      <c r="BC180" s="20">
        <f>IF(B180="","",IF(AR180="","",ROUND(AR180*(1-WholesaleDiscount),2)))</f>
        <v>0</v>
      </c>
      <c r="BD180" s="20">
        <f>IF(B180="","",IF(BC180="","",ROUND(BC180-AH180-AM180,2)))</f>
        <v>0</v>
      </c>
      <c r="BE180" s="33">
        <f>IF(B180="","",IF(OR(BC180="",BC180=0),"",BD180/BC180))</f>
        <v>0</v>
      </c>
      <c r="BF180" s="20">
        <f>IF(B180="","",IFERROR(ROUND(AVERAGEIFS(Competitors!$F$5:$F$154,Competitors!$A$5:$A$154,A180),2),""))</f>
        <v>0</v>
      </c>
      <c r="BG180" s="33">
        <f>IF(B180="","",IF(OR(BF180="",BF180=0,AR180=""),"",AR180/BF180-1))</f>
        <v>0</v>
      </c>
      <c r="BH180" s="32">
        <f>IF(B180="","",SUMIFS(Sales!$D$5:$D$804,Sales!$C$5:$C$804,A180))</f>
        <v>0</v>
      </c>
      <c r="BI180" s="20">
        <f>IF(B180="","",ROUND(SUMIFS(Sales!$V$5:$V$804,Sales!$C$5:$C$804,A180),2))</f>
        <v>0</v>
      </c>
      <c r="BJ180" s="20">
        <f>IF(B180="","",ROUND(SUMIFS(Sales!$AG$5:$AG$804,Sales!$C$5:$C$804,A180),2))</f>
        <v>0</v>
      </c>
      <c r="BK180" s="33">
        <f>IF(B180="","",IF(OR(BI180="",BI180=0),"",BJ180/BI180))</f>
        <v>0</v>
      </c>
      <c r="BL180" s="17">
        <f>IF(B180="","",IF(SUMPRODUCT(MAX((Sales!$C$5:$C$804=A180)*Sales!$B$5:$B$804))=0,"",SUMPRODUCT(MAX((Sales!$C$5:$C$804=A180)*Sales!$B$5:$B$804))))</f>
        <v>0</v>
      </c>
      <c r="BM180" s="17">
        <f>IF(B180="","",IF(SUMPRODUCT(MAX(('Price History'!$B$5:$B$304=A180)*'Price History'!$A$5:$A$304))=0,IF(P180="","",P180),SUMPRODUCT(MAX(('Price History'!$B$5:$B$304=A180)*'Price History'!$A$5:$A$304))))</f>
        <v>0</v>
      </c>
      <c r="BN180" s="32">
        <f>IF(B180="","",IF(BM180="","",TodayDate-BM180))</f>
        <v>0</v>
      </c>
      <c r="BO180" s="32">
        <f>IF(B180="","",COUNTIFS($AV$5:$AV$304,"&gt;"&amp;AV180)+COUNTIFS($AV$5:AV180,AV180))</f>
        <v>0</v>
      </c>
      <c r="BP180" s="32">
        <f>IF(B180="","",COUNTIFS($AW$5:$AW$304,"&gt;"&amp;AW180)+COUNTIFS($AW$5:AW180,AW180))</f>
        <v>0</v>
      </c>
      <c r="BQ180" s="32">
        <f>IF(B180="","",COUNTIFS($BI$5:$BI$304,"&gt;"&amp;BI180)+COUNTIFS($BI$5:BI180,BI180))</f>
        <v>0</v>
      </c>
      <c r="BR180" s="32">
        <f>IF(B180="","",COUNTIFS($AY$5:$AY$304,"&gt;"&amp;AY180)+COUNTIFS($AY$5:AY180,AY180))</f>
        <v>0</v>
      </c>
      <c r="BS180" s="43">
        <f>IF(B180="","",IF(AH180=0,"Add - no costs entered yet",IF(AR180="","Check - no price yet",IF(AV180&lt;0,"Loss - every sale costs you money",IF(AND(AZ180&lt;&gt;"",AZ180&lt;MinimumWage),"Below - pays under minimum wage",IF(AW180&lt;MarginWarning,"Low margin - re-price it",IF(AND(AF180&lt;&gt;"",K180&lt;&gt;"",K180+AC180&gt;AF180),"Check - too heavy for that postage band",IF(AND(BN180&lt;&gt;"",BN180&gt;PriceReviewDays),"Due - price has not been reviewed",IF(AND(BG180&lt;&gt;"",BG180&gt;0.5),"Check - well above the market","OK")))))))) )</f>
        <v>0</v>
      </c>
    </row>
    <row r="181" spans="1:71">
      <c r="A181" s="38">
        <f>IF(B181="","",ProductPrefix&amp;TEXT(ROW()-4,"0000"))</f>
        <v>0</v>
      </c>
      <c r="S181" s="38">
        <f>IF(B181="","",IF(C181&lt;&gt;"",C181,UPPER(LEFT(IF(D181="","GEN",D181),3))&amp;"-"&amp;TEXT(ROW()-4,"000")))</f>
        <v>0</v>
      </c>
      <c r="T181" s="20">
        <f>IF(B181="","",ROUND(SUMIFS('Material Usage'!$M$5:$M$904,'Material Usage'!$A$5:$A$904,A181)+SUMIFS(Crochet!$AD$5:$AD$84,Crochet!$A$5:$A$84,A181)+SUMIFS(Jewelry!$AF$5:$AF$84,Jewelry!$A$5:$A$84,A181)+SUMIFS(Candles!$AF$5:$AF$84,Candles!$A$5:$A$84,A181)+SUMIFS(Clothing!$AB$5:$AB$84,Clothing!$A$5:$A$84,A181)+SUMIFS(Woodworking!$AC$5:$AC$84,Woodworking!$A$5:$A$84,A181)+SUMIFS(Digital!$X$5:$X$84,Digital!$A$5:$A$84,A181),2))</f>
        <v>0</v>
      </c>
      <c r="U181" s="20">
        <f>IF(B181="","",ROUND(SUMIFS(Labor!$O$5:$O$304,Labor!$A$5:$A$304,A181)+SUMIFS(Crochet!$AG$5:$AG$84,Crochet!$A$5:$A$84,A181)+SUMIFS(Jewelry!$AI$5:$AI$84,Jewelry!$A$5:$A$84,A181)+SUMIFS(Candles!$AI$5:$AI$84,Candles!$A$5:$A$84,A181)+SUMIFS(Clothing!$AE$5:$AE$84,Clothing!$A$5:$A$84,A181)+SUMIFS(Woodworking!$AF$5:$AF$84,Woodworking!$A$5:$A$84,A181)+SUMIFS(Digital!$Z$5:$Z$84,Digital!$A$5:$A$84,A181),2))</f>
        <v>0</v>
      </c>
      <c r="V181" s="36">
        <f>IF(B181="","",ROUND(SUMIFS(Labor!$P$5:$P$304,Labor!$A$5:$A$304,A181)+SUMIFS(Crochet!$AE$5:$AE$84,Crochet!$A$5:$A$84,A181)+SUMIFS(Jewelry!$AG$5:$AG$84,Jewelry!$A$5:$A$84,A181)+SUMIFS(Candles!$AG$5:$AG$84,Candles!$A$5:$A$84,A181)+SUMIFS(Clothing!$AC$5:$AC$84,Clothing!$A$5:$A$84,A181)+SUMIFS(Woodworking!$AD$5:$AD$84,Woodworking!$A$5:$A$84,A181)+SUMIFS(Digital!$Y$5:$Y$84,Digital!$A$5:$A$84,A181),1))</f>
        <v>0</v>
      </c>
      <c r="W181" s="41">
        <f>IF(B181="","",IFERROR(INDEX(DiffTimeFactors,MATCH(G181,DiffNames,0)),1))</f>
        <v>0</v>
      </c>
      <c r="X181" s="36">
        <f>IF(B181="","",ROUND(V181*W181,1))</f>
        <v>0</v>
      </c>
      <c r="Y181" s="41">
        <f>IF(B181="","",ROUND(X181/60,3))</f>
        <v>0</v>
      </c>
      <c r="Z181" s="20">
        <f>IF(B181="","",ROUND(U181*W181,2))</f>
        <v>0</v>
      </c>
      <c r="AA181" s="20">
        <f>IF(B181="","",ROUND(SUMIFS(Labor!$Q$5:$Q$304,Labor!$A$5:$A$304,A181)+SUMIFS(Crochet!$AH$5:$AH$84,Crochet!$A$5:$A$84,A181)+SUMIFS(Jewelry!$AJ$5:$AJ$84,Jewelry!$A$5:$A$84,A181)+SUMIFS(Candles!$AJ$5:$AJ$84,Candles!$A$5:$A$84,A181)+SUMIFS(Clothing!$AF$5:$AF$84,Clothing!$A$5:$A$84,A181)+SUMIFS(Woodworking!$AH$5:$AH$84,Woodworking!$A$5:$A$84,A181)+SUMIFS(Digital!$AA$5:$AA$84,Digital!$A$5:$A$84,A181),2))</f>
        <v>0</v>
      </c>
      <c r="AB181" s="20">
        <f>IF(B181="","",ROUND(IF(I181="Budget",PackBudget,IF(I181="Standard",PackStandard,IF(I181="Gift",PackGift,IF(I181="Premium",PackPremium,DefaultPackaging)))),2))</f>
        <v>0</v>
      </c>
      <c r="AC181" s="36">
        <f>IF(B181="","",IF(I181="Budget",PackWeightBudget,IF(I181="Standard",PackWeightStandard,IF(I181="Gift",PackWeightGift,IF(I181="Premium",PackWeightPremium,0)))))</f>
        <v>0</v>
      </c>
      <c r="AD181" s="20">
        <f>IF(B181="","",IFERROR(INDEX(Shipping!$M$5:$M$64,MATCH(J181,Shipping!$L$5:$L$64,0)),DefaultShipping))</f>
        <v>0</v>
      </c>
      <c r="AE181" s="20">
        <f>IF(B181="","",IFERROR(INDEX(Shipping!$F$5:$F$64,MATCH(J181,Shipping!$L$5:$L$64,0)),0))</f>
        <v>0</v>
      </c>
      <c r="AF181" s="36">
        <f>IF(B181="","",IFERROR(INDEX(Shipping!$C$5:$C$64,MATCH(J181,Shipping!$L$5:$L$64,0)),""))</f>
        <v>0</v>
      </c>
      <c r="AG181" s="20">
        <f>IF(B181="","",ROUND(MAX(0,AD181-AE181),2))</f>
        <v>0</v>
      </c>
      <c r="AH181" s="20">
        <f>IF(B181="","",ROUND(T181+Z181+AA181+AB181+AG181,2))</f>
        <v>0</v>
      </c>
      <c r="AI181" s="33">
        <f>IF(B181="","",IFERROR(INDEX(Channels!$S$5:$S$18,MATCH(IF(H181="",DefaultChannel,H181),Channels!$A$5:$A$18,0)),0))</f>
        <v>0</v>
      </c>
      <c r="AJ181" s="42">
        <f>IF(B181="","",IFERROR(INDEX(Channels!$O$5:$O$18,MATCH(IF(H181="",DefaultChannel,H181),Channels!$A$5:$A$18,0)),"No"))</f>
        <v>0</v>
      </c>
      <c r="AK181" s="20">
        <f>IF(B181="","",ROUND(IFERROR(INDEX(Channels!$T$5:$T$18,MATCH(IF(H181="",DefaultChannel,H181),Channels!$A$5:$A$18,0)),0)+IF(AJ181="Yes",AE181*AI181,0),4))</f>
        <v>0</v>
      </c>
      <c r="AL181" s="33">
        <f>IF(B181="","",IF(OverheadMethod="Share of revenue",IF(RevenueTargetMonth&lt;=0,0,OverheadMonthly/RevenueTargetMonth),0))</f>
        <v>0</v>
      </c>
      <c r="AM181" s="20">
        <f>IF(B181="","",IF(OverheadMethod="Per hour worked",ROUND(OverheadPerHour*Y181,2),IF(OR(OverheadMethod="Per unit made",OverheadMethod="Per order"),OverheadPerUnit,0)))</f>
        <v>0</v>
      </c>
      <c r="AN181" s="33">
        <f>IF(B181="","",IF(N181&lt;&gt;"",N181,TargetRetailMargin))</f>
        <v>0</v>
      </c>
      <c r="AO181" s="41">
        <f>IF(B181="","",1-AN181-AI181-AL181)</f>
        <v>0</v>
      </c>
      <c r="AP181" s="20">
        <f>IF(B181="","",IF(AO181&lt;=0,"",(AH181+AM181+AK181)/AO181))</f>
        <v>0</v>
      </c>
      <c r="AQ181" s="20">
        <f>IF(B181="","",IF(AP181="","Check the settings",ROUND(IF(RoundingRule="None",AP181,IF(RoundingRule="Nearest 0.99",MAX(0.99,CEILING(AP181,1)-0.01),IF(RoundingRule="Nearest 0.95",MAX(0.95,CEILING(AP181,1)-0.05),IF(RoundingRule="Nearest 0.50",CEILING(AP181,0.5),IF(RoundingRule="Nearest 1",CEILING(AP181,1),IF(RoundingRule="Nearest 5",CEILING(AP181,5),IF(RoundingRule="Up to whole 1",CEILING(AP181,1),IF(RoundingRule="Up to whole 5",CEILING(AP181,5),ROUND(AP181,2))))))))),2)))</f>
        <v>0</v>
      </c>
      <c r="AR181" s="20">
        <f>IF(B181="","",IF(M181&lt;&gt;"",M181,IF(ISNUMBER(AQ181),AQ181,"")))</f>
        <v>0</v>
      </c>
      <c r="AS181" s="20">
        <f>IF(B181="","",IF(AR181="","",ROUND(AM181+AR181*AL181,2)))</f>
        <v>0</v>
      </c>
      <c r="AT181" s="20">
        <f>IF(B181="","",IF(AR181="","",ROUND(AH181+AS181,2)))</f>
        <v>0</v>
      </c>
      <c r="AU181" s="20">
        <f>IF(B181="","",IF(AR181="","",ROUND(AR181*AI181+AK181,2)))</f>
        <v>0</v>
      </c>
      <c r="AV181" s="20">
        <f>IF(B181="","",IF(AR181="","",ROUND(AR181-AT181-AU181,2)))</f>
        <v>0</v>
      </c>
      <c r="AW181" s="33">
        <f>IF(B181="","",IF(OR(AR181="",AR181=0),"",AV181/AR181))</f>
        <v>0</v>
      </c>
      <c r="AX181" s="33">
        <f>IF(B181="","",IF(OR(AT181="",AT181=0),"",AV181/AT181))</f>
        <v>0</v>
      </c>
      <c r="AY181" s="20">
        <f>IF(B181="","",IF(OR(Y181="",Y181=0,AV181=""),"",ROUND(AV181/Y181,2)))</f>
        <v>0</v>
      </c>
      <c r="AZ181" s="20">
        <f>IF(B181="","",IF(OR(Y181="",Y181=0,AV181=""),"",ROUND((AV181+Z181)/Y181,2)))</f>
        <v>0</v>
      </c>
      <c r="BA181" s="20">
        <f>IF(B181="","",IF(1-AI181-AL181&lt;=0,"",ROUND((AH181+AM181+AK181)/(1-AI181-AL181),2)))</f>
        <v>0</v>
      </c>
      <c r="BB181" s="20">
        <f>IF(B181="","",IF(AT181="","",ROUND(AT181*2,2)))</f>
        <v>0</v>
      </c>
      <c r="BC181" s="20">
        <f>IF(B181="","",IF(AR181="","",ROUND(AR181*(1-WholesaleDiscount),2)))</f>
        <v>0</v>
      </c>
      <c r="BD181" s="20">
        <f>IF(B181="","",IF(BC181="","",ROUND(BC181-AH181-AM181,2)))</f>
        <v>0</v>
      </c>
      <c r="BE181" s="33">
        <f>IF(B181="","",IF(OR(BC181="",BC181=0),"",BD181/BC181))</f>
        <v>0</v>
      </c>
      <c r="BF181" s="20">
        <f>IF(B181="","",IFERROR(ROUND(AVERAGEIFS(Competitors!$F$5:$F$154,Competitors!$A$5:$A$154,A181),2),""))</f>
        <v>0</v>
      </c>
      <c r="BG181" s="33">
        <f>IF(B181="","",IF(OR(BF181="",BF181=0,AR181=""),"",AR181/BF181-1))</f>
        <v>0</v>
      </c>
      <c r="BH181" s="32">
        <f>IF(B181="","",SUMIFS(Sales!$D$5:$D$804,Sales!$C$5:$C$804,A181))</f>
        <v>0</v>
      </c>
      <c r="BI181" s="20">
        <f>IF(B181="","",ROUND(SUMIFS(Sales!$V$5:$V$804,Sales!$C$5:$C$804,A181),2))</f>
        <v>0</v>
      </c>
      <c r="BJ181" s="20">
        <f>IF(B181="","",ROUND(SUMIFS(Sales!$AG$5:$AG$804,Sales!$C$5:$C$804,A181),2))</f>
        <v>0</v>
      </c>
      <c r="BK181" s="33">
        <f>IF(B181="","",IF(OR(BI181="",BI181=0),"",BJ181/BI181))</f>
        <v>0</v>
      </c>
      <c r="BL181" s="17">
        <f>IF(B181="","",IF(SUMPRODUCT(MAX((Sales!$C$5:$C$804=A181)*Sales!$B$5:$B$804))=0,"",SUMPRODUCT(MAX((Sales!$C$5:$C$804=A181)*Sales!$B$5:$B$804))))</f>
        <v>0</v>
      </c>
      <c r="BM181" s="17">
        <f>IF(B181="","",IF(SUMPRODUCT(MAX(('Price History'!$B$5:$B$304=A181)*'Price History'!$A$5:$A$304))=0,IF(P181="","",P181),SUMPRODUCT(MAX(('Price History'!$B$5:$B$304=A181)*'Price History'!$A$5:$A$304))))</f>
        <v>0</v>
      </c>
      <c r="BN181" s="32">
        <f>IF(B181="","",IF(BM181="","",TodayDate-BM181))</f>
        <v>0</v>
      </c>
      <c r="BO181" s="32">
        <f>IF(B181="","",COUNTIFS($AV$5:$AV$304,"&gt;"&amp;AV181)+COUNTIFS($AV$5:AV181,AV181))</f>
        <v>0</v>
      </c>
      <c r="BP181" s="32">
        <f>IF(B181="","",COUNTIFS($AW$5:$AW$304,"&gt;"&amp;AW181)+COUNTIFS($AW$5:AW181,AW181))</f>
        <v>0</v>
      </c>
      <c r="BQ181" s="32">
        <f>IF(B181="","",COUNTIFS($BI$5:$BI$304,"&gt;"&amp;BI181)+COUNTIFS($BI$5:BI181,BI181))</f>
        <v>0</v>
      </c>
      <c r="BR181" s="32">
        <f>IF(B181="","",COUNTIFS($AY$5:$AY$304,"&gt;"&amp;AY181)+COUNTIFS($AY$5:AY181,AY181))</f>
        <v>0</v>
      </c>
      <c r="BS181" s="43">
        <f>IF(B181="","",IF(AH181=0,"Add - no costs entered yet",IF(AR181="","Check - no price yet",IF(AV181&lt;0,"Loss - every sale costs you money",IF(AND(AZ181&lt;&gt;"",AZ181&lt;MinimumWage),"Below - pays under minimum wage",IF(AW181&lt;MarginWarning,"Low margin - re-price it",IF(AND(AF181&lt;&gt;"",K181&lt;&gt;"",K181+AC181&gt;AF181),"Check - too heavy for that postage band",IF(AND(BN181&lt;&gt;"",BN181&gt;PriceReviewDays),"Due - price has not been reviewed",IF(AND(BG181&lt;&gt;"",BG181&gt;0.5),"Check - well above the market","OK")))))))) )</f>
        <v>0</v>
      </c>
    </row>
    <row r="182" spans="1:71">
      <c r="A182" s="38">
        <f>IF(B182="","",ProductPrefix&amp;TEXT(ROW()-4,"0000"))</f>
        <v>0</v>
      </c>
      <c r="S182" s="38">
        <f>IF(B182="","",IF(C182&lt;&gt;"",C182,UPPER(LEFT(IF(D182="","GEN",D182),3))&amp;"-"&amp;TEXT(ROW()-4,"000")))</f>
        <v>0</v>
      </c>
      <c r="T182" s="20">
        <f>IF(B182="","",ROUND(SUMIFS('Material Usage'!$M$5:$M$904,'Material Usage'!$A$5:$A$904,A182)+SUMIFS(Crochet!$AD$5:$AD$84,Crochet!$A$5:$A$84,A182)+SUMIFS(Jewelry!$AF$5:$AF$84,Jewelry!$A$5:$A$84,A182)+SUMIFS(Candles!$AF$5:$AF$84,Candles!$A$5:$A$84,A182)+SUMIFS(Clothing!$AB$5:$AB$84,Clothing!$A$5:$A$84,A182)+SUMIFS(Woodworking!$AC$5:$AC$84,Woodworking!$A$5:$A$84,A182)+SUMIFS(Digital!$X$5:$X$84,Digital!$A$5:$A$84,A182),2))</f>
        <v>0</v>
      </c>
      <c r="U182" s="20">
        <f>IF(B182="","",ROUND(SUMIFS(Labor!$O$5:$O$304,Labor!$A$5:$A$304,A182)+SUMIFS(Crochet!$AG$5:$AG$84,Crochet!$A$5:$A$84,A182)+SUMIFS(Jewelry!$AI$5:$AI$84,Jewelry!$A$5:$A$84,A182)+SUMIFS(Candles!$AI$5:$AI$84,Candles!$A$5:$A$84,A182)+SUMIFS(Clothing!$AE$5:$AE$84,Clothing!$A$5:$A$84,A182)+SUMIFS(Woodworking!$AF$5:$AF$84,Woodworking!$A$5:$A$84,A182)+SUMIFS(Digital!$Z$5:$Z$84,Digital!$A$5:$A$84,A182),2))</f>
        <v>0</v>
      </c>
      <c r="V182" s="36">
        <f>IF(B182="","",ROUND(SUMIFS(Labor!$P$5:$P$304,Labor!$A$5:$A$304,A182)+SUMIFS(Crochet!$AE$5:$AE$84,Crochet!$A$5:$A$84,A182)+SUMIFS(Jewelry!$AG$5:$AG$84,Jewelry!$A$5:$A$84,A182)+SUMIFS(Candles!$AG$5:$AG$84,Candles!$A$5:$A$84,A182)+SUMIFS(Clothing!$AC$5:$AC$84,Clothing!$A$5:$A$84,A182)+SUMIFS(Woodworking!$AD$5:$AD$84,Woodworking!$A$5:$A$84,A182)+SUMIFS(Digital!$Y$5:$Y$84,Digital!$A$5:$A$84,A182),1))</f>
        <v>0</v>
      </c>
      <c r="W182" s="41">
        <f>IF(B182="","",IFERROR(INDEX(DiffTimeFactors,MATCH(G182,DiffNames,0)),1))</f>
        <v>0</v>
      </c>
      <c r="X182" s="36">
        <f>IF(B182="","",ROUND(V182*W182,1))</f>
        <v>0</v>
      </c>
      <c r="Y182" s="41">
        <f>IF(B182="","",ROUND(X182/60,3))</f>
        <v>0</v>
      </c>
      <c r="Z182" s="20">
        <f>IF(B182="","",ROUND(U182*W182,2))</f>
        <v>0</v>
      </c>
      <c r="AA182" s="20">
        <f>IF(B182="","",ROUND(SUMIFS(Labor!$Q$5:$Q$304,Labor!$A$5:$A$304,A182)+SUMIFS(Crochet!$AH$5:$AH$84,Crochet!$A$5:$A$84,A182)+SUMIFS(Jewelry!$AJ$5:$AJ$84,Jewelry!$A$5:$A$84,A182)+SUMIFS(Candles!$AJ$5:$AJ$84,Candles!$A$5:$A$84,A182)+SUMIFS(Clothing!$AF$5:$AF$84,Clothing!$A$5:$A$84,A182)+SUMIFS(Woodworking!$AH$5:$AH$84,Woodworking!$A$5:$A$84,A182)+SUMIFS(Digital!$AA$5:$AA$84,Digital!$A$5:$A$84,A182),2))</f>
        <v>0</v>
      </c>
      <c r="AB182" s="20">
        <f>IF(B182="","",ROUND(IF(I182="Budget",PackBudget,IF(I182="Standard",PackStandard,IF(I182="Gift",PackGift,IF(I182="Premium",PackPremium,DefaultPackaging)))),2))</f>
        <v>0</v>
      </c>
      <c r="AC182" s="36">
        <f>IF(B182="","",IF(I182="Budget",PackWeightBudget,IF(I182="Standard",PackWeightStandard,IF(I182="Gift",PackWeightGift,IF(I182="Premium",PackWeightPremium,0)))))</f>
        <v>0</v>
      </c>
      <c r="AD182" s="20">
        <f>IF(B182="","",IFERROR(INDEX(Shipping!$M$5:$M$64,MATCH(J182,Shipping!$L$5:$L$64,0)),DefaultShipping))</f>
        <v>0</v>
      </c>
      <c r="AE182" s="20">
        <f>IF(B182="","",IFERROR(INDEX(Shipping!$F$5:$F$64,MATCH(J182,Shipping!$L$5:$L$64,0)),0))</f>
        <v>0</v>
      </c>
      <c r="AF182" s="36">
        <f>IF(B182="","",IFERROR(INDEX(Shipping!$C$5:$C$64,MATCH(J182,Shipping!$L$5:$L$64,0)),""))</f>
        <v>0</v>
      </c>
      <c r="AG182" s="20">
        <f>IF(B182="","",ROUND(MAX(0,AD182-AE182),2))</f>
        <v>0</v>
      </c>
      <c r="AH182" s="20">
        <f>IF(B182="","",ROUND(T182+Z182+AA182+AB182+AG182,2))</f>
        <v>0</v>
      </c>
      <c r="AI182" s="33">
        <f>IF(B182="","",IFERROR(INDEX(Channels!$S$5:$S$18,MATCH(IF(H182="",DefaultChannel,H182),Channels!$A$5:$A$18,0)),0))</f>
        <v>0</v>
      </c>
      <c r="AJ182" s="42">
        <f>IF(B182="","",IFERROR(INDEX(Channels!$O$5:$O$18,MATCH(IF(H182="",DefaultChannel,H182),Channels!$A$5:$A$18,0)),"No"))</f>
        <v>0</v>
      </c>
      <c r="AK182" s="20">
        <f>IF(B182="","",ROUND(IFERROR(INDEX(Channels!$T$5:$T$18,MATCH(IF(H182="",DefaultChannel,H182),Channels!$A$5:$A$18,0)),0)+IF(AJ182="Yes",AE182*AI182,0),4))</f>
        <v>0</v>
      </c>
      <c r="AL182" s="33">
        <f>IF(B182="","",IF(OverheadMethod="Share of revenue",IF(RevenueTargetMonth&lt;=0,0,OverheadMonthly/RevenueTargetMonth),0))</f>
        <v>0</v>
      </c>
      <c r="AM182" s="20">
        <f>IF(B182="","",IF(OverheadMethod="Per hour worked",ROUND(OverheadPerHour*Y182,2),IF(OR(OverheadMethod="Per unit made",OverheadMethod="Per order"),OverheadPerUnit,0)))</f>
        <v>0</v>
      </c>
      <c r="AN182" s="33">
        <f>IF(B182="","",IF(N182&lt;&gt;"",N182,TargetRetailMargin))</f>
        <v>0</v>
      </c>
      <c r="AO182" s="41">
        <f>IF(B182="","",1-AN182-AI182-AL182)</f>
        <v>0</v>
      </c>
      <c r="AP182" s="20">
        <f>IF(B182="","",IF(AO182&lt;=0,"",(AH182+AM182+AK182)/AO182))</f>
        <v>0</v>
      </c>
      <c r="AQ182" s="20">
        <f>IF(B182="","",IF(AP182="","Check the settings",ROUND(IF(RoundingRule="None",AP182,IF(RoundingRule="Nearest 0.99",MAX(0.99,CEILING(AP182,1)-0.01),IF(RoundingRule="Nearest 0.95",MAX(0.95,CEILING(AP182,1)-0.05),IF(RoundingRule="Nearest 0.50",CEILING(AP182,0.5),IF(RoundingRule="Nearest 1",CEILING(AP182,1),IF(RoundingRule="Nearest 5",CEILING(AP182,5),IF(RoundingRule="Up to whole 1",CEILING(AP182,1),IF(RoundingRule="Up to whole 5",CEILING(AP182,5),ROUND(AP182,2))))))))),2)))</f>
        <v>0</v>
      </c>
      <c r="AR182" s="20">
        <f>IF(B182="","",IF(M182&lt;&gt;"",M182,IF(ISNUMBER(AQ182),AQ182,"")))</f>
        <v>0</v>
      </c>
      <c r="AS182" s="20">
        <f>IF(B182="","",IF(AR182="","",ROUND(AM182+AR182*AL182,2)))</f>
        <v>0</v>
      </c>
      <c r="AT182" s="20">
        <f>IF(B182="","",IF(AR182="","",ROUND(AH182+AS182,2)))</f>
        <v>0</v>
      </c>
      <c r="AU182" s="20">
        <f>IF(B182="","",IF(AR182="","",ROUND(AR182*AI182+AK182,2)))</f>
        <v>0</v>
      </c>
      <c r="AV182" s="20">
        <f>IF(B182="","",IF(AR182="","",ROUND(AR182-AT182-AU182,2)))</f>
        <v>0</v>
      </c>
      <c r="AW182" s="33">
        <f>IF(B182="","",IF(OR(AR182="",AR182=0),"",AV182/AR182))</f>
        <v>0</v>
      </c>
      <c r="AX182" s="33">
        <f>IF(B182="","",IF(OR(AT182="",AT182=0),"",AV182/AT182))</f>
        <v>0</v>
      </c>
      <c r="AY182" s="20">
        <f>IF(B182="","",IF(OR(Y182="",Y182=0,AV182=""),"",ROUND(AV182/Y182,2)))</f>
        <v>0</v>
      </c>
      <c r="AZ182" s="20">
        <f>IF(B182="","",IF(OR(Y182="",Y182=0,AV182=""),"",ROUND((AV182+Z182)/Y182,2)))</f>
        <v>0</v>
      </c>
      <c r="BA182" s="20">
        <f>IF(B182="","",IF(1-AI182-AL182&lt;=0,"",ROUND((AH182+AM182+AK182)/(1-AI182-AL182),2)))</f>
        <v>0</v>
      </c>
      <c r="BB182" s="20">
        <f>IF(B182="","",IF(AT182="","",ROUND(AT182*2,2)))</f>
        <v>0</v>
      </c>
      <c r="BC182" s="20">
        <f>IF(B182="","",IF(AR182="","",ROUND(AR182*(1-WholesaleDiscount),2)))</f>
        <v>0</v>
      </c>
      <c r="BD182" s="20">
        <f>IF(B182="","",IF(BC182="","",ROUND(BC182-AH182-AM182,2)))</f>
        <v>0</v>
      </c>
      <c r="BE182" s="33">
        <f>IF(B182="","",IF(OR(BC182="",BC182=0),"",BD182/BC182))</f>
        <v>0</v>
      </c>
      <c r="BF182" s="20">
        <f>IF(B182="","",IFERROR(ROUND(AVERAGEIFS(Competitors!$F$5:$F$154,Competitors!$A$5:$A$154,A182),2),""))</f>
        <v>0</v>
      </c>
      <c r="BG182" s="33">
        <f>IF(B182="","",IF(OR(BF182="",BF182=0,AR182=""),"",AR182/BF182-1))</f>
        <v>0</v>
      </c>
      <c r="BH182" s="32">
        <f>IF(B182="","",SUMIFS(Sales!$D$5:$D$804,Sales!$C$5:$C$804,A182))</f>
        <v>0</v>
      </c>
      <c r="BI182" s="20">
        <f>IF(B182="","",ROUND(SUMIFS(Sales!$V$5:$V$804,Sales!$C$5:$C$804,A182),2))</f>
        <v>0</v>
      </c>
      <c r="BJ182" s="20">
        <f>IF(B182="","",ROUND(SUMIFS(Sales!$AG$5:$AG$804,Sales!$C$5:$C$804,A182),2))</f>
        <v>0</v>
      </c>
      <c r="BK182" s="33">
        <f>IF(B182="","",IF(OR(BI182="",BI182=0),"",BJ182/BI182))</f>
        <v>0</v>
      </c>
      <c r="BL182" s="17">
        <f>IF(B182="","",IF(SUMPRODUCT(MAX((Sales!$C$5:$C$804=A182)*Sales!$B$5:$B$804))=0,"",SUMPRODUCT(MAX((Sales!$C$5:$C$804=A182)*Sales!$B$5:$B$804))))</f>
        <v>0</v>
      </c>
      <c r="BM182" s="17">
        <f>IF(B182="","",IF(SUMPRODUCT(MAX(('Price History'!$B$5:$B$304=A182)*'Price History'!$A$5:$A$304))=0,IF(P182="","",P182),SUMPRODUCT(MAX(('Price History'!$B$5:$B$304=A182)*'Price History'!$A$5:$A$304))))</f>
        <v>0</v>
      </c>
      <c r="BN182" s="32">
        <f>IF(B182="","",IF(BM182="","",TodayDate-BM182))</f>
        <v>0</v>
      </c>
      <c r="BO182" s="32">
        <f>IF(B182="","",COUNTIFS($AV$5:$AV$304,"&gt;"&amp;AV182)+COUNTIFS($AV$5:AV182,AV182))</f>
        <v>0</v>
      </c>
      <c r="BP182" s="32">
        <f>IF(B182="","",COUNTIFS($AW$5:$AW$304,"&gt;"&amp;AW182)+COUNTIFS($AW$5:AW182,AW182))</f>
        <v>0</v>
      </c>
      <c r="BQ182" s="32">
        <f>IF(B182="","",COUNTIFS($BI$5:$BI$304,"&gt;"&amp;BI182)+COUNTIFS($BI$5:BI182,BI182))</f>
        <v>0</v>
      </c>
      <c r="BR182" s="32">
        <f>IF(B182="","",COUNTIFS($AY$5:$AY$304,"&gt;"&amp;AY182)+COUNTIFS($AY$5:AY182,AY182))</f>
        <v>0</v>
      </c>
      <c r="BS182" s="43">
        <f>IF(B182="","",IF(AH182=0,"Add - no costs entered yet",IF(AR182="","Check - no price yet",IF(AV182&lt;0,"Loss - every sale costs you money",IF(AND(AZ182&lt;&gt;"",AZ182&lt;MinimumWage),"Below - pays under minimum wage",IF(AW182&lt;MarginWarning,"Low margin - re-price it",IF(AND(AF182&lt;&gt;"",K182&lt;&gt;"",K182+AC182&gt;AF182),"Check - too heavy for that postage band",IF(AND(BN182&lt;&gt;"",BN182&gt;PriceReviewDays),"Due - price has not been reviewed",IF(AND(BG182&lt;&gt;"",BG182&gt;0.5),"Check - well above the market","OK")))))))) )</f>
        <v>0</v>
      </c>
    </row>
    <row r="183" spans="1:71">
      <c r="A183" s="38">
        <f>IF(B183="","",ProductPrefix&amp;TEXT(ROW()-4,"0000"))</f>
        <v>0</v>
      </c>
      <c r="S183" s="38">
        <f>IF(B183="","",IF(C183&lt;&gt;"",C183,UPPER(LEFT(IF(D183="","GEN",D183),3))&amp;"-"&amp;TEXT(ROW()-4,"000")))</f>
        <v>0</v>
      </c>
      <c r="T183" s="20">
        <f>IF(B183="","",ROUND(SUMIFS('Material Usage'!$M$5:$M$904,'Material Usage'!$A$5:$A$904,A183)+SUMIFS(Crochet!$AD$5:$AD$84,Crochet!$A$5:$A$84,A183)+SUMIFS(Jewelry!$AF$5:$AF$84,Jewelry!$A$5:$A$84,A183)+SUMIFS(Candles!$AF$5:$AF$84,Candles!$A$5:$A$84,A183)+SUMIFS(Clothing!$AB$5:$AB$84,Clothing!$A$5:$A$84,A183)+SUMIFS(Woodworking!$AC$5:$AC$84,Woodworking!$A$5:$A$84,A183)+SUMIFS(Digital!$X$5:$X$84,Digital!$A$5:$A$84,A183),2))</f>
        <v>0</v>
      </c>
      <c r="U183" s="20">
        <f>IF(B183="","",ROUND(SUMIFS(Labor!$O$5:$O$304,Labor!$A$5:$A$304,A183)+SUMIFS(Crochet!$AG$5:$AG$84,Crochet!$A$5:$A$84,A183)+SUMIFS(Jewelry!$AI$5:$AI$84,Jewelry!$A$5:$A$84,A183)+SUMIFS(Candles!$AI$5:$AI$84,Candles!$A$5:$A$84,A183)+SUMIFS(Clothing!$AE$5:$AE$84,Clothing!$A$5:$A$84,A183)+SUMIFS(Woodworking!$AF$5:$AF$84,Woodworking!$A$5:$A$84,A183)+SUMIFS(Digital!$Z$5:$Z$84,Digital!$A$5:$A$84,A183),2))</f>
        <v>0</v>
      </c>
      <c r="V183" s="36">
        <f>IF(B183="","",ROUND(SUMIFS(Labor!$P$5:$P$304,Labor!$A$5:$A$304,A183)+SUMIFS(Crochet!$AE$5:$AE$84,Crochet!$A$5:$A$84,A183)+SUMIFS(Jewelry!$AG$5:$AG$84,Jewelry!$A$5:$A$84,A183)+SUMIFS(Candles!$AG$5:$AG$84,Candles!$A$5:$A$84,A183)+SUMIFS(Clothing!$AC$5:$AC$84,Clothing!$A$5:$A$84,A183)+SUMIFS(Woodworking!$AD$5:$AD$84,Woodworking!$A$5:$A$84,A183)+SUMIFS(Digital!$Y$5:$Y$84,Digital!$A$5:$A$84,A183),1))</f>
        <v>0</v>
      </c>
      <c r="W183" s="41">
        <f>IF(B183="","",IFERROR(INDEX(DiffTimeFactors,MATCH(G183,DiffNames,0)),1))</f>
        <v>0</v>
      </c>
      <c r="X183" s="36">
        <f>IF(B183="","",ROUND(V183*W183,1))</f>
        <v>0</v>
      </c>
      <c r="Y183" s="41">
        <f>IF(B183="","",ROUND(X183/60,3))</f>
        <v>0</v>
      </c>
      <c r="Z183" s="20">
        <f>IF(B183="","",ROUND(U183*W183,2))</f>
        <v>0</v>
      </c>
      <c r="AA183" s="20">
        <f>IF(B183="","",ROUND(SUMIFS(Labor!$Q$5:$Q$304,Labor!$A$5:$A$304,A183)+SUMIFS(Crochet!$AH$5:$AH$84,Crochet!$A$5:$A$84,A183)+SUMIFS(Jewelry!$AJ$5:$AJ$84,Jewelry!$A$5:$A$84,A183)+SUMIFS(Candles!$AJ$5:$AJ$84,Candles!$A$5:$A$84,A183)+SUMIFS(Clothing!$AF$5:$AF$84,Clothing!$A$5:$A$84,A183)+SUMIFS(Woodworking!$AH$5:$AH$84,Woodworking!$A$5:$A$84,A183)+SUMIFS(Digital!$AA$5:$AA$84,Digital!$A$5:$A$84,A183),2))</f>
        <v>0</v>
      </c>
      <c r="AB183" s="20">
        <f>IF(B183="","",ROUND(IF(I183="Budget",PackBudget,IF(I183="Standard",PackStandard,IF(I183="Gift",PackGift,IF(I183="Premium",PackPremium,DefaultPackaging)))),2))</f>
        <v>0</v>
      </c>
      <c r="AC183" s="36">
        <f>IF(B183="","",IF(I183="Budget",PackWeightBudget,IF(I183="Standard",PackWeightStandard,IF(I183="Gift",PackWeightGift,IF(I183="Premium",PackWeightPremium,0)))))</f>
        <v>0</v>
      </c>
      <c r="AD183" s="20">
        <f>IF(B183="","",IFERROR(INDEX(Shipping!$M$5:$M$64,MATCH(J183,Shipping!$L$5:$L$64,0)),DefaultShipping))</f>
        <v>0</v>
      </c>
      <c r="AE183" s="20">
        <f>IF(B183="","",IFERROR(INDEX(Shipping!$F$5:$F$64,MATCH(J183,Shipping!$L$5:$L$64,0)),0))</f>
        <v>0</v>
      </c>
      <c r="AF183" s="36">
        <f>IF(B183="","",IFERROR(INDEX(Shipping!$C$5:$C$64,MATCH(J183,Shipping!$L$5:$L$64,0)),""))</f>
        <v>0</v>
      </c>
      <c r="AG183" s="20">
        <f>IF(B183="","",ROUND(MAX(0,AD183-AE183),2))</f>
        <v>0</v>
      </c>
      <c r="AH183" s="20">
        <f>IF(B183="","",ROUND(T183+Z183+AA183+AB183+AG183,2))</f>
        <v>0</v>
      </c>
      <c r="AI183" s="33">
        <f>IF(B183="","",IFERROR(INDEX(Channels!$S$5:$S$18,MATCH(IF(H183="",DefaultChannel,H183),Channels!$A$5:$A$18,0)),0))</f>
        <v>0</v>
      </c>
      <c r="AJ183" s="42">
        <f>IF(B183="","",IFERROR(INDEX(Channels!$O$5:$O$18,MATCH(IF(H183="",DefaultChannel,H183),Channels!$A$5:$A$18,0)),"No"))</f>
        <v>0</v>
      </c>
      <c r="AK183" s="20">
        <f>IF(B183="","",ROUND(IFERROR(INDEX(Channels!$T$5:$T$18,MATCH(IF(H183="",DefaultChannel,H183),Channels!$A$5:$A$18,0)),0)+IF(AJ183="Yes",AE183*AI183,0),4))</f>
        <v>0</v>
      </c>
      <c r="AL183" s="33">
        <f>IF(B183="","",IF(OverheadMethod="Share of revenue",IF(RevenueTargetMonth&lt;=0,0,OverheadMonthly/RevenueTargetMonth),0))</f>
        <v>0</v>
      </c>
      <c r="AM183" s="20">
        <f>IF(B183="","",IF(OverheadMethod="Per hour worked",ROUND(OverheadPerHour*Y183,2),IF(OR(OverheadMethod="Per unit made",OverheadMethod="Per order"),OverheadPerUnit,0)))</f>
        <v>0</v>
      </c>
      <c r="AN183" s="33">
        <f>IF(B183="","",IF(N183&lt;&gt;"",N183,TargetRetailMargin))</f>
        <v>0</v>
      </c>
      <c r="AO183" s="41">
        <f>IF(B183="","",1-AN183-AI183-AL183)</f>
        <v>0</v>
      </c>
      <c r="AP183" s="20">
        <f>IF(B183="","",IF(AO183&lt;=0,"",(AH183+AM183+AK183)/AO183))</f>
        <v>0</v>
      </c>
      <c r="AQ183" s="20">
        <f>IF(B183="","",IF(AP183="","Check the settings",ROUND(IF(RoundingRule="None",AP183,IF(RoundingRule="Nearest 0.99",MAX(0.99,CEILING(AP183,1)-0.01),IF(RoundingRule="Nearest 0.95",MAX(0.95,CEILING(AP183,1)-0.05),IF(RoundingRule="Nearest 0.50",CEILING(AP183,0.5),IF(RoundingRule="Nearest 1",CEILING(AP183,1),IF(RoundingRule="Nearest 5",CEILING(AP183,5),IF(RoundingRule="Up to whole 1",CEILING(AP183,1),IF(RoundingRule="Up to whole 5",CEILING(AP183,5),ROUND(AP183,2))))))))),2)))</f>
        <v>0</v>
      </c>
      <c r="AR183" s="20">
        <f>IF(B183="","",IF(M183&lt;&gt;"",M183,IF(ISNUMBER(AQ183),AQ183,"")))</f>
        <v>0</v>
      </c>
      <c r="AS183" s="20">
        <f>IF(B183="","",IF(AR183="","",ROUND(AM183+AR183*AL183,2)))</f>
        <v>0</v>
      </c>
      <c r="AT183" s="20">
        <f>IF(B183="","",IF(AR183="","",ROUND(AH183+AS183,2)))</f>
        <v>0</v>
      </c>
      <c r="AU183" s="20">
        <f>IF(B183="","",IF(AR183="","",ROUND(AR183*AI183+AK183,2)))</f>
        <v>0</v>
      </c>
      <c r="AV183" s="20">
        <f>IF(B183="","",IF(AR183="","",ROUND(AR183-AT183-AU183,2)))</f>
        <v>0</v>
      </c>
      <c r="AW183" s="33">
        <f>IF(B183="","",IF(OR(AR183="",AR183=0),"",AV183/AR183))</f>
        <v>0</v>
      </c>
      <c r="AX183" s="33">
        <f>IF(B183="","",IF(OR(AT183="",AT183=0),"",AV183/AT183))</f>
        <v>0</v>
      </c>
      <c r="AY183" s="20">
        <f>IF(B183="","",IF(OR(Y183="",Y183=0,AV183=""),"",ROUND(AV183/Y183,2)))</f>
        <v>0</v>
      </c>
      <c r="AZ183" s="20">
        <f>IF(B183="","",IF(OR(Y183="",Y183=0,AV183=""),"",ROUND((AV183+Z183)/Y183,2)))</f>
        <v>0</v>
      </c>
      <c r="BA183" s="20">
        <f>IF(B183="","",IF(1-AI183-AL183&lt;=0,"",ROUND((AH183+AM183+AK183)/(1-AI183-AL183),2)))</f>
        <v>0</v>
      </c>
      <c r="BB183" s="20">
        <f>IF(B183="","",IF(AT183="","",ROUND(AT183*2,2)))</f>
        <v>0</v>
      </c>
      <c r="BC183" s="20">
        <f>IF(B183="","",IF(AR183="","",ROUND(AR183*(1-WholesaleDiscount),2)))</f>
        <v>0</v>
      </c>
      <c r="BD183" s="20">
        <f>IF(B183="","",IF(BC183="","",ROUND(BC183-AH183-AM183,2)))</f>
        <v>0</v>
      </c>
      <c r="BE183" s="33">
        <f>IF(B183="","",IF(OR(BC183="",BC183=0),"",BD183/BC183))</f>
        <v>0</v>
      </c>
      <c r="BF183" s="20">
        <f>IF(B183="","",IFERROR(ROUND(AVERAGEIFS(Competitors!$F$5:$F$154,Competitors!$A$5:$A$154,A183),2),""))</f>
        <v>0</v>
      </c>
      <c r="BG183" s="33">
        <f>IF(B183="","",IF(OR(BF183="",BF183=0,AR183=""),"",AR183/BF183-1))</f>
        <v>0</v>
      </c>
      <c r="BH183" s="32">
        <f>IF(B183="","",SUMIFS(Sales!$D$5:$D$804,Sales!$C$5:$C$804,A183))</f>
        <v>0</v>
      </c>
      <c r="BI183" s="20">
        <f>IF(B183="","",ROUND(SUMIFS(Sales!$V$5:$V$804,Sales!$C$5:$C$804,A183),2))</f>
        <v>0</v>
      </c>
      <c r="BJ183" s="20">
        <f>IF(B183="","",ROUND(SUMIFS(Sales!$AG$5:$AG$804,Sales!$C$5:$C$804,A183),2))</f>
        <v>0</v>
      </c>
      <c r="BK183" s="33">
        <f>IF(B183="","",IF(OR(BI183="",BI183=0),"",BJ183/BI183))</f>
        <v>0</v>
      </c>
      <c r="BL183" s="17">
        <f>IF(B183="","",IF(SUMPRODUCT(MAX((Sales!$C$5:$C$804=A183)*Sales!$B$5:$B$804))=0,"",SUMPRODUCT(MAX((Sales!$C$5:$C$804=A183)*Sales!$B$5:$B$804))))</f>
        <v>0</v>
      </c>
      <c r="BM183" s="17">
        <f>IF(B183="","",IF(SUMPRODUCT(MAX(('Price History'!$B$5:$B$304=A183)*'Price History'!$A$5:$A$304))=0,IF(P183="","",P183),SUMPRODUCT(MAX(('Price History'!$B$5:$B$304=A183)*'Price History'!$A$5:$A$304))))</f>
        <v>0</v>
      </c>
      <c r="BN183" s="32">
        <f>IF(B183="","",IF(BM183="","",TodayDate-BM183))</f>
        <v>0</v>
      </c>
      <c r="BO183" s="32">
        <f>IF(B183="","",COUNTIFS($AV$5:$AV$304,"&gt;"&amp;AV183)+COUNTIFS($AV$5:AV183,AV183))</f>
        <v>0</v>
      </c>
      <c r="BP183" s="32">
        <f>IF(B183="","",COUNTIFS($AW$5:$AW$304,"&gt;"&amp;AW183)+COUNTIFS($AW$5:AW183,AW183))</f>
        <v>0</v>
      </c>
      <c r="BQ183" s="32">
        <f>IF(B183="","",COUNTIFS($BI$5:$BI$304,"&gt;"&amp;BI183)+COUNTIFS($BI$5:BI183,BI183))</f>
        <v>0</v>
      </c>
      <c r="BR183" s="32">
        <f>IF(B183="","",COUNTIFS($AY$5:$AY$304,"&gt;"&amp;AY183)+COUNTIFS($AY$5:AY183,AY183))</f>
        <v>0</v>
      </c>
      <c r="BS183" s="43">
        <f>IF(B183="","",IF(AH183=0,"Add - no costs entered yet",IF(AR183="","Check - no price yet",IF(AV183&lt;0,"Loss - every sale costs you money",IF(AND(AZ183&lt;&gt;"",AZ183&lt;MinimumWage),"Below - pays under minimum wage",IF(AW183&lt;MarginWarning,"Low margin - re-price it",IF(AND(AF183&lt;&gt;"",K183&lt;&gt;"",K183+AC183&gt;AF183),"Check - too heavy for that postage band",IF(AND(BN183&lt;&gt;"",BN183&gt;PriceReviewDays),"Due - price has not been reviewed",IF(AND(BG183&lt;&gt;"",BG183&gt;0.5),"Check - well above the market","OK")))))))) )</f>
        <v>0</v>
      </c>
    </row>
    <row r="184" spans="1:71">
      <c r="A184" s="38">
        <f>IF(B184="","",ProductPrefix&amp;TEXT(ROW()-4,"0000"))</f>
        <v>0</v>
      </c>
      <c r="S184" s="38">
        <f>IF(B184="","",IF(C184&lt;&gt;"",C184,UPPER(LEFT(IF(D184="","GEN",D184),3))&amp;"-"&amp;TEXT(ROW()-4,"000")))</f>
        <v>0</v>
      </c>
      <c r="T184" s="20">
        <f>IF(B184="","",ROUND(SUMIFS('Material Usage'!$M$5:$M$904,'Material Usage'!$A$5:$A$904,A184)+SUMIFS(Crochet!$AD$5:$AD$84,Crochet!$A$5:$A$84,A184)+SUMIFS(Jewelry!$AF$5:$AF$84,Jewelry!$A$5:$A$84,A184)+SUMIFS(Candles!$AF$5:$AF$84,Candles!$A$5:$A$84,A184)+SUMIFS(Clothing!$AB$5:$AB$84,Clothing!$A$5:$A$84,A184)+SUMIFS(Woodworking!$AC$5:$AC$84,Woodworking!$A$5:$A$84,A184)+SUMIFS(Digital!$X$5:$X$84,Digital!$A$5:$A$84,A184),2))</f>
        <v>0</v>
      </c>
      <c r="U184" s="20">
        <f>IF(B184="","",ROUND(SUMIFS(Labor!$O$5:$O$304,Labor!$A$5:$A$304,A184)+SUMIFS(Crochet!$AG$5:$AG$84,Crochet!$A$5:$A$84,A184)+SUMIFS(Jewelry!$AI$5:$AI$84,Jewelry!$A$5:$A$84,A184)+SUMIFS(Candles!$AI$5:$AI$84,Candles!$A$5:$A$84,A184)+SUMIFS(Clothing!$AE$5:$AE$84,Clothing!$A$5:$A$84,A184)+SUMIFS(Woodworking!$AF$5:$AF$84,Woodworking!$A$5:$A$84,A184)+SUMIFS(Digital!$Z$5:$Z$84,Digital!$A$5:$A$84,A184),2))</f>
        <v>0</v>
      </c>
      <c r="V184" s="36">
        <f>IF(B184="","",ROUND(SUMIFS(Labor!$P$5:$P$304,Labor!$A$5:$A$304,A184)+SUMIFS(Crochet!$AE$5:$AE$84,Crochet!$A$5:$A$84,A184)+SUMIFS(Jewelry!$AG$5:$AG$84,Jewelry!$A$5:$A$84,A184)+SUMIFS(Candles!$AG$5:$AG$84,Candles!$A$5:$A$84,A184)+SUMIFS(Clothing!$AC$5:$AC$84,Clothing!$A$5:$A$84,A184)+SUMIFS(Woodworking!$AD$5:$AD$84,Woodworking!$A$5:$A$84,A184)+SUMIFS(Digital!$Y$5:$Y$84,Digital!$A$5:$A$84,A184),1))</f>
        <v>0</v>
      </c>
      <c r="W184" s="41">
        <f>IF(B184="","",IFERROR(INDEX(DiffTimeFactors,MATCH(G184,DiffNames,0)),1))</f>
        <v>0</v>
      </c>
      <c r="X184" s="36">
        <f>IF(B184="","",ROUND(V184*W184,1))</f>
        <v>0</v>
      </c>
      <c r="Y184" s="41">
        <f>IF(B184="","",ROUND(X184/60,3))</f>
        <v>0</v>
      </c>
      <c r="Z184" s="20">
        <f>IF(B184="","",ROUND(U184*W184,2))</f>
        <v>0</v>
      </c>
      <c r="AA184" s="20">
        <f>IF(B184="","",ROUND(SUMIFS(Labor!$Q$5:$Q$304,Labor!$A$5:$A$304,A184)+SUMIFS(Crochet!$AH$5:$AH$84,Crochet!$A$5:$A$84,A184)+SUMIFS(Jewelry!$AJ$5:$AJ$84,Jewelry!$A$5:$A$84,A184)+SUMIFS(Candles!$AJ$5:$AJ$84,Candles!$A$5:$A$84,A184)+SUMIFS(Clothing!$AF$5:$AF$84,Clothing!$A$5:$A$84,A184)+SUMIFS(Woodworking!$AH$5:$AH$84,Woodworking!$A$5:$A$84,A184)+SUMIFS(Digital!$AA$5:$AA$84,Digital!$A$5:$A$84,A184),2))</f>
        <v>0</v>
      </c>
      <c r="AB184" s="20">
        <f>IF(B184="","",ROUND(IF(I184="Budget",PackBudget,IF(I184="Standard",PackStandard,IF(I184="Gift",PackGift,IF(I184="Premium",PackPremium,DefaultPackaging)))),2))</f>
        <v>0</v>
      </c>
      <c r="AC184" s="36">
        <f>IF(B184="","",IF(I184="Budget",PackWeightBudget,IF(I184="Standard",PackWeightStandard,IF(I184="Gift",PackWeightGift,IF(I184="Premium",PackWeightPremium,0)))))</f>
        <v>0</v>
      </c>
      <c r="AD184" s="20">
        <f>IF(B184="","",IFERROR(INDEX(Shipping!$M$5:$M$64,MATCH(J184,Shipping!$L$5:$L$64,0)),DefaultShipping))</f>
        <v>0</v>
      </c>
      <c r="AE184" s="20">
        <f>IF(B184="","",IFERROR(INDEX(Shipping!$F$5:$F$64,MATCH(J184,Shipping!$L$5:$L$64,0)),0))</f>
        <v>0</v>
      </c>
      <c r="AF184" s="36">
        <f>IF(B184="","",IFERROR(INDEX(Shipping!$C$5:$C$64,MATCH(J184,Shipping!$L$5:$L$64,0)),""))</f>
        <v>0</v>
      </c>
      <c r="AG184" s="20">
        <f>IF(B184="","",ROUND(MAX(0,AD184-AE184),2))</f>
        <v>0</v>
      </c>
      <c r="AH184" s="20">
        <f>IF(B184="","",ROUND(T184+Z184+AA184+AB184+AG184,2))</f>
        <v>0</v>
      </c>
      <c r="AI184" s="33">
        <f>IF(B184="","",IFERROR(INDEX(Channels!$S$5:$S$18,MATCH(IF(H184="",DefaultChannel,H184),Channels!$A$5:$A$18,0)),0))</f>
        <v>0</v>
      </c>
      <c r="AJ184" s="42">
        <f>IF(B184="","",IFERROR(INDEX(Channels!$O$5:$O$18,MATCH(IF(H184="",DefaultChannel,H184),Channels!$A$5:$A$18,0)),"No"))</f>
        <v>0</v>
      </c>
      <c r="AK184" s="20">
        <f>IF(B184="","",ROUND(IFERROR(INDEX(Channels!$T$5:$T$18,MATCH(IF(H184="",DefaultChannel,H184),Channels!$A$5:$A$18,0)),0)+IF(AJ184="Yes",AE184*AI184,0),4))</f>
        <v>0</v>
      </c>
      <c r="AL184" s="33">
        <f>IF(B184="","",IF(OverheadMethod="Share of revenue",IF(RevenueTargetMonth&lt;=0,0,OverheadMonthly/RevenueTargetMonth),0))</f>
        <v>0</v>
      </c>
      <c r="AM184" s="20">
        <f>IF(B184="","",IF(OverheadMethod="Per hour worked",ROUND(OverheadPerHour*Y184,2),IF(OR(OverheadMethod="Per unit made",OverheadMethod="Per order"),OverheadPerUnit,0)))</f>
        <v>0</v>
      </c>
      <c r="AN184" s="33">
        <f>IF(B184="","",IF(N184&lt;&gt;"",N184,TargetRetailMargin))</f>
        <v>0</v>
      </c>
      <c r="AO184" s="41">
        <f>IF(B184="","",1-AN184-AI184-AL184)</f>
        <v>0</v>
      </c>
      <c r="AP184" s="20">
        <f>IF(B184="","",IF(AO184&lt;=0,"",(AH184+AM184+AK184)/AO184))</f>
        <v>0</v>
      </c>
      <c r="AQ184" s="20">
        <f>IF(B184="","",IF(AP184="","Check the settings",ROUND(IF(RoundingRule="None",AP184,IF(RoundingRule="Nearest 0.99",MAX(0.99,CEILING(AP184,1)-0.01),IF(RoundingRule="Nearest 0.95",MAX(0.95,CEILING(AP184,1)-0.05),IF(RoundingRule="Nearest 0.50",CEILING(AP184,0.5),IF(RoundingRule="Nearest 1",CEILING(AP184,1),IF(RoundingRule="Nearest 5",CEILING(AP184,5),IF(RoundingRule="Up to whole 1",CEILING(AP184,1),IF(RoundingRule="Up to whole 5",CEILING(AP184,5),ROUND(AP184,2))))))))),2)))</f>
        <v>0</v>
      </c>
      <c r="AR184" s="20">
        <f>IF(B184="","",IF(M184&lt;&gt;"",M184,IF(ISNUMBER(AQ184),AQ184,"")))</f>
        <v>0</v>
      </c>
      <c r="AS184" s="20">
        <f>IF(B184="","",IF(AR184="","",ROUND(AM184+AR184*AL184,2)))</f>
        <v>0</v>
      </c>
      <c r="AT184" s="20">
        <f>IF(B184="","",IF(AR184="","",ROUND(AH184+AS184,2)))</f>
        <v>0</v>
      </c>
      <c r="AU184" s="20">
        <f>IF(B184="","",IF(AR184="","",ROUND(AR184*AI184+AK184,2)))</f>
        <v>0</v>
      </c>
      <c r="AV184" s="20">
        <f>IF(B184="","",IF(AR184="","",ROUND(AR184-AT184-AU184,2)))</f>
        <v>0</v>
      </c>
      <c r="AW184" s="33">
        <f>IF(B184="","",IF(OR(AR184="",AR184=0),"",AV184/AR184))</f>
        <v>0</v>
      </c>
      <c r="AX184" s="33">
        <f>IF(B184="","",IF(OR(AT184="",AT184=0),"",AV184/AT184))</f>
        <v>0</v>
      </c>
      <c r="AY184" s="20">
        <f>IF(B184="","",IF(OR(Y184="",Y184=0,AV184=""),"",ROUND(AV184/Y184,2)))</f>
        <v>0</v>
      </c>
      <c r="AZ184" s="20">
        <f>IF(B184="","",IF(OR(Y184="",Y184=0,AV184=""),"",ROUND((AV184+Z184)/Y184,2)))</f>
        <v>0</v>
      </c>
      <c r="BA184" s="20">
        <f>IF(B184="","",IF(1-AI184-AL184&lt;=0,"",ROUND((AH184+AM184+AK184)/(1-AI184-AL184),2)))</f>
        <v>0</v>
      </c>
      <c r="BB184" s="20">
        <f>IF(B184="","",IF(AT184="","",ROUND(AT184*2,2)))</f>
        <v>0</v>
      </c>
      <c r="BC184" s="20">
        <f>IF(B184="","",IF(AR184="","",ROUND(AR184*(1-WholesaleDiscount),2)))</f>
        <v>0</v>
      </c>
      <c r="BD184" s="20">
        <f>IF(B184="","",IF(BC184="","",ROUND(BC184-AH184-AM184,2)))</f>
        <v>0</v>
      </c>
      <c r="BE184" s="33">
        <f>IF(B184="","",IF(OR(BC184="",BC184=0),"",BD184/BC184))</f>
        <v>0</v>
      </c>
      <c r="BF184" s="20">
        <f>IF(B184="","",IFERROR(ROUND(AVERAGEIFS(Competitors!$F$5:$F$154,Competitors!$A$5:$A$154,A184),2),""))</f>
        <v>0</v>
      </c>
      <c r="BG184" s="33">
        <f>IF(B184="","",IF(OR(BF184="",BF184=0,AR184=""),"",AR184/BF184-1))</f>
        <v>0</v>
      </c>
      <c r="BH184" s="32">
        <f>IF(B184="","",SUMIFS(Sales!$D$5:$D$804,Sales!$C$5:$C$804,A184))</f>
        <v>0</v>
      </c>
      <c r="BI184" s="20">
        <f>IF(B184="","",ROUND(SUMIFS(Sales!$V$5:$V$804,Sales!$C$5:$C$804,A184),2))</f>
        <v>0</v>
      </c>
      <c r="BJ184" s="20">
        <f>IF(B184="","",ROUND(SUMIFS(Sales!$AG$5:$AG$804,Sales!$C$5:$C$804,A184),2))</f>
        <v>0</v>
      </c>
      <c r="BK184" s="33">
        <f>IF(B184="","",IF(OR(BI184="",BI184=0),"",BJ184/BI184))</f>
        <v>0</v>
      </c>
      <c r="BL184" s="17">
        <f>IF(B184="","",IF(SUMPRODUCT(MAX((Sales!$C$5:$C$804=A184)*Sales!$B$5:$B$804))=0,"",SUMPRODUCT(MAX((Sales!$C$5:$C$804=A184)*Sales!$B$5:$B$804))))</f>
        <v>0</v>
      </c>
      <c r="BM184" s="17">
        <f>IF(B184="","",IF(SUMPRODUCT(MAX(('Price History'!$B$5:$B$304=A184)*'Price History'!$A$5:$A$304))=0,IF(P184="","",P184),SUMPRODUCT(MAX(('Price History'!$B$5:$B$304=A184)*'Price History'!$A$5:$A$304))))</f>
        <v>0</v>
      </c>
      <c r="BN184" s="32">
        <f>IF(B184="","",IF(BM184="","",TodayDate-BM184))</f>
        <v>0</v>
      </c>
      <c r="BO184" s="32">
        <f>IF(B184="","",COUNTIFS($AV$5:$AV$304,"&gt;"&amp;AV184)+COUNTIFS($AV$5:AV184,AV184))</f>
        <v>0</v>
      </c>
      <c r="BP184" s="32">
        <f>IF(B184="","",COUNTIFS($AW$5:$AW$304,"&gt;"&amp;AW184)+COUNTIFS($AW$5:AW184,AW184))</f>
        <v>0</v>
      </c>
      <c r="BQ184" s="32">
        <f>IF(B184="","",COUNTIFS($BI$5:$BI$304,"&gt;"&amp;BI184)+COUNTIFS($BI$5:BI184,BI184))</f>
        <v>0</v>
      </c>
      <c r="BR184" s="32">
        <f>IF(B184="","",COUNTIFS($AY$5:$AY$304,"&gt;"&amp;AY184)+COUNTIFS($AY$5:AY184,AY184))</f>
        <v>0</v>
      </c>
      <c r="BS184" s="43">
        <f>IF(B184="","",IF(AH184=0,"Add - no costs entered yet",IF(AR184="","Check - no price yet",IF(AV184&lt;0,"Loss - every sale costs you money",IF(AND(AZ184&lt;&gt;"",AZ184&lt;MinimumWage),"Below - pays under minimum wage",IF(AW184&lt;MarginWarning,"Low margin - re-price it",IF(AND(AF184&lt;&gt;"",K184&lt;&gt;"",K184+AC184&gt;AF184),"Check - too heavy for that postage band",IF(AND(BN184&lt;&gt;"",BN184&gt;PriceReviewDays),"Due - price has not been reviewed",IF(AND(BG184&lt;&gt;"",BG184&gt;0.5),"Check - well above the market","OK")))))))) )</f>
        <v>0</v>
      </c>
    </row>
    <row r="185" spans="1:71">
      <c r="A185" s="38">
        <f>IF(B185="","",ProductPrefix&amp;TEXT(ROW()-4,"0000"))</f>
        <v>0</v>
      </c>
      <c r="S185" s="38">
        <f>IF(B185="","",IF(C185&lt;&gt;"",C185,UPPER(LEFT(IF(D185="","GEN",D185),3))&amp;"-"&amp;TEXT(ROW()-4,"000")))</f>
        <v>0</v>
      </c>
      <c r="T185" s="20">
        <f>IF(B185="","",ROUND(SUMIFS('Material Usage'!$M$5:$M$904,'Material Usage'!$A$5:$A$904,A185)+SUMIFS(Crochet!$AD$5:$AD$84,Crochet!$A$5:$A$84,A185)+SUMIFS(Jewelry!$AF$5:$AF$84,Jewelry!$A$5:$A$84,A185)+SUMIFS(Candles!$AF$5:$AF$84,Candles!$A$5:$A$84,A185)+SUMIFS(Clothing!$AB$5:$AB$84,Clothing!$A$5:$A$84,A185)+SUMIFS(Woodworking!$AC$5:$AC$84,Woodworking!$A$5:$A$84,A185)+SUMIFS(Digital!$X$5:$X$84,Digital!$A$5:$A$84,A185),2))</f>
        <v>0</v>
      </c>
      <c r="U185" s="20">
        <f>IF(B185="","",ROUND(SUMIFS(Labor!$O$5:$O$304,Labor!$A$5:$A$304,A185)+SUMIFS(Crochet!$AG$5:$AG$84,Crochet!$A$5:$A$84,A185)+SUMIFS(Jewelry!$AI$5:$AI$84,Jewelry!$A$5:$A$84,A185)+SUMIFS(Candles!$AI$5:$AI$84,Candles!$A$5:$A$84,A185)+SUMIFS(Clothing!$AE$5:$AE$84,Clothing!$A$5:$A$84,A185)+SUMIFS(Woodworking!$AF$5:$AF$84,Woodworking!$A$5:$A$84,A185)+SUMIFS(Digital!$Z$5:$Z$84,Digital!$A$5:$A$84,A185),2))</f>
        <v>0</v>
      </c>
      <c r="V185" s="36">
        <f>IF(B185="","",ROUND(SUMIFS(Labor!$P$5:$P$304,Labor!$A$5:$A$304,A185)+SUMIFS(Crochet!$AE$5:$AE$84,Crochet!$A$5:$A$84,A185)+SUMIFS(Jewelry!$AG$5:$AG$84,Jewelry!$A$5:$A$84,A185)+SUMIFS(Candles!$AG$5:$AG$84,Candles!$A$5:$A$84,A185)+SUMIFS(Clothing!$AC$5:$AC$84,Clothing!$A$5:$A$84,A185)+SUMIFS(Woodworking!$AD$5:$AD$84,Woodworking!$A$5:$A$84,A185)+SUMIFS(Digital!$Y$5:$Y$84,Digital!$A$5:$A$84,A185),1))</f>
        <v>0</v>
      </c>
      <c r="W185" s="41">
        <f>IF(B185="","",IFERROR(INDEX(DiffTimeFactors,MATCH(G185,DiffNames,0)),1))</f>
        <v>0</v>
      </c>
      <c r="X185" s="36">
        <f>IF(B185="","",ROUND(V185*W185,1))</f>
        <v>0</v>
      </c>
      <c r="Y185" s="41">
        <f>IF(B185="","",ROUND(X185/60,3))</f>
        <v>0</v>
      </c>
      <c r="Z185" s="20">
        <f>IF(B185="","",ROUND(U185*W185,2))</f>
        <v>0</v>
      </c>
      <c r="AA185" s="20">
        <f>IF(B185="","",ROUND(SUMIFS(Labor!$Q$5:$Q$304,Labor!$A$5:$A$304,A185)+SUMIFS(Crochet!$AH$5:$AH$84,Crochet!$A$5:$A$84,A185)+SUMIFS(Jewelry!$AJ$5:$AJ$84,Jewelry!$A$5:$A$84,A185)+SUMIFS(Candles!$AJ$5:$AJ$84,Candles!$A$5:$A$84,A185)+SUMIFS(Clothing!$AF$5:$AF$84,Clothing!$A$5:$A$84,A185)+SUMIFS(Woodworking!$AH$5:$AH$84,Woodworking!$A$5:$A$84,A185)+SUMIFS(Digital!$AA$5:$AA$84,Digital!$A$5:$A$84,A185),2))</f>
        <v>0</v>
      </c>
      <c r="AB185" s="20">
        <f>IF(B185="","",ROUND(IF(I185="Budget",PackBudget,IF(I185="Standard",PackStandard,IF(I185="Gift",PackGift,IF(I185="Premium",PackPremium,DefaultPackaging)))),2))</f>
        <v>0</v>
      </c>
      <c r="AC185" s="36">
        <f>IF(B185="","",IF(I185="Budget",PackWeightBudget,IF(I185="Standard",PackWeightStandard,IF(I185="Gift",PackWeightGift,IF(I185="Premium",PackWeightPremium,0)))))</f>
        <v>0</v>
      </c>
      <c r="AD185" s="20">
        <f>IF(B185="","",IFERROR(INDEX(Shipping!$M$5:$M$64,MATCH(J185,Shipping!$L$5:$L$64,0)),DefaultShipping))</f>
        <v>0</v>
      </c>
      <c r="AE185" s="20">
        <f>IF(B185="","",IFERROR(INDEX(Shipping!$F$5:$F$64,MATCH(J185,Shipping!$L$5:$L$64,0)),0))</f>
        <v>0</v>
      </c>
      <c r="AF185" s="36">
        <f>IF(B185="","",IFERROR(INDEX(Shipping!$C$5:$C$64,MATCH(J185,Shipping!$L$5:$L$64,0)),""))</f>
        <v>0</v>
      </c>
      <c r="AG185" s="20">
        <f>IF(B185="","",ROUND(MAX(0,AD185-AE185),2))</f>
        <v>0</v>
      </c>
      <c r="AH185" s="20">
        <f>IF(B185="","",ROUND(T185+Z185+AA185+AB185+AG185,2))</f>
        <v>0</v>
      </c>
      <c r="AI185" s="33">
        <f>IF(B185="","",IFERROR(INDEX(Channels!$S$5:$S$18,MATCH(IF(H185="",DefaultChannel,H185),Channels!$A$5:$A$18,0)),0))</f>
        <v>0</v>
      </c>
      <c r="AJ185" s="42">
        <f>IF(B185="","",IFERROR(INDEX(Channels!$O$5:$O$18,MATCH(IF(H185="",DefaultChannel,H185),Channels!$A$5:$A$18,0)),"No"))</f>
        <v>0</v>
      </c>
      <c r="AK185" s="20">
        <f>IF(B185="","",ROUND(IFERROR(INDEX(Channels!$T$5:$T$18,MATCH(IF(H185="",DefaultChannel,H185),Channels!$A$5:$A$18,0)),0)+IF(AJ185="Yes",AE185*AI185,0),4))</f>
        <v>0</v>
      </c>
      <c r="AL185" s="33">
        <f>IF(B185="","",IF(OverheadMethod="Share of revenue",IF(RevenueTargetMonth&lt;=0,0,OverheadMonthly/RevenueTargetMonth),0))</f>
        <v>0</v>
      </c>
      <c r="AM185" s="20">
        <f>IF(B185="","",IF(OverheadMethod="Per hour worked",ROUND(OverheadPerHour*Y185,2),IF(OR(OverheadMethod="Per unit made",OverheadMethod="Per order"),OverheadPerUnit,0)))</f>
        <v>0</v>
      </c>
      <c r="AN185" s="33">
        <f>IF(B185="","",IF(N185&lt;&gt;"",N185,TargetRetailMargin))</f>
        <v>0</v>
      </c>
      <c r="AO185" s="41">
        <f>IF(B185="","",1-AN185-AI185-AL185)</f>
        <v>0</v>
      </c>
      <c r="AP185" s="20">
        <f>IF(B185="","",IF(AO185&lt;=0,"",(AH185+AM185+AK185)/AO185))</f>
        <v>0</v>
      </c>
      <c r="AQ185" s="20">
        <f>IF(B185="","",IF(AP185="","Check the settings",ROUND(IF(RoundingRule="None",AP185,IF(RoundingRule="Nearest 0.99",MAX(0.99,CEILING(AP185,1)-0.01),IF(RoundingRule="Nearest 0.95",MAX(0.95,CEILING(AP185,1)-0.05),IF(RoundingRule="Nearest 0.50",CEILING(AP185,0.5),IF(RoundingRule="Nearest 1",CEILING(AP185,1),IF(RoundingRule="Nearest 5",CEILING(AP185,5),IF(RoundingRule="Up to whole 1",CEILING(AP185,1),IF(RoundingRule="Up to whole 5",CEILING(AP185,5),ROUND(AP185,2))))))))),2)))</f>
        <v>0</v>
      </c>
      <c r="AR185" s="20">
        <f>IF(B185="","",IF(M185&lt;&gt;"",M185,IF(ISNUMBER(AQ185),AQ185,"")))</f>
        <v>0</v>
      </c>
      <c r="AS185" s="20">
        <f>IF(B185="","",IF(AR185="","",ROUND(AM185+AR185*AL185,2)))</f>
        <v>0</v>
      </c>
      <c r="AT185" s="20">
        <f>IF(B185="","",IF(AR185="","",ROUND(AH185+AS185,2)))</f>
        <v>0</v>
      </c>
      <c r="AU185" s="20">
        <f>IF(B185="","",IF(AR185="","",ROUND(AR185*AI185+AK185,2)))</f>
        <v>0</v>
      </c>
      <c r="AV185" s="20">
        <f>IF(B185="","",IF(AR185="","",ROUND(AR185-AT185-AU185,2)))</f>
        <v>0</v>
      </c>
      <c r="AW185" s="33">
        <f>IF(B185="","",IF(OR(AR185="",AR185=0),"",AV185/AR185))</f>
        <v>0</v>
      </c>
      <c r="AX185" s="33">
        <f>IF(B185="","",IF(OR(AT185="",AT185=0),"",AV185/AT185))</f>
        <v>0</v>
      </c>
      <c r="AY185" s="20">
        <f>IF(B185="","",IF(OR(Y185="",Y185=0,AV185=""),"",ROUND(AV185/Y185,2)))</f>
        <v>0</v>
      </c>
      <c r="AZ185" s="20">
        <f>IF(B185="","",IF(OR(Y185="",Y185=0,AV185=""),"",ROUND((AV185+Z185)/Y185,2)))</f>
        <v>0</v>
      </c>
      <c r="BA185" s="20">
        <f>IF(B185="","",IF(1-AI185-AL185&lt;=0,"",ROUND((AH185+AM185+AK185)/(1-AI185-AL185),2)))</f>
        <v>0</v>
      </c>
      <c r="BB185" s="20">
        <f>IF(B185="","",IF(AT185="","",ROUND(AT185*2,2)))</f>
        <v>0</v>
      </c>
      <c r="BC185" s="20">
        <f>IF(B185="","",IF(AR185="","",ROUND(AR185*(1-WholesaleDiscount),2)))</f>
        <v>0</v>
      </c>
      <c r="BD185" s="20">
        <f>IF(B185="","",IF(BC185="","",ROUND(BC185-AH185-AM185,2)))</f>
        <v>0</v>
      </c>
      <c r="BE185" s="33">
        <f>IF(B185="","",IF(OR(BC185="",BC185=0),"",BD185/BC185))</f>
        <v>0</v>
      </c>
      <c r="BF185" s="20">
        <f>IF(B185="","",IFERROR(ROUND(AVERAGEIFS(Competitors!$F$5:$F$154,Competitors!$A$5:$A$154,A185),2),""))</f>
        <v>0</v>
      </c>
      <c r="BG185" s="33">
        <f>IF(B185="","",IF(OR(BF185="",BF185=0,AR185=""),"",AR185/BF185-1))</f>
        <v>0</v>
      </c>
      <c r="BH185" s="32">
        <f>IF(B185="","",SUMIFS(Sales!$D$5:$D$804,Sales!$C$5:$C$804,A185))</f>
        <v>0</v>
      </c>
      <c r="BI185" s="20">
        <f>IF(B185="","",ROUND(SUMIFS(Sales!$V$5:$V$804,Sales!$C$5:$C$804,A185),2))</f>
        <v>0</v>
      </c>
      <c r="BJ185" s="20">
        <f>IF(B185="","",ROUND(SUMIFS(Sales!$AG$5:$AG$804,Sales!$C$5:$C$804,A185),2))</f>
        <v>0</v>
      </c>
      <c r="BK185" s="33">
        <f>IF(B185="","",IF(OR(BI185="",BI185=0),"",BJ185/BI185))</f>
        <v>0</v>
      </c>
      <c r="BL185" s="17">
        <f>IF(B185="","",IF(SUMPRODUCT(MAX((Sales!$C$5:$C$804=A185)*Sales!$B$5:$B$804))=0,"",SUMPRODUCT(MAX((Sales!$C$5:$C$804=A185)*Sales!$B$5:$B$804))))</f>
        <v>0</v>
      </c>
      <c r="BM185" s="17">
        <f>IF(B185="","",IF(SUMPRODUCT(MAX(('Price History'!$B$5:$B$304=A185)*'Price History'!$A$5:$A$304))=0,IF(P185="","",P185),SUMPRODUCT(MAX(('Price History'!$B$5:$B$304=A185)*'Price History'!$A$5:$A$304))))</f>
        <v>0</v>
      </c>
      <c r="BN185" s="32">
        <f>IF(B185="","",IF(BM185="","",TodayDate-BM185))</f>
        <v>0</v>
      </c>
      <c r="BO185" s="32">
        <f>IF(B185="","",COUNTIFS($AV$5:$AV$304,"&gt;"&amp;AV185)+COUNTIFS($AV$5:AV185,AV185))</f>
        <v>0</v>
      </c>
      <c r="BP185" s="32">
        <f>IF(B185="","",COUNTIFS($AW$5:$AW$304,"&gt;"&amp;AW185)+COUNTIFS($AW$5:AW185,AW185))</f>
        <v>0</v>
      </c>
      <c r="BQ185" s="32">
        <f>IF(B185="","",COUNTIFS($BI$5:$BI$304,"&gt;"&amp;BI185)+COUNTIFS($BI$5:BI185,BI185))</f>
        <v>0</v>
      </c>
      <c r="BR185" s="32">
        <f>IF(B185="","",COUNTIFS($AY$5:$AY$304,"&gt;"&amp;AY185)+COUNTIFS($AY$5:AY185,AY185))</f>
        <v>0</v>
      </c>
      <c r="BS185" s="43">
        <f>IF(B185="","",IF(AH185=0,"Add - no costs entered yet",IF(AR185="","Check - no price yet",IF(AV185&lt;0,"Loss - every sale costs you money",IF(AND(AZ185&lt;&gt;"",AZ185&lt;MinimumWage),"Below - pays under minimum wage",IF(AW185&lt;MarginWarning,"Low margin - re-price it",IF(AND(AF185&lt;&gt;"",K185&lt;&gt;"",K185+AC185&gt;AF185),"Check - too heavy for that postage band",IF(AND(BN185&lt;&gt;"",BN185&gt;PriceReviewDays),"Due - price has not been reviewed",IF(AND(BG185&lt;&gt;"",BG185&gt;0.5),"Check - well above the market","OK")))))))) )</f>
        <v>0</v>
      </c>
    </row>
    <row r="186" spans="1:71">
      <c r="A186" s="38">
        <f>IF(B186="","",ProductPrefix&amp;TEXT(ROW()-4,"0000"))</f>
        <v>0</v>
      </c>
      <c r="S186" s="38">
        <f>IF(B186="","",IF(C186&lt;&gt;"",C186,UPPER(LEFT(IF(D186="","GEN",D186),3))&amp;"-"&amp;TEXT(ROW()-4,"000")))</f>
        <v>0</v>
      </c>
      <c r="T186" s="20">
        <f>IF(B186="","",ROUND(SUMIFS('Material Usage'!$M$5:$M$904,'Material Usage'!$A$5:$A$904,A186)+SUMIFS(Crochet!$AD$5:$AD$84,Crochet!$A$5:$A$84,A186)+SUMIFS(Jewelry!$AF$5:$AF$84,Jewelry!$A$5:$A$84,A186)+SUMIFS(Candles!$AF$5:$AF$84,Candles!$A$5:$A$84,A186)+SUMIFS(Clothing!$AB$5:$AB$84,Clothing!$A$5:$A$84,A186)+SUMIFS(Woodworking!$AC$5:$AC$84,Woodworking!$A$5:$A$84,A186)+SUMIFS(Digital!$X$5:$X$84,Digital!$A$5:$A$84,A186),2))</f>
        <v>0</v>
      </c>
      <c r="U186" s="20">
        <f>IF(B186="","",ROUND(SUMIFS(Labor!$O$5:$O$304,Labor!$A$5:$A$304,A186)+SUMIFS(Crochet!$AG$5:$AG$84,Crochet!$A$5:$A$84,A186)+SUMIFS(Jewelry!$AI$5:$AI$84,Jewelry!$A$5:$A$84,A186)+SUMIFS(Candles!$AI$5:$AI$84,Candles!$A$5:$A$84,A186)+SUMIFS(Clothing!$AE$5:$AE$84,Clothing!$A$5:$A$84,A186)+SUMIFS(Woodworking!$AF$5:$AF$84,Woodworking!$A$5:$A$84,A186)+SUMIFS(Digital!$Z$5:$Z$84,Digital!$A$5:$A$84,A186),2))</f>
        <v>0</v>
      </c>
      <c r="V186" s="36">
        <f>IF(B186="","",ROUND(SUMIFS(Labor!$P$5:$P$304,Labor!$A$5:$A$304,A186)+SUMIFS(Crochet!$AE$5:$AE$84,Crochet!$A$5:$A$84,A186)+SUMIFS(Jewelry!$AG$5:$AG$84,Jewelry!$A$5:$A$84,A186)+SUMIFS(Candles!$AG$5:$AG$84,Candles!$A$5:$A$84,A186)+SUMIFS(Clothing!$AC$5:$AC$84,Clothing!$A$5:$A$84,A186)+SUMIFS(Woodworking!$AD$5:$AD$84,Woodworking!$A$5:$A$84,A186)+SUMIFS(Digital!$Y$5:$Y$84,Digital!$A$5:$A$84,A186),1))</f>
        <v>0</v>
      </c>
      <c r="W186" s="41">
        <f>IF(B186="","",IFERROR(INDEX(DiffTimeFactors,MATCH(G186,DiffNames,0)),1))</f>
        <v>0</v>
      </c>
      <c r="X186" s="36">
        <f>IF(B186="","",ROUND(V186*W186,1))</f>
        <v>0</v>
      </c>
      <c r="Y186" s="41">
        <f>IF(B186="","",ROUND(X186/60,3))</f>
        <v>0</v>
      </c>
      <c r="Z186" s="20">
        <f>IF(B186="","",ROUND(U186*W186,2))</f>
        <v>0</v>
      </c>
      <c r="AA186" s="20">
        <f>IF(B186="","",ROUND(SUMIFS(Labor!$Q$5:$Q$304,Labor!$A$5:$A$304,A186)+SUMIFS(Crochet!$AH$5:$AH$84,Crochet!$A$5:$A$84,A186)+SUMIFS(Jewelry!$AJ$5:$AJ$84,Jewelry!$A$5:$A$84,A186)+SUMIFS(Candles!$AJ$5:$AJ$84,Candles!$A$5:$A$84,A186)+SUMIFS(Clothing!$AF$5:$AF$84,Clothing!$A$5:$A$84,A186)+SUMIFS(Woodworking!$AH$5:$AH$84,Woodworking!$A$5:$A$84,A186)+SUMIFS(Digital!$AA$5:$AA$84,Digital!$A$5:$A$84,A186),2))</f>
        <v>0</v>
      </c>
      <c r="AB186" s="20">
        <f>IF(B186="","",ROUND(IF(I186="Budget",PackBudget,IF(I186="Standard",PackStandard,IF(I186="Gift",PackGift,IF(I186="Premium",PackPremium,DefaultPackaging)))),2))</f>
        <v>0</v>
      </c>
      <c r="AC186" s="36">
        <f>IF(B186="","",IF(I186="Budget",PackWeightBudget,IF(I186="Standard",PackWeightStandard,IF(I186="Gift",PackWeightGift,IF(I186="Premium",PackWeightPremium,0)))))</f>
        <v>0</v>
      </c>
      <c r="AD186" s="20">
        <f>IF(B186="","",IFERROR(INDEX(Shipping!$M$5:$M$64,MATCH(J186,Shipping!$L$5:$L$64,0)),DefaultShipping))</f>
        <v>0</v>
      </c>
      <c r="AE186" s="20">
        <f>IF(B186="","",IFERROR(INDEX(Shipping!$F$5:$F$64,MATCH(J186,Shipping!$L$5:$L$64,0)),0))</f>
        <v>0</v>
      </c>
      <c r="AF186" s="36">
        <f>IF(B186="","",IFERROR(INDEX(Shipping!$C$5:$C$64,MATCH(J186,Shipping!$L$5:$L$64,0)),""))</f>
        <v>0</v>
      </c>
      <c r="AG186" s="20">
        <f>IF(B186="","",ROUND(MAX(0,AD186-AE186),2))</f>
        <v>0</v>
      </c>
      <c r="AH186" s="20">
        <f>IF(B186="","",ROUND(T186+Z186+AA186+AB186+AG186,2))</f>
        <v>0</v>
      </c>
      <c r="AI186" s="33">
        <f>IF(B186="","",IFERROR(INDEX(Channels!$S$5:$S$18,MATCH(IF(H186="",DefaultChannel,H186),Channels!$A$5:$A$18,0)),0))</f>
        <v>0</v>
      </c>
      <c r="AJ186" s="42">
        <f>IF(B186="","",IFERROR(INDEX(Channels!$O$5:$O$18,MATCH(IF(H186="",DefaultChannel,H186),Channels!$A$5:$A$18,0)),"No"))</f>
        <v>0</v>
      </c>
      <c r="AK186" s="20">
        <f>IF(B186="","",ROUND(IFERROR(INDEX(Channels!$T$5:$T$18,MATCH(IF(H186="",DefaultChannel,H186),Channels!$A$5:$A$18,0)),0)+IF(AJ186="Yes",AE186*AI186,0),4))</f>
        <v>0</v>
      </c>
      <c r="AL186" s="33">
        <f>IF(B186="","",IF(OverheadMethod="Share of revenue",IF(RevenueTargetMonth&lt;=0,0,OverheadMonthly/RevenueTargetMonth),0))</f>
        <v>0</v>
      </c>
      <c r="AM186" s="20">
        <f>IF(B186="","",IF(OverheadMethod="Per hour worked",ROUND(OverheadPerHour*Y186,2),IF(OR(OverheadMethod="Per unit made",OverheadMethod="Per order"),OverheadPerUnit,0)))</f>
        <v>0</v>
      </c>
      <c r="AN186" s="33">
        <f>IF(B186="","",IF(N186&lt;&gt;"",N186,TargetRetailMargin))</f>
        <v>0</v>
      </c>
      <c r="AO186" s="41">
        <f>IF(B186="","",1-AN186-AI186-AL186)</f>
        <v>0</v>
      </c>
      <c r="AP186" s="20">
        <f>IF(B186="","",IF(AO186&lt;=0,"",(AH186+AM186+AK186)/AO186))</f>
        <v>0</v>
      </c>
      <c r="AQ186" s="20">
        <f>IF(B186="","",IF(AP186="","Check the settings",ROUND(IF(RoundingRule="None",AP186,IF(RoundingRule="Nearest 0.99",MAX(0.99,CEILING(AP186,1)-0.01),IF(RoundingRule="Nearest 0.95",MAX(0.95,CEILING(AP186,1)-0.05),IF(RoundingRule="Nearest 0.50",CEILING(AP186,0.5),IF(RoundingRule="Nearest 1",CEILING(AP186,1),IF(RoundingRule="Nearest 5",CEILING(AP186,5),IF(RoundingRule="Up to whole 1",CEILING(AP186,1),IF(RoundingRule="Up to whole 5",CEILING(AP186,5),ROUND(AP186,2))))))))),2)))</f>
        <v>0</v>
      </c>
      <c r="AR186" s="20">
        <f>IF(B186="","",IF(M186&lt;&gt;"",M186,IF(ISNUMBER(AQ186),AQ186,"")))</f>
        <v>0</v>
      </c>
      <c r="AS186" s="20">
        <f>IF(B186="","",IF(AR186="","",ROUND(AM186+AR186*AL186,2)))</f>
        <v>0</v>
      </c>
      <c r="AT186" s="20">
        <f>IF(B186="","",IF(AR186="","",ROUND(AH186+AS186,2)))</f>
        <v>0</v>
      </c>
      <c r="AU186" s="20">
        <f>IF(B186="","",IF(AR186="","",ROUND(AR186*AI186+AK186,2)))</f>
        <v>0</v>
      </c>
      <c r="AV186" s="20">
        <f>IF(B186="","",IF(AR186="","",ROUND(AR186-AT186-AU186,2)))</f>
        <v>0</v>
      </c>
      <c r="AW186" s="33">
        <f>IF(B186="","",IF(OR(AR186="",AR186=0),"",AV186/AR186))</f>
        <v>0</v>
      </c>
      <c r="AX186" s="33">
        <f>IF(B186="","",IF(OR(AT186="",AT186=0),"",AV186/AT186))</f>
        <v>0</v>
      </c>
      <c r="AY186" s="20">
        <f>IF(B186="","",IF(OR(Y186="",Y186=0,AV186=""),"",ROUND(AV186/Y186,2)))</f>
        <v>0</v>
      </c>
      <c r="AZ186" s="20">
        <f>IF(B186="","",IF(OR(Y186="",Y186=0,AV186=""),"",ROUND((AV186+Z186)/Y186,2)))</f>
        <v>0</v>
      </c>
      <c r="BA186" s="20">
        <f>IF(B186="","",IF(1-AI186-AL186&lt;=0,"",ROUND((AH186+AM186+AK186)/(1-AI186-AL186),2)))</f>
        <v>0</v>
      </c>
      <c r="BB186" s="20">
        <f>IF(B186="","",IF(AT186="","",ROUND(AT186*2,2)))</f>
        <v>0</v>
      </c>
      <c r="BC186" s="20">
        <f>IF(B186="","",IF(AR186="","",ROUND(AR186*(1-WholesaleDiscount),2)))</f>
        <v>0</v>
      </c>
      <c r="BD186" s="20">
        <f>IF(B186="","",IF(BC186="","",ROUND(BC186-AH186-AM186,2)))</f>
        <v>0</v>
      </c>
      <c r="BE186" s="33">
        <f>IF(B186="","",IF(OR(BC186="",BC186=0),"",BD186/BC186))</f>
        <v>0</v>
      </c>
      <c r="BF186" s="20">
        <f>IF(B186="","",IFERROR(ROUND(AVERAGEIFS(Competitors!$F$5:$F$154,Competitors!$A$5:$A$154,A186),2),""))</f>
        <v>0</v>
      </c>
      <c r="BG186" s="33">
        <f>IF(B186="","",IF(OR(BF186="",BF186=0,AR186=""),"",AR186/BF186-1))</f>
        <v>0</v>
      </c>
      <c r="BH186" s="32">
        <f>IF(B186="","",SUMIFS(Sales!$D$5:$D$804,Sales!$C$5:$C$804,A186))</f>
        <v>0</v>
      </c>
      <c r="BI186" s="20">
        <f>IF(B186="","",ROUND(SUMIFS(Sales!$V$5:$V$804,Sales!$C$5:$C$804,A186),2))</f>
        <v>0</v>
      </c>
      <c r="BJ186" s="20">
        <f>IF(B186="","",ROUND(SUMIFS(Sales!$AG$5:$AG$804,Sales!$C$5:$C$804,A186),2))</f>
        <v>0</v>
      </c>
      <c r="BK186" s="33">
        <f>IF(B186="","",IF(OR(BI186="",BI186=0),"",BJ186/BI186))</f>
        <v>0</v>
      </c>
      <c r="BL186" s="17">
        <f>IF(B186="","",IF(SUMPRODUCT(MAX((Sales!$C$5:$C$804=A186)*Sales!$B$5:$B$804))=0,"",SUMPRODUCT(MAX((Sales!$C$5:$C$804=A186)*Sales!$B$5:$B$804))))</f>
        <v>0</v>
      </c>
      <c r="BM186" s="17">
        <f>IF(B186="","",IF(SUMPRODUCT(MAX(('Price History'!$B$5:$B$304=A186)*'Price History'!$A$5:$A$304))=0,IF(P186="","",P186),SUMPRODUCT(MAX(('Price History'!$B$5:$B$304=A186)*'Price History'!$A$5:$A$304))))</f>
        <v>0</v>
      </c>
      <c r="BN186" s="32">
        <f>IF(B186="","",IF(BM186="","",TodayDate-BM186))</f>
        <v>0</v>
      </c>
      <c r="BO186" s="32">
        <f>IF(B186="","",COUNTIFS($AV$5:$AV$304,"&gt;"&amp;AV186)+COUNTIFS($AV$5:AV186,AV186))</f>
        <v>0</v>
      </c>
      <c r="BP186" s="32">
        <f>IF(B186="","",COUNTIFS($AW$5:$AW$304,"&gt;"&amp;AW186)+COUNTIFS($AW$5:AW186,AW186))</f>
        <v>0</v>
      </c>
      <c r="BQ186" s="32">
        <f>IF(B186="","",COUNTIFS($BI$5:$BI$304,"&gt;"&amp;BI186)+COUNTIFS($BI$5:BI186,BI186))</f>
        <v>0</v>
      </c>
      <c r="BR186" s="32">
        <f>IF(B186="","",COUNTIFS($AY$5:$AY$304,"&gt;"&amp;AY186)+COUNTIFS($AY$5:AY186,AY186))</f>
        <v>0</v>
      </c>
      <c r="BS186" s="43">
        <f>IF(B186="","",IF(AH186=0,"Add - no costs entered yet",IF(AR186="","Check - no price yet",IF(AV186&lt;0,"Loss - every sale costs you money",IF(AND(AZ186&lt;&gt;"",AZ186&lt;MinimumWage),"Below - pays under minimum wage",IF(AW186&lt;MarginWarning,"Low margin - re-price it",IF(AND(AF186&lt;&gt;"",K186&lt;&gt;"",K186+AC186&gt;AF186),"Check - too heavy for that postage band",IF(AND(BN186&lt;&gt;"",BN186&gt;PriceReviewDays),"Due - price has not been reviewed",IF(AND(BG186&lt;&gt;"",BG186&gt;0.5),"Check - well above the market","OK")))))))) )</f>
        <v>0</v>
      </c>
    </row>
    <row r="187" spans="1:71">
      <c r="A187" s="38">
        <f>IF(B187="","",ProductPrefix&amp;TEXT(ROW()-4,"0000"))</f>
        <v>0</v>
      </c>
      <c r="S187" s="38">
        <f>IF(B187="","",IF(C187&lt;&gt;"",C187,UPPER(LEFT(IF(D187="","GEN",D187),3))&amp;"-"&amp;TEXT(ROW()-4,"000")))</f>
        <v>0</v>
      </c>
      <c r="T187" s="20">
        <f>IF(B187="","",ROUND(SUMIFS('Material Usage'!$M$5:$M$904,'Material Usage'!$A$5:$A$904,A187)+SUMIFS(Crochet!$AD$5:$AD$84,Crochet!$A$5:$A$84,A187)+SUMIFS(Jewelry!$AF$5:$AF$84,Jewelry!$A$5:$A$84,A187)+SUMIFS(Candles!$AF$5:$AF$84,Candles!$A$5:$A$84,A187)+SUMIFS(Clothing!$AB$5:$AB$84,Clothing!$A$5:$A$84,A187)+SUMIFS(Woodworking!$AC$5:$AC$84,Woodworking!$A$5:$A$84,A187)+SUMIFS(Digital!$X$5:$X$84,Digital!$A$5:$A$84,A187),2))</f>
        <v>0</v>
      </c>
      <c r="U187" s="20">
        <f>IF(B187="","",ROUND(SUMIFS(Labor!$O$5:$O$304,Labor!$A$5:$A$304,A187)+SUMIFS(Crochet!$AG$5:$AG$84,Crochet!$A$5:$A$84,A187)+SUMIFS(Jewelry!$AI$5:$AI$84,Jewelry!$A$5:$A$84,A187)+SUMIFS(Candles!$AI$5:$AI$84,Candles!$A$5:$A$84,A187)+SUMIFS(Clothing!$AE$5:$AE$84,Clothing!$A$5:$A$84,A187)+SUMIFS(Woodworking!$AF$5:$AF$84,Woodworking!$A$5:$A$84,A187)+SUMIFS(Digital!$Z$5:$Z$84,Digital!$A$5:$A$84,A187),2))</f>
        <v>0</v>
      </c>
      <c r="V187" s="36">
        <f>IF(B187="","",ROUND(SUMIFS(Labor!$P$5:$P$304,Labor!$A$5:$A$304,A187)+SUMIFS(Crochet!$AE$5:$AE$84,Crochet!$A$5:$A$84,A187)+SUMIFS(Jewelry!$AG$5:$AG$84,Jewelry!$A$5:$A$84,A187)+SUMIFS(Candles!$AG$5:$AG$84,Candles!$A$5:$A$84,A187)+SUMIFS(Clothing!$AC$5:$AC$84,Clothing!$A$5:$A$84,A187)+SUMIFS(Woodworking!$AD$5:$AD$84,Woodworking!$A$5:$A$84,A187)+SUMIFS(Digital!$Y$5:$Y$84,Digital!$A$5:$A$84,A187),1))</f>
        <v>0</v>
      </c>
      <c r="W187" s="41">
        <f>IF(B187="","",IFERROR(INDEX(DiffTimeFactors,MATCH(G187,DiffNames,0)),1))</f>
        <v>0</v>
      </c>
      <c r="X187" s="36">
        <f>IF(B187="","",ROUND(V187*W187,1))</f>
        <v>0</v>
      </c>
      <c r="Y187" s="41">
        <f>IF(B187="","",ROUND(X187/60,3))</f>
        <v>0</v>
      </c>
      <c r="Z187" s="20">
        <f>IF(B187="","",ROUND(U187*W187,2))</f>
        <v>0</v>
      </c>
      <c r="AA187" s="20">
        <f>IF(B187="","",ROUND(SUMIFS(Labor!$Q$5:$Q$304,Labor!$A$5:$A$304,A187)+SUMIFS(Crochet!$AH$5:$AH$84,Crochet!$A$5:$A$84,A187)+SUMIFS(Jewelry!$AJ$5:$AJ$84,Jewelry!$A$5:$A$84,A187)+SUMIFS(Candles!$AJ$5:$AJ$84,Candles!$A$5:$A$84,A187)+SUMIFS(Clothing!$AF$5:$AF$84,Clothing!$A$5:$A$84,A187)+SUMIFS(Woodworking!$AH$5:$AH$84,Woodworking!$A$5:$A$84,A187)+SUMIFS(Digital!$AA$5:$AA$84,Digital!$A$5:$A$84,A187),2))</f>
        <v>0</v>
      </c>
      <c r="AB187" s="20">
        <f>IF(B187="","",ROUND(IF(I187="Budget",PackBudget,IF(I187="Standard",PackStandard,IF(I187="Gift",PackGift,IF(I187="Premium",PackPremium,DefaultPackaging)))),2))</f>
        <v>0</v>
      </c>
      <c r="AC187" s="36">
        <f>IF(B187="","",IF(I187="Budget",PackWeightBudget,IF(I187="Standard",PackWeightStandard,IF(I187="Gift",PackWeightGift,IF(I187="Premium",PackWeightPremium,0)))))</f>
        <v>0</v>
      </c>
      <c r="AD187" s="20">
        <f>IF(B187="","",IFERROR(INDEX(Shipping!$M$5:$M$64,MATCH(J187,Shipping!$L$5:$L$64,0)),DefaultShipping))</f>
        <v>0</v>
      </c>
      <c r="AE187" s="20">
        <f>IF(B187="","",IFERROR(INDEX(Shipping!$F$5:$F$64,MATCH(J187,Shipping!$L$5:$L$64,0)),0))</f>
        <v>0</v>
      </c>
      <c r="AF187" s="36">
        <f>IF(B187="","",IFERROR(INDEX(Shipping!$C$5:$C$64,MATCH(J187,Shipping!$L$5:$L$64,0)),""))</f>
        <v>0</v>
      </c>
      <c r="AG187" s="20">
        <f>IF(B187="","",ROUND(MAX(0,AD187-AE187),2))</f>
        <v>0</v>
      </c>
      <c r="AH187" s="20">
        <f>IF(B187="","",ROUND(T187+Z187+AA187+AB187+AG187,2))</f>
        <v>0</v>
      </c>
      <c r="AI187" s="33">
        <f>IF(B187="","",IFERROR(INDEX(Channels!$S$5:$S$18,MATCH(IF(H187="",DefaultChannel,H187),Channels!$A$5:$A$18,0)),0))</f>
        <v>0</v>
      </c>
      <c r="AJ187" s="42">
        <f>IF(B187="","",IFERROR(INDEX(Channels!$O$5:$O$18,MATCH(IF(H187="",DefaultChannel,H187),Channels!$A$5:$A$18,0)),"No"))</f>
        <v>0</v>
      </c>
      <c r="AK187" s="20">
        <f>IF(B187="","",ROUND(IFERROR(INDEX(Channels!$T$5:$T$18,MATCH(IF(H187="",DefaultChannel,H187),Channels!$A$5:$A$18,0)),0)+IF(AJ187="Yes",AE187*AI187,0),4))</f>
        <v>0</v>
      </c>
      <c r="AL187" s="33">
        <f>IF(B187="","",IF(OverheadMethod="Share of revenue",IF(RevenueTargetMonth&lt;=0,0,OverheadMonthly/RevenueTargetMonth),0))</f>
        <v>0</v>
      </c>
      <c r="AM187" s="20">
        <f>IF(B187="","",IF(OverheadMethod="Per hour worked",ROUND(OverheadPerHour*Y187,2),IF(OR(OverheadMethod="Per unit made",OverheadMethod="Per order"),OverheadPerUnit,0)))</f>
        <v>0</v>
      </c>
      <c r="AN187" s="33">
        <f>IF(B187="","",IF(N187&lt;&gt;"",N187,TargetRetailMargin))</f>
        <v>0</v>
      </c>
      <c r="AO187" s="41">
        <f>IF(B187="","",1-AN187-AI187-AL187)</f>
        <v>0</v>
      </c>
      <c r="AP187" s="20">
        <f>IF(B187="","",IF(AO187&lt;=0,"",(AH187+AM187+AK187)/AO187))</f>
        <v>0</v>
      </c>
      <c r="AQ187" s="20">
        <f>IF(B187="","",IF(AP187="","Check the settings",ROUND(IF(RoundingRule="None",AP187,IF(RoundingRule="Nearest 0.99",MAX(0.99,CEILING(AP187,1)-0.01),IF(RoundingRule="Nearest 0.95",MAX(0.95,CEILING(AP187,1)-0.05),IF(RoundingRule="Nearest 0.50",CEILING(AP187,0.5),IF(RoundingRule="Nearest 1",CEILING(AP187,1),IF(RoundingRule="Nearest 5",CEILING(AP187,5),IF(RoundingRule="Up to whole 1",CEILING(AP187,1),IF(RoundingRule="Up to whole 5",CEILING(AP187,5),ROUND(AP187,2))))))))),2)))</f>
        <v>0</v>
      </c>
      <c r="AR187" s="20">
        <f>IF(B187="","",IF(M187&lt;&gt;"",M187,IF(ISNUMBER(AQ187),AQ187,"")))</f>
        <v>0</v>
      </c>
      <c r="AS187" s="20">
        <f>IF(B187="","",IF(AR187="","",ROUND(AM187+AR187*AL187,2)))</f>
        <v>0</v>
      </c>
      <c r="AT187" s="20">
        <f>IF(B187="","",IF(AR187="","",ROUND(AH187+AS187,2)))</f>
        <v>0</v>
      </c>
      <c r="AU187" s="20">
        <f>IF(B187="","",IF(AR187="","",ROUND(AR187*AI187+AK187,2)))</f>
        <v>0</v>
      </c>
      <c r="AV187" s="20">
        <f>IF(B187="","",IF(AR187="","",ROUND(AR187-AT187-AU187,2)))</f>
        <v>0</v>
      </c>
      <c r="AW187" s="33">
        <f>IF(B187="","",IF(OR(AR187="",AR187=0),"",AV187/AR187))</f>
        <v>0</v>
      </c>
      <c r="AX187" s="33">
        <f>IF(B187="","",IF(OR(AT187="",AT187=0),"",AV187/AT187))</f>
        <v>0</v>
      </c>
      <c r="AY187" s="20">
        <f>IF(B187="","",IF(OR(Y187="",Y187=0,AV187=""),"",ROUND(AV187/Y187,2)))</f>
        <v>0</v>
      </c>
      <c r="AZ187" s="20">
        <f>IF(B187="","",IF(OR(Y187="",Y187=0,AV187=""),"",ROUND((AV187+Z187)/Y187,2)))</f>
        <v>0</v>
      </c>
      <c r="BA187" s="20">
        <f>IF(B187="","",IF(1-AI187-AL187&lt;=0,"",ROUND((AH187+AM187+AK187)/(1-AI187-AL187),2)))</f>
        <v>0</v>
      </c>
      <c r="BB187" s="20">
        <f>IF(B187="","",IF(AT187="","",ROUND(AT187*2,2)))</f>
        <v>0</v>
      </c>
      <c r="BC187" s="20">
        <f>IF(B187="","",IF(AR187="","",ROUND(AR187*(1-WholesaleDiscount),2)))</f>
        <v>0</v>
      </c>
      <c r="BD187" s="20">
        <f>IF(B187="","",IF(BC187="","",ROUND(BC187-AH187-AM187,2)))</f>
        <v>0</v>
      </c>
      <c r="BE187" s="33">
        <f>IF(B187="","",IF(OR(BC187="",BC187=0),"",BD187/BC187))</f>
        <v>0</v>
      </c>
      <c r="BF187" s="20">
        <f>IF(B187="","",IFERROR(ROUND(AVERAGEIFS(Competitors!$F$5:$F$154,Competitors!$A$5:$A$154,A187),2),""))</f>
        <v>0</v>
      </c>
      <c r="BG187" s="33">
        <f>IF(B187="","",IF(OR(BF187="",BF187=0,AR187=""),"",AR187/BF187-1))</f>
        <v>0</v>
      </c>
      <c r="BH187" s="32">
        <f>IF(B187="","",SUMIFS(Sales!$D$5:$D$804,Sales!$C$5:$C$804,A187))</f>
        <v>0</v>
      </c>
      <c r="BI187" s="20">
        <f>IF(B187="","",ROUND(SUMIFS(Sales!$V$5:$V$804,Sales!$C$5:$C$804,A187),2))</f>
        <v>0</v>
      </c>
      <c r="BJ187" s="20">
        <f>IF(B187="","",ROUND(SUMIFS(Sales!$AG$5:$AG$804,Sales!$C$5:$C$804,A187),2))</f>
        <v>0</v>
      </c>
      <c r="BK187" s="33">
        <f>IF(B187="","",IF(OR(BI187="",BI187=0),"",BJ187/BI187))</f>
        <v>0</v>
      </c>
      <c r="BL187" s="17">
        <f>IF(B187="","",IF(SUMPRODUCT(MAX((Sales!$C$5:$C$804=A187)*Sales!$B$5:$B$804))=0,"",SUMPRODUCT(MAX((Sales!$C$5:$C$804=A187)*Sales!$B$5:$B$804))))</f>
        <v>0</v>
      </c>
      <c r="BM187" s="17">
        <f>IF(B187="","",IF(SUMPRODUCT(MAX(('Price History'!$B$5:$B$304=A187)*'Price History'!$A$5:$A$304))=0,IF(P187="","",P187),SUMPRODUCT(MAX(('Price History'!$B$5:$B$304=A187)*'Price History'!$A$5:$A$304))))</f>
        <v>0</v>
      </c>
      <c r="BN187" s="32">
        <f>IF(B187="","",IF(BM187="","",TodayDate-BM187))</f>
        <v>0</v>
      </c>
      <c r="BO187" s="32">
        <f>IF(B187="","",COUNTIFS($AV$5:$AV$304,"&gt;"&amp;AV187)+COUNTIFS($AV$5:AV187,AV187))</f>
        <v>0</v>
      </c>
      <c r="BP187" s="32">
        <f>IF(B187="","",COUNTIFS($AW$5:$AW$304,"&gt;"&amp;AW187)+COUNTIFS($AW$5:AW187,AW187))</f>
        <v>0</v>
      </c>
      <c r="BQ187" s="32">
        <f>IF(B187="","",COUNTIFS($BI$5:$BI$304,"&gt;"&amp;BI187)+COUNTIFS($BI$5:BI187,BI187))</f>
        <v>0</v>
      </c>
      <c r="BR187" s="32">
        <f>IF(B187="","",COUNTIFS($AY$5:$AY$304,"&gt;"&amp;AY187)+COUNTIFS($AY$5:AY187,AY187))</f>
        <v>0</v>
      </c>
      <c r="BS187" s="43">
        <f>IF(B187="","",IF(AH187=0,"Add - no costs entered yet",IF(AR187="","Check - no price yet",IF(AV187&lt;0,"Loss - every sale costs you money",IF(AND(AZ187&lt;&gt;"",AZ187&lt;MinimumWage),"Below - pays under minimum wage",IF(AW187&lt;MarginWarning,"Low margin - re-price it",IF(AND(AF187&lt;&gt;"",K187&lt;&gt;"",K187+AC187&gt;AF187),"Check - too heavy for that postage band",IF(AND(BN187&lt;&gt;"",BN187&gt;PriceReviewDays),"Due - price has not been reviewed",IF(AND(BG187&lt;&gt;"",BG187&gt;0.5),"Check - well above the market","OK")))))))) )</f>
        <v>0</v>
      </c>
    </row>
    <row r="188" spans="1:71">
      <c r="A188" s="38">
        <f>IF(B188="","",ProductPrefix&amp;TEXT(ROW()-4,"0000"))</f>
        <v>0</v>
      </c>
      <c r="S188" s="38">
        <f>IF(B188="","",IF(C188&lt;&gt;"",C188,UPPER(LEFT(IF(D188="","GEN",D188),3))&amp;"-"&amp;TEXT(ROW()-4,"000")))</f>
        <v>0</v>
      </c>
      <c r="T188" s="20">
        <f>IF(B188="","",ROUND(SUMIFS('Material Usage'!$M$5:$M$904,'Material Usage'!$A$5:$A$904,A188)+SUMIFS(Crochet!$AD$5:$AD$84,Crochet!$A$5:$A$84,A188)+SUMIFS(Jewelry!$AF$5:$AF$84,Jewelry!$A$5:$A$84,A188)+SUMIFS(Candles!$AF$5:$AF$84,Candles!$A$5:$A$84,A188)+SUMIFS(Clothing!$AB$5:$AB$84,Clothing!$A$5:$A$84,A188)+SUMIFS(Woodworking!$AC$5:$AC$84,Woodworking!$A$5:$A$84,A188)+SUMIFS(Digital!$X$5:$X$84,Digital!$A$5:$A$84,A188),2))</f>
        <v>0</v>
      </c>
      <c r="U188" s="20">
        <f>IF(B188="","",ROUND(SUMIFS(Labor!$O$5:$O$304,Labor!$A$5:$A$304,A188)+SUMIFS(Crochet!$AG$5:$AG$84,Crochet!$A$5:$A$84,A188)+SUMIFS(Jewelry!$AI$5:$AI$84,Jewelry!$A$5:$A$84,A188)+SUMIFS(Candles!$AI$5:$AI$84,Candles!$A$5:$A$84,A188)+SUMIFS(Clothing!$AE$5:$AE$84,Clothing!$A$5:$A$84,A188)+SUMIFS(Woodworking!$AF$5:$AF$84,Woodworking!$A$5:$A$84,A188)+SUMIFS(Digital!$Z$5:$Z$84,Digital!$A$5:$A$84,A188),2))</f>
        <v>0</v>
      </c>
      <c r="V188" s="36">
        <f>IF(B188="","",ROUND(SUMIFS(Labor!$P$5:$P$304,Labor!$A$5:$A$304,A188)+SUMIFS(Crochet!$AE$5:$AE$84,Crochet!$A$5:$A$84,A188)+SUMIFS(Jewelry!$AG$5:$AG$84,Jewelry!$A$5:$A$84,A188)+SUMIFS(Candles!$AG$5:$AG$84,Candles!$A$5:$A$84,A188)+SUMIFS(Clothing!$AC$5:$AC$84,Clothing!$A$5:$A$84,A188)+SUMIFS(Woodworking!$AD$5:$AD$84,Woodworking!$A$5:$A$84,A188)+SUMIFS(Digital!$Y$5:$Y$84,Digital!$A$5:$A$84,A188),1))</f>
        <v>0</v>
      </c>
      <c r="W188" s="41">
        <f>IF(B188="","",IFERROR(INDEX(DiffTimeFactors,MATCH(G188,DiffNames,0)),1))</f>
        <v>0</v>
      </c>
      <c r="X188" s="36">
        <f>IF(B188="","",ROUND(V188*W188,1))</f>
        <v>0</v>
      </c>
      <c r="Y188" s="41">
        <f>IF(B188="","",ROUND(X188/60,3))</f>
        <v>0</v>
      </c>
      <c r="Z188" s="20">
        <f>IF(B188="","",ROUND(U188*W188,2))</f>
        <v>0</v>
      </c>
      <c r="AA188" s="20">
        <f>IF(B188="","",ROUND(SUMIFS(Labor!$Q$5:$Q$304,Labor!$A$5:$A$304,A188)+SUMIFS(Crochet!$AH$5:$AH$84,Crochet!$A$5:$A$84,A188)+SUMIFS(Jewelry!$AJ$5:$AJ$84,Jewelry!$A$5:$A$84,A188)+SUMIFS(Candles!$AJ$5:$AJ$84,Candles!$A$5:$A$84,A188)+SUMIFS(Clothing!$AF$5:$AF$84,Clothing!$A$5:$A$84,A188)+SUMIFS(Woodworking!$AH$5:$AH$84,Woodworking!$A$5:$A$84,A188)+SUMIFS(Digital!$AA$5:$AA$84,Digital!$A$5:$A$84,A188),2))</f>
        <v>0</v>
      </c>
      <c r="AB188" s="20">
        <f>IF(B188="","",ROUND(IF(I188="Budget",PackBudget,IF(I188="Standard",PackStandard,IF(I188="Gift",PackGift,IF(I188="Premium",PackPremium,DefaultPackaging)))),2))</f>
        <v>0</v>
      </c>
      <c r="AC188" s="36">
        <f>IF(B188="","",IF(I188="Budget",PackWeightBudget,IF(I188="Standard",PackWeightStandard,IF(I188="Gift",PackWeightGift,IF(I188="Premium",PackWeightPremium,0)))))</f>
        <v>0</v>
      </c>
      <c r="AD188" s="20">
        <f>IF(B188="","",IFERROR(INDEX(Shipping!$M$5:$M$64,MATCH(J188,Shipping!$L$5:$L$64,0)),DefaultShipping))</f>
        <v>0</v>
      </c>
      <c r="AE188" s="20">
        <f>IF(B188="","",IFERROR(INDEX(Shipping!$F$5:$F$64,MATCH(J188,Shipping!$L$5:$L$64,0)),0))</f>
        <v>0</v>
      </c>
      <c r="AF188" s="36">
        <f>IF(B188="","",IFERROR(INDEX(Shipping!$C$5:$C$64,MATCH(J188,Shipping!$L$5:$L$64,0)),""))</f>
        <v>0</v>
      </c>
      <c r="AG188" s="20">
        <f>IF(B188="","",ROUND(MAX(0,AD188-AE188),2))</f>
        <v>0</v>
      </c>
      <c r="AH188" s="20">
        <f>IF(B188="","",ROUND(T188+Z188+AA188+AB188+AG188,2))</f>
        <v>0</v>
      </c>
      <c r="AI188" s="33">
        <f>IF(B188="","",IFERROR(INDEX(Channels!$S$5:$S$18,MATCH(IF(H188="",DefaultChannel,H188),Channels!$A$5:$A$18,0)),0))</f>
        <v>0</v>
      </c>
      <c r="AJ188" s="42">
        <f>IF(B188="","",IFERROR(INDEX(Channels!$O$5:$O$18,MATCH(IF(H188="",DefaultChannel,H188),Channels!$A$5:$A$18,0)),"No"))</f>
        <v>0</v>
      </c>
      <c r="AK188" s="20">
        <f>IF(B188="","",ROUND(IFERROR(INDEX(Channels!$T$5:$T$18,MATCH(IF(H188="",DefaultChannel,H188),Channels!$A$5:$A$18,0)),0)+IF(AJ188="Yes",AE188*AI188,0),4))</f>
        <v>0</v>
      </c>
      <c r="AL188" s="33">
        <f>IF(B188="","",IF(OverheadMethod="Share of revenue",IF(RevenueTargetMonth&lt;=0,0,OverheadMonthly/RevenueTargetMonth),0))</f>
        <v>0</v>
      </c>
      <c r="AM188" s="20">
        <f>IF(B188="","",IF(OverheadMethod="Per hour worked",ROUND(OverheadPerHour*Y188,2),IF(OR(OverheadMethod="Per unit made",OverheadMethod="Per order"),OverheadPerUnit,0)))</f>
        <v>0</v>
      </c>
      <c r="AN188" s="33">
        <f>IF(B188="","",IF(N188&lt;&gt;"",N188,TargetRetailMargin))</f>
        <v>0</v>
      </c>
      <c r="AO188" s="41">
        <f>IF(B188="","",1-AN188-AI188-AL188)</f>
        <v>0</v>
      </c>
      <c r="AP188" s="20">
        <f>IF(B188="","",IF(AO188&lt;=0,"",(AH188+AM188+AK188)/AO188))</f>
        <v>0</v>
      </c>
      <c r="AQ188" s="20">
        <f>IF(B188="","",IF(AP188="","Check the settings",ROUND(IF(RoundingRule="None",AP188,IF(RoundingRule="Nearest 0.99",MAX(0.99,CEILING(AP188,1)-0.01),IF(RoundingRule="Nearest 0.95",MAX(0.95,CEILING(AP188,1)-0.05),IF(RoundingRule="Nearest 0.50",CEILING(AP188,0.5),IF(RoundingRule="Nearest 1",CEILING(AP188,1),IF(RoundingRule="Nearest 5",CEILING(AP188,5),IF(RoundingRule="Up to whole 1",CEILING(AP188,1),IF(RoundingRule="Up to whole 5",CEILING(AP188,5),ROUND(AP188,2))))))))),2)))</f>
        <v>0</v>
      </c>
      <c r="AR188" s="20">
        <f>IF(B188="","",IF(M188&lt;&gt;"",M188,IF(ISNUMBER(AQ188),AQ188,"")))</f>
        <v>0</v>
      </c>
      <c r="AS188" s="20">
        <f>IF(B188="","",IF(AR188="","",ROUND(AM188+AR188*AL188,2)))</f>
        <v>0</v>
      </c>
      <c r="AT188" s="20">
        <f>IF(B188="","",IF(AR188="","",ROUND(AH188+AS188,2)))</f>
        <v>0</v>
      </c>
      <c r="AU188" s="20">
        <f>IF(B188="","",IF(AR188="","",ROUND(AR188*AI188+AK188,2)))</f>
        <v>0</v>
      </c>
      <c r="AV188" s="20">
        <f>IF(B188="","",IF(AR188="","",ROUND(AR188-AT188-AU188,2)))</f>
        <v>0</v>
      </c>
      <c r="AW188" s="33">
        <f>IF(B188="","",IF(OR(AR188="",AR188=0),"",AV188/AR188))</f>
        <v>0</v>
      </c>
      <c r="AX188" s="33">
        <f>IF(B188="","",IF(OR(AT188="",AT188=0),"",AV188/AT188))</f>
        <v>0</v>
      </c>
      <c r="AY188" s="20">
        <f>IF(B188="","",IF(OR(Y188="",Y188=0,AV188=""),"",ROUND(AV188/Y188,2)))</f>
        <v>0</v>
      </c>
      <c r="AZ188" s="20">
        <f>IF(B188="","",IF(OR(Y188="",Y188=0,AV188=""),"",ROUND((AV188+Z188)/Y188,2)))</f>
        <v>0</v>
      </c>
      <c r="BA188" s="20">
        <f>IF(B188="","",IF(1-AI188-AL188&lt;=0,"",ROUND((AH188+AM188+AK188)/(1-AI188-AL188),2)))</f>
        <v>0</v>
      </c>
      <c r="BB188" s="20">
        <f>IF(B188="","",IF(AT188="","",ROUND(AT188*2,2)))</f>
        <v>0</v>
      </c>
      <c r="BC188" s="20">
        <f>IF(B188="","",IF(AR188="","",ROUND(AR188*(1-WholesaleDiscount),2)))</f>
        <v>0</v>
      </c>
      <c r="BD188" s="20">
        <f>IF(B188="","",IF(BC188="","",ROUND(BC188-AH188-AM188,2)))</f>
        <v>0</v>
      </c>
      <c r="BE188" s="33">
        <f>IF(B188="","",IF(OR(BC188="",BC188=0),"",BD188/BC188))</f>
        <v>0</v>
      </c>
      <c r="BF188" s="20">
        <f>IF(B188="","",IFERROR(ROUND(AVERAGEIFS(Competitors!$F$5:$F$154,Competitors!$A$5:$A$154,A188),2),""))</f>
        <v>0</v>
      </c>
      <c r="BG188" s="33">
        <f>IF(B188="","",IF(OR(BF188="",BF188=0,AR188=""),"",AR188/BF188-1))</f>
        <v>0</v>
      </c>
      <c r="BH188" s="32">
        <f>IF(B188="","",SUMIFS(Sales!$D$5:$D$804,Sales!$C$5:$C$804,A188))</f>
        <v>0</v>
      </c>
      <c r="BI188" s="20">
        <f>IF(B188="","",ROUND(SUMIFS(Sales!$V$5:$V$804,Sales!$C$5:$C$804,A188),2))</f>
        <v>0</v>
      </c>
      <c r="BJ188" s="20">
        <f>IF(B188="","",ROUND(SUMIFS(Sales!$AG$5:$AG$804,Sales!$C$5:$C$804,A188),2))</f>
        <v>0</v>
      </c>
      <c r="BK188" s="33">
        <f>IF(B188="","",IF(OR(BI188="",BI188=0),"",BJ188/BI188))</f>
        <v>0</v>
      </c>
      <c r="BL188" s="17">
        <f>IF(B188="","",IF(SUMPRODUCT(MAX((Sales!$C$5:$C$804=A188)*Sales!$B$5:$B$804))=0,"",SUMPRODUCT(MAX((Sales!$C$5:$C$804=A188)*Sales!$B$5:$B$804))))</f>
        <v>0</v>
      </c>
      <c r="BM188" s="17">
        <f>IF(B188="","",IF(SUMPRODUCT(MAX(('Price History'!$B$5:$B$304=A188)*'Price History'!$A$5:$A$304))=0,IF(P188="","",P188),SUMPRODUCT(MAX(('Price History'!$B$5:$B$304=A188)*'Price History'!$A$5:$A$304))))</f>
        <v>0</v>
      </c>
      <c r="BN188" s="32">
        <f>IF(B188="","",IF(BM188="","",TodayDate-BM188))</f>
        <v>0</v>
      </c>
      <c r="BO188" s="32">
        <f>IF(B188="","",COUNTIFS($AV$5:$AV$304,"&gt;"&amp;AV188)+COUNTIFS($AV$5:AV188,AV188))</f>
        <v>0</v>
      </c>
      <c r="BP188" s="32">
        <f>IF(B188="","",COUNTIFS($AW$5:$AW$304,"&gt;"&amp;AW188)+COUNTIFS($AW$5:AW188,AW188))</f>
        <v>0</v>
      </c>
      <c r="BQ188" s="32">
        <f>IF(B188="","",COUNTIFS($BI$5:$BI$304,"&gt;"&amp;BI188)+COUNTIFS($BI$5:BI188,BI188))</f>
        <v>0</v>
      </c>
      <c r="BR188" s="32">
        <f>IF(B188="","",COUNTIFS($AY$5:$AY$304,"&gt;"&amp;AY188)+COUNTIFS($AY$5:AY188,AY188))</f>
        <v>0</v>
      </c>
      <c r="BS188" s="43">
        <f>IF(B188="","",IF(AH188=0,"Add - no costs entered yet",IF(AR188="","Check - no price yet",IF(AV188&lt;0,"Loss - every sale costs you money",IF(AND(AZ188&lt;&gt;"",AZ188&lt;MinimumWage),"Below - pays under minimum wage",IF(AW188&lt;MarginWarning,"Low margin - re-price it",IF(AND(AF188&lt;&gt;"",K188&lt;&gt;"",K188+AC188&gt;AF188),"Check - too heavy for that postage band",IF(AND(BN188&lt;&gt;"",BN188&gt;PriceReviewDays),"Due - price has not been reviewed",IF(AND(BG188&lt;&gt;"",BG188&gt;0.5),"Check - well above the market","OK")))))))) )</f>
        <v>0</v>
      </c>
    </row>
    <row r="189" spans="1:71">
      <c r="A189" s="38">
        <f>IF(B189="","",ProductPrefix&amp;TEXT(ROW()-4,"0000"))</f>
        <v>0</v>
      </c>
      <c r="S189" s="38">
        <f>IF(B189="","",IF(C189&lt;&gt;"",C189,UPPER(LEFT(IF(D189="","GEN",D189),3))&amp;"-"&amp;TEXT(ROW()-4,"000")))</f>
        <v>0</v>
      </c>
      <c r="T189" s="20">
        <f>IF(B189="","",ROUND(SUMIFS('Material Usage'!$M$5:$M$904,'Material Usage'!$A$5:$A$904,A189)+SUMIFS(Crochet!$AD$5:$AD$84,Crochet!$A$5:$A$84,A189)+SUMIFS(Jewelry!$AF$5:$AF$84,Jewelry!$A$5:$A$84,A189)+SUMIFS(Candles!$AF$5:$AF$84,Candles!$A$5:$A$84,A189)+SUMIFS(Clothing!$AB$5:$AB$84,Clothing!$A$5:$A$84,A189)+SUMIFS(Woodworking!$AC$5:$AC$84,Woodworking!$A$5:$A$84,A189)+SUMIFS(Digital!$X$5:$X$84,Digital!$A$5:$A$84,A189),2))</f>
        <v>0</v>
      </c>
      <c r="U189" s="20">
        <f>IF(B189="","",ROUND(SUMIFS(Labor!$O$5:$O$304,Labor!$A$5:$A$304,A189)+SUMIFS(Crochet!$AG$5:$AG$84,Crochet!$A$5:$A$84,A189)+SUMIFS(Jewelry!$AI$5:$AI$84,Jewelry!$A$5:$A$84,A189)+SUMIFS(Candles!$AI$5:$AI$84,Candles!$A$5:$A$84,A189)+SUMIFS(Clothing!$AE$5:$AE$84,Clothing!$A$5:$A$84,A189)+SUMIFS(Woodworking!$AF$5:$AF$84,Woodworking!$A$5:$A$84,A189)+SUMIFS(Digital!$Z$5:$Z$84,Digital!$A$5:$A$84,A189),2))</f>
        <v>0</v>
      </c>
      <c r="V189" s="36">
        <f>IF(B189="","",ROUND(SUMIFS(Labor!$P$5:$P$304,Labor!$A$5:$A$304,A189)+SUMIFS(Crochet!$AE$5:$AE$84,Crochet!$A$5:$A$84,A189)+SUMIFS(Jewelry!$AG$5:$AG$84,Jewelry!$A$5:$A$84,A189)+SUMIFS(Candles!$AG$5:$AG$84,Candles!$A$5:$A$84,A189)+SUMIFS(Clothing!$AC$5:$AC$84,Clothing!$A$5:$A$84,A189)+SUMIFS(Woodworking!$AD$5:$AD$84,Woodworking!$A$5:$A$84,A189)+SUMIFS(Digital!$Y$5:$Y$84,Digital!$A$5:$A$84,A189),1))</f>
        <v>0</v>
      </c>
      <c r="W189" s="41">
        <f>IF(B189="","",IFERROR(INDEX(DiffTimeFactors,MATCH(G189,DiffNames,0)),1))</f>
        <v>0</v>
      </c>
      <c r="X189" s="36">
        <f>IF(B189="","",ROUND(V189*W189,1))</f>
        <v>0</v>
      </c>
      <c r="Y189" s="41">
        <f>IF(B189="","",ROUND(X189/60,3))</f>
        <v>0</v>
      </c>
      <c r="Z189" s="20">
        <f>IF(B189="","",ROUND(U189*W189,2))</f>
        <v>0</v>
      </c>
      <c r="AA189" s="20">
        <f>IF(B189="","",ROUND(SUMIFS(Labor!$Q$5:$Q$304,Labor!$A$5:$A$304,A189)+SUMIFS(Crochet!$AH$5:$AH$84,Crochet!$A$5:$A$84,A189)+SUMIFS(Jewelry!$AJ$5:$AJ$84,Jewelry!$A$5:$A$84,A189)+SUMIFS(Candles!$AJ$5:$AJ$84,Candles!$A$5:$A$84,A189)+SUMIFS(Clothing!$AF$5:$AF$84,Clothing!$A$5:$A$84,A189)+SUMIFS(Woodworking!$AH$5:$AH$84,Woodworking!$A$5:$A$84,A189)+SUMIFS(Digital!$AA$5:$AA$84,Digital!$A$5:$A$84,A189),2))</f>
        <v>0</v>
      </c>
      <c r="AB189" s="20">
        <f>IF(B189="","",ROUND(IF(I189="Budget",PackBudget,IF(I189="Standard",PackStandard,IF(I189="Gift",PackGift,IF(I189="Premium",PackPremium,DefaultPackaging)))),2))</f>
        <v>0</v>
      </c>
      <c r="AC189" s="36">
        <f>IF(B189="","",IF(I189="Budget",PackWeightBudget,IF(I189="Standard",PackWeightStandard,IF(I189="Gift",PackWeightGift,IF(I189="Premium",PackWeightPremium,0)))))</f>
        <v>0</v>
      </c>
      <c r="AD189" s="20">
        <f>IF(B189="","",IFERROR(INDEX(Shipping!$M$5:$M$64,MATCH(J189,Shipping!$L$5:$L$64,0)),DefaultShipping))</f>
        <v>0</v>
      </c>
      <c r="AE189" s="20">
        <f>IF(B189="","",IFERROR(INDEX(Shipping!$F$5:$F$64,MATCH(J189,Shipping!$L$5:$L$64,0)),0))</f>
        <v>0</v>
      </c>
      <c r="AF189" s="36">
        <f>IF(B189="","",IFERROR(INDEX(Shipping!$C$5:$C$64,MATCH(J189,Shipping!$L$5:$L$64,0)),""))</f>
        <v>0</v>
      </c>
      <c r="AG189" s="20">
        <f>IF(B189="","",ROUND(MAX(0,AD189-AE189),2))</f>
        <v>0</v>
      </c>
      <c r="AH189" s="20">
        <f>IF(B189="","",ROUND(T189+Z189+AA189+AB189+AG189,2))</f>
        <v>0</v>
      </c>
      <c r="AI189" s="33">
        <f>IF(B189="","",IFERROR(INDEX(Channels!$S$5:$S$18,MATCH(IF(H189="",DefaultChannel,H189),Channels!$A$5:$A$18,0)),0))</f>
        <v>0</v>
      </c>
      <c r="AJ189" s="42">
        <f>IF(B189="","",IFERROR(INDEX(Channels!$O$5:$O$18,MATCH(IF(H189="",DefaultChannel,H189),Channels!$A$5:$A$18,0)),"No"))</f>
        <v>0</v>
      </c>
      <c r="AK189" s="20">
        <f>IF(B189="","",ROUND(IFERROR(INDEX(Channels!$T$5:$T$18,MATCH(IF(H189="",DefaultChannel,H189),Channels!$A$5:$A$18,0)),0)+IF(AJ189="Yes",AE189*AI189,0),4))</f>
        <v>0</v>
      </c>
      <c r="AL189" s="33">
        <f>IF(B189="","",IF(OverheadMethod="Share of revenue",IF(RevenueTargetMonth&lt;=0,0,OverheadMonthly/RevenueTargetMonth),0))</f>
        <v>0</v>
      </c>
      <c r="AM189" s="20">
        <f>IF(B189="","",IF(OverheadMethod="Per hour worked",ROUND(OverheadPerHour*Y189,2),IF(OR(OverheadMethod="Per unit made",OverheadMethod="Per order"),OverheadPerUnit,0)))</f>
        <v>0</v>
      </c>
      <c r="AN189" s="33">
        <f>IF(B189="","",IF(N189&lt;&gt;"",N189,TargetRetailMargin))</f>
        <v>0</v>
      </c>
      <c r="AO189" s="41">
        <f>IF(B189="","",1-AN189-AI189-AL189)</f>
        <v>0</v>
      </c>
      <c r="AP189" s="20">
        <f>IF(B189="","",IF(AO189&lt;=0,"",(AH189+AM189+AK189)/AO189))</f>
        <v>0</v>
      </c>
      <c r="AQ189" s="20">
        <f>IF(B189="","",IF(AP189="","Check the settings",ROUND(IF(RoundingRule="None",AP189,IF(RoundingRule="Nearest 0.99",MAX(0.99,CEILING(AP189,1)-0.01),IF(RoundingRule="Nearest 0.95",MAX(0.95,CEILING(AP189,1)-0.05),IF(RoundingRule="Nearest 0.50",CEILING(AP189,0.5),IF(RoundingRule="Nearest 1",CEILING(AP189,1),IF(RoundingRule="Nearest 5",CEILING(AP189,5),IF(RoundingRule="Up to whole 1",CEILING(AP189,1),IF(RoundingRule="Up to whole 5",CEILING(AP189,5),ROUND(AP189,2))))))))),2)))</f>
        <v>0</v>
      </c>
      <c r="AR189" s="20">
        <f>IF(B189="","",IF(M189&lt;&gt;"",M189,IF(ISNUMBER(AQ189),AQ189,"")))</f>
        <v>0</v>
      </c>
      <c r="AS189" s="20">
        <f>IF(B189="","",IF(AR189="","",ROUND(AM189+AR189*AL189,2)))</f>
        <v>0</v>
      </c>
      <c r="AT189" s="20">
        <f>IF(B189="","",IF(AR189="","",ROUND(AH189+AS189,2)))</f>
        <v>0</v>
      </c>
      <c r="AU189" s="20">
        <f>IF(B189="","",IF(AR189="","",ROUND(AR189*AI189+AK189,2)))</f>
        <v>0</v>
      </c>
      <c r="AV189" s="20">
        <f>IF(B189="","",IF(AR189="","",ROUND(AR189-AT189-AU189,2)))</f>
        <v>0</v>
      </c>
      <c r="AW189" s="33">
        <f>IF(B189="","",IF(OR(AR189="",AR189=0),"",AV189/AR189))</f>
        <v>0</v>
      </c>
      <c r="AX189" s="33">
        <f>IF(B189="","",IF(OR(AT189="",AT189=0),"",AV189/AT189))</f>
        <v>0</v>
      </c>
      <c r="AY189" s="20">
        <f>IF(B189="","",IF(OR(Y189="",Y189=0,AV189=""),"",ROUND(AV189/Y189,2)))</f>
        <v>0</v>
      </c>
      <c r="AZ189" s="20">
        <f>IF(B189="","",IF(OR(Y189="",Y189=0,AV189=""),"",ROUND((AV189+Z189)/Y189,2)))</f>
        <v>0</v>
      </c>
      <c r="BA189" s="20">
        <f>IF(B189="","",IF(1-AI189-AL189&lt;=0,"",ROUND((AH189+AM189+AK189)/(1-AI189-AL189),2)))</f>
        <v>0</v>
      </c>
      <c r="BB189" s="20">
        <f>IF(B189="","",IF(AT189="","",ROUND(AT189*2,2)))</f>
        <v>0</v>
      </c>
      <c r="BC189" s="20">
        <f>IF(B189="","",IF(AR189="","",ROUND(AR189*(1-WholesaleDiscount),2)))</f>
        <v>0</v>
      </c>
      <c r="BD189" s="20">
        <f>IF(B189="","",IF(BC189="","",ROUND(BC189-AH189-AM189,2)))</f>
        <v>0</v>
      </c>
      <c r="BE189" s="33">
        <f>IF(B189="","",IF(OR(BC189="",BC189=0),"",BD189/BC189))</f>
        <v>0</v>
      </c>
      <c r="BF189" s="20">
        <f>IF(B189="","",IFERROR(ROUND(AVERAGEIFS(Competitors!$F$5:$F$154,Competitors!$A$5:$A$154,A189),2),""))</f>
        <v>0</v>
      </c>
      <c r="BG189" s="33">
        <f>IF(B189="","",IF(OR(BF189="",BF189=0,AR189=""),"",AR189/BF189-1))</f>
        <v>0</v>
      </c>
      <c r="BH189" s="32">
        <f>IF(B189="","",SUMIFS(Sales!$D$5:$D$804,Sales!$C$5:$C$804,A189))</f>
        <v>0</v>
      </c>
      <c r="BI189" s="20">
        <f>IF(B189="","",ROUND(SUMIFS(Sales!$V$5:$V$804,Sales!$C$5:$C$804,A189),2))</f>
        <v>0</v>
      </c>
      <c r="BJ189" s="20">
        <f>IF(B189="","",ROUND(SUMIFS(Sales!$AG$5:$AG$804,Sales!$C$5:$C$804,A189),2))</f>
        <v>0</v>
      </c>
      <c r="BK189" s="33">
        <f>IF(B189="","",IF(OR(BI189="",BI189=0),"",BJ189/BI189))</f>
        <v>0</v>
      </c>
      <c r="BL189" s="17">
        <f>IF(B189="","",IF(SUMPRODUCT(MAX((Sales!$C$5:$C$804=A189)*Sales!$B$5:$B$804))=0,"",SUMPRODUCT(MAX((Sales!$C$5:$C$804=A189)*Sales!$B$5:$B$804))))</f>
        <v>0</v>
      </c>
      <c r="BM189" s="17">
        <f>IF(B189="","",IF(SUMPRODUCT(MAX(('Price History'!$B$5:$B$304=A189)*'Price History'!$A$5:$A$304))=0,IF(P189="","",P189),SUMPRODUCT(MAX(('Price History'!$B$5:$B$304=A189)*'Price History'!$A$5:$A$304))))</f>
        <v>0</v>
      </c>
      <c r="BN189" s="32">
        <f>IF(B189="","",IF(BM189="","",TodayDate-BM189))</f>
        <v>0</v>
      </c>
      <c r="BO189" s="32">
        <f>IF(B189="","",COUNTIFS($AV$5:$AV$304,"&gt;"&amp;AV189)+COUNTIFS($AV$5:AV189,AV189))</f>
        <v>0</v>
      </c>
      <c r="BP189" s="32">
        <f>IF(B189="","",COUNTIFS($AW$5:$AW$304,"&gt;"&amp;AW189)+COUNTIFS($AW$5:AW189,AW189))</f>
        <v>0</v>
      </c>
      <c r="BQ189" s="32">
        <f>IF(B189="","",COUNTIFS($BI$5:$BI$304,"&gt;"&amp;BI189)+COUNTIFS($BI$5:BI189,BI189))</f>
        <v>0</v>
      </c>
      <c r="BR189" s="32">
        <f>IF(B189="","",COUNTIFS($AY$5:$AY$304,"&gt;"&amp;AY189)+COUNTIFS($AY$5:AY189,AY189))</f>
        <v>0</v>
      </c>
      <c r="BS189" s="43">
        <f>IF(B189="","",IF(AH189=0,"Add - no costs entered yet",IF(AR189="","Check - no price yet",IF(AV189&lt;0,"Loss - every sale costs you money",IF(AND(AZ189&lt;&gt;"",AZ189&lt;MinimumWage),"Below - pays under minimum wage",IF(AW189&lt;MarginWarning,"Low margin - re-price it",IF(AND(AF189&lt;&gt;"",K189&lt;&gt;"",K189+AC189&gt;AF189),"Check - too heavy for that postage band",IF(AND(BN189&lt;&gt;"",BN189&gt;PriceReviewDays),"Due - price has not been reviewed",IF(AND(BG189&lt;&gt;"",BG189&gt;0.5),"Check - well above the market","OK")))))))) )</f>
        <v>0</v>
      </c>
    </row>
    <row r="190" spans="1:71">
      <c r="A190" s="38">
        <f>IF(B190="","",ProductPrefix&amp;TEXT(ROW()-4,"0000"))</f>
        <v>0</v>
      </c>
      <c r="S190" s="38">
        <f>IF(B190="","",IF(C190&lt;&gt;"",C190,UPPER(LEFT(IF(D190="","GEN",D190),3))&amp;"-"&amp;TEXT(ROW()-4,"000")))</f>
        <v>0</v>
      </c>
      <c r="T190" s="20">
        <f>IF(B190="","",ROUND(SUMIFS('Material Usage'!$M$5:$M$904,'Material Usage'!$A$5:$A$904,A190)+SUMIFS(Crochet!$AD$5:$AD$84,Crochet!$A$5:$A$84,A190)+SUMIFS(Jewelry!$AF$5:$AF$84,Jewelry!$A$5:$A$84,A190)+SUMIFS(Candles!$AF$5:$AF$84,Candles!$A$5:$A$84,A190)+SUMIFS(Clothing!$AB$5:$AB$84,Clothing!$A$5:$A$84,A190)+SUMIFS(Woodworking!$AC$5:$AC$84,Woodworking!$A$5:$A$84,A190)+SUMIFS(Digital!$X$5:$X$84,Digital!$A$5:$A$84,A190),2))</f>
        <v>0</v>
      </c>
      <c r="U190" s="20">
        <f>IF(B190="","",ROUND(SUMIFS(Labor!$O$5:$O$304,Labor!$A$5:$A$304,A190)+SUMIFS(Crochet!$AG$5:$AG$84,Crochet!$A$5:$A$84,A190)+SUMIFS(Jewelry!$AI$5:$AI$84,Jewelry!$A$5:$A$84,A190)+SUMIFS(Candles!$AI$5:$AI$84,Candles!$A$5:$A$84,A190)+SUMIFS(Clothing!$AE$5:$AE$84,Clothing!$A$5:$A$84,A190)+SUMIFS(Woodworking!$AF$5:$AF$84,Woodworking!$A$5:$A$84,A190)+SUMIFS(Digital!$Z$5:$Z$84,Digital!$A$5:$A$84,A190),2))</f>
        <v>0</v>
      </c>
      <c r="V190" s="36">
        <f>IF(B190="","",ROUND(SUMIFS(Labor!$P$5:$P$304,Labor!$A$5:$A$304,A190)+SUMIFS(Crochet!$AE$5:$AE$84,Crochet!$A$5:$A$84,A190)+SUMIFS(Jewelry!$AG$5:$AG$84,Jewelry!$A$5:$A$84,A190)+SUMIFS(Candles!$AG$5:$AG$84,Candles!$A$5:$A$84,A190)+SUMIFS(Clothing!$AC$5:$AC$84,Clothing!$A$5:$A$84,A190)+SUMIFS(Woodworking!$AD$5:$AD$84,Woodworking!$A$5:$A$84,A190)+SUMIFS(Digital!$Y$5:$Y$84,Digital!$A$5:$A$84,A190),1))</f>
        <v>0</v>
      </c>
      <c r="W190" s="41">
        <f>IF(B190="","",IFERROR(INDEX(DiffTimeFactors,MATCH(G190,DiffNames,0)),1))</f>
        <v>0</v>
      </c>
      <c r="X190" s="36">
        <f>IF(B190="","",ROUND(V190*W190,1))</f>
        <v>0</v>
      </c>
      <c r="Y190" s="41">
        <f>IF(B190="","",ROUND(X190/60,3))</f>
        <v>0</v>
      </c>
      <c r="Z190" s="20">
        <f>IF(B190="","",ROUND(U190*W190,2))</f>
        <v>0</v>
      </c>
      <c r="AA190" s="20">
        <f>IF(B190="","",ROUND(SUMIFS(Labor!$Q$5:$Q$304,Labor!$A$5:$A$304,A190)+SUMIFS(Crochet!$AH$5:$AH$84,Crochet!$A$5:$A$84,A190)+SUMIFS(Jewelry!$AJ$5:$AJ$84,Jewelry!$A$5:$A$84,A190)+SUMIFS(Candles!$AJ$5:$AJ$84,Candles!$A$5:$A$84,A190)+SUMIFS(Clothing!$AF$5:$AF$84,Clothing!$A$5:$A$84,A190)+SUMIFS(Woodworking!$AH$5:$AH$84,Woodworking!$A$5:$A$84,A190)+SUMIFS(Digital!$AA$5:$AA$84,Digital!$A$5:$A$84,A190),2))</f>
        <v>0</v>
      </c>
      <c r="AB190" s="20">
        <f>IF(B190="","",ROUND(IF(I190="Budget",PackBudget,IF(I190="Standard",PackStandard,IF(I190="Gift",PackGift,IF(I190="Premium",PackPremium,DefaultPackaging)))),2))</f>
        <v>0</v>
      </c>
      <c r="AC190" s="36">
        <f>IF(B190="","",IF(I190="Budget",PackWeightBudget,IF(I190="Standard",PackWeightStandard,IF(I190="Gift",PackWeightGift,IF(I190="Premium",PackWeightPremium,0)))))</f>
        <v>0</v>
      </c>
      <c r="AD190" s="20">
        <f>IF(B190="","",IFERROR(INDEX(Shipping!$M$5:$M$64,MATCH(J190,Shipping!$L$5:$L$64,0)),DefaultShipping))</f>
        <v>0</v>
      </c>
      <c r="AE190" s="20">
        <f>IF(B190="","",IFERROR(INDEX(Shipping!$F$5:$F$64,MATCH(J190,Shipping!$L$5:$L$64,0)),0))</f>
        <v>0</v>
      </c>
      <c r="AF190" s="36">
        <f>IF(B190="","",IFERROR(INDEX(Shipping!$C$5:$C$64,MATCH(J190,Shipping!$L$5:$L$64,0)),""))</f>
        <v>0</v>
      </c>
      <c r="AG190" s="20">
        <f>IF(B190="","",ROUND(MAX(0,AD190-AE190),2))</f>
        <v>0</v>
      </c>
      <c r="AH190" s="20">
        <f>IF(B190="","",ROUND(T190+Z190+AA190+AB190+AG190,2))</f>
        <v>0</v>
      </c>
      <c r="AI190" s="33">
        <f>IF(B190="","",IFERROR(INDEX(Channels!$S$5:$S$18,MATCH(IF(H190="",DefaultChannel,H190),Channels!$A$5:$A$18,0)),0))</f>
        <v>0</v>
      </c>
      <c r="AJ190" s="42">
        <f>IF(B190="","",IFERROR(INDEX(Channels!$O$5:$O$18,MATCH(IF(H190="",DefaultChannel,H190),Channels!$A$5:$A$18,0)),"No"))</f>
        <v>0</v>
      </c>
      <c r="AK190" s="20">
        <f>IF(B190="","",ROUND(IFERROR(INDEX(Channels!$T$5:$T$18,MATCH(IF(H190="",DefaultChannel,H190),Channels!$A$5:$A$18,0)),0)+IF(AJ190="Yes",AE190*AI190,0),4))</f>
        <v>0</v>
      </c>
      <c r="AL190" s="33">
        <f>IF(B190="","",IF(OverheadMethod="Share of revenue",IF(RevenueTargetMonth&lt;=0,0,OverheadMonthly/RevenueTargetMonth),0))</f>
        <v>0</v>
      </c>
      <c r="AM190" s="20">
        <f>IF(B190="","",IF(OverheadMethod="Per hour worked",ROUND(OverheadPerHour*Y190,2),IF(OR(OverheadMethod="Per unit made",OverheadMethod="Per order"),OverheadPerUnit,0)))</f>
        <v>0</v>
      </c>
      <c r="AN190" s="33">
        <f>IF(B190="","",IF(N190&lt;&gt;"",N190,TargetRetailMargin))</f>
        <v>0</v>
      </c>
      <c r="AO190" s="41">
        <f>IF(B190="","",1-AN190-AI190-AL190)</f>
        <v>0</v>
      </c>
      <c r="AP190" s="20">
        <f>IF(B190="","",IF(AO190&lt;=0,"",(AH190+AM190+AK190)/AO190))</f>
        <v>0</v>
      </c>
      <c r="AQ190" s="20">
        <f>IF(B190="","",IF(AP190="","Check the settings",ROUND(IF(RoundingRule="None",AP190,IF(RoundingRule="Nearest 0.99",MAX(0.99,CEILING(AP190,1)-0.01),IF(RoundingRule="Nearest 0.95",MAX(0.95,CEILING(AP190,1)-0.05),IF(RoundingRule="Nearest 0.50",CEILING(AP190,0.5),IF(RoundingRule="Nearest 1",CEILING(AP190,1),IF(RoundingRule="Nearest 5",CEILING(AP190,5),IF(RoundingRule="Up to whole 1",CEILING(AP190,1),IF(RoundingRule="Up to whole 5",CEILING(AP190,5),ROUND(AP190,2))))))))),2)))</f>
        <v>0</v>
      </c>
      <c r="AR190" s="20">
        <f>IF(B190="","",IF(M190&lt;&gt;"",M190,IF(ISNUMBER(AQ190),AQ190,"")))</f>
        <v>0</v>
      </c>
      <c r="AS190" s="20">
        <f>IF(B190="","",IF(AR190="","",ROUND(AM190+AR190*AL190,2)))</f>
        <v>0</v>
      </c>
      <c r="AT190" s="20">
        <f>IF(B190="","",IF(AR190="","",ROUND(AH190+AS190,2)))</f>
        <v>0</v>
      </c>
      <c r="AU190" s="20">
        <f>IF(B190="","",IF(AR190="","",ROUND(AR190*AI190+AK190,2)))</f>
        <v>0</v>
      </c>
      <c r="AV190" s="20">
        <f>IF(B190="","",IF(AR190="","",ROUND(AR190-AT190-AU190,2)))</f>
        <v>0</v>
      </c>
      <c r="AW190" s="33">
        <f>IF(B190="","",IF(OR(AR190="",AR190=0),"",AV190/AR190))</f>
        <v>0</v>
      </c>
      <c r="AX190" s="33">
        <f>IF(B190="","",IF(OR(AT190="",AT190=0),"",AV190/AT190))</f>
        <v>0</v>
      </c>
      <c r="AY190" s="20">
        <f>IF(B190="","",IF(OR(Y190="",Y190=0,AV190=""),"",ROUND(AV190/Y190,2)))</f>
        <v>0</v>
      </c>
      <c r="AZ190" s="20">
        <f>IF(B190="","",IF(OR(Y190="",Y190=0,AV190=""),"",ROUND((AV190+Z190)/Y190,2)))</f>
        <v>0</v>
      </c>
      <c r="BA190" s="20">
        <f>IF(B190="","",IF(1-AI190-AL190&lt;=0,"",ROUND((AH190+AM190+AK190)/(1-AI190-AL190),2)))</f>
        <v>0</v>
      </c>
      <c r="BB190" s="20">
        <f>IF(B190="","",IF(AT190="","",ROUND(AT190*2,2)))</f>
        <v>0</v>
      </c>
      <c r="BC190" s="20">
        <f>IF(B190="","",IF(AR190="","",ROUND(AR190*(1-WholesaleDiscount),2)))</f>
        <v>0</v>
      </c>
      <c r="BD190" s="20">
        <f>IF(B190="","",IF(BC190="","",ROUND(BC190-AH190-AM190,2)))</f>
        <v>0</v>
      </c>
      <c r="BE190" s="33">
        <f>IF(B190="","",IF(OR(BC190="",BC190=0),"",BD190/BC190))</f>
        <v>0</v>
      </c>
      <c r="BF190" s="20">
        <f>IF(B190="","",IFERROR(ROUND(AVERAGEIFS(Competitors!$F$5:$F$154,Competitors!$A$5:$A$154,A190),2),""))</f>
        <v>0</v>
      </c>
      <c r="BG190" s="33">
        <f>IF(B190="","",IF(OR(BF190="",BF190=0,AR190=""),"",AR190/BF190-1))</f>
        <v>0</v>
      </c>
      <c r="BH190" s="32">
        <f>IF(B190="","",SUMIFS(Sales!$D$5:$D$804,Sales!$C$5:$C$804,A190))</f>
        <v>0</v>
      </c>
      <c r="BI190" s="20">
        <f>IF(B190="","",ROUND(SUMIFS(Sales!$V$5:$V$804,Sales!$C$5:$C$804,A190),2))</f>
        <v>0</v>
      </c>
      <c r="BJ190" s="20">
        <f>IF(B190="","",ROUND(SUMIFS(Sales!$AG$5:$AG$804,Sales!$C$5:$C$804,A190),2))</f>
        <v>0</v>
      </c>
      <c r="BK190" s="33">
        <f>IF(B190="","",IF(OR(BI190="",BI190=0),"",BJ190/BI190))</f>
        <v>0</v>
      </c>
      <c r="BL190" s="17">
        <f>IF(B190="","",IF(SUMPRODUCT(MAX((Sales!$C$5:$C$804=A190)*Sales!$B$5:$B$804))=0,"",SUMPRODUCT(MAX((Sales!$C$5:$C$804=A190)*Sales!$B$5:$B$804))))</f>
        <v>0</v>
      </c>
      <c r="BM190" s="17">
        <f>IF(B190="","",IF(SUMPRODUCT(MAX(('Price History'!$B$5:$B$304=A190)*'Price History'!$A$5:$A$304))=0,IF(P190="","",P190),SUMPRODUCT(MAX(('Price History'!$B$5:$B$304=A190)*'Price History'!$A$5:$A$304))))</f>
        <v>0</v>
      </c>
      <c r="BN190" s="32">
        <f>IF(B190="","",IF(BM190="","",TodayDate-BM190))</f>
        <v>0</v>
      </c>
      <c r="BO190" s="32">
        <f>IF(B190="","",COUNTIFS($AV$5:$AV$304,"&gt;"&amp;AV190)+COUNTIFS($AV$5:AV190,AV190))</f>
        <v>0</v>
      </c>
      <c r="BP190" s="32">
        <f>IF(B190="","",COUNTIFS($AW$5:$AW$304,"&gt;"&amp;AW190)+COUNTIFS($AW$5:AW190,AW190))</f>
        <v>0</v>
      </c>
      <c r="BQ190" s="32">
        <f>IF(B190="","",COUNTIFS($BI$5:$BI$304,"&gt;"&amp;BI190)+COUNTIFS($BI$5:BI190,BI190))</f>
        <v>0</v>
      </c>
      <c r="BR190" s="32">
        <f>IF(B190="","",COUNTIFS($AY$5:$AY$304,"&gt;"&amp;AY190)+COUNTIFS($AY$5:AY190,AY190))</f>
        <v>0</v>
      </c>
      <c r="BS190" s="43">
        <f>IF(B190="","",IF(AH190=0,"Add - no costs entered yet",IF(AR190="","Check - no price yet",IF(AV190&lt;0,"Loss - every sale costs you money",IF(AND(AZ190&lt;&gt;"",AZ190&lt;MinimumWage),"Below - pays under minimum wage",IF(AW190&lt;MarginWarning,"Low margin - re-price it",IF(AND(AF190&lt;&gt;"",K190&lt;&gt;"",K190+AC190&gt;AF190),"Check - too heavy for that postage band",IF(AND(BN190&lt;&gt;"",BN190&gt;PriceReviewDays),"Due - price has not been reviewed",IF(AND(BG190&lt;&gt;"",BG190&gt;0.5),"Check - well above the market","OK")))))))) )</f>
        <v>0</v>
      </c>
    </row>
    <row r="191" spans="1:71">
      <c r="A191" s="38">
        <f>IF(B191="","",ProductPrefix&amp;TEXT(ROW()-4,"0000"))</f>
        <v>0</v>
      </c>
      <c r="S191" s="38">
        <f>IF(B191="","",IF(C191&lt;&gt;"",C191,UPPER(LEFT(IF(D191="","GEN",D191),3))&amp;"-"&amp;TEXT(ROW()-4,"000")))</f>
        <v>0</v>
      </c>
      <c r="T191" s="20">
        <f>IF(B191="","",ROUND(SUMIFS('Material Usage'!$M$5:$M$904,'Material Usage'!$A$5:$A$904,A191)+SUMIFS(Crochet!$AD$5:$AD$84,Crochet!$A$5:$A$84,A191)+SUMIFS(Jewelry!$AF$5:$AF$84,Jewelry!$A$5:$A$84,A191)+SUMIFS(Candles!$AF$5:$AF$84,Candles!$A$5:$A$84,A191)+SUMIFS(Clothing!$AB$5:$AB$84,Clothing!$A$5:$A$84,A191)+SUMIFS(Woodworking!$AC$5:$AC$84,Woodworking!$A$5:$A$84,A191)+SUMIFS(Digital!$X$5:$X$84,Digital!$A$5:$A$84,A191),2))</f>
        <v>0</v>
      </c>
      <c r="U191" s="20">
        <f>IF(B191="","",ROUND(SUMIFS(Labor!$O$5:$O$304,Labor!$A$5:$A$304,A191)+SUMIFS(Crochet!$AG$5:$AG$84,Crochet!$A$5:$A$84,A191)+SUMIFS(Jewelry!$AI$5:$AI$84,Jewelry!$A$5:$A$84,A191)+SUMIFS(Candles!$AI$5:$AI$84,Candles!$A$5:$A$84,A191)+SUMIFS(Clothing!$AE$5:$AE$84,Clothing!$A$5:$A$84,A191)+SUMIFS(Woodworking!$AF$5:$AF$84,Woodworking!$A$5:$A$84,A191)+SUMIFS(Digital!$Z$5:$Z$84,Digital!$A$5:$A$84,A191),2))</f>
        <v>0</v>
      </c>
      <c r="V191" s="36">
        <f>IF(B191="","",ROUND(SUMIFS(Labor!$P$5:$P$304,Labor!$A$5:$A$304,A191)+SUMIFS(Crochet!$AE$5:$AE$84,Crochet!$A$5:$A$84,A191)+SUMIFS(Jewelry!$AG$5:$AG$84,Jewelry!$A$5:$A$84,A191)+SUMIFS(Candles!$AG$5:$AG$84,Candles!$A$5:$A$84,A191)+SUMIFS(Clothing!$AC$5:$AC$84,Clothing!$A$5:$A$84,A191)+SUMIFS(Woodworking!$AD$5:$AD$84,Woodworking!$A$5:$A$84,A191)+SUMIFS(Digital!$Y$5:$Y$84,Digital!$A$5:$A$84,A191),1))</f>
        <v>0</v>
      </c>
      <c r="W191" s="41">
        <f>IF(B191="","",IFERROR(INDEX(DiffTimeFactors,MATCH(G191,DiffNames,0)),1))</f>
        <v>0</v>
      </c>
      <c r="X191" s="36">
        <f>IF(B191="","",ROUND(V191*W191,1))</f>
        <v>0</v>
      </c>
      <c r="Y191" s="41">
        <f>IF(B191="","",ROUND(X191/60,3))</f>
        <v>0</v>
      </c>
      <c r="Z191" s="20">
        <f>IF(B191="","",ROUND(U191*W191,2))</f>
        <v>0</v>
      </c>
      <c r="AA191" s="20">
        <f>IF(B191="","",ROUND(SUMIFS(Labor!$Q$5:$Q$304,Labor!$A$5:$A$304,A191)+SUMIFS(Crochet!$AH$5:$AH$84,Crochet!$A$5:$A$84,A191)+SUMIFS(Jewelry!$AJ$5:$AJ$84,Jewelry!$A$5:$A$84,A191)+SUMIFS(Candles!$AJ$5:$AJ$84,Candles!$A$5:$A$84,A191)+SUMIFS(Clothing!$AF$5:$AF$84,Clothing!$A$5:$A$84,A191)+SUMIFS(Woodworking!$AH$5:$AH$84,Woodworking!$A$5:$A$84,A191)+SUMIFS(Digital!$AA$5:$AA$84,Digital!$A$5:$A$84,A191),2))</f>
        <v>0</v>
      </c>
      <c r="AB191" s="20">
        <f>IF(B191="","",ROUND(IF(I191="Budget",PackBudget,IF(I191="Standard",PackStandard,IF(I191="Gift",PackGift,IF(I191="Premium",PackPremium,DefaultPackaging)))),2))</f>
        <v>0</v>
      </c>
      <c r="AC191" s="36">
        <f>IF(B191="","",IF(I191="Budget",PackWeightBudget,IF(I191="Standard",PackWeightStandard,IF(I191="Gift",PackWeightGift,IF(I191="Premium",PackWeightPremium,0)))))</f>
        <v>0</v>
      </c>
      <c r="AD191" s="20">
        <f>IF(B191="","",IFERROR(INDEX(Shipping!$M$5:$M$64,MATCH(J191,Shipping!$L$5:$L$64,0)),DefaultShipping))</f>
        <v>0</v>
      </c>
      <c r="AE191" s="20">
        <f>IF(B191="","",IFERROR(INDEX(Shipping!$F$5:$F$64,MATCH(J191,Shipping!$L$5:$L$64,0)),0))</f>
        <v>0</v>
      </c>
      <c r="AF191" s="36">
        <f>IF(B191="","",IFERROR(INDEX(Shipping!$C$5:$C$64,MATCH(J191,Shipping!$L$5:$L$64,0)),""))</f>
        <v>0</v>
      </c>
      <c r="AG191" s="20">
        <f>IF(B191="","",ROUND(MAX(0,AD191-AE191),2))</f>
        <v>0</v>
      </c>
      <c r="AH191" s="20">
        <f>IF(B191="","",ROUND(T191+Z191+AA191+AB191+AG191,2))</f>
        <v>0</v>
      </c>
      <c r="AI191" s="33">
        <f>IF(B191="","",IFERROR(INDEX(Channels!$S$5:$S$18,MATCH(IF(H191="",DefaultChannel,H191),Channels!$A$5:$A$18,0)),0))</f>
        <v>0</v>
      </c>
      <c r="AJ191" s="42">
        <f>IF(B191="","",IFERROR(INDEX(Channels!$O$5:$O$18,MATCH(IF(H191="",DefaultChannel,H191),Channels!$A$5:$A$18,0)),"No"))</f>
        <v>0</v>
      </c>
      <c r="AK191" s="20">
        <f>IF(B191="","",ROUND(IFERROR(INDEX(Channels!$T$5:$T$18,MATCH(IF(H191="",DefaultChannel,H191),Channels!$A$5:$A$18,0)),0)+IF(AJ191="Yes",AE191*AI191,0),4))</f>
        <v>0</v>
      </c>
      <c r="AL191" s="33">
        <f>IF(B191="","",IF(OverheadMethod="Share of revenue",IF(RevenueTargetMonth&lt;=0,0,OverheadMonthly/RevenueTargetMonth),0))</f>
        <v>0</v>
      </c>
      <c r="AM191" s="20">
        <f>IF(B191="","",IF(OverheadMethod="Per hour worked",ROUND(OverheadPerHour*Y191,2),IF(OR(OverheadMethod="Per unit made",OverheadMethod="Per order"),OverheadPerUnit,0)))</f>
        <v>0</v>
      </c>
      <c r="AN191" s="33">
        <f>IF(B191="","",IF(N191&lt;&gt;"",N191,TargetRetailMargin))</f>
        <v>0</v>
      </c>
      <c r="AO191" s="41">
        <f>IF(B191="","",1-AN191-AI191-AL191)</f>
        <v>0</v>
      </c>
      <c r="AP191" s="20">
        <f>IF(B191="","",IF(AO191&lt;=0,"",(AH191+AM191+AK191)/AO191))</f>
        <v>0</v>
      </c>
      <c r="AQ191" s="20">
        <f>IF(B191="","",IF(AP191="","Check the settings",ROUND(IF(RoundingRule="None",AP191,IF(RoundingRule="Nearest 0.99",MAX(0.99,CEILING(AP191,1)-0.01),IF(RoundingRule="Nearest 0.95",MAX(0.95,CEILING(AP191,1)-0.05),IF(RoundingRule="Nearest 0.50",CEILING(AP191,0.5),IF(RoundingRule="Nearest 1",CEILING(AP191,1),IF(RoundingRule="Nearest 5",CEILING(AP191,5),IF(RoundingRule="Up to whole 1",CEILING(AP191,1),IF(RoundingRule="Up to whole 5",CEILING(AP191,5),ROUND(AP191,2))))))))),2)))</f>
        <v>0</v>
      </c>
      <c r="AR191" s="20">
        <f>IF(B191="","",IF(M191&lt;&gt;"",M191,IF(ISNUMBER(AQ191),AQ191,"")))</f>
        <v>0</v>
      </c>
      <c r="AS191" s="20">
        <f>IF(B191="","",IF(AR191="","",ROUND(AM191+AR191*AL191,2)))</f>
        <v>0</v>
      </c>
      <c r="AT191" s="20">
        <f>IF(B191="","",IF(AR191="","",ROUND(AH191+AS191,2)))</f>
        <v>0</v>
      </c>
      <c r="AU191" s="20">
        <f>IF(B191="","",IF(AR191="","",ROUND(AR191*AI191+AK191,2)))</f>
        <v>0</v>
      </c>
      <c r="AV191" s="20">
        <f>IF(B191="","",IF(AR191="","",ROUND(AR191-AT191-AU191,2)))</f>
        <v>0</v>
      </c>
      <c r="AW191" s="33">
        <f>IF(B191="","",IF(OR(AR191="",AR191=0),"",AV191/AR191))</f>
        <v>0</v>
      </c>
      <c r="AX191" s="33">
        <f>IF(B191="","",IF(OR(AT191="",AT191=0),"",AV191/AT191))</f>
        <v>0</v>
      </c>
      <c r="AY191" s="20">
        <f>IF(B191="","",IF(OR(Y191="",Y191=0,AV191=""),"",ROUND(AV191/Y191,2)))</f>
        <v>0</v>
      </c>
      <c r="AZ191" s="20">
        <f>IF(B191="","",IF(OR(Y191="",Y191=0,AV191=""),"",ROUND((AV191+Z191)/Y191,2)))</f>
        <v>0</v>
      </c>
      <c r="BA191" s="20">
        <f>IF(B191="","",IF(1-AI191-AL191&lt;=0,"",ROUND((AH191+AM191+AK191)/(1-AI191-AL191),2)))</f>
        <v>0</v>
      </c>
      <c r="BB191" s="20">
        <f>IF(B191="","",IF(AT191="","",ROUND(AT191*2,2)))</f>
        <v>0</v>
      </c>
      <c r="BC191" s="20">
        <f>IF(B191="","",IF(AR191="","",ROUND(AR191*(1-WholesaleDiscount),2)))</f>
        <v>0</v>
      </c>
      <c r="BD191" s="20">
        <f>IF(B191="","",IF(BC191="","",ROUND(BC191-AH191-AM191,2)))</f>
        <v>0</v>
      </c>
      <c r="BE191" s="33">
        <f>IF(B191="","",IF(OR(BC191="",BC191=0),"",BD191/BC191))</f>
        <v>0</v>
      </c>
      <c r="BF191" s="20">
        <f>IF(B191="","",IFERROR(ROUND(AVERAGEIFS(Competitors!$F$5:$F$154,Competitors!$A$5:$A$154,A191),2),""))</f>
        <v>0</v>
      </c>
      <c r="BG191" s="33">
        <f>IF(B191="","",IF(OR(BF191="",BF191=0,AR191=""),"",AR191/BF191-1))</f>
        <v>0</v>
      </c>
      <c r="BH191" s="32">
        <f>IF(B191="","",SUMIFS(Sales!$D$5:$D$804,Sales!$C$5:$C$804,A191))</f>
        <v>0</v>
      </c>
      <c r="BI191" s="20">
        <f>IF(B191="","",ROUND(SUMIFS(Sales!$V$5:$V$804,Sales!$C$5:$C$804,A191),2))</f>
        <v>0</v>
      </c>
      <c r="BJ191" s="20">
        <f>IF(B191="","",ROUND(SUMIFS(Sales!$AG$5:$AG$804,Sales!$C$5:$C$804,A191),2))</f>
        <v>0</v>
      </c>
      <c r="BK191" s="33">
        <f>IF(B191="","",IF(OR(BI191="",BI191=0),"",BJ191/BI191))</f>
        <v>0</v>
      </c>
      <c r="BL191" s="17">
        <f>IF(B191="","",IF(SUMPRODUCT(MAX((Sales!$C$5:$C$804=A191)*Sales!$B$5:$B$804))=0,"",SUMPRODUCT(MAX((Sales!$C$5:$C$804=A191)*Sales!$B$5:$B$804))))</f>
        <v>0</v>
      </c>
      <c r="BM191" s="17">
        <f>IF(B191="","",IF(SUMPRODUCT(MAX(('Price History'!$B$5:$B$304=A191)*'Price History'!$A$5:$A$304))=0,IF(P191="","",P191),SUMPRODUCT(MAX(('Price History'!$B$5:$B$304=A191)*'Price History'!$A$5:$A$304))))</f>
        <v>0</v>
      </c>
      <c r="BN191" s="32">
        <f>IF(B191="","",IF(BM191="","",TodayDate-BM191))</f>
        <v>0</v>
      </c>
      <c r="BO191" s="32">
        <f>IF(B191="","",COUNTIFS($AV$5:$AV$304,"&gt;"&amp;AV191)+COUNTIFS($AV$5:AV191,AV191))</f>
        <v>0</v>
      </c>
      <c r="BP191" s="32">
        <f>IF(B191="","",COUNTIFS($AW$5:$AW$304,"&gt;"&amp;AW191)+COUNTIFS($AW$5:AW191,AW191))</f>
        <v>0</v>
      </c>
      <c r="BQ191" s="32">
        <f>IF(B191="","",COUNTIFS($BI$5:$BI$304,"&gt;"&amp;BI191)+COUNTIFS($BI$5:BI191,BI191))</f>
        <v>0</v>
      </c>
      <c r="BR191" s="32">
        <f>IF(B191="","",COUNTIFS($AY$5:$AY$304,"&gt;"&amp;AY191)+COUNTIFS($AY$5:AY191,AY191))</f>
        <v>0</v>
      </c>
      <c r="BS191" s="43">
        <f>IF(B191="","",IF(AH191=0,"Add - no costs entered yet",IF(AR191="","Check - no price yet",IF(AV191&lt;0,"Loss - every sale costs you money",IF(AND(AZ191&lt;&gt;"",AZ191&lt;MinimumWage),"Below - pays under minimum wage",IF(AW191&lt;MarginWarning,"Low margin - re-price it",IF(AND(AF191&lt;&gt;"",K191&lt;&gt;"",K191+AC191&gt;AF191),"Check - too heavy for that postage band",IF(AND(BN191&lt;&gt;"",BN191&gt;PriceReviewDays),"Due - price has not been reviewed",IF(AND(BG191&lt;&gt;"",BG191&gt;0.5),"Check - well above the market","OK")))))))) )</f>
        <v>0</v>
      </c>
    </row>
    <row r="192" spans="1:71">
      <c r="A192" s="38">
        <f>IF(B192="","",ProductPrefix&amp;TEXT(ROW()-4,"0000"))</f>
        <v>0</v>
      </c>
      <c r="S192" s="38">
        <f>IF(B192="","",IF(C192&lt;&gt;"",C192,UPPER(LEFT(IF(D192="","GEN",D192),3))&amp;"-"&amp;TEXT(ROW()-4,"000")))</f>
        <v>0</v>
      </c>
      <c r="T192" s="20">
        <f>IF(B192="","",ROUND(SUMIFS('Material Usage'!$M$5:$M$904,'Material Usage'!$A$5:$A$904,A192)+SUMIFS(Crochet!$AD$5:$AD$84,Crochet!$A$5:$A$84,A192)+SUMIFS(Jewelry!$AF$5:$AF$84,Jewelry!$A$5:$A$84,A192)+SUMIFS(Candles!$AF$5:$AF$84,Candles!$A$5:$A$84,A192)+SUMIFS(Clothing!$AB$5:$AB$84,Clothing!$A$5:$A$84,A192)+SUMIFS(Woodworking!$AC$5:$AC$84,Woodworking!$A$5:$A$84,A192)+SUMIFS(Digital!$X$5:$X$84,Digital!$A$5:$A$84,A192),2))</f>
        <v>0</v>
      </c>
      <c r="U192" s="20">
        <f>IF(B192="","",ROUND(SUMIFS(Labor!$O$5:$O$304,Labor!$A$5:$A$304,A192)+SUMIFS(Crochet!$AG$5:$AG$84,Crochet!$A$5:$A$84,A192)+SUMIFS(Jewelry!$AI$5:$AI$84,Jewelry!$A$5:$A$84,A192)+SUMIFS(Candles!$AI$5:$AI$84,Candles!$A$5:$A$84,A192)+SUMIFS(Clothing!$AE$5:$AE$84,Clothing!$A$5:$A$84,A192)+SUMIFS(Woodworking!$AF$5:$AF$84,Woodworking!$A$5:$A$84,A192)+SUMIFS(Digital!$Z$5:$Z$84,Digital!$A$5:$A$84,A192),2))</f>
        <v>0</v>
      </c>
      <c r="V192" s="36">
        <f>IF(B192="","",ROUND(SUMIFS(Labor!$P$5:$P$304,Labor!$A$5:$A$304,A192)+SUMIFS(Crochet!$AE$5:$AE$84,Crochet!$A$5:$A$84,A192)+SUMIFS(Jewelry!$AG$5:$AG$84,Jewelry!$A$5:$A$84,A192)+SUMIFS(Candles!$AG$5:$AG$84,Candles!$A$5:$A$84,A192)+SUMIFS(Clothing!$AC$5:$AC$84,Clothing!$A$5:$A$84,A192)+SUMIFS(Woodworking!$AD$5:$AD$84,Woodworking!$A$5:$A$84,A192)+SUMIFS(Digital!$Y$5:$Y$84,Digital!$A$5:$A$84,A192),1))</f>
        <v>0</v>
      </c>
      <c r="W192" s="41">
        <f>IF(B192="","",IFERROR(INDEX(DiffTimeFactors,MATCH(G192,DiffNames,0)),1))</f>
        <v>0</v>
      </c>
      <c r="X192" s="36">
        <f>IF(B192="","",ROUND(V192*W192,1))</f>
        <v>0</v>
      </c>
      <c r="Y192" s="41">
        <f>IF(B192="","",ROUND(X192/60,3))</f>
        <v>0</v>
      </c>
      <c r="Z192" s="20">
        <f>IF(B192="","",ROUND(U192*W192,2))</f>
        <v>0</v>
      </c>
      <c r="AA192" s="20">
        <f>IF(B192="","",ROUND(SUMIFS(Labor!$Q$5:$Q$304,Labor!$A$5:$A$304,A192)+SUMIFS(Crochet!$AH$5:$AH$84,Crochet!$A$5:$A$84,A192)+SUMIFS(Jewelry!$AJ$5:$AJ$84,Jewelry!$A$5:$A$84,A192)+SUMIFS(Candles!$AJ$5:$AJ$84,Candles!$A$5:$A$84,A192)+SUMIFS(Clothing!$AF$5:$AF$84,Clothing!$A$5:$A$84,A192)+SUMIFS(Woodworking!$AH$5:$AH$84,Woodworking!$A$5:$A$84,A192)+SUMIFS(Digital!$AA$5:$AA$84,Digital!$A$5:$A$84,A192),2))</f>
        <v>0</v>
      </c>
      <c r="AB192" s="20">
        <f>IF(B192="","",ROUND(IF(I192="Budget",PackBudget,IF(I192="Standard",PackStandard,IF(I192="Gift",PackGift,IF(I192="Premium",PackPremium,DefaultPackaging)))),2))</f>
        <v>0</v>
      </c>
      <c r="AC192" s="36">
        <f>IF(B192="","",IF(I192="Budget",PackWeightBudget,IF(I192="Standard",PackWeightStandard,IF(I192="Gift",PackWeightGift,IF(I192="Premium",PackWeightPremium,0)))))</f>
        <v>0</v>
      </c>
      <c r="AD192" s="20">
        <f>IF(B192="","",IFERROR(INDEX(Shipping!$M$5:$M$64,MATCH(J192,Shipping!$L$5:$L$64,0)),DefaultShipping))</f>
        <v>0</v>
      </c>
      <c r="AE192" s="20">
        <f>IF(B192="","",IFERROR(INDEX(Shipping!$F$5:$F$64,MATCH(J192,Shipping!$L$5:$L$64,0)),0))</f>
        <v>0</v>
      </c>
      <c r="AF192" s="36">
        <f>IF(B192="","",IFERROR(INDEX(Shipping!$C$5:$C$64,MATCH(J192,Shipping!$L$5:$L$64,0)),""))</f>
        <v>0</v>
      </c>
      <c r="AG192" s="20">
        <f>IF(B192="","",ROUND(MAX(0,AD192-AE192),2))</f>
        <v>0</v>
      </c>
      <c r="AH192" s="20">
        <f>IF(B192="","",ROUND(T192+Z192+AA192+AB192+AG192,2))</f>
        <v>0</v>
      </c>
      <c r="AI192" s="33">
        <f>IF(B192="","",IFERROR(INDEX(Channels!$S$5:$S$18,MATCH(IF(H192="",DefaultChannel,H192),Channels!$A$5:$A$18,0)),0))</f>
        <v>0</v>
      </c>
      <c r="AJ192" s="42">
        <f>IF(B192="","",IFERROR(INDEX(Channels!$O$5:$O$18,MATCH(IF(H192="",DefaultChannel,H192),Channels!$A$5:$A$18,0)),"No"))</f>
        <v>0</v>
      </c>
      <c r="AK192" s="20">
        <f>IF(B192="","",ROUND(IFERROR(INDEX(Channels!$T$5:$T$18,MATCH(IF(H192="",DefaultChannel,H192),Channels!$A$5:$A$18,0)),0)+IF(AJ192="Yes",AE192*AI192,0),4))</f>
        <v>0</v>
      </c>
      <c r="AL192" s="33">
        <f>IF(B192="","",IF(OverheadMethod="Share of revenue",IF(RevenueTargetMonth&lt;=0,0,OverheadMonthly/RevenueTargetMonth),0))</f>
        <v>0</v>
      </c>
      <c r="AM192" s="20">
        <f>IF(B192="","",IF(OverheadMethod="Per hour worked",ROUND(OverheadPerHour*Y192,2),IF(OR(OverheadMethod="Per unit made",OverheadMethod="Per order"),OverheadPerUnit,0)))</f>
        <v>0</v>
      </c>
      <c r="AN192" s="33">
        <f>IF(B192="","",IF(N192&lt;&gt;"",N192,TargetRetailMargin))</f>
        <v>0</v>
      </c>
      <c r="AO192" s="41">
        <f>IF(B192="","",1-AN192-AI192-AL192)</f>
        <v>0</v>
      </c>
      <c r="AP192" s="20">
        <f>IF(B192="","",IF(AO192&lt;=0,"",(AH192+AM192+AK192)/AO192))</f>
        <v>0</v>
      </c>
      <c r="AQ192" s="20">
        <f>IF(B192="","",IF(AP192="","Check the settings",ROUND(IF(RoundingRule="None",AP192,IF(RoundingRule="Nearest 0.99",MAX(0.99,CEILING(AP192,1)-0.01),IF(RoundingRule="Nearest 0.95",MAX(0.95,CEILING(AP192,1)-0.05),IF(RoundingRule="Nearest 0.50",CEILING(AP192,0.5),IF(RoundingRule="Nearest 1",CEILING(AP192,1),IF(RoundingRule="Nearest 5",CEILING(AP192,5),IF(RoundingRule="Up to whole 1",CEILING(AP192,1),IF(RoundingRule="Up to whole 5",CEILING(AP192,5),ROUND(AP192,2))))))))),2)))</f>
        <v>0</v>
      </c>
      <c r="AR192" s="20">
        <f>IF(B192="","",IF(M192&lt;&gt;"",M192,IF(ISNUMBER(AQ192),AQ192,"")))</f>
        <v>0</v>
      </c>
      <c r="AS192" s="20">
        <f>IF(B192="","",IF(AR192="","",ROUND(AM192+AR192*AL192,2)))</f>
        <v>0</v>
      </c>
      <c r="AT192" s="20">
        <f>IF(B192="","",IF(AR192="","",ROUND(AH192+AS192,2)))</f>
        <v>0</v>
      </c>
      <c r="AU192" s="20">
        <f>IF(B192="","",IF(AR192="","",ROUND(AR192*AI192+AK192,2)))</f>
        <v>0</v>
      </c>
      <c r="AV192" s="20">
        <f>IF(B192="","",IF(AR192="","",ROUND(AR192-AT192-AU192,2)))</f>
        <v>0</v>
      </c>
      <c r="AW192" s="33">
        <f>IF(B192="","",IF(OR(AR192="",AR192=0),"",AV192/AR192))</f>
        <v>0</v>
      </c>
      <c r="AX192" s="33">
        <f>IF(B192="","",IF(OR(AT192="",AT192=0),"",AV192/AT192))</f>
        <v>0</v>
      </c>
      <c r="AY192" s="20">
        <f>IF(B192="","",IF(OR(Y192="",Y192=0,AV192=""),"",ROUND(AV192/Y192,2)))</f>
        <v>0</v>
      </c>
      <c r="AZ192" s="20">
        <f>IF(B192="","",IF(OR(Y192="",Y192=0,AV192=""),"",ROUND((AV192+Z192)/Y192,2)))</f>
        <v>0</v>
      </c>
      <c r="BA192" s="20">
        <f>IF(B192="","",IF(1-AI192-AL192&lt;=0,"",ROUND((AH192+AM192+AK192)/(1-AI192-AL192),2)))</f>
        <v>0</v>
      </c>
      <c r="BB192" s="20">
        <f>IF(B192="","",IF(AT192="","",ROUND(AT192*2,2)))</f>
        <v>0</v>
      </c>
      <c r="BC192" s="20">
        <f>IF(B192="","",IF(AR192="","",ROUND(AR192*(1-WholesaleDiscount),2)))</f>
        <v>0</v>
      </c>
      <c r="BD192" s="20">
        <f>IF(B192="","",IF(BC192="","",ROUND(BC192-AH192-AM192,2)))</f>
        <v>0</v>
      </c>
      <c r="BE192" s="33">
        <f>IF(B192="","",IF(OR(BC192="",BC192=0),"",BD192/BC192))</f>
        <v>0</v>
      </c>
      <c r="BF192" s="20">
        <f>IF(B192="","",IFERROR(ROUND(AVERAGEIFS(Competitors!$F$5:$F$154,Competitors!$A$5:$A$154,A192),2),""))</f>
        <v>0</v>
      </c>
      <c r="BG192" s="33">
        <f>IF(B192="","",IF(OR(BF192="",BF192=0,AR192=""),"",AR192/BF192-1))</f>
        <v>0</v>
      </c>
      <c r="BH192" s="32">
        <f>IF(B192="","",SUMIFS(Sales!$D$5:$D$804,Sales!$C$5:$C$804,A192))</f>
        <v>0</v>
      </c>
      <c r="BI192" s="20">
        <f>IF(B192="","",ROUND(SUMIFS(Sales!$V$5:$V$804,Sales!$C$5:$C$804,A192),2))</f>
        <v>0</v>
      </c>
      <c r="BJ192" s="20">
        <f>IF(B192="","",ROUND(SUMIFS(Sales!$AG$5:$AG$804,Sales!$C$5:$C$804,A192),2))</f>
        <v>0</v>
      </c>
      <c r="BK192" s="33">
        <f>IF(B192="","",IF(OR(BI192="",BI192=0),"",BJ192/BI192))</f>
        <v>0</v>
      </c>
      <c r="BL192" s="17">
        <f>IF(B192="","",IF(SUMPRODUCT(MAX((Sales!$C$5:$C$804=A192)*Sales!$B$5:$B$804))=0,"",SUMPRODUCT(MAX((Sales!$C$5:$C$804=A192)*Sales!$B$5:$B$804))))</f>
        <v>0</v>
      </c>
      <c r="BM192" s="17">
        <f>IF(B192="","",IF(SUMPRODUCT(MAX(('Price History'!$B$5:$B$304=A192)*'Price History'!$A$5:$A$304))=0,IF(P192="","",P192),SUMPRODUCT(MAX(('Price History'!$B$5:$B$304=A192)*'Price History'!$A$5:$A$304))))</f>
        <v>0</v>
      </c>
      <c r="BN192" s="32">
        <f>IF(B192="","",IF(BM192="","",TodayDate-BM192))</f>
        <v>0</v>
      </c>
      <c r="BO192" s="32">
        <f>IF(B192="","",COUNTIFS($AV$5:$AV$304,"&gt;"&amp;AV192)+COUNTIFS($AV$5:AV192,AV192))</f>
        <v>0</v>
      </c>
      <c r="BP192" s="32">
        <f>IF(B192="","",COUNTIFS($AW$5:$AW$304,"&gt;"&amp;AW192)+COUNTIFS($AW$5:AW192,AW192))</f>
        <v>0</v>
      </c>
      <c r="BQ192" s="32">
        <f>IF(B192="","",COUNTIFS($BI$5:$BI$304,"&gt;"&amp;BI192)+COUNTIFS($BI$5:BI192,BI192))</f>
        <v>0</v>
      </c>
      <c r="BR192" s="32">
        <f>IF(B192="","",COUNTIFS($AY$5:$AY$304,"&gt;"&amp;AY192)+COUNTIFS($AY$5:AY192,AY192))</f>
        <v>0</v>
      </c>
      <c r="BS192" s="43">
        <f>IF(B192="","",IF(AH192=0,"Add - no costs entered yet",IF(AR192="","Check - no price yet",IF(AV192&lt;0,"Loss - every sale costs you money",IF(AND(AZ192&lt;&gt;"",AZ192&lt;MinimumWage),"Below - pays under minimum wage",IF(AW192&lt;MarginWarning,"Low margin - re-price it",IF(AND(AF192&lt;&gt;"",K192&lt;&gt;"",K192+AC192&gt;AF192),"Check - too heavy for that postage band",IF(AND(BN192&lt;&gt;"",BN192&gt;PriceReviewDays),"Due - price has not been reviewed",IF(AND(BG192&lt;&gt;"",BG192&gt;0.5),"Check - well above the market","OK")))))))) )</f>
        <v>0</v>
      </c>
    </row>
    <row r="193" spans="1:71">
      <c r="A193" s="38">
        <f>IF(B193="","",ProductPrefix&amp;TEXT(ROW()-4,"0000"))</f>
        <v>0</v>
      </c>
      <c r="S193" s="38">
        <f>IF(B193="","",IF(C193&lt;&gt;"",C193,UPPER(LEFT(IF(D193="","GEN",D193),3))&amp;"-"&amp;TEXT(ROW()-4,"000")))</f>
        <v>0</v>
      </c>
      <c r="T193" s="20">
        <f>IF(B193="","",ROUND(SUMIFS('Material Usage'!$M$5:$M$904,'Material Usage'!$A$5:$A$904,A193)+SUMIFS(Crochet!$AD$5:$AD$84,Crochet!$A$5:$A$84,A193)+SUMIFS(Jewelry!$AF$5:$AF$84,Jewelry!$A$5:$A$84,A193)+SUMIFS(Candles!$AF$5:$AF$84,Candles!$A$5:$A$84,A193)+SUMIFS(Clothing!$AB$5:$AB$84,Clothing!$A$5:$A$84,A193)+SUMIFS(Woodworking!$AC$5:$AC$84,Woodworking!$A$5:$A$84,A193)+SUMIFS(Digital!$X$5:$X$84,Digital!$A$5:$A$84,A193),2))</f>
        <v>0</v>
      </c>
      <c r="U193" s="20">
        <f>IF(B193="","",ROUND(SUMIFS(Labor!$O$5:$O$304,Labor!$A$5:$A$304,A193)+SUMIFS(Crochet!$AG$5:$AG$84,Crochet!$A$5:$A$84,A193)+SUMIFS(Jewelry!$AI$5:$AI$84,Jewelry!$A$5:$A$84,A193)+SUMIFS(Candles!$AI$5:$AI$84,Candles!$A$5:$A$84,A193)+SUMIFS(Clothing!$AE$5:$AE$84,Clothing!$A$5:$A$84,A193)+SUMIFS(Woodworking!$AF$5:$AF$84,Woodworking!$A$5:$A$84,A193)+SUMIFS(Digital!$Z$5:$Z$84,Digital!$A$5:$A$84,A193),2))</f>
        <v>0</v>
      </c>
      <c r="V193" s="36">
        <f>IF(B193="","",ROUND(SUMIFS(Labor!$P$5:$P$304,Labor!$A$5:$A$304,A193)+SUMIFS(Crochet!$AE$5:$AE$84,Crochet!$A$5:$A$84,A193)+SUMIFS(Jewelry!$AG$5:$AG$84,Jewelry!$A$5:$A$84,A193)+SUMIFS(Candles!$AG$5:$AG$84,Candles!$A$5:$A$84,A193)+SUMIFS(Clothing!$AC$5:$AC$84,Clothing!$A$5:$A$84,A193)+SUMIFS(Woodworking!$AD$5:$AD$84,Woodworking!$A$5:$A$84,A193)+SUMIFS(Digital!$Y$5:$Y$84,Digital!$A$5:$A$84,A193),1))</f>
        <v>0</v>
      </c>
      <c r="W193" s="41">
        <f>IF(B193="","",IFERROR(INDEX(DiffTimeFactors,MATCH(G193,DiffNames,0)),1))</f>
        <v>0</v>
      </c>
      <c r="X193" s="36">
        <f>IF(B193="","",ROUND(V193*W193,1))</f>
        <v>0</v>
      </c>
      <c r="Y193" s="41">
        <f>IF(B193="","",ROUND(X193/60,3))</f>
        <v>0</v>
      </c>
      <c r="Z193" s="20">
        <f>IF(B193="","",ROUND(U193*W193,2))</f>
        <v>0</v>
      </c>
      <c r="AA193" s="20">
        <f>IF(B193="","",ROUND(SUMIFS(Labor!$Q$5:$Q$304,Labor!$A$5:$A$304,A193)+SUMIFS(Crochet!$AH$5:$AH$84,Crochet!$A$5:$A$84,A193)+SUMIFS(Jewelry!$AJ$5:$AJ$84,Jewelry!$A$5:$A$84,A193)+SUMIFS(Candles!$AJ$5:$AJ$84,Candles!$A$5:$A$84,A193)+SUMIFS(Clothing!$AF$5:$AF$84,Clothing!$A$5:$A$84,A193)+SUMIFS(Woodworking!$AH$5:$AH$84,Woodworking!$A$5:$A$84,A193)+SUMIFS(Digital!$AA$5:$AA$84,Digital!$A$5:$A$84,A193),2))</f>
        <v>0</v>
      </c>
      <c r="AB193" s="20">
        <f>IF(B193="","",ROUND(IF(I193="Budget",PackBudget,IF(I193="Standard",PackStandard,IF(I193="Gift",PackGift,IF(I193="Premium",PackPremium,DefaultPackaging)))),2))</f>
        <v>0</v>
      </c>
      <c r="AC193" s="36">
        <f>IF(B193="","",IF(I193="Budget",PackWeightBudget,IF(I193="Standard",PackWeightStandard,IF(I193="Gift",PackWeightGift,IF(I193="Premium",PackWeightPremium,0)))))</f>
        <v>0</v>
      </c>
      <c r="AD193" s="20">
        <f>IF(B193="","",IFERROR(INDEX(Shipping!$M$5:$M$64,MATCH(J193,Shipping!$L$5:$L$64,0)),DefaultShipping))</f>
        <v>0</v>
      </c>
      <c r="AE193" s="20">
        <f>IF(B193="","",IFERROR(INDEX(Shipping!$F$5:$F$64,MATCH(J193,Shipping!$L$5:$L$64,0)),0))</f>
        <v>0</v>
      </c>
      <c r="AF193" s="36">
        <f>IF(B193="","",IFERROR(INDEX(Shipping!$C$5:$C$64,MATCH(J193,Shipping!$L$5:$L$64,0)),""))</f>
        <v>0</v>
      </c>
      <c r="AG193" s="20">
        <f>IF(B193="","",ROUND(MAX(0,AD193-AE193),2))</f>
        <v>0</v>
      </c>
      <c r="AH193" s="20">
        <f>IF(B193="","",ROUND(T193+Z193+AA193+AB193+AG193,2))</f>
        <v>0</v>
      </c>
      <c r="AI193" s="33">
        <f>IF(B193="","",IFERROR(INDEX(Channels!$S$5:$S$18,MATCH(IF(H193="",DefaultChannel,H193),Channels!$A$5:$A$18,0)),0))</f>
        <v>0</v>
      </c>
      <c r="AJ193" s="42">
        <f>IF(B193="","",IFERROR(INDEX(Channels!$O$5:$O$18,MATCH(IF(H193="",DefaultChannel,H193),Channels!$A$5:$A$18,0)),"No"))</f>
        <v>0</v>
      </c>
      <c r="AK193" s="20">
        <f>IF(B193="","",ROUND(IFERROR(INDEX(Channels!$T$5:$T$18,MATCH(IF(H193="",DefaultChannel,H193),Channels!$A$5:$A$18,0)),0)+IF(AJ193="Yes",AE193*AI193,0),4))</f>
        <v>0</v>
      </c>
      <c r="AL193" s="33">
        <f>IF(B193="","",IF(OverheadMethod="Share of revenue",IF(RevenueTargetMonth&lt;=0,0,OverheadMonthly/RevenueTargetMonth),0))</f>
        <v>0</v>
      </c>
      <c r="AM193" s="20">
        <f>IF(B193="","",IF(OverheadMethod="Per hour worked",ROUND(OverheadPerHour*Y193,2),IF(OR(OverheadMethod="Per unit made",OverheadMethod="Per order"),OverheadPerUnit,0)))</f>
        <v>0</v>
      </c>
      <c r="AN193" s="33">
        <f>IF(B193="","",IF(N193&lt;&gt;"",N193,TargetRetailMargin))</f>
        <v>0</v>
      </c>
      <c r="AO193" s="41">
        <f>IF(B193="","",1-AN193-AI193-AL193)</f>
        <v>0</v>
      </c>
      <c r="AP193" s="20">
        <f>IF(B193="","",IF(AO193&lt;=0,"",(AH193+AM193+AK193)/AO193))</f>
        <v>0</v>
      </c>
      <c r="AQ193" s="20">
        <f>IF(B193="","",IF(AP193="","Check the settings",ROUND(IF(RoundingRule="None",AP193,IF(RoundingRule="Nearest 0.99",MAX(0.99,CEILING(AP193,1)-0.01),IF(RoundingRule="Nearest 0.95",MAX(0.95,CEILING(AP193,1)-0.05),IF(RoundingRule="Nearest 0.50",CEILING(AP193,0.5),IF(RoundingRule="Nearest 1",CEILING(AP193,1),IF(RoundingRule="Nearest 5",CEILING(AP193,5),IF(RoundingRule="Up to whole 1",CEILING(AP193,1),IF(RoundingRule="Up to whole 5",CEILING(AP193,5),ROUND(AP193,2))))))))),2)))</f>
        <v>0</v>
      </c>
      <c r="AR193" s="20">
        <f>IF(B193="","",IF(M193&lt;&gt;"",M193,IF(ISNUMBER(AQ193),AQ193,"")))</f>
        <v>0</v>
      </c>
      <c r="AS193" s="20">
        <f>IF(B193="","",IF(AR193="","",ROUND(AM193+AR193*AL193,2)))</f>
        <v>0</v>
      </c>
      <c r="AT193" s="20">
        <f>IF(B193="","",IF(AR193="","",ROUND(AH193+AS193,2)))</f>
        <v>0</v>
      </c>
      <c r="AU193" s="20">
        <f>IF(B193="","",IF(AR193="","",ROUND(AR193*AI193+AK193,2)))</f>
        <v>0</v>
      </c>
      <c r="AV193" s="20">
        <f>IF(B193="","",IF(AR193="","",ROUND(AR193-AT193-AU193,2)))</f>
        <v>0</v>
      </c>
      <c r="AW193" s="33">
        <f>IF(B193="","",IF(OR(AR193="",AR193=0),"",AV193/AR193))</f>
        <v>0</v>
      </c>
      <c r="AX193" s="33">
        <f>IF(B193="","",IF(OR(AT193="",AT193=0),"",AV193/AT193))</f>
        <v>0</v>
      </c>
      <c r="AY193" s="20">
        <f>IF(B193="","",IF(OR(Y193="",Y193=0,AV193=""),"",ROUND(AV193/Y193,2)))</f>
        <v>0</v>
      </c>
      <c r="AZ193" s="20">
        <f>IF(B193="","",IF(OR(Y193="",Y193=0,AV193=""),"",ROUND((AV193+Z193)/Y193,2)))</f>
        <v>0</v>
      </c>
      <c r="BA193" s="20">
        <f>IF(B193="","",IF(1-AI193-AL193&lt;=0,"",ROUND((AH193+AM193+AK193)/(1-AI193-AL193),2)))</f>
        <v>0</v>
      </c>
      <c r="BB193" s="20">
        <f>IF(B193="","",IF(AT193="","",ROUND(AT193*2,2)))</f>
        <v>0</v>
      </c>
      <c r="BC193" s="20">
        <f>IF(B193="","",IF(AR193="","",ROUND(AR193*(1-WholesaleDiscount),2)))</f>
        <v>0</v>
      </c>
      <c r="BD193" s="20">
        <f>IF(B193="","",IF(BC193="","",ROUND(BC193-AH193-AM193,2)))</f>
        <v>0</v>
      </c>
      <c r="BE193" s="33">
        <f>IF(B193="","",IF(OR(BC193="",BC193=0),"",BD193/BC193))</f>
        <v>0</v>
      </c>
      <c r="BF193" s="20">
        <f>IF(B193="","",IFERROR(ROUND(AVERAGEIFS(Competitors!$F$5:$F$154,Competitors!$A$5:$A$154,A193),2),""))</f>
        <v>0</v>
      </c>
      <c r="BG193" s="33">
        <f>IF(B193="","",IF(OR(BF193="",BF193=0,AR193=""),"",AR193/BF193-1))</f>
        <v>0</v>
      </c>
      <c r="BH193" s="32">
        <f>IF(B193="","",SUMIFS(Sales!$D$5:$D$804,Sales!$C$5:$C$804,A193))</f>
        <v>0</v>
      </c>
      <c r="BI193" s="20">
        <f>IF(B193="","",ROUND(SUMIFS(Sales!$V$5:$V$804,Sales!$C$5:$C$804,A193),2))</f>
        <v>0</v>
      </c>
      <c r="BJ193" s="20">
        <f>IF(B193="","",ROUND(SUMIFS(Sales!$AG$5:$AG$804,Sales!$C$5:$C$804,A193),2))</f>
        <v>0</v>
      </c>
      <c r="BK193" s="33">
        <f>IF(B193="","",IF(OR(BI193="",BI193=0),"",BJ193/BI193))</f>
        <v>0</v>
      </c>
      <c r="BL193" s="17">
        <f>IF(B193="","",IF(SUMPRODUCT(MAX((Sales!$C$5:$C$804=A193)*Sales!$B$5:$B$804))=0,"",SUMPRODUCT(MAX((Sales!$C$5:$C$804=A193)*Sales!$B$5:$B$804))))</f>
        <v>0</v>
      </c>
      <c r="BM193" s="17">
        <f>IF(B193="","",IF(SUMPRODUCT(MAX(('Price History'!$B$5:$B$304=A193)*'Price History'!$A$5:$A$304))=0,IF(P193="","",P193),SUMPRODUCT(MAX(('Price History'!$B$5:$B$304=A193)*'Price History'!$A$5:$A$304))))</f>
        <v>0</v>
      </c>
      <c r="BN193" s="32">
        <f>IF(B193="","",IF(BM193="","",TodayDate-BM193))</f>
        <v>0</v>
      </c>
      <c r="BO193" s="32">
        <f>IF(B193="","",COUNTIFS($AV$5:$AV$304,"&gt;"&amp;AV193)+COUNTIFS($AV$5:AV193,AV193))</f>
        <v>0</v>
      </c>
      <c r="BP193" s="32">
        <f>IF(B193="","",COUNTIFS($AW$5:$AW$304,"&gt;"&amp;AW193)+COUNTIFS($AW$5:AW193,AW193))</f>
        <v>0</v>
      </c>
      <c r="BQ193" s="32">
        <f>IF(B193="","",COUNTIFS($BI$5:$BI$304,"&gt;"&amp;BI193)+COUNTIFS($BI$5:BI193,BI193))</f>
        <v>0</v>
      </c>
      <c r="BR193" s="32">
        <f>IF(B193="","",COUNTIFS($AY$5:$AY$304,"&gt;"&amp;AY193)+COUNTIFS($AY$5:AY193,AY193))</f>
        <v>0</v>
      </c>
      <c r="BS193" s="43">
        <f>IF(B193="","",IF(AH193=0,"Add - no costs entered yet",IF(AR193="","Check - no price yet",IF(AV193&lt;0,"Loss - every sale costs you money",IF(AND(AZ193&lt;&gt;"",AZ193&lt;MinimumWage),"Below - pays under minimum wage",IF(AW193&lt;MarginWarning,"Low margin - re-price it",IF(AND(AF193&lt;&gt;"",K193&lt;&gt;"",K193+AC193&gt;AF193),"Check - too heavy for that postage band",IF(AND(BN193&lt;&gt;"",BN193&gt;PriceReviewDays),"Due - price has not been reviewed",IF(AND(BG193&lt;&gt;"",BG193&gt;0.5),"Check - well above the market","OK")))))))) )</f>
        <v>0</v>
      </c>
    </row>
    <row r="194" spans="1:71">
      <c r="A194" s="38">
        <f>IF(B194="","",ProductPrefix&amp;TEXT(ROW()-4,"0000"))</f>
        <v>0</v>
      </c>
      <c r="S194" s="38">
        <f>IF(B194="","",IF(C194&lt;&gt;"",C194,UPPER(LEFT(IF(D194="","GEN",D194),3))&amp;"-"&amp;TEXT(ROW()-4,"000")))</f>
        <v>0</v>
      </c>
      <c r="T194" s="20">
        <f>IF(B194="","",ROUND(SUMIFS('Material Usage'!$M$5:$M$904,'Material Usage'!$A$5:$A$904,A194)+SUMIFS(Crochet!$AD$5:$AD$84,Crochet!$A$5:$A$84,A194)+SUMIFS(Jewelry!$AF$5:$AF$84,Jewelry!$A$5:$A$84,A194)+SUMIFS(Candles!$AF$5:$AF$84,Candles!$A$5:$A$84,A194)+SUMIFS(Clothing!$AB$5:$AB$84,Clothing!$A$5:$A$84,A194)+SUMIFS(Woodworking!$AC$5:$AC$84,Woodworking!$A$5:$A$84,A194)+SUMIFS(Digital!$X$5:$X$84,Digital!$A$5:$A$84,A194),2))</f>
        <v>0</v>
      </c>
      <c r="U194" s="20">
        <f>IF(B194="","",ROUND(SUMIFS(Labor!$O$5:$O$304,Labor!$A$5:$A$304,A194)+SUMIFS(Crochet!$AG$5:$AG$84,Crochet!$A$5:$A$84,A194)+SUMIFS(Jewelry!$AI$5:$AI$84,Jewelry!$A$5:$A$84,A194)+SUMIFS(Candles!$AI$5:$AI$84,Candles!$A$5:$A$84,A194)+SUMIFS(Clothing!$AE$5:$AE$84,Clothing!$A$5:$A$84,A194)+SUMIFS(Woodworking!$AF$5:$AF$84,Woodworking!$A$5:$A$84,A194)+SUMIFS(Digital!$Z$5:$Z$84,Digital!$A$5:$A$84,A194),2))</f>
        <v>0</v>
      </c>
      <c r="V194" s="36">
        <f>IF(B194="","",ROUND(SUMIFS(Labor!$P$5:$P$304,Labor!$A$5:$A$304,A194)+SUMIFS(Crochet!$AE$5:$AE$84,Crochet!$A$5:$A$84,A194)+SUMIFS(Jewelry!$AG$5:$AG$84,Jewelry!$A$5:$A$84,A194)+SUMIFS(Candles!$AG$5:$AG$84,Candles!$A$5:$A$84,A194)+SUMIFS(Clothing!$AC$5:$AC$84,Clothing!$A$5:$A$84,A194)+SUMIFS(Woodworking!$AD$5:$AD$84,Woodworking!$A$5:$A$84,A194)+SUMIFS(Digital!$Y$5:$Y$84,Digital!$A$5:$A$84,A194),1))</f>
        <v>0</v>
      </c>
      <c r="W194" s="41">
        <f>IF(B194="","",IFERROR(INDEX(DiffTimeFactors,MATCH(G194,DiffNames,0)),1))</f>
        <v>0</v>
      </c>
      <c r="X194" s="36">
        <f>IF(B194="","",ROUND(V194*W194,1))</f>
        <v>0</v>
      </c>
      <c r="Y194" s="41">
        <f>IF(B194="","",ROUND(X194/60,3))</f>
        <v>0</v>
      </c>
      <c r="Z194" s="20">
        <f>IF(B194="","",ROUND(U194*W194,2))</f>
        <v>0</v>
      </c>
      <c r="AA194" s="20">
        <f>IF(B194="","",ROUND(SUMIFS(Labor!$Q$5:$Q$304,Labor!$A$5:$A$304,A194)+SUMIFS(Crochet!$AH$5:$AH$84,Crochet!$A$5:$A$84,A194)+SUMIFS(Jewelry!$AJ$5:$AJ$84,Jewelry!$A$5:$A$84,A194)+SUMIFS(Candles!$AJ$5:$AJ$84,Candles!$A$5:$A$84,A194)+SUMIFS(Clothing!$AF$5:$AF$84,Clothing!$A$5:$A$84,A194)+SUMIFS(Woodworking!$AH$5:$AH$84,Woodworking!$A$5:$A$84,A194)+SUMIFS(Digital!$AA$5:$AA$84,Digital!$A$5:$A$84,A194),2))</f>
        <v>0</v>
      </c>
      <c r="AB194" s="20">
        <f>IF(B194="","",ROUND(IF(I194="Budget",PackBudget,IF(I194="Standard",PackStandard,IF(I194="Gift",PackGift,IF(I194="Premium",PackPremium,DefaultPackaging)))),2))</f>
        <v>0</v>
      </c>
      <c r="AC194" s="36">
        <f>IF(B194="","",IF(I194="Budget",PackWeightBudget,IF(I194="Standard",PackWeightStandard,IF(I194="Gift",PackWeightGift,IF(I194="Premium",PackWeightPremium,0)))))</f>
        <v>0</v>
      </c>
      <c r="AD194" s="20">
        <f>IF(B194="","",IFERROR(INDEX(Shipping!$M$5:$M$64,MATCH(J194,Shipping!$L$5:$L$64,0)),DefaultShipping))</f>
        <v>0</v>
      </c>
      <c r="AE194" s="20">
        <f>IF(B194="","",IFERROR(INDEX(Shipping!$F$5:$F$64,MATCH(J194,Shipping!$L$5:$L$64,0)),0))</f>
        <v>0</v>
      </c>
      <c r="AF194" s="36">
        <f>IF(B194="","",IFERROR(INDEX(Shipping!$C$5:$C$64,MATCH(J194,Shipping!$L$5:$L$64,0)),""))</f>
        <v>0</v>
      </c>
      <c r="AG194" s="20">
        <f>IF(B194="","",ROUND(MAX(0,AD194-AE194),2))</f>
        <v>0</v>
      </c>
      <c r="AH194" s="20">
        <f>IF(B194="","",ROUND(T194+Z194+AA194+AB194+AG194,2))</f>
        <v>0</v>
      </c>
      <c r="AI194" s="33">
        <f>IF(B194="","",IFERROR(INDEX(Channels!$S$5:$S$18,MATCH(IF(H194="",DefaultChannel,H194),Channels!$A$5:$A$18,0)),0))</f>
        <v>0</v>
      </c>
      <c r="AJ194" s="42">
        <f>IF(B194="","",IFERROR(INDEX(Channels!$O$5:$O$18,MATCH(IF(H194="",DefaultChannel,H194),Channels!$A$5:$A$18,0)),"No"))</f>
        <v>0</v>
      </c>
      <c r="AK194" s="20">
        <f>IF(B194="","",ROUND(IFERROR(INDEX(Channels!$T$5:$T$18,MATCH(IF(H194="",DefaultChannel,H194),Channels!$A$5:$A$18,0)),0)+IF(AJ194="Yes",AE194*AI194,0),4))</f>
        <v>0</v>
      </c>
      <c r="AL194" s="33">
        <f>IF(B194="","",IF(OverheadMethod="Share of revenue",IF(RevenueTargetMonth&lt;=0,0,OverheadMonthly/RevenueTargetMonth),0))</f>
        <v>0</v>
      </c>
      <c r="AM194" s="20">
        <f>IF(B194="","",IF(OverheadMethod="Per hour worked",ROUND(OverheadPerHour*Y194,2),IF(OR(OverheadMethod="Per unit made",OverheadMethod="Per order"),OverheadPerUnit,0)))</f>
        <v>0</v>
      </c>
      <c r="AN194" s="33">
        <f>IF(B194="","",IF(N194&lt;&gt;"",N194,TargetRetailMargin))</f>
        <v>0</v>
      </c>
      <c r="AO194" s="41">
        <f>IF(B194="","",1-AN194-AI194-AL194)</f>
        <v>0</v>
      </c>
      <c r="AP194" s="20">
        <f>IF(B194="","",IF(AO194&lt;=0,"",(AH194+AM194+AK194)/AO194))</f>
        <v>0</v>
      </c>
      <c r="AQ194" s="20">
        <f>IF(B194="","",IF(AP194="","Check the settings",ROUND(IF(RoundingRule="None",AP194,IF(RoundingRule="Nearest 0.99",MAX(0.99,CEILING(AP194,1)-0.01),IF(RoundingRule="Nearest 0.95",MAX(0.95,CEILING(AP194,1)-0.05),IF(RoundingRule="Nearest 0.50",CEILING(AP194,0.5),IF(RoundingRule="Nearest 1",CEILING(AP194,1),IF(RoundingRule="Nearest 5",CEILING(AP194,5),IF(RoundingRule="Up to whole 1",CEILING(AP194,1),IF(RoundingRule="Up to whole 5",CEILING(AP194,5),ROUND(AP194,2))))))))),2)))</f>
        <v>0</v>
      </c>
      <c r="AR194" s="20">
        <f>IF(B194="","",IF(M194&lt;&gt;"",M194,IF(ISNUMBER(AQ194),AQ194,"")))</f>
        <v>0</v>
      </c>
      <c r="AS194" s="20">
        <f>IF(B194="","",IF(AR194="","",ROUND(AM194+AR194*AL194,2)))</f>
        <v>0</v>
      </c>
      <c r="AT194" s="20">
        <f>IF(B194="","",IF(AR194="","",ROUND(AH194+AS194,2)))</f>
        <v>0</v>
      </c>
      <c r="AU194" s="20">
        <f>IF(B194="","",IF(AR194="","",ROUND(AR194*AI194+AK194,2)))</f>
        <v>0</v>
      </c>
      <c r="AV194" s="20">
        <f>IF(B194="","",IF(AR194="","",ROUND(AR194-AT194-AU194,2)))</f>
        <v>0</v>
      </c>
      <c r="AW194" s="33">
        <f>IF(B194="","",IF(OR(AR194="",AR194=0),"",AV194/AR194))</f>
        <v>0</v>
      </c>
      <c r="AX194" s="33">
        <f>IF(B194="","",IF(OR(AT194="",AT194=0),"",AV194/AT194))</f>
        <v>0</v>
      </c>
      <c r="AY194" s="20">
        <f>IF(B194="","",IF(OR(Y194="",Y194=0,AV194=""),"",ROUND(AV194/Y194,2)))</f>
        <v>0</v>
      </c>
      <c r="AZ194" s="20">
        <f>IF(B194="","",IF(OR(Y194="",Y194=0,AV194=""),"",ROUND((AV194+Z194)/Y194,2)))</f>
        <v>0</v>
      </c>
      <c r="BA194" s="20">
        <f>IF(B194="","",IF(1-AI194-AL194&lt;=0,"",ROUND((AH194+AM194+AK194)/(1-AI194-AL194),2)))</f>
        <v>0</v>
      </c>
      <c r="BB194" s="20">
        <f>IF(B194="","",IF(AT194="","",ROUND(AT194*2,2)))</f>
        <v>0</v>
      </c>
      <c r="BC194" s="20">
        <f>IF(B194="","",IF(AR194="","",ROUND(AR194*(1-WholesaleDiscount),2)))</f>
        <v>0</v>
      </c>
      <c r="BD194" s="20">
        <f>IF(B194="","",IF(BC194="","",ROUND(BC194-AH194-AM194,2)))</f>
        <v>0</v>
      </c>
      <c r="BE194" s="33">
        <f>IF(B194="","",IF(OR(BC194="",BC194=0),"",BD194/BC194))</f>
        <v>0</v>
      </c>
      <c r="BF194" s="20">
        <f>IF(B194="","",IFERROR(ROUND(AVERAGEIFS(Competitors!$F$5:$F$154,Competitors!$A$5:$A$154,A194),2),""))</f>
        <v>0</v>
      </c>
      <c r="BG194" s="33">
        <f>IF(B194="","",IF(OR(BF194="",BF194=0,AR194=""),"",AR194/BF194-1))</f>
        <v>0</v>
      </c>
      <c r="BH194" s="32">
        <f>IF(B194="","",SUMIFS(Sales!$D$5:$D$804,Sales!$C$5:$C$804,A194))</f>
        <v>0</v>
      </c>
      <c r="BI194" s="20">
        <f>IF(B194="","",ROUND(SUMIFS(Sales!$V$5:$V$804,Sales!$C$5:$C$804,A194),2))</f>
        <v>0</v>
      </c>
      <c r="BJ194" s="20">
        <f>IF(B194="","",ROUND(SUMIFS(Sales!$AG$5:$AG$804,Sales!$C$5:$C$804,A194),2))</f>
        <v>0</v>
      </c>
      <c r="BK194" s="33">
        <f>IF(B194="","",IF(OR(BI194="",BI194=0),"",BJ194/BI194))</f>
        <v>0</v>
      </c>
      <c r="BL194" s="17">
        <f>IF(B194="","",IF(SUMPRODUCT(MAX((Sales!$C$5:$C$804=A194)*Sales!$B$5:$B$804))=0,"",SUMPRODUCT(MAX((Sales!$C$5:$C$804=A194)*Sales!$B$5:$B$804))))</f>
        <v>0</v>
      </c>
      <c r="BM194" s="17">
        <f>IF(B194="","",IF(SUMPRODUCT(MAX(('Price History'!$B$5:$B$304=A194)*'Price History'!$A$5:$A$304))=0,IF(P194="","",P194),SUMPRODUCT(MAX(('Price History'!$B$5:$B$304=A194)*'Price History'!$A$5:$A$304))))</f>
        <v>0</v>
      </c>
      <c r="BN194" s="32">
        <f>IF(B194="","",IF(BM194="","",TodayDate-BM194))</f>
        <v>0</v>
      </c>
      <c r="BO194" s="32">
        <f>IF(B194="","",COUNTIFS($AV$5:$AV$304,"&gt;"&amp;AV194)+COUNTIFS($AV$5:AV194,AV194))</f>
        <v>0</v>
      </c>
      <c r="BP194" s="32">
        <f>IF(B194="","",COUNTIFS($AW$5:$AW$304,"&gt;"&amp;AW194)+COUNTIFS($AW$5:AW194,AW194))</f>
        <v>0</v>
      </c>
      <c r="BQ194" s="32">
        <f>IF(B194="","",COUNTIFS($BI$5:$BI$304,"&gt;"&amp;BI194)+COUNTIFS($BI$5:BI194,BI194))</f>
        <v>0</v>
      </c>
      <c r="BR194" s="32">
        <f>IF(B194="","",COUNTIFS($AY$5:$AY$304,"&gt;"&amp;AY194)+COUNTIFS($AY$5:AY194,AY194))</f>
        <v>0</v>
      </c>
      <c r="BS194" s="43">
        <f>IF(B194="","",IF(AH194=0,"Add - no costs entered yet",IF(AR194="","Check - no price yet",IF(AV194&lt;0,"Loss - every sale costs you money",IF(AND(AZ194&lt;&gt;"",AZ194&lt;MinimumWage),"Below - pays under minimum wage",IF(AW194&lt;MarginWarning,"Low margin - re-price it",IF(AND(AF194&lt;&gt;"",K194&lt;&gt;"",K194+AC194&gt;AF194),"Check - too heavy for that postage band",IF(AND(BN194&lt;&gt;"",BN194&gt;PriceReviewDays),"Due - price has not been reviewed",IF(AND(BG194&lt;&gt;"",BG194&gt;0.5),"Check - well above the market","OK")))))))) )</f>
        <v>0</v>
      </c>
    </row>
    <row r="195" spans="1:71">
      <c r="A195" s="38">
        <f>IF(B195="","",ProductPrefix&amp;TEXT(ROW()-4,"0000"))</f>
        <v>0</v>
      </c>
      <c r="S195" s="38">
        <f>IF(B195="","",IF(C195&lt;&gt;"",C195,UPPER(LEFT(IF(D195="","GEN",D195),3))&amp;"-"&amp;TEXT(ROW()-4,"000")))</f>
        <v>0</v>
      </c>
      <c r="T195" s="20">
        <f>IF(B195="","",ROUND(SUMIFS('Material Usage'!$M$5:$M$904,'Material Usage'!$A$5:$A$904,A195)+SUMIFS(Crochet!$AD$5:$AD$84,Crochet!$A$5:$A$84,A195)+SUMIFS(Jewelry!$AF$5:$AF$84,Jewelry!$A$5:$A$84,A195)+SUMIFS(Candles!$AF$5:$AF$84,Candles!$A$5:$A$84,A195)+SUMIFS(Clothing!$AB$5:$AB$84,Clothing!$A$5:$A$84,A195)+SUMIFS(Woodworking!$AC$5:$AC$84,Woodworking!$A$5:$A$84,A195)+SUMIFS(Digital!$X$5:$X$84,Digital!$A$5:$A$84,A195),2))</f>
        <v>0</v>
      </c>
      <c r="U195" s="20">
        <f>IF(B195="","",ROUND(SUMIFS(Labor!$O$5:$O$304,Labor!$A$5:$A$304,A195)+SUMIFS(Crochet!$AG$5:$AG$84,Crochet!$A$5:$A$84,A195)+SUMIFS(Jewelry!$AI$5:$AI$84,Jewelry!$A$5:$A$84,A195)+SUMIFS(Candles!$AI$5:$AI$84,Candles!$A$5:$A$84,A195)+SUMIFS(Clothing!$AE$5:$AE$84,Clothing!$A$5:$A$84,A195)+SUMIFS(Woodworking!$AF$5:$AF$84,Woodworking!$A$5:$A$84,A195)+SUMIFS(Digital!$Z$5:$Z$84,Digital!$A$5:$A$84,A195),2))</f>
        <v>0</v>
      </c>
      <c r="V195" s="36">
        <f>IF(B195="","",ROUND(SUMIFS(Labor!$P$5:$P$304,Labor!$A$5:$A$304,A195)+SUMIFS(Crochet!$AE$5:$AE$84,Crochet!$A$5:$A$84,A195)+SUMIFS(Jewelry!$AG$5:$AG$84,Jewelry!$A$5:$A$84,A195)+SUMIFS(Candles!$AG$5:$AG$84,Candles!$A$5:$A$84,A195)+SUMIFS(Clothing!$AC$5:$AC$84,Clothing!$A$5:$A$84,A195)+SUMIFS(Woodworking!$AD$5:$AD$84,Woodworking!$A$5:$A$84,A195)+SUMIFS(Digital!$Y$5:$Y$84,Digital!$A$5:$A$84,A195),1))</f>
        <v>0</v>
      </c>
      <c r="W195" s="41">
        <f>IF(B195="","",IFERROR(INDEX(DiffTimeFactors,MATCH(G195,DiffNames,0)),1))</f>
        <v>0</v>
      </c>
      <c r="X195" s="36">
        <f>IF(B195="","",ROUND(V195*W195,1))</f>
        <v>0</v>
      </c>
      <c r="Y195" s="41">
        <f>IF(B195="","",ROUND(X195/60,3))</f>
        <v>0</v>
      </c>
      <c r="Z195" s="20">
        <f>IF(B195="","",ROUND(U195*W195,2))</f>
        <v>0</v>
      </c>
      <c r="AA195" s="20">
        <f>IF(B195="","",ROUND(SUMIFS(Labor!$Q$5:$Q$304,Labor!$A$5:$A$304,A195)+SUMIFS(Crochet!$AH$5:$AH$84,Crochet!$A$5:$A$84,A195)+SUMIFS(Jewelry!$AJ$5:$AJ$84,Jewelry!$A$5:$A$84,A195)+SUMIFS(Candles!$AJ$5:$AJ$84,Candles!$A$5:$A$84,A195)+SUMIFS(Clothing!$AF$5:$AF$84,Clothing!$A$5:$A$84,A195)+SUMIFS(Woodworking!$AH$5:$AH$84,Woodworking!$A$5:$A$84,A195)+SUMIFS(Digital!$AA$5:$AA$84,Digital!$A$5:$A$84,A195),2))</f>
        <v>0</v>
      </c>
      <c r="AB195" s="20">
        <f>IF(B195="","",ROUND(IF(I195="Budget",PackBudget,IF(I195="Standard",PackStandard,IF(I195="Gift",PackGift,IF(I195="Premium",PackPremium,DefaultPackaging)))),2))</f>
        <v>0</v>
      </c>
      <c r="AC195" s="36">
        <f>IF(B195="","",IF(I195="Budget",PackWeightBudget,IF(I195="Standard",PackWeightStandard,IF(I195="Gift",PackWeightGift,IF(I195="Premium",PackWeightPremium,0)))))</f>
        <v>0</v>
      </c>
      <c r="AD195" s="20">
        <f>IF(B195="","",IFERROR(INDEX(Shipping!$M$5:$M$64,MATCH(J195,Shipping!$L$5:$L$64,0)),DefaultShipping))</f>
        <v>0</v>
      </c>
      <c r="AE195" s="20">
        <f>IF(B195="","",IFERROR(INDEX(Shipping!$F$5:$F$64,MATCH(J195,Shipping!$L$5:$L$64,0)),0))</f>
        <v>0</v>
      </c>
      <c r="AF195" s="36">
        <f>IF(B195="","",IFERROR(INDEX(Shipping!$C$5:$C$64,MATCH(J195,Shipping!$L$5:$L$64,0)),""))</f>
        <v>0</v>
      </c>
      <c r="AG195" s="20">
        <f>IF(B195="","",ROUND(MAX(0,AD195-AE195),2))</f>
        <v>0</v>
      </c>
      <c r="AH195" s="20">
        <f>IF(B195="","",ROUND(T195+Z195+AA195+AB195+AG195,2))</f>
        <v>0</v>
      </c>
      <c r="AI195" s="33">
        <f>IF(B195="","",IFERROR(INDEX(Channels!$S$5:$S$18,MATCH(IF(H195="",DefaultChannel,H195),Channels!$A$5:$A$18,0)),0))</f>
        <v>0</v>
      </c>
      <c r="AJ195" s="42">
        <f>IF(B195="","",IFERROR(INDEX(Channels!$O$5:$O$18,MATCH(IF(H195="",DefaultChannel,H195),Channels!$A$5:$A$18,0)),"No"))</f>
        <v>0</v>
      </c>
      <c r="AK195" s="20">
        <f>IF(B195="","",ROUND(IFERROR(INDEX(Channels!$T$5:$T$18,MATCH(IF(H195="",DefaultChannel,H195),Channels!$A$5:$A$18,0)),0)+IF(AJ195="Yes",AE195*AI195,0),4))</f>
        <v>0</v>
      </c>
      <c r="AL195" s="33">
        <f>IF(B195="","",IF(OverheadMethod="Share of revenue",IF(RevenueTargetMonth&lt;=0,0,OverheadMonthly/RevenueTargetMonth),0))</f>
        <v>0</v>
      </c>
      <c r="AM195" s="20">
        <f>IF(B195="","",IF(OverheadMethod="Per hour worked",ROUND(OverheadPerHour*Y195,2),IF(OR(OverheadMethod="Per unit made",OverheadMethod="Per order"),OverheadPerUnit,0)))</f>
        <v>0</v>
      </c>
      <c r="AN195" s="33">
        <f>IF(B195="","",IF(N195&lt;&gt;"",N195,TargetRetailMargin))</f>
        <v>0</v>
      </c>
      <c r="AO195" s="41">
        <f>IF(B195="","",1-AN195-AI195-AL195)</f>
        <v>0</v>
      </c>
      <c r="AP195" s="20">
        <f>IF(B195="","",IF(AO195&lt;=0,"",(AH195+AM195+AK195)/AO195))</f>
        <v>0</v>
      </c>
      <c r="AQ195" s="20">
        <f>IF(B195="","",IF(AP195="","Check the settings",ROUND(IF(RoundingRule="None",AP195,IF(RoundingRule="Nearest 0.99",MAX(0.99,CEILING(AP195,1)-0.01),IF(RoundingRule="Nearest 0.95",MAX(0.95,CEILING(AP195,1)-0.05),IF(RoundingRule="Nearest 0.50",CEILING(AP195,0.5),IF(RoundingRule="Nearest 1",CEILING(AP195,1),IF(RoundingRule="Nearest 5",CEILING(AP195,5),IF(RoundingRule="Up to whole 1",CEILING(AP195,1),IF(RoundingRule="Up to whole 5",CEILING(AP195,5),ROUND(AP195,2))))))))),2)))</f>
        <v>0</v>
      </c>
      <c r="AR195" s="20">
        <f>IF(B195="","",IF(M195&lt;&gt;"",M195,IF(ISNUMBER(AQ195),AQ195,"")))</f>
        <v>0</v>
      </c>
      <c r="AS195" s="20">
        <f>IF(B195="","",IF(AR195="","",ROUND(AM195+AR195*AL195,2)))</f>
        <v>0</v>
      </c>
      <c r="AT195" s="20">
        <f>IF(B195="","",IF(AR195="","",ROUND(AH195+AS195,2)))</f>
        <v>0</v>
      </c>
      <c r="AU195" s="20">
        <f>IF(B195="","",IF(AR195="","",ROUND(AR195*AI195+AK195,2)))</f>
        <v>0</v>
      </c>
      <c r="AV195" s="20">
        <f>IF(B195="","",IF(AR195="","",ROUND(AR195-AT195-AU195,2)))</f>
        <v>0</v>
      </c>
      <c r="AW195" s="33">
        <f>IF(B195="","",IF(OR(AR195="",AR195=0),"",AV195/AR195))</f>
        <v>0</v>
      </c>
      <c r="AX195" s="33">
        <f>IF(B195="","",IF(OR(AT195="",AT195=0),"",AV195/AT195))</f>
        <v>0</v>
      </c>
      <c r="AY195" s="20">
        <f>IF(B195="","",IF(OR(Y195="",Y195=0,AV195=""),"",ROUND(AV195/Y195,2)))</f>
        <v>0</v>
      </c>
      <c r="AZ195" s="20">
        <f>IF(B195="","",IF(OR(Y195="",Y195=0,AV195=""),"",ROUND((AV195+Z195)/Y195,2)))</f>
        <v>0</v>
      </c>
      <c r="BA195" s="20">
        <f>IF(B195="","",IF(1-AI195-AL195&lt;=0,"",ROUND((AH195+AM195+AK195)/(1-AI195-AL195),2)))</f>
        <v>0</v>
      </c>
      <c r="BB195" s="20">
        <f>IF(B195="","",IF(AT195="","",ROUND(AT195*2,2)))</f>
        <v>0</v>
      </c>
      <c r="BC195" s="20">
        <f>IF(B195="","",IF(AR195="","",ROUND(AR195*(1-WholesaleDiscount),2)))</f>
        <v>0</v>
      </c>
      <c r="BD195" s="20">
        <f>IF(B195="","",IF(BC195="","",ROUND(BC195-AH195-AM195,2)))</f>
        <v>0</v>
      </c>
      <c r="BE195" s="33">
        <f>IF(B195="","",IF(OR(BC195="",BC195=0),"",BD195/BC195))</f>
        <v>0</v>
      </c>
      <c r="BF195" s="20">
        <f>IF(B195="","",IFERROR(ROUND(AVERAGEIFS(Competitors!$F$5:$F$154,Competitors!$A$5:$A$154,A195),2),""))</f>
        <v>0</v>
      </c>
      <c r="BG195" s="33">
        <f>IF(B195="","",IF(OR(BF195="",BF195=0,AR195=""),"",AR195/BF195-1))</f>
        <v>0</v>
      </c>
      <c r="BH195" s="32">
        <f>IF(B195="","",SUMIFS(Sales!$D$5:$D$804,Sales!$C$5:$C$804,A195))</f>
        <v>0</v>
      </c>
      <c r="BI195" s="20">
        <f>IF(B195="","",ROUND(SUMIFS(Sales!$V$5:$V$804,Sales!$C$5:$C$804,A195),2))</f>
        <v>0</v>
      </c>
      <c r="BJ195" s="20">
        <f>IF(B195="","",ROUND(SUMIFS(Sales!$AG$5:$AG$804,Sales!$C$5:$C$804,A195),2))</f>
        <v>0</v>
      </c>
      <c r="BK195" s="33">
        <f>IF(B195="","",IF(OR(BI195="",BI195=0),"",BJ195/BI195))</f>
        <v>0</v>
      </c>
      <c r="BL195" s="17">
        <f>IF(B195="","",IF(SUMPRODUCT(MAX((Sales!$C$5:$C$804=A195)*Sales!$B$5:$B$804))=0,"",SUMPRODUCT(MAX((Sales!$C$5:$C$804=A195)*Sales!$B$5:$B$804))))</f>
        <v>0</v>
      </c>
      <c r="BM195" s="17">
        <f>IF(B195="","",IF(SUMPRODUCT(MAX(('Price History'!$B$5:$B$304=A195)*'Price History'!$A$5:$A$304))=0,IF(P195="","",P195),SUMPRODUCT(MAX(('Price History'!$B$5:$B$304=A195)*'Price History'!$A$5:$A$304))))</f>
        <v>0</v>
      </c>
      <c r="BN195" s="32">
        <f>IF(B195="","",IF(BM195="","",TodayDate-BM195))</f>
        <v>0</v>
      </c>
      <c r="BO195" s="32">
        <f>IF(B195="","",COUNTIFS($AV$5:$AV$304,"&gt;"&amp;AV195)+COUNTIFS($AV$5:AV195,AV195))</f>
        <v>0</v>
      </c>
      <c r="BP195" s="32">
        <f>IF(B195="","",COUNTIFS($AW$5:$AW$304,"&gt;"&amp;AW195)+COUNTIFS($AW$5:AW195,AW195))</f>
        <v>0</v>
      </c>
      <c r="BQ195" s="32">
        <f>IF(B195="","",COUNTIFS($BI$5:$BI$304,"&gt;"&amp;BI195)+COUNTIFS($BI$5:BI195,BI195))</f>
        <v>0</v>
      </c>
      <c r="BR195" s="32">
        <f>IF(B195="","",COUNTIFS($AY$5:$AY$304,"&gt;"&amp;AY195)+COUNTIFS($AY$5:AY195,AY195))</f>
        <v>0</v>
      </c>
      <c r="BS195" s="43">
        <f>IF(B195="","",IF(AH195=0,"Add - no costs entered yet",IF(AR195="","Check - no price yet",IF(AV195&lt;0,"Loss - every sale costs you money",IF(AND(AZ195&lt;&gt;"",AZ195&lt;MinimumWage),"Below - pays under minimum wage",IF(AW195&lt;MarginWarning,"Low margin - re-price it",IF(AND(AF195&lt;&gt;"",K195&lt;&gt;"",K195+AC195&gt;AF195),"Check - too heavy for that postage band",IF(AND(BN195&lt;&gt;"",BN195&gt;PriceReviewDays),"Due - price has not been reviewed",IF(AND(BG195&lt;&gt;"",BG195&gt;0.5),"Check - well above the market","OK")))))))) )</f>
        <v>0</v>
      </c>
    </row>
    <row r="196" spans="1:71">
      <c r="A196" s="38">
        <f>IF(B196="","",ProductPrefix&amp;TEXT(ROW()-4,"0000"))</f>
        <v>0</v>
      </c>
      <c r="S196" s="38">
        <f>IF(B196="","",IF(C196&lt;&gt;"",C196,UPPER(LEFT(IF(D196="","GEN",D196),3))&amp;"-"&amp;TEXT(ROW()-4,"000")))</f>
        <v>0</v>
      </c>
      <c r="T196" s="20">
        <f>IF(B196="","",ROUND(SUMIFS('Material Usage'!$M$5:$M$904,'Material Usage'!$A$5:$A$904,A196)+SUMIFS(Crochet!$AD$5:$AD$84,Crochet!$A$5:$A$84,A196)+SUMIFS(Jewelry!$AF$5:$AF$84,Jewelry!$A$5:$A$84,A196)+SUMIFS(Candles!$AF$5:$AF$84,Candles!$A$5:$A$84,A196)+SUMIFS(Clothing!$AB$5:$AB$84,Clothing!$A$5:$A$84,A196)+SUMIFS(Woodworking!$AC$5:$AC$84,Woodworking!$A$5:$A$84,A196)+SUMIFS(Digital!$X$5:$X$84,Digital!$A$5:$A$84,A196),2))</f>
        <v>0</v>
      </c>
      <c r="U196" s="20">
        <f>IF(B196="","",ROUND(SUMIFS(Labor!$O$5:$O$304,Labor!$A$5:$A$304,A196)+SUMIFS(Crochet!$AG$5:$AG$84,Crochet!$A$5:$A$84,A196)+SUMIFS(Jewelry!$AI$5:$AI$84,Jewelry!$A$5:$A$84,A196)+SUMIFS(Candles!$AI$5:$AI$84,Candles!$A$5:$A$84,A196)+SUMIFS(Clothing!$AE$5:$AE$84,Clothing!$A$5:$A$84,A196)+SUMIFS(Woodworking!$AF$5:$AF$84,Woodworking!$A$5:$A$84,A196)+SUMIFS(Digital!$Z$5:$Z$84,Digital!$A$5:$A$84,A196),2))</f>
        <v>0</v>
      </c>
      <c r="V196" s="36">
        <f>IF(B196="","",ROUND(SUMIFS(Labor!$P$5:$P$304,Labor!$A$5:$A$304,A196)+SUMIFS(Crochet!$AE$5:$AE$84,Crochet!$A$5:$A$84,A196)+SUMIFS(Jewelry!$AG$5:$AG$84,Jewelry!$A$5:$A$84,A196)+SUMIFS(Candles!$AG$5:$AG$84,Candles!$A$5:$A$84,A196)+SUMIFS(Clothing!$AC$5:$AC$84,Clothing!$A$5:$A$84,A196)+SUMIFS(Woodworking!$AD$5:$AD$84,Woodworking!$A$5:$A$84,A196)+SUMIFS(Digital!$Y$5:$Y$84,Digital!$A$5:$A$84,A196),1))</f>
        <v>0</v>
      </c>
      <c r="W196" s="41">
        <f>IF(B196="","",IFERROR(INDEX(DiffTimeFactors,MATCH(G196,DiffNames,0)),1))</f>
        <v>0</v>
      </c>
      <c r="X196" s="36">
        <f>IF(B196="","",ROUND(V196*W196,1))</f>
        <v>0</v>
      </c>
      <c r="Y196" s="41">
        <f>IF(B196="","",ROUND(X196/60,3))</f>
        <v>0</v>
      </c>
      <c r="Z196" s="20">
        <f>IF(B196="","",ROUND(U196*W196,2))</f>
        <v>0</v>
      </c>
      <c r="AA196" s="20">
        <f>IF(B196="","",ROUND(SUMIFS(Labor!$Q$5:$Q$304,Labor!$A$5:$A$304,A196)+SUMIFS(Crochet!$AH$5:$AH$84,Crochet!$A$5:$A$84,A196)+SUMIFS(Jewelry!$AJ$5:$AJ$84,Jewelry!$A$5:$A$84,A196)+SUMIFS(Candles!$AJ$5:$AJ$84,Candles!$A$5:$A$84,A196)+SUMIFS(Clothing!$AF$5:$AF$84,Clothing!$A$5:$A$84,A196)+SUMIFS(Woodworking!$AH$5:$AH$84,Woodworking!$A$5:$A$84,A196)+SUMIFS(Digital!$AA$5:$AA$84,Digital!$A$5:$A$84,A196),2))</f>
        <v>0</v>
      </c>
      <c r="AB196" s="20">
        <f>IF(B196="","",ROUND(IF(I196="Budget",PackBudget,IF(I196="Standard",PackStandard,IF(I196="Gift",PackGift,IF(I196="Premium",PackPremium,DefaultPackaging)))),2))</f>
        <v>0</v>
      </c>
      <c r="AC196" s="36">
        <f>IF(B196="","",IF(I196="Budget",PackWeightBudget,IF(I196="Standard",PackWeightStandard,IF(I196="Gift",PackWeightGift,IF(I196="Premium",PackWeightPremium,0)))))</f>
        <v>0</v>
      </c>
      <c r="AD196" s="20">
        <f>IF(B196="","",IFERROR(INDEX(Shipping!$M$5:$M$64,MATCH(J196,Shipping!$L$5:$L$64,0)),DefaultShipping))</f>
        <v>0</v>
      </c>
      <c r="AE196" s="20">
        <f>IF(B196="","",IFERROR(INDEX(Shipping!$F$5:$F$64,MATCH(J196,Shipping!$L$5:$L$64,0)),0))</f>
        <v>0</v>
      </c>
      <c r="AF196" s="36">
        <f>IF(B196="","",IFERROR(INDEX(Shipping!$C$5:$C$64,MATCH(J196,Shipping!$L$5:$L$64,0)),""))</f>
        <v>0</v>
      </c>
      <c r="AG196" s="20">
        <f>IF(B196="","",ROUND(MAX(0,AD196-AE196),2))</f>
        <v>0</v>
      </c>
      <c r="AH196" s="20">
        <f>IF(B196="","",ROUND(T196+Z196+AA196+AB196+AG196,2))</f>
        <v>0</v>
      </c>
      <c r="AI196" s="33">
        <f>IF(B196="","",IFERROR(INDEX(Channels!$S$5:$S$18,MATCH(IF(H196="",DefaultChannel,H196),Channels!$A$5:$A$18,0)),0))</f>
        <v>0</v>
      </c>
      <c r="AJ196" s="42">
        <f>IF(B196="","",IFERROR(INDEX(Channels!$O$5:$O$18,MATCH(IF(H196="",DefaultChannel,H196),Channels!$A$5:$A$18,0)),"No"))</f>
        <v>0</v>
      </c>
      <c r="AK196" s="20">
        <f>IF(B196="","",ROUND(IFERROR(INDEX(Channels!$T$5:$T$18,MATCH(IF(H196="",DefaultChannel,H196),Channels!$A$5:$A$18,0)),0)+IF(AJ196="Yes",AE196*AI196,0),4))</f>
        <v>0</v>
      </c>
      <c r="AL196" s="33">
        <f>IF(B196="","",IF(OverheadMethod="Share of revenue",IF(RevenueTargetMonth&lt;=0,0,OverheadMonthly/RevenueTargetMonth),0))</f>
        <v>0</v>
      </c>
      <c r="AM196" s="20">
        <f>IF(B196="","",IF(OverheadMethod="Per hour worked",ROUND(OverheadPerHour*Y196,2),IF(OR(OverheadMethod="Per unit made",OverheadMethod="Per order"),OverheadPerUnit,0)))</f>
        <v>0</v>
      </c>
      <c r="AN196" s="33">
        <f>IF(B196="","",IF(N196&lt;&gt;"",N196,TargetRetailMargin))</f>
        <v>0</v>
      </c>
      <c r="AO196" s="41">
        <f>IF(B196="","",1-AN196-AI196-AL196)</f>
        <v>0</v>
      </c>
      <c r="AP196" s="20">
        <f>IF(B196="","",IF(AO196&lt;=0,"",(AH196+AM196+AK196)/AO196))</f>
        <v>0</v>
      </c>
      <c r="AQ196" s="20">
        <f>IF(B196="","",IF(AP196="","Check the settings",ROUND(IF(RoundingRule="None",AP196,IF(RoundingRule="Nearest 0.99",MAX(0.99,CEILING(AP196,1)-0.01),IF(RoundingRule="Nearest 0.95",MAX(0.95,CEILING(AP196,1)-0.05),IF(RoundingRule="Nearest 0.50",CEILING(AP196,0.5),IF(RoundingRule="Nearest 1",CEILING(AP196,1),IF(RoundingRule="Nearest 5",CEILING(AP196,5),IF(RoundingRule="Up to whole 1",CEILING(AP196,1),IF(RoundingRule="Up to whole 5",CEILING(AP196,5),ROUND(AP196,2))))))))),2)))</f>
        <v>0</v>
      </c>
      <c r="AR196" s="20">
        <f>IF(B196="","",IF(M196&lt;&gt;"",M196,IF(ISNUMBER(AQ196),AQ196,"")))</f>
        <v>0</v>
      </c>
      <c r="AS196" s="20">
        <f>IF(B196="","",IF(AR196="","",ROUND(AM196+AR196*AL196,2)))</f>
        <v>0</v>
      </c>
      <c r="AT196" s="20">
        <f>IF(B196="","",IF(AR196="","",ROUND(AH196+AS196,2)))</f>
        <v>0</v>
      </c>
      <c r="AU196" s="20">
        <f>IF(B196="","",IF(AR196="","",ROUND(AR196*AI196+AK196,2)))</f>
        <v>0</v>
      </c>
      <c r="AV196" s="20">
        <f>IF(B196="","",IF(AR196="","",ROUND(AR196-AT196-AU196,2)))</f>
        <v>0</v>
      </c>
      <c r="AW196" s="33">
        <f>IF(B196="","",IF(OR(AR196="",AR196=0),"",AV196/AR196))</f>
        <v>0</v>
      </c>
      <c r="AX196" s="33">
        <f>IF(B196="","",IF(OR(AT196="",AT196=0),"",AV196/AT196))</f>
        <v>0</v>
      </c>
      <c r="AY196" s="20">
        <f>IF(B196="","",IF(OR(Y196="",Y196=0,AV196=""),"",ROUND(AV196/Y196,2)))</f>
        <v>0</v>
      </c>
      <c r="AZ196" s="20">
        <f>IF(B196="","",IF(OR(Y196="",Y196=0,AV196=""),"",ROUND((AV196+Z196)/Y196,2)))</f>
        <v>0</v>
      </c>
      <c r="BA196" s="20">
        <f>IF(B196="","",IF(1-AI196-AL196&lt;=0,"",ROUND((AH196+AM196+AK196)/(1-AI196-AL196),2)))</f>
        <v>0</v>
      </c>
      <c r="BB196" s="20">
        <f>IF(B196="","",IF(AT196="","",ROUND(AT196*2,2)))</f>
        <v>0</v>
      </c>
      <c r="BC196" s="20">
        <f>IF(B196="","",IF(AR196="","",ROUND(AR196*(1-WholesaleDiscount),2)))</f>
        <v>0</v>
      </c>
      <c r="BD196" s="20">
        <f>IF(B196="","",IF(BC196="","",ROUND(BC196-AH196-AM196,2)))</f>
        <v>0</v>
      </c>
      <c r="BE196" s="33">
        <f>IF(B196="","",IF(OR(BC196="",BC196=0),"",BD196/BC196))</f>
        <v>0</v>
      </c>
      <c r="BF196" s="20">
        <f>IF(B196="","",IFERROR(ROUND(AVERAGEIFS(Competitors!$F$5:$F$154,Competitors!$A$5:$A$154,A196),2),""))</f>
        <v>0</v>
      </c>
      <c r="BG196" s="33">
        <f>IF(B196="","",IF(OR(BF196="",BF196=0,AR196=""),"",AR196/BF196-1))</f>
        <v>0</v>
      </c>
      <c r="BH196" s="32">
        <f>IF(B196="","",SUMIFS(Sales!$D$5:$D$804,Sales!$C$5:$C$804,A196))</f>
        <v>0</v>
      </c>
      <c r="BI196" s="20">
        <f>IF(B196="","",ROUND(SUMIFS(Sales!$V$5:$V$804,Sales!$C$5:$C$804,A196),2))</f>
        <v>0</v>
      </c>
      <c r="BJ196" s="20">
        <f>IF(B196="","",ROUND(SUMIFS(Sales!$AG$5:$AG$804,Sales!$C$5:$C$804,A196),2))</f>
        <v>0</v>
      </c>
      <c r="BK196" s="33">
        <f>IF(B196="","",IF(OR(BI196="",BI196=0),"",BJ196/BI196))</f>
        <v>0</v>
      </c>
      <c r="BL196" s="17">
        <f>IF(B196="","",IF(SUMPRODUCT(MAX((Sales!$C$5:$C$804=A196)*Sales!$B$5:$B$804))=0,"",SUMPRODUCT(MAX((Sales!$C$5:$C$804=A196)*Sales!$B$5:$B$804))))</f>
        <v>0</v>
      </c>
      <c r="BM196" s="17">
        <f>IF(B196="","",IF(SUMPRODUCT(MAX(('Price History'!$B$5:$B$304=A196)*'Price History'!$A$5:$A$304))=0,IF(P196="","",P196),SUMPRODUCT(MAX(('Price History'!$B$5:$B$304=A196)*'Price History'!$A$5:$A$304))))</f>
        <v>0</v>
      </c>
      <c r="BN196" s="32">
        <f>IF(B196="","",IF(BM196="","",TodayDate-BM196))</f>
        <v>0</v>
      </c>
      <c r="BO196" s="32">
        <f>IF(B196="","",COUNTIFS($AV$5:$AV$304,"&gt;"&amp;AV196)+COUNTIFS($AV$5:AV196,AV196))</f>
        <v>0</v>
      </c>
      <c r="BP196" s="32">
        <f>IF(B196="","",COUNTIFS($AW$5:$AW$304,"&gt;"&amp;AW196)+COUNTIFS($AW$5:AW196,AW196))</f>
        <v>0</v>
      </c>
      <c r="BQ196" s="32">
        <f>IF(B196="","",COUNTIFS($BI$5:$BI$304,"&gt;"&amp;BI196)+COUNTIFS($BI$5:BI196,BI196))</f>
        <v>0</v>
      </c>
      <c r="BR196" s="32">
        <f>IF(B196="","",COUNTIFS($AY$5:$AY$304,"&gt;"&amp;AY196)+COUNTIFS($AY$5:AY196,AY196))</f>
        <v>0</v>
      </c>
      <c r="BS196" s="43">
        <f>IF(B196="","",IF(AH196=0,"Add - no costs entered yet",IF(AR196="","Check - no price yet",IF(AV196&lt;0,"Loss - every sale costs you money",IF(AND(AZ196&lt;&gt;"",AZ196&lt;MinimumWage),"Below - pays under minimum wage",IF(AW196&lt;MarginWarning,"Low margin - re-price it",IF(AND(AF196&lt;&gt;"",K196&lt;&gt;"",K196+AC196&gt;AF196),"Check - too heavy for that postage band",IF(AND(BN196&lt;&gt;"",BN196&gt;PriceReviewDays),"Due - price has not been reviewed",IF(AND(BG196&lt;&gt;"",BG196&gt;0.5),"Check - well above the market","OK")))))))) )</f>
        <v>0</v>
      </c>
    </row>
    <row r="197" spans="1:71">
      <c r="A197" s="38">
        <f>IF(B197="","",ProductPrefix&amp;TEXT(ROW()-4,"0000"))</f>
        <v>0</v>
      </c>
      <c r="S197" s="38">
        <f>IF(B197="","",IF(C197&lt;&gt;"",C197,UPPER(LEFT(IF(D197="","GEN",D197),3))&amp;"-"&amp;TEXT(ROW()-4,"000")))</f>
        <v>0</v>
      </c>
      <c r="T197" s="20">
        <f>IF(B197="","",ROUND(SUMIFS('Material Usage'!$M$5:$M$904,'Material Usage'!$A$5:$A$904,A197)+SUMIFS(Crochet!$AD$5:$AD$84,Crochet!$A$5:$A$84,A197)+SUMIFS(Jewelry!$AF$5:$AF$84,Jewelry!$A$5:$A$84,A197)+SUMIFS(Candles!$AF$5:$AF$84,Candles!$A$5:$A$84,A197)+SUMIFS(Clothing!$AB$5:$AB$84,Clothing!$A$5:$A$84,A197)+SUMIFS(Woodworking!$AC$5:$AC$84,Woodworking!$A$5:$A$84,A197)+SUMIFS(Digital!$X$5:$X$84,Digital!$A$5:$A$84,A197),2))</f>
        <v>0</v>
      </c>
      <c r="U197" s="20">
        <f>IF(B197="","",ROUND(SUMIFS(Labor!$O$5:$O$304,Labor!$A$5:$A$304,A197)+SUMIFS(Crochet!$AG$5:$AG$84,Crochet!$A$5:$A$84,A197)+SUMIFS(Jewelry!$AI$5:$AI$84,Jewelry!$A$5:$A$84,A197)+SUMIFS(Candles!$AI$5:$AI$84,Candles!$A$5:$A$84,A197)+SUMIFS(Clothing!$AE$5:$AE$84,Clothing!$A$5:$A$84,A197)+SUMIFS(Woodworking!$AF$5:$AF$84,Woodworking!$A$5:$A$84,A197)+SUMIFS(Digital!$Z$5:$Z$84,Digital!$A$5:$A$84,A197),2))</f>
        <v>0</v>
      </c>
      <c r="V197" s="36">
        <f>IF(B197="","",ROUND(SUMIFS(Labor!$P$5:$P$304,Labor!$A$5:$A$304,A197)+SUMIFS(Crochet!$AE$5:$AE$84,Crochet!$A$5:$A$84,A197)+SUMIFS(Jewelry!$AG$5:$AG$84,Jewelry!$A$5:$A$84,A197)+SUMIFS(Candles!$AG$5:$AG$84,Candles!$A$5:$A$84,A197)+SUMIFS(Clothing!$AC$5:$AC$84,Clothing!$A$5:$A$84,A197)+SUMIFS(Woodworking!$AD$5:$AD$84,Woodworking!$A$5:$A$84,A197)+SUMIFS(Digital!$Y$5:$Y$84,Digital!$A$5:$A$84,A197),1))</f>
        <v>0</v>
      </c>
      <c r="W197" s="41">
        <f>IF(B197="","",IFERROR(INDEX(DiffTimeFactors,MATCH(G197,DiffNames,0)),1))</f>
        <v>0</v>
      </c>
      <c r="X197" s="36">
        <f>IF(B197="","",ROUND(V197*W197,1))</f>
        <v>0</v>
      </c>
      <c r="Y197" s="41">
        <f>IF(B197="","",ROUND(X197/60,3))</f>
        <v>0</v>
      </c>
      <c r="Z197" s="20">
        <f>IF(B197="","",ROUND(U197*W197,2))</f>
        <v>0</v>
      </c>
      <c r="AA197" s="20">
        <f>IF(B197="","",ROUND(SUMIFS(Labor!$Q$5:$Q$304,Labor!$A$5:$A$304,A197)+SUMIFS(Crochet!$AH$5:$AH$84,Crochet!$A$5:$A$84,A197)+SUMIFS(Jewelry!$AJ$5:$AJ$84,Jewelry!$A$5:$A$84,A197)+SUMIFS(Candles!$AJ$5:$AJ$84,Candles!$A$5:$A$84,A197)+SUMIFS(Clothing!$AF$5:$AF$84,Clothing!$A$5:$A$84,A197)+SUMIFS(Woodworking!$AH$5:$AH$84,Woodworking!$A$5:$A$84,A197)+SUMIFS(Digital!$AA$5:$AA$84,Digital!$A$5:$A$84,A197),2))</f>
        <v>0</v>
      </c>
      <c r="AB197" s="20">
        <f>IF(B197="","",ROUND(IF(I197="Budget",PackBudget,IF(I197="Standard",PackStandard,IF(I197="Gift",PackGift,IF(I197="Premium",PackPremium,DefaultPackaging)))),2))</f>
        <v>0</v>
      </c>
      <c r="AC197" s="36">
        <f>IF(B197="","",IF(I197="Budget",PackWeightBudget,IF(I197="Standard",PackWeightStandard,IF(I197="Gift",PackWeightGift,IF(I197="Premium",PackWeightPremium,0)))))</f>
        <v>0</v>
      </c>
      <c r="AD197" s="20">
        <f>IF(B197="","",IFERROR(INDEX(Shipping!$M$5:$M$64,MATCH(J197,Shipping!$L$5:$L$64,0)),DefaultShipping))</f>
        <v>0</v>
      </c>
      <c r="AE197" s="20">
        <f>IF(B197="","",IFERROR(INDEX(Shipping!$F$5:$F$64,MATCH(J197,Shipping!$L$5:$L$64,0)),0))</f>
        <v>0</v>
      </c>
      <c r="AF197" s="36">
        <f>IF(B197="","",IFERROR(INDEX(Shipping!$C$5:$C$64,MATCH(J197,Shipping!$L$5:$L$64,0)),""))</f>
        <v>0</v>
      </c>
      <c r="AG197" s="20">
        <f>IF(B197="","",ROUND(MAX(0,AD197-AE197),2))</f>
        <v>0</v>
      </c>
      <c r="AH197" s="20">
        <f>IF(B197="","",ROUND(T197+Z197+AA197+AB197+AG197,2))</f>
        <v>0</v>
      </c>
      <c r="AI197" s="33">
        <f>IF(B197="","",IFERROR(INDEX(Channels!$S$5:$S$18,MATCH(IF(H197="",DefaultChannel,H197),Channels!$A$5:$A$18,0)),0))</f>
        <v>0</v>
      </c>
      <c r="AJ197" s="42">
        <f>IF(B197="","",IFERROR(INDEX(Channels!$O$5:$O$18,MATCH(IF(H197="",DefaultChannel,H197),Channels!$A$5:$A$18,0)),"No"))</f>
        <v>0</v>
      </c>
      <c r="AK197" s="20">
        <f>IF(B197="","",ROUND(IFERROR(INDEX(Channels!$T$5:$T$18,MATCH(IF(H197="",DefaultChannel,H197),Channels!$A$5:$A$18,0)),0)+IF(AJ197="Yes",AE197*AI197,0),4))</f>
        <v>0</v>
      </c>
      <c r="AL197" s="33">
        <f>IF(B197="","",IF(OverheadMethod="Share of revenue",IF(RevenueTargetMonth&lt;=0,0,OverheadMonthly/RevenueTargetMonth),0))</f>
        <v>0</v>
      </c>
      <c r="AM197" s="20">
        <f>IF(B197="","",IF(OverheadMethod="Per hour worked",ROUND(OverheadPerHour*Y197,2),IF(OR(OverheadMethod="Per unit made",OverheadMethod="Per order"),OverheadPerUnit,0)))</f>
        <v>0</v>
      </c>
      <c r="AN197" s="33">
        <f>IF(B197="","",IF(N197&lt;&gt;"",N197,TargetRetailMargin))</f>
        <v>0</v>
      </c>
      <c r="AO197" s="41">
        <f>IF(B197="","",1-AN197-AI197-AL197)</f>
        <v>0</v>
      </c>
      <c r="AP197" s="20">
        <f>IF(B197="","",IF(AO197&lt;=0,"",(AH197+AM197+AK197)/AO197))</f>
        <v>0</v>
      </c>
      <c r="AQ197" s="20">
        <f>IF(B197="","",IF(AP197="","Check the settings",ROUND(IF(RoundingRule="None",AP197,IF(RoundingRule="Nearest 0.99",MAX(0.99,CEILING(AP197,1)-0.01),IF(RoundingRule="Nearest 0.95",MAX(0.95,CEILING(AP197,1)-0.05),IF(RoundingRule="Nearest 0.50",CEILING(AP197,0.5),IF(RoundingRule="Nearest 1",CEILING(AP197,1),IF(RoundingRule="Nearest 5",CEILING(AP197,5),IF(RoundingRule="Up to whole 1",CEILING(AP197,1),IF(RoundingRule="Up to whole 5",CEILING(AP197,5),ROUND(AP197,2))))))))),2)))</f>
        <v>0</v>
      </c>
      <c r="AR197" s="20">
        <f>IF(B197="","",IF(M197&lt;&gt;"",M197,IF(ISNUMBER(AQ197),AQ197,"")))</f>
        <v>0</v>
      </c>
      <c r="AS197" s="20">
        <f>IF(B197="","",IF(AR197="","",ROUND(AM197+AR197*AL197,2)))</f>
        <v>0</v>
      </c>
      <c r="AT197" s="20">
        <f>IF(B197="","",IF(AR197="","",ROUND(AH197+AS197,2)))</f>
        <v>0</v>
      </c>
      <c r="AU197" s="20">
        <f>IF(B197="","",IF(AR197="","",ROUND(AR197*AI197+AK197,2)))</f>
        <v>0</v>
      </c>
      <c r="AV197" s="20">
        <f>IF(B197="","",IF(AR197="","",ROUND(AR197-AT197-AU197,2)))</f>
        <v>0</v>
      </c>
      <c r="AW197" s="33">
        <f>IF(B197="","",IF(OR(AR197="",AR197=0),"",AV197/AR197))</f>
        <v>0</v>
      </c>
      <c r="AX197" s="33">
        <f>IF(B197="","",IF(OR(AT197="",AT197=0),"",AV197/AT197))</f>
        <v>0</v>
      </c>
      <c r="AY197" s="20">
        <f>IF(B197="","",IF(OR(Y197="",Y197=0,AV197=""),"",ROUND(AV197/Y197,2)))</f>
        <v>0</v>
      </c>
      <c r="AZ197" s="20">
        <f>IF(B197="","",IF(OR(Y197="",Y197=0,AV197=""),"",ROUND((AV197+Z197)/Y197,2)))</f>
        <v>0</v>
      </c>
      <c r="BA197" s="20">
        <f>IF(B197="","",IF(1-AI197-AL197&lt;=0,"",ROUND((AH197+AM197+AK197)/(1-AI197-AL197),2)))</f>
        <v>0</v>
      </c>
      <c r="BB197" s="20">
        <f>IF(B197="","",IF(AT197="","",ROUND(AT197*2,2)))</f>
        <v>0</v>
      </c>
      <c r="BC197" s="20">
        <f>IF(B197="","",IF(AR197="","",ROUND(AR197*(1-WholesaleDiscount),2)))</f>
        <v>0</v>
      </c>
      <c r="BD197" s="20">
        <f>IF(B197="","",IF(BC197="","",ROUND(BC197-AH197-AM197,2)))</f>
        <v>0</v>
      </c>
      <c r="BE197" s="33">
        <f>IF(B197="","",IF(OR(BC197="",BC197=0),"",BD197/BC197))</f>
        <v>0</v>
      </c>
      <c r="BF197" s="20">
        <f>IF(B197="","",IFERROR(ROUND(AVERAGEIFS(Competitors!$F$5:$F$154,Competitors!$A$5:$A$154,A197),2),""))</f>
        <v>0</v>
      </c>
      <c r="BG197" s="33">
        <f>IF(B197="","",IF(OR(BF197="",BF197=0,AR197=""),"",AR197/BF197-1))</f>
        <v>0</v>
      </c>
      <c r="BH197" s="32">
        <f>IF(B197="","",SUMIFS(Sales!$D$5:$D$804,Sales!$C$5:$C$804,A197))</f>
        <v>0</v>
      </c>
      <c r="BI197" s="20">
        <f>IF(B197="","",ROUND(SUMIFS(Sales!$V$5:$V$804,Sales!$C$5:$C$804,A197),2))</f>
        <v>0</v>
      </c>
      <c r="BJ197" s="20">
        <f>IF(B197="","",ROUND(SUMIFS(Sales!$AG$5:$AG$804,Sales!$C$5:$C$804,A197),2))</f>
        <v>0</v>
      </c>
      <c r="BK197" s="33">
        <f>IF(B197="","",IF(OR(BI197="",BI197=0),"",BJ197/BI197))</f>
        <v>0</v>
      </c>
      <c r="BL197" s="17">
        <f>IF(B197="","",IF(SUMPRODUCT(MAX((Sales!$C$5:$C$804=A197)*Sales!$B$5:$B$804))=0,"",SUMPRODUCT(MAX((Sales!$C$5:$C$804=A197)*Sales!$B$5:$B$804))))</f>
        <v>0</v>
      </c>
      <c r="BM197" s="17">
        <f>IF(B197="","",IF(SUMPRODUCT(MAX(('Price History'!$B$5:$B$304=A197)*'Price History'!$A$5:$A$304))=0,IF(P197="","",P197),SUMPRODUCT(MAX(('Price History'!$B$5:$B$304=A197)*'Price History'!$A$5:$A$304))))</f>
        <v>0</v>
      </c>
      <c r="BN197" s="32">
        <f>IF(B197="","",IF(BM197="","",TodayDate-BM197))</f>
        <v>0</v>
      </c>
      <c r="BO197" s="32">
        <f>IF(B197="","",COUNTIFS($AV$5:$AV$304,"&gt;"&amp;AV197)+COUNTIFS($AV$5:AV197,AV197))</f>
        <v>0</v>
      </c>
      <c r="BP197" s="32">
        <f>IF(B197="","",COUNTIFS($AW$5:$AW$304,"&gt;"&amp;AW197)+COUNTIFS($AW$5:AW197,AW197))</f>
        <v>0</v>
      </c>
      <c r="BQ197" s="32">
        <f>IF(B197="","",COUNTIFS($BI$5:$BI$304,"&gt;"&amp;BI197)+COUNTIFS($BI$5:BI197,BI197))</f>
        <v>0</v>
      </c>
      <c r="BR197" s="32">
        <f>IF(B197="","",COUNTIFS($AY$5:$AY$304,"&gt;"&amp;AY197)+COUNTIFS($AY$5:AY197,AY197))</f>
        <v>0</v>
      </c>
      <c r="BS197" s="43">
        <f>IF(B197="","",IF(AH197=0,"Add - no costs entered yet",IF(AR197="","Check - no price yet",IF(AV197&lt;0,"Loss - every sale costs you money",IF(AND(AZ197&lt;&gt;"",AZ197&lt;MinimumWage),"Below - pays under minimum wage",IF(AW197&lt;MarginWarning,"Low margin - re-price it",IF(AND(AF197&lt;&gt;"",K197&lt;&gt;"",K197+AC197&gt;AF197),"Check - too heavy for that postage band",IF(AND(BN197&lt;&gt;"",BN197&gt;PriceReviewDays),"Due - price has not been reviewed",IF(AND(BG197&lt;&gt;"",BG197&gt;0.5),"Check - well above the market","OK")))))))) )</f>
        <v>0</v>
      </c>
    </row>
    <row r="198" spans="1:71">
      <c r="A198" s="38">
        <f>IF(B198="","",ProductPrefix&amp;TEXT(ROW()-4,"0000"))</f>
        <v>0</v>
      </c>
      <c r="S198" s="38">
        <f>IF(B198="","",IF(C198&lt;&gt;"",C198,UPPER(LEFT(IF(D198="","GEN",D198),3))&amp;"-"&amp;TEXT(ROW()-4,"000")))</f>
        <v>0</v>
      </c>
      <c r="T198" s="20">
        <f>IF(B198="","",ROUND(SUMIFS('Material Usage'!$M$5:$M$904,'Material Usage'!$A$5:$A$904,A198)+SUMIFS(Crochet!$AD$5:$AD$84,Crochet!$A$5:$A$84,A198)+SUMIFS(Jewelry!$AF$5:$AF$84,Jewelry!$A$5:$A$84,A198)+SUMIFS(Candles!$AF$5:$AF$84,Candles!$A$5:$A$84,A198)+SUMIFS(Clothing!$AB$5:$AB$84,Clothing!$A$5:$A$84,A198)+SUMIFS(Woodworking!$AC$5:$AC$84,Woodworking!$A$5:$A$84,A198)+SUMIFS(Digital!$X$5:$X$84,Digital!$A$5:$A$84,A198),2))</f>
        <v>0</v>
      </c>
      <c r="U198" s="20">
        <f>IF(B198="","",ROUND(SUMIFS(Labor!$O$5:$O$304,Labor!$A$5:$A$304,A198)+SUMIFS(Crochet!$AG$5:$AG$84,Crochet!$A$5:$A$84,A198)+SUMIFS(Jewelry!$AI$5:$AI$84,Jewelry!$A$5:$A$84,A198)+SUMIFS(Candles!$AI$5:$AI$84,Candles!$A$5:$A$84,A198)+SUMIFS(Clothing!$AE$5:$AE$84,Clothing!$A$5:$A$84,A198)+SUMIFS(Woodworking!$AF$5:$AF$84,Woodworking!$A$5:$A$84,A198)+SUMIFS(Digital!$Z$5:$Z$84,Digital!$A$5:$A$84,A198),2))</f>
        <v>0</v>
      </c>
      <c r="V198" s="36">
        <f>IF(B198="","",ROUND(SUMIFS(Labor!$P$5:$P$304,Labor!$A$5:$A$304,A198)+SUMIFS(Crochet!$AE$5:$AE$84,Crochet!$A$5:$A$84,A198)+SUMIFS(Jewelry!$AG$5:$AG$84,Jewelry!$A$5:$A$84,A198)+SUMIFS(Candles!$AG$5:$AG$84,Candles!$A$5:$A$84,A198)+SUMIFS(Clothing!$AC$5:$AC$84,Clothing!$A$5:$A$84,A198)+SUMIFS(Woodworking!$AD$5:$AD$84,Woodworking!$A$5:$A$84,A198)+SUMIFS(Digital!$Y$5:$Y$84,Digital!$A$5:$A$84,A198),1))</f>
        <v>0</v>
      </c>
      <c r="W198" s="41">
        <f>IF(B198="","",IFERROR(INDEX(DiffTimeFactors,MATCH(G198,DiffNames,0)),1))</f>
        <v>0</v>
      </c>
      <c r="X198" s="36">
        <f>IF(B198="","",ROUND(V198*W198,1))</f>
        <v>0</v>
      </c>
      <c r="Y198" s="41">
        <f>IF(B198="","",ROUND(X198/60,3))</f>
        <v>0</v>
      </c>
      <c r="Z198" s="20">
        <f>IF(B198="","",ROUND(U198*W198,2))</f>
        <v>0</v>
      </c>
      <c r="AA198" s="20">
        <f>IF(B198="","",ROUND(SUMIFS(Labor!$Q$5:$Q$304,Labor!$A$5:$A$304,A198)+SUMIFS(Crochet!$AH$5:$AH$84,Crochet!$A$5:$A$84,A198)+SUMIFS(Jewelry!$AJ$5:$AJ$84,Jewelry!$A$5:$A$84,A198)+SUMIFS(Candles!$AJ$5:$AJ$84,Candles!$A$5:$A$84,A198)+SUMIFS(Clothing!$AF$5:$AF$84,Clothing!$A$5:$A$84,A198)+SUMIFS(Woodworking!$AH$5:$AH$84,Woodworking!$A$5:$A$84,A198)+SUMIFS(Digital!$AA$5:$AA$84,Digital!$A$5:$A$84,A198),2))</f>
        <v>0</v>
      </c>
      <c r="AB198" s="20">
        <f>IF(B198="","",ROUND(IF(I198="Budget",PackBudget,IF(I198="Standard",PackStandard,IF(I198="Gift",PackGift,IF(I198="Premium",PackPremium,DefaultPackaging)))),2))</f>
        <v>0</v>
      </c>
      <c r="AC198" s="36">
        <f>IF(B198="","",IF(I198="Budget",PackWeightBudget,IF(I198="Standard",PackWeightStandard,IF(I198="Gift",PackWeightGift,IF(I198="Premium",PackWeightPremium,0)))))</f>
        <v>0</v>
      </c>
      <c r="AD198" s="20">
        <f>IF(B198="","",IFERROR(INDEX(Shipping!$M$5:$M$64,MATCH(J198,Shipping!$L$5:$L$64,0)),DefaultShipping))</f>
        <v>0</v>
      </c>
      <c r="AE198" s="20">
        <f>IF(B198="","",IFERROR(INDEX(Shipping!$F$5:$F$64,MATCH(J198,Shipping!$L$5:$L$64,0)),0))</f>
        <v>0</v>
      </c>
      <c r="AF198" s="36">
        <f>IF(B198="","",IFERROR(INDEX(Shipping!$C$5:$C$64,MATCH(J198,Shipping!$L$5:$L$64,0)),""))</f>
        <v>0</v>
      </c>
      <c r="AG198" s="20">
        <f>IF(B198="","",ROUND(MAX(0,AD198-AE198),2))</f>
        <v>0</v>
      </c>
      <c r="AH198" s="20">
        <f>IF(B198="","",ROUND(T198+Z198+AA198+AB198+AG198,2))</f>
        <v>0</v>
      </c>
      <c r="AI198" s="33">
        <f>IF(B198="","",IFERROR(INDEX(Channels!$S$5:$S$18,MATCH(IF(H198="",DefaultChannel,H198),Channels!$A$5:$A$18,0)),0))</f>
        <v>0</v>
      </c>
      <c r="AJ198" s="42">
        <f>IF(B198="","",IFERROR(INDEX(Channels!$O$5:$O$18,MATCH(IF(H198="",DefaultChannel,H198),Channels!$A$5:$A$18,0)),"No"))</f>
        <v>0</v>
      </c>
      <c r="AK198" s="20">
        <f>IF(B198="","",ROUND(IFERROR(INDEX(Channels!$T$5:$T$18,MATCH(IF(H198="",DefaultChannel,H198),Channels!$A$5:$A$18,0)),0)+IF(AJ198="Yes",AE198*AI198,0),4))</f>
        <v>0</v>
      </c>
      <c r="AL198" s="33">
        <f>IF(B198="","",IF(OverheadMethod="Share of revenue",IF(RevenueTargetMonth&lt;=0,0,OverheadMonthly/RevenueTargetMonth),0))</f>
        <v>0</v>
      </c>
      <c r="AM198" s="20">
        <f>IF(B198="","",IF(OverheadMethod="Per hour worked",ROUND(OverheadPerHour*Y198,2),IF(OR(OverheadMethod="Per unit made",OverheadMethod="Per order"),OverheadPerUnit,0)))</f>
        <v>0</v>
      </c>
      <c r="AN198" s="33">
        <f>IF(B198="","",IF(N198&lt;&gt;"",N198,TargetRetailMargin))</f>
        <v>0</v>
      </c>
      <c r="AO198" s="41">
        <f>IF(B198="","",1-AN198-AI198-AL198)</f>
        <v>0</v>
      </c>
      <c r="AP198" s="20">
        <f>IF(B198="","",IF(AO198&lt;=0,"",(AH198+AM198+AK198)/AO198))</f>
        <v>0</v>
      </c>
      <c r="AQ198" s="20">
        <f>IF(B198="","",IF(AP198="","Check the settings",ROUND(IF(RoundingRule="None",AP198,IF(RoundingRule="Nearest 0.99",MAX(0.99,CEILING(AP198,1)-0.01),IF(RoundingRule="Nearest 0.95",MAX(0.95,CEILING(AP198,1)-0.05),IF(RoundingRule="Nearest 0.50",CEILING(AP198,0.5),IF(RoundingRule="Nearest 1",CEILING(AP198,1),IF(RoundingRule="Nearest 5",CEILING(AP198,5),IF(RoundingRule="Up to whole 1",CEILING(AP198,1),IF(RoundingRule="Up to whole 5",CEILING(AP198,5),ROUND(AP198,2))))))))),2)))</f>
        <v>0</v>
      </c>
      <c r="AR198" s="20">
        <f>IF(B198="","",IF(M198&lt;&gt;"",M198,IF(ISNUMBER(AQ198),AQ198,"")))</f>
        <v>0</v>
      </c>
      <c r="AS198" s="20">
        <f>IF(B198="","",IF(AR198="","",ROUND(AM198+AR198*AL198,2)))</f>
        <v>0</v>
      </c>
      <c r="AT198" s="20">
        <f>IF(B198="","",IF(AR198="","",ROUND(AH198+AS198,2)))</f>
        <v>0</v>
      </c>
      <c r="AU198" s="20">
        <f>IF(B198="","",IF(AR198="","",ROUND(AR198*AI198+AK198,2)))</f>
        <v>0</v>
      </c>
      <c r="AV198" s="20">
        <f>IF(B198="","",IF(AR198="","",ROUND(AR198-AT198-AU198,2)))</f>
        <v>0</v>
      </c>
      <c r="AW198" s="33">
        <f>IF(B198="","",IF(OR(AR198="",AR198=0),"",AV198/AR198))</f>
        <v>0</v>
      </c>
      <c r="AX198" s="33">
        <f>IF(B198="","",IF(OR(AT198="",AT198=0),"",AV198/AT198))</f>
        <v>0</v>
      </c>
      <c r="AY198" s="20">
        <f>IF(B198="","",IF(OR(Y198="",Y198=0,AV198=""),"",ROUND(AV198/Y198,2)))</f>
        <v>0</v>
      </c>
      <c r="AZ198" s="20">
        <f>IF(B198="","",IF(OR(Y198="",Y198=0,AV198=""),"",ROUND((AV198+Z198)/Y198,2)))</f>
        <v>0</v>
      </c>
      <c r="BA198" s="20">
        <f>IF(B198="","",IF(1-AI198-AL198&lt;=0,"",ROUND((AH198+AM198+AK198)/(1-AI198-AL198),2)))</f>
        <v>0</v>
      </c>
      <c r="BB198" s="20">
        <f>IF(B198="","",IF(AT198="","",ROUND(AT198*2,2)))</f>
        <v>0</v>
      </c>
      <c r="BC198" s="20">
        <f>IF(B198="","",IF(AR198="","",ROUND(AR198*(1-WholesaleDiscount),2)))</f>
        <v>0</v>
      </c>
      <c r="BD198" s="20">
        <f>IF(B198="","",IF(BC198="","",ROUND(BC198-AH198-AM198,2)))</f>
        <v>0</v>
      </c>
      <c r="BE198" s="33">
        <f>IF(B198="","",IF(OR(BC198="",BC198=0),"",BD198/BC198))</f>
        <v>0</v>
      </c>
      <c r="BF198" s="20">
        <f>IF(B198="","",IFERROR(ROUND(AVERAGEIFS(Competitors!$F$5:$F$154,Competitors!$A$5:$A$154,A198),2),""))</f>
        <v>0</v>
      </c>
      <c r="BG198" s="33">
        <f>IF(B198="","",IF(OR(BF198="",BF198=0,AR198=""),"",AR198/BF198-1))</f>
        <v>0</v>
      </c>
      <c r="BH198" s="32">
        <f>IF(B198="","",SUMIFS(Sales!$D$5:$D$804,Sales!$C$5:$C$804,A198))</f>
        <v>0</v>
      </c>
      <c r="BI198" s="20">
        <f>IF(B198="","",ROUND(SUMIFS(Sales!$V$5:$V$804,Sales!$C$5:$C$804,A198),2))</f>
        <v>0</v>
      </c>
      <c r="BJ198" s="20">
        <f>IF(B198="","",ROUND(SUMIFS(Sales!$AG$5:$AG$804,Sales!$C$5:$C$804,A198),2))</f>
        <v>0</v>
      </c>
      <c r="BK198" s="33">
        <f>IF(B198="","",IF(OR(BI198="",BI198=0),"",BJ198/BI198))</f>
        <v>0</v>
      </c>
      <c r="BL198" s="17">
        <f>IF(B198="","",IF(SUMPRODUCT(MAX((Sales!$C$5:$C$804=A198)*Sales!$B$5:$B$804))=0,"",SUMPRODUCT(MAX((Sales!$C$5:$C$804=A198)*Sales!$B$5:$B$804))))</f>
        <v>0</v>
      </c>
      <c r="BM198" s="17">
        <f>IF(B198="","",IF(SUMPRODUCT(MAX(('Price History'!$B$5:$B$304=A198)*'Price History'!$A$5:$A$304))=0,IF(P198="","",P198),SUMPRODUCT(MAX(('Price History'!$B$5:$B$304=A198)*'Price History'!$A$5:$A$304))))</f>
        <v>0</v>
      </c>
      <c r="BN198" s="32">
        <f>IF(B198="","",IF(BM198="","",TodayDate-BM198))</f>
        <v>0</v>
      </c>
      <c r="BO198" s="32">
        <f>IF(B198="","",COUNTIFS($AV$5:$AV$304,"&gt;"&amp;AV198)+COUNTIFS($AV$5:AV198,AV198))</f>
        <v>0</v>
      </c>
      <c r="BP198" s="32">
        <f>IF(B198="","",COUNTIFS($AW$5:$AW$304,"&gt;"&amp;AW198)+COUNTIFS($AW$5:AW198,AW198))</f>
        <v>0</v>
      </c>
      <c r="BQ198" s="32">
        <f>IF(B198="","",COUNTIFS($BI$5:$BI$304,"&gt;"&amp;BI198)+COUNTIFS($BI$5:BI198,BI198))</f>
        <v>0</v>
      </c>
      <c r="BR198" s="32">
        <f>IF(B198="","",COUNTIFS($AY$5:$AY$304,"&gt;"&amp;AY198)+COUNTIFS($AY$5:AY198,AY198))</f>
        <v>0</v>
      </c>
      <c r="BS198" s="43">
        <f>IF(B198="","",IF(AH198=0,"Add - no costs entered yet",IF(AR198="","Check - no price yet",IF(AV198&lt;0,"Loss - every sale costs you money",IF(AND(AZ198&lt;&gt;"",AZ198&lt;MinimumWage),"Below - pays under minimum wage",IF(AW198&lt;MarginWarning,"Low margin - re-price it",IF(AND(AF198&lt;&gt;"",K198&lt;&gt;"",K198+AC198&gt;AF198),"Check - too heavy for that postage band",IF(AND(BN198&lt;&gt;"",BN198&gt;PriceReviewDays),"Due - price has not been reviewed",IF(AND(BG198&lt;&gt;"",BG198&gt;0.5),"Check - well above the market","OK")))))))) )</f>
        <v>0</v>
      </c>
    </row>
    <row r="199" spans="1:71">
      <c r="A199" s="38">
        <f>IF(B199="","",ProductPrefix&amp;TEXT(ROW()-4,"0000"))</f>
        <v>0</v>
      </c>
      <c r="S199" s="38">
        <f>IF(B199="","",IF(C199&lt;&gt;"",C199,UPPER(LEFT(IF(D199="","GEN",D199),3))&amp;"-"&amp;TEXT(ROW()-4,"000")))</f>
        <v>0</v>
      </c>
      <c r="T199" s="20">
        <f>IF(B199="","",ROUND(SUMIFS('Material Usage'!$M$5:$M$904,'Material Usage'!$A$5:$A$904,A199)+SUMIFS(Crochet!$AD$5:$AD$84,Crochet!$A$5:$A$84,A199)+SUMIFS(Jewelry!$AF$5:$AF$84,Jewelry!$A$5:$A$84,A199)+SUMIFS(Candles!$AF$5:$AF$84,Candles!$A$5:$A$84,A199)+SUMIFS(Clothing!$AB$5:$AB$84,Clothing!$A$5:$A$84,A199)+SUMIFS(Woodworking!$AC$5:$AC$84,Woodworking!$A$5:$A$84,A199)+SUMIFS(Digital!$X$5:$X$84,Digital!$A$5:$A$84,A199),2))</f>
        <v>0</v>
      </c>
      <c r="U199" s="20">
        <f>IF(B199="","",ROUND(SUMIFS(Labor!$O$5:$O$304,Labor!$A$5:$A$304,A199)+SUMIFS(Crochet!$AG$5:$AG$84,Crochet!$A$5:$A$84,A199)+SUMIFS(Jewelry!$AI$5:$AI$84,Jewelry!$A$5:$A$84,A199)+SUMIFS(Candles!$AI$5:$AI$84,Candles!$A$5:$A$84,A199)+SUMIFS(Clothing!$AE$5:$AE$84,Clothing!$A$5:$A$84,A199)+SUMIFS(Woodworking!$AF$5:$AF$84,Woodworking!$A$5:$A$84,A199)+SUMIFS(Digital!$Z$5:$Z$84,Digital!$A$5:$A$84,A199),2))</f>
        <v>0</v>
      </c>
      <c r="V199" s="36">
        <f>IF(B199="","",ROUND(SUMIFS(Labor!$P$5:$P$304,Labor!$A$5:$A$304,A199)+SUMIFS(Crochet!$AE$5:$AE$84,Crochet!$A$5:$A$84,A199)+SUMIFS(Jewelry!$AG$5:$AG$84,Jewelry!$A$5:$A$84,A199)+SUMIFS(Candles!$AG$5:$AG$84,Candles!$A$5:$A$84,A199)+SUMIFS(Clothing!$AC$5:$AC$84,Clothing!$A$5:$A$84,A199)+SUMIFS(Woodworking!$AD$5:$AD$84,Woodworking!$A$5:$A$84,A199)+SUMIFS(Digital!$Y$5:$Y$84,Digital!$A$5:$A$84,A199),1))</f>
        <v>0</v>
      </c>
      <c r="W199" s="41">
        <f>IF(B199="","",IFERROR(INDEX(DiffTimeFactors,MATCH(G199,DiffNames,0)),1))</f>
        <v>0</v>
      </c>
      <c r="X199" s="36">
        <f>IF(B199="","",ROUND(V199*W199,1))</f>
        <v>0</v>
      </c>
      <c r="Y199" s="41">
        <f>IF(B199="","",ROUND(X199/60,3))</f>
        <v>0</v>
      </c>
      <c r="Z199" s="20">
        <f>IF(B199="","",ROUND(U199*W199,2))</f>
        <v>0</v>
      </c>
      <c r="AA199" s="20">
        <f>IF(B199="","",ROUND(SUMIFS(Labor!$Q$5:$Q$304,Labor!$A$5:$A$304,A199)+SUMIFS(Crochet!$AH$5:$AH$84,Crochet!$A$5:$A$84,A199)+SUMIFS(Jewelry!$AJ$5:$AJ$84,Jewelry!$A$5:$A$84,A199)+SUMIFS(Candles!$AJ$5:$AJ$84,Candles!$A$5:$A$84,A199)+SUMIFS(Clothing!$AF$5:$AF$84,Clothing!$A$5:$A$84,A199)+SUMIFS(Woodworking!$AH$5:$AH$84,Woodworking!$A$5:$A$84,A199)+SUMIFS(Digital!$AA$5:$AA$84,Digital!$A$5:$A$84,A199),2))</f>
        <v>0</v>
      </c>
      <c r="AB199" s="20">
        <f>IF(B199="","",ROUND(IF(I199="Budget",PackBudget,IF(I199="Standard",PackStandard,IF(I199="Gift",PackGift,IF(I199="Premium",PackPremium,DefaultPackaging)))),2))</f>
        <v>0</v>
      </c>
      <c r="AC199" s="36">
        <f>IF(B199="","",IF(I199="Budget",PackWeightBudget,IF(I199="Standard",PackWeightStandard,IF(I199="Gift",PackWeightGift,IF(I199="Premium",PackWeightPremium,0)))))</f>
        <v>0</v>
      </c>
      <c r="AD199" s="20">
        <f>IF(B199="","",IFERROR(INDEX(Shipping!$M$5:$M$64,MATCH(J199,Shipping!$L$5:$L$64,0)),DefaultShipping))</f>
        <v>0</v>
      </c>
      <c r="AE199" s="20">
        <f>IF(B199="","",IFERROR(INDEX(Shipping!$F$5:$F$64,MATCH(J199,Shipping!$L$5:$L$64,0)),0))</f>
        <v>0</v>
      </c>
      <c r="AF199" s="36">
        <f>IF(B199="","",IFERROR(INDEX(Shipping!$C$5:$C$64,MATCH(J199,Shipping!$L$5:$L$64,0)),""))</f>
        <v>0</v>
      </c>
      <c r="AG199" s="20">
        <f>IF(B199="","",ROUND(MAX(0,AD199-AE199),2))</f>
        <v>0</v>
      </c>
      <c r="AH199" s="20">
        <f>IF(B199="","",ROUND(T199+Z199+AA199+AB199+AG199,2))</f>
        <v>0</v>
      </c>
      <c r="AI199" s="33">
        <f>IF(B199="","",IFERROR(INDEX(Channels!$S$5:$S$18,MATCH(IF(H199="",DefaultChannel,H199),Channels!$A$5:$A$18,0)),0))</f>
        <v>0</v>
      </c>
      <c r="AJ199" s="42">
        <f>IF(B199="","",IFERROR(INDEX(Channels!$O$5:$O$18,MATCH(IF(H199="",DefaultChannel,H199),Channels!$A$5:$A$18,0)),"No"))</f>
        <v>0</v>
      </c>
      <c r="AK199" s="20">
        <f>IF(B199="","",ROUND(IFERROR(INDEX(Channels!$T$5:$T$18,MATCH(IF(H199="",DefaultChannel,H199),Channels!$A$5:$A$18,0)),0)+IF(AJ199="Yes",AE199*AI199,0),4))</f>
        <v>0</v>
      </c>
      <c r="AL199" s="33">
        <f>IF(B199="","",IF(OverheadMethod="Share of revenue",IF(RevenueTargetMonth&lt;=0,0,OverheadMonthly/RevenueTargetMonth),0))</f>
        <v>0</v>
      </c>
      <c r="AM199" s="20">
        <f>IF(B199="","",IF(OverheadMethod="Per hour worked",ROUND(OverheadPerHour*Y199,2),IF(OR(OverheadMethod="Per unit made",OverheadMethod="Per order"),OverheadPerUnit,0)))</f>
        <v>0</v>
      </c>
      <c r="AN199" s="33">
        <f>IF(B199="","",IF(N199&lt;&gt;"",N199,TargetRetailMargin))</f>
        <v>0</v>
      </c>
      <c r="AO199" s="41">
        <f>IF(B199="","",1-AN199-AI199-AL199)</f>
        <v>0</v>
      </c>
      <c r="AP199" s="20">
        <f>IF(B199="","",IF(AO199&lt;=0,"",(AH199+AM199+AK199)/AO199))</f>
        <v>0</v>
      </c>
      <c r="AQ199" s="20">
        <f>IF(B199="","",IF(AP199="","Check the settings",ROUND(IF(RoundingRule="None",AP199,IF(RoundingRule="Nearest 0.99",MAX(0.99,CEILING(AP199,1)-0.01),IF(RoundingRule="Nearest 0.95",MAX(0.95,CEILING(AP199,1)-0.05),IF(RoundingRule="Nearest 0.50",CEILING(AP199,0.5),IF(RoundingRule="Nearest 1",CEILING(AP199,1),IF(RoundingRule="Nearest 5",CEILING(AP199,5),IF(RoundingRule="Up to whole 1",CEILING(AP199,1),IF(RoundingRule="Up to whole 5",CEILING(AP199,5),ROUND(AP199,2))))))))),2)))</f>
        <v>0</v>
      </c>
      <c r="AR199" s="20">
        <f>IF(B199="","",IF(M199&lt;&gt;"",M199,IF(ISNUMBER(AQ199),AQ199,"")))</f>
        <v>0</v>
      </c>
      <c r="AS199" s="20">
        <f>IF(B199="","",IF(AR199="","",ROUND(AM199+AR199*AL199,2)))</f>
        <v>0</v>
      </c>
      <c r="AT199" s="20">
        <f>IF(B199="","",IF(AR199="","",ROUND(AH199+AS199,2)))</f>
        <v>0</v>
      </c>
      <c r="AU199" s="20">
        <f>IF(B199="","",IF(AR199="","",ROUND(AR199*AI199+AK199,2)))</f>
        <v>0</v>
      </c>
      <c r="AV199" s="20">
        <f>IF(B199="","",IF(AR199="","",ROUND(AR199-AT199-AU199,2)))</f>
        <v>0</v>
      </c>
      <c r="AW199" s="33">
        <f>IF(B199="","",IF(OR(AR199="",AR199=0),"",AV199/AR199))</f>
        <v>0</v>
      </c>
      <c r="AX199" s="33">
        <f>IF(B199="","",IF(OR(AT199="",AT199=0),"",AV199/AT199))</f>
        <v>0</v>
      </c>
      <c r="AY199" s="20">
        <f>IF(B199="","",IF(OR(Y199="",Y199=0,AV199=""),"",ROUND(AV199/Y199,2)))</f>
        <v>0</v>
      </c>
      <c r="AZ199" s="20">
        <f>IF(B199="","",IF(OR(Y199="",Y199=0,AV199=""),"",ROUND((AV199+Z199)/Y199,2)))</f>
        <v>0</v>
      </c>
      <c r="BA199" s="20">
        <f>IF(B199="","",IF(1-AI199-AL199&lt;=0,"",ROUND((AH199+AM199+AK199)/(1-AI199-AL199),2)))</f>
        <v>0</v>
      </c>
      <c r="BB199" s="20">
        <f>IF(B199="","",IF(AT199="","",ROUND(AT199*2,2)))</f>
        <v>0</v>
      </c>
      <c r="BC199" s="20">
        <f>IF(B199="","",IF(AR199="","",ROUND(AR199*(1-WholesaleDiscount),2)))</f>
        <v>0</v>
      </c>
      <c r="BD199" s="20">
        <f>IF(B199="","",IF(BC199="","",ROUND(BC199-AH199-AM199,2)))</f>
        <v>0</v>
      </c>
      <c r="BE199" s="33">
        <f>IF(B199="","",IF(OR(BC199="",BC199=0),"",BD199/BC199))</f>
        <v>0</v>
      </c>
      <c r="BF199" s="20">
        <f>IF(B199="","",IFERROR(ROUND(AVERAGEIFS(Competitors!$F$5:$F$154,Competitors!$A$5:$A$154,A199),2),""))</f>
        <v>0</v>
      </c>
      <c r="BG199" s="33">
        <f>IF(B199="","",IF(OR(BF199="",BF199=0,AR199=""),"",AR199/BF199-1))</f>
        <v>0</v>
      </c>
      <c r="BH199" s="32">
        <f>IF(B199="","",SUMIFS(Sales!$D$5:$D$804,Sales!$C$5:$C$804,A199))</f>
        <v>0</v>
      </c>
      <c r="BI199" s="20">
        <f>IF(B199="","",ROUND(SUMIFS(Sales!$V$5:$V$804,Sales!$C$5:$C$804,A199),2))</f>
        <v>0</v>
      </c>
      <c r="BJ199" s="20">
        <f>IF(B199="","",ROUND(SUMIFS(Sales!$AG$5:$AG$804,Sales!$C$5:$C$804,A199),2))</f>
        <v>0</v>
      </c>
      <c r="BK199" s="33">
        <f>IF(B199="","",IF(OR(BI199="",BI199=0),"",BJ199/BI199))</f>
        <v>0</v>
      </c>
      <c r="BL199" s="17">
        <f>IF(B199="","",IF(SUMPRODUCT(MAX((Sales!$C$5:$C$804=A199)*Sales!$B$5:$B$804))=0,"",SUMPRODUCT(MAX((Sales!$C$5:$C$804=A199)*Sales!$B$5:$B$804))))</f>
        <v>0</v>
      </c>
      <c r="BM199" s="17">
        <f>IF(B199="","",IF(SUMPRODUCT(MAX(('Price History'!$B$5:$B$304=A199)*'Price History'!$A$5:$A$304))=0,IF(P199="","",P199),SUMPRODUCT(MAX(('Price History'!$B$5:$B$304=A199)*'Price History'!$A$5:$A$304))))</f>
        <v>0</v>
      </c>
      <c r="BN199" s="32">
        <f>IF(B199="","",IF(BM199="","",TodayDate-BM199))</f>
        <v>0</v>
      </c>
      <c r="BO199" s="32">
        <f>IF(B199="","",COUNTIFS($AV$5:$AV$304,"&gt;"&amp;AV199)+COUNTIFS($AV$5:AV199,AV199))</f>
        <v>0</v>
      </c>
      <c r="BP199" s="32">
        <f>IF(B199="","",COUNTIFS($AW$5:$AW$304,"&gt;"&amp;AW199)+COUNTIFS($AW$5:AW199,AW199))</f>
        <v>0</v>
      </c>
      <c r="BQ199" s="32">
        <f>IF(B199="","",COUNTIFS($BI$5:$BI$304,"&gt;"&amp;BI199)+COUNTIFS($BI$5:BI199,BI199))</f>
        <v>0</v>
      </c>
      <c r="BR199" s="32">
        <f>IF(B199="","",COUNTIFS($AY$5:$AY$304,"&gt;"&amp;AY199)+COUNTIFS($AY$5:AY199,AY199))</f>
        <v>0</v>
      </c>
      <c r="BS199" s="43">
        <f>IF(B199="","",IF(AH199=0,"Add - no costs entered yet",IF(AR199="","Check - no price yet",IF(AV199&lt;0,"Loss - every sale costs you money",IF(AND(AZ199&lt;&gt;"",AZ199&lt;MinimumWage),"Below - pays under minimum wage",IF(AW199&lt;MarginWarning,"Low margin - re-price it",IF(AND(AF199&lt;&gt;"",K199&lt;&gt;"",K199+AC199&gt;AF199),"Check - too heavy for that postage band",IF(AND(BN199&lt;&gt;"",BN199&gt;PriceReviewDays),"Due - price has not been reviewed",IF(AND(BG199&lt;&gt;"",BG199&gt;0.5),"Check - well above the market","OK")))))))) )</f>
        <v>0</v>
      </c>
    </row>
    <row r="200" spans="1:71">
      <c r="A200" s="38">
        <f>IF(B200="","",ProductPrefix&amp;TEXT(ROW()-4,"0000"))</f>
        <v>0</v>
      </c>
      <c r="S200" s="38">
        <f>IF(B200="","",IF(C200&lt;&gt;"",C200,UPPER(LEFT(IF(D200="","GEN",D200),3))&amp;"-"&amp;TEXT(ROW()-4,"000")))</f>
        <v>0</v>
      </c>
      <c r="T200" s="20">
        <f>IF(B200="","",ROUND(SUMIFS('Material Usage'!$M$5:$M$904,'Material Usage'!$A$5:$A$904,A200)+SUMIFS(Crochet!$AD$5:$AD$84,Crochet!$A$5:$A$84,A200)+SUMIFS(Jewelry!$AF$5:$AF$84,Jewelry!$A$5:$A$84,A200)+SUMIFS(Candles!$AF$5:$AF$84,Candles!$A$5:$A$84,A200)+SUMIFS(Clothing!$AB$5:$AB$84,Clothing!$A$5:$A$84,A200)+SUMIFS(Woodworking!$AC$5:$AC$84,Woodworking!$A$5:$A$84,A200)+SUMIFS(Digital!$X$5:$X$84,Digital!$A$5:$A$84,A200),2))</f>
        <v>0</v>
      </c>
      <c r="U200" s="20">
        <f>IF(B200="","",ROUND(SUMIFS(Labor!$O$5:$O$304,Labor!$A$5:$A$304,A200)+SUMIFS(Crochet!$AG$5:$AG$84,Crochet!$A$5:$A$84,A200)+SUMIFS(Jewelry!$AI$5:$AI$84,Jewelry!$A$5:$A$84,A200)+SUMIFS(Candles!$AI$5:$AI$84,Candles!$A$5:$A$84,A200)+SUMIFS(Clothing!$AE$5:$AE$84,Clothing!$A$5:$A$84,A200)+SUMIFS(Woodworking!$AF$5:$AF$84,Woodworking!$A$5:$A$84,A200)+SUMIFS(Digital!$Z$5:$Z$84,Digital!$A$5:$A$84,A200),2))</f>
        <v>0</v>
      </c>
      <c r="V200" s="36">
        <f>IF(B200="","",ROUND(SUMIFS(Labor!$P$5:$P$304,Labor!$A$5:$A$304,A200)+SUMIFS(Crochet!$AE$5:$AE$84,Crochet!$A$5:$A$84,A200)+SUMIFS(Jewelry!$AG$5:$AG$84,Jewelry!$A$5:$A$84,A200)+SUMIFS(Candles!$AG$5:$AG$84,Candles!$A$5:$A$84,A200)+SUMIFS(Clothing!$AC$5:$AC$84,Clothing!$A$5:$A$84,A200)+SUMIFS(Woodworking!$AD$5:$AD$84,Woodworking!$A$5:$A$84,A200)+SUMIFS(Digital!$Y$5:$Y$84,Digital!$A$5:$A$84,A200),1))</f>
        <v>0</v>
      </c>
      <c r="W200" s="41">
        <f>IF(B200="","",IFERROR(INDEX(DiffTimeFactors,MATCH(G200,DiffNames,0)),1))</f>
        <v>0</v>
      </c>
      <c r="X200" s="36">
        <f>IF(B200="","",ROUND(V200*W200,1))</f>
        <v>0</v>
      </c>
      <c r="Y200" s="41">
        <f>IF(B200="","",ROUND(X200/60,3))</f>
        <v>0</v>
      </c>
      <c r="Z200" s="20">
        <f>IF(B200="","",ROUND(U200*W200,2))</f>
        <v>0</v>
      </c>
      <c r="AA200" s="20">
        <f>IF(B200="","",ROUND(SUMIFS(Labor!$Q$5:$Q$304,Labor!$A$5:$A$304,A200)+SUMIFS(Crochet!$AH$5:$AH$84,Crochet!$A$5:$A$84,A200)+SUMIFS(Jewelry!$AJ$5:$AJ$84,Jewelry!$A$5:$A$84,A200)+SUMIFS(Candles!$AJ$5:$AJ$84,Candles!$A$5:$A$84,A200)+SUMIFS(Clothing!$AF$5:$AF$84,Clothing!$A$5:$A$84,A200)+SUMIFS(Woodworking!$AH$5:$AH$84,Woodworking!$A$5:$A$84,A200)+SUMIFS(Digital!$AA$5:$AA$84,Digital!$A$5:$A$84,A200),2))</f>
        <v>0</v>
      </c>
      <c r="AB200" s="20">
        <f>IF(B200="","",ROUND(IF(I200="Budget",PackBudget,IF(I200="Standard",PackStandard,IF(I200="Gift",PackGift,IF(I200="Premium",PackPremium,DefaultPackaging)))),2))</f>
        <v>0</v>
      </c>
      <c r="AC200" s="36">
        <f>IF(B200="","",IF(I200="Budget",PackWeightBudget,IF(I200="Standard",PackWeightStandard,IF(I200="Gift",PackWeightGift,IF(I200="Premium",PackWeightPremium,0)))))</f>
        <v>0</v>
      </c>
      <c r="AD200" s="20">
        <f>IF(B200="","",IFERROR(INDEX(Shipping!$M$5:$M$64,MATCH(J200,Shipping!$L$5:$L$64,0)),DefaultShipping))</f>
        <v>0</v>
      </c>
      <c r="AE200" s="20">
        <f>IF(B200="","",IFERROR(INDEX(Shipping!$F$5:$F$64,MATCH(J200,Shipping!$L$5:$L$64,0)),0))</f>
        <v>0</v>
      </c>
      <c r="AF200" s="36">
        <f>IF(B200="","",IFERROR(INDEX(Shipping!$C$5:$C$64,MATCH(J200,Shipping!$L$5:$L$64,0)),""))</f>
        <v>0</v>
      </c>
      <c r="AG200" s="20">
        <f>IF(B200="","",ROUND(MAX(0,AD200-AE200),2))</f>
        <v>0</v>
      </c>
      <c r="AH200" s="20">
        <f>IF(B200="","",ROUND(T200+Z200+AA200+AB200+AG200,2))</f>
        <v>0</v>
      </c>
      <c r="AI200" s="33">
        <f>IF(B200="","",IFERROR(INDEX(Channels!$S$5:$S$18,MATCH(IF(H200="",DefaultChannel,H200),Channels!$A$5:$A$18,0)),0))</f>
        <v>0</v>
      </c>
      <c r="AJ200" s="42">
        <f>IF(B200="","",IFERROR(INDEX(Channels!$O$5:$O$18,MATCH(IF(H200="",DefaultChannel,H200),Channels!$A$5:$A$18,0)),"No"))</f>
        <v>0</v>
      </c>
      <c r="AK200" s="20">
        <f>IF(B200="","",ROUND(IFERROR(INDEX(Channels!$T$5:$T$18,MATCH(IF(H200="",DefaultChannel,H200),Channels!$A$5:$A$18,0)),0)+IF(AJ200="Yes",AE200*AI200,0),4))</f>
        <v>0</v>
      </c>
      <c r="AL200" s="33">
        <f>IF(B200="","",IF(OverheadMethod="Share of revenue",IF(RevenueTargetMonth&lt;=0,0,OverheadMonthly/RevenueTargetMonth),0))</f>
        <v>0</v>
      </c>
      <c r="AM200" s="20">
        <f>IF(B200="","",IF(OverheadMethod="Per hour worked",ROUND(OverheadPerHour*Y200,2),IF(OR(OverheadMethod="Per unit made",OverheadMethod="Per order"),OverheadPerUnit,0)))</f>
        <v>0</v>
      </c>
      <c r="AN200" s="33">
        <f>IF(B200="","",IF(N200&lt;&gt;"",N200,TargetRetailMargin))</f>
        <v>0</v>
      </c>
      <c r="AO200" s="41">
        <f>IF(B200="","",1-AN200-AI200-AL200)</f>
        <v>0</v>
      </c>
      <c r="AP200" s="20">
        <f>IF(B200="","",IF(AO200&lt;=0,"",(AH200+AM200+AK200)/AO200))</f>
        <v>0</v>
      </c>
      <c r="AQ200" s="20">
        <f>IF(B200="","",IF(AP200="","Check the settings",ROUND(IF(RoundingRule="None",AP200,IF(RoundingRule="Nearest 0.99",MAX(0.99,CEILING(AP200,1)-0.01),IF(RoundingRule="Nearest 0.95",MAX(0.95,CEILING(AP200,1)-0.05),IF(RoundingRule="Nearest 0.50",CEILING(AP200,0.5),IF(RoundingRule="Nearest 1",CEILING(AP200,1),IF(RoundingRule="Nearest 5",CEILING(AP200,5),IF(RoundingRule="Up to whole 1",CEILING(AP200,1),IF(RoundingRule="Up to whole 5",CEILING(AP200,5),ROUND(AP200,2))))))))),2)))</f>
        <v>0</v>
      </c>
      <c r="AR200" s="20">
        <f>IF(B200="","",IF(M200&lt;&gt;"",M200,IF(ISNUMBER(AQ200),AQ200,"")))</f>
        <v>0</v>
      </c>
      <c r="AS200" s="20">
        <f>IF(B200="","",IF(AR200="","",ROUND(AM200+AR200*AL200,2)))</f>
        <v>0</v>
      </c>
      <c r="AT200" s="20">
        <f>IF(B200="","",IF(AR200="","",ROUND(AH200+AS200,2)))</f>
        <v>0</v>
      </c>
      <c r="AU200" s="20">
        <f>IF(B200="","",IF(AR200="","",ROUND(AR200*AI200+AK200,2)))</f>
        <v>0</v>
      </c>
      <c r="AV200" s="20">
        <f>IF(B200="","",IF(AR200="","",ROUND(AR200-AT200-AU200,2)))</f>
        <v>0</v>
      </c>
      <c r="AW200" s="33">
        <f>IF(B200="","",IF(OR(AR200="",AR200=0),"",AV200/AR200))</f>
        <v>0</v>
      </c>
      <c r="AX200" s="33">
        <f>IF(B200="","",IF(OR(AT200="",AT200=0),"",AV200/AT200))</f>
        <v>0</v>
      </c>
      <c r="AY200" s="20">
        <f>IF(B200="","",IF(OR(Y200="",Y200=0,AV200=""),"",ROUND(AV200/Y200,2)))</f>
        <v>0</v>
      </c>
      <c r="AZ200" s="20">
        <f>IF(B200="","",IF(OR(Y200="",Y200=0,AV200=""),"",ROUND((AV200+Z200)/Y200,2)))</f>
        <v>0</v>
      </c>
      <c r="BA200" s="20">
        <f>IF(B200="","",IF(1-AI200-AL200&lt;=0,"",ROUND((AH200+AM200+AK200)/(1-AI200-AL200),2)))</f>
        <v>0</v>
      </c>
      <c r="BB200" s="20">
        <f>IF(B200="","",IF(AT200="","",ROUND(AT200*2,2)))</f>
        <v>0</v>
      </c>
      <c r="BC200" s="20">
        <f>IF(B200="","",IF(AR200="","",ROUND(AR200*(1-WholesaleDiscount),2)))</f>
        <v>0</v>
      </c>
      <c r="BD200" s="20">
        <f>IF(B200="","",IF(BC200="","",ROUND(BC200-AH200-AM200,2)))</f>
        <v>0</v>
      </c>
      <c r="BE200" s="33">
        <f>IF(B200="","",IF(OR(BC200="",BC200=0),"",BD200/BC200))</f>
        <v>0</v>
      </c>
      <c r="BF200" s="20">
        <f>IF(B200="","",IFERROR(ROUND(AVERAGEIFS(Competitors!$F$5:$F$154,Competitors!$A$5:$A$154,A200),2),""))</f>
        <v>0</v>
      </c>
      <c r="BG200" s="33">
        <f>IF(B200="","",IF(OR(BF200="",BF200=0,AR200=""),"",AR200/BF200-1))</f>
        <v>0</v>
      </c>
      <c r="BH200" s="32">
        <f>IF(B200="","",SUMIFS(Sales!$D$5:$D$804,Sales!$C$5:$C$804,A200))</f>
        <v>0</v>
      </c>
      <c r="BI200" s="20">
        <f>IF(B200="","",ROUND(SUMIFS(Sales!$V$5:$V$804,Sales!$C$5:$C$804,A200),2))</f>
        <v>0</v>
      </c>
      <c r="BJ200" s="20">
        <f>IF(B200="","",ROUND(SUMIFS(Sales!$AG$5:$AG$804,Sales!$C$5:$C$804,A200),2))</f>
        <v>0</v>
      </c>
      <c r="BK200" s="33">
        <f>IF(B200="","",IF(OR(BI200="",BI200=0),"",BJ200/BI200))</f>
        <v>0</v>
      </c>
      <c r="BL200" s="17">
        <f>IF(B200="","",IF(SUMPRODUCT(MAX((Sales!$C$5:$C$804=A200)*Sales!$B$5:$B$804))=0,"",SUMPRODUCT(MAX((Sales!$C$5:$C$804=A200)*Sales!$B$5:$B$804))))</f>
        <v>0</v>
      </c>
      <c r="BM200" s="17">
        <f>IF(B200="","",IF(SUMPRODUCT(MAX(('Price History'!$B$5:$B$304=A200)*'Price History'!$A$5:$A$304))=0,IF(P200="","",P200),SUMPRODUCT(MAX(('Price History'!$B$5:$B$304=A200)*'Price History'!$A$5:$A$304))))</f>
        <v>0</v>
      </c>
      <c r="BN200" s="32">
        <f>IF(B200="","",IF(BM200="","",TodayDate-BM200))</f>
        <v>0</v>
      </c>
      <c r="BO200" s="32">
        <f>IF(B200="","",COUNTIFS($AV$5:$AV$304,"&gt;"&amp;AV200)+COUNTIFS($AV$5:AV200,AV200))</f>
        <v>0</v>
      </c>
      <c r="BP200" s="32">
        <f>IF(B200="","",COUNTIFS($AW$5:$AW$304,"&gt;"&amp;AW200)+COUNTIFS($AW$5:AW200,AW200))</f>
        <v>0</v>
      </c>
      <c r="BQ200" s="32">
        <f>IF(B200="","",COUNTIFS($BI$5:$BI$304,"&gt;"&amp;BI200)+COUNTIFS($BI$5:BI200,BI200))</f>
        <v>0</v>
      </c>
      <c r="BR200" s="32">
        <f>IF(B200="","",COUNTIFS($AY$5:$AY$304,"&gt;"&amp;AY200)+COUNTIFS($AY$5:AY200,AY200))</f>
        <v>0</v>
      </c>
      <c r="BS200" s="43">
        <f>IF(B200="","",IF(AH200=0,"Add - no costs entered yet",IF(AR200="","Check - no price yet",IF(AV200&lt;0,"Loss - every sale costs you money",IF(AND(AZ200&lt;&gt;"",AZ200&lt;MinimumWage),"Below - pays under minimum wage",IF(AW200&lt;MarginWarning,"Low margin - re-price it",IF(AND(AF200&lt;&gt;"",K200&lt;&gt;"",K200+AC200&gt;AF200),"Check - too heavy for that postage band",IF(AND(BN200&lt;&gt;"",BN200&gt;PriceReviewDays),"Due - price has not been reviewed",IF(AND(BG200&lt;&gt;"",BG200&gt;0.5),"Check - well above the market","OK")))))))) )</f>
        <v>0</v>
      </c>
    </row>
    <row r="201" spans="1:71">
      <c r="A201" s="38">
        <f>IF(B201="","",ProductPrefix&amp;TEXT(ROW()-4,"0000"))</f>
        <v>0</v>
      </c>
      <c r="S201" s="38">
        <f>IF(B201="","",IF(C201&lt;&gt;"",C201,UPPER(LEFT(IF(D201="","GEN",D201),3))&amp;"-"&amp;TEXT(ROW()-4,"000")))</f>
        <v>0</v>
      </c>
      <c r="T201" s="20">
        <f>IF(B201="","",ROUND(SUMIFS('Material Usage'!$M$5:$M$904,'Material Usage'!$A$5:$A$904,A201)+SUMIFS(Crochet!$AD$5:$AD$84,Crochet!$A$5:$A$84,A201)+SUMIFS(Jewelry!$AF$5:$AF$84,Jewelry!$A$5:$A$84,A201)+SUMIFS(Candles!$AF$5:$AF$84,Candles!$A$5:$A$84,A201)+SUMIFS(Clothing!$AB$5:$AB$84,Clothing!$A$5:$A$84,A201)+SUMIFS(Woodworking!$AC$5:$AC$84,Woodworking!$A$5:$A$84,A201)+SUMIFS(Digital!$X$5:$X$84,Digital!$A$5:$A$84,A201),2))</f>
        <v>0</v>
      </c>
      <c r="U201" s="20">
        <f>IF(B201="","",ROUND(SUMIFS(Labor!$O$5:$O$304,Labor!$A$5:$A$304,A201)+SUMIFS(Crochet!$AG$5:$AG$84,Crochet!$A$5:$A$84,A201)+SUMIFS(Jewelry!$AI$5:$AI$84,Jewelry!$A$5:$A$84,A201)+SUMIFS(Candles!$AI$5:$AI$84,Candles!$A$5:$A$84,A201)+SUMIFS(Clothing!$AE$5:$AE$84,Clothing!$A$5:$A$84,A201)+SUMIFS(Woodworking!$AF$5:$AF$84,Woodworking!$A$5:$A$84,A201)+SUMIFS(Digital!$Z$5:$Z$84,Digital!$A$5:$A$84,A201),2))</f>
        <v>0</v>
      </c>
      <c r="V201" s="36">
        <f>IF(B201="","",ROUND(SUMIFS(Labor!$P$5:$P$304,Labor!$A$5:$A$304,A201)+SUMIFS(Crochet!$AE$5:$AE$84,Crochet!$A$5:$A$84,A201)+SUMIFS(Jewelry!$AG$5:$AG$84,Jewelry!$A$5:$A$84,A201)+SUMIFS(Candles!$AG$5:$AG$84,Candles!$A$5:$A$84,A201)+SUMIFS(Clothing!$AC$5:$AC$84,Clothing!$A$5:$A$84,A201)+SUMIFS(Woodworking!$AD$5:$AD$84,Woodworking!$A$5:$A$84,A201)+SUMIFS(Digital!$Y$5:$Y$84,Digital!$A$5:$A$84,A201),1))</f>
        <v>0</v>
      </c>
      <c r="W201" s="41">
        <f>IF(B201="","",IFERROR(INDEX(DiffTimeFactors,MATCH(G201,DiffNames,0)),1))</f>
        <v>0</v>
      </c>
      <c r="X201" s="36">
        <f>IF(B201="","",ROUND(V201*W201,1))</f>
        <v>0</v>
      </c>
      <c r="Y201" s="41">
        <f>IF(B201="","",ROUND(X201/60,3))</f>
        <v>0</v>
      </c>
      <c r="Z201" s="20">
        <f>IF(B201="","",ROUND(U201*W201,2))</f>
        <v>0</v>
      </c>
      <c r="AA201" s="20">
        <f>IF(B201="","",ROUND(SUMIFS(Labor!$Q$5:$Q$304,Labor!$A$5:$A$304,A201)+SUMIFS(Crochet!$AH$5:$AH$84,Crochet!$A$5:$A$84,A201)+SUMIFS(Jewelry!$AJ$5:$AJ$84,Jewelry!$A$5:$A$84,A201)+SUMIFS(Candles!$AJ$5:$AJ$84,Candles!$A$5:$A$84,A201)+SUMIFS(Clothing!$AF$5:$AF$84,Clothing!$A$5:$A$84,A201)+SUMIFS(Woodworking!$AH$5:$AH$84,Woodworking!$A$5:$A$84,A201)+SUMIFS(Digital!$AA$5:$AA$84,Digital!$A$5:$A$84,A201),2))</f>
        <v>0</v>
      </c>
      <c r="AB201" s="20">
        <f>IF(B201="","",ROUND(IF(I201="Budget",PackBudget,IF(I201="Standard",PackStandard,IF(I201="Gift",PackGift,IF(I201="Premium",PackPremium,DefaultPackaging)))),2))</f>
        <v>0</v>
      </c>
      <c r="AC201" s="36">
        <f>IF(B201="","",IF(I201="Budget",PackWeightBudget,IF(I201="Standard",PackWeightStandard,IF(I201="Gift",PackWeightGift,IF(I201="Premium",PackWeightPremium,0)))))</f>
        <v>0</v>
      </c>
      <c r="AD201" s="20">
        <f>IF(B201="","",IFERROR(INDEX(Shipping!$M$5:$M$64,MATCH(J201,Shipping!$L$5:$L$64,0)),DefaultShipping))</f>
        <v>0</v>
      </c>
      <c r="AE201" s="20">
        <f>IF(B201="","",IFERROR(INDEX(Shipping!$F$5:$F$64,MATCH(J201,Shipping!$L$5:$L$64,0)),0))</f>
        <v>0</v>
      </c>
      <c r="AF201" s="36">
        <f>IF(B201="","",IFERROR(INDEX(Shipping!$C$5:$C$64,MATCH(J201,Shipping!$L$5:$L$64,0)),""))</f>
        <v>0</v>
      </c>
      <c r="AG201" s="20">
        <f>IF(B201="","",ROUND(MAX(0,AD201-AE201),2))</f>
        <v>0</v>
      </c>
      <c r="AH201" s="20">
        <f>IF(B201="","",ROUND(T201+Z201+AA201+AB201+AG201,2))</f>
        <v>0</v>
      </c>
      <c r="AI201" s="33">
        <f>IF(B201="","",IFERROR(INDEX(Channels!$S$5:$S$18,MATCH(IF(H201="",DefaultChannel,H201),Channels!$A$5:$A$18,0)),0))</f>
        <v>0</v>
      </c>
      <c r="AJ201" s="42">
        <f>IF(B201="","",IFERROR(INDEX(Channels!$O$5:$O$18,MATCH(IF(H201="",DefaultChannel,H201),Channels!$A$5:$A$18,0)),"No"))</f>
        <v>0</v>
      </c>
      <c r="AK201" s="20">
        <f>IF(B201="","",ROUND(IFERROR(INDEX(Channels!$T$5:$T$18,MATCH(IF(H201="",DefaultChannel,H201),Channels!$A$5:$A$18,0)),0)+IF(AJ201="Yes",AE201*AI201,0),4))</f>
        <v>0</v>
      </c>
      <c r="AL201" s="33">
        <f>IF(B201="","",IF(OverheadMethod="Share of revenue",IF(RevenueTargetMonth&lt;=0,0,OverheadMonthly/RevenueTargetMonth),0))</f>
        <v>0</v>
      </c>
      <c r="AM201" s="20">
        <f>IF(B201="","",IF(OverheadMethod="Per hour worked",ROUND(OverheadPerHour*Y201,2),IF(OR(OverheadMethod="Per unit made",OverheadMethod="Per order"),OverheadPerUnit,0)))</f>
        <v>0</v>
      </c>
      <c r="AN201" s="33">
        <f>IF(B201="","",IF(N201&lt;&gt;"",N201,TargetRetailMargin))</f>
        <v>0</v>
      </c>
      <c r="AO201" s="41">
        <f>IF(B201="","",1-AN201-AI201-AL201)</f>
        <v>0</v>
      </c>
      <c r="AP201" s="20">
        <f>IF(B201="","",IF(AO201&lt;=0,"",(AH201+AM201+AK201)/AO201))</f>
        <v>0</v>
      </c>
      <c r="AQ201" s="20">
        <f>IF(B201="","",IF(AP201="","Check the settings",ROUND(IF(RoundingRule="None",AP201,IF(RoundingRule="Nearest 0.99",MAX(0.99,CEILING(AP201,1)-0.01),IF(RoundingRule="Nearest 0.95",MAX(0.95,CEILING(AP201,1)-0.05),IF(RoundingRule="Nearest 0.50",CEILING(AP201,0.5),IF(RoundingRule="Nearest 1",CEILING(AP201,1),IF(RoundingRule="Nearest 5",CEILING(AP201,5),IF(RoundingRule="Up to whole 1",CEILING(AP201,1),IF(RoundingRule="Up to whole 5",CEILING(AP201,5),ROUND(AP201,2))))))))),2)))</f>
        <v>0</v>
      </c>
      <c r="AR201" s="20">
        <f>IF(B201="","",IF(M201&lt;&gt;"",M201,IF(ISNUMBER(AQ201),AQ201,"")))</f>
        <v>0</v>
      </c>
      <c r="AS201" s="20">
        <f>IF(B201="","",IF(AR201="","",ROUND(AM201+AR201*AL201,2)))</f>
        <v>0</v>
      </c>
      <c r="AT201" s="20">
        <f>IF(B201="","",IF(AR201="","",ROUND(AH201+AS201,2)))</f>
        <v>0</v>
      </c>
      <c r="AU201" s="20">
        <f>IF(B201="","",IF(AR201="","",ROUND(AR201*AI201+AK201,2)))</f>
        <v>0</v>
      </c>
      <c r="AV201" s="20">
        <f>IF(B201="","",IF(AR201="","",ROUND(AR201-AT201-AU201,2)))</f>
        <v>0</v>
      </c>
      <c r="AW201" s="33">
        <f>IF(B201="","",IF(OR(AR201="",AR201=0),"",AV201/AR201))</f>
        <v>0</v>
      </c>
      <c r="AX201" s="33">
        <f>IF(B201="","",IF(OR(AT201="",AT201=0),"",AV201/AT201))</f>
        <v>0</v>
      </c>
      <c r="AY201" s="20">
        <f>IF(B201="","",IF(OR(Y201="",Y201=0,AV201=""),"",ROUND(AV201/Y201,2)))</f>
        <v>0</v>
      </c>
      <c r="AZ201" s="20">
        <f>IF(B201="","",IF(OR(Y201="",Y201=0,AV201=""),"",ROUND((AV201+Z201)/Y201,2)))</f>
        <v>0</v>
      </c>
      <c r="BA201" s="20">
        <f>IF(B201="","",IF(1-AI201-AL201&lt;=0,"",ROUND((AH201+AM201+AK201)/(1-AI201-AL201),2)))</f>
        <v>0</v>
      </c>
      <c r="BB201" s="20">
        <f>IF(B201="","",IF(AT201="","",ROUND(AT201*2,2)))</f>
        <v>0</v>
      </c>
      <c r="BC201" s="20">
        <f>IF(B201="","",IF(AR201="","",ROUND(AR201*(1-WholesaleDiscount),2)))</f>
        <v>0</v>
      </c>
      <c r="BD201" s="20">
        <f>IF(B201="","",IF(BC201="","",ROUND(BC201-AH201-AM201,2)))</f>
        <v>0</v>
      </c>
      <c r="BE201" s="33">
        <f>IF(B201="","",IF(OR(BC201="",BC201=0),"",BD201/BC201))</f>
        <v>0</v>
      </c>
      <c r="BF201" s="20">
        <f>IF(B201="","",IFERROR(ROUND(AVERAGEIFS(Competitors!$F$5:$F$154,Competitors!$A$5:$A$154,A201),2),""))</f>
        <v>0</v>
      </c>
      <c r="BG201" s="33">
        <f>IF(B201="","",IF(OR(BF201="",BF201=0,AR201=""),"",AR201/BF201-1))</f>
        <v>0</v>
      </c>
      <c r="BH201" s="32">
        <f>IF(B201="","",SUMIFS(Sales!$D$5:$D$804,Sales!$C$5:$C$804,A201))</f>
        <v>0</v>
      </c>
      <c r="BI201" s="20">
        <f>IF(B201="","",ROUND(SUMIFS(Sales!$V$5:$V$804,Sales!$C$5:$C$804,A201),2))</f>
        <v>0</v>
      </c>
      <c r="BJ201" s="20">
        <f>IF(B201="","",ROUND(SUMIFS(Sales!$AG$5:$AG$804,Sales!$C$5:$C$804,A201),2))</f>
        <v>0</v>
      </c>
      <c r="BK201" s="33">
        <f>IF(B201="","",IF(OR(BI201="",BI201=0),"",BJ201/BI201))</f>
        <v>0</v>
      </c>
      <c r="BL201" s="17">
        <f>IF(B201="","",IF(SUMPRODUCT(MAX((Sales!$C$5:$C$804=A201)*Sales!$B$5:$B$804))=0,"",SUMPRODUCT(MAX((Sales!$C$5:$C$804=A201)*Sales!$B$5:$B$804))))</f>
        <v>0</v>
      </c>
      <c r="BM201" s="17">
        <f>IF(B201="","",IF(SUMPRODUCT(MAX(('Price History'!$B$5:$B$304=A201)*'Price History'!$A$5:$A$304))=0,IF(P201="","",P201),SUMPRODUCT(MAX(('Price History'!$B$5:$B$304=A201)*'Price History'!$A$5:$A$304))))</f>
        <v>0</v>
      </c>
      <c r="BN201" s="32">
        <f>IF(B201="","",IF(BM201="","",TodayDate-BM201))</f>
        <v>0</v>
      </c>
      <c r="BO201" s="32">
        <f>IF(B201="","",COUNTIFS($AV$5:$AV$304,"&gt;"&amp;AV201)+COUNTIFS($AV$5:AV201,AV201))</f>
        <v>0</v>
      </c>
      <c r="BP201" s="32">
        <f>IF(B201="","",COUNTIFS($AW$5:$AW$304,"&gt;"&amp;AW201)+COUNTIFS($AW$5:AW201,AW201))</f>
        <v>0</v>
      </c>
      <c r="BQ201" s="32">
        <f>IF(B201="","",COUNTIFS($BI$5:$BI$304,"&gt;"&amp;BI201)+COUNTIFS($BI$5:BI201,BI201))</f>
        <v>0</v>
      </c>
      <c r="BR201" s="32">
        <f>IF(B201="","",COUNTIFS($AY$5:$AY$304,"&gt;"&amp;AY201)+COUNTIFS($AY$5:AY201,AY201))</f>
        <v>0</v>
      </c>
      <c r="BS201" s="43">
        <f>IF(B201="","",IF(AH201=0,"Add - no costs entered yet",IF(AR201="","Check - no price yet",IF(AV201&lt;0,"Loss - every sale costs you money",IF(AND(AZ201&lt;&gt;"",AZ201&lt;MinimumWage),"Below - pays under minimum wage",IF(AW201&lt;MarginWarning,"Low margin - re-price it",IF(AND(AF201&lt;&gt;"",K201&lt;&gt;"",K201+AC201&gt;AF201),"Check - too heavy for that postage band",IF(AND(BN201&lt;&gt;"",BN201&gt;PriceReviewDays),"Due - price has not been reviewed",IF(AND(BG201&lt;&gt;"",BG201&gt;0.5),"Check - well above the market","OK")))))))) )</f>
        <v>0</v>
      </c>
    </row>
    <row r="202" spans="1:71">
      <c r="A202" s="38">
        <f>IF(B202="","",ProductPrefix&amp;TEXT(ROW()-4,"0000"))</f>
        <v>0</v>
      </c>
      <c r="S202" s="38">
        <f>IF(B202="","",IF(C202&lt;&gt;"",C202,UPPER(LEFT(IF(D202="","GEN",D202),3))&amp;"-"&amp;TEXT(ROW()-4,"000")))</f>
        <v>0</v>
      </c>
      <c r="T202" s="20">
        <f>IF(B202="","",ROUND(SUMIFS('Material Usage'!$M$5:$M$904,'Material Usage'!$A$5:$A$904,A202)+SUMIFS(Crochet!$AD$5:$AD$84,Crochet!$A$5:$A$84,A202)+SUMIFS(Jewelry!$AF$5:$AF$84,Jewelry!$A$5:$A$84,A202)+SUMIFS(Candles!$AF$5:$AF$84,Candles!$A$5:$A$84,A202)+SUMIFS(Clothing!$AB$5:$AB$84,Clothing!$A$5:$A$84,A202)+SUMIFS(Woodworking!$AC$5:$AC$84,Woodworking!$A$5:$A$84,A202)+SUMIFS(Digital!$X$5:$X$84,Digital!$A$5:$A$84,A202),2))</f>
        <v>0</v>
      </c>
      <c r="U202" s="20">
        <f>IF(B202="","",ROUND(SUMIFS(Labor!$O$5:$O$304,Labor!$A$5:$A$304,A202)+SUMIFS(Crochet!$AG$5:$AG$84,Crochet!$A$5:$A$84,A202)+SUMIFS(Jewelry!$AI$5:$AI$84,Jewelry!$A$5:$A$84,A202)+SUMIFS(Candles!$AI$5:$AI$84,Candles!$A$5:$A$84,A202)+SUMIFS(Clothing!$AE$5:$AE$84,Clothing!$A$5:$A$84,A202)+SUMIFS(Woodworking!$AF$5:$AF$84,Woodworking!$A$5:$A$84,A202)+SUMIFS(Digital!$Z$5:$Z$84,Digital!$A$5:$A$84,A202),2))</f>
        <v>0</v>
      </c>
      <c r="V202" s="36">
        <f>IF(B202="","",ROUND(SUMIFS(Labor!$P$5:$P$304,Labor!$A$5:$A$304,A202)+SUMIFS(Crochet!$AE$5:$AE$84,Crochet!$A$5:$A$84,A202)+SUMIFS(Jewelry!$AG$5:$AG$84,Jewelry!$A$5:$A$84,A202)+SUMIFS(Candles!$AG$5:$AG$84,Candles!$A$5:$A$84,A202)+SUMIFS(Clothing!$AC$5:$AC$84,Clothing!$A$5:$A$84,A202)+SUMIFS(Woodworking!$AD$5:$AD$84,Woodworking!$A$5:$A$84,A202)+SUMIFS(Digital!$Y$5:$Y$84,Digital!$A$5:$A$84,A202),1))</f>
        <v>0</v>
      </c>
      <c r="W202" s="41">
        <f>IF(B202="","",IFERROR(INDEX(DiffTimeFactors,MATCH(G202,DiffNames,0)),1))</f>
        <v>0</v>
      </c>
      <c r="X202" s="36">
        <f>IF(B202="","",ROUND(V202*W202,1))</f>
        <v>0</v>
      </c>
      <c r="Y202" s="41">
        <f>IF(B202="","",ROUND(X202/60,3))</f>
        <v>0</v>
      </c>
      <c r="Z202" s="20">
        <f>IF(B202="","",ROUND(U202*W202,2))</f>
        <v>0</v>
      </c>
      <c r="AA202" s="20">
        <f>IF(B202="","",ROUND(SUMIFS(Labor!$Q$5:$Q$304,Labor!$A$5:$A$304,A202)+SUMIFS(Crochet!$AH$5:$AH$84,Crochet!$A$5:$A$84,A202)+SUMIFS(Jewelry!$AJ$5:$AJ$84,Jewelry!$A$5:$A$84,A202)+SUMIFS(Candles!$AJ$5:$AJ$84,Candles!$A$5:$A$84,A202)+SUMIFS(Clothing!$AF$5:$AF$84,Clothing!$A$5:$A$84,A202)+SUMIFS(Woodworking!$AH$5:$AH$84,Woodworking!$A$5:$A$84,A202)+SUMIFS(Digital!$AA$5:$AA$84,Digital!$A$5:$A$84,A202),2))</f>
        <v>0</v>
      </c>
      <c r="AB202" s="20">
        <f>IF(B202="","",ROUND(IF(I202="Budget",PackBudget,IF(I202="Standard",PackStandard,IF(I202="Gift",PackGift,IF(I202="Premium",PackPremium,DefaultPackaging)))),2))</f>
        <v>0</v>
      </c>
      <c r="AC202" s="36">
        <f>IF(B202="","",IF(I202="Budget",PackWeightBudget,IF(I202="Standard",PackWeightStandard,IF(I202="Gift",PackWeightGift,IF(I202="Premium",PackWeightPremium,0)))))</f>
        <v>0</v>
      </c>
      <c r="AD202" s="20">
        <f>IF(B202="","",IFERROR(INDEX(Shipping!$M$5:$M$64,MATCH(J202,Shipping!$L$5:$L$64,0)),DefaultShipping))</f>
        <v>0</v>
      </c>
      <c r="AE202" s="20">
        <f>IF(B202="","",IFERROR(INDEX(Shipping!$F$5:$F$64,MATCH(J202,Shipping!$L$5:$L$64,0)),0))</f>
        <v>0</v>
      </c>
      <c r="AF202" s="36">
        <f>IF(B202="","",IFERROR(INDEX(Shipping!$C$5:$C$64,MATCH(J202,Shipping!$L$5:$L$64,0)),""))</f>
        <v>0</v>
      </c>
      <c r="AG202" s="20">
        <f>IF(B202="","",ROUND(MAX(0,AD202-AE202),2))</f>
        <v>0</v>
      </c>
      <c r="AH202" s="20">
        <f>IF(B202="","",ROUND(T202+Z202+AA202+AB202+AG202,2))</f>
        <v>0</v>
      </c>
      <c r="AI202" s="33">
        <f>IF(B202="","",IFERROR(INDEX(Channels!$S$5:$S$18,MATCH(IF(H202="",DefaultChannel,H202),Channels!$A$5:$A$18,0)),0))</f>
        <v>0</v>
      </c>
      <c r="AJ202" s="42">
        <f>IF(B202="","",IFERROR(INDEX(Channels!$O$5:$O$18,MATCH(IF(H202="",DefaultChannel,H202),Channels!$A$5:$A$18,0)),"No"))</f>
        <v>0</v>
      </c>
      <c r="AK202" s="20">
        <f>IF(B202="","",ROUND(IFERROR(INDEX(Channels!$T$5:$T$18,MATCH(IF(H202="",DefaultChannel,H202),Channels!$A$5:$A$18,0)),0)+IF(AJ202="Yes",AE202*AI202,0),4))</f>
        <v>0</v>
      </c>
      <c r="AL202" s="33">
        <f>IF(B202="","",IF(OverheadMethod="Share of revenue",IF(RevenueTargetMonth&lt;=0,0,OverheadMonthly/RevenueTargetMonth),0))</f>
        <v>0</v>
      </c>
      <c r="AM202" s="20">
        <f>IF(B202="","",IF(OverheadMethod="Per hour worked",ROUND(OverheadPerHour*Y202,2),IF(OR(OverheadMethod="Per unit made",OverheadMethod="Per order"),OverheadPerUnit,0)))</f>
        <v>0</v>
      </c>
      <c r="AN202" s="33">
        <f>IF(B202="","",IF(N202&lt;&gt;"",N202,TargetRetailMargin))</f>
        <v>0</v>
      </c>
      <c r="AO202" s="41">
        <f>IF(B202="","",1-AN202-AI202-AL202)</f>
        <v>0</v>
      </c>
      <c r="AP202" s="20">
        <f>IF(B202="","",IF(AO202&lt;=0,"",(AH202+AM202+AK202)/AO202))</f>
        <v>0</v>
      </c>
      <c r="AQ202" s="20">
        <f>IF(B202="","",IF(AP202="","Check the settings",ROUND(IF(RoundingRule="None",AP202,IF(RoundingRule="Nearest 0.99",MAX(0.99,CEILING(AP202,1)-0.01),IF(RoundingRule="Nearest 0.95",MAX(0.95,CEILING(AP202,1)-0.05),IF(RoundingRule="Nearest 0.50",CEILING(AP202,0.5),IF(RoundingRule="Nearest 1",CEILING(AP202,1),IF(RoundingRule="Nearest 5",CEILING(AP202,5),IF(RoundingRule="Up to whole 1",CEILING(AP202,1),IF(RoundingRule="Up to whole 5",CEILING(AP202,5),ROUND(AP202,2))))))))),2)))</f>
        <v>0</v>
      </c>
      <c r="AR202" s="20">
        <f>IF(B202="","",IF(M202&lt;&gt;"",M202,IF(ISNUMBER(AQ202),AQ202,"")))</f>
        <v>0</v>
      </c>
      <c r="AS202" s="20">
        <f>IF(B202="","",IF(AR202="","",ROUND(AM202+AR202*AL202,2)))</f>
        <v>0</v>
      </c>
      <c r="AT202" s="20">
        <f>IF(B202="","",IF(AR202="","",ROUND(AH202+AS202,2)))</f>
        <v>0</v>
      </c>
      <c r="AU202" s="20">
        <f>IF(B202="","",IF(AR202="","",ROUND(AR202*AI202+AK202,2)))</f>
        <v>0</v>
      </c>
      <c r="AV202" s="20">
        <f>IF(B202="","",IF(AR202="","",ROUND(AR202-AT202-AU202,2)))</f>
        <v>0</v>
      </c>
      <c r="AW202" s="33">
        <f>IF(B202="","",IF(OR(AR202="",AR202=0),"",AV202/AR202))</f>
        <v>0</v>
      </c>
      <c r="AX202" s="33">
        <f>IF(B202="","",IF(OR(AT202="",AT202=0),"",AV202/AT202))</f>
        <v>0</v>
      </c>
      <c r="AY202" s="20">
        <f>IF(B202="","",IF(OR(Y202="",Y202=0,AV202=""),"",ROUND(AV202/Y202,2)))</f>
        <v>0</v>
      </c>
      <c r="AZ202" s="20">
        <f>IF(B202="","",IF(OR(Y202="",Y202=0,AV202=""),"",ROUND((AV202+Z202)/Y202,2)))</f>
        <v>0</v>
      </c>
      <c r="BA202" s="20">
        <f>IF(B202="","",IF(1-AI202-AL202&lt;=0,"",ROUND((AH202+AM202+AK202)/(1-AI202-AL202),2)))</f>
        <v>0</v>
      </c>
      <c r="BB202" s="20">
        <f>IF(B202="","",IF(AT202="","",ROUND(AT202*2,2)))</f>
        <v>0</v>
      </c>
      <c r="BC202" s="20">
        <f>IF(B202="","",IF(AR202="","",ROUND(AR202*(1-WholesaleDiscount),2)))</f>
        <v>0</v>
      </c>
      <c r="BD202" s="20">
        <f>IF(B202="","",IF(BC202="","",ROUND(BC202-AH202-AM202,2)))</f>
        <v>0</v>
      </c>
      <c r="BE202" s="33">
        <f>IF(B202="","",IF(OR(BC202="",BC202=0),"",BD202/BC202))</f>
        <v>0</v>
      </c>
      <c r="BF202" s="20">
        <f>IF(B202="","",IFERROR(ROUND(AVERAGEIFS(Competitors!$F$5:$F$154,Competitors!$A$5:$A$154,A202),2),""))</f>
        <v>0</v>
      </c>
      <c r="BG202" s="33">
        <f>IF(B202="","",IF(OR(BF202="",BF202=0,AR202=""),"",AR202/BF202-1))</f>
        <v>0</v>
      </c>
      <c r="BH202" s="32">
        <f>IF(B202="","",SUMIFS(Sales!$D$5:$D$804,Sales!$C$5:$C$804,A202))</f>
        <v>0</v>
      </c>
      <c r="BI202" s="20">
        <f>IF(B202="","",ROUND(SUMIFS(Sales!$V$5:$V$804,Sales!$C$5:$C$804,A202),2))</f>
        <v>0</v>
      </c>
      <c r="BJ202" s="20">
        <f>IF(B202="","",ROUND(SUMIFS(Sales!$AG$5:$AG$804,Sales!$C$5:$C$804,A202),2))</f>
        <v>0</v>
      </c>
      <c r="BK202" s="33">
        <f>IF(B202="","",IF(OR(BI202="",BI202=0),"",BJ202/BI202))</f>
        <v>0</v>
      </c>
      <c r="BL202" s="17">
        <f>IF(B202="","",IF(SUMPRODUCT(MAX((Sales!$C$5:$C$804=A202)*Sales!$B$5:$B$804))=0,"",SUMPRODUCT(MAX((Sales!$C$5:$C$804=A202)*Sales!$B$5:$B$804))))</f>
        <v>0</v>
      </c>
      <c r="BM202" s="17">
        <f>IF(B202="","",IF(SUMPRODUCT(MAX(('Price History'!$B$5:$B$304=A202)*'Price History'!$A$5:$A$304))=0,IF(P202="","",P202),SUMPRODUCT(MAX(('Price History'!$B$5:$B$304=A202)*'Price History'!$A$5:$A$304))))</f>
        <v>0</v>
      </c>
      <c r="BN202" s="32">
        <f>IF(B202="","",IF(BM202="","",TodayDate-BM202))</f>
        <v>0</v>
      </c>
      <c r="BO202" s="32">
        <f>IF(B202="","",COUNTIFS($AV$5:$AV$304,"&gt;"&amp;AV202)+COUNTIFS($AV$5:AV202,AV202))</f>
        <v>0</v>
      </c>
      <c r="BP202" s="32">
        <f>IF(B202="","",COUNTIFS($AW$5:$AW$304,"&gt;"&amp;AW202)+COUNTIFS($AW$5:AW202,AW202))</f>
        <v>0</v>
      </c>
      <c r="BQ202" s="32">
        <f>IF(B202="","",COUNTIFS($BI$5:$BI$304,"&gt;"&amp;BI202)+COUNTIFS($BI$5:BI202,BI202))</f>
        <v>0</v>
      </c>
      <c r="BR202" s="32">
        <f>IF(B202="","",COUNTIFS($AY$5:$AY$304,"&gt;"&amp;AY202)+COUNTIFS($AY$5:AY202,AY202))</f>
        <v>0</v>
      </c>
      <c r="BS202" s="43">
        <f>IF(B202="","",IF(AH202=0,"Add - no costs entered yet",IF(AR202="","Check - no price yet",IF(AV202&lt;0,"Loss - every sale costs you money",IF(AND(AZ202&lt;&gt;"",AZ202&lt;MinimumWage),"Below - pays under minimum wage",IF(AW202&lt;MarginWarning,"Low margin - re-price it",IF(AND(AF202&lt;&gt;"",K202&lt;&gt;"",K202+AC202&gt;AF202),"Check - too heavy for that postage band",IF(AND(BN202&lt;&gt;"",BN202&gt;PriceReviewDays),"Due - price has not been reviewed",IF(AND(BG202&lt;&gt;"",BG202&gt;0.5),"Check - well above the market","OK")))))))) )</f>
        <v>0</v>
      </c>
    </row>
    <row r="203" spans="1:71">
      <c r="A203" s="38">
        <f>IF(B203="","",ProductPrefix&amp;TEXT(ROW()-4,"0000"))</f>
        <v>0</v>
      </c>
      <c r="S203" s="38">
        <f>IF(B203="","",IF(C203&lt;&gt;"",C203,UPPER(LEFT(IF(D203="","GEN",D203),3))&amp;"-"&amp;TEXT(ROW()-4,"000")))</f>
        <v>0</v>
      </c>
      <c r="T203" s="20">
        <f>IF(B203="","",ROUND(SUMIFS('Material Usage'!$M$5:$M$904,'Material Usage'!$A$5:$A$904,A203)+SUMIFS(Crochet!$AD$5:$AD$84,Crochet!$A$5:$A$84,A203)+SUMIFS(Jewelry!$AF$5:$AF$84,Jewelry!$A$5:$A$84,A203)+SUMIFS(Candles!$AF$5:$AF$84,Candles!$A$5:$A$84,A203)+SUMIFS(Clothing!$AB$5:$AB$84,Clothing!$A$5:$A$84,A203)+SUMIFS(Woodworking!$AC$5:$AC$84,Woodworking!$A$5:$A$84,A203)+SUMIFS(Digital!$X$5:$X$84,Digital!$A$5:$A$84,A203),2))</f>
        <v>0</v>
      </c>
      <c r="U203" s="20">
        <f>IF(B203="","",ROUND(SUMIFS(Labor!$O$5:$O$304,Labor!$A$5:$A$304,A203)+SUMIFS(Crochet!$AG$5:$AG$84,Crochet!$A$5:$A$84,A203)+SUMIFS(Jewelry!$AI$5:$AI$84,Jewelry!$A$5:$A$84,A203)+SUMIFS(Candles!$AI$5:$AI$84,Candles!$A$5:$A$84,A203)+SUMIFS(Clothing!$AE$5:$AE$84,Clothing!$A$5:$A$84,A203)+SUMIFS(Woodworking!$AF$5:$AF$84,Woodworking!$A$5:$A$84,A203)+SUMIFS(Digital!$Z$5:$Z$84,Digital!$A$5:$A$84,A203),2))</f>
        <v>0</v>
      </c>
      <c r="V203" s="36">
        <f>IF(B203="","",ROUND(SUMIFS(Labor!$P$5:$P$304,Labor!$A$5:$A$304,A203)+SUMIFS(Crochet!$AE$5:$AE$84,Crochet!$A$5:$A$84,A203)+SUMIFS(Jewelry!$AG$5:$AG$84,Jewelry!$A$5:$A$84,A203)+SUMIFS(Candles!$AG$5:$AG$84,Candles!$A$5:$A$84,A203)+SUMIFS(Clothing!$AC$5:$AC$84,Clothing!$A$5:$A$84,A203)+SUMIFS(Woodworking!$AD$5:$AD$84,Woodworking!$A$5:$A$84,A203)+SUMIFS(Digital!$Y$5:$Y$84,Digital!$A$5:$A$84,A203),1))</f>
        <v>0</v>
      </c>
      <c r="W203" s="41">
        <f>IF(B203="","",IFERROR(INDEX(DiffTimeFactors,MATCH(G203,DiffNames,0)),1))</f>
        <v>0</v>
      </c>
      <c r="X203" s="36">
        <f>IF(B203="","",ROUND(V203*W203,1))</f>
        <v>0</v>
      </c>
      <c r="Y203" s="41">
        <f>IF(B203="","",ROUND(X203/60,3))</f>
        <v>0</v>
      </c>
      <c r="Z203" s="20">
        <f>IF(B203="","",ROUND(U203*W203,2))</f>
        <v>0</v>
      </c>
      <c r="AA203" s="20">
        <f>IF(B203="","",ROUND(SUMIFS(Labor!$Q$5:$Q$304,Labor!$A$5:$A$304,A203)+SUMIFS(Crochet!$AH$5:$AH$84,Crochet!$A$5:$A$84,A203)+SUMIFS(Jewelry!$AJ$5:$AJ$84,Jewelry!$A$5:$A$84,A203)+SUMIFS(Candles!$AJ$5:$AJ$84,Candles!$A$5:$A$84,A203)+SUMIFS(Clothing!$AF$5:$AF$84,Clothing!$A$5:$A$84,A203)+SUMIFS(Woodworking!$AH$5:$AH$84,Woodworking!$A$5:$A$84,A203)+SUMIFS(Digital!$AA$5:$AA$84,Digital!$A$5:$A$84,A203),2))</f>
        <v>0</v>
      </c>
      <c r="AB203" s="20">
        <f>IF(B203="","",ROUND(IF(I203="Budget",PackBudget,IF(I203="Standard",PackStandard,IF(I203="Gift",PackGift,IF(I203="Premium",PackPremium,DefaultPackaging)))),2))</f>
        <v>0</v>
      </c>
      <c r="AC203" s="36">
        <f>IF(B203="","",IF(I203="Budget",PackWeightBudget,IF(I203="Standard",PackWeightStandard,IF(I203="Gift",PackWeightGift,IF(I203="Premium",PackWeightPremium,0)))))</f>
        <v>0</v>
      </c>
      <c r="AD203" s="20">
        <f>IF(B203="","",IFERROR(INDEX(Shipping!$M$5:$M$64,MATCH(J203,Shipping!$L$5:$L$64,0)),DefaultShipping))</f>
        <v>0</v>
      </c>
      <c r="AE203" s="20">
        <f>IF(B203="","",IFERROR(INDEX(Shipping!$F$5:$F$64,MATCH(J203,Shipping!$L$5:$L$64,0)),0))</f>
        <v>0</v>
      </c>
      <c r="AF203" s="36">
        <f>IF(B203="","",IFERROR(INDEX(Shipping!$C$5:$C$64,MATCH(J203,Shipping!$L$5:$L$64,0)),""))</f>
        <v>0</v>
      </c>
      <c r="AG203" s="20">
        <f>IF(B203="","",ROUND(MAX(0,AD203-AE203),2))</f>
        <v>0</v>
      </c>
      <c r="AH203" s="20">
        <f>IF(B203="","",ROUND(T203+Z203+AA203+AB203+AG203,2))</f>
        <v>0</v>
      </c>
      <c r="AI203" s="33">
        <f>IF(B203="","",IFERROR(INDEX(Channels!$S$5:$S$18,MATCH(IF(H203="",DefaultChannel,H203),Channels!$A$5:$A$18,0)),0))</f>
        <v>0</v>
      </c>
      <c r="AJ203" s="42">
        <f>IF(B203="","",IFERROR(INDEX(Channels!$O$5:$O$18,MATCH(IF(H203="",DefaultChannel,H203),Channels!$A$5:$A$18,0)),"No"))</f>
        <v>0</v>
      </c>
      <c r="AK203" s="20">
        <f>IF(B203="","",ROUND(IFERROR(INDEX(Channels!$T$5:$T$18,MATCH(IF(H203="",DefaultChannel,H203),Channels!$A$5:$A$18,0)),0)+IF(AJ203="Yes",AE203*AI203,0),4))</f>
        <v>0</v>
      </c>
      <c r="AL203" s="33">
        <f>IF(B203="","",IF(OverheadMethod="Share of revenue",IF(RevenueTargetMonth&lt;=0,0,OverheadMonthly/RevenueTargetMonth),0))</f>
        <v>0</v>
      </c>
      <c r="AM203" s="20">
        <f>IF(B203="","",IF(OverheadMethod="Per hour worked",ROUND(OverheadPerHour*Y203,2),IF(OR(OverheadMethod="Per unit made",OverheadMethod="Per order"),OverheadPerUnit,0)))</f>
        <v>0</v>
      </c>
      <c r="AN203" s="33">
        <f>IF(B203="","",IF(N203&lt;&gt;"",N203,TargetRetailMargin))</f>
        <v>0</v>
      </c>
      <c r="AO203" s="41">
        <f>IF(B203="","",1-AN203-AI203-AL203)</f>
        <v>0</v>
      </c>
      <c r="AP203" s="20">
        <f>IF(B203="","",IF(AO203&lt;=0,"",(AH203+AM203+AK203)/AO203))</f>
        <v>0</v>
      </c>
      <c r="AQ203" s="20">
        <f>IF(B203="","",IF(AP203="","Check the settings",ROUND(IF(RoundingRule="None",AP203,IF(RoundingRule="Nearest 0.99",MAX(0.99,CEILING(AP203,1)-0.01),IF(RoundingRule="Nearest 0.95",MAX(0.95,CEILING(AP203,1)-0.05),IF(RoundingRule="Nearest 0.50",CEILING(AP203,0.5),IF(RoundingRule="Nearest 1",CEILING(AP203,1),IF(RoundingRule="Nearest 5",CEILING(AP203,5),IF(RoundingRule="Up to whole 1",CEILING(AP203,1),IF(RoundingRule="Up to whole 5",CEILING(AP203,5),ROUND(AP203,2))))))))),2)))</f>
        <v>0</v>
      </c>
      <c r="AR203" s="20">
        <f>IF(B203="","",IF(M203&lt;&gt;"",M203,IF(ISNUMBER(AQ203),AQ203,"")))</f>
        <v>0</v>
      </c>
      <c r="AS203" s="20">
        <f>IF(B203="","",IF(AR203="","",ROUND(AM203+AR203*AL203,2)))</f>
        <v>0</v>
      </c>
      <c r="AT203" s="20">
        <f>IF(B203="","",IF(AR203="","",ROUND(AH203+AS203,2)))</f>
        <v>0</v>
      </c>
      <c r="AU203" s="20">
        <f>IF(B203="","",IF(AR203="","",ROUND(AR203*AI203+AK203,2)))</f>
        <v>0</v>
      </c>
      <c r="AV203" s="20">
        <f>IF(B203="","",IF(AR203="","",ROUND(AR203-AT203-AU203,2)))</f>
        <v>0</v>
      </c>
      <c r="AW203" s="33">
        <f>IF(B203="","",IF(OR(AR203="",AR203=0),"",AV203/AR203))</f>
        <v>0</v>
      </c>
      <c r="AX203" s="33">
        <f>IF(B203="","",IF(OR(AT203="",AT203=0),"",AV203/AT203))</f>
        <v>0</v>
      </c>
      <c r="AY203" s="20">
        <f>IF(B203="","",IF(OR(Y203="",Y203=0,AV203=""),"",ROUND(AV203/Y203,2)))</f>
        <v>0</v>
      </c>
      <c r="AZ203" s="20">
        <f>IF(B203="","",IF(OR(Y203="",Y203=0,AV203=""),"",ROUND((AV203+Z203)/Y203,2)))</f>
        <v>0</v>
      </c>
      <c r="BA203" s="20">
        <f>IF(B203="","",IF(1-AI203-AL203&lt;=0,"",ROUND((AH203+AM203+AK203)/(1-AI203-AL203),2)))</f>
        <v>0</v>
      </c>
      <c r="BB203" s="20">
        <f>IF(B203="","",IF(AT203="","",ROUND(AT203*2,2)))</f>
        <v>0</v>
      </c>
      <c r="BC203" s="20">
        <f>IF(B203="","",IF(AR203="","",ROUND(AR203*(1-WholesaleDiscount),2)))</f>
        <v>0</v>
      </c>
      <c r="BD203" s="20">
        <f>IF(B203="","",IF(BC203="","",ROUND(BC203-AH203-AM203,2)))</f>
        <v>0</v>
      </c>
      <c r="BE203" s="33">
        <f>IF(B203="","",IF(OR(BC203="",BC203=0),"",BD203/BC203))</f>
        <v>0</v>
      </c>
      <c r="BF203" s="20">
        <f>IF(B203="","",IFERROR(ROUND(AVERAGEIFS(Competitors!$F$5:$F$154,Competitors!$A$5:$A$154,A203),2),""))</f>
        <v>0</v>
      </c>
      <c r="BG203" s="33">
        <f>IF(B203="","",IF(OR(BF203="",BF203=0,AR203=""),"",AR203/BF203-1))</f>
        <v>0</v>
      </c>
      <c r="BH203" s="32">
        <f>IF(B203="","",SUMIFS(Sales!$D$5:$D$804,Sales!$C$5:$C$804,A203))</f>
        <v>0</v>
      </c>
      <c r="BI203" s="20">
        <f>IF(B203="","",ROUND(SUMIFS(Sales!$V$5:$V$804,Sales!$C$5:$C$804,A203),2))</f>
        <v>0</v>
      </c>
      <c r="BJ203" s="20">
        <f>IF(B203="","",ROUND(SUMIFS(Sales!$AG$5:$AG$804,Sales!$C$5:$C$804,A203),2))</f>
        <v>0</v>
      </c>
      <c r="BK203" s="33">
        <f>IF(B203="","",IF(OR(BI203="",BI203=0),"",BJ203/BI203))</f>
        <v>0</v>
      </c>
      <c r="BL203" s="17">
        <f>IF(B203="","",IF(SUMPRODUCT(MAX((Sales!$C$5:$C$804=A203)*Sales!$B$5:$B$804))=0,"",SUMPRODUCT(MAX((Sales!$C$5:$C$804=A203)*Sales!$B$5:$B$804))))</f>
        <v>0</v>
      </c>
      <c r="BM203" s="17">
        <f>IF(B203="","",IF(SUMPRODUCT(MAX(('Price History'!$B$5:$B$304=A203)*'Price History'!$A$5:$A$304))=0,IF(P203="","",P203),SUMPRODUCT(MAX(('Price History'!$B$5:$B$304=A203)*'Price History'!$A$5:$A$304))))</f>
        <v>0</v>
      </c>
      <c r="BN203" s="32">
        <f>IF(B203="","",IF(BM203="","",TodayDate-BM203))</f>
        <v>0</v>
      </c>
      <c r="BO203" s="32">
        <f>IF(B203="","",COUNTIFS($AV$5:$AV$304,"&gt;"&amp;AV203)+COUNTIFS($AV$5:AV203,AV203))</f>
        <v>0</v>
      </c>
      <c r="BP203" s="32">
        <f>IF(B203="","",COUNTIFS($AW$5:$AW$304,"&gt;"&amp;AW203)+COUNTIFS($AW$5:AW203,AW203))</f>
        <v>0</v>
      </c>
      <c r="BQ203" s="32">
        <f>IF(B203="","",COUNTIFS($BI$5:$BI$304,"&gt;"&amp;BI203)+COUNTIFS($BI$5:BI203,BI203))</f>
        <v>0</v>
      </c>
      <c r="BR203" s="32">
        <f>IF(B203="","",COUNTIFS($AY$5:$AY$304,"&gt;"&amp;AY203)+COUNTIFS($AY$5:AY203,AY203))</f>
        <v>0</v>
      </c>
      <c r="BS203" s="43">
        <f>IF(B203="","",IF(AH203=0,"Add - no costs entered yet",IF(AR203="","Check - no price yet",IF(AV203&lt;0,"Loss - every sale costs you money",IF(AND(AZ203&lt;&gt;"",AZ203&lt;MinimumWage),"Below - pays under minimum wage",IF(AW203&lt;MarginWarning,"Low margin - re-price it",IF(AND(AF203&lt;&gt;"",K203&lt;&gt;"",K203+AC203&gt;AF203),"Check - too heavy for that postage band",IF(AND(BN203&lt;&gt;"",BN203&gt;PriceReviewDays),"Due - price has not been reviewed",IF(AND(BG203&lt;&gt;"",BG203&gt;0.5),"Check - well above the market","OK")))))))) )</f>
        <v>0</v>
      </c>
    </row>
    <row r="204" spans="1:71">
      <c r="A204" s="38">
        <f>IF(B204="","",ProductPrefix&amp;TEXT(ROW()-4,"0000"))</f>
        <v>0</v>
      </c>
      <c r="S204" s="38">
        <f>IF(B204="","",IF(C204&lt;&gt;"",C204,UPPER(LEFT(IF(D204="","GEN",D204),3))&amp;"-"&amp;TEXT(ROW()-4,"000")))</f>
        <v>0</v>
      </c>
      <c r="T204" s="20">
        <f>IF(B204="","",ROUND(SUMIFS('Material Usage'!$M$5:$M$904,'Material Usage'!$A$5:$A$904,A204)+SUMIFS(Crochet!$AD$5:$AD$84,Crochet!$A$5:$A$84,A204)+SUMIFS(Jewelry!$AF$5:$AF$84,Jewelry!$A$5:$A$84,A204)+SUMIFS(Candles!$AF$5:$AF$84,Candles!$A$5:$A$84,A204)+SUMIFS(Clothing!$AB$5:$AB$84,Clothing!$A$5:$A$84,A204)+SUMIFS(Woodworking!$AC$5:$AC$84,Woodworking!$A$5:$A$84,A204)+SUMIFS(Digital!$X$5:$X$84,Digital!$A$5:$A$84,A204),2))</f>
        <v>0</v>
      </c>
      <c r="U204" s="20">
        <f>IF(B204="","",ROUND(SUMIFS(Labor!$O$5:$O$304,Labor!$A$5:$A$304,A204)+SUMIFS(Crochet!$AG$5:$AG$84,Crochet!$A$5:$A$84,A204)+SUMIFS(Jewelry!$AI$5:$AI$84,Jewelry!$A$5:$A$84,A204)+SUMIFS(Candles!$AI$5:$AI$84,Candles!$A$5:$A$84,A204)+SUMIFS(Clothing!$AE$5:$AE$84,Clothing!$A$5:$A$84,A204)+SUMIFS(Woodworking!$AF$5:$AF$84,Woodworking!$A$5:$A$84,A204)+SUMIFS(Digital!$Z$5:$Z$84,Digital!$A$5:$A$84,A204),2))</f>
        <v>0</v>
      </c>
      <c r="V204" s="36">
        <f>IF(B204="","",ROUND(SUMIFS(Labor!$P$5:$P$304,Labor!$A$5:$A$304,A204)+SUMIFS(Crochet!$AE$5:$AE$84,Crochet!$A$5:$A$84,A204)+SUMIFS(Jewelry!$AG$5:$AG$84,Jewelry!$A$5:$A$84,A204)+SUMIFS(Candles!$AG$5:$AG$84,Candles!$A$5:$A$84,A204)+SUMIFS(Clothing!$AC$5:$AC$84,Clothing!$A$5:$A$84,A204)+SUMIFS(Woodworking!$AD$5:$AD$84,Woodworking!$A$5:$A$84,A204)+SUMIFS(Digital!$Y$5:$Y$84,Digital!$A$5:$A$84,A204),1))</f>
        <v>0</v>
      </c>
      <c r="W204" s="41">
        <f>IF(B204="","",IFERROR(INDEX(DiffTimeFactors,MATCH(G204,DiffNames,0)),1))</f>
        <v>0</v>
      </c>
      <c r="X204" s="36">
        <f>IF(B204="","",ROUND(V204*W204,1))</f>
        <v>0</v>
      </c>
      <c r="Y204" s="41">
        <f>IF(B204="","",ROUND(X204/60,3))</f>
        <v>0</v>
      </c>
      <c r="Z204" s="20">
        <f>IF(B204="","",ROUND(U204*W204,2))</f>
        <v>0</v>
      </c>
      <c r="AA204" s="20">
        <f>IF(B204="","",ROUND(SUMIFS(Labor!$Q$5:$Q$304,Labor!$A$5:$A$304,A204)+SUMIFS(Crochet!$AH$5:$AH$84,Crochet!$A$5:$A$84,A204)+SUMIFS(Jewelry!$AJ$5:$AJ$84,Jewelry!$A$5:$A$84,A204)+SUMIFS(Candles!$AJ$5:$AJ$84,Candles!$A$5:$A$84,A204)+SUMIFS(Clothing!$AF$5:$AF$84,Clothing!$A$5:$A$84,A204)+SUMIFS(Woodworking!$AH$5:$AH$84,Woodworking!$A$5:$A$84,A204)+SUMIFS(Digital!$AA$5:$AA$84,Digital!$A$5:$A$84,A204),2))</f>
        <v>0</v>
      </c>
      <c r="AB204" s="20">
        <f>IF(B204="","",ROUND(IF(I204="Budget",PackBudget,IF(I204="Standard",PackStandard,IF(I204="Gift",PackGift,IF(I204="Premium",PackPremium,DefaultPackaging)))),2))</f>
        <v>0</v>
      </c>
      <c r="AC204" s="36">
        <f>IF(B204="","",IF(I204="Budget",PackWeightBudget,IF(I204="Standard",PackWeightStandard,IF(I204="Gift",PackWeightGift,IF(I204="Premium",PackWeightPremium,0)))))</f>
        <v>0</v>
      </c>
      <c r="AD204" s="20">
        <f>IF(B204="","",IFERROR(INDEX(Shipping!$M$5:$M$64,MATCH(J204,Shipping!$L$5:$L$64,0)),DefaultShipping))</f>
        <v>0</v>
      </c>
      <c r="AE204" s="20">
        <f>IF(B204="","",IFERROR(INDEX(Shipping!$F$5:$F$64,MATCH(J204,Shipping!$L$5:$L$64,0)),0))</f>
        <v>0</v>
      </c>
      <c r="AF204" s="36">
        <f>IF(B204="","",IFERROR(INDEX(Shipping!$C$5:$C$64,MATCH(J204,Shipping!$L$5:$L$64,0)),""))</f>
        <v>0</v>
      </c>
      <c r="AG204" s="20">
        <f>IF(B204="","",ROUND(MAX(0,AD204-AE204),2))</f>
        <v>0</v>
      </c>
      <c r="AH204" s="20">
        <f>IF(B204="","",ROUND(T204+Z204+AA204+AB204+AG204,2))</f>
        <v>0</v>
      </c>
      <c r="AI204" s="33">
        <f>IF(B204="","",IFERROR(INDEX(Channels!$S$5:$S$18,MATCH(IF(H204="",DefaultChannel,H204),Channels!$A$5:$A$18,0)),0))</f>
        <v>0</v>
      </c>
      <c r="AJ204" s="42">
        <f>IF(B204="","",IFERROR(INDEX(Channels!$O$5:$O$18,MATCH(IF(H204="",DefaultChannel,H204),Channels!$A$5:$A$18,0)),"No"))</f>
        <v>0</v>
      </c>
      <c r="AK204" s="20">
        <f>IF(B204="","",ROUND(IFERROR(INDEX(Channels!$T$5:$T$18,MATCH(IF(H204="",DefaultChannel,H204),Channels!$A$5:$A$18,0)),0)+IF(AJ204="Yes",AE204*AI204,0),4))</f>
        <v>0</v>
      </c>
      <c r="AL204" s="33">
        <f>IF(B204="","",IF(OverheadMethod="Share of revenue",IF(RevenueTargetMonth&lt;=0,0,OverheadMonthly/RevenueTargetMonth),0))</f>
        <v>0</v>
      </c>
      <c r="AM204" s="20">
        <f>IF(B204="","",IF(OverheadMethod="Per hour worked",ROUND(OverheadPerHour*Y204,2),IF(OR(OverheadMethod="Per unit made",OverheadMethod="Per order"),OverheadPerUnit,0)))</f>
        <v>0</v>
      </c>
      <c r="AN204" s="33">
        <f>IF(B204="","",IF(N204&lt;&gt;"",N204,TargetRetailMargin))</f>
        <v>0</v>
      </c>
      <c r="AO204" s="41">
        <f>IF(B204="","",1-AN204-AI204-AL204)</f>
        <v>0</v>
      </c>
      <c r="AP204" s="20">
        <f>IF(B204="","",IF(AO204&lt;=0,"",(AH204+AM204+AK204)/AO204))</f>
        <v>0</v>
      </c>
      <c r="AQ204" s="20">
        <f>IF(B204="","",IF(AP204="","Check the settings",ROUND(IF(RoundingRule="None",AP204,IF(RoundingRule="Nearest 0.99",MAX(0.99,CEILING(AP204,1)-0.01),IF(RoundingRule="Nearest 0.95",MAX(0.95,CEILING(AP204,1)-0.05),IF(RoundingRule="Nearest 0.50",CEILING(AP204,0.5),IF(RoundingRule="Nearest 1",CEILING(AP204,1),IF(RoundingRule="Nearest 5",CEILING(AP204,5),IF(RoundingRule="Up to whole 1",CEILING(AP204,1),IF(RoundingRule="Up to whole 5",CEILING(AP204,5),ROUND(AP204,2))))))))),2)))</f>
        <v>0</v>
      </c>
      <c r="AR204" s="20">
        <f>IF(B204="","",IF(M204&lt;&gt;"",M204,IF(ISNUMBER(AQ204),AQ204,"")))</f>
        <v>0</v>
      </c>
      <c r="AS204" s="20">
        <f>IF(B204="","",IF(AR204="","",ROUND(AM204+AR204*AL204,2)))</f>
        <v>0</v>
      </c>
      <c r="AT204" s="20">
        <f>IF(B204="","",IF(AR204="","",ROUND(AH204+AS204,2)))</f>
        <v>0</v>
      </c>
      <c r="AU204" s="20">
        <f>IF(B204="","",IF(AR204="","",ROUND(AR204*AI204+AK204,2)))</f>
        <v>0</v>
      </c>
      <c r="AV204" s="20">
        <f>IF(B204="","",IF(AR204="","",ROUND(AR204-AT204-AU204,2)))</f>
        <v>0</v>
      </c>
      <c r="AW204" s="33">
        <f>IF(B204="","",IF(OR(AR204="",AR204=0),"",AV204/AR204))</f>
        <v>0</v>
      </c>
      <c r="AX204" s="33">
        <f>IF(B204="","",IF(OR(AT204="",AT204=0),"",AV204/AT204))</f>
        <v>0</v>
      </c>
      <c r="AY204" s="20">
        <f>IF(B204="","",IF(OR(Y204="",Y204=0,AV204=""),"",ROUND(AV204/Y204,2)))</f>
        <v>0</v>
      </c>
      <c r="AZ204" s="20">
        <f>IF(B204="","",IF(OR(Y204="",Y204=0,AV204=""),"",ROUND((AV204+Z204)/Y204,2)))</f>
        <v>0</v>
      </c>
      <c r="BA204" s="20">
        <f>IF(B204="","",IF(1-AI204-AL204&lt;=0,"",ROUND((AH204+AM204+AK204)/(1-AI204-AL204),2)))</f>
        <v>0</v>
      </c>
      <c r="BB204" s="20">
        <f>IF(B204="","",IF(AT204="","",ROUND(AT204*2,2)))</f>
        <v>0</v>
      </c>
      <c r="BC204" s="20">
        <f>IF(B204="","",IF(AR204="","",ROUND(AR204*(1-WholesaleDiscount),2)))</f>
        <v>0</v>
      </c>
      <c r="BD204" s="20">
        <f>IF(B204="","",IF(BC204="","",ROUND(BC204-AH204-AM204,2)))</f>
        <v>0</v>
      </c>
      <c r="BE204" s="33">
        <f>IF(B204="","",IF(OR(BC204="",BC204=0),"",BD204/BC204))</f>
        <v>0</v>
      </c>
      <c r="BF204" s="20">
        <f>IF(B204="","",IFERROR(ROUND(AVERAGEIFS(Competitors!$F$5:$F$154,Competitors!$A$5:$A$154,A204),2),""))</f>
        <v>0</v>
      </c>
      <c r="BG204" s="33">
        <f>IF(B204="","",IF(OR(BF204="",BF204=0,AR204=""),"",AR204/BF204-1))</f>
        <v>0</v>
      </c>
      <c r="BH204" s="32">
        <f>IF(B204="","",SUMIFS(Sales!$D$5:$D$804,Sales!$C$5:$C$804,A204))</f>
        <v>0</v>
      </c>
      <c r="BI204" s="20">
        <f>IF(B204="","",ROUND(SUMIFS(Sales!$V$5:$V$804,Sales!$C$5:$C$804,A204),2))</f>
        <v>0</v>
      </c>
      <c r="BJ204" s="20">
        <f>IF(B204="","",ROUND(SUMIFS(Sales!$AG$5:$AG$804,Sales!$C$5:$C$804,A204),2))</f>
        <v>0</v>
      </c>
      <c r="BK204" s="33">
        <f>IF(B204="","",IF(OR(BI204="",BI204=0),"",BJ204/BI204))</f>
        <v>0</v>
      </c>
      <c r="BL204" s="17">
        <f>IF(B204="","",IF(SUMPRODUCT(MAX((Sales!$C$5:$C$804=A204)*Sales!$B$5:$B$804))=0,"",SUMPRODUCT(MAX((Sales!$C$5:$C$804=A204)*Sales!$B$5:$B$804))))</f>
        <v>0</v>
      </c>
      <c r="BM204" s="17">
        <f>IF(B204="","",IF(SUMPRODUCT(MAX(('Price History'!$B$5:$B$304=A204)*'Price History'!$A$5:$A$304))=0,IF(P204="","",P204),SUMPRODUCT(MAX(('Price History'!$B$5:$B$304=A204)*'Price History'!$A$5:$A$304))))</f>
        <v>0</v>
      </c>
      <c r="BN204" s="32">
        <f>IF(B204="","",IF(BM204="","",TodayDate-BM204))</f>
        <v>0</v>
      </c>
      <c r="BO204" s="32">
        <f>IF(B204="","",COUNTIFS($AV$5:$AV$304,"&gt;"&amp;AV204)+COUNTIFS($AV$5:AV204,AV204))</f>
        <v>0</v>
      </c>
      <c r="BP204" s="32">
        <f>IF(B204="","",COUNTIFS($AW$5:$AW$304,"&gt;"&amp;AW204)+COUNTIFS($AW$5:AW204,AW204))</f>
        <v>0</v>
      </c>
      <c r="BQ204" s="32">
        <f>IF(B204="","",COUNTIFS($BI$5:$BI$304,"&gt;"&amp;BI204)+COUNTIFS($BI$5:BI204,BI204))</f>
        <v>0</v>
      </c>
      <c r="BR204" s="32">
        <f>IF(B204="","",COUNTIFS($AY$5:$AY$304,"&gt;"&amp;AY204)+COUNTIFS($AY$5:AY204,AY204))</f>
        <v>0</v>
      </c>
      <c r="BS204" s="43">
        <f>IF(B204="","",IF(AH204=0,"Add - no costs entered yet",IF(AR204="","Check - no price yet",IF(AV204&lt;0,"Loss - every sale costs you money",IF(AND(AZ204&lt;&gt;"",AZ204&lt;MinimumWage),"Below - pays under minimum wage",IF(AW204&lt;MarginWarning,"Low margin - re-price it",IF(AND(AF204&lt;&gt;"",K204&lt;&gt;"",K204+AC204&gt;AF204),"Check - too heavy for that postage band",IF(AND(BN204&lt;&gt;"",BN204&gt;PriceReviewDays),"Due - price has not been reviewed",IF(AND(BG204&lt;&gt;"",BG204&gt;0.5),"Check - well above the market","OK")))))))) )</f>
        <v>0</v>
      </c>
    </row>
    <row r="205" spans="1:71">
      <c r="A205" s="38">
        <f>IF(B205="","",ProductPrefix&amp;TEXT(ROW()-4,"0000"))</f>
        <v>0</v>
      </c>
      <c r="S205" s="38">
        <f>IF(B205="","",IF(C205&lt;&gt;"",C205,UPPER(LEFT(IF(D205="","GEN",D205),3))&amp;"-"&amp;TEXT(ROW()-4,"000")))</f>
        <v>0</v>
      </c>
      <c r="T205" s="20">
        <f>IF(B205="","",ROUND(SUMIFS('Material Usage'!$M$5:$M$904,'Material Usage'!$A$5:$A$904,A205)+SUMIFS(Crochet!$AD$5:$AD$84,Crochet!$A$5:$A$84,A205)+SUMIFS(Jewelry!$AF$5:$AF$84,Jewelry!$A$5:$A$84,A205)+SUMIFS(Candles!$AF$5:$AF$84,Candles!$A$5:$A$84,A205)+SUMIFS(Clothing!$AB$5:$AB$84,Clothing!$A$5:$A$84,A205)+SUMIFS(Woodworking!$AC$5:$AC$84,Woodworking!$A$5:$A$84,A205)+SUMIFS(Digital!$X$5:$X$84,Digital!$A$5:$A$84,A205),2))</f>
        <v>0</v>
      </c>
      <c r="U205" s="20">
        <f>IF(B205="","",ROUND(SUMIFS(Labor!$O$5:$O$304,Labor!$A$5:$A$304,A205)+SUMIFS(Crochet!$AG$5:$AG$84,Crochet!$A$5:$A$84,A205)+SUMIFS(Jewelry!$AI$5:$AI$84,Jewelry!$A$5:$A$84,A205)+SUMIFS(Candles!$AI$5:$AI$84,Candles!$A$5:$A$84,A205)+SUMIFS(Clothing!$AE$5:$AE$84,Clothing!$A$5:$A$84,A205)+SUMIFS(Woodworking!$AF$5:$AF$84,Woodworking!$A$5:$A$84,A205)+SUMIFS(Digital!$Z$5:$Z$84,Digital!$A$5:$A$84,A205),2))</f>
        <v>0</v>
      </c>
      <c r="V205" s="36">
        <f>IF(B205="","",ROUND(SUMIFS(Labor!$P$5:$P$304,Labor!$A$5:$A$304,A205)+SUMIFS(Crochet!$AE$5:$AE$84,Crochet!$A$5:$A$84,A205)+SUMIFS(Jewelry!$AG$5:$AG$84,Jewelry!$A$5:$A$84,A205)+SUMIFS(Candles!$AG$5:$AG$84,Candles!$A$5:$A$84,A205)+SUMIFS(Clothing!$AC$5:$AC$84,Clothing!$A$5:$A$84,A205)+SUMIFS(Woodworking!$AD$5:$AD$84,Woodworking!$A$5:$A$84,A205)+SUMIFS(Digital!$Y$5:$Y$84,Digital!$A$5:$A$84,A205),1))</f>
        <v>0</v>
      </c>
      <c r="W205" s="41">
        <f>IF(B205="","",IFERROR(INDEX(DiffTimeFactors,MATCH(G205,DiffNames,0)),1))</f>
        <v>0</v>
      </c>
      <c r="X205" s="36">
        <f>IF(B205="","",ROUND(V205*W205,1))</f>
        <v>0</v>
      </c>
      <c r="Y205" s="41">
        <f>IF(B205="","",ROUND(X205/60,3))</f>
        <v>0</v>
      </c>
      <c r="Z205" s="20">
        <f>IF(B205="","",ROUND(U205*W205,2))</f>
        <v>0</v>
      </c>
      <c r="AA205" s="20">
        <f>IF(B205="","",ROUND(SUMIFS(Labor!$Q$5:$Q$304,Labor!$A$5:$A$304,A205)+SUMIFS(Crochet!$AH$5:$AH$84,Crochet!$A$5:$A$84,A205)+SUMIFS(Jewelry!$AJ$5:$AJ$84,Jewelry!$A$5:$A$84,A205)+SUMIFS(Candles!$AJ$5:$AJ$84,Candles!$A$5:$A$84,A205)+SUMIFS(Clothing!$AF$5:$AF$84,Clothing!$A$5:$A$84,A205)+SUMIFS(Woodworking!$AH$5:$AH$84,Woodworking!$A$5:$A$84,A205)+SUMIFS(Digital!$AA$5:$AA$84,Digital!$A$5:$A$84,A205),2))</f>
        <v>0</v>
      </c>
      <c r="AB205" s="20">
        <f>IF(B205="","",ROUND(IF(I205="Budget",PackBudget,IF(I205="Standard",PackStandard,IF(I205="Gift",PackGift,IF(I205="Premium",PackPremium,DefaultPackaging)))),2))</f>
        <v>0</v>
      </c>
      <c r="AC205" s="36">
        <f>IF(B205="","",IF(I205="Budget",PackWeightBudget,IF(I205="Standard",PackWeightStandard,IF(I205="Gift",PackWeightGift,IF(I205="Premium",PackWeightPremium,0)))))</f>
        <v>0</v>
      </c>
      <c r="AD205" s="20">
        <f>IF(B205="","",IFERROR(INDEX(Shipping!$M$5:$M$64,MATCH(J205,Shipping!$L$5:$L$64,0)),DefaultShipping))</f>
        <v>0</v>
      </c>
      <c r="AE205" s="20">
        <f>IF(B205="","",IFERROR(INDEX(Shipping!$F$5:$F$64,MATCH(J205,Shipping!$L$5:$L$64,0)),0))</f>
        <v>0</v>
      </c>
      <c r="AF205" s="36">
        <f>IF(B205="","",IFERROR(INDEX(Shipping!$C$5:$C$64,MATCH(J205,Shipping!$L$5:$L$64,0)),""))</f>
        <v>0</v>
      </c>
      <c r="AG205" s="20">
        <f>IF(B205="","",ROUND(MAX(0,AD205-AE205),2))</f>
        <v>0</v>
      </c>
      <c r="AH205" s="20">
        <f>IF(B205="","",ROUND(T205+Z205+AA205+AB205+AG205,2))</f>
        <v>0</v>
      </c>
      <c r="AI205" s="33">
        <f>IF(B205="","",IFERROR(INDEX(Channels!$S$5:$S$18,MATCH(IF(H205="",DefaultChannel,H205),Channels!$A$5:$A$18,0)),0))</f>
        <v>0</v>
      </c>
      <c r="AJ205" s="42">
        <f>IF(B205="","",IFERROR(INDEX(Channels!$O$5:$O$18,MATCH(IF(H205="",DefaultChannel,H205),Channels!$A$5:$A$18,0)),"No"))</f>
        <v>0</v>
      </c>
      <c r="AK205" s="20">
        <f>IF(B205="","",ROUND(IFERROR(INDEX(Channels!$T$5:$T$18,MATCH(IF(H205="",DefaultChannel,H205),Channels!$A$5:$A$18,0)),0)+IF(AJ205="Yes",AE205*AI205,0),4))</f>
        <v>0</v>
      </c>
      <c r="AL205" s="33">
        <f>IF(B205="","",IF(OverheadMethod="Share of revenue",IF(RevenueTargetMonth&lt;=0,0,OverheadMonthly/RevenueTargetMonth),0))</f>
        <v>0</v>
      </c>
      <c r="AM205" s="20">
        <f>IF(B205="","",IF(OverheadMethod="Per hour worked",ROUND(OverheadPerHour*Y205,2),IF(OR(OverheadMethod="Per unit made",OverheadMethod="Per order"),OverheadPerUnit,0)))</f>
        <v>0</v>
      </c>
      <c r="AN205" s="33">
        <f>IF(B205="","",IF(N205&lt;&gt;"",N205,TargetRetailMargin))</f>
        <v>0</v>
      </c>
      <c r="AO205" s="41">
        <f>IF(B205="","",1-AN205-AI205-AL205)</f>
        <v>0</v>
      </c>
      <c r="AP205" s="20">
        <f>IF(B205="","",IF(AO205&lt;=0,"",(AH205+AM205+AK205)/AO205))</f>
        <v>0</v>
      </c>
      <c r="AQ205" s="20">
        <f>IF(B205="","",IF(AP205="","Check the settings",ROUND(IF(RoundingRule="None",AP205,IF(RoundingRule="Nearest 0.99",MAX(0.99,CEILING(AP205,1)-0.01),IF(RoundingRule="Nearest 0.95",MAX(0.95,CEILING(AP205,1)-0.05),IF(RoundingRule="Nearest 0.50",CEILING(AP205,0.5),IF(RoundingRule="Nearest 1",CEILING(AP205,1),IF(RoundingRule="Nearest 5",CEILING(AP205,5),IF(RoundingRule="Up to whole 1",CEILING(AP205,1),IF(RoundingRule="Up to whole 5",CEILING(AP205,5),ROUND(AP205,2))))))))),2)))</f>
        <v>0</v>
      </c>
      <c r="AR205" s="20">
        <f>IF(B205="","",IF(M205&lt;&gt;"",M205,IF(ISNUMBER(AQ205),AQ205,"")))</f>
        <v>0</v>
      </c>
      <c r="AS205" s="20">
        <f>IF(B205="","",IF(AR205="","",ROUND(AM205+AR205*AL205,2)))</f>
        <v>0</v>
      </c>
      <c r="AT205" s="20">
        <f>IF(B205="","",IF(AR205="","",ROUND(AH205+AS205,2)))</f>
        <v>0</v>
      </c>
      <c r="AU205" s="20">
        <f>IF(B205="","",IF(AR205="","",ROUND(AR205*AI205+AK205,2)))</f>
        <v>0</v>
      </c>
      <c r="AV205" s="20">
        <f>IF(B205="","",IF(AR205="","",ROUND(AR205-AT205-AU205,2)))</f>
        <v>0</v>
      </c>
      <c r="AW205" s="33">
        <f>IF(B205="","",IF(OR(AR205="",AR205=0),"",AV205/AR205))</f>
        <v>0</v>
      </c>
      <c r="AX205" s="33">
        <f>IF(B205="","",IF(OR(AT205="",AT205=0),"",AV205/AT205))</f>
        <v>0</v>
      </c>
      <c r="AY205" s="20">
        <f>IF(B205="","",IF(OR(Y205="",Y205=0,AV205=""),"",ROUND(AV205/Y205,2)))</f>
        <v>0</v>
      </c>
      <c r="AZ205" s="20">
        <f>IF(B205="","",IF(OR(Y205="",Y205=0,AV205=""),"",ROUND((AV205+Z205)/Y205,2)))</f>
        <v>0</v>
      </c>
      <c r="BA205" s="20">
        <f>IF(B205="","",IF(1-AI205-AL205&lt;=0,"",ROUND((AH205+AM205+AK205)/(1-AI205-AL205),2)))</f>
        <v>0</v>
      </c>
      <c r="BB205" s="20">
        <f>IF(B205="","",IF(AT205="","",ROUND(AT205*2,2)))</f>
        <v>0</v>
      </c>
      <c r="BC205" s="20">
        <f>IF(B205="","",IF(AR205="","",ROUND(AR205*(1-WholesaleDiscount),2)))</f>
        <v>0</v>
      </c>
      <c r="BD205" s="20">
        <f>IF(B205="","",IF(BC205="","",ROUND(BC205-AH205-AM205,2)))</f>
        <v>0</v>
      </c>
      <c r="BE205" s="33">
        <f>IF(B205="","",IF(OR(BC205="",BC205=0),"",BD205/BC205))</f>
        <v>0</v>
      </c>
      <c r="BF205" s="20">
        <f>IF(B205="","",IFERROR(ROUND(AVERAGEIFS(Competitors!$F$5:$F$154,Competitors!$A$5:$A$154,A205),2),""))</f>
        <v>0</v>
      </c>
      <c r="BG205" s="33">
        <f>IF(B205="","",IF(OR(BF205="",BF205=0,AR205=""),"",AR205/BF205-1))</f>
        <v>0</v>
      </c>
      <c r="BH205" s="32">
        <f>IF(B205="","",SUMIFS(Sales!$D$5:$D$804,Sales!$C$5:$C$804,A205))</f>
        <v>0</v>
      </c>
      <c r="BI205" s="20">
        <f>IF(B205="","",ROUND(SUMIFS(Sales!$V$5:$V$804,Sales!$C$5:$C$804,A205),2))</f>
        <v>0</v>
      </c>
      <c r="BJ205" s="20">
        <f>IF(B205="","",ROUND(SUMIFS(Sales!$AG$5:$AG$804,Sales!$C$5:$C$804,A205),2))</f>
        <v>0</v>
      </c>
      <c r="BK205" s="33">
        <f>IF(B205="","",IF(OR(BI205="",BI205=0),"",BJ205/BI205))</f>
        <v>0</v>
      </c>
      <c r="BL205" s="17">
        <f>IF(B205="","",IF(SUMPRODUCT(MAX((Sales!$C$5:$C$804=A205)*Sales!$B$5:$B$804))=0,"",SUMPRODUCT(MAX((Sales!$C$5:$C$804=A205)*Sales!$B$5:$B$804))))</f>
        <v>0</v>
      </c>
      <c r="BM205" s="17">
        <f>IF(B205="","",IF(SUMPRODUCT(MAX(('Price History'!$B$5:$B$304=A205)*'Price History'!$A$5:$A$304))=0,IF(P205="","",P205),SUMPRODUCT(MAX(('Price History'!$B$5:$B$304=A205)*'Price History'!$A$5:$A$304))))</f>
        <v>0</v>
      </c>
      <c r="BN205" s="32">
        <f>IF(B205="","",IF(BM205="","",TodayDate-BM205))</f>
        <v>0</v>
      </c>
      <c r="BO205" s="32">
        <f>IF(B205="","",COUNTIFS($AV$5:$AV$304,"&gt;"&amp;AV205)+COUNTIFS($AV$5:AV205,AV205))</f>
        <v>0</v>
      </c>
      <c r="BP205" s="32">
        <f>IF(B205="","",COUNTIFS($AW$5:$AW$304,"&gt;"&amp;AW205)+COUNTIFS($AW$5:AW205,AW205))</f>
        <v>0</v>
      </c>
      <c r="BQ205" s="32">
        <f>IF(B205="","",COUNTIFS($BI$5:$BI$304,"&gt;"&amp;BI205)+COUNTIFS($BI$5:BI205,BI205))</f>
        <v>0</v>
      </c>
      <c r="BR205" s="32">
        <f>IF(B205="","",COUNTIFS($AY$5:$AY$304,"&gt;"&amp;AY205)+COUNTIFS($AY$5:AY205,AY205))</f>
        <v>0</v>
      </c>
      <c r="BS205" s="43">
        <f>IF(B205="","",IF(AH205=0,"Add - no costs entered yet",IF(AR205="","Check - no price yet",IF(AV205&lt;0,"Loss - every sale costs you money",IF(AND(AZ205&lt;&gt;"",AZ205&lt;MinimumWage),"Below - pays under minimum wage",IF(AW205&lt;MarginWarning,"Low margin - re-price it",IF(AND(AF205&lt;&gt;"",K205&lt;&gt;"",K205+AC205&gt;AF205),"Check - too heavy for that postage band",IF(AND(BN205&lt;&gt;"",BN205&gt;PriceReviewDays),"Due - price has not been reviewed",IF(AND(BG205&lt;&gt;"",BG205&gt;0.5),"Check - well above the market","OK")))))))) )</f>
        <v>0</v>
      </c>
    </row>
    <row r="206" spans="1:71">
      <c r="A206" s="38">
        <f>IF(B206="","",ProductPrefix&amp;TEXT(ROW()-4,"0000"))</f>
        <v>0</v>
      </c>
      <c r="S206" s="38">
        <f>IF(B206="","",IF(C206&lt;&gt;"",C206,UPPER(LEFT(IF(D206="","GEN",D206),3))&amp;"-"&amp;TEXT(ROW()-4,"000")))</f>
        <v>0</v>
      </c>
      <c r="T206" s="20">
        <f>IF(B206="","",ROUND(SUMIFS('Material Usage'!$M$5:$M$904,'Material Usage'!$A$5:$A$904,A206)+SUMIFS(Crochet!$AD$5:$AD$84,Crochet!$A$5:$A$84,A206)+SUMIFS(Jewelry!$AF$5:$AF$84,Jewelry!$A$5:$A$84,A206)+SUMIFS(Candles!$AF$5:$AF$84,Candles!$A$5:$A$84,A206)+SUMIFS(Clothing!$AB$5:$AB$84,Clothing!$A$5:$A$84,A206)+SUMIFS(Woodworking!$AC$5:$AC$84,Woodworking!$A$5:$A$84,A206)+SUMIFS(Digital!$X$5:$X$84,Digital!$A$5:$A$84,A206),2))</f>
        <v>0</v>
      </c>
      <c r="U206" s="20">
        <f>IF(B206="","",ROUND(SUMIFS(Labor!$O$5:$O$304,Labor!$A$5:$A$304,A206)+SUMIFS(Crochet!$AG$5:$AG$84,Crochet!$A$5:$A$84,A206)+SUMIFS(Jewelry!$AI$5:$AI$84,Jewelry!$A$5:$A$84,A206)+SUMIFS(Candles!$AI$5:$AI$84,Candles!$A$5:$A$84,A206)+SUMIFS(Clothing!$AE$5:$AE$84,Clothing!$A$5:$A$84,A206)+SUMIFS(Woodworking!$AF$5:$AF$84,Woodworking!$A$5:$A$84,A206)+SUMIFS(Digital!$Z$5:$Z$84,Digital!$A$5:$A$84,A206),2))</f>
        <v>0</v>
      </c>
      <c r="V206" s="36">
        <f>IF(B206="","",ROUND(SUMIFS(Labor!$P$5:$P$304,Labor!$A$5:$A$304,A206)+SUMIFS(Crochet!$AE$5:$AE$84,Crochet!$A$5:$A$84,A206)+SUMIFS(Jewelry!$AG$5:$AG$84,Jewelry!$A$5:$A$84,A206)+SUMIFS(Candles!$AG$5:$AG$84,Candles!$A$5:$A$84,A206)+SUMIFS(Clothing!$AC$5:$AC$84,Clothing!$A$5:$A$84,A206)+SUMIFS(Woodworking!$AD$5:$AD$84,Woodworking!$A$5:$A$84,A206)+SUMIFS(Digital!$Y$5:$Y$84,Digital!$A$5:$A$84,A206),1))</f>
        <v>0</v>
      </c>
      <c r="W206" s="41">
        <f>IF(B206="","",IFERROR(INDEX(DiffTimeFactors,MATCH(G206,DiffNames,0)),1))</f>
        <v>0</v>
      </c>
      <c r="X206" s="36">
        <f>IF(B206="","",ROUND(V206*W206,1))</f>
        <v>0</v>
      </c>
      <c r="Y206" s="41">
        <f>IF(B206="","",ROUND(X206/60,3))</f>
        <v>0</v>
      </c>
      <c r="Z206" s="20">
        <f>IF(B206="","",ROUND(U206*W206,2))</f>
        <v>0</v>
      </c>
      <c r="AA206" s="20">
        <f>IF(B206="","",ROUND(SUMIFS(Labor!$Q$5:$Q$304,Labor!$A$5:$A$304,A206)+SUMIFS(Crochet!$AH$5:$AH$84,Crochet!$A$5:$A$84,A206)+SUMIFS(Jewelry!$AJ$5:$AJ$84,Jewelry!$A$5:$A$84,A206)+SUMIFS(Candles!$AJ$5:$AJ$84,Candles!$A$5:$A$84,A206)+SUMIFS(Clothing!$AF$5:$AF$84,Clothing!$A$5:$A$84,A206)+SUMIFS(Woodworking!$AH$5:$AH$84,Woodworking!$A$5:$A$84,A206)+SUMIFS(Digital!$AA$5:$AA$84,Digital!$A$5:$A$84,A206),2))</f>
        <v>0</v>
      </c>
      <c r="AB206" s="20">
        <f>IF(B206="","",ROUND(IF(I206="Budget",PackBudget,IF(I206="Standard",PackStandard,IF(I206="Gift",PackGift,IF(I206="Premium",PackPremium,DefaultPackaging)))),2))</f>
        <v>0</v>
      </c>
      <c r="AC206" s="36">
        <f>IF(B206="","",IF(I206="Budget",PackWeightBudget,IF(I206="Standard",PackWeightStandard,IF(I206="Gift",PackWeightGift,IF(I206="Premium",PackWeightPremium,0)))))</f>
        <v>0</v>
      </c>
      <c r="AD206" s="20">
        <f>IF(B206="","",IFERROR(INDEX(Shipping!$M$5:$M$64,MATCH(J206,Shipping!$L$5:$L$64,0)),DefaultShipping))</f>
        <v>0</v>
      </c>
      <c r="AE206" s="20">
        <f>IF(B206="","",IFERROR(INDEX(Shipping!$F$5:$F$64,MATCH(J206,Shipping!$L$5:$L$64,0)),0))</f>
        <v>0</v>
      </c>
      <c r="AF206" s="36">
        <f>IF(B206="","",IFERROR(INDEX(Shipping!$C$5:$C$64,MATCH(J206,Shipping!$L$5:$L$64,0)),""))</f>
        <v>0</v>
      </c>
      <c r="AG206" s="20">
        <f>IF(B206="","",ROUND(MAX(0,AD206-AE206),2))</f>
        <v>0</v>
      </c>
      <c r="AH206" s="20">
        <f>IF(B206="","",ROUND(T206+Z206+AA206+AB206+AG206,2))</f>
        <v>0</v>
      </c>
      <c r="AI206" s="33">
        <f>IF(B206="","",IFERROR(INDEX(Channels!$S$5:$S$18,MATCH(IF(H206="",DefaultChannel,H206),Channels!$A$5:$A$18,0)),0))</f>
        <v>0</v>
      </c>
      <c r="AJ206" s="42">
        <f>IF(B206="","",IFERROR(INDEX(Channels!$O$5:$O$18,MATCH(IF(H206="",DefaultChannel,H206),Channels!$A$5:$A$18,0)),"No"))</f>
        <v>0</v>
      </c>
      <c r="AK206" s="20">
        <f>IF(B206="","",ROUND(IFERROR(INDEX(Channels!$T$5:$T$18,MATCH(IF(H206="",DefaultChannel,H206),Channels!$A$5:$A$18,0)),0)+IF(AJ206="Yes",AE206*AI206,0),4))</f>
        <v>0</v>
      </c>
      <c r="AL206" s="33">
        <f>IF(B206="","",IF(OverheadMethod="Share of revenue",IF(RevenueTargetMonth&lt;=0,0,OverheadMonthly/RevenueTargetMonth),0))</f>
        <v>0</v>
      </c>
      <c r="AM206" s="20">
        <f>IF(B206="","",IF(OverheadMethod="Per hour worked",ROUND(OverheadPerHour*Y206,2),IF(OR(OverheadMethod="Per unit made",OverheadMethod="Per order"),OverheadPerUnit,0)))</f>
        <v>0</v>
      </c>
      <c r="AN206" s="33">
        <f>IF(B206="","",IF(N206&lt;&gt;"",N206,TargetRetailMargin))</f>
        <v>0</v>
      </c>
      <c r="AO206" s="41">
        <f>IF(B206="","",1-AN206-AI206-AL206)</f>
        <v>0</v>
      </c>
      <c r="AP206" s="20">
        <f>IF(B206="","",IF(AO206&lt;=0,"",(AH206+AM206+AK206)/AO206))</f>
        <v>0</v>
      </c>
      <c r="AQ206" s="20">
        <f>IF(B206="","",IF(AP206="","Check the settings",ROUND(IF(RoundingRule="None",AP206,IF(RoundingRule="Nearest 0.99",MAX(0.99,CEILING(AP206,1)-0.01),IF(RoundingRule="Nearest 0.95",MAX(0.95,CEILING(AP206,1)-0.05),IF(RoundingRule="Nearest 0.50",CEILING(AP206,0.5),IF(RoundingRule="Nearest 1",CEILING(AP206,1),IF(RoundingRule="Nearest 5",CEILING(AP206,5),IF(RoundingRule="Up to whole 1",CEILING(AP206,1),IF(RoundingRule="Up to whole 5",CEILING(AP206,5),ROUND(AP206,2))))))))),2)))</f>
        <v>0</v>
      </c>
      <c r="AR206" s="20">
        <f>IF(B206="","",IF(M206&lt;&gt;"",M206,IF(ISNUMBER(AQ206),AQ206,"")))</f>
        <v>0</v>
      </c>
      <c r="AS206" s="20">
        <f>IF(B206="","",IF(AR206="","",ROUND(AM206+AR206*AL206,2)))</f>
        <v>0</v>
      </c>
      <c r="AT206" s="20">
        <f>IF(B206="","",IF(AR206="","",ROUND(AH206+AS206,2)))</f>
        <v>0</v>
      </c>
      <c r="AU206" s="20">
        <f>IF(B206="","",IF(AR206="","",ROUND(AR206*AI206+AK206,2)))</f>
        <v>0</v>
      </c>
      <c r="AV206" s="20">
        <f>IF(B206="","",IF(AR206="","",ROUND(AR206-AT206-AU206,2)))</f>
        <v>0</v>
      </c>
      <c r="AW206" s="33">
        <f>IF(B206="","",IF(OR(AR206="",AR206=0),"",AV206/AR206))</f>
        <v>0</v>
      </c>
      <c r="AX206" s="33">
        <f>IF(B206="","",IF(OR(AT206="",AT206=0),"",AV206/AT206))</f>
        <v>0</v>
      </c>
      <c r="AY206" s="20">
        <f>IF(B206="","",IF(OR(Y206="",Y206=0,AV206=""),"",ROUND(AV206/Y206,2)))</f>
        <v>0</v>
      </c>
      <c r="AZ206" s="20">
        <f>IF(B206="","",IF(OR(Y206="",Y206=0,AV206=""),"",ROUND((AV206+Z206)/Y206,2)))</f>
        <v>0</v>
      </c>
      <c r="BA206" s="20">
        <f>IF(B206="","",IF(1-AI206-AL206&lt;=0,"",ROUND((AH206+AM206+AK206)/(1-AI206-AL206),2)))</f>
        <v>0</v>
      </c>
      <c r="BB206" s="20">
        <f>IF(B206="","",IF(AT206="","",ROUND(AT206*2,2)))</f>
        <v>0</v>
      </c>
      <c r="BC206" s="20">
        <f>IF(B206="","",IF(AR206="","",ROUND(AR206*(1-WholesaleDiscount),2)))</f>
        <v>0</v>
      </c>
      <c r="BD206" s="20">
        <f>IF(B206="","",IF(BC206="","",ROUND(BC206-AH206-AM206,2)))</f>
        <v>0</v>
      </c>
      <c r="BE206" s="33">
        <f>IF(B206="","",IF(OR(BC206="",BC206=0),"",BD206/BC206))</f>
        <v>0</v>
      </c>
      <c r="BF206" s="20">
        <f>IF(B206="","",IFERROR(ROUND(AVERAGEIFS(Competitors!$F$5:$F$154,Competitors!$A$5:$A$154,A206),2),""))</f>
        <v>0</v>
      </c>
      <c r="BG206" s="33">
        <f>IF(B206="","",IF(OR(BF206="",BF206=0,AR206=""),"",AR206/BF206-1))</f>
        <v>0</v>
      </c>
      <c r="BH206" s="32">
        <f>IF(B206="","",SUMIFS(Sales!$D$5:$D$804,Sales!$C$5:$C$804,A206))</f>
        <v>0</v>
      </c>
      <c r="BI206" s="20">
        <f>IF(B206="","",ROUND(SUMIFS(Sales!$V$5:$V$804,Sales!$C$5:$C$804,A206),2))</f>
        <v>0</v>
      </c>
      <c r="BJ206" s="20">
        <f>IF(B206="","",ROUND(SUMIFS(Sales!$AG$5:$AG$804,Sales!$C$5:$C$804,A206),2))</f>
        <v>0</v>
      </c>
      <c r="BK206" s="33">
        <f>IF(B206="","",IF(OR(BI206="",BI206=0),"",BJ206/BI206))</f>
        <v>0</v>
      </c>
      <c r="BL206" s="17">
        <f>IF(B206="","",IF(SUMPRODUCT(MAX((Sales!$C$5:$C$804=A206)*Sales!$B$5:$B$804))=0,"",SUMPRODUCT(MAX((Sales!$C$5:$C$804=A206)*Sales!$B$5:$B$804))))</f>
        <v>0</v>
      </c>
      <c r="BM206" s="17">
        <f>IF(B206="","",IF(SUMPRODUCT(MAX(('Price History'!$B$5:$B$304=A206)*'Price History'!$A$5:$A$304))=0,IF(P206="","",P206),SUMPRODUCT(MAX(('Price History'!$B$5:$B$304=A206)*'Price History'!$A$5:$A$304))))</f>
        <v>0</v>
      </c>
      <c r="BN206" s="32">
        <f>IF(B206="","",IF(BM206="","",TodayDate-BM206))</f>
        <v>0</v>
      </c>
      <c r="BO206" s="32">
        <f>IF(B206="","",COUNTIFS($AV$5:$AV$304,"&gt;"&amp;AV206)+COUNTIFS($AV$5:AV206,AV206))</f>
        <v>0</v>
      </c>
      <c r="BP206" s="32">
        <f>IF(B206="","",COUNTIFS($AW$5:$AW$304,"&gt;"&amp;AW206)+COUNTIFS($AW$5:AW206,AW206))</f>
        <v>0</v>
      </c>
      <c r="BQ206" s="32">
        <f>IF(B206="","",COUNTIFS($BI$5:$BI$304,"&gt;"&amp;BI206)+COUNTIFS($BI$5:BI206,BI206))</f>
        <v>0</v>
      </c>
      <c r="BR206" s="32">
        <f>IF(B206="","",COUNTIFS($AY$5:$AY$304,"&gt;"&amp;AY206)+COUNTIFS($AY$5:AY206,AY206))</f>
        <v>0</v>
      </c>
      <c r="BS206" s="43">
        <f>IF(B206="","",IF(AH206=0,"Add - no costs entered yet",IF(AR206="","Check - no price yet",IF(AV206&lt;0,"Loss - every sale costs you money",IF(AND(AZ206&lt;&gt;"",AZ206&lt;MinimumWage),"Below - pays under minimum wage",IF(AW206&lt;MarginWarning,"Low margin - re-price it",IF(AND(AF206&lt;&gt;"",K206&lt;&gt;"",K206+AC206&gt;AF206),"Check - too heavy for that postage band",IF(AND(BN206&lt;&gt;"",BN206&gt;PriceReviewDays),"Due - price has not been reviewed",IF(AND(BG206&lt;&gt;"",BG206&gt;0.5),"Check - well above the market","OK")))))))) )</f>
        <v>0</v>
      </c>
    </row>
    <row r="207" spans="1:71">
      <c r="A207" s="38">
        <f>IF(B207="","",ProductPrefix&amp;TEXT(ROW()-4,"0000"))</f>
        <v>0</v>
      </c>
      <c r="S207" s="38">
        <f>IF(B207="","",IF(C207&lt;&gt;"",C207,UPPER(LEFT(IF(D207="","GEN",D207),3))&amp;"-"&amp;TEXT(ROW()-4,"000")))</f>
        <v>0</v>
      </c>
      <c r="T207" s="20">
        <f>IF(B207="","",ROUND(SUMIFS('Material Usage'!$M$5:$M$904,'Material Usage'!$A$5:$A$904,A207)+SUMIFS(Crochet!$AD$5:$AD$84,Crochet!$A$5:$A$84,A207)+SUMIFS(Jewelry!$AF$5:$AF$84,Jewelry!$A$5:$A$84,A207)+SUMIFS(Candles!$AF$5:$AF$84,Candles!$A$5:$A$84,A207)+SUMIFS(Clothing!$AB$5:$AB$84,Clothing!$A$5:$A$84,A207)+SUMIFS(Woodworking!$AC$5:$AC$84,Woodworking!$A$5:$A$84,A207)+SUMIFS(Digital!$X$5:$X$84,Digital!$A$5:$A$84,A207),2))</f>
        <v>0</v>
      </c>
      <c r="U207" s="20">
        <f>IF(B207="","",ROUND(SUMIFS(Labor!$O$5:$O$304,Labor!$A$5:$A$304,A207)+SUMIFS(Crochet!$AG$5:$AG$84,Crochet!$A$5:$A$84,A207)+SUMIFS(Jewelry!$AI$5:$AI$84,Jewelry!$A$5:$A$84,A207)+SUMIFS(Candles!$AI$5:$AI$84,Candles!$A$5:$A$84,A207)+SUMIFS(Clothing!$AE$5:$AE$84,Clothing!$A$5:$A$84,A207)+SUMIFS(Woodworking!$AF$5:$AF$84,Woodworking!$A$5:$A$84,A207)+SUMIFS(Digital!$Z$5:$Z$84,Digital!$A$5:$A$84,A207),2))</f>
        <v>0</v>
      </c>
      <c r="V207" s="36">
        <f>IF(B207="","",ROUND(SUMIFS(Labor!$P$5:$P$304,Labor!$A$5:$A$304,A207)+SUMIFS(Crochet!$AE$5:$AE$84,Crochet!$A$5:$A$84,A207)+SUMIFS(Jewelry!$AG$5:$AG$84,Jewelry!$A$5:$A$84,A207)+SUMIFS(Candles!$AG$5:$AG$84,Candles!$A$5:$A$84,A207)+SUMIFS(Clothing!$AC$5:$AC$84,Clothing!$A$5:$A$84,A207)+SUMIFS(Woodworking!$AD$5:$AD$84,Woodworking!$A$5:$A$84,A207)+SUMIFS(Digital!$Y$5:$Y$84,Digital!$A$5:$A$84,A207),1))</f>
        <v>0</v>
      </c>
      <c r="W207" s="41">
        <f>IF(B207="","",IFERROR(INDEX(DiffTimeFactors,MATCH(G207,DiffNames,0)),1))</f>
        <v>0</v>
      </c>
      <c r="X207" s="36">
        <f>IF(B207="","",ROUND(V207*W207,1))</f>
        <v>0</v>
      </c>
      <c r="Y207" s="41">
        <f>IF(B207="","",ROUND(X207/60,3))</f>
        <v>0</v>
      </c>
      <c r="Z207" s="20">
        <f>IF(B207="","",ROUND(U207*W207,2))</f>
        <v>0</v>
      </c>
      <c r="AA207" s="20">
        <f>IF(B207="","",ROUND(SUMIFS(Labor!$Q$5:$Q$304,Labor!$A$5:$A$304,A207)+SUMIFS(Crochet!$AH$5:$AH$84,Crochet!$A$5:$A$84,A207)+SUMIFS(Jewelry!$AJ$5:$AJ$84,Jewelry!$A$5:$A$84,A207)+SUMIFS(Candles!$AJ$5:$AJ$84,Candles!$A$5:$A$84,A207)+SUMIFS(Clothing!$AF$5:$AF$84,Clothing!$A$5:$A$84,A207)+SUMIFS(Woodworking!$AH$5:$AH$84,Woodworking!$A$5:$A$84,A207)+SUMIFS(Digital!$AA$5:$AA$84,Digital!$A$5:$A$84,A207),2))</f>
        <v>0</v>
      </c>
      <c r="AB207" s="20">
        <f>IF(B207="","",ROUND(IF(I207="Budget",PackBudget,IF(I207="Standard",PackStandard,IF(I207="Gift",PackGift,IF(I207="Premium",PackPremium,DefaultPackaging)))),2))</f>
        <v>0</v>
      </c>
      <c r="AC207" s="36">
        <f>IF(B207="","",IF(I207="Budget",PackWeightBudget,IF(I207="Standard",PackWeightStandard,IF(I207="Gift",PackWeightGift,IF(I207="Premium",PackWeightPremium,0)))))</f>
        <v>0</v>
      </c>
      <c r="AD207" s="20">
        <f>IF(B207="","",IFERROR(INDEX(Shipping!$M$5:$M$64,MATCH(J207,Shipping!$L$5:$L$64,0)),DefaultShipping))</f>
        <v>0</v>
      </c>
      <c r="AE207" s="20">
        <f>IF(B207="","",IFERROR(INDEX(Shipping!$F$5:$F$64,MATCH(J207,Shipping!$L$5:$L$64,0)),0))</f>
        <v>0</v>
      </c>
      <c r="AF207" s="36">
        <f>IF(B207="","",IFERROR(INDEX(Shipping!$C$5:$C$64,MATCH(J207,Shipping!$L$5:$L$64,0)),""))</f>
        <v>0</v>
      </c>
      <c r="AG207" s="20">
        <f>IF(B207="","",ROUND(MAX(0,AD207-AE207),2))</f>
        <v>0</v>
      </c>
      <c r="AH207" s="20">
        <f>IF(B207="","",ROUND(T207+Z207+AA207+AB207+AG207,2))</f>
        <v>0</v>
      </c>
      <c r="AI207" s="33">
        <f>IF(B207="","",IFERROR(INDEX(Channels!$S$5:$S$18,MATCH(IF(H207="",DefaultChannel,H207),Channels!$A$5:$A$18,0)),0))</f>
        <v>0</v>
      </c>
      <c r="AJ207" s="42">
        <f>IF(B207="","",IFERROR(INDEX(Channels!$O$5:$O$18,MATCH(IF(H207="",DefaultChannel,H207),Channels!$A$5:$A$18,0)),"No"))</f>
        <v>0</v>
      </c>
      <c r="AK207" s="20">
        <f>IF(B207="","",ROUND(IFERROR(INDEX(Channels!$T$5:$T$18,MATCH(IF(H207="",DefaultChannel,H207),Channels!$A$5:$A$18,0)),0)+IF(AJ207="Yes",AE207*AI207,0),4))</f>
        <v>0</v>
      </c>
      <c r="AL207" s="33">
        <f>IF(B207="","",IF(OverheadMethod="Share of revenue",IF(RevenueTargetMonth&lt;=0,0,OverheadMonthly/RevenueTargetMonth),0))</f>
        <v>0</v>
      </c>
      <c r="AM207" s="20">
        <f>IF(B207="","",IF(OverheadMethod="Per hour worked",ROUND(OverheadPerHour*Y207,2),IF(OR(OverheadMethod="Per unit made",OverheadMethod="Per order"),OverheadPerUnit,0)))</f>
        <v>0</v>
      </c>
      <c r="AN207" s="33">
        <f>IF(B207="","",IF(N207&lt;&gt;"",N207,TargetRetailMargin))</f>
        <v>0</v>
      </c>
      <c r="AO207" s="41">
        <f>IF(B207="","",1-AN207-AI207-AL207)</f>
        <v>0</v>
      </c>
      <c r="AP207" s="20">
        <f>IF(B207="","",IF(AO207&lt;=0,"",(AH207+AM207+AK207)/AO207))</f>
        <v>0</v>
      </c>
      <c r="AQ207" s="20">
        <f>IF(B207="","",IF(AP207="","Check the settings",ROUND(IF(RoundingRule="None",AP207,IF(RoundingRule="Nearest 0.99",MAX(0.99,CEILING(AP207,1)-0.01),IF(RoundingRule="Nearest 0.95",MAX(0.95,CEILING(AP207,1)-0.05),IF(RoundingRule="Nearest 0.50",CEILING(AP207,0.5),IF(RoundingRule="Nearest 1",CEILING(AP207,1),IF(RoundingRule="Nearest 5",CEILING(AP207,5),IF(RoundingRule="Up to whole 1",CEILING(AP207,1),IF(RoundingRule="Up to whole 5",CEILING(AP207,5),ROUND(AP207,2))))))))),2)))</f>
        <v>0</v>
      </c>
      <c r="AR207" s="20">
        <f>IF(B207="","",IF(M207&lt;&gt;"",M207,IF(ISNUMBER(AQ207),AQ207,"")))</f>
        <v>0</v>
      </c>
      <c r="AS207" s="20">
        <f>IF(B207="","",IF(AR207="","",ROUND(AM207+AR207*AL207,2)))</f>
        <v>0</v>
      </c>
      <c r="AT207" s="20">
        <f>IF(B207="","",IF(AR207="","",ROUND(AH207+AS207,2)))</f>
        <v>0</v>
      </c>
      <c r="AU207" s="20">
        <f>IF(B207="","",IF(AR207="","",ROUND(AR207*AI207+AK207,2)))</f>
        <v>0</v>
      </c>
      <c r="AV207" s="20">
        <f>IF(B207="","",IF(AR207="","",ROUND(AR207-AT207-AU207,2)))</f>
        <v>0</v>
      </c>
      <c r="AW207" s="33">
        <f>IF(B207="","",IF(OR(AR207="",AR207=0),"",AV207/AR207))</f>
        <v>0</v>
      </c>
      <c r="AX207" s="33">
        <f>IF(B207="","",IF(OR(AT207="",AT207=0),"",AV207/AT207))</f>
        <v>0</v>
      </c>
      <c r="AY207" s="20">
        <f>IF(B207="","",IF(OR(Y207="",Y207=0,AV207=""),"",ROUND(AV207/Y207,2)))</f>
        <v>0</v>
      </c>
      <c r="AZ207" s="20">
        <f>IF(B207="","",IF(OR(Y207="",Y207=0,AV207=""),"",ROUND((AV207+Z207)/Y207,2)))</f>
        <v>0</v>
      </c>
      <c r="BA207" s="20">
        <f>IF(B207="","",IF(1-AI207-AL207&lt;=0,"",ROUND((AH207+AM207+AK207)/(1-AI207-AL207),2)))</f>
        <v>0</v>
      </c>
      <c r="BB207" s="20">
        <f>IF(B207="","",IF(AT207="","",ROUND(AT207*2,2)))</f>
        <v>0</v>
      </c>
      <c r="BC207" s="20">
        <f>IF(B207="","",IF(AR207="","",ROUND(AR207*(1-WholesaleDiscount),2)))</f>
        <v>0</v>
      </c>
      <c r="BD207" s="20">
        <f>IF(B207="","",IF(BC207="","",ROUND(BC207-AH207-AM207,2)))</f>
        <v>0</v>
      </c>
      <c r="BE207" s="33">
        <f>IF(B207="","",IF(OR(BC207="",BC207=0),"",BD207/BC207))</f>
        <v>0</v>
      </c>
      <c r="BF207" s="20">
        <f>IF(B207="","",IFERROR(ROUND(AVERAGEIFS(Competitors!$F$5:$F$154,Competitors!$A$5:$A$154,A207),2),""))</f>
        <v>0</v>
      </c>
      <c r="BG207" s="33">
        <f>IF(B207="","",IF(OR(BF207="",BF207=0,AR207=""),"",AR207/BF207-1))</f>
        <v>0</v>
      </c>
      <c r="BH207" s="32">
        <f>IF(B207="","",SUMIFS(Sales!$D$5:$D$804,Sales!$C$5:$C$804,A207))</f>
        <v>0</v>
      </c>
      <c r="BI207" s="20">
        <f>IF(B207="","",ROUND(SUMIFS(Sales!$V$5:$V$804,Sales!$C$5:$C$804,A207),2))</f>
        <v>0</v>
      </c>
      <c r="BJ207" s="20">
        <f>IF(B207="","",ROUND(SUMIFS(Sales!$AG$5:$AG$804,Sales!$C$5:$C$804,A207),2))</f>
        <v>0</v>
      </c>
      <c r="BK207" s="33">
        <f>IF(B207="","",IF(OR(BI207="",BI207=0),"",BJ207/BI207))</f>
        <v>0</v>
      </c>
      <c r="BL207" s="17">
        <f>IF(B207="","",IF(SUMPRODUCT(MAX((Sales!$C$5:$C$804=A207)*Sales!$B$5:$B$804))=0,"",SUMPRODUCT(MAX((Sales!$C$5:$C$804=A207)*Sales!$B$5:$B$804))))</f>
        <v>0</v>
      </c>
      <c r="BM207" s="17">
        <f>IF(B207="","",IF(SUMPRODUCT(MAX(('Price History'!$B$5:$B$304=A207)*'Price History'!$A$5:$A$304))=0,IF(P207="","",P207),SUMPRODUCT(MAX(('Price History'!$B$5:$B$304=A207)*'Price History'!$A$5:$A$304))))</f>
        <v>0</v>
      </c>
      <c r="BN207" s="32">
        <f>IF(B207="","",IF(BM207="","",TodayDate-BM207))</f>
        <v>0</v>
      </c>
      <c r="BO207" s="32">
        <f>IF(B207="","",COUNTIFS($AV$5:$AV$304,"&gt;"&amp;AV207)+COUNTIFS($AV$5:AV207,AV207))</f>
        <v>0</v>
      </c>
      <c r="BP207" s="32">
        <f>IF(B207="","",COUNTIFS($AW$5:$AW$304,"&gt;"&amp;AW207)+COUNTIFS($AW$5:AW207,AW207))</f>
        <v>0</v>
      </c>
      <c r="BQ207" s="32">
        <f>IF(B207="","",COUNTIFS($BI$5:$BI$304,"&gt;"&amp;BI207)+COUNTIFS($BI$5:BI207,BI207))</f>
        <v>0</v>
      </c>
      <c r="BR207" s="32">
        <f>IF(B207="","",COUNTIFS($AY$5:$AY$304,"&gt;"&amp;AY207)+COUNTIFS($AY$5:AY207,AY207))</f>
        <v>0</v>
      </c>
      <c r="BS207" s="43">
        <f>IF(B207="","",IF(AH207=0,"Add - no costs entered yet",IF(AR207="","Check - no price yet",IF(AV207&lt;0,"Loss - every sale costs you money",IF(AND(AZ207&lt;&gt;"",AZ207&lt;MinimumWage),"Below - pays under minimum wage",IF(AW207&lt;MarginWarning,"Low margin - re-price it",IF(AND(AF207&lt;&gt;"",K207&lt;&gt;"",K207+AC207&gt;AF207),"Check - too heavy for that postage band",IF(AND(BN207&lt;&gt;"",BN207&gt;PriceReviewDays),"Due - price has not been reviewed",IF(AND(BG207&lt;&gt;"",BG207&gt;0.5),"Check - well above the market","OK")))))))) )</f>
        <v>0</v>
      </c>
    </row>
    <row r="208" spans="1:71">
      <c r="A208" s="38">
        <f>IF(B208="","",ProductPrefix&amp;TEXT(ROW()-4,"0000"))</f>
        <v>0</v>
      </c>
      <c r="S208" s="38">
        <f>IF(B208="","",IF(C208&lt;&gt;"",C208,UPPER(LEFT(IF(D208="","GEN",D208),3))&amp;"-"&amp;TEXT(ROW()-4,"000")))</f>
        <v>0</v>
      </c>
      <c r="T208" s="20">
        <f>IF(B208="","",ROUND(SUMIFS('Material Usage'!$M$5:$M$904,'Material Usage'!$A$5:$A$904,A208)+SUMIFS(Crochet!$AD$5:$AD$84,Crochet!$A$5:$A$84,A208)+SUMIFS(Jewelry!$AF$5:$AF$84,Jewelry!$A$5:$A$84,A208)+SUMIFS(Candles!$AF$5:$AF$84,Candles!$A$5:$A$84,A208)+SUMIFS(Clothing!$AB$5:$AB$84,Clothing!$A$5:$A$84,A208)+SUMIFS(Woodworking!$AC$5:$AC$84,Woodworking!$A$5:$A$84,A208)+SUMIFS(Digital!$X$5:$X$84,Digital!$A$5:$A$84,A208),2))</f>
        <v>0</v>
      </c>
      <c r="U208" s="20">
        <f>IF(B208="","",ROUND(SUMIFS(Labor!$O$5:$O$304,Labor!$A$5:$A$304,A208)+SUMIFS(Crochet!$AG$5:$AG$84,Crochet!$A$5:$A$84,A208)+SUMIFS(Jewelry!$AI$5:$AI$84,Jewelry!$A$5:$A$84,A208)+SUMIFS(Candles!$AI$5:$AI$84,Candles!$A$5:$A$84,A208)+SUMIFS(Clothing!$AE$5:$AE$84,Clothing!$A$5:$A$84,A208)+SUMIFS(Woodworking!$AF$5:$AF$84,Woodworking!$A$5:$A$84,A208)+SUMIFS(Digital!$Z$5:$Z$84,Digital!$A$5:$A$84,A208),2))</f>
        <v>0</v>
      </c>
      <c r="V208" s="36">
        <f>IF(B208="","",ROUND(SUMIFS(Labor!$P$5:$P$304,Labor!$A$5:$A$304,A208)+SUMIFS(Crochet!$AE$5:$AE$84,Crochet!$A$5:$A$84,A208)+SUMIFS(Jewelry!$AG$5:$AG$84,Jewelry!$A$5:$A$84,A208)+SUMIFS(Candles!$AG$5:$AG$84,Candles!$A$5:$A$84,A208)+SUMIFS(Clothing!$AC$5:$AC$84,Clothing!$A$5:$A$84,A208)+SUMIFS(Woodworking!$AD$5:$AD$84,Woodworking!$A$5:$A$84,A208)+SUMIFS(Digital!$Y$5:$Y$84,Digital!$A$5:$A$84,A208),1))</f>
        <v>0</v>
      </c>
      <c r="W208" s="41">
        <f>IF(B208="","",IFERROR(INDEX(DiffTimeFactors,MATCH(G208,DiffNames,0)),1))</f>
        <v>0</v>
      </c>
      <c r="X208" s="36">
        <f>IF(B208="","",ROUND(V208*W208,1))</f>
        <v>0</v>
      </c>
      <c r="Y208" s="41">
        <f>IF(B208="","",ROUND(X208/60,3))</f>
        <v>0</v>
      </c>
      <c r="Z208" s="20">
        <f>IF(B208="","",ROUND(U208*W208,2))</f>
        <v>0</v>
      </c>
      <c r="AA208" s="20">
        <f>IF(B208="","",ROUND(SUMIFS(Labor!$Q$5:$Q$304,Labor!$A$5:$A$304,A208)+SUMIFS(Crochet!$AH$5:$AH$84,Crochet!$A$5:$A$84,A208)+SUMIFS(Jewelry!$AJ$5:$AJ$84,Jewelry!$A$5:$A$84,A208)+SUMIFS(Candles!$AJ$5:$AJ$84,Candles!$A$5:$A$84,A208)+SUMIFS(Clothing!$AF$5:$AF$84,Clothing!$A$5:$A$84,A208)+SUMIFS(Woodworking!$AH$5:$AH$84,Woodworking!$A$5:$A$84,A208)+SUMIFS(Digital!$AA$5:$AA$84,Digital!$A$5:$A$84,A208),2))</f>
        <v>0</v>
      </c>
      <c r="AB208" s="20">
        <f>IF(B208="","",ROUND(IF(I208="Budget",PackBudget,IF(I208="Standard",PackStandard,IF(I208="Gift",PackGift,IF(I208="Premium",PackPremium,DefaultPackaging)))),2))</f>
        <v>0</v>
      </c>
      <c r="AC208" s="36">
        <f>IF(B208="","",IF(I208="Budget",PackWeightBudget,IF(I208="Standard",PackWeightStandard,IF(I208="Gift",PackWeightGift,IF(I208="Premium",PackWeightPremium,0)))))</f>
        <v>0</v>
      </c>
      <c r="AD208" s="20">
        <f>IF(B208="","",IFERROR(INDEX(Shipping!$M$5:$M$64,MATCH(J208,Shipping!$L$5:$L$64,0)),DefaultShipping))</f>
        <v>0</v>
      </c>
      <c r="AE208" s="20">
        <f>IF(B208="","",IFERROR(INDEX(Shipping!$F$5:$F$64,MATCH(J208,Shipping!$L$5:$L$64,0)),0))</f>
        <v>0</v>
      </c>
      <c r="AF208" s="36">
        <f>IF(B208="","",IFERROR(INDEX(Shipping!$C$5:$C$64,MATCH(J208,Shipping!$L$5:$L$64,0)),""))</f>
        <v>0</v>
      </c>
      <c r="AG208" s="20">
        <f>IF(B208="","",ROUND(MAX(0,AD208-AE208),2))</f>
        <v>0</v>
      </c>
      <c r="AH208" s="20">
        <f>IF(B208="","",ROUND(T208+Z208+AA208+AB208+AG208,2))</f>
        <v>0</v>
      </c>
      <c r="AI208" s="33">
        <f>IF(B208="","",IFERROR(INDEX(Channels!$S$5:$S$18,MATCH(IF(H208="",DefaultChannel,H208),Channels!$A$5:$A$18,0)),0))</f>
        <v>0</v>
      </c>
      <c r="AJ208" s="42">
        <f>IF(B208="","",IFERROR(INDEX(Channels!$O$5:$O$18,MATCH(IF(H208="",DefaultChannel,H208),Channels!$A$5:$A$18,0)),"No"))</f>
        <v>0</v>
      </c>
      <c r="AK208" s="20">
        <f>IF(B208="","",ROUND(IFERROR(INDEX(Channels!$T$5:$T$18,MATCH(IF(H208="",DefaultChannel,H208),Channels!$A$5:$A$18,0)),0)+IF(AJ208="Yes",AE208*AI208,0),4))</f>
        <v>0</v>
      </c>
      <c r="AL208" s="33">
        <f>IF(B208="","",IF(OverheadMethod="Share of revenue",IF(RevenueTargetMonth&lt;=0,0,OverheadMonthly/RevenueTargetMonth),0))</f>
        <v>0</v>
      </c>
      <c r="AM208" s="20">
        <f>IF(B208="","",IF(OverheadMethod="Per hour worked",ROUND(OverheadPerHour*Y208,2),IF(OR(OverheadMethod="Per unit made",OverheadMethod="Per order"),OverheadPerUnit,0)))</f>
        <v>0</v>
      </c>
      <c r="AN208" s="33">
        <f>IF(B208="","",IF(N208&lt;&gt;"",N208,TargetRetailMargin))</f>
        <v>0</v>
      </c>
      <c r="AO208" s="41">
        <f>IF(B208="","",1-AN208-AI208-AL208)</f>
        <v>0</v>
      </c>
      <c r="AP208" s="20">
        <f>IF(B208="","",IF(AO208&lt;=0,"",(AH208+AM208+AK208)/AO208))</f>
        <v>0</v>
      </c>
      <c r="AQ208" s="20">
        <f>IF(B208="","",IF(AP208="","Check the settings",ROUND(IF(RoundingRule="None",AP208,IF(RoundingRule="Nearest 0.99",MAX(0.99,CEILING(AP208,1)-0.01),IF(RoundingRule="Nearest 0.95",MAX(0.95,CEILING(AP208,1)-0.05),IF(RoundingRule="Nearest 0.50",CEILING(AP208,0.5),IF(RoundingRule="Nearest 1",CEILING(AP208,1),IF(RoundingRule="Nearest 5",CEILING(AP208,5),IF(RoundingRule="Up to whole 1",CEILING(AP208,1),IF(RoundingRule="Up to whole 5",CEILING(AP208,5),ROUND(AP208,2))))))))),2)))</f>
        <v>0</v>
      </c>
      <c r="AR208" s="20">
        <f>IF(B208="","",IF(M208&lt;&gt;"",M208,IF(ISNUMBER(AQ208),AQ208,"")))</f>
        <v>0</v>
      </c>
      <c r="AS208" s="20">
        <f>IF(B208="","",IF(AR208="","",ROUND(AM208+AR208*AL208,2)))</f>
        <v>0</v>
      </c>
      <c r="AT208" s="20">
        <f>IF(B208="","",IF(AR208="","",ROUND(AH208+AS208,2)))</f>
        <v>0</v>
      </c>
      <c r="AU208" s="20">
        <f>IF(B208="","",IF(AR208="","",ROUND(AR208*AI208+AK208,2)))</f>
        <v>0</v>
      </c>
      <c r="AV208" s="20">
        <f>IF(B208="","",IF(AR208="","",ROUND(AR208-AT208-AU208,2)))</f>
        <v>0</v>
      </c>
      <c r="AW208" s="33">
        <f>IF(B208="","",IF(OR(AR208="",AR208=0),"",AV208/AR208))</f>
        <v>0</v>
      </c>
      <c r="AX208" s="33">
        <f>IF(B208="","",IF(OR(AT208="",AT208=0),"",AV208/AT208))</f>
        <v>0</v>
      </c>
      <c r="AY208" s="20">
        <f>IF(B208="","",IF(OR(Y208="",Y208=0,AV208=""),"",ROUND(AV208/Y208,2)))</f>
        <v>0</v>
      </c>
      <c r="AZ208" s="20">
        <f>IF(B208="","",IF(OR(Y208="",Y208=0,AV208=""),"",ROUND((AV208+Z208)/Y208,2)))</f>
        <v>0</v>
      </c>
      <c r="BA208" s="20">
        <f>IF(B208="","",IF(1-AI208-AL208&lt;=0,"",ROUND((AH208+AM208+AK208)/(1-AI208-AL208),2)))</f>
        <v>0</v>
      </c>
      <c r="BB208" s="20">
        <f>IF(B208="","",IF(AT208="","",ROUND(AT208*2,2)))</f>
        <v>0</v>
      </c>
      <c r="BC208" s="20">
        <f>IF(B208="","",IF(AR208="","",ROUND(AR208*(1-WholesaleDiscount),2)))</f>
        <v>0</v>
      </c>
      <c r="BD208" s="20">
        <f>IF(B208="","",IF(BC208="","",ROUND(BC208-AH208-AM208,2)))</f>
        <v>0</v>
      </c>
      <c r="BE208" s="33">
        <f>IF(B208="","",IF(OR(BC208="",BC208=0),"",BD208/BC208))</f>
        <v>0</v>
      </c>
      <c r="BF208" s="20">
        <f>IF(B208="","",IFERROR(ROUND(AVERAGEIFS(Competitors!$F$5:$F$154,Competitors!$A$5:$A$154,A208),2),""))</f>
        <v>0</v>
      </c>
      <c r="BG208" s="33">
        <f>IF(B208="","",IF(OR(BF208="",BF208=0,AR208=""),"",AR208/BF208-1))</f>
        <v>0</v>
      </c>
      <c r="BH208" s="32">
        <f>IF(B208="","",SUMIFS(Sales!$D$5:$D$804,Sales!$C$5:$C$804,A208))</f>
        <v>0</v>
      </c>
      <c r="BI208" s="20">
        <f>IF(B208="","",ROUND(SUMIFS(Sales!$V$5:$V$804,Sales!$C$5:$C$804,A208),2))</f>
        <v>0</v>
      </c>
      <c r="BJ208" s="20">
        <f>IF(B208="","",ROUND(SUMIFS(Sales!$AG$5:$AG$804,Sales!$C$5:$C$804,A208),2))</f>
        <v>0</v>
      </c>
      <c r="BK208" s="33">
        <f>IF(B208="","",IF(OR(BI208="",BI208=0),"",BJ208/BI208))</f>
        <v>0</v>
      </c>
      <c r="BL208" s="17">
        <f>IF(B208="","",IF(SUMPRODUCT(MAX((Sales!$C$5:$C$804=A208)*Sales!$B$5:$B$804))=0,"",SUMPRODUCT(MAX((Sales!$C$5:$C$804=A208)*Sales!$B$5:$B$804))))</f>
        <v>0</v>
      </c>
      <c r="BM208" s="17">
        <f>IF(B208="","",IF(SUMPRODUCT(MAX(('Price History'!$B$5:$B$304=A208)*'Price History'!$A$5:$A$304))=0,IF(P208="","",P208),SUMPRODUCT(MAX(('Price History'!$B$5:$B$304=A208)*'Price History'!$A$5:$A$304))))</f>
        <v>0</v>
      </c>
      <c r="BN208" s="32">
        <f>IF(B208="","",IF(BM208="","",TodayDate-BM208))</f>
        <v>0</v>
      </c>
      <c r="BO208" s="32">
        <f>IF(B208="","",COUNTIFS($AV$5:$AV$304,"&gt;"&amp;AV208)+COUNTIFS($AV$5:AV208,AV208))</f>
        <v>0</v>
      </c>
      <c r="BP208" s="32">
        <f>IF(B208="","",COUNTIFS($AW$5:$AW$304,"&gt;"&amp;AW208)+COUNTIFS($AW$5:AW208,AW208))</f>
        <v>0</v>
      </c>
      <c r="BQ208" s="32">
        <f>IF(B208="","",COUNTIFS($BI$5:$BI$304,"&gt;"&amp;BI208)+COUNTIFS($BI$5:BI208,BI208))</f>
        <v>0</v>
      </c>
      <c r="BR208" s="32">
        <f>IF(B208="","",COUNTIFS($AY$5:$AY$304,"&gt;"&amp;AY208)+COUNTIFS($AY$5:AY208,AY208))</f>
        <v>0</v>
      </c>
      <c r="BS208" s="43">
        <f>IF(B208="","",IF(AH208=0,"Add - no costs entered yet",IF(AR208="","Check - no price yet",IF(AV208&lt;0,"Loss - every sale costs you money",IF(AND(AZ208&lt;&gt;"",AZ208&lt;MinimumWage),"Below - pays under minimum wage",IF(AW208&lt;MarginWarning,"Low margin - re-price it",IF(AND(AF208&lt;&gt;"",K208&lt;&gt;"",K208+AC208&gt;AF208),"Check - too heavy for that postage band",IF(AND(BN208&lt;&gt;"",BN208&gt;PriceReviewDays),"Due - price has not been reviewed",IF(AND(BG208&lt;&gt;"",BG208&gt;0.5),"Check - well above the market","OK")))))))) )</f>
        <v>0</v>
      </c>
    </row>
    <row r="209" spans="1:71">
      <c r="A209" s="38">
        <f>IF(B209="","",ProductPrefix&amp;TEXT(ROW()-4,"0000"))</f>
        <v>0</v>
      </c>
      <c r="S209" s="38">
        <f>IF(B209="","",IF(C209&lt;&gt;"",C209,UPPER(LEFT(IF(D209="","GEN",D209),3))&amp;"-"&amp;TEXT(ROW()-4,"000")))</f>
        <v>0</v>
      </c>
      <c r="T209" s="20">
        <f>IF(B209="","",ROUND(SUMIFS('Material Usage'!$M$5:$M$904,'Material Usage'!$A$5:$A$904,A209)+SUMIFS(Crochet!$AD$5:$AD$84,Crochet!$A$5:$A$84,A209)+SUMIFS(Jewelry!$AF$5:$AF$84,Jewelry!$A$5:$A$84,A209)+SUMIFS(Candles!$AF$5:$AF$84,Candles!$A$5:$A$84,A209)+SUMIFS(Clothing!$AB$5:$AB$84,Clothing!$A$5:$A$84,A209)+SUMIFS(Woodworking!$AC$5:$AC$84,Woodworking!$A$5:$A$84,A209)+SUMIFS(Digital!$X$5:$X$84,Digital!$A$5:$A$84,A209),2))</f>
        <v>0</v>
      </c>
      <c r="U209" s="20">
        <f>IF(B209="","",ROUND(SUMIFS(Labor!$O$5:$O$304,Labor!$A$5:$A$304,A209)+SUMIFS(Crochet!$AG$5:$AG$84,Crochet!$A$5:$A$84,A209)+SUMIFS(Jewelry!$AI$5:$AI$84,Jewelry!$A$5:$A$84,A209)+SUMIFS(Candles!$AI$5:$AI$84,Candles!$A$5:$A$84,A209)+SUMIFS(Clothing!$AE$5:$AE$84,Clothing!$A$5:$A$84,A209)+SUMIFS(Woodworking!$AF$5:$AF$84,Woodworking!$A$5:$A$84,A209)+SUMIFS(Digital!$Z$5:$Z$84,Digital!$A$5:$A$84,A209),2))</f>
        <v>0</v>
      </c>
      <c r="V209" s="36">
        <f>IF(B209="","",ROUND(SUMIFS(Labor!$P$5:$P$304,Labor!$A$5:$A$304,A209)+SUMIFS(Crochet!$AE$5:$AE$84,Crochet!$A$5:$A$84,A209)+SUMIFS(Jewelry!$AG$5:$AG$84,Jewelry!$A$5:$A$84,A209)+SUMIFS(Candles!$AG$5:$AG$84,Candles!$A$5:$A$84,A209)+SUMIFS(Clothing!$AC$5:$AC$84,Clothing!$A$5:$A$84,A209)+SUMIFS(Woodworking!$AD$5:$AD$84,Woodworking!$A$5:$A$84,A209)+SUMIFS(Digital!$Y$5:$Y$84,Digital!$A$5:$A$84,A209),1))</f>
        <v>0</v>
      </c>
      <c r="W209" s="41">
        <f>IF(B209="","",IFERROR(INDEX(DiffTimeFactors,MATCH(G209,DiffNames,0)),1))</f>
        <v>0</v>
      </c>
      <c r="X209" s="36">
        <f>IF(B209="","",ROUND(V209*W209,1))</f>
        <v>0</v>
      </c>
      <c r="Y209" s="41">
        <f>IF(B209="","",ROUND(X209/60,3))</f>
        <v>0</v>
      </c>
      <c r="Z209" s="20">
        <f>IF(B209="","",ROUND(U209*W209,2))</f>
        <v>0</v>
      </c>
      <c r="AA209" s="20">
        <f>IF(B209="","",ROUND(SUMIFS(Labor!$Q$5:$Q$304,Labor!$A$5:$A$304,A209)+SUMIFS(Crochet!$AH$5:$AH$84,Crochet!$A$5:$A$84,A209)+SUMIFS(Jewelry!$AJ$5:$AJ$84,Jewelry!$A$5:$A$84,A209)+SUMIFS(Candles!$AJ$5:$AJ$84,Candles!$A$5:$A$84,A209)+SUMIFS(Clothing!$AF$5:$AF$84,Clothing!$A$5:$A$84,A209)+SUMIFS(Woodworking!$AH$5:$AH$84,Woodworking!$A$5:$A$84,A209)+SUMIFS(Digital!$AA$5:$AA$84,Digital!$A$5:$A$84,A209),2))</f>
        <v>0</v>
      </c>
      <c r="AB209" s="20">
        <f>IF(B209="","",ROUND(IF(I209="Budget",PackBudget,IF(I209="Standard",PackStandard,IF(I209="Gift",PackGift,IF(I209="Premium",PackPremium,DefaultPackaging)))),2))</f>
        <v>0</v>
      </c>
      <c r="AC209" s="36">
        <f>IF(B209="","",IF(I209="Budget",PackWeightBudget,IF(I209="Standard",PackWeightStandard,IF(I209="Gift",PackWeightGift,IF(I209="Premium",PackWeightPremium,0)))))</f>
        <v>0</v>
      </c>
      <c r="AD209" s="20">
        <f>IF(B209="","",IFERROR(INDEX(Shipping!$M$5:$M$64,MATCH(J209,Shipping!$L$5:$L$64,0)),DefaultShipping))</f>
        <v>0</v>
      </c>
      <c r="AE209" s="20">
        <f>IF(B209="","",IFERROR(INDEX(Shipping!$F$5:$F$64,MATCH(J209,Shipping!$L$5:$L$64,0)),0))</f>
        <v>0</v>
      </c>
      <c r="AF209" s="36">
        <f>IF(B209="","",IFERROR(INDEX(Shipping!$C$5:$C$64,MATCH(J209,Shipping!$L$5:$L$64,0)),""))</f>
        <v>0</v>
      </c>
      <c r="AG209" s="20">
        <f>IF(B209="","",ROUND(MAX(0,AD209-AE209),2))</f>
        <v>0</v>
      </c>
      <c r="AH209" s="20">
        <f>IF(B209="","",ROUND(T209+Z209+AA209+AB209+AG209,2))</f>
        <v>0</v>
      </c>
      <c r="AI209" s="33">
        <f>IF(B209="","",IFERROR(INDEX(Channels!$S$5:$S$18,MATCH(IF(H209="",DefaultChannel,H209),Channels!$A$5:$A$18,0)),0))</f>
        <v>0</v>
      </c>
      <c r="AJ209" s="42">
        <f>IF(B209="","",IFERROR(INDEX(Channels!$O$5:$O$18,MATCH(IF(H209="",DefaultChannel,H209),Channels!$A$5:$A$18,0)),"No"))</f>
        <v>0</v>
      </c>
      <c r="AK209" s="20">
        <f>IF(B209="","",ROUND(IFERROR(INDEX(Channels!$T$5:$T$18,MATCH(IF(H209="",DefaultChannel,H209),Channels!$A$5:$A$18,0)),0)+IF(AJ209="Yes",AE209*AI209,0),4))</f>
        <v>0</v>
      </c>
      <c r="AL209" s="33">
        <f>IF(B209="","",IF(OverheadMethod="Share of revenue",IF(RevenueTargetMonth&lt;=0,0,OverheadMonthly/RevenueTargetMonth),0))</f>
        <v>0</v>
      </c>
      <c r="AM209" s="20">
        <f>IF(B209="","",IF(OverheadMethod="Per hour worked",ROUND(OverheadPerHour*Y209,2),IF(OR(OverheadMethod="Per unit made",OverheadMethod="Per order"),OverheadPerUnit,0)))</f>
        <v>0</v>
      </c>
      <c r="AN209" s="33">
        <f>IF(B209="","",IF(N209&lt;&gt;"",N209,TargetRetailMargin))</f>
        <v>0</v>
      </c>
      <c r="AO209" s="41">
        <f>IF(B209="","",1-AN209-AI209-AL209)</f>
        <v>0</v>
      </c>
      <c r="AP209" s="20">
        <f>IF(B209="","",IF(AO209&lt;=0,"",(AH209+AM209+AK209)/AO209))</f>
        <v>0</v>
      </c>
      <c r="AQ209" s="20">
        <f>IF(B209="","",IF(AP209="","Check the settings",ROUND(IF(RoundingRule="None",AP209,IF(RoundingRule="Nearest 0.99",MAX(0.99,CEILING(AP209,1)-0.01),IF(RoundingRule="Nearest 0.95",MAX(0.95,CEILING(AP209,1)-0.05),IF(RoundingRule="Nearest 0.50",CEILING(AP209,0.5),IF(RoundingRule="Nearest 1",CEILING(AP209,1),IF(RoundingRule="Nearest 5",CEILING(AP209,5),IF(RoundingRule="Up to whole 1",CEILING(AP209,1),IF(RoundingRule="Up to whole 5",CEILING(AP209,5),ROUND(AP209,2))))))))),2)))</f>
        <v>0</v>
      </c>
      <c r="AR209" s="20">
        <f>IF(B209="","",IF(M209&lt;&gt;"",M209,IF(ISNUMBER(AQ209),AQ209,"")))</f>
        <v>0</v>
      </c>
      <c r="AS209" s="20">
        <f>IF(B209="","",IF(AR209="","",ROUND(AM209+AR209*AL209,2)))</f>
        <v>0</v>
      </c>
      <c r="AT209" s="20">
        <f>IF(B209="","",IF(AR209="","",ROUND(AH209+AS209,2)))</f>
        <v>0</v>
      </c>
      <c r="AU209" s="20">
        <f>IF(B209="","",IF(AR209="","",ROUND(AR209*AI209+AK209,2)))</f>
        <v>0</v>
      </c>
      <c r="AV209" s="20">
        <f>IF(B209="","",IF(AR209="","",ROUND(AR209-AT209-AU209,2)))</f>
        <v>0</v>
      </c>
      <c r="AW209" s="33">
        <f>IF(B209="","",IF(OR(AR209="",AR209=0),"",AV209/AR209))</f>
        <v>0</v>
      </c>
      <c r="AX209" s="33">
        <f>IF(B209="","",IF(OR(AT209="",AT209=0),"",AV209/AT209))</f>
        <v>0</v>
      </c>
      <c r="AY209" s="20">
        <f>IF(B209="","",IF(OR(Y209="",Y209=0,AV209=""),"",ROUND(AV209/Y209,2)))</f>
        <v>0</v>
      </c>
      <c r="AZ209" s="20">
        <f>IF(B209="","",IF(OR(Y209="",Y209=0,AV209=""),"",ROUND((AV209+Z209)/Y209,2)))</f>
        <v>0</v>
      </c>
      <c r="BA209" s="20">
        <f>IF(B209="","",IF(1-AI209-AL209&lt;=0,"",ROUND((AH209+AM209+AK209)/(1-AI209-AL209),2)))</f>
        <v>0</v>
      </c>
      <c r="BB209" s="20">
        <f>IF(B209="","",IF(AT209="","",ROUND(AT209*2,2)))</f>
        <v>0</v>
      </c>
      <c r="BC209" s="20">
        <f>IF(B209="","",IF(AR209="","",ROUND(AR209*(1-WholesaleDiscount),2)))</f>
        <v>0</v>
      </c>
      <c r="BD209" s="20">
        <f>IF(B209="","",IF(BC209="","",ROUND(BC209-AH209-AM209,2)))</f>
        <v>0</v>
      </c>
      <c r="BE209" s="33">
        <f>IF(B209="","",IF(OR(BC209="",BC209=0),"",BD209/BC209))</f>
        <v>0</v>
      </c>
      <c r="BF209" s="20">
        <f>IF(B209="","",IFERROR(ROUND(AVERAGEIFS(Competitors!$F$5:$F$154,Competitors!$A$5:$A$154,A209),2),""))</f>
        <v>0</v>
      </c>
      <c r="BG209" s="33">
        <f>IF(B209="","",IF(OR(BF209="",BF209=0,AR209=""),"",AR209/BF209-1))</f>
        <v>0</v>
      </c>
      <c r="BH209" s="32">
        <f>IF(B209="","",SUMIFS(Sales!$D$5:$D$804,Sales!$C$5:$C$804,A209))</f>
        <v>0</v>
      </c>
      <c r="BI209" s="20">
        <f>IF(B209="","",ROUND(SUMIFS(Sales!$V$5:$V$804,Sales!$C$5:$C$804,A209),2))</f>
        <v>0</v>
      </c>
      <c r="BJ209" s="20">
        <f>IF(B209="","",ROUND(SUMIFS(Sales!$AG$5:$AG$804,Sales!$C$5:$C$804,A209),2))</f>
        <v>0</v>
      </c>
      <c r="BK209" s="33">
        <f>IF(B209="","",IF(OR(BI209="",BI209=0),"",BJ209/BI209))</f>
        <v>0</v>
      </c>
      <c r="BL209" s="17">
        <f>IF(B209="","",IF(SUMPRODUCT(MAX((Sales!$C$5:$C$804=A209)*Sales!$B$5:$B$804))=0,"",SUMPRODUCT(MAX((Sales!$C$5:$C$804=A209)*Sales!$B$5:$B$804))))</f>
        <v>0</v>
      </c>
      <c r="BM209" s="17">
        <f>IF(B209="","",IF(SUMPRODUCT(MAX(('Price History'!$B$5:$B$304=A209)*'Price History'!$A$5:$A$304))=0,IF(P209="","",P209),SUMPRODUCT(MAX(('Price History'!$B$5:$B$304=A209)*'Price History'!$A$5:$A$304))))</f>
        <v>0</v>
      </c>
      <c r="BN209" s="32">
        <f>IF(B209="","",IF(BM209="","",TodayDate-BM209))</f>
        <v>0</v>
      </c>
      <c r="BO209" s="32">
        <f>IF(B209="","",COUNTIFS($AV$5:$AV$304,"&gt;"&amp;AV209)+COUNTIFS($AV$5:AV209,AV209))</f>
        <v>0</v>
      </c>
      <c r="BP209" s="32">
        <f>IF(B209="","",COUNTIFS($AW$5:$AW$304,"&gt;"&amp;AW209)+COUNTIFS($AW$5:AW209,AW209))</f>
        <v>0</v>
      </c>
      <c r="BQ209" s="32">
        <f>IF(B209="","",COUNTIFS($BI$5:$BI$304,"&gt;"&amp;BI209)+COUNTIFS($BI$5:BI209,BI209))</f>
        <v>0</v>
      </c>
      <c r="BR209" s="32">
        <f>IF(B209="","",COUNTIFS($AY$5:$AY$304,"&gt;"&amp;AY209)+COUNTIFS($AY$5:AY209,AY209))</f>
        <v>0</v>
      </c>
      <c r="BS209" s="43">
        <f>IF(B209="","",IF(AH209=0,"Add - no costs entered yet",IF(AR209="","Check - no price yet",IF(AV209&lt;0,"Loss - every sale costs you money",IF(AND(AZ209&lt;&gt;"",AZ209&lt;MinimumWage),"Below - pays under minimum wage",IF(AW209&lt;MarginWarning,"Low margin - re-price it",IF(AND(AF209&lt;&gt;"",K209&lt;&gt;"",K209+AC209&gt;AF209),"Check - too heavy for that postage band",IF(AND(BN209&lt;&gt;"",BN209&gt;PriceReviewDays),"Due - price has not been reviewed",IF(AND(BG209&lt;&gt;"",BG209&gt;0.5),"Check - well above the market","OK")))))))) )</f>
        <v>0</v>
      </c>
    </row>
    <row r="210" spans="1:71">
      <c r="A210" s="38">
        <f>IF(B210="","",ProductPrefix&amp;TEXT(ROW()-4,"0000"))</f>
        <v>0</v>
      </c>
      <c r="S210" s="38">
        <f>IF(B210="","",IF(C210&lt;&gt;"",C210,UPPER(LEFT(IF(D210="","GEN",D210),3))&amp;"-"&amp;TEXT(ROW()-4,"000")))</f>
        <v>0</v>
      </c>
      <c r="T210" s="20">
        <f>IF(B210="","",ROUND(SUMIFS('Material Usage'!$M$5:$M$904,'Material Usage'!$A$5:$A$904,A210)+SUMIFS(Crochet!$AD$5:$AD$84,Crochet!$A$5:$A$84,A210)+SUMIFS(Jewelry!$AF$5:$AF$84,Jewelry!$A$5:$A$84,A210)+SUMIFS(Candles!$AF$5:$AF$84,Candles!$A$5:$A$84,A210)+SUMIFS(Clothing!$AB$5:$AB$84,Clothing!$A$5:$A$84,A210)+SUMIFS(Woodworking!$AC$5:$AC$84,Woodworking!$A$5:$A$84,A210)+SUMIFS(Digital!$X$5:$X$84,Digital!$A$5:$A$84,A210),2))</f>
        <v>0</v>
      </c>
      <c r="U210" s="20">
        <f>IF(B210="","",ROUND(SUMIFS(Labor!$O$5:$O$304,Labor!$A$5:$A$304,A210)+SUMIFS(Crochet!$AG$5:$AG$84,Crochet!$A$5:$A$84,A210)+SUMIFS(Jewelry!$AI$5:$AI$84,Jewelry!$A$5:$A$84,A210)+SUMIFS(Candles!$AI$5:$AI$84,Candles!$A$5:$A$84,A210)+SUMIFS(Clothing!$AE$5:$AE$84,Clothing!$A$5:$A$84,A210)+SUMIFS(Woodworking!$AF$5:$AF$84,Woodworking!$A$5:$A$84,A210)+SUMIFS(Digital!$Z$5:$Z$84,Digital!$A$5:$A$84,A210),2))</f>
        <v>0</v>
      </c>
      <c r="V210" s="36">
        <f>IF(B210="","",ROUND(SUMIFS(Labor!$P$5:$P$304,Labor!$A$5:$A$304,A210)+SUMIFS(Crochet!$AE$5:$AE$84,Crochet!$A$5:$A$84,A210)+SUMIFS(Jewelry!$AG$5:$AG$84,Jewelry!$A$5:$A$84,A210)+SUMIFS(Candles!$AG$5:$AG$84,Candles!$A$5:$A$84,A210)+SUMIFS(Clothing!$AC$5:$AC$84,Clothing!$A$5:$A$84,A210)+SUMIFS(Woodworking!$AD$5:$AD$84,Woodworking!$A$5:$A$84,A210)+SUMIFS(Digital!$Y$5:$Y$84,Digital!$A$5:$A$84,A210),1))</f>
        <v>0</v>
      </c>
      <c r="W210" s="41">
        <f>IF(B210="","",IFERROR(INDEX(DiffTimeFactors,MATCH(G210,DiffNames,0)),1))</f>
        <v>0</v>
      </c>
      <c r="X210" s="36">
        <f>IF(B210="","",ROUND(V210*W210,1))</f>
        <v>0</v>
      </c>
      <c r="Y210" s="41">
        <f>IF(B210="","",ROUND(X210/60,3))</f>
        <v>0</v>
      </c>
      <c r="Z210" s="20">
        <f>IF(B210="","",ROUND(U210*W210,2))</f>
        <v>0</v>
      </c>
      <c r="AA210" s="20">
        <f>IF(B210="","",ROUND(SUMIFS(Labor!$Q$5:$Q$304,Labor!$A$5:$A$304,A210)+SUMIFS(Crochet!$AH$5:$AH$84,Crochet!$A$5:$A$84,A210)+SUMIFS(Jewelry!$AJ$5:$AJ$84,Jewelry!$A$5:$A$84,A210)+SUMIFS(Candles!$AJ$5:$AJ$84,Candles!$A$5:$A$84,A210)+SUMIFS(Clothing!$AF$5:$AF$84,Clothing!$A$5:$A$84,A210)+SUMIFS(Woodworking!$AH$5:$AH$84,Woodworking!$A$5:$A$84,A210)+SUMIFS(Digital!$AA$5:$AA$84,Digital!$A$5:$A$84,A210),2))</f>
        <v>0</v>
      </c>
      <c r="AB210" s="20">
        <f>IF(B210="","",ROUND(IF(I210="Budget",PackBudget,IF(I210="Standard",PackStandard,IF(I210="Gift",PackGift,IF(I210="Premium",PackPremium,DefaultPackaging)))),2))</f>
        <v>0</v>
      </c>
      <c r="AC210" s="36">
        <f>IF(B210="","",IF(I210="Budget",PackWeightBudget,IF(I210="Standard",PackWeightStandard,IF(I210="Gift",PackWeightGift,IF(I210="Premium",PackWeightPremium,0)))))</f>
        <v>0</v>
      </c>
      <c r="AD210" s="20">
        <f>IF(B210="","",IFERROR(INDEX(Shipping!$M$5:$M$64,MATCH(J210,Shipping!$L$5:$L$64,0)),DefaultShipping))</f>
        <v>0</v>
      </c>
      <c r="AE210" s="20">
        <f>IF(B210="","",IFERROR(INDEX(Shipping!$F$5:$F$64,MATCH(J210,Shipping!$L$5:$L$64,0)),0))</f>
        <v>0</v>
      </c>
      <c r="AF210" s="36">
        <f>IF(B210="","",IFERROR(INDEX(Shipping!$C$5:$C$64,MATCH(J210,Shipping!$L$5:$L$64,0)),""))</f>
        <v>0</v>
      </c>
      <c r="AG210" s="20">
        <f>IF(B210="","",ROUND(MAX(0,AD210-AE210),2))</f>
        <v>0</v>
      </c>
      <c r="AH210" s="20">
        <f>IF(B210="","",ROUND(T210+Z210+AA210+AB210+AG210,2))</f>
        <v>0</v>
      </c>
      <c r="AI210" s="33">
        <f>IF(B210="","",IFERROR(INDEX(Channels!$S$5:$S$18,MATCH(IF(H210="",DefaultChannel,H210),Channels!$A$5:$A$18,0)),0))</f>
        <v>0</v>
      </c>
      <c r="AJ210" s="42">
        <f>IF(B210="","",IFERROR(INDEX(Channels!$O$5:$O$18,MATCH(IF(H210="",DefaultChannel,H210),Channels!$A$5:$A$18,0)),"No"))</f>
        <v>0</v>
      </c>
      <c r="AK210" s="20">
        <f>IF(B210="","",ROUND(IFERROR(INDEX(Channels!$T$5:$T$18,MATCH(IF(H210="",DefaultChannel,H210),Channels!$A$5:$A$18,0)),0)+IF(AJ210="Yes",AE210*AI210,0),4))</f>
        <v>0</v>
      </c>
      <c r="AL210" s="33">
        <f>IF(B210="","",IF(OverheadMethod="Share of revenue",IF(RevenueTargetMonth&lt;=0,0,OverheadMonthly/RevenueTargetMonth),0))</f>
        <v>0</v>
      </c>
      <c r="AM210" s="20">
        <f>IF(B210="","",IF(OverheadMethod="Per hour worked",ROUND(OverheadPerHour*Y210,2),IF(OR(OverheadMethod="Per unit made",OverheadMethod="Per order"),OverheadPerUnit,0)))</f>
        <v>0</v>
      </c>
      <c r="AN210" s="33">
        <f>IF(B210="","",IF(N210&lt;&gt;"",N210,TargetRetailMargin))</f>
        <v>0</v>
      </c>
      <c r="AO210" s="41">
        <f>IF(B210="","",1-AN210-AI210-AL210)</f>
        <v>0</v>
      </c>
      <c r="AP210" s="20">
        <f>IF(B210="","",IF(AO210&lt;=0,"",(AH210+AM210+AK210)/AO210))</f>
        <v>0</v>
      </c>
      <c r="AQ210" s="20">
        <f>IF(B210="","",IF(AP210="","Check the settings",ROUND(IF(RoundingRule="None",AP210,IF(RoundingRule="Nearest 0.99",MAX(0.99,CEILING(AP210,1)-0.01),IF(RoundingRule="Nearest 0.95",MAX(0.95,CEILING(AP210,1)-0.05),IF(RoundingRule="Nearest 0.50",CEILING(AP210,0.5),IF(RoundingRule="Nearest 1",CEILING(AP210,1),IF(RoundingRule="Nearest 5",CEILING(AP210,5),IF(RoundingRule="Up to whole 1",CEILING(AP210,1),IF(RoundingRule="Up to whole 5",CEILING(AP210,5),ROUND(AP210,2))))))))),2)))</f>
        <v>0</v>
      </c>
      <c r="AR210" s="20">
        <f>IF(B210="","",IF(M210&lt;&gt;"",M210,IF(ISNUMBER(AQ210),AQ210,"")))</f>
        <v>0</v>
      </c>
      <c r="AS210" s="20">
        <f>IF(B210="","",IF(AR210="","",ROUND(AM210+AR210*AL210,2)))</f>
        <v>0</v>
      </c>
      <c r="AT210" s="20">
        <f>IF(B210="","",IF(AR210="","",ROUND(AH210+AS210,2)))</f>
        <v>0</v>
      </c>
      <c r="AU210" s="20">
        <f>IF(B210="","",IF(AR210="","",ROUND(AR210*AI210+AK210,2)))</f>
        <v>0</v>
      </c>
      <c r="AV210" s="20">
        <f>IF(B210="","",IF(AR210="","",ROUND(AR210-AT210-AU210,2)))</f>
        <v>0</v>
      </c>
      <c r="AW210" s="33">
        <f>IF(B210="","",IF(OR(AR210="",AR210=0),"",AV210/AR210))</f>
        <v>0</v>
      </c>
      <c r="AX210" s="33">
        <f>IF(B210="","",IF(OR(AT210="",AT210=0),"",AV210/AT210))</f>
        <v>0</v>
      </c>
      <c r="AY210" s="20">
        <f>IF(B210="","",IF(OR(Y210="",Y210=0,AV210=""),"",ROUND(AV210/Y210,2)))</f>
        <v>0</v>
      </c>
      <c r="AZ210" s="20">
        <f>IF(B210="","",IF(OR(Y210="",Y210=0,AV210=""),"",ROUND((AV210+Z210)/Y210,2)))</f>
        <v>0</v>
      </c>
      <c r="BA210" s="20">
        <f>IF(B210="","",IF(1-AI210-AL210&lt;=0,"",ROUND((AH210+AM210+AK210)/(1-AI210-AL210),2)))</f>
        <v>0</v>
      </c>
      <c r="BB210" s="20">
        <f>IF(B210="","",IF(AT210="","",ROUND(AT210*2,2)))</f>
        <v>0</v>
      </c>
      <c r="BC210" s="20">
        <f>IF(B210="","",IF(AR210="","",ROUND(AR210*(1-WholesaleDiscount),2)))</f>
        <v>0</v>
      </c>
      <c r="BD210" s="20">
        <f>IF(B210="","",IF(BC210="","",ROUND(BC210-AH210-AM210,2)))</f>
        <v>0</v>
      </c>
      <c r="BE210" s="33">
        <f>IF(B210="","",IF(OR(BC210="",BC210=0),"",BD210/BC210))</f>
        <v>0</v>
      </c>
      <c r="BF210" s="20">
        <f>IF(B210="","",IFERROR(ROUND(AVERAGEIFS(Competitors!$F$5:$F$154,Competitors!$A$5:$A$154,A210),2),""))</f>
        <v>0</v>
      </c>
      <c r="BG210" s="33">
        <f>IF(B210="","",IF(OR(BF210="",BF210=0,AR210=""),"",AR210/BF210-1))</f>
        <v>0</v>
      </c>
      <c r="BH210" s="32">
        <f>IF(B210="","",SUMIFS(Sales!$D$5:$D$804,Sales!$C$5:$C$804,A210))</f>
        <v>0</v>
      </c>
      <c r="BI210" s="20">
        <f>IF(B210="","",ROUND(SUMIFS(Sales!$V$5:$V$804,Sales!$C$5:$C$804,A210),2))</f>
        <v>0</v>
      </c>
      <c r="BJ210" s="20">
        <f>IF(B210="","",ROUND(SUMIFS(Sales!$AG$5:$AG$804,Sales!$C$5:$C$804,A210),2))</f>
        <v>0</v>
      </c>
      <c r="BK210" s="33">
        <f>IF(B210="","",IF(OR(BI210="",BI210=0),"",BJ210/BI210))</f>
        <v>0</v>
      </c>
      <c r="BL210" s="17">
        <f>IF(B210="","",IF(SUMPRODUCT(MAX((Sales!$C$5:$C$804=A210)*Sales!$B$5:$B$804))=0,"",SUMPRODUCT(MAX((Sales!$C$5:$C$804=A210)*Sales!$B$5:$B$804))))</f>
        <v>0</v>
      </c>
      <c r="BM210" s="17">
        <f>IF(B210="","",IF(SUMPRODUCT(MAX(('Price History'!$B$5:$B$304=A210)*'Price History'!$A$5:$A$304))=0,IF(P210="","",P210),SUMPRODUCT(MAX(('Price History'!$B$5:$B$304=A210)*'Price History'!$A$5:$A$304))))</f>
        <v>0</v>
      </c>
      <c r="BN210" s="32">
        <f>IF(B210="","",IF(BM210="","",TodayDate-BM210))</f>
        <v>0</v>
      </c>
      <c r="BO210" s="32">
        <f>IF(B210="","",COUNTIFS($AV$5:$AV$304,"&gt;"&amp;AV210)+COUNTIFS($AV$5:AV210,AV210))</f>
        <v>0</v>
      </c>
      <c r="BP210" s="32">
        <f>IF(B210="","",COUNTIFS($AW$5:$AW$304,"&gt;"&amp;AW210)+COUNTIFS($AW$5:AW210,AW210))</f>
        <v>0</v>
      </c>
      <c r="BQ210" s="32">
        <f>IF(B210="","",COUNTIFS($BI$5:$BI$304,"&gt;"&amp;BI210)+COUNTIFS($BI$5:BI210,BI210))</f>
        <v>0</v>
      </c>
      <c r="BR210" s="32">
        <f>IF(B210="","",COUNTIFS($AY$5:$AY$304,"&gt;"&amp;AY210)+COUNTIFS($AY$5:AY210,AY210))</f>
        <v>0</v>
      </c>
      <c r="BS210" s="43">
        <f>IF(B210="","",IF(AH210=0,"Add - no costs entered yet",IF(AR210="","Check - no price yet",IF(AV210&lt;0,"Loss - every sale costs you money",IF(AND(AZ210&lt;&gt;"",AZ210&lt;MinimumWage),"Below - pays under minimum wage",IF(AW210&lt;MarginWarning,"Low margin - re-price it",IF(AND(AF210&lt;&gt;"",K210&lt;&gt;"",K210+AC210&gt;AF210),"Check - too heavy for that postage band",IF(AND(BN210&lt;&gt;"",BN210&gt;PriceReviewDays),"Due - price has not been reviewed",IF(AND(BG210&lt;&gt;"",BG210&gt;0.5),"Check - well above the market","OK")))))))) )</f>
        <v>0</v>
      </c>
    </row>
    <row r="211" spans="1:71">
      <c r="A211" s="38">
        <f>IF(B211="","",ProductPrefix&amp;TEXT(ROW()-4,"0000"))</f>
        <v>0</v>
      </c>
      <c r="S211" s="38">
        <f>IF(B211="","",IF(C211&lt;&gt;"",C211,UPPER(LEFT(IF(D211="","GEN",D211),3))&amp;"-"&amp;TEXT(ROW()-4,"000")))</f>
        <v>0</v>
      </c>
      <c r="T211" s="20">
        <f>IF(B211="","",ROUND(SUMIFS('Material Usage'!$M$5:$M$904,'Material Usage'!$A$5:$A$904,A211)+SUMIFS(Crochet!$AD$5:$AD$84,Crochet!$A$5:$A$84,A211)+SUMIFS(Jewelry!$AF$5:$AF$84,Jewelry!$A$5:$A$84,A211)+SUMIFS(Candles!$AF$5:$AF$84,Candles!$A$5:$A$84,A211)+SUMIFS(Clothing!$AB$5:$AB$84,Clothing!$A$5:$A$84,A211)+SUMIFS(Woodworking!$AC$5:$AC$84,Woodworking!$A$5:$A$84,A211)+SUMIFS(Digital!$X$5:$X$84,Digital!$A$5:$A$84,A211),2))</f>
        <v>0</v>
      </c>
      <c r="U211" s="20">
        <f>IF(B211="","",ROUND(SUMIFS(Labor!$O$5:$O$304,Labor!$A$5:$A$304,A211)+SUMIFS(Crochet!$AG$5:$AG$84,Crochet!$A$5:$A$84,A211)+SUMIFS(Jewelry!$AI$5:$AI$84,Jewelry!$A$5:$A$84,A211)+SUMIFS(Candles!$AI$5:$AI$84,Candles!$A$5:$A$84,A211)+SUMIFS(Clothing!$AE$5:$AE$84,Clothing!$A$5:$A$84,A211)+SUMIFS(Woodworking!$AF$5:$AF$84,Woodworking!$A$5:$A$84,A211)+SUMIFS(Digital!$Z$5:$Z$84,Digital!$A$5:$A$84,A211),2))</f>
        <v>0</v>
      </c>
      <c r="V211" s="36">
        <f>IF(B211="","",ROUND(SUMIFS(Labor!$P$5:$P$304,Labor!$A$5:$A$304,A211)+SUMIFS(Crochet!$AE$5:$AE$84,Crochet!$A$5:$A$84,A211)+SUMIFS(Jewelry!$AG$5:$AG$84,Jewelry!$A$5:$A$84,A211)+SUMIFS(Candles!$AG$5:$AG$84,Candles!$A$5:$A$84,A211)+SUMIFS(Clothing!$AC$5:$AC$84,Clothing!$A$5:$A$84,A211)+SUMIFS(Woodworking!$AD$5:$AD$84,Woodworking!$A$5:$A$84,A211)+SUMIFS(Digital!$Y$5:$Y$84,Digital!$A$5:$A$84,A211),1))</f>
        <v>0</v>
      </c>
      <c r="W211" s="41">
        <f>IF(B211="","",IFERROR(INDEX(DiffTimeFactors,MATCH(G211,DiffNames,0)),1))</f>
        <v>0</v>
      </c>
      <c r="X211" s="36">
        <f>IF(B211="","",ROUND(V211*W211,1))</f>
        <v>0</v>
      </c>
      <c r="Y211" s="41">
        <f>IF(B211="","",ROUND(X211/60,3))</f>
        <v>0</v>
      </c>
      <c r="Z211" s="20">
        <f>IF(B211="","",ROUND(U211*W211,2))</f>
        <v>0</v>
      </c>
      <c r="AA211" s="20">
        <f>IF(B211="","",ROUND(SUMIFS(Labor!$Q$5:$Q$304,Labor!$A$5:$A$304,A211)+SUMIFS(Crochet!$AH$5:$AH$84,Crochet!$A$5:$A$84,A211)+SUMIFS(Jewelry!$AJ$5:$AJ$84,Jewelry!$A$5:$A$84,A211)+SUMIFS(Candles!$AJ$5:$AJ$84,Candles!$A$5:$A$84,A211)+SUMIFS(Clothing!$AF$5:$AF$84,Clothing!$A$5:$A$84,A211)+SUMIFS(Woodworking!$AH$5:$AH$84,Woodworking!$A$5:$A$84,A211)+SUMIFS(Digital!$AA$5:$AA$84,Digital!$A$5:$A$84,A211),2))</f>
        <v>0</v>
      </c>
      <c r="AB211" s="20">
        <f>IF(B211="","",ROUND(IF(I211="Budget",PackBudget,IF(I211="Standard",PackStandard,IF(I211="Gift",PackGift,IF(I211="Premium",PackPremium,DefaultPackaging)))),2))</f>
        <v>0</v>
      </c>
      <c r="AC211" s="36">
        <f>IF(B211="","",IF(I211="Budget",PackWeightBudget,IF(I211="Standard",PackWeightStandard,IF(I211="Gift",PackWeightGift,IF(I211="Premium",PackWeightPremium,0)))))</f>
        <v>0</v>
      </c>
      <c r="AD211" s="20">
        <f>IF(B211="","",IFERROR(INDEX(Shipping!$M$5:$M$64,MATCH(J211,Shipping!$L$5:$L$64,0)),DefaultShipping))</f>
        <v>0</v>
      </c>
      <c r="AE211" s="20">
        <f>IF(B211="","",IFERROR(INDEX(Shipping!$F$5:$F$64,MATCH(J211,Shipping!$L$5:$L$64,0)),0))</f>
        <v>0</v>
      </c>
      <c r="AF211" s="36">
        <f>IF(B211="","",IFERROR(INDEX(Shipping!$C$5:$C$64,MATCH(J211,Shipping!$L$5:$L$64,0)),""))</f>
        <v>0</v>
      </c>
      <c r="AG211" s="20">
        <f>IF(B211="","",ROUND(MAX(0,AD211-AE211),2))</f>
        <v>0</v>
      </c>
      <c r="AH211" s="20">
        <f>IF(B211="","",ROUND(T211+Z211+AA211+AB211+AG211,2))</f>
        <v>0</v>
      </c>
      <c r="AI211" s="33">
        <f>IF(B211="","",IFERROR(INDEX(Channels!$S$5:$S$18,MATCH(IF(H211="",DefaultChannel,H211),Channels!$A$5:$A$18,0)),0))</f>
        <v>0</v>
      </c>
      <c r="AJ211" s="42">
        <f>IF(B211="","",IFERROR(INDEX(Channels!$O$5:$O$18,MATCH(IF(H211="",DefaultChannel,H211),Channels!$A$5:$A$18,0)),"No"))</f>
        <v>0</v>
      </c>
      <c r="AK211" s="20">
        <f>IF(B211="","",ROUND(IFERROR(INDEX(Channels!$T$5:$T$18,MATCH(IF(H211="",DefaultChannel,H211),Channels!$A$5:$A$18,0)),0)+IF(AJ211="Yes",AE211*AI211,0),4))</f>
        <v>0</v>
      </c>
      <c r="AL211" s="33">
        <f>IF(B211="","",IF(OverheadMethod="Share of revenue",IF(RevenueTargetMonth&lt;=0,0,OverheadMonthly/RevenueTargetMonth),0))</f>
        <v>0</v>
      </c>
      <c r="AM211" s="20">
        <f>IF(B211="","",IF(OverheadMethod="Per hour worked",ROUND(OverheadPerHour*Y211,2),IF(OR(OverheadMethod="Per unit made",OverheadMethod="Per order"),OverheadPerUnit,0)))</f>
        <v>0</v>
      </c>
      <c r="AN211" s="33">
        <f>IF(B211="","",IF(N211&lt;&gt;"",N211,TargetRetailMargin))</f>
        <v>0</v>
      </c>
      <c r="AO211" s="41">
        <f>IF(B211="","",1-AN211-AI211-AL211)</f>
        <v>0</v>
      </c>
      <c r="AP211" s="20">
        <f>IF(B211="","",IF(AO211&lt;=0,"",(AH211+AM211+AK211)/AO211))</f>
        <v>0</v>
      </c>
      <c r="AQ211" s="20">
        <f>IF(B211="","",IF(AP211="","Check the settings",ROUND(IF(RoundingRule="None",AP211,IF(RoundingRule="Nearest 0.99",MAX(0.99,CEILING(AP211,1)-0.01),IF(RoundingRule="Nearest 0.95",MAX(0.95,CEILING(AP211,1)-0.05),IF(RoundingRule="Nearest 0.50",CEILING(AP211,0.5),IF(RoundingRule="Nearest 1",CEILING(AP211,1),IF(RoundingRule="Nearest 5",CEILING(AP211,5),IF(RoundingRule="Up to whole 1",CEILING(AP211,1),IF(RoundingRule="Up to whole 5",CEILING(AP211,5),ROUND(AP211,2))))))))),2)))</f>
        <v>0</v>
      </c>
      <c r="AR211" s="20">
        <f>IF(B211="","",IF(M211&lt;&gt;"",M211,IF(ISNUMBER(AQ211),AQ211,"")))</f>
        <v>0</v>
      </c>
      <c r="AS211" s="20">
        <f>IF(B211="","",IF(AR211="","",ROUND(AM211+AR211*AL211,2)))</f>
        <v>0</v>
      </c>
      <c r="AT211" s="20">
        <f>IF(B211="","",IF(AR211="","",ROUND(AH211+AS211,2)))</f>
        <v>0</v>
      </c>
      <c r="AU211" s="20">
        <f>IF(B211="","",IF(AR211="","",ROUND(AR211*AI211+AK211,2)))</f>
        <v>0</v>
      </c>
      <c r="AV211" s="20">
        <f>IF(B211="","",IF(AR211="","",ROUND(AR211-AT211-AU211,2)))</f>
        <v>0</v>
      </c>
      <c r="AW211" s="33">
        <f>IF(B211="","",IF(OR(AR211="",AR211=0),"",AV211/AR211))</f>
        <v>0</v>
      </c>
      <c r="AX211" s="33">
        <f>IF(B211="","",IF(OR(AT211="",AT211=0),"",AV211/AT211))</f>
        <v>0</v>
      </c>
      <c r="AY211" s="20">
        <f>IF(B211="","",IF(OR(Y211="",Y211=0,AV211=""),"",ROUND(AV211/Y211,2)))</f>
        <v>0</v>
      </c>
      <c r="AZ211" s="20">
        <f>IF(B211="","",IF(OR(Y211="",Y211=0,AV211=""),"",ROUND((AV211+Z211)/Y211,2)))</f>
        <v>0</v>
      </c>
      <c r="BA211" s="20">
        <f>IF(B211="","",IF(1-AI211-AL211&lt;=0,"",ROUND((AH211+AM211+AK211)/(1-AI211-AL211),2)))</f>
        <v>0</v>
      </c>
      <c r="BB211" s="20">
        <f>IF(B211="","",IF(AT211="","",ROUND(AT211*2,2)))</f>
        <v>0</v>
      </c>
      <c r="BC211" s="20">
        <f>IF(B211="","",IF(AR211="","",ROUND(AR211*(1-WholesaleDiscount),2)))</f>
        <v>0</v>
      </c>
      <c r="BD211" s="20">
        <f>IF(B211="","",IF(BC211="","",ROUND(BC211-AH211-AM211,2)))</f>
        <v>0</v>
      </c>
      <c r="BE211" s="33">
        <f>IF(B211="","",IF(OR(BC211="",BC211=0),"",BD211/BC211))</f>
        <v>0</v>
      </c>
      <c r="BF211" s="20">
        <f>IF(B211="","",IFERROR(ROUND(AVERAGEIFS(Competitors!$F$5:$F$154,Competitors!$A$5:$A$154,A211),2),""))</f>
        <v>0</v>
      </c>
      <c r="BG211" s="33">
        <f>IF(B211="","",IF(OR(BF211="",BF211=0,AR211=""),"",AR211/BF211-1))</f>
        <v>0</v>
      </c>
      <c r="BH211" s="32">
        <f>IF(B211="","",SUMIFS(Sales!$D$5:$D$804,Sales!$C$5:$C$804,A211))</f>
        <v>0</v>
      </c>
      <c r="BI211" s="20">
        <f>IF(B211="","",ROUND(SUMIFS(Sales!$V$5:$V$804,Sales!$C$5:$C$804,A211),2))</f>
        <v>0</v>
      </c>
      <c r="BJ211" s="20">
        <f>IF(B211="","",ROUND(SUMIFS(Sales!$AG$5:$AG$804,Sales!$C$5:$C$804,A211),2))</f>
        <v>0</v>
      </c>
      <c r="BK211" s="33">
        <f>IF(B211="","",IF(OR(BI211="",BI211=0),"",BJ211/BI211))</f>
        <v>0</v>
      </c>
      <c r="BL211" s="17">
        <f>IF(B211="","",IF(SUMPRODUCT(MAX((Sales!$C$5:$C$804=A211)*Sales!$B$5:$B$804))=0,"",SUMPRODUCT(MAX((Sales!$C$5:$C$804=A211)*Sales!$B$5:$B$804))))</f>
        <v>0</v>
      </c>
      <c r="BM211" s="17">
        <f>IF(B211="","",IF(SUMPRODUCT(MAX(('Price History'!$B$5:$B$304=A211)*'Price History'!$A$5:$A$304))=0,IF(P211="","",P211),SUMPRODUCT(MAX(('Price History'!$B$5:$B$304=A211)*'Price History'!$A$5:$A$304))))</f>
        <v>0</v>
      </c>
      <c r="BN211" s="32">
        <f>IF(B211="","",IF(BM211="","",TodayDate-BM211))</f>
        <v>0</v>
      </c>
      <c r="BO211" s="32">
        <f>IF(B211="","",COUNTIFS($AV$5:$AV$304,"&gt;"&amp;AV211)+COUNTIFS($AV$5:AV211,AV211))</f>
        <v>0</v>
      </c>
      <c r="BP211" s="32">
        <f>IF(B211="","",COUNTIFS($AW$5:$AW$304,"&gt;"&amp;AW211)+COUNTIFS($AW$5:AW211,AW211))</f>
        <v>0</v>
      </c>
      <c r="BQ211" s="32">
        <f>IF(B211="","",COUNTIFS($BI$5:$BI$304,"&gt;"&amp;BI211)+COUNTIFS($BI$5:BI211,BI211))</f>
        <v>0</v>
      </c>
      <c r="BR211" s="32">
        <f>IF(B211="","",COUNTIFS($AY$5:$AY$304,"&gt;"&amp;AY211)+COUNTIFS($AY$5:AY211,AY211))</f>
        <v>0</v>
      </c>
      <c r="BS211" s="43">
        <f>IF(B211="","",IF(AH211=0,"Add - no costs entered yet",IF(AR211="","Check - no price yet",IF(AV211&lt;0,"Loss - every sale costs you money",IF(AND(AZ211&lt;&gt;"",AZ211&lt;MinimumWage),"Below - pays under minimum wage",IF(AW211&lt;MarginWarning,"Low margin - re-price it",IF(AND(AF211&lt;&gt;"",K211&lt;&gt;"",K211+AC211&gt;AF211),"Check - too heavy for that postage band",IF(AND(BN211&lt;&gt;"",BN211&gt;PriceReviewDays),"Due - price has not been reviewed",IF(AND(BG211&lt;&gt;"",BG211&gt;0.5),"Check - well above the market","OK")))))))) )</f>
        <v>0</v>
      </c>
    </row>
    <row r="212" spans="1:71">
      <c r="A212" s="38">
        <f>IF(B212="","",ProductPrefix&amp;TEXT(ROW()-4,"0000"))</f>
        <v>0</v>
      </c>
      <c r="S212" s="38">
        <f>IF(B212="","",IF(C212&lt;&gt;"",C212,UPPER(LEFT(IF(D212="","GEN",D212),3))&amp;"-"&amp;TEXT(ROW()-4,"000")))</f>
        <v>0</v>
      </c>
      <c r="T212" s="20">
        <f>IF(B212="","",ROUND(SUMIFS('Material Usage'!$M$5:$M$904,'Material Usage'!$A$5:$A$904,A212)+SUMIFS(Crochet!$AD$5:$AD$84,Crochet!$A$5:$A$84,A212)+SUMIFS(Jewelry!$AF$5:$AF$84,Jewelry!$A$5:$A$84,A212)+SUMIFS(Candles!$AF$5:$AF$84,Candles!$A$5:$A$84,A212)+SUMIFS(Clothing!$AB$5:$AB$84,Clothing!$A$5:$A$84,A212)+SUMIFS(Woodworking!$AC$5:$AC$84,Woodworking!$A$5:$A$84,A212)+SUMIFS(Digital!$X$5:$X$84,Digital!$A$5:$A$84,A212),2))</f>
        <v>0</v>
      </c>
      <c r="U212" s="20">
        <f>IF(B212="","",ROUND(SUMIFS(Labor!$O$5:$O$304,Labor!$A$5:$A$304,A212)+SUMIFS(Crochet!$AG$5:$AG$84,Crochet!$A$5:$A$84,A212)+SUMIFS(Jewelry!$AI$5:$AI$84,Jewelry!$A$5:$A$84,A212)+SUMIFS(Candles!$AI$5:$AI$84,Candles!$A$5:$A$84,A212)+SUMIFS(Clothing!$AE$5:$AE$84,Clothing!$A$5:$A$84,A212)+SUMIFS(Woodworking!$AF$5:$AF$84,Woodworking!$A$5:$A$84,A212)+SUMIFS(Digital!$Z$5:$Z$84,Digital!$A$5:$A$84,A212),2))</f>
        <v>0</v>
      </c>
      <c r="V212" s="36">
        <f>IF(B212="","",ROUND(SUMIFS(Labor!$P$5:$P$304,Labor!$A$5:$A$304,A212)+SUMIFS(Crochet!$AE$5:$AE$84,Crochet!$A$5:$A$84,A212)+SUMIFS(Jewelry!$AG$5:$AG$84,Jewelry!$A$5:$A$84,A212)+SUMIFS(Candles!$AG$5:$AG$84,Candles!$A$5:$A$84,A212)+SUMIFS(Clothing!$AC$5:$AC$84,Clothing!$A$5:$A$84,A212)+SUMIFS(Woodworking!$AD$5:$AD$84,Woodworking!$A$5:$A$84,A212)+SUMIFS(Digital!$Y$5:$Y$84,Digital!$A$5:$A$84,A212),1))</f>
        <v>0</v>
      </c>
      <c r="W212" s="41">
        <f>IF(B212="","",IFERROR(INDEX(DiffTimeFactors,MATCH(G212,DiffNames,0)),1))</f>
        <v>0</v>
      </c>
      <c r="X212" s="36">
        <f>IF(B212="","",ROUND(V212*W212,1))</f>
        <v>0</v>
      </c>
      <c r="Y212" s="41">
        <f>IF(B212="","",ROUND(X212/60,3))</f>
        <v>0</v>
      </c>
      <c r="Z212" s="20">
        <f>IF(B212="","",ROUND(U212*W212,2))</f>
        <v>0</v>
      </c>
      <c r="AA212" s="20">
        <f>IF(B212="","",ROUND(SUMIFS(Labor!$Q$5:$Q$304,Labor!$A$5:$A$304,A212)+SUMIFS(Crochet!$AH$5:$AH$84,Crochet!$A$5:$A$84,A212)+SUMIFS(Jewelry!$AJ$5:$AJ$84,Jewelry!$A$5:$A$84,A212)+SUMIFS(Candles!$AJ$5:$AJ$84,Candles!$A$5:$A$84,A212)+SUMIFS(Clothing!$AF$5:$AF$84,Clothing!$A$5:$A$84,A212)+SUMIFS(Woodworking!$AH$5:$AH$84,Woodworking!$A$5:$A$84,A212)+SUMIFS(Digital!$AA$5:$AA$84,Digital!$A$5:$A$84,A212),2))</f>
        <v>0</v>
      </c>
      <c r="AB212" s="20">
        <f>IF(B212="","",ROUND(IF(I212="Budget",PackBudget,IF(I212="Standard",PackStandard,IF(I212="Gift",PackGift,IF(I212="Premium",PackPremium,DefaultPackaging)))),2))</f>
        <v>0</v>
      </c>
      <c r="AC212" s="36">
        <f>IF(B212="","",IF(I212="Budget",PackWeightBudget,IF(I212="Standard",PackWeightStandard,IF(I212="Gift",PackWeightGift,IF(I212="Premium",PackWeightPremium,0)))))</f>
        <v>0</v>
      </c>
      <c r="AD212" s="20">
        <f>IF(B212="","",IFERROR(INDEX(Shipping!$M$5:$M$64,MATCH(J212,Shipping!$L$5:$L$64,0)),DefaultShipping))</f>
        <v>0</v>
      </c>
      <c r="AE212" s="20">
        <f>IF(B212="","",IFERROR(INDEX(Shipping!$F$5:$F$64,MATCH(J212,Shipping!$L$5:$L$64,0)),0))</f>
        <v>0</v>
      </c>
      <c r="AF212" s="36">
        <f>IF(B212="","",IFERROR(INDEX(Shipping!$C$5:$C$64,MATCH(J212,Shipping!$L$5:$L$64,0)),""))</f>
        <v>0</v>
      </c>
      <c r="AG212" s="20">
        <f>IF(B212="","",ROUND(MAX(0,AD212-AE212),2))</f>
        <v>0</v>
      </c>
      <c r="AH212" s="20">
        <f>IF(B212="","",ROUND(T212+Z212+AA212+AB212+AG212,2))</f>
        <v>0</v>
      </c>
      <c r="AI212" s="33">
        <f>IF(B212="","",IFERROR(INDEX(Channels!$S$5:$S$18,MATCH(IF(H212="",DefaultChannel,H212),Channels!$A$5:$A$18,0)),0))</f>
        <v>0</v>
      </c>
      <c r="AJ212" s="42">
        <f>IF(B212="","",IFERROR(INDEX(Channels!$O$5:$O$18,MATCH(IF(H212="",DefaultChannel,H212),Channels!$A$5:$A$18,0)),"No"))</f>
        <v>0</v>
      </c>
      <c r="AK212" s="20">
        <f>IF(B212="","",ROUND(IFERROR(INDEX(Channels!$T$5:$T$18,MATCH(IF(H212="",DefaultChannel,H212),Channels!$A$5:$A$18,0)),0)+IF(AJ212="Yes",AE212*AI212,0),4))</f>
        <v>0</v>
      </c>
      <c r="AL212" s="33">
        <f>IF(B212="","",IF(OverheadMethod="Share of revenue",IF(RevenueTargetMonth&lt;=0,0,OverheadMonthly/RevenueTargetMonth),0))</f>
        <v>0</v>
      </c>
      <c r="AM212" s="20">
        <f>IF(B212="","",IF(OverheadMethod="Per hour worked",ROUND(OverheadPerHour*Y212,2),IF(OR(OverheadMethod="Per unit made",OverheadMethod="Per order"),OverheadPerUnit,0)))</f>
        <v>0</v>
      </c>
      <c r="AN212" s="33">
        <f>IF(B212="","",IF(N212&lt;&gt;"",N212,TargetRetailMargin))</f>
        <v>0</v>
      </c>
      <c r="AO212" s="41">
        <f>IF(B212="","",1-AN212-AI212-AL212)</f>
        <v>0</v>
      </c>
      <c r="AP212" s="20">
        <f>IF(B212="","",IF(AO212&lt;=0,"",(AH212+AM212+AK212)/AO212))</f>
        <v>0</v>
      </c>
      <c r="AQ212" s="20">
        <f>IF(B212="","",IF(AP212="","Check the settings",ROUND(IF(RoundingRule="None",AP212,IF(RoundingRule="Nearest 0.99",MAX(0.99,CEILING(AP212,1)-0.01),IF(RoundingRule="Nearest 0.95",MAX(0.95,CEILING(AP212,1)-0.05),IF(RoundingRule="Nearest 0.50",CEILING(AP212,0.5),IF(RoundingRule="Nearest 1",CEILING(AP212,1),IF(RoundingRule="Nearest 5",CEILING(AP212,5),IF(RoundingRule="Up to whole 1",CEILING(AP212,1),IF(RoundingRule="Up to whole 5",CEILING(AP212,5),ROUND(AP212,2))))))))),2)))</f>
        <v>0</v>
      </c>
      <c r="AR212" s="20">
        <f>IF(B212="","",IF(M212&lt;&gt;"",M212,IF(ISNUMBER(AQ212),AQ212,"")))</f>
        <v>0</v>
      </c>
      <c r="AS212" s="20">
        <f>IF(B212="","",IF(AR212="","",ROUND(AM212+AR212*AL212,2)))</f>
        <v>0</v>
      </c>
      <c r="AT212" s="20">
        <f>IF(B212="","",IF(AR212="","",ROUND(AH212+AS212,2)))</f>
        <v>0</v>
      </c>
      <c r="AU212" s="20">
        <f>IF(B212="","",IF(AR212="","",ROUND(AR212*AI212+AK212,2)))</f>
        <v>0</v>
      </c>
      <c r="AV212" s="20">
        <f>IF(B212="","",IF(AR212="","",ROUND(AR212-AT212-AU212,2)))</f>
        <v>0</v>
      </c>
      <c r="AW212" s="33">
        <f>IF(B212="","",IF(OR(AR212="",AR212=0),"",AV212/AR212))</f>
        <v>0</v>
      </c>
      <c r="AX212" s="33">
        <f>IF(B212="","",IF(OR(AT212="",AT212=0),"",AV212/AT212))</f>
        <v>0</v>
      </c>
      <c r="AY212" s="20">
        <f>IF(B212="","",IF(OR(Y212="",Y212=0,AV212=""),"",ROUND(AV212/Y212,2)))</f>
        <v>0</v>
      </c>
      <c r="AZ212" s="20">
        <f>IF(B212="","",IF(OR(Y212="",Y212=0,AV212=""),"",ROUND((AV212+Z212)/Y212,2)))</f>
        <v>0</v>
      </c>
      <c r="BA212" s="20">
        <f>IF(B212="","",IF(1-AI212-AL212&lt;=0,"",ROUND((AH212+AM212+AK212)/(1-AI212-AL212),2)))</f>
        <v>0</v>
      </c>
      <c r="BB212" s="20">
        <f>IF(B212="","",IF(AT212="","",ROUND(AT212*2,2)))</f>
        <v>0</v>
      </c>
      <c r="BC212" s="20">
        <f>IF(B212="","",IF(AR212="","",ROUND(AR212*(1-WholesaleDiscount),2)))</f>
        <v>0</v>
      </c>
      <c r="BD212" s="20">
        <f>IF(B212="","",IF(BC212="","",ROUND(BC212-AH212-AM212,2)))</f>
        <v>0</v>
      </c>
      <c r="BE212" s="33">
        <f>IF(B212="","",IF(OR(BC212="",BC212=0),"",BD212/BC212))</f>
        <v>0</v>
      </c>
      <c r="BF212" s="20">
        <f>IF(B212="","",IFERROR(ROUND(AVERAGEIFS(Competitors!$F$5:$F$154,Competitors!$A$5:$A$154,A212),2),""))</f>
        <v>0</v>
      </c>
      <c r="BG212" s="33">
        <f>IF(B212="","",IF(OR(BF212="",BF212=0,AR212=""),"",AR212/BF212-1))</f>
        <v>0</v>
      </c>
      <c r="BH212" s="32">
        <f>IF(B212="","",SUMIFS(Sales!$D$5:$D$804,Sales!$C$5:$C$804,A212))</f>
        <v>0</v>
      </c>
      <c r="BI212" s="20">
        <f>IF(B212="","",ROUND(SUMIFS(Sales!$V$5:$V$804,Sales!$C$5:$C$804,A212),2))</f>
        <v>0</v>
      </c>
      <c r="BJ212" s="20">
        <f>IF(B212="","",ROUND(SUMIFS(Sales!$AG$5:$AG$804,Sales!$C$5:$C$804,A212),2))</f>
        <v>0</v>
      </c>
      <c r="BK212" s="33">
        <f>IF(B212="","",IF(OR(BI212="",BI212=0),"",BJ212/BI212))</f>
        <v>0</v>
      </c>
      <c r="BL212" s="17">
        <f>IF(B212="","",IF(SUMPRODUCT(MAX((Sales!$C$5:$C$804=A212)*Sales!$B$5:$B$804))=0,"",SUMPRODUCT(MAX((Sales!$C$5:$C$804=A212)*Sales!$B$5:$B$804))))</f>
        <v>0</v>
      </c>
      <c r="BM212" s="17">
        <f>IF(B212="","",IF(SUMPRODUCT(MAX(('Price History'!$B$5:$B$304=A212)*'Price History'!$A$5:$A$304))=0,IF(P212="","",P212),SUMPRODUCT(MAX(('Price History'!$B$5:$B$304=A212)*'Price History'!$A$5:$A$304))))</f>
        <v>0</v>
      </c>
      <c r="BN212" s="32">
        <f>IF(B212="","",IF(BM212="","",TodayDate-BM212))</f>
        <v>0</v>
      </c>
      <c r="BO212" s="32">
        <f>IF(B212="","",COUNTIFS($AV$5:$AV$304,"&gt;"&amp;AV212)+COUNTIFS($AV$5:AV212,AV212))</f>
        <v>0</v>
      </c>
      <c r="BP212" s="32">
        <f>IF(B212="","",COUNTIFS($AW$5:$AW$304,"&gt;"&amp;AW212)+COUNTIFS($AW$5:AW212,AW212))</f>
        <v>0</v>
      </c>
      <c r="BQ212" s="32">
        <f>IF(B212="","",COUNTIFS($BI$5:$BI$304,"&gt;"&amp;BI212)+COUNTIFS($BI$5:BI212,BI212))</f>
        <v>0</v>
      </c>
      <c r="BR212" s="32">
        <f>IF(B212="","",COUNTIFS($AY$5:$AY$304,"&gt;"&amp;AY212)+COUNTIFS($AY$5:AY212,AY212))</f>
        <v>0</v>
      </c>
      <c r="BS212" s="43">
        <f>IF(B212="","",IF(AH212=0,"Add - no costs entered yet",IF(AR212="","Check - no price yet",IF(AV212&lt;0,"Loss - every sale costs you money",IF(AND(AZ212&lt;&gt;"",AZ212&lt;MinimumWage),"Below - pays under minimum wage",IF(AW212&lt;MarginWarning,"Low margin - re-price it",IF(AND(AF212&lt;&gt;"",K212&lt;&gt;"",K212+AC212&gt;AF212),"Check - too heavy for that postage band",IF(AND(BN212&lt;&gt;"",BN212&gt;PriceReviewDays),"Due - price has not been reviewed",IF(AND(BG212&lt;&gt;"",BG212&gt;0.5),"Check - well above the market","OK")))))))) )</f>
        <v>0</v>
      </c>
    </row>
    <row r="213" spans="1:71">
      <c r="A213" s="38">
        <f>IF(B213="","",ProductPrefix&amp;TEXT(ROW()-4,"0000"))</f>
        <v>0</v>
      </c>
      <c r="S213" s="38">
        <f>IF(B213="","",IF(C213&lt;&gt;"",C213,UPPER(LEFT(IF(D213="","GEN",D213),3))&amp;"-"&amp;TEXT(ROW()-4,"000")))</f>
        <v>0</v>
      </c>
      <c r="T213" s="20">
        <f>IF(B213="","",ROUND(SUMIFS('Material Usage'!$M$5:$M$904,'Material Usage'!$A$5:$A$904,A213)+SUMIFS(Crochet!$AD$5:$AD$84,Crochet!$A$5:$A$84,A213)+SUMIFS(Jewelry!$AF$5:$AF$84,Jewelry!$A$5:$A$84,A213)+SUMIFS(Candles!$AF$5:$AF$84,Candles!$A$5:$A$84,A213)+SUMIFS(Clothing!$AB$5:$AB$84,Clothing!$A$5:$A$84,A213)+SUMIFS(Woodworking!$AC$5:$AC$84,Woodworking!$A$5:$A$84,A213)+SUMIFS(Digital!$X$5:$X$84,Digital!$A$5:$A$84,A213),2))</f>
        <v>0</v>
      </c>
      <c r="U213" s="20">
        <f>IF(B213="","",ROUND(SUMIFS(Labor!$O$5:$O$304,Labor!$A$5:$A$304,A213)+SUMIFS(Crochet!$AG$5:$AG$84,Crochet!$A$5:$A$84,A213)+SUMIFS(Jewelry!$AI$5:$AI$84,Jewelry!$A$5:$A$84,A213)+SUMIFS(Candles!$AI$5:$AI$84,Candles!$A$5:$A$84,A213)+SUMIFS(Clothing!$AE$5:$AE$84,Clothing!$A$5:$A$84,A213)+SUMIFS(Woodworking!$AF$5:$AF$84,Woodworking!$A$5:$A$84,A213)+SUMIFS(Digital!$Z$5:$Z$84,Digital!$A$5:$A$84,A213),2))</f>
        <v>0</v>
      </c>
      <c r="V213" s="36">
        <f>IF(B213="","",ROUND(SUMIFS(Labor!$P$5:$P$304,Labor!$A$5:$A$304,A213)+SUMIFS(Crochet!$AE$5:$AE$84,Crochet!$A$5:$A$84,A213)+SUMIFS(Jewelry!$AG$5:$AG$84,Jewelry!$A$5:$A$84,A213)+SUMIFS(Candles!$AG$5:$AG$84,Candles!$A$5:$A$84,A213)+SUMIFS(Clothing!$AC$5:$AC$84,Clothing!$A$5:$A$84,A213)+SUMIFS(Woodworking!$AD$5:$AD$84,Woodworking!$A$5:$A$84,A213)+SUMIFS(Digital!$Y$5:$Y$84,Digital!$A$5:$A$84,A213),1))</f>
        <v>0</v>
      </c>
      <c r="W213" s="41">
        <f>IF(B213="","",IFERROR(INDEX(DiffTimeFactors,MATCH(G213,DiffNames,0)),1))</f>
        <v>0</v>
      </c>
      <c r="X213" s="36">
        <f>IF(B213="","",ROUND(V213*W213,1))</f>
        <v>0</v>
      </c>
      <c r="Y213" s="41">
        <f>IF(B213="","",ROUND(X213/60,3))</f>
        <v>0</v>
      </c>
      <c r="Z213" s="20">
        <f>IF(B213="","",ROUND(U213*W213,2))</f>
        <v>0</v>
      </c>
      <c r="AA213" s="20">
        <f>IF(B213="","",ROUND(SUMIFS(Labor!$Q$5:$Q$304,Labor!$A$5:$A$304,A213)+SUMIFS(Crochet!$AH$5:$AH$84,Crochet!$A$5:$A$84,A213)+SUMIFS(Jewelry!$AJ$5:$AJ$84,Jewelry!$A$5:$A$84,A213)+SUMIFS(Candles!$AJ$5:$AJ$84,Candles!$A$5:$A$84,A213)+SUMIFS(Clothing!$AF$5:$AF$84,Clothing!$A$5:$A$84,A213)+SUMIFS(Woodworking!$AH$5:$AH$84,Woodworking!$A$5:$A$84,A213)+SUMIFS(Digital!$AA$5:$AA$84,Digital!$A$5:$A$84,A213),2))</f>
        <v>0</v>
      </c>
      <c r="AB213" s="20">
        <f>IF(B213="","",ROUND(IF(I213="Budget",PackBudget,IF(I213="Standard",PackStandard,IF(I213="Gift",PackGift,IF(I213="Premium",PackPremium,DefaultPackaging)))),2))</f>
        <v>0</v>
      </c>
      <c r="AC213" s="36">
        <f>IF(B213="","",IF(I213="Budget",PackWeightBudget,IF(I213="Standard",PackWeightStandard,IF(I213="Gift",PackWeightGift,IF(I213="Premium",PackWeightPremium,0)))))</f>
        <v>0</v>
      </c>
      <c r="AD213" s="20">
        <f>IF(B213="","",IFERROR(INDEX(Shipping!$M$5:$M$64,MATCH(J213,Shipping!$L$5:$L$64,0)),DefaultShipping))</f>
        <v>0</v>
      </c>
      <c r="AE213" s="20">
        <f>IF(B213="","",IFERROR(INDEX(Shipping!$F$5:$F$64,MATCH(J213,Shipping!$L$5:$L$64,0)),0))</f>
        <v>0</v>
      </c>
      <c r="AF213" s="36">
        <f>IF(B213="","",IFERROR(INDEX(Shipping!$C$5:$C$64,MATCH(J213,Shipping!$L$5:$L$64,0)),""))</f>
        <v>0</v>
      </c>
      <c r="AG213" s="20">
        <f>IF(B213="","",ROUND(MAX(0,AD213-AE213),2))</f>
        <v>0</v>
      </c>
      <c r="AH213" s="20">
        <f>IF(B213="","",ROUND(T213+Z213+AA213+AB213+AG213,2))</f>
        <v>0</v>
      </c>
      <c r="AI213" s="33">
        <f>IF(B213="","",IFERROR(INDEX(Channels!$S$5:$S$18,MATCH(IF(H213="",DefaultChannel,H213),Channels!$A$5:$A$18,0)),0))</f>
        <v>0</v>
      </c>
      <c r="AJ213" s="42">
        <f>IF(B213="","",IFERROR(INDEX(Channels!$O$5:$O$18,MATCH(IF(H213="",DefaultChannel,H213),Channels!$A$5:$A$18,0)),"No"))</f>
        <v>0</v>
      </c>
      <c r="AK213" s="20">
        <f>IF(B213="","",ROUND(IFERROR(INDEX(Channels!$T$5:$T$18,MATCH(IF(H213="",DefaultChannel,H213),Channels!$A$5:$A$18,0)),0)+IF(AJ213="Yes",AE213*AI213,0),4))</f>
        <v>0</v>
      </c>
      <c r="AL213" s="33">
        <f>IF(B213="","",IF(OverheadMethod="Share of revenue",IF(RevenueTargetMonth&lt;=0,0,OverheadMonthly/RevenueTargetMonth),0))</f>
        <v>0</v>
      </c>
      <c r="AM213" s="20">
        <f>IF(B213="","",IF(OverheadMethod="Per hour worked",ROUND(OverheadPerHour*Y213,2),IF(OR(OverheadMethod="Per unit made",OverheadMethod="Per order"),OverheadPerUnit,0)))</f>
        <v>0</v>
      </c>
      <c r="AN213" s="33">
        <f>IF(B213="","",IF(N213&lt;&gt;"",N213,TargetRetailMargin))</f>
        <v>0</v>
      </c>
      <c r="AO213" s="41">
        <f>IF(B213="","",1-AN213-AI213-AL213)</f>
        <v>0</v>
      </c>
      <c r="AP213" s="20">
        <f>IF(B213="","",IF(AO213&lt;=0,"",(AH213+AM213+AK213)/AO213))</f>
        <v>0</v>
      </c>
      <c r="AQ213" s="20">
        <f>IF(B213="","",IF(AP213="","Check the settings",ROUND(IF(RoundingRule="None",AP213,IF(RoundingRule="Nearest 0.99",MAX(0.99,CEILING(AP213,1)-0.01),IF(RoundingRule="Nearest 0.95",MAX(0.95,CEILING(AP213,1)-0.05),IF(RoundingRule="Nearest 0.50",CEILING(AP213,0.5),IF(RoundingRule="Nearest 1",CEILING(AP213,1),IF(RoundingRule="Nearest 5",CEILING(AP213,5),IF(RoundingRule="Up to whole 1",CEILING(AP213,1),IF(RoundingRule="Up to whole 5",CEILING(AP213,5),ROUND(AP213,2))))))))),2)))</f>
        <v>0</v>
      </c>
      <c r="AR213" s="20">
        <f>IF(B213="","",IF(M213&lt;&gt;"",M213,IF(ISNUMBER(AQ213),AQ213,"")))</f>
        <v>0</v>
      </c>
      <c r="AS213" s="20">
        <f>IF(B213="","",IF(AR213="","",ROUND(AM213+AR213*AL213,2)))</f>
        <v>0</v>
      </c>
      <c r="AT213" s="20">
        <f>IF(B213="","",IF(AR213="","",ROUND(AH213+AS213,2)))</f>
        <v>0</v>
      </c>
      <c r="AU213" s="20">
        <f>IF(B213="","",IF(AR213="","",ROUND(AR213*AI213+AK213,2)))</f>
        <v>0</v>
      </c>
      <c r="AV213" s="20">
        <f>IF(B213="","",IF(AR213="","",ROUND(AR213-AT213-AU213,2)))</f>
        <v>0</v>
      </c>
      <c r="AW213" s="33">
        <f>IF(B213="","",IF(OR(AR213="",AR213=0),"",AV213/AR213))</f>
        <v>0</v>
      </c>
      <c r="AX213" s="33">
        <f>IF(B213="","",IF(OR(AT213="",AT213=0),"",AV213/AT213))</f>
        <v>0</v>
      </c>
      <c r="AY213" s="20">
        <f>IF(B213="","",IF(OR(Y213="",Y213=0,AV213=""),"",ROUND(AV213/Y213,2)))</f>
        <v>0</v>
      </c>
      <c r="AZ213" s="20">
        <f>IF(B213="","",IF(OR(Y213="",Y213=0,AV213=""),"",ROUND((AV213+Z213)/Y213,2)))</f>
        <v>0</v>
      </c>
      <c r="BA213" s="20">
        <f>IF(B213="","",IF(1-AI213-AL213&lt;=0,"",ROUND((AH213+AM213+AK213)/(1-AI213-AL213),2)))</f>
        <v>0</v>
      </c>
      <c r="BB213" s="20">
        <f>IF(B213="","",IF(AT213="","",ROUND(AT213*2,2)))</f>
        <v>0</v>
      </c>
      <c r="BC213" s="20">
        <f>IF(B213="","",IF(AR213="","",ROUND(AR213*(1-WholesaleDiscount),2)))</f>
        <v>0</v>
      </c>
      <c r="BD213" s="20">
        <f>IF(B213="","",IF(BC213="","",ROUND(BC213-AH213-AM213,2)))</f>
        <v>0</v>
      </c>
      <c r="BE213" s="33">
        <f>IF(B213="","",IF(OR(BC213="",BC213=0),"",BD213/BC213))</f>
        <v>0</v>
      </c>
      <c r="BF213" s="20">
        <f>IF(B213="","",IFERROR(ROUND(AVERAGEIFS(Competitors!$F$5:$F$154,Competitors!$A$5:$A$154,A213),2),""))</f>
        <v>0</v>
      </c>
      <c r="BG213" s="33">
        <f>IF(B213="","",IF(OR(BF213="",BF213=0,AR213=""),"",AR213/BF213-1))</f>
        <v>0</v>
      </c>
      <c r="BH213" s="32">
        <f>IF(B213="","",SUMIFS(Sales!$D$5:$D$804,Sales!$C$5:$C$804,A213))</f>
        <v>0</v>
      </c>
      <c r="BI213" s="20">
        <f>IF(B213="","",ROUND(SUMIFS(Sales!$V$5:$V$804,Sales!$C$5:$C$804,A213),2))</f>
        <v>0</v>
      </c>
      <c r="BJ213" s="20">
        <f>IF(B213="","",ROUND(SUMIFS(Sales!$AG$5:$AG$804,Sales!$C$5:$C$804,A213),2))</f>
        <v>0</v>
      </c>
      <c r="BK213" s="33">
        <f>IF(B213="","",IF(OR(BI213="",BI213=0),"",BJ213/BI213))</f>
        <v>0</v>
      </c>
      <c r="BL213" s="17">
        <f>IF(B213="","",IF(SUMPRODUCT(MAX((Sales!$C$5:$C$804=A213)*Sales!$B$5:$B$804))=0,"",SUMPRODUCT(MAX((Sales!$C$5:$C$804=A213)*Sales!$B$5:$B$804))))</f>
        <v>0</v>
      </c>
      <c r="BM213" s="17">
        <f>IF(B213="","",IF(SUMPRODUCT(MAX(('Price History'!$B$5:$B$304=A213)*'Price History'!$A$5:$A$304))=0,IF(P213="","",P213),SUMPRODUCT(MAX(('Price History'!$B$5:$B$304=A213)*'Price History'!$A$5:$A$304))))</f>
        <v>0</v>
      </c>
      <c r="BN213" s="32">
        <f>IF(B213="","",IF(BM213="","",TodayDate-BM213))</f>
        <v>0</v>
      </c>
      <c r="BO213" s="32">
        <f>IF(B213="","",COUNTIFS($AV$5:$AV$304,"&gt;"&amp;AV213)+COUNTIFS($AV$5:AV213,AV213))</f>
        <v>0</v>
      </c>
      <c r="BP213" s="32">
        <f>IF(B213="","",COUNTIFS($AW$5:$AW$304,"&gt;"&amp;AW213)+COUNTIFS($AW$5:AW213,AW213))</f>
        <v>0</v>
      </c>
      <c r="BQ213" s="32">
        <f>IF(B213="","",COUNTIFS($BI$5:$BI$304,"&gt;"&amp;BI213)+COUNTIFS($BI$5:BI213,BI213))</f>
        <v>0</v>
      </c>
      <c r="BR213" s="32">
        <f>IF(B213="","",COUNTIFS($AY$5:$AY$304,"&gt;"&amp;AY213)+COUNTIFS($AY$5:AY213,AY213))</f>
        <v>0</v>
      </c>
      <c r="BS213" s="43">
        <f>IF(B213="","",IF(AH213=0,"Add - no costs entered yet",IF(AR213="","Check - no price yet",IF(AV213&lt;0,"Loss - every sale costs you money",IF(AND(AZ213&lt;&gt;"",AZ213&lt;MinimumWage),"Below - pays under minimum wage",IF(AW213&lt;MarginWarning,"Low margin - re-price it",IF(AND(AF213&lt;&gt;"",K213&lt;&gt;"",K213+AC213&gt;AF213),"Check - too heavy for that postage band",IF(AND(BN213&lt;&gt;"",BN213&gt;PriceReviewDays),"Due - price has not been reviewed",IF(AND(BG213&lt;&gt;"",BG213&gt;0.5),"Check - well above the market","OK")))))))) )</f>
        <v>0</v>
      </c>
    </row>
    <row r="214" spans="1:71">
      <c r="A214" s="38">
        <f>IF(B214="","",ProductPrefix&amp;TEXT(ROW()-4,"0000"))</f>
        <v>0</v>
      </c>
      <c r="S214" s="38">
        <f>IF(B214="","",IF(C214&lt;&gt;"",C214,UPPER(LEFT(IF(D214="","GEN",D214),3))&amp;"-"&amp;TEXT(ROW()-4,"000")))</f>
        <v>0</v>
      </c>
      <c r="T214" s="20">
        <f>IF(B214="","",ROUND(SUMIFS('Material Usage'!$M$5:$M$904,'Material Usage'!$A$5:$A$904,A214)+SUMIFS(Crochet!$AD$5:$AD$84,Crochet!$A$5:$A$84,A214)+SUMIFS(Jewelry!$AF$5:$AF$84,Jewelry!$A$5:$A$84,A214)+SUMIFS(Candles!$AF$5:$AF$84,Candles!$A$5:$A$84,A214)+SUMIFS(Clothing!$AB$5:$AB$84,Clothing!$A$5:$A$84,A214)+SUMIFS(Woodworking!$AC$5:$AC$84,Woodworking!$A$5:$A$84,A214)+SUMIFS(Digital!$X$5:$X$84,Digital!$A$5:$A$84,A214),2))</f>
        <v>0</v>
      </c>
      <c r="U214" s="20">
        <f>IF(B214="","",ROUND(SUMIFS(Labor!$O$5:$O$304,Labor!$A$5:$A$304,A214)+SUMIFS(Crochet!$AG$5:$AG$84,Crochet!$A$5:$A$84,A214)+SUMIFS(Jewelry!$AI$5:$AI$84,Jewelry!$A$5:$A$84,A214)+SUMIFS(Candles!$AI$5:$AI$84,Candles!$A$5:$A$84,A214)+SUMIFS(Clothing!$AE$5:$AE$84,Clothing!$A$5:$A$84,A214)+SUMIFS(Woodworking!$AF$5:$AF$84,Woodworking!$A$5:$A$84,A214)+SUMIFS(Digital!$Z$5:$Z$84,Digital!$A$5:$A$84,A214),2))</f>
        <v>0</v>
      </c>
      <c r="V214" s="36">
        <f>IF(B214="","",ROUND(SUMIFS(Labor!$P$5:$P$304,Labor!$A$5:$A$304,A214)+SUMIFS(Crochet!$AE$5:$AE$84,Crochet!$A$5:$A$84,A214)+SUMIFS(Jewelry!$AG$5:$AG$84,Jewelry!$A$5:$A$84,A214)+SUMIFS(Candles!$AG$5:$AG$84,Candles!$A$5:$A$84,A214)+SUMIFS(Clothing!$AC$5:$AC$84,Clothing!$A$5:$A$84,A214)+SUMIFS(Woodworking!$AD$5:$AD$84,Woodworking!$A$5:$A$84,A214)+SUMIFS(Digital!$Y$5:$Y$84,Digital!$A$5:$A$84,A214),1))</f>
        <v>0</v>
      </c>
      <c r="W214" s="41">
        <f>IF(B214="","",IFERROR(INDEX(DiffTimeFactors,MATCH(G214,DiffNames,0)),1))</f>
        <v>0</v>
      </c>
      <c r="X214" s="36">
        <f>IF(B214="","",ROUND(V214*W214,1))</f>
        <v>0</v>
      </c>
      <c r="Y214" s="41">
        <f>IF(B214="","",ROUND(X214/60,3))</f>
        <v>0</v>
      </c>
      <c r="Z214" s="20">
        <f>IF(B214="","",ROUND(U214*W214,2))</f>
        <v>0</v>
      </c>
      <c r="AA214" s="20">
        <f>IF(B214="","",ROUND(SUMIFS(Labor!$Q$5:$Q$304,Labor!$A$5:$A$304,A214)+SUMIFS(Crochet!$AH$5:$AH$84,Crochet!$A$5:$A$84,A214)+SUMIFS(Jewelry!$AJ$5:$AJ$84,Jewelry!$A$5:$A$84,A214)+SUMIFS(Candles!$AJ$5:$AJ$84,Candles!$A$5:$A$84,A214)+SUMIFS(Clothing!$AF$5:$AF$84,Clothing!$A$5:$A$84,A214)+SUMIFS(Woodworking!$AH$5:$AH$84,Woodworking!$A$5:$A$84,A214)+SUMIFS(Digital!$AA$5:$AA$84,Digital!$A$5:$A$84,A214),2))</f>
        <v>0</v>
      </c>
      <c r="AB214" s="20">
        <f>IF(B214="","",ROUND(IF(I214="Budget",PackBudget,IF(I214="Standard",PackStandard,IF(I214="Gift",PackGift,IF(I214="Premium",PackPremium,DefaultPackaging)))),2))</f>
        <v>0</v>
      </c>
      <c r="AC214" s="36">
        <f>IF(B214="","",IF(I214="Budget",PackWeightBudget,IF(I214="Standard",PackWeightStandard,IF(I214="Gift",PackWeightGift,IF(I214="Premium",PackWeightPremium,0)))))</f>
        <v>0</v>
      </c>
      <c r="AD214" s="20">
        <f>IF(B214="","",IFERROR(INDEX(Shipping!$M$5:$M$64,MATCH(J214,Shipping!$L$5:$L$64,0)),DefaultShipping))</f>
        <v>0</v>
      </c>
      <c r="AE214" s="20">
        <f>IF(B214="","",IFERROR(INDEX(Shipping!$F$5:$F$64,MATCH(J214,Shipping!$L$5:$L$64,0)),0))</f>
        <v>0</v>
      </c>
      <c r="AF214" s="36">
        <f>IF(B214="","",IFERROR(INDEX(Shipping!$C$5:$C$64,MATCH(J214,Shipping!$L$5:$L$64,0)),""))</f>
        <v>0</v>
      </c>
      <c r="AG214" s="20">
        <f>IF(B214="","",ROUND(MAX(0,AD214-AE214),2))</f>
        <v>0</v>
      </c>
      <c r="AH214" s="20">
        <f>IF(B214="","",ROUND(T214+Z214+AA214+AB214+AG214,2))</f>
        <v>0</v>
      </c>
      <c r="AI214" s="33">
        <f>IF(B214="","",IFERROR(INDEX(Channels!$S$5:$S$18,MATCH(IF(H214="",DefaultChannel,H214),Channels!$A$5:$A$18,0)),0))</f>
        <v>0</v>
      </c>
      <c r="AJ214" s="42">
        <f>IF(B214="","",IFERROR(INDEX(Channels!$O$5:$O$18,MATCH(IF(H214="",DefaultChannel,H214),Channels!$A$5:$A$18,0)),"No"))</f>
        <v>0</v>
      </c>
      <c r="AK214" s="20">
        <f>IF(B214="","",ROUND(IFERROR(INDEX(Channels!$T$5:$T$18,MATCH(IF(H214="",DefaultChannel,H214),Channels!$A$5:$A$18,0)),0)+IF(AJ214="Yes",AE214*AI214,0),4))</f>
        <v>0</v>
      </c>
      <c r="AL214" s="33">
        <f>IF(B214="","",IF(OverheadMethod="Share of revenue",IF(RevenueTargetMonth&lt;=0,0,OverheadMonthly/RevenueTargetMonth),0))</f>
        <v>0</v>
      </c>
      <c r="AM214" s="20">
        <f>IF(B214="","",IF(OverheadMethod="Per hour worked",ROUND(OverheadPerHour*Y214,2),IF(OR(OverheadMethod="Per unit made",OverheadMethod="Per order"),OverheadPerUnit,0)))</f>
        <v>0</v>
      </c>
      <c r="AN214" s="33">
        <f>IF(B214="","",IF(N214&lt;&gt;"",N214,TargetRetailMargin))</f>
        <v>0</v>
      </c>
      <c r="AO214" s="41">
        <f>IF(B214="","",1-AN214-AI214-AL214)</f>
        <v>0</v>
      </c>
      <c r="AP214" s="20">
        <f>IF(B214="","",IF(AO214&lt;=0,"",(AH214+AM214+AK214)/AO214))</f>
        <v>0</v>
      </c>
      <c r="AQ214" s="20">
        <f>IF(B214="","",IF(AP214="","Check the settings",ROUND(IF(RoundingRule="None",AP214,IF(RoundingRule="Nearest 0.99",MAX(0.99,CEILING(AP214,1)-0.01),IF(RoundingRule="Nearest 0.95",MAX(0.95,CEILING(AP214,1)-0.05),IF(RoundingRule="Nearest 0.50",CEILING(AP214,0.5),IF(RoundingRule="Nearest 1",CEILING(AP214,1),IF(RoundingRule="Nearest 5",CEILING(AP214,5),IF(RoundingRule="Up to whole 1",CEILING(AP214,1),IF(RoundingRule="Up to whole 5",CEILING(AP214,5),ROUND(AP214,2))))))))),2)))</f>
        <v>0</v>
      </c>
      <c r="AR214" s="20">
        <f>IF(B214="","",IF(M214&lt;&gt;"",M214,IF(ISNUMBER(AQ214),AQ214,"")))</f>
        <v>0</v>
      </c>
      <c r="AS214" s="20">
        <f>IF(B214="","",IF(AR214="","",ROUND(AM214+AR214*AL214,2)))</f>
        <v>0</v>
      </c>
      <c r="AT214" s="20">
        <f>IF(B214="","",IF(AR214="","",ROUND(AH214+AS214,2)))</f>
        <v>0</v>
      </c>
      <c r="AU214" s="20">
        <f>IF(B214="","",IF(AR214="","",ROUND(AR214*AI214+AK214,2)))</f>
        <v>0</v>
      </c>
      <c r="AV214" s="20">
        <f>IF(B214="","",IF(AR214="","",ROUND(AR214-AT214-AU214,2)))</f>
        <v>0</v>
      </c>
      <c r="AW214" s="33">
        <f>IF(B214="","",IF(OR(AR214="",AR214=0),"",AV214/AR214))</f>
        <v>0</v>
      </c>
      <c r="AX214" s="33">
        <f>IF(B214="","",IF(OR(AT214="",AT214=0),"",AV214/AT214))</f>
        <v>0</v>
      </c>
      <c r="AY214" s="20">
        <f>IF(B214="","",IF(OR(Y214="",Y214=0,AV214=""),"",ROUND(AV214/Y214,2)))</f>
        <v>0</v>
      </c>
      <c r="AZ214" s="20">
        <f>IF(B214="","",IF(OR(Y214="",Y214=0,AV214=""),"",ROUND((AV214+Z214)/Y214,2)))</f>
        <v>0</v>
      </c>
      <c r="BA214" s="20">
        <f>IF(B214="","",IF(1-AI214-AL214&lt;=0,"",ROUND((AH214+AM214+AK214)/(1-AI214-AL214),2)))</f>
        <v>0</v>
      </c>
      <c r="BB214" s="20">
        <f>IF(B214="","",IF(AT214="","",ROUND(AT214*2,2)))</f>
        <v>0</v>
      </c>
      <c r="BC214" s="20">
        <f>IF(B214="","",IF(AR214="","",ROUND(AR214*(1-WholesaleDiscount),2)))</f>
        <v>0</v>
      </c>
      <c r="BD214" s="20">
        <f>IF(B214="","",IF(BC214="","",ROUND(BC214-AH214-AM214,2)))</f>
        <v>0</v>
      </c>
      <c r="BE214" s="33">
        <f>IF(B214="","",IF(OR(BC214="",BC214=0),"",BD214/BC214))</f>
        <v>0</v>
      </c>
      <c r="BF214" s="20">
        <f>IF(B214="","",IFERROR(ROUND(AVERAGEIFS(Competitors!$F$5:$F$154,Competitors!$A$5:$A$154,A214),2),""))</f>
        <v>0</v>
      </c>
      <c r="BG214" s="33">
        <f>IF(B214="","",IF(OR(BF214="",BF214=0,AR214=""),"",AR214/BF214-1))</f>
        <v>0</v>
      </c>
      <c r="BH214" s="32">
        <f>IF(B214="","",SUMIFS(Sales!$D$5:$D$804,Sales!$C$5:$C$804,A214))</f>
        <v>0</v>
      </c>
      <c r="BI214" s="20">
        <f>IF(B214="","",ROUND(SUMIFS(Sales!$V$5:$V$804,Sales!$C$5:$C$804,A214),2))</f>
        <v>0</v>
      </c>
      <c r="BJ214" s="20">
        <f>IF(B214="","",ROUND(SUMIFS(Sales!$AG$5:$AG$804,Sales!$C$5:$C$804,A214),2))</f>
        <v>0</v>
      </c>
      <c r="BK214" s="33">
        <f>IF(B214="","",IF(OR(BI214="",BI214=0),"",BJ214/BI214))</f>
        <v>0</v>
      </c>
      <c r="BL214" s="17">
        <f>IF(B214="","",IF(SUMPRODUCT(MAX((Sales!$C$5:$C$804=A214)*Sales!$B$5:$B$804))=0,"",SUMPRODUCT(MAX((Sales!$C$5:$C$804=A214)*Sales!$B$5:$B$804))))</f>
        <v>0</v>
      </c>
      <c r="BM214" s="17">
        <f>IF(B214="","",IF(SUMPRODUCT(MAX(('Price History'!$B$5:$B$304=A214)*'Price History'!$A$5:$A$304))=0,IF(P214="","",P214),SUMPRODUCT(MAX(('Price History'!$B$5:$B$304=A214)*'Price History'!$A$5:$A$304))))</f>
        <v>0</v>
      </c>
      <c r="BN214" s="32">
        <f>IF(B214="","",IF(BM214="","",TodayDate-BM214))</f>
        <v>0</v>
      </c>
      <c r="BO214" s="32">
        <f>IF(B214="","",COUNTIFS($AV$5:$AV$304,"&gt;"&amp;AV214)+COUNTIFS($AV$5:AV214,AV214))</f>
        <v>0</v>
      </c>
      <c r="BP214" s="32">
        <f>IF(B214="","",COUNTIFS($AW$5:$AW$304,"&gt;"&amp;AW214)+COUNTIFS($AW$5:AW214,AW214))</f>
        <v>0</v>
      </c>
      <c r="BQ214" s="32">
        <f>IF(B214="","",COUNTIFS($BI$5:$BI$304,"&gt;"&amp;BI214)+COUNTIFS($BI$5:BI214,BI214))</f>
        <v>0</v>
      </c>
      <c r="BR214" s="32">
        <f>IF(B214="","",COUNTIFS($AY$5:$AY$304,"&gt;"&amp;AY214)+COUNTIFS($AY$5:AY214,AY214))</f>
        <v>0</v>
      </c>
      <c r="BS214" s="43">
        <f>IF(B214="","",IF(AH214=0,"Add - no costs entered yet",IF(AR214="","Check - no price yet",IF(AV214&lt;0,"Loss - every sale costs you money",IF(AND(AZ214&lt;&gt;"",AZ214&lt;MinimumWage),"Below - pays under minimum wage",IF(AW214&lt;MarginWarning,"Low margin - re-price it",IF(AND(AF214&lt;&gt;"",K214&lt;&gt;"",K214+AC214&gt;AF214),"Check - too heavy for that postage band",IF(AND(BN214&lt;&gt;"",BN214&gt;PriceReviewDays),"Due - price has not been reviewed",IF(AND(BG214&lt;&gt;"",BG214&gt;0.5),"Check - well above the market","OK")))))))) )</f>
        <v>0</v>
      </c>
    </row>
    <row r="215" spans="1:71">
      <c r="A215" s="38">
        <f>IF(B215="","",ProductPrefix&amp;TEXT(ROW()-4,"0000"))</f>
        <v>0</v>
      </c>
      <c r="S215" s="38">
        <f>IF(B215="","",IF(C215&lt;&gt;"",C215,UPPER(LEFT(IF(D215="","GEN",D215),3))&amp;"-"&amp;TEXT(ROW()-4,"000")))</f>
        <v>0</v>
      </c>
      <c r="T215" s="20">
        <f>IF(B215="","",ROUND(SUMIFS('Material Usage'!$M$5:$M$904,'Material Usage'!$A$5:$A$904,A215)+SUMIFS(Crochet!$AD$5:$AD$84,Crochet!$A$5:$A$84,A215)+SUMIFS(Jewelry!$AF$5:$AF$84,Jewelry!$A$5:$A$84,A215)+SUMIFS(Candles!$AF$5:$AF$84,Candles!$A$5:$A$84,A215)+SUMIFS(Clothing!$AB$5:$AB$84,Clothing!$A$5:$A$84,A215)+SUMIFS(Woodworking!$AC$5:$AC$84,Woodworking!$A$5:$A$84,A215)+SUMIFS(Digital!$X$5:$X$84,Digital!$A$5:$A$84,A215),2))</f>
        <v>0</v>
      </c>
      <c r="U215" s="20">
        <f>IF(B215="","",ROUND(SUMIFS(Labor!$O$5:$O$304,Labor!$A$5:$A$304,A215)+SUMIFS(Crochet!$AG$5:$AG$84,Crochet!$A$5:$A$84,A215)+SUMIFS(Jewelry!$AI$5:$AI$84,Jewelry!$A$5:$A$84,A215)+SUMIFS(Candles!$AI$5:$AI$84,Candles!$A$5:$A$84,A215)+SUMIFS(Clothing!$AE$5:$AE$84,Clothing!$A$5:$A$84,A215)+SUMIFS(Woodworking!$AF$5:$AF$84,Woodworking!$A$5:$A$84,A215)+SUMIFS(Digital!$Z$5:$Z$84,Digital!$A$5:$A$84,A215),2))</f>
        <v>0</v>
      </c>
      <c r="V215" s="36">
        <f>IF(B215="","",ROUND(SUMIFS(Labor!$P$5:$P$304,Labor!$A$5:$A$304,A215)+SUMIFS(Crochet!$AE$5:$AE$84,Crochet!$A$5:$A$84,A215)+SUMIFS(Jewelry!$AG$5:$AG$84,Jewelry!$A$5:$A$84,A215)+SUMIFS(Candles!$AG$5:$AG$84,Candles!$A$5:$A$84,A215)+SUMIFS(Clothing!$AC$5:$AC$84,Clothing!$A$5:$A$84,A215)+SUMIFS(Woodworking!$AD$5:$AD$84,Woodworking!$A$5:$A$84,A215)+SUMIFS(Digital!$Y$5:$Y$84,Digital!$A$5:$A$84,A215),1))</f>
        <v>0</v>
      </c>
      <c r="W215" s="41">
        <f>IF(B215="","",IFERROR(INDEX(DiffTimeFactors,MATCH(G215,DiffNames,0)),1))</f>
        <v>0</v>
      </c>
      <c r="X215" s="36">
        <f>IF(B215="","",ROUND(V215*W215,1))</f>
        <v>0</v>
      </c>
      <c r="Y215" s="41">
        <f>IF(B215="","",ROUND(X215/60,3))</f>
        <v>0</v>
      </c>
      <c r="Z215" s="20">
        <f>IF(B215="","",ROUND(U215*W215,2))</f>
        <v>0</v>
      </c>
      <c r="AA215" s="20">
        <f>IF(B215="","",ROUND(SUMIFS(Labor!$Q$5:$Q$304,Labor!$A$5:$A$304,A215)+SUMIFS(Crochet!$AH$5:$AH$84,Crochet!$A$5:$A$84,A215)+SUMIFS(Jewelry!$AJ$5:$AJ$84,Jewelry!$A$5:$A$84,A215)+SUMIFS(Candles!$AJ$5:$AJ$84,Candles!$A$5:$A$84,A215)+SUMIFS(Clothing!$AF$5:$AF$84,Clothing!$A$5:$A$84,A215)+SUMIFS(Woodworking!$AH$5:$AH$84,Woodworking!$A$5:$A$84,A215)+SUMIFS(Digital!$AA$5:$AA$84,Digital!$A$5:$A$84,A215),2))</f>
        <v>0</v>
      </c>
      <c r="AB215" s="20">
        <f>IF(B215="","",ROUND(IF(I215="Budget",PackBudget,IF(I215="Standard",PackStandard,IF(I215="Gift",PackGift,IF(I215="Premium",PackPremium,DefaultPackaging)))),2))</f>
        <v>0</v>
      </c>
      <c r="AC215" s="36">
        <f>IF(B215="","",IF(I215="Budget",PackWeightBudget,IF(I215="Standard",PackWeightStandard,IF(I215="Gift",PackWeightGift,IF(I215="Premium",PackWeightPremium,0)))))</f>
        <v>0</v>
      </c>
      <c r="AD215" s="20">
        <f>IF(B215="","",IFERROR(INDEX(Shipping!$M$5:$M$64,MATCH(J215,Shipping!$L$5:$L$64,0)),DefaultShipping))</f>
        <v>0</v>
      </c>
      <c r="AE215" s="20">
        <f>IF(B215="","",IFERROR(INDEX(Shipping!$F$5:$F$64,MATCH(J215,Shipping!$L$5:$L$64,0)),0))</f>
        <v>0</v>
      </c>
      <c r="AF215" s="36">
        <f>IF(B215="","",IFERROR(INDEX(Shipping!$C$5:$C$64,MATCH(J215,Shipping!$L$5:$L$64,0)),""))</f>
        <v>0</v>
      </c>
      <c r="AG215" s="20">
        <f>IF(B215="","",ROUND(MAX(0,AD215-AE215),2))</f>
        <v>0</v>
      </c>
      <c r="AH215" s="20">
        <f>IF(B215="","",ROUND(T215+Z215+AA215+AB215+AG215,2))</f>
        <v>0</v>
      </c>
      <c r="AI215" s="33">
        <f>IF(B215="","",IFERROR(INDEX(Channels!$S$5:$S$18,MATCH(IF(H215="",DefaultChannel,H215),Channels!$A$5:$A$18,0)),0))</f>
        <v>0</v>
      </c>
      <c r="AJ215" s="42">
        <f>IF(B215="","",IFERROR(INDEX(Channels!$O$5:$O$18,MATCH(IF(H215="",DefaultChannel,H215),Channels!$A$5:$A$18,0)),"No"))</f>
        <v>0</v>
      </c>
      <c r="AK215" s="20">
        <f>IF(B215="","",ROUND(IFERROR(INDEX(Channels!$T$5:$T$18,MATCH(IF(H215="",DefaultChannel,H215),Channels!$A$5:$A$18,0)),0)+IF(AJ215="Yes",AE215*AI215,0),4))</f>
        <v>0</v>
      </c>
      <c r="AL215" s="33">
        <f>IF(B215="","",IF(OverheadMethod="Share of revenue",IF(RevenueTargetMonth&lt;=0,0,OverheadMonthly/RevenueTargetMonth),0))</f>
        <v>0</v>
      </c>
      <c r="AM215" s="20">
        <f>IF(B215="","",IF(OverheadMethod="Per hour worked",ROUND(OverheadPerHour*Y215,2),IF(OR(OverheadMethod="Per unit made",OverheadMethod="Per order"),OverheadPerUnit,0)))</f>
        <v>0</v>
      </c>
      <c r="AN215" s="33">
        <f>IF(B215="","",IF(N215&lt;&gt;"",N215,TargetRetailMargin))</f>
        <v>0</v>
      </c>
      <c r="AO215" s="41">
        <f>IF(B215="","",1-AN215-AI215-AL215)</f>
        <v>0</v>
      </c>
      <c r="AP215" s="20">
        <f>IF(B215="","",IF(AO215&lt;=0,"",(AH215+AM215+AK215)/AO215))</f>
        <v>0</v>
      </c>
      <c r="AQ215" s="20">
        <f>IF(B215="","",IF(AP215="","Check the settings",ROUND(IF(RoundingRule="None",AP215,IF(RoundingRule="Nearest 0.99",MAX(0.99,CEILING(AP215,1)-0.01),IF(RoundingRule="Nearest 0.95",MAX(0.95,CEILING(AP215,1)-0.05),IF(RoundingRule="Nearest 0.50",CEILING(AP215,0.5),IF(RoundingRule="Nearest 1",CEILING(AP215,1),IF(RoundingRule="Nearest 5",CEILING(AP215,5),IF(RoundingRule="Up to whole 1",CEILING(AP215,1),IF(RoundingRule="Up to whole 5",CEILING(AP215,5),ROUND(AP215,2))))))))),2)))</f>
        <v>0</v>
      </c>
      <c r="AR215" s="20">
        <f>IF(B215="","",IF(M215&lt;&gt;"",M215,IF(ISNUMBER(AQ215),AQ215,"")))</f>
        <v>0</v>
      </c>
      <c r="AS215" s="20">
        <f>IF(B215="","",IF(AR215="","",ROUND(AM215+AR215*AL215,2)))</f>
        <v>0</v>
      </c>
      <c r="AT215" s="20">
        <f>IF(B215="","",IF(AR215="","",ROUND(AH215+AS215,2)))</f>
        <v>0</v>
      </c>
      <c r="AU215" s="20">
        <f>IF(B215="","",IF(AR215="","",ROUND(AR215*AI215+AK215,2)))</f>
        <v>0</v>
      </c>
      <c r="AV215" s="20">
        <f>IF(B215="","",IF(AR215="","",ROUND(AR215-AT215-AU215,2)))</f>
        <v>0</v>
      </c>
      <c r="AW215" s="33">
        <f>IF(B215="","",IF(OR(AR215="",AR215=0),"",AV215/AR215))</f>
        <v>0</v>
      </c>
      <c r="AX215" s="33">
        <f>IF(B215="","",IF(OR(AT215="",AT215=0),"",AV215/AT215))</f>
        <v>0</v>
      </c>
      <c r="AY215" s="20">
        <f>IF(B215="","",IF(OR(Y215="",Y215=0,AV215=""),"",ROUND(AV215/Y215,2)))</f>
        <v>0</v>
      </c>
      <c r="AZ215" s="20">
        <f>IF(B215="","",IF(OR(Y215="",Y215=0,AV215=""),"",ROUND((AV215+Z215)/Y215,2)))</f>
        <v>0</v>
      </c>
      <c r="BA215" s="20">
        <f>IF(B215="","",IF(1-AI215-AL215&lt;=0,"",ROUND((AH215+AM215+AK215)/(1-AI215-AL215),2)))</f>
        <v>0</v>
      </c>
      <c r="BB215" s="20">
        <f>IF(B215="","",IF(AT215="","",ROUND(AT215*2,2)))</f>
        <v>0</v>
      </c>
      <c r="BC215" s="20">
        <f>IF(B215="","",IF(AR215="","",ROUND(AR215*(1-WholesaleDiscount),2)))</f>
        <v>0</v>
      </c>
      <c r="BD215" s="20">
        <f>IF(B215="","",IF(BC215="","",ROUND(BC215-AH215-AM215,2)))</f>
        <v>0</v>
      </c>
      <c r="BE215" s="33">
        <f>IF(B215="","",IF(OR(BC215="",BC215=0),"",BD215/BC215))</f>
        <v>0</v>
      </c>
      <c r="BF215" s="20">
        <f>IF(B215="","",IFERROR(ROUND(AVERAGEIFS(Competitors!$F$5:$F$154,Competitors!$A$5:$A$154,A215),2),""))</f>
        <v>0</v>
      </c>
      <c r="BG215" s="33">
        <f>IF(B215="","",IF(OR(BF215="",BF215=0,AR215=""),"",AR215/BF215-1))</f>
        <v>0</v>
      </c>
      <c r="BH215" s="32">
        <f>IF(B215="","",SUMIFS(Sales!$D$5:$D$804,Sales!$C$5:$C$804,A215))</f>
        <v>0</v>
      </c>
      <c r="BI215" s="20">
        <f>IF(B215="","",ROUND(SUMIFS(Sales!$V$5:$V$804,Sales!$C$5:$C$804,A215),2))</f>
        <v>0</v>
      </c>
      <c r="BJ215" s="20">
        <f>IF(B215="","",ROUND(SUMIFS(Sales!$AG$5:$AG$804,Sales!$C$5:$C$804,A215),2))</f>
        <v>0</v>
      </c>
      <c r="BK215" s="33">
        <f>IF(B215="","",IF(OR(BI215="",BI215=0),"",BJ215/BI215))</f>
        <v>0</v>
      </c>
      <c r="BL215" s="17">
        <f>IF(B215="","",IF(SUMPRODUCT(MAX((Sales!$C$5:$C$804=A215)*Sales!$B$5:$B$804))=0,"",SUMPRODUCT(MAX((Sales!$C$5:$C$804=A215)*Sales!$B$5:$B$804))))</f>
        <v>0</v>
      </c>
      <c r="BM215" s="17">
        <f>IF(B215="","",IF(SUMPRODUCT(MAX(('Price History'!$B$5:$B$304=A215)*'Price History'!$A$5:$A$304))=0,IF(P215="","",P215),SUMPRODUCT(MAX(('Price History'!$B$5:$B$304=A215)*'Price History'!$A$5:$A$304))))</f>
        <v>0</v>
      </c>
      <c r="BN215" s="32">
        <f>IF(B215="","",IF(BM215="","",TodayDate-BM215))</f>
        <v>0</v>
      </c>
      <c r="BO215" s="32">
        <f>IF(B215="","",COUNTIFS($AV$5:$AV$304,"&gt;"&amp;AV215)+COUNTIFS($AV$5:AV215,AV215))</f>
        <v>0</v>
      </c>
      <c r="BP215" s="32">
        <f>IF(B215="","",COUNTIFS($AW$5:$AW$304,"&gt;"&amp;AW215)+COUNTIFS($AW$5:AW215,AW215))</f>
        <v>0</v>
      </c>
      <c r="BQ215" s="32">
        <f>IF(B215="","",COUNTIFS($BI$5:$BI$304,"&gt;"&amp;BI215)+COUNTIFS($BI$5:BI215,BI215))</f>
        <v>0</v>
      </c>
      <c r="BR215" s="32">
        <f>IF(B215="","",COUNTIFS($AY$5:$AY$304,"&gt;"&amp;AY215)+COUNTIFS($AY$5:AY215,AY215))</f>
        <v>0</v>
      </c>
      <c r="BS215" s="43">
        <f>IF(B215="","",IF(AH215=0,"Add - no costs entered yet",IF(AR215="","Check - no price yet",IF(AV215&lt;0,"Loss - every sale costs you money",IF(AND(AZ215&lt;&gt;"",AZ215&lt;MinimumWage),"Below - pays under minimum wage",IF(AW215&lt;MarginWarning,"Low margin - re-price it",IF(AND(AF215&lt;&gt;"",K215&lt;&gt;"",K215+AC215&gt;AF215),"Check - too heavy for that postage band",IF(AND(BN215&lt;&gt;"",BN215&gt;PriceReviewDays),"Due - price has not been reviewed",IF(AND(BG215&lt;&gt;"",BG215&gt;0.5),"Check - well above the market","OK")))))))) )</f>
        <v>0</v>
      </c>
    </row>
    <row r="216" spans="1:71">
      <c r="A216" s="38">
        <f>IF(B216="","",ProductPrefix&amp;TEXT(ROW()-4,"0000"))</f>
        <v>0</v>
      </c>
      <c r="S216" s="38">
        <f>IF(B216="","",IF(C216&lt;&gt;"",C216,UPPER(LEFT(IF(D216="","GEN",D216),3))&amp;"-"&amp;TEXT(ROW()-4,"000")))</f>
        <v>0</v>
      </c>
      <c r="T216" s="20">
        <f>IF(B216="","",ROUND(SUMIFS('Material Usage'!$M$5:$M$904,'Material Usage'!$A$5:$A$904,A216)+SUMIFS(Crochet!$AD$5:$AD$84,Crochet!$A$5:$A$84,A216)+SUMIFS(Jewelry!$AF$5:$AF$84,Jewelry!$A$5:$A$84,A216)+SUMIFS(Candles!$AF$5:$AF$84,Candles!$A$5:$A$84,A216)+SUMIFS(Clothing!$AB$5:$AB$84,Clothing!$A$5:$A$84,A216)+SUMIFS(Woodworking!$AC$5:$AC$84,Woodworking!$A$5:$A$84,A216)+SUMIFS(Digital!$X$5:$X$84,Digital!$A$5:$A$84,A216),2))</f>
        <v>0</v>
      </c>
      <c r="U216" s="20">
        <f>IF(B216="","",ROUND(SUMIFS(Labor!$O$5:$O$304,Labor!$A$5:$A$304,A216)+SUMIFS(Crochet!$AG$5:$AG$84,Crochet!$A$5:$A$84,A216)+SUMIFS(Jewelry!$AI$5:$AI$84,Jewelry!$A$5:$A$84,A216)+SUMIFS(Candles!$AI$5:$AI$84,Candles!$A$5:$A$84,A216)+SUMIFS(Clothing!$AE$5:$AE$84,Clothing!$A$5:$A$84,A216)+SUMIFS(Woodworking!$AF$5:$AF$84,Woodworking!$A$5:$A$84,A216)+SUMIFS(Digital!$Z$5:$Z$84,Digital!$A$5:$A$84,A216),2))</f>
        <v>0</v>
      </c>
      <c r="V216" s="36">
        <f>IF(B216="","",ROUND(SUMIFS(Labor!$P$5:$P$304,Labor!$A$5:$A$304,A216)+SUMIFS(Crochet!$AE$5:$AE$84,Crochet!$A$5:$A$84,A216)+SUMIFS(Jewelry!$AG$5:$AG$84,Jewelry!$A$5:$A$84,A216)+SUMIFS(Candles!$AG$5:$AG$84,Candles!$A$5:$A$84,A216)+SUMIFS(Clothing!$AC$5:$AC$84,Clothing!$A$5:$A$84,A216)+SUMIFS(Woodworking!$AD$5:$AD$84,Woodworking!$A$5:$A$84,A216)+SUMIFS(Digital!$Y$5:$Y$84,Digital!$A$5:$A$84,A216),1))</f>
        <v>0</v>
      </c>
      <c r="W216" s="41">
        <f>IF(B216="","",IFERROR(INDEX(DiffTimeFactors,MATCH(G216,DiffNames,0)),1))</f>
        <v>0</v>
      </c>
      <c r="X216" s="36">
        <f>IF(B216="","",ROUND(V216*W216,1))</f>
        <v>0</v>
      </c>
      <c r="Y216" s="41">
        <f>IF(B216="","",ROUND(X216/60,3))</f>
        <v>0</v>
      </c>
      <c r="Z216" s="20">
        <f>IF(B216="","",ROUND(U216*W216,2))</f>
        <v>0</v>
      </c>
      <c r="AA216" s="20">
        <f>IF(B216="","",ROUND(SUMIFS(Labor!$Q$5:$Q$304,Labor!$A$5:$A$304,A216)+SUMIFS(Crochet!$AH$5:$AH$84,Crochet!$A$5:$A$84,A216)+SUMIFS(Jewelry!$AJ$5:$AJ$84,Jewelry!$A$5:$A$84,A216)+SUMIFS(Candles!$AJ$5:$AJ$84,Candles!$A$5:$A$84,A216)+SUMIFS(Clothing!$AF$5:$AF$84,Clothing!$A$5:$A$84,A216)+SUMIFS(Woodworking!$AH$5:$AH$84,Woodworking!$A$5:$A$84,A216)+SUMIFS(Digital!$AA$5:$AA$84,Digital!$A$5:$A$84,A216),2))</f>
        <v>0</v>
      </c>
      <c r="AB216" s="20">
        <f>IF(B216="","",ROUND(IF(I216="Budget",PackBudget,IF(I216="Standard",PackStandard,IF(I216="Gift",PackGift,IF(I216="Premium",PackPremium,DefaultPackaging)))),2))</f>
        <v>0</v>
      </c>
      <c r="AC216" s="36">
        <f>IF(B216="","",IF(I216="Budget",PackWeightBudget,IF(I216="Standard",PackWeightStandard,IF(I216="Gift",PackWeightGift,IF(I216="Premium",PackWeightPremium,0)))))</f>
        <v>0</v>
      </c>
      <c r="AD216" s="20">
        <f>IF(B216="","",IFERROR(INDEX(Shipping!$M$5:$M$64,MATCH(J216,Shipping!$L$5:$L$64,0)),DefaultShipping))</f>
        <v>0</v>
      </c>
      <c r="AE216" s="20">
        <f>IF(B216="","",IFERROR(INDEX(Shipping!$F$5:$F$64,MATCH(J216,Shipping!$L$5:$L$64,0)),0))</f>
        <v>0</v>
      </c>
      <c r="AF216" s="36">
        <f>IF(B216="","",IFERROR(INDEX(Shipping!$C$5:$C$64,MATCH(J216,Shipping!$L$5:$L$64,0)),""))</f>
        <v>0</v>
      </c>
      <c r="AG216" s="20">
        <f>IF(B216="","",ROUND(MAX(0,AD216-AE216),2))</f>
        <v>0</v>
      </c>
      <c r="AH216" s="20">
        <f>IF(B216="","",ROUND(T216+Z216+AA216+AB216+AG216,2))</f>
        <v>0</v>
      </c>
      <c r="AI216" s="33">
        <f>IF(B216="","",IFERROR(INDEX(Channels!$S$5:$S$18,MATCH(IF(H216="",DefaultChannel,H216),Channels!$A$5:$A$18,0)),0))</f>
        <v>0</v>
      </c>
      <c r="AJ216" s="42">
        <f>IF(B216="","",IFERROR(INDEX(Channels!$O$5:$O$18,MATCH(IF(H216="",DefaultChannel,H216),Channels!$A$5:$A$18,0)),"No"))</f>
        <v>0</v>
      </c>
      <c r="AK216" s="20">
        <f>IF(B216="","",ROUND(IFERROR(INDEX(Channels!$T$5:$T$18,MATCH(IF(H216="",DefaultChannel,H216),Channels!$A$5:$A$18,0)),0)+IF(AJ216="Yes",AE216*AI216,0),4))</f>
        <v>0</v>
      </c>
      <c r="AL216" s="33">
        <f>IF(B216="","",IF(OverheadMethod="Share of revenue",IF(RevenueTargetMonth&lt;=0,0,OverheadMonthly/RevenueTargetMonth),0))</f>
        <v>0</v>
      </c>
      <c r="AM216" s="20">
        <f>IF(B216="","",IF(OverheadMethod="Per hour worked",ROUND(OverheadPerHour*Y216,2),IF(OR(OverheadMethod="Per unit made",OverheadMethod="Per order"),OverheadPerUnit,0)))</f>
        <v>0</v>
      </c>
      <c r="AN216" s="33">
        <f>IF(B216="","",IF(N216&lt;&gt;"",N216,TargetRetailMargin))</f>
        <v>0</v>
      </c>
      <c r="AO216" s="41">
        <f>IF(B216="","",1-AN216-AI216-AL216)</f>
        <v>0</v>
      </c>
      <c r="AP216" s="20">
        <f>IF(B216="","",IF(AO216&lt;=0,"",(AH216+AM216+AK216)/AO216))</f>
        <v>0</v>
      </c>
      <c r="AQ216" s="20">
        <f>IF(B216="","",IF(AP216="","Check the settings",ROUND(IF(RoundingRule="None",AP216,IF(RoundingRule="Nearest 0.99",MAX(0.99,CEILING(AP216,1)-0.01),IF(RoundingRule="Nearest 0.95",MAX(0.95,CEILING(AP216,1)-0.05),IF(RoundingRule="Nearest 0.50",CEILING(AP216,0.5),IF(RoundingRule="Nearest 1",CEILING(AP216,1),IF(RoundingRule="Nearest 5",CEILING(AP216,5),IF(RoundingRule="Up to whole 1",CEILING(AP216,1),IF(RoundingRule="Up to whole 5",CEILING(AP216,5),ROUND(AP216,2))))))))),2)))</f>
        <v>0</v>
      </c>
      <c r="AR216" s="20">
        <f>IF(B216="","",IF(M216&lt;&gt;"",M216,IF(ISNUMBER(AQ216),AQ216,"")))</f>
        <v>0</v>
      </c>
      <c r="AS216" s="20">
        <f>IF(B216="","",IF(AR216="","",ROUND(AM216+AR216*AL216,2)))</f>
        <v>0</v>
      </c>
      <c r="AT216" s="20">
        <f>IF(B216="","",IF(AR216="","",ROUND(AH216+AS216,2)))</f>
        <v>0</v>
      </c>
      <c r="AU216" s="20">
        <f>IF(B216="","",IF(AR216="","",ROUND(AR216*AI216+AK216,2)))</f>
        <v>0</v>
      </c>
      <c r="AV216" s="20">
        <f>IF(B216="","",IF(AR216="","",ROUND(AR216-AT216-AU216,2)))</f>
        <v>0</v>
      </c>
      <c r="AW216" s="33">
        <f>IF(B216="","",IF(OR(AR216="",AR216=0),"",AV216/AR216))</f>
        <v>0</v>
      </c>
      <c r="AX216" s="33">
        <f>IF(B216="","",IF(OR(AT216="",AT216=0),"",AV216/AT216))</f>
        <v>0</v>
      </c>
      <c r="AY216" s="20">
        <f>IF(B216="","",IF(OR(Y216="",Y216=0,AV216=""),"",ROUND(AV216/Y216,2)))</f>
        <v>0</v>
      </c>
      <c r="AZ216" s="20">
        <f>IF(B216="","",IF(OR(Y216="",Y216=0,AV216=""),"",ROUND((AV216+Z216)/Y216,2)))</f>
        <v>0</v>
      </c>
      <c r="BA216" s="20">
        <f>IF(B216="","",IF(1-AI216-AL216&lt;=0,"",ROUND((AH216+AM216+AK216)/(1-AI216-AL216),2)))</f>
        <v>0</v>
      </c>
      <c r="BB216" s="20">
        <f>IF(B216="","",IF(AT216="","",ROUND(AT216*2,2)))</f>
        <v>0</v>
      </c>
      <c r="BC216" s="20">
        <f>IF(B216="","",IF(AR216="","",ROUND(AR216*(1-WholesaleDiscount),2)))</f>
        <v>0</v>
      </c>
      <c r="BD216" s="20">
        <f>IF(B216="","",IF(BC216="","",ROUND(BC216-AH216-AM216,2)))</f>
        <v>0</v>
      </c>
      <c r="BE216" s="33">
        <f>IF(B216="","",IF(OR(BC216="",BC216=0),"",BD216/BC216))</f>
        <v>0</v>
      </c>
      <c r="BF216" s="20">
        <f>IF(B216="","",IFERROR(ROUND(AVERAGEIFS(Competitors!$F$5:$F$154,Competitors!$A$5:$A$154,A216),2),""))</f>
        <v>0</v>
      </c>
      <c r="BG216" s="33">
        <f>IF(B216="","",IF(OR(BF216="",BF216=0,AR216=""),"",AR216/BF216-1))</f>
        <v>0</v>
      </c>
      <c r="BH216" s="32">
        <f>IF(B216="","",SUMIFS(Sales!$D$5:$D$804,Sales!$C$5:$C$804,A216))</f>
        <v>0</v>
      </c>
      <c r="BI216" s="20">
        <f>IF(B216="","",ROUND(SUMIFS(Sales!$V$5:$V$804,Sales!$C$5:$C$804,A216),2))</f>
        <v>0</v>
      </c>
      <c r="BJ216" s="20">
        <f>IF(B216="","",ROUND(SUMIFS(Sales!$AG$5:$AG$804,Sales!$C$5:$C$804,A216),2))</f>
        <v>0</v>
      </c>
      <c r="BK216" s="33">
        <f>IF(B216="","",IF(OR(BI216="",BI216=0),"",BJ216/BI216))</f>
        <v>0</v>
      </c>
      <c r="BL216" s="17">
        <f>IF(B216="","",IF(SUMPRODUCT(MAX((Sales!$C$5:$C$804=A216)*Sales!$B$5:$B$804))=0,"",SUMPRODUCT(MAX((Sales!$C$5:$C$804=A216)*Sales!$B$5:$B$804))))</f>
        <v>0</v>
      </c>
      <c r="BM216" s="17">
        <f>IF(B216="","",IF(SUMPRODUCT(MAX(('Price History'!$B$5:$B$304=A216)*'Price History'!$A$5:$A$304))=0,IF(P216="","",P216),SUMPRODUCT(MAX(('Price History'!$B$5:$B$304=A216)*'Price History'!$A$5:$A$304))))</f>
        <v>0</v>
      </c>
      <c r="BN216" s="32">
        <f>IF(B216="","",IF(BM216="","",TodayDate-BM216))</f>
        <v>0</v>
      </c>
      <c r="BO216" s="32">
        <f>IF(B216="","",COUNTIFS($AV$5:$AV$304,"&gt;"&amp;AV216)+COUNTIFS($AV$5:AV216,AV216))</f>
        <v>0</v>
      </c>
      <c r="BP216" s="32">
        <f>IF(B216="","",COUNTIFS($AW$5:$AW$304,"&gt;"&amp;AW216)+COUNTIFS($AW$5:AW216,AW216))</f>
        <v>0</v>
      </c>
      <c r="BQ216" s="32">
        <f>IF(B216="","",COUNTIFS($BI$5:$BI$304,"&gt;"&amp;BI216)+COUNTIFS($BI$5:BI216,BI216))</f>
        <v>0</v>
      </c>
      <c r="BR216" s="32">
        <f>IF(B216="","",COUNTIFS($AY$5:$AY$304,"&gt;"&amp;AY216)+COUNTIFS($AY$5:AY216,AY216))</f>
        <v>0</v>
      </c>
      <c r="BS216" s="43">
        <f>IF(B216="","",IF(AH216=0,"Add - no costs entered yet",IF(AR216="","Check - no price yet",IF(AV216&lt;0,"Loss - every sale costs you money",IF(AND(AZ216&lt;&gt;"",AZ216&lt;MinimumWage),"Below - pays under minimum wage",IF(AW216&lt;MarginWarning,"Low margin - re-price it",IF(AND(AF216&lt;&gt;"",K216&lt;&gt;"",K216+AC216&gt;AF216),"Check - too heavy for that postage band",IF(AND(BN216&lt;&gt;"",BN216&gt;PriceReviewDays),"Due - price has not been reviewed",IF(AND(BG216&lt;&gt;"",BG216&gt;0.5),"Check - well above the market","OK")))))))) )</f>
        <v>0</v>
      </c>
    </row>
    <row r="217" spans="1:71">
      <c r="A217" s="38">
        <f>IF(B217="","",ProductPrefix&amp;TEXT(ROW()-4,"0000"))</f>
        <v>0</v>
      </c>
      <c r="S217" s="38">
        <f>IF(B217="","",IF(C217&lt;&gt;"",C217,UPPER(LEFT(IF(D217="","GEN",D217),3))&amp;"-"&amp;TEXT(ROW()-4,"000")))</f>
        <v>0</v>
      </c>
      <c r="T217" s="20">
        <f>IF(B217="","",ROUND(SUMIFS('Material Usage'!$M$5:$M$904,'Material Usage'!$A$5:$A$904,A217)+SUMIFS(Crochet!$AD$5:$AD$84,Crochet!$A$5:$A$84,A217)+SUMIFS(Jewelry!$AF$5:$AF$84,Jewelry!$A$5:$A$84,A217)+SUMIFS(Candles!$AF$5:$AF$84,Candles!$A$5:$A$84,A217)+SUMIFS(Clothing!$AB$5:$AB$84,Clothing!$A$5:$A$84,A217)+SUMIFS(Woodworking!$AC$5:$AC$84,Woodworking!$A$5:$A$84,A217)+SUMIFS(Digital!$X$5:$X$84,Digital!$A$5:$A$84,A217),2))</f>
        <v>0</v>
      </c>
      <c r="U217" s="20">
        <f>IF(B217="","",ROUND(SUMIFS(Labor!$O$5:$O$304,Labor!$A$5:$A$304,A217)+SUMIFS(Crochet!$AG$5:$AG$84,Crochet!$A$5:$A$84,A217)+SUMIFS(Jewelry!$AI$5:$AI$84,Jewelry!$A$5:$A$84,A217)+SUMIFS(Candles!$AI$5:$AI$84,Candles!$A$5:$A$84,A217)+SUMIFS(Clothing!$AE$5:$AE$84,Clothing!$A$5:$A$84,A217)+SUMIFS(Woodworking!$AF$5:$AF$84,Woodworking!$A$5:$A$84,A217)+SUMIFS(Digital!$Z$5:$Z$84,Digital!$A$5:$A$84,A217),2))</f>
        <v>0</v>
      </c>
      <c r="V217" s="36">
        <f>IF(B217="","",ROUND(SUMIFS(Labor!$P$5:$P$304,Labor!$A$5:$A$304,A217)+SUMIFS(Crochet!$AE$5:$AE$84,Crochet!$A$5:$A$84,A217)+SUMIFS(Jewelry!$AG$5:$AG$84,Jewelry!$A$5:$A$84,A217)+SUMIFS(Candles!$AG$5:$AG$84,Candles!$A$5:$A$84,A217)+SUMIFS(Clothing!$AC$5:$AC$84,Clothing!$A$5:$A$84,A217)+SUMIFS(Woodworking!$AD$5:$AD$84,Woodworking!$A$5:$A$84,A217)+SUMIFS(Digital!$Y$5:$Y$84,Digital!$A$5:$A$84,A217),1))</f>
        <v>0</v>
      </c>
      <c r="W217" s="41">
        <f>IF(B217="","",IFERROR(INDEX(DiffTimeFactors,MATCH(G217,DiffNames,0)),1))</f>
        <v>0</v>
      </c>
      <c r="X217" s="36">
        <f>IF(B217="","",ROUND(V217*W217,1))</f>
        <v>0</v>
      </c>
      <c r="Y217" s="41">
        <f>IF(B217="","",ROUND(X217/60,3))</f>
        <v>0</v>
      </c>
      <c r="Z217" s="20">
        <f>IF(B217="","",ROUND(U217*W217,2))</f>
        <v>0</v>
      </c>
      <c r="AA217" s="20">
        <f>IF(B217="","",ROUND(SUMIFS(Labor!$Q$5:$Q$304,Labor!$A$5:$A$304,A217)+SUMIFS(Crochet!$AH$5:$AH$84,Crochet!$A$5:$A$84,A217)+SUMIFS(Jewelry!$AJ$5:$AJ$84,Jewelry!$A$5:$A$84,A217)+SUMIFS(Candles!$AJ$5:$AJ$84,Candles!$A$5:$A$84,A217)+SUMIFS(Clothing!$AF$5:$AF$84,Clothing!$A$5:$A$84,A217)+SUMIFS(Woodworking!$AH$5:$AH$84,Woodworking!$A$5:$A$84,A217)+SUMIFS(Digital!$AA$5:$AA$84,Digital!$A$5:$A$84,A217),2))</f>
        <v>0</v>
      </c>
      <c r="AB217" s="20">
        <f>IF(B217="","",ROUND(IF(I217="Budget",PackBudget,IF(I217="Standard",PackStandard,IF(I217="Gift",PackGift,IF(I217="Premium",PackPremium,DefaultPackaging)))),2))</f>
        <v>0</v>
      </c>
      <c r="AC217" s="36">
        <f>IF(B217="","",IF(I217="Budget",PackWeightBudget,IF(I217="Standard",PackWeightStandard,IF(I217="Gift",PackWeightGift,IF(I217="Premium",PackWeightPremium,0)))))</f>
        <v>0</v>
      </c>
      <c r="AD217" s="20">
        <f>IF(B217="","",IFERROR(INDEX(Shipping!$M$5:$M$64,MATCH(J217,Shipping!$L$5:$L$64,0)),DefaultShipping))</f>
        <v>0</v>
      </c>
      <c r="AE217" s="20">
        <f>IF(B217="","",IFERROR(INDEX(Shipping!$F$5:$F$64,MATCH(J217,Shipping!$L$5:$L$64,0)),0))</f>
        <v>0</v>
      </c>
      <c r="AF217" s="36">
        <f>IF(B217="","",IFERROR(INDEX(Shipping!$C$5:$C$64,MATCH(J217,Shipping!$L$5:$L$64,0)),""))</f>
        <v>0</v>
      </c>
      <c r="AG217" s="20">
        <f>IF(B217="","",ROUND(MAX(0,AD217-AE217),2))</f>
        <v>0</v>
      </c>
      <c r="AH217" s="20">
        <f>IF(B217="","",ROUND(T217+Z217+AA217+AB217+AG217,2))</f>
        <v>0</v>
      </c>
      <c r="AI217" s="33">
        <f>IF(B217="","",IFERROR(INDEX(Channels!$S$5:$S$18,MATCH(IF(H217="",DefaultChannel,H217),Channels!$A$5:$A$18,0)),0))</f>
        <v>0</v>
      </c>
      <c r="AJ217" s="42">
        <f>IF(B217="","",IFERROR(INDEX(Channels!$O$5:$O$18,MATCH(IF(H217="",DefaultChannel,H217),Channels!$A$5:$A$18,0)),"No"))</f>
        <v>0</v>
      </c>
      <c r="AK217" s="20">
        <f>IF(B217="","",ROUND(IFERROR(INDEX(Channels!$T$5:$T$18,MATCH(IF(H217="",DefaultChannel,H217),Channels!$A$5:$A$18,0)),0)+IF(AJ217="Yes",AE217*AI217,0),4))</f>
        <v>0</v>
      </c>
      <c r="AL217" s="33">
        <f>IF(B217="","",IF(OverheadMethod="Share of revenue",IF(RevenueTargetMonth&lt;=0,0,OverheadMonthly/RevenueTargetMonth),0))</f>
        <v>0</v>
      </c>
      <c r="AM217" s="20">
        <f>IF(B217="","",IF(OverheadMethod="Per hour worked",ROUND(OverheadPerHour*Y217,2),IF(OR(OverheadMethod="Per unit made",OverheadMethod="Per order"),OverheadPerUnit,0)))</f>
        <v>0</v>
      </c>
      <c r="AN217" s="33">
        <f>IF(B217="","",IF(N217&lt;&gt;"",N217,TargetRetailMargin))</f>
        <v>0</v>
      </c>
      <c r="AO217" s="41">
        <f>IF(B217="","",1-AN217-AI217-AL217)</f>
        <v>0</v>
      </c>
      <c r="AP217" s="20">
        <f>IF(B217="","",IF(AO217&lt;=0,"",(AH217+AM217+AK217)/AO217))</f>
        <v>0</v>
      </c>
      <c r="AQ217" s="20">
        <f>IF(B217="","",IF(AP217="","Check the settings",ROUND(IF(RoundingRule="None",AP217,IF(RoundingRule="Nearest 0.99",MAX(0.99,CEILING(AP217,1)-0.01),IF(RoundingRule="Nearest 0.95",MAX(0.95,CEILING(AP217,1)-0.05),IF(RoundingRule="Nearest 0.50",CEILING(AP217,0.5),IF(RoundingRule="Nearest 1",CEILING(AP217,1),IF(RoundingRule="Nearest 5",CEILING(AP217,5),IF(RoundingRule="Up to whole 1",CEILING(AP217,1),IF(RoundingRule="Up to whole 5",CEILING(AP217,5),ROUND(AP217,2))))))))),2)))</f>
        <v>0</v>
      </c>
      <c r="AR217" s="20">
        <f>IF(B217="","",IF(M217&lt;&gt;"",M217,IF(ISNUMBER(AQ217),AQ217,"")))</f>
        <v>0</v>
      </c>
      <c r="AS217" s="20">
        <f>IF(B217="","",IF(AR217="","",ROUND(AM217+AR217*AL217,2)))</f>
        <v>0</v>
      </c>
      <c r="AT217" s="20">
        <f>IF(B217="","",IF(AR217="","",ROUND(AH217+AS217,2)))</f>
        <v>0</v>
      </c>
      <c r="AU217" s="20">
        <f>IF(B217="","",IF(AR217="","",ROUND(AR217*AI217+AK217,2)))</f>
        <v>0</v>
      </c>
      <c r="AV217" s="20">
        <f>IF(B217="","",IF(AR217="","",ROUND(AR217-AT217-AU217,2)))</f>
        <v>0</v>
      </c>
      <c r="AW217" s="33">
        <f>IF(B217="","",IF(OR(AR217="",AR217=0),"",AV217/AR217))</f>
        <v>0</v>
      </c>
      <c r="AX217" s="33">
        <f>IF(B217="","",IF(OR(AT217="",AT217=0),"",AV217/AT217))</f>
        <v>0</v>
      </c>
      <c r="AY217" s="20">
        <f>IF(B217="","",IF(OR(Y217="",Y217=0,AV217=""),"",ROUND(AV217/Y217,2)))</f>
        <v>0</v>
      </c>
      <c r="AZ217" s="20">
        <f>IF(B217="","",IF(OR(Y217="",Y217=0,AV217=""),"",ROUND((AV217+Z217)/Y217,2)))</f>
        <v>0</v>
      </c>
      <c r="BA217" s="20">
        <f>IF(B217="","",IF(1-AI217-AL217&lt;=0,"",ROUND((AH217+AM217+AK217)/(1-AI217-AL217),2)))</f>
        <v>0</v>
      </c>
      <c r="BB217" s="20">
        <f>IF(B217="","",IF(AT217="","",ROUND(AT217*2,2)))</f>
        <v>0</v>
      </c>
      <c r="BC217" s="20">
        <f>IF(B217="","",IF(AR217="","",ROUND(AR217*(1-WholesaleDiscount),2)))</f>
        <v>0</v>
      </c>
      <c r="BD217" s="20">
        <f>IF(B217="","",IF(BC217="","",ROUND(BC217-AH217-AM217,2)))</f>
        <v>0</v>
      </c>
      <c r="BE217" s="33">
        <f>IF(B217="","",IF(OR(BC217="",BC217=0),"",BD217/BC217))</f>
        <v>0</v>
      </c>
      <c r="BF217" s="20">
        <f>IF(B217="","",IFERROR(ROUND(AVERAGEIFS(Competitors!$F$5:$F$154,Competitors!$A$5:$A$154,A217),2),""))</f>
        <v>0</v>
      </c>
      <c r="BG217" s="33">
        <f>IF(B217="","",IF(OR(BF217="",BF217=0,AR217=""),"",AR217/BF217-1))</f>
        <v>0</v>
      </c>
      <c r="BH217" s="32">
        <f>IF(B217="","",SUMIFS(Sales!$D$5:$D$804,Sales!$C$5:$C$804,A217))</f>
        <v>0</v>
      </c>
      <c r="BI217" s="20">
        <f>IF(B217="","",ROUND(SUMIFS(Sales!$V$5:$V$804,Sales!$C$5:$C$804,A217),2))</f>
        <v>0</v>
      </c>
      <c r="BJ217" s="20">
        <f>IF(B217="","",ROUND(SUMIFS(Sales!$AG$5:$AG$804,Sales!$C$5:$C$804,A217),2))</f>
        <v>0</v>
      </c>
      <c r="BK217" s="33">
        <f>IF(B217="","",IF(OR(BI217="",BI217=0),"",BJ217/BI217))</f>
        <v>0</v>
      </c>
      <c r="BL217" s="17">
        <f>IF(B217="","",IF(SUMPRODUCT(MAX((Sales!$C$5:$C$804=A217)*Sales!$B$5:$B$804))=0,"",SUMPRODUCT(MAX((Sales!$C$5:$C$804=A217)*Sales!$B$5:$B$804))))</f>
        <v>0</v>
      </c>
      <c r="BM217" s="17">
        <f>IF(B217="","",IF(SUMPRODUCT(MAX(('Price History'!$B$5:$B$304=A217)*'Price History'!$A$5:$A$304))=0,IF(P217="","",P217),SUMPRODUCT(MAX(('Price History'!$B$5:$B$304=A217)*'Price History'!$A$5:$A$304))))</f>
        <v>0</v>
      </c>
      <c r="BN217" s="32">
        <f>IF(B217="","",IF(BM217="","",TodayDate-BM217))</f>
        <v>0</v>
      </c>
      <c r="BO217" s="32">
        <f>IF(B217="","",COUNTIFS($AV$5:$AV$304,"&gt;"&amp;AV217)+COUNTIFS($AV$5:AV217,AV217))</f>
        <v>0</v>
      </c>
      <c r="BP217" s="32">
        <f>IF(B217="","",COUNTIFS($AW$5:$AW$304,"&gt;"&amp;AW217)+COUNTIFS($AW$5:AW217,AW217))</f>
        <v>0</v>
      </c>
      <c r="BQ217" s="32">
        <f>IF(B217="","",COUNTIFS($BI$5:$BI$304,"&gt;"&amp;BI217)+COUNTIFS($BI$5:BI217,BI217))</f>
        <v>0</v>
      </c>
      <c r="BR217" s="32">
        <f>IF(B217="","",COUNTIFS($AY$5:$AY$304,"&gt;"&amp;AY217)+COUNTIFS($AY$5:AY217,AY217))</f>
        <v>0</v>
      </c>
      <c r="BS217" s="43">
        <f>IF(B217="","",IF(AH217=0,"Add - no costs entered yet",IF(AR217="","Check - no price yet",IF(AV217&lt;0,"Loss - every sale costs you money",IF(AND(AZ217&lt;&gt;"",AZ217&lt;MinimumWage),"Below - pays under minimum wage",IF(AW217&lt;MarginWarning,"Low margin - re-price it",IF(AND(AF217&lt;&gt;"",K217&lt;&gt;"",K217+AC217&gt;AF217),"Check - too heavy for that postage band",IF(AND(BN217&lt;&gt;"",BN217&gt;PriceReviewDays),"Due - price has not been reviewed",IF(AND(BG217&lt;&gt;"",BG217&gt;0.5),"Check - well above the market","OK")))))))) )</f>
        <v>0</v>
      </c>
    </row>
    <row r="218" spans="1:71">
      <c r="A218" s="38">
        <f>IF(B218="","",ProductPrefix&amp;TEXT(ROW()-4,"0000"))</f>
        <v>0</v>
      </c>
      <c r="S218" s="38">
        <f>IF(B218="","",IF(C218&lt;&gt;"",C218,UPPER(LEFT(IF(D218="","GEN",D218),3))&amp;"-"&amp;TEXT(ROW()-4,"000")))</f>
        <v>0</v>
      </c>
      <c r="T218" s="20">
        <f>IF(B218="","",ROUND(SUMIFS('Material Usage'!$M$5:$M$904,'Material Usage'!$A$5:$A$904,A218)+SUMIFS(Crochet!$AD$5:$AD$84,Crochet!$A$5:$A$84,A218)+SUMIFS(Jewelry!$AF$5:$AF$84,Jewelry!$A$5:$A$84,A218)+SUMIFS(Candles!$AF$5:$AF$84,Candles!$A$5:$A$84,A218)+SUMIFS(Clothing!$AB$5:$AB$84,Clothing!$A$5:$A$84,A218)+SUMIFS(Woodworking!$AC$5:$AC$84,Woodworking!$A$5:$A$84,A218)+SUMIFS(Digital!$X$5:$X$84,Digital!$A$5:$A$84,A218),2))</f>
        <v>0</v>
      </c>
      <c r="U218" s="20">
        <f>IF(B218="","",ROUND(SUMIFS(Labor!$O$5:$O$304,Labor!$A$5:$A$304,A218)+SUMIFS(Crochet!$AG$5:$AG$84,Crochet!$A$5:$A$84,A218)+SUMIFS(Jewelry!$AI$5:$AI$84,Jewelry!$A$5:$A$84,A218)+SUMIFS(Candles!$AI$5:$AI$84,Candles!$A$5:$A$84,A218)+SUMIFS(Clothing!$AE$5:$AE$84,Clothing!$A$5:$A$84,A218)+SUMIFS(Woodworking!$AF$5:$AF$84,Woodworking!$A$5:$A$84,A218)+SUMIFS(Digital!$Z$5:$Z$84,Digital!$A$5:$A$84,A218),2))</f>
        <v>0</v>
      </c>
      <c r="V218" s="36">
        <f>IF(B218="","",ROUND(SUMIFS(Labor!$P$5:$P$304,Labor!$A$5:$A$304,A218)+SUMIFS(Crochet!$AE$5:$AE$84,Crochet!$A$5:$A$84,A218)+SUMIFS(Jewelry!$AG$5:$AG$84,Jewelry!$A$5:$A$84,A218)+SUMIFS(Candles!$AG$5:$AG$84,Candles!$A$5:$A$84,A218)+SUMIFS(Clothing!$AC$5:$AC$84,Clothing!$A$5:$A$84,A218)+SUMIFS(Woodworking!$AD$5:$AD$84,Woodworking!$A$5:$A$84,A218)+SUMIFS(Digital!$Y$5:$Y$84,Digital!$A$5:$A$84,A218),1))</f>
        <v>0</v>
      </c>
      <c r="W218" s="41">
        <f>IF(B218="","",IFERROR(INDEX(DiffTimeFactors,MATCH(G218,DiffNames,0)),1))</f>
        <v>0</v>
      </c>
      <c r="X218" s="36">
        <f>IF(B218="","",ROUND(V218*W218,1))</f>
        <v>0</v>
      </c>
      <c r="Y218" s="41">
        <f>IF(B218="","",ROUND(X218/60,3))</f>
        <v>0</v>
      </c>
      <c r="Z218" s="20">
        <f>IF(B218="","",ROUND(U218*W218,2))</f>
        <v>0</v>
      </c>
      <c r="AA218" s="20">
        <f>IF(B218="","",ROUND(SUMIFS(Labor!$Q$5:$Q$304,Labor!$A$5:$A$304,A218)+SUMIFS(Crochet!$AH$5:$AH$84,Crochet!$A$5:$A$84,A218)+SUMIFS(Jewelry!$AJ$5:$AJ$84,Jewelry!$A$5:$A$84,A218)+SUMIFS(Candles!$AJ$5:$AJ$84,Candles!$A$5:$A$84,A218)+SUMIFS(Clothing!$AF$5:$AF$84,Clothing!$A$5:$A$84,A218)+SUMIFS(Woodworking!$AH$5:$AH$84,Woodworking!$A$5:$A$84,A218)+SUMIFS(Digital!$AA$5:$AA$84,Digital!$A$5:$A$84,A218),2))</f>
        <v>0</v>
      </c>
      <c r="AB218" s="20">
        <f>IF(B218="","",ROUND(IF(I218="Budget",PackBudget,IF(I218="Standard",PackStandard,IF(I218="Gift",PackGift,IF(I218="Premium",PackPremium,DefaultPackaging)))),2))</f>
        <v>0</v>
      </c>
      <c r="AC218" s="36">
        <f>IF(B218="","",IF(I218="Budget",PackWeightBudget,IF(I218="Standard",PackWeightStandard,IF(I218="Gift",PackWeightGift,IF(I218="Premium",PackWeightPremium,0)))))</f>
        <v>0</v>
      </c>
      <c r="AD218" s="20">
        <f>IF(B218="","",IFERROR(INDEX(Shipping!$M$5:$M$64,MATCH(J218,Shipping!$L$5:$L$64,0)),DefaultShipping))</f>
        <v>0</v>
      </c>
      <c r="AE218" s="20">
        <f>IF(B218="","",IFERROR(INDEX(Shipping!$F$5:$F$64,MATCH(J218,Shipping!$L$5:$L$64,0)),0))</f>
        <v>0</v>
      </c>
      <c r="AF218" s="36">
        <f>IF(B218="","",IFERROR(INDEX(Shipping!$C$5:$C$64,MATCH(J218,Shipping!$L$5:$L$64,0)),""))</f>
        <v>0</v>
      </c>
      <c r="AG218" s="20">
        <f>IF(B218="","",ROUND(MAX(0,AD218-AE218),2))</f>
        <v>0</v>
      </c>
      <c r="AH218" s="20">
        <f>IF(B218="","",ROUND(T218+Z218+AA218+AB218+AG218,2))</f>
        <v>0</v>
      </c>
      <c r="AI218" s="33">
        <f>IF(B218="","",IFERROR(INDEX(Channels!$S$5:$S$18,MATCH(IF(H218="",DefaultChannel,H218),Channels!$A$5:$A$18,0)),0))</f>
        <v>0</v>
      </c>
      <c r="AJ218" s="42">
        <f>IF(B218="","",IFERROR(INDEX(Channels!$O$5:$O$18,MATCH(IF(H218="",DefaultChannel,H218),Channels!$A$5:$A$18,0)),"No"))</f>
        <v>0</v>
      </c>
      <c r="AK218" s="20">
        <f>IF(B218="","",ROUND(IFERROR(INDEX(Channels!$T$5:$T$18,MATCH(IF(H218="",DefaultChannel,H218),Channels!$A$5:$A$18,0)),0)+IF(AJ218="Yes",AE218*AI218,0),4))</f>
        <v>0</v>
      </c>
      <c r="AL218" s="33">
        <f>IF(B218="","",IF(OverheadMethod="Share of revenue",IF(RevenueTargetMonth&lt;=0,0,OverheadMonthly/RevenueTargetMonth),0))</f>
        <v>0</v>
      </c>
      <c r="AM218" s="20">
        <f>IF(B218="","",IF(OverheadMethod="Per hour worked",ROUND(OverheadPerHour*Y218,2),IF(OR(OverheadMethod="Per unit made",OverheadMethod="Per order"),OverheadPerUnit,0)))</f>
        <v>0</v>
      </c>
      <c r="AN218" s="33">
        <f>IF(B218="","",IF(N218&lt;&gt;"",N218,TargetRetailMargin))</f>
        <v>0</v>
      </c>
      <c r="AO218" s="41">
        <f>IF(B218="","",1-AN218-AI218-AL218)</f>
        <v>0</v>
      </c>
      <c r="AP218" s="20">
        <f>IF(B218="","",IF(AO218&lt;=0,"",(AH218+AM218+AK218)/AO218))</f>
        <v>0</v>
      </c>
      <c r="AQ218" s="20">
        <f>IF(B218="","",IF(AP218="","Check the settings",ROUND(IF(RoundingRule="None",AP218,IF(RoundingRule="Nearest 0.99",MAX(0.99,CEILING(AP218,1)-0.01),IF(RoundingRule="Nearest 0.95",MAX(0.95,CEILING(AP218,1)-0.05),IF(RoundingRule="Nearest 0.50",CEILING(AP218,0.5),IF(RoundingRule="Nearest 1",CEILING(AP218,1),IF(RoundingRule="Nearest 5",CEILING(AP218,5),IF(RoundingRule="Up to whole 1",CEILING(AP218,1),IF(RoundingRule="Up to whole 5",CEILING(AP218,5),ROUND(AP218,2))))))))),2)))</f>
        <v>0</v>
      </c>
      <c r="AR218" s="20">
        <f>IF(B218="","",IF(M218&lt;&gt;"",M218,IF(ISNUMBER(AQ218),AQ218,"")))</f>
        <v>0</v>
      </c>
      <c r="AS218" s="20">
        <f>IF(B218="","",IF(AR218="","",ROUND(AM218+AR218*AL218,2)))</f>
        <v>0</v>
      </c>
      <c r="AT218" s="20">
        <f>IF(B218="","",IF(AR218="","",ROUND(AH218+AS218,2)))</f>
        <v>0</v>
      </c>
      <c r="AU218" s="20">
        <f>IF(B218="","",IF(AR218="","",ROUND(AR218*AI218+AK218,2)))</f>
        <v>0</v>
      </c>
      <c r="AV218" s="20">
        <f>IF(B218="","",IF(AR218="","",ROUND(AR218-AT218-AU218,2)))</f>
        <v>0</v>
      </c>
      <c r="AW218" s="33">
        <f>IF(B218="","",IF(OR(AR218="",AR218=0),"",AV218/AR218))</f>
        <v>0</v>
      </c>
      <c r="AX218" s="33">
        <f>IF(B218="","",IF(OR(AT218="",AT218=0),"",AV218/AT218))</f>
        <v>0</v>
      </c>
      <c r="AY218" s="20">
        <f>IF(B218="","",IF(OR(Y218="",Y218=0,AV218=""),"",ROUND(AV218/Y218,2)))</f>
        <v>0</v>
      </c>
      <c r="AZ218" s="20">
        <f>IF(B218="","",IF(OR(Y218="",Y218=0,AV218=""),"",ROUND((AV218+Z218)/Y218,2)))</f>
        <v>0</v>
      </c>
      <c r="BA218" s="20">
        <f>IF(B218="","",IF(1-AI218-AL218&lt;=0,"",ROUND((AH218+AM218+AK218)/(1-AI218-AL218),2)))</f>
        <v>0</v>
      </c>
      <c r="BB218" s="20">
        <f>IF(B218="","",IF(AT218="","",ROUND(AT218*2,2)))</f>
        <v>0</v>
      </c>
      <c r="BC218" s="20">
        <f>IF(B218="","",IF(AR218="","",ROUND(AR218*(1-WholesaleDiscount),2)))</f>
        <v>0</v>
      </c>
      <c r="BD218" s="20">
        <f>IF(B218="","",IF(BC218="","",ROUND(BC218-AH218-AM218,2)))</f>
        <v>0</v>
      </c>
      <c r="BE218" s="33">
        <f>IF(B218="","",IF(OR(BC218="",BC218=0),"",BD218/BC218))</f>
        <v>0</v>
      </c>
      <c r="BF218" s="20">
        <f>IF(B218="","",IFERROR(ROUND(AVERAGEIFS(Competitors!$F$5:$F$154,Competitors!$A$5:$A$154,A218),2),""))</f>
        <v>0</v>
      </c>
      <c r="BG218" s="33">
        <f>IF(B218="","",IF(OR(BF218="",BF218=0,AR218=""),"",AR218/BF218-1))</f>
        <v>0</v>
      </c>
      <c r="BH218" s="32">
        <f>IF(B218="","",SUMIFS(Sales!$D$5:$D$804,Sales!$C$5:$C$804,A218))</f>
        <v>0</v>
      </c>
      <c r="BI218" s="20">
        <f>IF(B218="","",ROUND(SUMIFS(Sales!$V$5:$V$804,Sales!$C$5:$C$804,A218),2))</f>
        <v>0</v>
      </c>
      <c r="BJ218" s="20">
        <f>IF(B218="","",ROUND(SUMIFS(Sales!$AG$5:$AG$804,Sales!$C$5:$C$804,A218),2))</f>
        <v>0</v>
      </c>
      <c r="BK218" s="33">
        <f>IF(B218="","",IF(OR(BI218="",BI218=0),"",BJ218/BI218))</f>
        <v>0</v>
      </c>
      <c r="BL218" s="17">
        <f>IF(B218="","",IF(SUMPRODUCT(MAX((Sales!$C$5:$C$804=A218)*Sales!$B$5:$B$804))=0,"",SUMPRODUCT(MAX((Sales!$C$5:$C$804=A218)*Sales!$B$5:$B$804))))</f>
        <v>0</v>
      </c>
      <c r="BM218" s="17">
        <f>IF(B218="","",IF(SUMPRODUCT(MAX(('Price History'!$B$5:$B$304=A218)*'Price History'!$A$5:$A$304))=0,IF(P218="","",P218),SUMPRODUCT(MAX(('Price History'!$B$5:$B$304=A218)*'Price History'!$A$5:$A$304))))</f>
        <v>0</v>
      </c>
      <c r="BN218" s="32">
        <f>IF(B218="","",IF(BM218="","",TodayDate-BM218))</f>
        <v>0</v>
      </c>
      <c r="BO218" s="32">
        <f>IF(B218="","",COUNTIFS($AV$5:$AV$304,"&gt;"&amp;AV218)+COUNTIFS($AV$5:AV218,AV218))</f>
        <v>0</v>
      </c>
      <c r="BP218" s="32">
        <f>IF(B218="","",COUNTIFS($AW$5:$AW$304,"&gt;"&amp;AW218)+COUNTIFS($AW$5:AW218,AW218))</f>
        <v>0</v>
      </c>
      <c r="BQ218" s="32">
        <f>IF(B218="","",COUNTIFS($BI$5:$BI$304,"&gt;"&amp;BI218)+COUNTIFS($BI$5:BI218,BI218))</f>
        <v>0</v>
      </c>
      <c r="BR218" s="32">
        <f>IF(B218="","",COUNTIFS($AY$5:$AY$304,"&gt;"&amp;AY218)+COUNTIFS($AY$5:AY218,AY218))</f>
        <v>0</v>
      </c>
      <c r="BS218" s="43">
        <f>IF(B218="","",IF(AH218=0,"Add - no costs entered yet",IF(AR218="","Check - no price yet",IF(AV218&lt;0,"Loss - every sale costs you money",IF(AND(AZ218&lt;&gt;"",AZ218&lt;MinimumWage),"Below - pays under minimum wage",IF(AW218&lt;MarginWarning,"Low margin - re-price it",IF(AND(AF218&lt;&gt;"",K218&lt;&gt;"",K218+AC218&gt;AF218),"Check - too heavy for that postage band",IF(AND(BN218&lt;&gt;"",BN218&gt;PriceReviewDays),"Due - price has not been reviewed",IF(AND(BG218&lt;&gt;"",BG218&gt;0.5),"Check - well above the market","OK")))))))) )</f>
        <v>0</v>
      </c>
    </row>
    <row r="219" spans="1:71">
      <c r="A219" s="38">
        <f>IF(B219="","",ProductPrefix&amp;TEXT(ROW()-4,"0000"))</f>
        <v>0</v>
      </c>
      <c r="S219" s="38">
        <f>IF(B219="","",IF(C219&lt;&gt;"",C219,UPPER(LEFT(IF(D219="","GEN",D219),3))&amp;"-"&amp;TEXT(ROW()-4,"000")))</f>
        <v>0</v>
      </c>
      <c r="T219" s="20">
        <f>IF(B219="","",ROUND(SUMIFS('Material Usage'!$M$5:$M$904,'Material Usage'!$A$5:$A$904,A219)+SUMIFS(Crochet!$AD$5:$AD$84,Crochet!$A$5:$A$84,A219)+SUMIFS(Jewelry!$AF$5:$AF$84,Jewelry!$A$5:$A$84,A219)+SUMIFS(Candles!$AF$5:$AF$84,Candles!$A$5:$A$84,A219)+SUMIFS(Clothing!$AB$5:$AB$84,Clothing!$A$5:$A$84,A219)+SUMIFS(Woodworking!$AC$5:$AC$84,Woodworking!$A$5:$A$84,A219)+SUMIFS(Digital!$X$5:$X$84,Digital!$A$5:$A$84,A219),2))</f>
        <v>0</v>
      </c>
      <c r="U219" s="20">
        <f>IF(B219="","",ROUND(SUMIFS(Labor!$O$5:$O$304,Labor!$A$5:$A$304,A219)+SUMIFS(Crochet!$AG$5:$AG$84,Crochet!$A$5:$A$84,A219)+SUMIFS(Jewelry!$AI$5:$AI$84,Jewelry!$A$5:$A$84,A219)+SUMIFS(Candles!$AI$5:$AI$84,Candles!$A$5:$A$84,A219)+SUMIFS(Clothing!$AE$5:$AE$84,Clothing!$A$5:$A$84,A219)+SUMIFS(Woodworking!$AF$5:$AF$84,Woodworking!$A$5:$A$84,A219)+SUMIFS(Digital!$Z$5:$Z$84,Digital!$A$5:$A$84,A219),2))</f>
        <v>0</v>
      </c>
      <c r="V219" s="36">
        <f>IF(B219="","",ROUND(SUMIFS(Labor!$P$5:$P$304,Labor!$A$5:$A$304,A219)+SUMIFS(Crochet!$AE$5:$AE$84,Crochet!$A$5:$A$84,A219)+SUMIFS(Jewelry!$AG$5:$AG$84,Jewelry!$A$5:$A$84,A219)+SUMIFS(Candles!$AG$5:$AG$84,Candles!$A$5:$A$84,A219)+SUMIFS(Clothing!$AC$5:$AC$84,Clothing!$A$5:$A$84,A219)+SUMIFS(Woodworking!$AD$5:$AD$84,Woodworking!$A$5:$A$84,A219)+SUMIFS(Digital!$Y$5:$Y$84,Digital!$A$5:$A$84,A219),1))</f>
        <v>0</v>
      </c>
      <c r="W219" s="41">
        <f>IF(B219="","",IFERROR(INDEX(DiffTimeFactors,MATCH(G219,DiffNames,0)),1))</f>
        <v>0</v>
      </c>
      <c r="X219" s="36">
        <f>IF(B219="","",ROUND(V219*W219,1))</f>
        <v>0</v>
      </c>
      <c r="Y219" s="41">
        <f>IF(B219="","",ROUND(X219/60,3))</f>
        <v>0</v>
      </c>
      <c r="Z219" s="20">
        <f>IF(B219="","",ROUND(U219*W219,2))</f>
        <v>0</v>
      </c>
      <c r="AA219" s="20">
        <f>IF(B219="","",ROUND(SUMIFS(Labor!$Q$5:$Q$304,Labor!$A$5:$A$304,A219)+SUMIFS(Crochet!$AH$5:$AH$84,Crochet!$A$5:$A$84,A219)+SUMIFS(Jewelry!$AJ$5:$AJ$84,Jewelry!$A$5:$A$84,A219)+SUMIFS(Candles!$AJ$5:$AJ$84,Candles!$A$5:$A$84,A219)+SUMIFS(Clothing!$AF$5:$AF$84,Clothing!$A$5:$A$84,A219)+SUMIFS(Woodworking!$AH$5:$AH$84,Woodworking!$A$5:$A$84,A219)+SUMIFS(Digital!$AA$5:$AA$84,Digital!$A$5:$A$84,A219),2))</f>
        <v>0</v>
      </c>
      <c r="AB219" s="20">
        <f>IF(B219="","",ROUND(IF(I219="Budget",PackBudget,IF(I219="Standard",PackStandard,IF(I219="Gift",PackGift,IF(I219="Premium",PackPremium,DefaultPackaging)))),2))</f>
        <v>0</v>
      </c>
      <c r="AC219" s="36">
        <f>IF(B219="","",IF(I219="Budget",PackWeightBudget,IF(I219="Standard",PackWeightStandard,IF(I219="Gift",PackWeightGift,IF(I219="Premium",PackWeightPremium,0)))))</f>
        <v>0</v>
      </c>
      <c r="AD219" s="20">
        <f>IF(B219="","",IFERROR(INDEX(Shipping!$M$5:$M$64,MATCH(J219,Shipping!$L$5:$L$64,0)),DefaultShipping))</f>
        <v>0</v>
      </c>
      <c r="AE219" s="20">
        <f>IF(B219="","",IFERROR(INDEX(Shipping!$F$5:$F$64,MATCH(J219,Shipping!$L$5:$L$64,0)),0))</f>
        <v>0</v>
      </c>
      <c r="AF219" s="36">
        <f>IF(B219="","",IFERROR(INDEX(Shipping!$C$5:$C$64,MATCH(J219,Shipping!$L$5:$L$64,0)),""))</f>
        <v>0</v>
      </c>
      <c r="AG219" s="20">
        <f>IF(B219="","",ROUND(MAX(0,AD219-AE219),2))</f>
        <v>0</v>
      </c>
      <c r="AH219" s="20">
        <f>IF(B219="","",ROUND(T219+Z219+AA219+AB219+AG219,2))</f>
        <v>0</v>
      </c>
      <c r="AI219" s="33">
        <f>IF(B219="","",IFERROR(INDEX(Channels!$S$5:$S$18,MATCH(IF(H219="",DefaultChannel,H219),Channels!$A$5:$A$18,0)),0))</f>
        <v>0</v>
      </c>
      <c r="AJ219" s="42">
        <f>IF(B219="","",IFERROR(INDEX(Channels!$O$5:$O$18,MATCH(IF(H219="",DefaultChannel,H219),Channels!$A$5:$A$18,0)),"No"))</f>
        <v>0</v>
      </c>
      <c r="AK219" s="20">
        <f>IF(B219="","",ROUND(IFERROR(INDEX(Channels!$T$5:$T$18,MATCH(IF(H219="",DefaultChannel,H219),Channels!$A$5:$A$18,0)),0)+IF(AJ219="Yes",AE219*AI219,0),4))</f>
        <v>0</v>
      </c>
      <c r="AL219" s="33">
        <f>IF(B219="","",IF(OverheadMethod="Share of revenue",IF(RevenueTargetMonth&lt;=0,0,OverheadMonthly/RevenueTargetMonth),0))</f>
        <v>0</v>
      </c>
      <c r="AM219" s="20">
        <f>IF(B219="","",IF(OverheadMethod="Per hour worked",ROUND(OverheadPerHour*Y219,2),IF(OR(OverheadMethod="Per unit made",OverheadMethod="Per order"),OverheadPerUnit,0)))</f>
        <v>0</v>
      </c>
      <c r="AN219" s="33">
        <f>IF(B219="","",IF(N219&lt;&gt;"",N219,TargetRetailMargin))</f>
        <v>0</v>
      </c>
      <c r="AO219" s="41">
        <f>IF(B219="","",1-AN219-AI219-AL219)</f>
        <v>0</v>
      </c>
      <c r="AP219" s="20">
        <f>IF(B219="","",IF(AO219&lt;=0,"",(AH219+AM219+AK219)/AO219))</f>
        <v>0</v>
      </c>
      <c r="AQ219" s="20">
        <f>IF(B219="","",IF(AP219="","Check the settings",ROUND(IF(RoundingRule="None",AP219,IF(RoundingRule="Nearest 0.99",MAX(0.99,CEILING(AP219,1)-0.01),IF(RoundingRule="Nearest 0.95",MAX(0.95,CEILING(AP219,1)-0.05),IF(RoundingRule="Nearest 0.50",CEILING(AP219,0.5),IF(RoundingRule="Nearest 1",CEILING(AP219,1),IF(RoundingRule="Nearest 5",CEILING(AP219,5),IF(RoundingRule="Up to whole 1",CEILING(AP219,1),IF(RoundingRule="Up to whole 5",CEILING(AP219,5),ROUND(AP219,2))))))))),2)))</f>
        <v>0</v>
      </c>
      <c r="AR219" s="20">
        <f>IF(B219="","",IF(M219&lt;&gt;"",M219,IF(ISNUMBER(AQ219),AQ219,"")))</f>
        <v>0</v>
      </c>
      <c r="AS219" s="20">
        <f>IF(B219="","",IF(AR219="","",ROUND(AM219+AR219*AL219,2)))</f>
        <v>0</v>
      </c>
      <c r="AT219" s="20">
        <f>IF(B219="","",IF(AR219="","",ROUND(AH219+AS219,2)))</f>
        <v>0</v>
      </c>
      <c r="AU219" s="20">
        <f>IF(B219="","",IF(AR219="","",ROUND(AR219*AI219+AK219,2)))</f>
        <v>0</v>
      </c>
      <c r="AV219" s="20">
        <f>IF(B219="","",IF(AR219="","",ROUND(AR219-AT219-AU219,2)))</f>
        <v>0</v>
      </c>
      <c r="AW219" s="33">
        <f>IF(B219="","",IF(OR(AR219="",AR219=0),"",AV219/AR219))</f>
        <v>0</v>
      </c>
      <c r="AX219" s="33">
        <f>IF(B219="","",IF(OR(AT219="",AT219=0),"",AV219/AT219))</f>
        <v>0</v>
      </c>
      <c r="AY219" s="20">
        <f>IF(B219="","",IF(OR(Y219="",Y219=0,AV219=""),"",ROUND(AV219/Y219,2)))</f>
        <v>0</v>
      </c>
      <c r="AZ219" s="20">
        <f>IF(B219="","",IF(OR(Y219="",Y219=0,AV219=""),"",ROUND((AV219+Z219)/Y219,2)))</f>
        <v>0</v>
      </c>
      <c r="BA219" s="20">
        <f>IF(B219="","",IF(1-AI219-AL219&lt;=0,"",ROUND((AH219+AM219+AK219)/(1-AI219-AL219),2)))</f>
        <v>0</v>
      </c>
      <c r="BB219" s="20">
        <f>IF(B219="","",IF(AT219="","",ROUND(AT219*2,2)))</f>
        <v>0</v>
      </c>
      <c r="BC219" s="20">
        <f>IF(B219="","",IF(AR219="","",ROUND(AR219*(1-WholesaleDiscount),2)))</f>
        <v>0</v>
      </c>
      <c r="BD219" s="20">
        <f>IF(B219="","",IF(BC219="","",ROUND(BC219-AH219-AM219,2)))</f>
        <v>0</v>
      </c>
      <c r="BE219" s="33">
        <f>IF(B219="","",IF(OR(BC219="",BC219=0),"",BD219/BC219))</f>
        <v>0</v>
      </c>
      <c r="BF219" s="20">
        <f>IF(B219="","",IFERROR(ROUND(AVERAGEIFS(Competitors!$F$5:$F$154,Competitors!$A$5:$A$154,A219),2),""))</f>
        <v>0</v>
      </c>
      <c r="BG219" s="33">
        <f>IF(B219="","",IF(OR(BF219="",BF219=0,AR219=""),"",AR219/BF219-1))</f>
        <v>0</v>
      </c>
      <c r="BH219" s="32">
        <f>IF(B219="","",SUMIFS(Sales!$D$5:$D$804,Sales!$C$5:$C$804,A219))</f>
        <v>0</v>
      </c>
      <c r="BI219" s="20">
        <f>IF(B219="","",ROUND(SUMIFS(Sales!$V$5:$V$804,Sales!$C$5:$C$804,A219),2))</f>
        <v>0</v>
      </c>
      <c r="BJ219" s="20">
        <f>IF(B219="","",ROUND(SUMIFS(Sales!$AG$5:$AG$804,Sales!$C$5:$C$804,A219),2))</f>
        <v>0</v>
      </c>
      <c r="BK219" s="33">
        <f>IF(B219="","",IF(OR(BI219="",BI219=0),"",BJ219/BI219))</f>
        <v>0</v>
      </c>
      <c r="BL219" s="17">
        <f>IF(B219="","",IF(SUMPRODUCT(MAX((Sales!$C$5:$C$804=A219)*Sales!$B$5:$B$804))=0,"",SUMPRODUCT(MAX((Sales!$C$5:$C$804=A219)*Sales!$B$5:$B$804))))</f>
        <v>0</v>
      </c>
      <c r="BM219" s="17">
        <f>IF(B219="","",IF(SUMPRODUCT(MAX(('Price History'!$B$5:$B$304=A219)*'Price History'!$A$5:$A$304))=0,IF(P219="","",P219),SUMPRODUCT(MAX(('Price History'!$B$5:$B$304=A219)*'Price History'!$A$5:$A$304))))</f>
        <v>0</v>
      </c>
      <c r="BN219" s="32">
        <f>IF(B219="","",IF(BM219="","",TodayDate-BM219))</f>
        <v>0</v>
      </c>
      <c r="BO219" s="32">
        <f>IF(B219="","",COUNTIFS($AV$5:$AV$304,"&gt;"&amp;AV219)+COUNTIFS($AV$5:AV219,AV219))</f>
        <v>0</v>
      </c>
      <c r="BP219" s="32">
        <f>IF(B219="","",COUNTIFS($AW$5:$AW$304,"&gt;"&amp;AW219)+COUNTIFS($AW$5:AW219,AW219))</f>
        <v>0</v>
      </c>
      <c r="BQ219" s="32">
        <f>IF(B219="","",COUNTIFS($BI$5:$BI$304,"&gt;"&amp;BI219)+COUNTIFS($BI$5:BI219,BI219))</f>
        <v>0</v>
      </c>
      <c r="BR219" s="32">
        <f>IF(B219="","",COUNTIFS($AY$5:$AY$304,"&gt;"&amp;AY219)+COUNTIFS($AY$5:AY219,AY219))</f>
        <v>0</v>
      </c>
      <c r="BS219" s="43">
        <f>IF(B219="","",IF(AH219=0,"Add - no costs entered yet",IF(AR219="","Check - no price yet",IF(AV219&lt;0,"Loss - every sale costs you money",IF(AND(AZ219&lt;&gt;"",AZ219&lt;MinimumWage),"Below - pays under minimum wage",IF(AW219&lt;MarginWarning,"Low margin - re-price it",IF(AND(AF219&lt;&gt;"",K219&lt;&gt;"",K219+AC219&gt;AF219),"Check - too heavy for that postage band",IF(AND(BN219&lt;&gt;"",BN219&gt;PriceReviewDays),"Due - price has not been reviewed",IF(AND(BG219&lt;&gt;"",BG219&gt;0.5),"Check - well above the market","OK")))))))) )</f>
        <v>0</v>
      </c>
    </row>
    <row r="220" spans="1:71">
      <c r="A220" s="38">
        <f>IF(B220="","",ProductPrefix&amp;TEXT(ROW()-4,"0000"))</f>
        <v>0</v>
      </c>
      <c r="S220" s="38">
        <f>IF(B220="","",IF(C220&lt;&gt;"",C220,UPPER(LEFT(IF(D220="","GEN",D220),3))&amp;"-"&amp;TEXT(ROW()-4,"000")))</f>
        <v>0</v>
      </c>
      <c r="T220" s="20">
        <f>IF(B220="","",ROUND(SUMIFS('Material Usage'!$M$5:$M$904,'Material Usage'!$A$5:$A$904,A220)+SUMIFS(Crochet!$AD$5:$AD$84,Crochet!$A$5:$A$84,A220)+SUMIFS(Jewelry!$AF$5:$AF$84,Jewelry!$A$5:$A$84,A220)+SUMIFS(Candles!$AF$5:$AF$84,Candles!$A$5:$A$84,A220)+SUMIFS(Clothing!$AB$5:$AB$84,Clothing!$A$5:$A$84,A220)+SUMIFS(Woodworking!$AC$5:$AC$84,Woodworking!$A$5:$A$84,A220)+SUMIFS(Digital!$X$5:$X$84,Digital!$A$5:$A$84,A220),2))</f>
        <v>0</v>
      </c>
      <c r="U220" s="20">
        <f>IF(B220="","",ROUND(SUMIFS(Labor!$O$5:$O$304,Labor!$A$5:$A$304,A220)+SUMIFS(Crochet!$AG$5:$AG$84,Crochet!$A$5:$A$84,A220)+SUMIFS(Jewelry!$AI$5:$AI$84,Jewelry!$A$5:$A$84,A220)+SUMIFS(Candles!$AI$5:$AI$84,Candles!$A$5:$A$84,A220)+SUMIFS(Clothing!$AE$5:$AE$84,Clothing!$A$5:$A$84,A220)+SUMIFS(Woodworking!$AF$5:$AF$84,Woodworking!$A$5:$A$84,A220)+SUMIFS(Digital!$Z$5:$Z$84,Digital!$A$5:$A$84,A220),2))</f>
        <v>0</v>
      </c>
      <c r="V220" s="36">
        <f>IF(B220="","",ROUND(SUMIFS(Labor!$P$5:$P$304,Labor!$A$5:$A$304,A220)+SUMIFS(Crochet!$AE$5:$AE$84,Crochet!$A$5:$A$84,A220)+SUMIFS(Jewelry!$AG$5:$AG$84,Jewelry!$A$5:$A$84,A220)+SUMIFS(Candles!$AG$5:$AG$84,Candles!$A$5:$A$84,A220)+SUMIFS(Clothing!$AC$5:$AC$84,Clothing!$A$5:$A$84,A220)+SUMIFS(Woodworking!$AD$5:$AD$84,Woodworking!$A$5:$A$84,A220)+SUMIFS(Digital!$Y$5:$Y$84,Digital!$A$5:$A$84,A220),1))</f>
        <v>0</v>
      </c>
      <c r="W220" s="41">
        <f>IF(B220="","",IFERROR(INDEX(DiffTimeFactors,MATCH(G220,DiffNames,0)),1))</f>
        <v>0</v>
      </c>
      <c r="X220" s="36">
        <f>IF(B220="","",ROUND(V220*W220,1))</f>
        <v>0</v>
      </c>
      <c r="Y220" s="41">
        <f>IF(B220="","",ROUND(X220/60,3))</f>
        <v>0</v>
      </c>
      <c r="Z220" s="20">
        <f>IF(B220="","",ROUND(U220*W220,2))</f>
        <v>0</v>
      </c>
      <c r="AA220" s="20">
        <f>IF(B220="","",ROUND(SUMIFS(Labor!$Q$5:$Q$304,Labor!$A$5:$A$304,A220)+SUMIFS(Crochet!$AH$5:$AH$84,Crochet!$A$5:$A$84,A220)+SUMIFS(Jewelry!$AJ$5:$AJ$84,Jewelry!$A$5:$A$84,A220)+SUMIFS(Candles!$AJ$5:$AJ$84,Candles!$A$5:$A$84,A220)+SUMIFS(Clothing!$AF$5:$AF$84,Clothing!$A$5:$A$84,A220)+SUMIFS(Woodworking!$AH$5:$AH$84,Woodworking!$A$5:$A$84,A220)+SUMIFS(Digital!$AA$5:$AA$84,Digital!$A$5:$A$84,A220),2))</f>
        <v>0</v>
      </c>
      <c r="AB220" s="20">
        <f>IF(B220="","",ROUND(IF(I220="Budget",PackBudget,IF(I220="Standard",PackStandard,IF(I220="Gift",PackGift,IF(I220="Premium",PackPremium,DefaultPackaging)))),2))</f>
        <v>0</v>
      </c>
      <c r="AC220" s="36">
        <f>IF(B220="","",IF(I220="Budget",PackWeightBudget,IF(I220="Standard",PackWeightStandard,IF(I220="Gift",PackWeightGift,IF(I220="Premium",PackWeightPremium,0)))))</f>
        <v>0</v>
      </c>
      <c r="AD220" s="20">
        <f>IF(B220="","",IFERROR(INDEX(Shipping!$M$5:$M$64,MATCH(J220,Shipping!$L$5:$L$64,0)),DefaultShipping))</f>
        <v>0</v>
      </c>
      <c r="AE220" s="20">
        <f>IF(B220="","",IFERROR(INDEX(Shipping!$F$5:$F$64,MATCH(J220,Shipping!$L$5:$L$64,0)),0))</f>
        <v>0</v>
      </c>
      <c r="AF220" s="36">
        <f>IF(B220="","",IFERROR(INDEX(Shipping!$C$5:$C$64,MATCH(J220,Shipping!$L$5:$L$64,0)),""))</f>
        <v>0</v>
      </c>
      <c r="AG220" s="20">
        <f>IF(B220="","",ROUND(MAX(0,AD220-AE220),2))</f>
        <v>0</v>
      </c>
      <c r="AH220" s="20">
        <f>IF(B220="","",ROUND(T220+Z220+AA220+AB220+AG220,2))</f>
        <v>0</v>
      </c>
      <c r="AI220" s="33">
        <f>IF(B220="","",IFERROR(INDEX(Channels!$S$5:$S$18,MATCH(IF(H220="",DefaultChannel,H220),Channels!$A$5:$A$18,0)),0))</f>
        <v>0</v>
      </c>
      <c r="AJ220" s="42">
        <f>IF(B220="","",IFERROR(INDEX(Channels!$O$5:$O$18,MATCH(IF(H220="",DefaultChannel,H220),Channels!$A$5:$A$18,0)),"No"))</f>
        <v>0</v>
      </c>
      <c r="AK220" s="20">
        <f>IF(B220="","",ROUND(IFERROR(INDEX(Channels!$T$5:$T$18,MATCH(IF(H220="",DefaultChannel,H220),Channels!$A$5:$A$18,0)),0)+IF(AJ220="Yes",AE220*AI220,0),4))</f>
        <v>0</v>
      </c>
      <c r="AL220" s="33">
        <f>IF(B220="","",IF(OverheadMethod="Share of revenue",IF(RevenueTargetMonth&lt;=0,0,OverheadMonthly/RevenueTargetMonth),0))</f>
        <v>0</v>
      </c>
      <c r="AM220" s="20">
        <f>IF(B220="","",IF(OverheadMethod="Per hour worked",ROUND(OverheadPerHour*Y220,2),IF(OR(OverheadMethod="Per unit made",OverheadMethod="Per order"),OverheadPerUnit,0)))</f>
        <v>0</v>
      </c>
      <c r="AN220" s="33">
        <f>IF(B220="","",IF(N220&lt;&gt;"",N220,TargetRetailMargin))</f>
        <v>0</v>
      </c>
      <c r="AO220" s="41">
        <f>IF(B220="","",1-AN220-AI220-AL220)</f>
        <v>0</v>
      </c>
      <c r="AP220" s="20">
        <f>IF(B220="","",IF(AO220&lt;=0,"",(AH220+AM220+AK220)/AO220))</f>
        <v>0</v>
      </c>
      <c r="AQ220" s="20">
        <f>IF(B220="","",IF(AP220="","Check the settings",ROUND(IF(RoundingRule="None",AP220,IF(RoundingRule="Nearest 0.99",MAX(0.99,CEILING(AP220,1)-0.01),IF(RoundingRule="Nearest 0.95",MAX(0.95,CEILING(AP220,1)-0.05),IF(RoundingRule="Nearest 0.50",CEILING(AP220,0.5),IF(RoundingRule="Nearest 1",CEILING(AP220,1),IF(RoundingRule="Nearest 5",CEILING(AP220,5),IF(RoundingRule="Up to whole 1",CEILING(AP220,1),IF(RoundingRule="Up to whole 5",CEILING(AP220,5),ROUND(AP220,2))))))))),2)))</f>
        <v>0</v>
      </c>
      <c r="AR220" s="20">
        <f>IF(B220="","",IF(M220&lt;&gt;"",M220,IF(ISNUMBER(AQ220),AQ220,"")))</f>
        <v>0</v>
      </c>
      <c r="AS220" s="20">
        <f>IF(B220="","",IF(AR220="","",ROUND(AM220+AR220*AL220,2)))</f>
        <v>0</v>
      </c>
      <c r="AT220" s="20">
        <f>IF(B220="","",IF(AR220="","",ROUND(AH220+AS220,2)))</f>
        <v>0</v>
      </c>
      <c r="AU220" s="20">
        <f>IF(B220="","",IF(AR220="","",ROUND(AR220*AI220+AK220,2)))</f>
        <v>0</v>
      </c>
      <c r="AV220" s="20">
        <f>IF(B220="","",IF(AR220="","",ROUND(AR220-AT220-AU220,2)))</f>
        <v>0</v>
      </c>
      <c r="AW220" s="33">
        <f>IF(B220="","",IF(OR(AR220="",AR220=0),"",AV220/AR220))</f>
        <v>0</v>
      </c>
      <c r="AX220" s="33">
        <f>IF(B220="","",IF(OR(AT220="",AT220=0),"",AV220/AT220))</f>
        <v>0</v>
      </c>
      <c r="AY220" s="20">
        <f>IF(B220="","",IF(OR(Y220="",Y220=0,AV220=""),"",ROUND(AV220/Y220,2)))</f>
        <v>0</v>
      </c>
      <c r="AZ220" s="20">
        <f>IF(B220="","",IF(OR(Y220="",Y220=0,AV220=""),"",ROUND((AV220+Z220)/Y220,2)))</f>
        <v>0</v>
      </c>
      <c r="BA220" s="20">
        <f>IF(B220="","",IF(1-AI220-AL220&lt;=0,"",ROUND((AH220+AM220+AK220)/(1-AI220-AL220),2)))</f>
        <v>0</v>
      </c>
      <c r="BB220" s="20">
        <f>IF(B220="","",IF(AT220="","",ROUND(AT220*2,2)))</f>
        <v>0</v>
      </c>
      <c r="BC220" s="20">
        <f>IF(B220="","",IF(AR220="","",ROUND(AR220*(1-WholesaleDiscount),2)))</f>
        <v>0</v>
      </c>
      <c r="BD220" s="20">
        <f>IF(B220="","",IF(BC220="","",ROUND(BC220-AH220-AM220,2)))</f>
        <v>0</v>
      </c>
      <c r="BE220" s="33">
        <f>IF(B220="","",IF(OR(BC220="",BC220=0),"",BD220/BC220))</f>
        <v>0</v>
      </c>
      <c r="BF220" s="20">
        <f>IF(B220="","",IFERROR(ROUND(AVERAGEIFS(Competitors!$F$5:$F$154,Competitors!$A$5:$A$154,A220),2),""))</f>
        <v>0</v>
      </c>
      <c r="BG220" s="33">
        <f>IF(B220="","",IF(OR(BF220="",BF220=0,AR220=""),"",AR220/BF220-1))</f>
        <v>0</v>
      </c>
      <c r="BH220" s="32">
        <f>IF(B220="","",SUMIFS(Sales!$D$5:$D$804,Sales!$C$5:$C$804,A220))</f>
        <v>0</v>
      </c>
      <c r="BI220" s="20">
        <f>IF(B220="","",ROUND(SUMIFS(Sales!$V$5:$V$804,Sales!$C$5:$C$804,A220),2))</f>
        <v>0</v>
      </c>
      <c r="BJ220" s="20">
        <f>IF(B220="","",ROUND(SUMIFS(Sales!$AG$5:$AG$804,Sales!$C$5:$C$804,A220),2))</f>
        <v>0</v>
      </c>
      <c r="BK220" s="33">
        <f>IF(B220="","",IF(OR(BI220="",BI220=0),"",BJ220/BI220))</f>
        <v>0</v>
      </c>
      <c r="BL220" s="17">
        <f>IF(B220="","",IF(SUMPRODUCT(MAX((Sales!$C$5:$C$804=A220)*Sales!$B$5:$B$804))=0,"",SUMPRODUCT(MAX((Sales!$C$5:$C$804=A220)*Sales!$B$5:$B$804))))</f>
        <v>0</v>
      </c>
      <c r="BM220" s="17">
        <f>IF(B220="","",IF(SUMPRODUCT(MAX(('Price History'!$B$5:$B$304=A220)*'Price History'!$A$5:$A$304))=0,IF(P220="","",P220),SUMPRODUCT(MAX(('Price History'!$B$5:$B$304=A220)*'Price History'!$A$5:$A$304))))</f>
        <v>0</v>
      </c>
      <c r="BN220" s="32">
        <f>IF(B220="","",IF(BM220="","",TodayDate-BM220))</f>
        <v>0</v>
      </c>
      <c r="BO220" s="32">
        <f>IF(B220="","",COUNTIFS($AV$5:$AV$304,"&gt;"&amp;AV220)+COUNTIFS($AV$5:AV220,AV220))</f>
        <v>0</v>
      </c>
      <c r="BP220" s="32">
        <f>IF(B220="","",COUNTIFS($AW$5:$AW$304,"&gt;"&amp;AW220)+COUNTIFS($AW$5:AW220,AW220))</f>
        <v>0</v>
      </c>
      <c r="BQ220" s="32">
        <f>IF(B220="","",COUNTIFS($BI$5:$BI$304,"&gt;"&amp;BI220)+COUNTIFS($BI$5:BI220,BI220))</f>
        <v>0</v>
      </c>
      <c r="BR220" s="32">
        <f>IF(B220="","",COUNTIFS($AY$5:$AY$304,"&gt;"&amp;AY220)+COUNTIFS($AY$5:AY220,AY220))</f>
        <v>0</v>
      </c>
      <c r="BS220" s="43">
        <f>IF(B220="","",IF(AH220=0,"Add - no costs entered yet",IF(AR220="","Check - no price yet",IF(AV220&lt;0,"Loss - every sale costs you money",IF(AND(AZ220&lt;&gt;"",AZ220&lt;MinimumWage),"Below - pays under minimum wage",IF(AW220&lt;MarginWarning,"Low margin - re-price it",IF(AND(AF220&lt;&gt;"",K220&lt;&gt;"",K220+AC220&gt;AF220),"Check - too heavy for that postage band",IF(AND(BN220&lt;&gt;"",BN220&gt;PriceReviewDays),"Due - price has not been reviewed",IF(AND(BG220&lt;&gt;"",BG220&gt;0.5),"Check - well above the market","OK")))))))) )</f>
        <v>0</v>
      </c>
    </row>
    <row r="221" spans="1:71">
      <c r="A221" s="38">
        <f>IF(B221="","",ProductPrefix&amp;TEXT(ROW()-4,"0000"))</f>
        <v>0</v>
      </c>
      <c r="S221" s="38">
        <f>IF(B221="","",IF(C221&lt;&gt;"",C221,UPPER(LEFT(IF(D221="","GEN",D221),3))&amp;"-"&amp;TEXT(ROW()-4,"000")))</f>
        <v>0</v>
      </c>
      <c r="T221" s="20">
        <f>IF(B221="","",ROUND(SUMIFS('Material Usage'!$M$5:$M$904,'Material Usage'!$A$5:$A$904,A221)+SUMIFS(Crochet!$AD$5:$AD$84,Crochet!$A$5:$A$84,A221)+SUMIFS(Jewelry!$AF$5:$AF$84,Jewelry!$A$5:$A$84,A221)+SUMIFS(Candles!$AF$5:$AF$84,Candles!$A$5:$A$84,A221)+SUMIFS(Clothing!$AB$5:$AB$84,Clothing!$A$5:$A$84,A221)+SUMIFS(Woodworking!$AC$5:$AC$84,Woodworking!$A$5:$A$84,A221)+SUMIFS(Digital!$X$5:$X$84,Digital!$A$5:$A$84,A221),2))</f>
        <v>0</v>
      </c>
      <c r="U221" s="20">
        <f>IF(B221="","",ROUND(SUMIFS(Labor!$O$5:$O$304,Labor!$A$5:$A$304,A221)+SUMIFS(Crochet!$AG$5:$AG$84,Crochet!$A$5:$A$84,A221)+SUMIFS(Jewelry!$AI$5:$AI$84,Jewelry!$A$5:$A$84,A221)+SUMIFS(Candles!$AI$5:$AI$84,Candles!$A$5:$A$84,A221)+SUMIFS(Clothing!$AE$5:$AE$84,Clothing!$A$5:$A$84,A221)+SUMIFS(Woodworking!$AF$5:$AF$84,Woodworking!$A$5:$A$84,A221)+SUMIFS(Digital!$Z$5:$Z$84,Digital!$A$5:$A$84,A221),2))</f>
        <v>0</v>
      </c>
      <c r="V221" s="36">
        <f>IF(B221="","",ROUND(SUMIFS(Labor!$P$5:$P$304,Labor!$A$5:$A$304,A221)+SUMIFS(Crochet!$AE$5:$AE$84,Crochet!$A$5:$A$84,A221)+SUMIFS(Jewelry!$AG$5:$AG$84,Jewelry!$A$5:$A$84,A221)+SUMIFS(Candles!$AG$5:$AG$84,Candles!$A$5:$A$84,A221)+SUMIFS(Clothing!$AC$5:$AC$84,Clothing!$A$5:$A$84,A221)+SUMIFS(Woodworking!$AD$5:$AD$84,Woodworking!$A$5:$A$84,A221)+SUMIFS(Digital!$Y$5:$Y$84,Digital!$A$5:$A$84,A221),1))</f>
        <v>0</v>
      </c>
      <c r="W221" s="41">
        <f>IF(B221="","",IFERROR(INDEX(DiffTimeFactors,MATCH(G221,DiffNames,0)),1))</f>
        <v>0</v>
      </c>
      <c r="X221" s="36">
        <f>IF(B221="","",ROUND(V221*W221,1))</f>
        <v>0</v>
      </c>
      <c r="Y221" s="41">
        <f>IF(B221="","",ROUND(X221/60,3))</f>
        <v>0</v>
      </c>
      <c r="Z221" s="20">
        <f>IF(B221="","",ROUND(U221*W221,2))</f>
        <v>0</v>
      </c>
      <c r="AA221" s="20">
        <f>IF(B221="","",ROUND(SUMIFS(Labor!$Q$5:$Q$304,Labor!$A$5:$A$304,A221)+SUMIFS(Crochet!$AH$5:$AH$84,Crochet!$A$5:$A$84,A221)+SUMIFS(Jewelry!$AJ$5:$AJ$84,Jewelry!$A$5:$A$84,A221)+SUMIFS(Candles!$AJ$5:$AJ$84,Candles!$A$5:$A$84,A221)+SUMIFS(Clothing!$AF$5:$AF$84,Clothing!$A$5:$A$84,A221)+SUMIFS(Woodworking!$AH$5:$AH$84,Woodworking!$A$5:$A$84,A221)+SUMIFS(Digital!$AA$5:$AA$84,Digital!$A$5:$A$84,A221),2))</f>
        <v>0</v>
      </c>
      <c r="AB221" s="20">
        <f>IF(B221="","",ROUND(IF(I221="Budget",PackBudget,IF(I221="Standard",PackStandard,IF(I221="Gift",PackGift,IF(I221="Premium",PackPremium,DefaultPackaging)))),2))</f>
        <v>0</v>
      </c>
      <c r="AC221" s="36">
        <f>IF(B221="","",IF(I221="Budget",PackWeightBudget,IF(I221="Standard",PackWeightStandard,IF(I221="Gift",PackWeightGift,IF(I221="Premium",PackWeightPremium,0)))))</f>
        <v>0</v>
      </c>
      <c r="AD221" s="20">
        <f>IF(B221="","",IFERROR(INDEX(Shipping!$M$5:$M$64,MATCH(J221,Shipping!$L$5:$L$64,0)),DefaultShipping))</f>
        <v>0</v>
      </c>
      <c r="AE221" s="20">
        <f>IF(B221="","",IFERROR(INDEX(Shipping!$F$5:$F$64,MATCH(J221,Shipping!$L$5:$L$64,0)),0))</f>
        <v>0</v>
      </c>
      <c r="AF221" s="36">
        <f>IF(B221="","",IFERROR(INDEX(Shipping!$C$5:$C$64,MATCH(J221,Shipping!$L$5:$L$64,0)),""))</f>
        <v>0</v>
      </c>
      <c r="AG221" s="20">
        <f>IF(B221="","",ROUND(MAX(0,AD221-AE221),2))</f>
        <v>0</v>
      </c>
      <c r="AH221" s="20">
        <f>IF(B221="","",ROUND(T221+Z221+AA221+AB221+AG221,2))</f>
        <v>0</v>
      </c>
      <c r="AI221" s="33">
        <f>IF(B221="","",IFERROR(INDEX(Channels!$S$5:$S$18,MATCH(IF(H221="",DefaultChannel,H221),Channels!$A$5:$A$18,0)),0))</f>
        <v>0</v>
      </c>
      <c r="AJ221" s="42">
        <f>IF(B221="","",IFERROR(INDEX(Channels!$O$5:$O$18,MATCH(IF(H221="",DefaultChannel,H221),Channels!$A$5:$A$18,0)),"No"))</f>
        <v>0</v>
      </c>
      <c r="AK221" s="20">
        <f>IF(B221="","",ROUND(IFERROR(INDEX(Channels!$T$5:$T$18,MATCH(IF(H221="",DefaultChannel,H221),Channels!$A$5:$A$18,0)),0)+IF(AJ221="Yes",AE221*AI221,0),4))</f>
        <v>0</v>
      </c>
      <c r="AL221" s="33">
        <f>IF(B221="","",IF(OverheadMethod="Share of revenue",IF(RevenueTargetMonth&lt;=0,0,OverheadMonthly/RevenueTargetMonth),0))</f>
        <v>0</v>
      </c>
      <c r="AM221" s="20">
        <f>IF(B221="","",IF(OverheadMethod="Per hour worked",ROUND(OverheadPerHour*Y221,2),IF(OR(OverheadMethod="Per unit made",OverheadMethod="Per order"),OverheadPerUnit,0)))</f>
        <v>0</v>
      </c>
      <c r="AN221" s="33">
        <f>IF(B221="","",IF(N221&lt;&gt;"",N221,TargetRetailMargin))</f>
        <v>0</v>
      </c>
      <c r="AO221" s="41">
        <f>IF(B221="","",1-AN221-AI221-AL221)</f>
        <v>0</v>
      </c>
      <c r="AP221" s="20">
        <f>IF(B221="","",IF(AO221&lt;=0,"",(AH221+AM221+AK221)/AO221))</f>
        <v>0</v>
      </c>
      <c r="AQ221" s="20">
        <f>IF(B221="","",IF(AP221="","Check the settings",ROUND(IF(RoundingRule="None",AP221,IF(RoundingRule="Nearest 0.99",MAX(0.99,CEILING(AP221,1)-0.01),IF(RoundingRule="Nearest 0.95",MAX(0.95,CEILING(AP221,1)-0.05),IF(RoundingRule="Nearest 0.50",CEILING(AP221,0.5),IF(RoundingRule="Nearest 1",CEILING(AP221,1),IF(RoundingRule="Nearest 5",CEILING(AP221,5),IF(RoundingRule="Up to whole 1",CEILING(AP221,1),IF(RoundingRule="Up to whole 5",CEILING(AP221,5),ROUND(AP221,2))))))))),2)))</f>
        <v>0</v>
      </c>
      <c r="AR221" s="20">
        <f>IF(B221="","",IF(M221&lt;&gt;"",M221,IF(ISNUMBER(AQ221),AQ221,"")))</f>
        <v>0</v>
      </c>
      <c r="AS221" s="20">
        <f>IF(B221="","",IF(AR221="","",ROUND(AM221+AR221*AL221,2)))</f>
        <v>0</v>
      </c>
      <c r="AT221" s="20">
        <f>IF(B221="","",IF(AR221="","",ROUND(AH221+AS221,2)))</f>
        <v>0</v>
      </c>
      <c r="AU221" s="20">
        <f>IF(B221="","",IF(AR221="","",ROUND(AR221*AI221+AK221,2)))</f>
        <v>0</v>
      </c>
      <c r="AV221" s="20">
        <f>IF(B221="","",IF(AR221="","",ROUND(AR221-AT221-AU221,2)))</f>
        <v>0</v>
      </c>
      <c r="AW221" s="33">
        <f>IF(B221="","",IF(OR(AR221="",AR221=0),"",AV221/AR221))</f>
        <v>0</v>
      </c>
      <c r="AX221" s="33">
        <f>IF(B221="","",IF(OR(AT221="",AT221=0),"",AV221/AT221))</f>
        <v>0</v>
      </c>
      <c r="AY221" s="20">
        <f>IF(B221="","",IF(OR(Y221="",Y221=0,AV221=""),"",ROUND(AV221/Y221,2)))</f>
        <v>0</v>
      </c>
      <c r="AZ221" s="20">
        <f>IF(B221="","",IF(OR(Y221="",Y221=0,AV221=""),"",ROUND((AV221+Z221)/Y221,2)))</f>
        <v>0</v>
      </c>
      <c r="BA221" s="20">
        <f>IF(B221="","",IF(1-AI221-AL221&lt;=0,"",ROUND((AH221+AM221+AK221)/(1-AI221-AL221),2)))</f>
        <v>0</v>
      </c>
      <c r="BB221" s="20">
        <f>IF(B221="","",IF(AT221="","",ROUND(AT221*2,2)))</f>
        <v>0</v>
      </c>
      <c r="BC221" s="20">
        <f>IF(B221="","",IF(AR221="","",ROUND(AR221*(1-WholesaleDiscount),2)))</f>
        <v>0</v>
      </c>
      <c r="BD221" s="20">
        <f>IF(B221="","",IF(BC221="","",ROUND(BC221-AH221-AM221,2)))</f>
        <v>0</v>
      </c>
      <c r="BE221" s="33">
        <f>IF(B221="","",IF(OR(BC221="",BC221=0),"",BD221/BC221))</f>
        <v>0</v>
      </c>
      <c r="BF221" s="20">
        <f>IF(B221="","",IFERROR(ROUND(AVERAGEIFS(Competitors!$F$5:$F$154,Competitors!$A$5:$A$154,A221),2),""))</f>
        <v>0</v>
      </c>
      <c r="BG221" s="33">
        <f>IF(B221="","",IF(OR(BF221="",BF221=0,AR221=""),"",AR221/BF221-1))</f>
        <v>0</v>
      </c>
      <c r="BH221" s="32">
        <f>IF(B221="","",SUMIFS(Sales!$D$5:$D$804,Sales!$C$5:$C$804,A221))</f>
        <v>0</v>
      </c>
      <c r="BI221" s="20">
        <f>IF(B221="","",ROUND(SUMIFS(Sales!$V$5:$V$804,Sales!$C$5:$C$804,A221),2))</f>
        <v>0</v>
      </c>
      <c r="BJ221" s="20">
        <f>IF(B221="","",ROUND(SUMIFS(Sales!$AG$5:$AG$804,Sales!$C$5:$C$804,A221),2))</f>
        <v>0</v>
      </c>
      <c r="BK221" s="33">
        <f>IF(B221="","",IF(OR(BI221="",BI221=0),"",BJ221/BI221))</f>
        <v>0</v>
      </c>
      <c r="BL221" s="17">
        <f>IF(B221="","",IF(SUMPRODUCT(MAX((Sales!$C$5:$C$804=A221)*Sales!$B$5:$B$804))=0,"",SUMPRODUCT(MAX((Sales!$C$5:$C$804=A221)*Sales!$B$5:$B$804))))</f>
        <v>0</v>
      </c>
      <c r="BM221" s="17">
        <f>IF(B221="","",IF(SUMPRODUCT(MAX(('Price History'!$B$5:$B$304=A221)*'Price History'!$A$5:$A$304))=0,IF(P221="","",P221),SUMPRODUCT(MAX(('Price History'!$B$5:$B$304=A221)*'Price History'!$A$5:$A$304))))</f>
        <v>0</v>
      </c>
      <c r="BN221" s="32">
        <f>IF(B221="","",IF(BM221="","",TodayDate-BM221))</f>
        <v>0</v>
      </c>
      <c r="BO221" s="32">
        <f>IF(B221="","",COUNTIFS($AV$5:$AV$304,"&gt;"&amp;AV221)+COUNTIFS($AV$5:AV221,AV221))</f>
        <v>0</v>
      </c>
      <c r="BP221" s="32">
        <f>IF(B221="","",COUNTIFS($AW$5:$AW$304,"&gt;"&amp;AW221)+COUNTIFS($AW$5:AW221,AW221))</f>
        <v>0</v>
      </c>
      <c r="BQ221" s="32">
        <f>IF(B221="","",COUNTIFS($BI$5:$BI$304,"&gt;"&amp;BI221)+COUNTIFS($BI$5:BI221,BI221))</f>
        <v>0</v>
      </c>
      <c r="BR221" s="32">
        <f>IF(B221="","",COUNTIFS($AY$5:$AY$304,"&gt;"&amp;AY221)+COUNTIFS($AY$5:AY221,AY221))</f>
        <v>0</v>
      </c>
      <c r="BS221" s="43">
        <f>IF(B221="","",IF(AH221=0,"Add - no costs entered yet",IF(AR221="","Check - no price yet",IF(AV221&lt;0,"Loss - every sale costs you money",IF(AND(AZ221&lt;&gt;"",AZ221&lt;MinimumWage),"Below - pays under minimum wage",IF(AW221&lt;MarginWarning,"Low margin - re-price it",IF(AND(AF221&lt;&gt;"",K221&lt;&gt;"",K221+AC221&gt;AF221),"Check - too heavy for that postage band",IF(AND(BN221&lt;&gt;"",BN221&gt;PriceReviewDays),"Due - price has not been reviewed",IF(AND(BG221&lt;&gt;"",BG221&gt;0.5),"Check - well above the market","OK")))))))) )</f>
        <v>0</v>
      </c>
    </row>
    <row r="222" spans="1:71">
      <c r="A222" s="38">
        <f>IF(B222="","",ProductPrefix&amp;TEXT(ROW()-4,"0000"))</f>
        <v>0</v>
      </c>
      <c r="S222" s="38">
        <f>IF(B222="","",IF(C222&lt;&gt;"",C222,UPPER(LEFT(IF(D222="","GEN",D222),3))&amp;"-"&amp;TEXT(ROW()-4,"000")))</f>
        <v>0</v>
      </c>
      <c r="T222" s="20">
        <f>IF(B222="","",ROUND(SUMIFS('Material Usage'!$M$5:$M$904,'Material Usage'!$A$5:$A$904,A222)+SUMIFS(Crochet!$AD$5:$AD$84,Crochet!$A$5:$A$84,A222)+SUMIFS(Jewelry!$AF$5:$AF$84,Jewelry!$A$5:$A$84,A222)+SUMIFS(Candles!$AF$5:$AF$84,Candles!$A$5:$A$84,A222)+SUMIFS(Clothing!$AB$5:$AB$84,Clothing!$A$5:$A$84,A222)+SUMIFS(Woodworking!$AC$5:$AC$84,Woodworking!$A$5:$A$84,A222)+SUMIFS(Digital!$X$5:$X$84,Digital!$A$5:$A$84,A222),2))</f>
        <v>0</v>
      </c>
      <c r="U222" s="20">
        <f>IF(B222="","",ROUND(SUMIFS(Labor!$O$5:$O$304,Labor!$A$5:$A$304,A222)+SUMIFS(Crochet!$AG$5:$AG$84,Crochet!$A$5:$A$84,A222)+SUMIFS(Jewelry!$AI$5:$AI$84,Jewelry!$A$5:$A$84,A222)+SUMIFS(Candles!$AI$5:$AI$84,Candles!$A$5:$A$84,A222)+SUMIFS(Clothing!$AE$5:$AE$84,Clothing!$A$5:$A$84,A222)+SUMIFS(Woodworking!$AF$5:$AF$84,Woodworking!$A$5:$A$84,A222)+SUMIFS(Digital!$Z$5:$Z$84,Digital!$A$5:$A$84,A222),2))</f>
        <v>0</v>
      </c>
      <c r="V222" s="36">
        <f>IF(B222="","",ROUND(SUMIFS(Labor!$P$5:$P$304,Labor!$A$5:$A$304,A222)+SUMIFS(Crochet!$AE$5:$AE$84,Crochet!$A$5:$A$84,A222)+SUMIFS(Jewelry!$AG$5:$AG$84,Jewelry!$A$5:$A$84,A222)+SUMIFS(Candles!$AG$5:$AG$84,Candles!$A$5:$A$84,A222)+SUMIFS(Clothing!$AC$5:$AC$84,Clothing!$A$5:$A$84,A222)+SUMIFS(Woodworking!$AD$5:$AD$84,Woodworking!$A$5:$A$84,A222)+SUMIFS(Digital!$Y$5:$Y$84,Digital!$A$5:$A$84,A222),1))</f>
        <v>0</v>
      </c>
      <c r="W222" s="41">
        <f>IF(B222="","",IFERROR(INDEX(DiffTimeFactors,MATCH(G222,DiffNames,0)),1))</f>
        <v>0</v>
      </c>
      <c r="X222" s="36">
        <f>IF(B222="","",ROUND(V222*W222,1))</f>
        <v>0</v>
      </c>
      <c r="Y222" s="41">
        <f>IF(B222="","",ROUND(X222/60,3))</f>
        <v>0</v>
      </c>
      <c r="Z222" s="20">
        <f>IF(B222="","",ROUND(U222*W222,2))</f>
        <v>0</v>
      </c>
      <c r="AA222" s="20">
        <f>IF(B222="","",ROUND(SUMIFS(Labor!$Q$5:$Q$304,Labor!$A$5:$A$304,A222)+SUMIFS(Crochet!$AH$5:$AH$84,Crochet!$A$5:$A$84,A222)+SUMIFS(Jewelry!$AJ$5:$AJ$84,Jewelry!$A$5:$A$84,A222)+SUMIFS(Candles!$AJ$5:$AJ$84,Candles!$A$5:$A$84,A222)+SUMIFS(Clothing!$AF$5:$AF$84,Clothing!$A$5:$A$84,A222)+SUMIFS(Woodworking!$AH$5:$AH$84,Woodworking!$A$5:$A$84,A222)+SUMIFS(Digital!$AA$5:$AA$84,Digital!$A$5:$A$84,A222),2))</f>
        <v>0</v>
      </c>
      <c r="AB222" s="20">
        <f>IF(B222="","",ROUND(IF(I222="Budget",PackBudget,IF(I222="Standard",PackStandard,IF(I222="Gift",PackGift,IF(I222="Premium",PackPremium,DefaultPackaging)))),2))</f>
        <v>0</v>
      </c>
      <c r="AC222" s="36">
        <f>IF(B222="","",IF(I222="Budget",PackWeightBudget,IF(I222="Standard",PackWeightStandard,IF(I222="Gift",PackWeightGift,IF(I222="Premium",PackWeightPremium,0)))))</f>
        <v>0</v>
      </c>
      <c r="AD222" s="20">
        <f>IF(B222="","",IFERROR(INDEX(Shipping!$M$5:$M$64,MATCH(J222,Shipping!$L$5:$L$64,0)),DefaultShipping))</f>
        <v>0</v>
      </c>
      <c r="AE222" s="20">
        <f>IF(B222="","",IFERROR(INDEX(Shipping!$F$5:$F$64,MATCH(J222,Shipping!$L$5:$L$64,0)),0))</f>
        <v>0</v>
      </c>
      <c r="AF222" s="36">
        <f>IF(B222="","",IFERROR(INDEX(Shipping!$C$5:$C$64,MATCH(J222,Shipping!$L$5:$L$64,0)),""))</f>
        <v>0</v>
      </c>
      <c r="AG222" s="20">
        <f>IF(B222="","",ROUND(MAX(0,AD222-AE222),2))</f>
        <v>0</v>
      </c>
      <c r="AH222" s="20">
        <f>IF(B222="","",ROUND(T222+Z222+AA222+AB222+AG222,2))</f>
        <v>0</v>
      </c>
      <c r="AI222" s="33">
        <f>IF(B222="","",IFERROR(INDEX(Channels!$S$5:$S$18,MATCH(IF(H222="",DefaultChannel,H222),Channels!$A$5:$A$18,0)),0))</f>
        <v>0</v>
      </c>
      <c r="AJ222" s="42">
        <f>IF(B222="","",IFERROR(INDEX(Channels!$O$5:$O$18,MATCH(IF(H222="",DefaultChannel,H222),Channels!$A$5:$A$18,0)),"No"))</f>
        <v>0</v>
      </c>
      <c r="AK222" s="20">
        <f>IF(B222="","",ROUND(IFERROR(INDEX(Channels!$T$5:$T$18,MATCH(IF(H222="",DefaultChannel,H222),Channels!$A$5:$A$18,0)),0)+IF(AJ222="Yes",AE222*AI222,0),4))</f>
        <v>0</v>
      </c>
      <c r="AL222" s="33">
        <f>IF(B222="","",IF(OverheadMethod="Share of revenue",IF(RevenueTargetMonth&lt;=0,0,OverheadMonthly/RevenueTargetMonth),0))</f>
        <v>0</v>
      </c>
      <c r="AM222" s="20">
        <f>IF(B222="","",IF(OverheadMethod="Per hour worked",ROUND(OverheadPerHour*Y222,2),IF(OR(OverheadMethod="Per unit made",OverheadMethod="Per order"),OverheadPerUnit,0)))</f>
        <v>0</v>
      </c>
      <c r="AN222" s="33">
        <f>IF(B222="","",IF(N222&lt;&gt;"",N222,TargetRetailMargin))</f>
        <v>0</v>
      </c>
      <c r="AO222" s="41">
        <f>IF(B222="","",1-AN222-AI222-AL222)</f>
        <v>0</v>
      </c>
      <c r="AP222" s="20">
        <f>IF(B222="","",IF(AO222&lt;=0,"",(AH222+AM222+AK222)/AO222))</f>
        <v>0</v>
      </c>
      <c r="AQ222" s="20">
        <f>IF(B222="","",IF(AP222="","Check the settings",ROUND(IF(RoundingRule="None",AP222,IF(RoundingRule="Nearest 0.99",MAX(0.99,CEILING(AP222,1)-0.01),IF(RoundingRule="Nearest 0.95",MAX(0.95,CEILING(AP222,1)-0.05),IF(RoundingRule="Nearest 0.50",CEILING(AP222,0.5),IF(RoundingRule="Nearest 1",CEILING(AP222,1),IF(RoundingRule="Nearest 5",CEILING(AP222,5),IF(RoundingRule="Up to whole 1",CEILING(AP222,1),IF(RoundingRule="Up to whole 5",CEILING(AP222,5),ROUND(AP222,2))))))))),2)))</f>
        <v>0</v>
      </c>
      <c r="AR222" s="20">
        <f>IF(B222="","",IF(M222&lt;&gt;"",M222,IF(ISNUMBER(AQ222),AQ222,"")))</f>
        <v>0</v>
      </c>
      <c r="AS222" s="20">
        <f>IF(B222="","",IF(AR222="","",ROUND(AM222+AR222*AL222,2)))</f>
        <v>0</v>
      </c>
      <c r="AT222" s="20">
        <f>IF(B222="","",IF(AR222="","",ROUND(AH222+AS222,2)))</f>
        <v>0</v>
      </c>
      <c r="AU222" s="20">
        <f>IF(B222="","",IF(AR222="","",ROUND(AR222*AI222+AK222,2)))</f>
        <v>0</v>
      </c>
      <c r="AV222" s="20">
        <f>IF(B222="","",IF(AR222="","",ROUND(AR222-AT222-AU222,2)))</f>
        <v>0</v>
      </c>
      <c r="AW222" s="33">
        <f>IF(B222="","",IF(OR(AR222="",AR222=0),"",AV222/AR222))</f>
        <v>0</v>
      </c>
      <c r="AX222" s="33">
        <f>IF(B222="","",IF(OR(AT222="",AT222=0),"",AV222/AT222))</f>
        <v>0</v>
      </c>
      <c r="AY222" s="20">
        <f>IF(B222="","",IF(OR(Y222="",Y222=0,AV222=""),"",ROUND(AV222/Y222,2)))</f>
        <v>0</v>
      </c>
      <c r="AZ222" s="20">
        <f>IF(B222="","",IF(OR(Y222="",Y222=0,AV222=""),"",ROUND((AV222+Z222)/Y222,2)))</f>
        <v>0</v>
      </c>
      <c r="BA222" s="20">
        <f>IF(B222="","",IF(1-AI222-AL222&lt;=0,"",ROUND((AH222+AM222+AK222)/(1-AI222-AL222),2)))</f>
        <v>0</v>
      </c>
      <c r="BB222" s="20">
        <f>IF(B222="","",IF(AT222="","",ROUND(AT222*2,2)))</f>
        <v>0</v>
      </c>
      <c r="BC222" s="20">
        <f>IF(B222="","",IF(AR222="","",ROUND(AR222*(1-WholesaleDiscount),2)))</f>
        <v>0</v>
      </c>
      <c r="BD222" s="20">
        <f>IF(B222="","",IF(BC222="","",ROUND(BC222-AH222-AM222,2)))</f>
        <v>0</v>
      </c>
      <c r="BE222" s="33">
        <f>IF(B222="","",IF(OR(BC222="",BC222=0),"",BD222/BC222))</f>
        <v>0</v>
      </c>
      <c r="BF222" s="20">
        <f>IF(B222="","",IFERROR(ROUND(AVERAGEIFS(Competitors!$F$5:$F$154,Competitors!$A$5:$A$154,A222),2),""))</f>
        <v>0</v>
      </c>
      <c r="BG222" s="33">
        <f>IF(B222="","",IF(OR(BF222="",BF222=0,AR222=""),"",AR222/BF222-1))</f>
        <v>0</v>
      </c>
      <c r="BH222" s="32">
        <f>IF(B222="","",SUMIFS(Sales!$D$5:$D$804,Sales!$C$5:$C$804,A222))</f>
        <v>0</v>
      </c>
      <c r="BI222" s="20">
        <f>IF(B222="","",ROUND(SUMIFS(Sales!$V$5:$V$804,Sales!$C$5:$C$804,A222),2))</f>
        <v>0</v>
      </c>
      <c r="BJ222" s="20">
        <f>IF(B222="","",ROUND(SUMIFS(Sales!$AG$5:$AG$804,Sales!$C$5:$C$804,A222),2))</f>
        <v>0</v>
      </c>
      <c r="BK222" s="33">
        <f>IF(B222="","",IF(OR(BI222="",BI222=0),"",BJ222/BI222))</f>
        <v>0</v>
      </c>
      <c r="BL222" s="17">
        <f>IF(B222="","",IF(SUMPRODUCT(MAX((Sales!$C$5:$C$804=A222)*Sales!$B$5:$B$804))=0,"",SUMPRODUCT(MAX((Sales!$C$5:$C$804=A222)*Sales!$B$5:$B$804))))</f>
        <v>0</v>
      </c>
      <c r="BM222" s="17">
        <f>IF(B222="","",IF(SUMPRODUCT(MAX(('Price History'!$B$5:$B$304=A222)*'Price History'!$A$5:$A$304))=0,IF(P222="","",P222),SUMPRODUCT(MAX(('Price History'!$B$5:$B$304=A222)*'Price History'!$A$5:$A$304))))</f>
        <v>0</v>
      </c>
      <c r="BN222" s="32">
        <f>IF(B222="","",IF(BM222="","",TodayDate-BM222))</f>
        <v>0</v>
      </c>
      <c r="BO222" s="32">
        <f>IF(B222="","",COUNTIFS($AV$5:$AV$304,"&gt;"&amp;AV222)+COUNTIFS($AV$5:AV222,AV222))</f>
        <v>0</v>
      </c>
      <c r="BP222" s="32">
        <f>IF(B222="","",COUNTIFS($AW$5:$AW$304,"&gt;"&amp;AW222)+COUNTIFS($AW$5:AW222,AW222))</f>
        <v>0</v>
      </c>
      <c r="BQ222" s="32">
        <f>IF(B222="","",COUNTIFS($BI$5:$BI$304,"&gt;"&amp;BI222)+COUNTIFS($BI$5:BI222,BI222))</f>
        <v>0</v>
      </c>
      <c r="BR222" s="32">
        <f>IF(B222="","",COUNTIFS($AY$5:$AY$304,"&gt;"&amp;AY222)+COUNTIFS($AY$5:AY222,AY222))</f>
        <v>0</v>
      </c>
      <c r="BS222" s="43">
        <f>IF(B222="","",IF(AH222=0,"Add - no costs entered yet",IF(AR222="","Check - no price yet",IF(AV222&lt;0,"Loss - every sale costs you money",IF(AND(AZ222&lt;&gt;"",AZ222&lt;MinimumWage),"Below - pays under minimum wage",IF(AW222&lt;MarginWarning,"Low margin - re-price it",IF(AND(AF222&lt;&gt;"",K222&lt;&gt;"",K222+AC222&gt;AF222),"Check - too heavy for that postage band",IF(AND(BN222&lt;&gt;"",BN222&gt;PriceReviewDays),"Due - price has not been reviewed",IF(AND(BG222&lt;&gt;"",BG222&gt;0.5),"Check - well above the market","OK")))))))) )</f>
        <v>0</v>
      </c>
    </row>
    <row r="223" spans="1:71">
      <c r="A223" s="38">
        <f>IF(B223="","",ProductPrefix&amp;TEXT(ROW()-4,"0000"))</f>
        <v>0</v>
      </c>
      <c r="S223" s="38">
        <f>IF(B223="","",IF(C223&lt;&gt;"",C223,UPPER(LEFT(IF(D223="","GEN",D223),3))&amp;"-"&amp;TEXT(ROW()-4,"000")))</f>
        <v>0</v>
      </c>
      <c r="T223" s="20">
        <f>IF(B223="","",ROUND(SUMIFS('Material Usage'!$M$5:$M$904,'Material Usage'!$A$5:$A$904,A223)+SUMIFS(Crochet!$AD$5:$AD$84,Crochet!$A$5:$A$84,A223)+SUMIFS(Jewelry!$AF$5:$AF$84,Jewelry!$A$5:$A$84,A223)+SUMIFS(Candles!$AF$5:$AF$84,Candles!$A$5:$A$84,A223)+SUMIFS(Clothing!$AB$5:$AB$84,Clothing!$A$5:$A$84,A223)+SUMIFS(Woodworking!$AC$5:$AC$84,Woodworking!$A$5:$A$84,A223)+SUMIFS(Digital!$X$5:$X$84,Digital!$A$5:$A$84,A223),2))</f>
        <v>0</v>
      </c>
      <c r="U223" s="20">
        <f>IF(B223="","",ROUND(SUMIFS(Labor!$O$5:$O$304,Labor!$A$5:$A$304,A223)+SUMIFS(Crochet!$AG$5:$AG$84,Crochet!$A$5:$A$84,A223)+SUMIFS(Jewelry!$AI$5:$AI$84,Jewelry!$A$5:$A$84,A223)+SUMIFS(Candles!$AI$5:$AI$84,Candles!$A$5:$A$84,A223)+SUMIFS(Clothing!$AE$5:$AE$84,Clothing!$A$5:$A$84,A223)+SUMIFS(Woodworking!$AF$5:$AF$84,Woodworking!$A$5:$A$84,A223)+SUMIFS(Digital!$Z$5:$Z$84,Digital!$A$5:$A$84,A223),2))</f>
        <v>0</v>
      </c>
      <c r="V223" s="36">
        <f>IF(B223="","",ROUND(SUMIFS(Labor!$P$5:$P$304,Labor!$A$5:$A$304,A223)+SUMIFS(Crochet!$AE$5:$AE$84,Crochet!$A$5:$A$84,A223)+SUMIFS(Jewelry!$AG$5:$AG$84,Jewelry!$A$5:$A$84,A223)+SUMIFS(Candles!$AG$5:$AG$84,Candles!$A$5:$A$84,A223)+SUMIFS(Clothing!$AC$5:$AC$84,Clothing!$A$5:$A$84,A223)+SUMIFS(Woodworking!$AD$5:$AD$84,Woodworking!$A$5:$A$84,A223)+SUMIFS(Digital!$Y$5:$Y$84,Digital!$A$5:$A$84,A223),1))</f>
        <v>0</v>
      </c>
      <c r="W223" s="41">
        <f>IF(B223="","",IFERROR(INDEX(DiffTimeFactors,MATCH(G223,DiffNames,0)),1))</f>
        <v>0</v>
      </c>
      <c r="X223" s="36">
        <f>IF(B223="","",ROUND(V223*W223,1))</f>
        <v>0</v>
      </c>
      <c r="Y223" s="41">
        <f>IF(B223="","",ROUND(X223/60,3))</f>
        <v>0</v>
      </c>
      <c r="Z223" s="20">
        <f>IF(B223="","",ROUND(U223*W223,2))</f>
        <v>0</v>
      </c>
      <c r="AA223" s="20">
        <f>IF(B223="","",ROUND(SUMIFS(Labor!$Q$5:$Q$304,Labor!$A$5:$A$304,A223)+SUMIFS(Crochet!$AH$5:$AH$84,Crochet!$A$5:$A$84,A223)+SUMIFS(Jewelry!$AJ$5:$AJ$84,Jewelry!$A$5:$A$84,A223)+SUMIFS(Candles!$AJ$5:$AJ$84,Candles!$A$5:$A$84,A223)+SUMIFS(Clothing!$AF$5:$AF$84,Clothing!$A$5:$A$84,A223)+SUMIFS(Woodworking!$AH$5:$AH$84,Woodworking!$A$5:$A$84,A223)+SUMIFS(Digital!$AA$5:$AA$84,Digital!$A$5:$A$84,A223),2))</f>
        <v>0</v>
      </c>
      <c r="AB223" s="20">
        <f>IF(B223="","",ROUND(IF(I223="Budget",PackBudget,IF(I223="Standard",PackStandard,IF(I223="Gift",PackGift,IF(I223="Premium",PackPremium,DefaultPackaging)))),2))</f>
        <v>0</v>
      </c>
      <c r="AC223" s="36">
        <f>IF(B223="","",IF(I223="Budget",PackWeightBudget,IF(I223="Standard",PackWeightStandard,IF(I223="Gift",PackWeightGift,IF(I223="Premium",PackWeightPremium,0)))))</f>
        <v>0</v>
      </c>
      <c r="AD223" s="20">
        <f>IF(B223="","",IFERROR(INDEX(Shipping!$M$5:$M$64,MATCH(J223,Shipping!$L$5:$L$64,0)),DefaultShipping))</f>
        <v>0</v>
      </c>
      <c r="AE223" s="20">
        <f>IF(B223="","",IFERROR(INDEX(Shipping!$F$5:$F$64,MATCH(J223,Shipping!$L$5:$L$64,0)),0))</f>
        <v>0</v>
      </c>
      <c r="AF223" s="36">
        <f>IF(B223="","",IFERROR(INDEX(Shipping!$C$5:$C$64,MATCH(J223,Shipping!$L$5:$L$64,0)),""))</f>
        <v>0</v>
      </c>
      <c r="AG223" s="20">
        <f>IF(B223="","",ROUND(MAX(0,AD223-AE223),2))</f>
        <v>0</v>
      </c>
      <c r="AH223" s="20">
        <f>IF(B223="","",ROUND(T223+Z223+AA223+AB223+AG223,2))</f>
        <v>0</v>
      </c>
      <c r="AI223" s="33">
        <f>IF(B223="","",IFERROR(INDEX(Channels!$S$5:$S$18,MATCH(IF(H223="",DefaultChannel,H223),Channels!$A$5:$A$18,0)),0))</f>
        <v>0</v>
      </c>
      <c r="AJ223" s="42">
        <f>IF(B223="","",IFERROR(INDEX(Channels!$O$5:$O$18,MATCH(IF(H223="",DefaultChannel,H223),Channels!$A$5:$A$18,0)),"No"))</f>
        <v>0</v>
      </c>
      <c r="AK223" s="20">
        <f>IF(B223="","",ROUND(IFERROR(INDEX(Channels!$T$5:$T$18,MATCH(IF(H223="",DefaultChannel,H223),Channels!$A$5:$A$18,0)),0)+IF(AJ223="Yes",AE223*AI223,0),4))</f>
        <v>0</v>
      </c>
      <c r="AL223" s="33">
        <f>IF(B223="","",IF(OverheadMethod="Share of revenue",IF(RevenueTargetMonth&lt;=0,0,OverheadMonthly/RevenueTargetMonth),0))</f>
        <v>0</v>
      </c>
      <c r="AM223" s="20">
        <f>IF(B223="","",IF(OverheadMethod="Per hour worked",ROUND(OverheadPerHour*Y223,2),IF(OR(OverheadMethod="Per unit made",OverheadMethod="Per order"),OverheadPerUnit,0)))</f>
        <v>0</v>
      </c>
      <c r="AN223" s="33">
        <f>IF(B223="","",IF(N223&lt;&gt;"",N223,TargetRetailMargin))</f>
        <v>0</v>
      </c>
      <c r="AO223" s="41">
        <f>IF(B223="","",1-AN223-AI223-AL223)</f>
        <v>0</v>
      </c>
      <c r="AP223" s="20">
        <f>IF(B223="","",IF(AO223&lt;=0,"",(AH223+AM223+AK223)/AO223))</f>
        <v>0</v>
      </c>
      <c r="AQ223" s="20">
        <f>IF(B223="","",IF(AP223="","Check the settings",ROUND(IF(RoundingRule="None",AP223,IF(RoundingRule="Nearest 0.99",MAX(0.99,CEILING(AP223,1)-0.01),IF(RoundingRule="Nearest 0.95",MAX(0.95,CEILING(AP223,1)-0.05),IF(RoundingRule="Nearest 0.50",CEILING(AP223,0.5),IF(RoundingRule="Nearest 1",CEILING(AP223,1),IF(RoundingRule="Nearest 5",CEILING(AP223,5),IF(RoundingRule="Up to whole 1",CEILING(AP223,1),IF(RoundingRule="Up to whole 5",CEILING(AP223,5),ROUND(AP223,2))))))))),2)))</f>
        <v>0</v>
      </c>
      <c r="AR223" s="20">
        <f>IF(B223="","",IF(M223&lt;&gt;"",M223,IF(ISNUMBER(AQ223),AQ223,"")))</f>
        <v>0</v>
      </c>
      <c r="AS223" s="20">
        <f>IF(B223="","",IF(AR223="","",ROUND(AM223+AR223*AL223,2)))</f>
        <v>0</v>
      </c>
      <c r="AT223" s="20">
        <f>IF(B223="","",IF(AR223="","",ROUND(AH223+AS223,2)))</f>
        <v>0</v>
      </c>
      <c r="AU223" s="20">
        <f>IF(B223="","",IF(AR223="","",ROUND(AR223*AI223+AK223,2)))</f>
        <v>0</v>
      </c>
      <c r="AV223" s="20">
        <f>IF(B223="","",IF(AR223="","",ROUND(AR223-AT223-AU223,2)))</f>
        <v>0</v>
      </c>
      <c r="AW223" s="33">
        <f>IF(B223="","",IF(OR(AR223="",AR223=0),"",AV223/AR223))</f>
        <v>0</v>
      </c>
      <c r="AX223" s="33">
        <f>IF(B223="","",IF(OR(AT223="",AT223=0),"",AV223/AT223))</f>
        <v>0</v>
      </c>
      <c r="AY223" s="20">
        <f>IF(B223="","",IF(OR(Y223="",Y223=0,AV223=""),"",ROUND(AV223/Y223,2)))</f>
        <v>0</v>
      </c>
      <c r="AZ223" s="20">
        <f>IF(B223="","",IF(OR(Y223="",Y223=0,AV223=""),"",ROUND((AV223+Z223)/Y223,2)))</f>
        <v>0</v>
      </c>
      <c r="BA223" s="20">
        <f>IF(B223="","",IF(1-AI223-AL223&lt;=0,"",ROUND((AH223+AM223+AK223)/(1-AI223-AL223),2)))</f>
        <v>0</v>
      </c>
      <c r="BB223" s="20">
        <f>IF(B223="","",IF(AT223="","",ROUND(AT223*2,2)))</f>
        <v>0</v>
      </c>
      <c r="BC223" s="20">
        <f>IF(B223="","",IF(AR223="","",ROUND(AR223*(1-WholesaleDiscount),2)))</f>
        <v>0</v>
      </c>
      <c r="BD223" s="20">
        <f>IF(B223="","",IF(BC223="","",ROUND(BC223-AH223-AM223,2)))</f>
        <v>0</v>
      </c>
      <c r="BE223" s="33">
        <f>IF(B223="","",IF(OR(BC223="",BC223=0),"",BD223/BC223))</f>
        <v>0</v>
      </c>
      <c r="BF223" s="20">
        <f>IF(B223="","",IFERROR(ROUND(AVERAGEIFS(Competitors!$F$5:$F$154,Competitors!$A$5:$A$154,A223),2),""))</f>
        <v>0</v>
      </c>
      <c r="BG223" s="33">
        <f>IF(B223="","",IF(OR(BF223="",BF223=0,AR223=""),"",AR223/BF223-1))</f>
        <v>0</v>
      </c>
      <c r="BH223" s="32">
        <f>IF(B223="","",SUMIFS(Sales!$D$5:$D$804,Sales!$C$5:$C$804,A223))</f>
        <v>0</v>
      </c>
      <c r="BI223" s="20">
        <f>IF(B223="","",ROUND(SUMIFS(Sales!$V$5:$V$804,Sales!$C$5:$C$804,A223),2))</f>
        <v>0</v>
      </c>
      <c r="BJ223" s="20">
        <f>IF(B223="","",ROUND(SUMIFS(Sales!$AG$5:$AG$804,Sales!$C$5:$C$804,A223),2))</f>
        <v>0</v>
      </c>
      <c r="BK223" s="33">
        <f>IF(B223="","",IF(OR(BI223="",BI223=0),"",BJ223/BI223))</f>
        <v>0</v>
      </c>
      <c r="BL223" s="17">
        <f>IF(B223="","",IF(SUMPRODUCT(MAX((Sales!$C$5:$C$804=A223)*Sales!$B$5:$B$804))=0,"",SUMPRODUCT(MAX((Sales!$C$5:$C$804=A223)*Sales!$B$5:$B$804))))</f>
        <v>0</v>
      </c>
      <c r="BM223" s="17">
        <f>IF(B223="","",IF(SUMPRODUCT(MAX(('Price History'!$B$5:$B$304=A223)*'Price History'!$A$5:$A$304))=0,IF(P223="","",P223),SUMPRODUCT(MAX(('Price History'!$B$5:$B$304=A223)*'Price History'!$A$5:$A$304))))</f>
        <v>0</v>
      </c>
      <c r="BN223" s="32">
        <f>IF(B223="","",IF(BM223="","",TodayDate-BM223))</f>
        <v>0</v>
      </c>
      <c r="BO223" s="32">
        <f>IF(B223="","",COUNTIFS($AV$5:$AV$304,"&gt;"&amp;AV223)+COUNTIFS($AV$5:AV223,AV223))</f>
        <v>0</v>
      </c>
      <c r="BP223" s="32">
        <f>IF(B223="","",COUNTIFS($AW$5:$AW$304,"&gt;"&amp;AW223)+COUNTIFS($AW$5:AW223,AW223))</f>
        <v>0</v>
      </c>
      <c r="BQ223" s="32">
        <f>IF(B223="","",COUNTIFS($BI$5:$BI$304,"&gt;"&amp;BI223)+COUNTIFS($BI$5:BI223,BI223))</f>
        <v>0</v>
      </c>
      <c r="BR223" s="32">
        <f>IF(B223="","",COUNTIFS($AY$5:$AY$304,"&gt;"&amp;AY223)+COUNTIFS($AY$5:AY223,AY223))</f>
        <v>0</v>
      </c>
      <c r="BS223" s="43">
        <f>IF(B223="","",IF(AH223=0,"Add - no costs entered yet",IF(AR223="","Check - no price yet",IF(AV223&lt;0,"Loss - every sale costs you money",IF(AND(AZ223&lt;&gt;"",AZ223&lt;MinimumWage),"Below - pays under minimum wage",IF(AW223&lt;MarginWarning,"Low margin - re-price it",IF(AND(AF223&lt;&gt;"",K223&lt;&gt;"",K223+AC223&gt;AF223),"Check - too heavy for that postage band",IF(AND(BN223&lt;&gt;"",BN223&gt;PriceReviewDays),"Due - price has not been reviewed",IF(AND(BG223&lt;&gt;"",BG223&gt;0.5),"Check - well above the market","OK")))))))) )</f>
        <v>0</v>
      </c>
    </row>
    <row r="224" spans="1:71">
      <c r="A224" s="38">
        <f>IF(B224="","",ProductPrefix&amp;TEXT(ROW()-4,"0000"))</f>
        <v>0</v>
      </c>
      <c r="S224" s="38">
        <f>IF(B224="","",IF(C224&lt;&gt;"",C224,UPPER(LEFT(IF(D224="","GEN",D224),3))&amp;"-"&amp;TEXT(ROW()-4,"000")))</f>
        <v>0</v>
      </c>
      <c r="T224" s="20">
        <f>IF(B224="","",ROUND(SUMIFS('Material Usage'!$M$5:$M$904,'Material Usage'!$A$5:$A$904,A224)+SUMIFS(Crochet!$AD$5:$AD$84,Crochet!$A$5:$A$84,A224)+SUMIFS(Jewelry!$AF$5:$AF$84,Jewelry!$A$5:$A$84,A224)+SUMIFS(Candles!$AF$5:$AF$84,Candles!$A$5:$A$84,A224)+SUMIFS(Clothing!$AB$5:$AB$84,Clothing!$A$5:$A$84,A224)+SUMIFS(Woodworking!$AC$5:$AC$84,Woodworking!$A$5:$A$84,A224)+SUMIFS(Digital!$X$5:$X$84,Digital!$A$5:$A$84,A224),2))</f>
        <v>0</v>
      </c>
      <c r="U224" s="20">
        <f>IF(B224="","",ROUND(SUMIFS(Labor!$O$5:$O$304,Labor!$A$5:$A$304,A224)+SUMIFS(Crochet!$AG$5:$AG$84,Crochet!$A$5:$A$84,A224)+SUMIFS(Jewelry!$AI$5:$AI$84,Jewelry!$A$5:$A$84,A224)+SUMIFS(Candles!$AI$5:$AI$84,Candles!$A$5:$A$84,A224)+SUMIFS(Clothing!$AE$5:$AE$84,Clothing!$A$5:$A$84,A224)+SUMIFS(Woodworking!$AF$5:$AF$84,Woodworking!$A$5:$A$84,A224)+SUMIFS(Digital!$Z$5:$Z$84,Digital!$A$5:$A$84,A224),2))</f>
        <v>0</v>
      </c>
      <c r="V224" s="36">
        <f>IF(B224="","",ROUND(SUMIFS(Labor!$P$5:$P$304,Labor!$A$5:$A$304,A224)+SUMIFS(Crochet!$AE$5:$AE$84,Crochet!$A$5:$A$84,A224)+SUMIFS(Jewelry!$AG$5:$AG$84,Jewelry!$A$5:$A$84,A224)+SUMIFS(Candles!$AG$5:$AG$84,Candles!$A$5:$A$84,A224)+SUMIFS(Clothing!$AC$5:$AC$84,Clothing!$A$5:$A$84,A224)+SUMIFS(Woodworking!$AD$5:$AD$84,Woodworking!$A$5:$A$84,A224)+SUMIFS(Digital!$Y$5:$Y$84,Digital!$A$5:$A$84,A224),1))</f>
        <v>0</v>
      </c>
      <c r="W224" s="41">
        <f>IF(B224="","",IFERROR(INDEX(DiffTimeFactors,MATCH(G224,DiffNames,0)),1))</f>
        <v>0</v>
      </c>
      <c r="X224" s="36">
        <f>IF(B224="","",ROUND(V224*W224,1))</f>
        <v>0</v>
      </c>
      <c r="Y224" s="41">
        <f>IF(B224="","",ROUND(X224/60,3))</f>
        <v>0</v>
      </c>
      <c r="Z224" s="20">
        <f>IF(B224="","",ROUND(U224*W224,2))</f>
        <v>0</v>
      </c>
      <c r="AA224" s="20">
        <f>IF(B224="","",ROUND(SUMIFS(Labor!$Q$5:$Q$304,Labor!$A$5:$A$304,A224)+SUMIFS(Crochet!$AH$5:$AH$84,Crochet!$A$5:$A$84,A224)+SUMIFS(Jewelry!$AJ$5:$AJ$84,Jewelry!$A$5:$A$84,A224)+SUMIFS(Candles!$AJ$5:$AJ$84,Candles!$A$5:$A$84,A224)+SUMIFS(Clothing!$AF$5:$AF$84,Clothing!$A$5:$A$84,A224)+SUMIFS(Woodworking!$AH$5:$AH$84,Woodworking!$A$5:$A$84,A224)+SUMIFS(Digital!$AA$5:$AA$84,Digital!$A$5:$A$84,A224),2))</f>
        <v>0</v>
      </c>
      <c r="AB224" s="20">
        <f>IF(B224="","",ROUND(IF(I224="Budget",PackBudget,IF(I224="Standard",PackStandard,IF(I224="Gift",PackGift,IF(I224="Premium",PackPremium,DefaultPackaging)))),2))</f>
        <v>0</v>
      </c>
      <c r="AC224" s="36">
        <f>IF(B224="","",IF(I224="Budget",PackWeightBudget,IF(I224="Standard",PackWeightStandard,IF(I224="Gift",PackWeightGift,IF(I224="Premium",PackWeightPremium,0)))))</f>
        <v>0</v>
      </c>
      <c r="AD224" s="20">
        <f>IF(B224="","",IFERROR(INDEX(Shipping!$M$5:$M$64,MATCH(J224,Shipping!$L$5:$L$64,0)),DefaultShipping))</f>
        <v>0</v>
      </c>
      <c r="AE224" s="20">
        <f>IF(B224="","",IFERROR(INDEX(Shipping!$F$5:$F$64,MATCH(J224,Shipping!$L$5:$L$64,0)),0))</f>
        <v>0</v>
      </c>
      <c r="AF224" s="36">
        <f>IF(B224="","",IFERROR(INDEX(Shipping!$C$5:$C$64,MATCH(J224,Shipping!$L$5:$L$64,0)),""))</f>
        <v>0</v>
      </c>
      <c r="AG224" s="20">
        <f>IF(B224="","",ROUND(MAX(0,AD224-AE224),2))</f>
        <v>0</v>
      </c>
      <c r="AH224" s="20">
        <f>IF(B224="","",ROUND(T224+Z224+AA224+AB224+AG224,2))</f>
        <v>0</v>
      </c>
      <c r="AI224" s="33">
        <f>IF(B224="","",IFERROR(INDEX(Channels!$S$5:$S$18,MATCH(IF(H224="",DefaultChannel,H224),Channels!$A$5:$A$18,0)),0))</f>
        <v>0</v>
      </c>
      <c r="AJ224" s="42">
        <f>IF(B224="","",IFERROR(INDEX(Channels!$O$5:$O$18,MATCH(IF(H224="",DefaultChannel,H224),Channels!$A$5:$A$18,0)),"No"))</f>
        <v>0</v>
      </c>
      <c r="AK224" s="20">
        <f>IF(B224="","",ROUND(IFERROR(INDEX(Channels!$T$5:$T$18,MATCH(IF(H224="",DefaultChannel,H224),Channels!$A$5:$A$18,0)),0)+IF(AJ224="Yes",AE224*AI224,0),4))</f>
        <v>0</v>
      </c>
      <c r="AL224" s="33">
        <f>IF(B224="","",IF(OverheadMethod="Share of revenue",IF(RevenueTargetMonth&lt;=0,0,OverheadMonthly/RevenueTargetMonth),0))</f>
        <v>0</v>
      </c>
      <c r="AM224" s="20">
        <f>IF(B224="","",IF(OverheadMethod="Per hour worked",ROUND(OverheadPerHour*Y224,2),IF(OR(OverheadMethod="Per unit made",OverheadMethod="Per order"),OverheadPerUnit,0)))</f>
        <v>0</v>
      </c>
      <c r="AN224" s="33">
        <f>IF(B224="","",IF(N224&lt;&gt;"",N224,TargetRetailMargin))</f>
        <v>0</v>
      </c>
      <c r="AO224" s="41">
        <f>IF(B224="","",1-AN224-AI224-AL224)</f>
        <v>0</v>
      </c>
      <c r="AP224" s="20">
        <f>IF(B224="","",IF(AO224&lt;=0,"",(AH224+AM224+AK224)/AO224))</f>
        <v>0</v>
      </c>
      <c r="AQ224" s="20">
        <f>IF(B224="","",IF(AP224="","Check the settings",ROUND(IF(RoundingRule="None",AP224,IF(RoundingRule="Nearest 0.99",MAX(0.99,CEILING(AP224,1)-0.01),IF(RoundingRule="Nearest 0.95",MAX(0.95,CEILING(AP224,1)-0.05),IF(RoundingRule="Nearest 0.50",CEILING(AP224,0.5),IF(RoundingRule="Nearest 1",CEILING(AP224,1),IF(RoundingRule="Nearest 5",CEILING(AP224,5),IF(RoundingRule="Up to whole 1",CEILING(AP224,1),IF(RoundingRule="Up to whole 5",CEILING(AP224,5),ROUND(AP224,2))))))))),2)))</f>
        <v>0</v>
      </c>
      <c r="AR224" s="20">
        <f>IF(B224="","",IF(M224&lt;&gt;"",M224,IF(ISNUMBER(AQ224),AQ224,"")))</f>
        <v>0</v>
      </c>
      <c r="AS224" s="20">
        <f>IF(B224="","",IF(AR224="","",ROUND(AM224+AR224*AL224,2)))</f>
        <v>0</v>
      </c>
      <c r="AT224" s="20">
        <f>IF(B224="","",IF(AR224="","",ROUND(AH224+AS224,2)))</f>
        <v>0</v>
      </c>
      <c r="AU224" s="20">
        <f>IF(B224="","",IF(AR224="","",ROUND(AR224*AI224+AK224,2)))</f>
        <v>0</v>
      </c>
      <c r="AV224" s="20">
        <f>IF(B224="","",IF(AR224="","",ROUND(AR224-AT224-AU224,2)))</f>
        <v>0</v>
      </c>
      <c r="AW224" s="33">
        <f>IF(B224="","",IF(OR(AR224="",AR224=0),"",AV224/AR224))</f>
        <v>0</v>
      </c>
      <c r="AX224" s="33">
        <f>IF(B224="","",IF(OR(AT224="",AT224=0),"",AV224/AT224))</f>
        <v>0</v>
      </c>
      <c r="AY224" s="20">
        <f>IF(B224="","",IF(OR(Y224="",Y224=0,AV224=""),"",ROUND(AV224/Y224,2)))</f>
        <v>0</v>
      </c>
      <c r="AZ224" s="20">
        <f>IF(B224="","",IF(OR(Y224="",Y224=0,AV224=""),"",ROUND((AV224+Z224)/Y224,2)))</f>
        <v>0</v>
      </c>
      <c r="BA224" s="20">
        <f>IF(B224="","",IF(1-AI224-AL224&lt;=0,"",ROUND((AH224+AM224+AK224)/(1-AI224-AL224),2)))</f>
        <v>0</v>
      </c>
      <c r="BB224" s="20">
        <f>IF(B224="","",IF(AT224="","",ROUND(AT224*2,2)))</f>
        <v>0</v>
      </c>
      <c r="BC224" s="20">
        <f>IF(B224="","",IF(AR224="","",ROUND(AR224*(1-WholesaleDiscount),2)))</f>
        <v>0</v>
      </c>
      <c r="BD224" s="20">
        <f>IF(B224="","",IF(BC224="","",ROUND(BC224-AH224-AM224,2)))</f>
        <v>0</v>
      </c>
      <c r="BE224" s="33">
        <f>IF(B224="","",IF(OR(BC224="",BC224=0),"",BD224/BC224))</f>
        <v>0</v>
      </c>
      <c r="BF224" s="20">
        <f>IF(B224="","",IFERROR(ROUND(AVERAGEIFS(Competitors!$F$5:$F$154,Competitors!$A$5:$A$154,A224),2),""))</f>
        <v>0</v>
      </c>
      <c r="BG224" s="33">
        <f>IF(B224="","",IF(OR(BF224="",BF224=0,AR224=""),"",AR224/BF224-1))</f>
        <v>0</v>
      </c>
      <c r="BH224" s="32">
        <f>IF(B224="","",SUMIFS(Sales!$D$5:$D$804,Sales!$C$5:$C$804,A224))</f>
        <v>0</v>
      </c>
      <c r="BI224" s="20">
        <f>IF(B224="","",ROUND(SUMIFS(Sales!$V$5:$V$804,Sales!$C$5:$C$804,A224),2))</f>
        <v>0</v>
      </c>
      <c r="BJ224" s="20">
        <f>IF(B224="","",ROUND(SUMIFS(Sales!$AG$5:$AG$804,Sales!$C$5:$C$804,A224),2))</f>
        <v>0</v>
      </c>
      <c r="BK224" s="33">
        <f>IF(B224="","",IF(OR(BI224="",BI224=0),"",BJ224/BI224))</f>
        <v>0</v>
      </c>
      <c r="BL224" s="17">
        <f>IF(B224="","",IF(SUMPRODUCT(MAX((Sales!$C$5:$C$804=A224)*Sales!$B$5:$B$804))=0,"",SUMPRODUCT(MAX((Sales!$C$5:$C$804=A224)*Sales!$B$5:$B$804))))</f>
        <v>0</v>
      </c>
      <c r="BM224" s="17">
        <f>IF(B224="","",IF(SUMPRODUCT(MAX(('Price History'!$B$5:$B$304=A224)*'Price History'!$A$5:$A$304))=0,IF(P224="","",P224),SUMPRODUCT(MAX(('Price History'!$B$5:$B$304=A224)*'Price History'!$A$5:$A$304))))</f>
        <v>0</v>
      </c>
      <c r="BN224" s="32">
        <f>IF(B224="","",IF(BM224="","",TodayDate-BM224))</f>
        <v>0</v>
      </c>
      <c r="BO224" s="32">
        <f>IF(B224="","",COUNTIFS($AV$5:$AV$304,"&gt;"&amp;AV224)+COUNTIFS($AV$5:AV224,AV224))</f>
        <v>0</v>
      </c>
      <c r="BP224" s="32">
        <f>IF(B224="","",COUNTIFS($AW$5:$AW$304,"&gt;"&amp;AW224)+COUNTIFS($AW$5:AW224,AW224))</f>
        <v>0</v>
      </c>
      <c r="BQ224" s="32">
        <f>IF(B224="","",COUNTIFS($BI$5:$BI$304,"&gt;"&amp;BI224)+COUNTIFS($BI$5:BI224,BI224))</f>
        <v>0</v>
      </c>
      <c r="BR224" s="32">
        <f>IF(B224="","",COUNTIFS($AY$5:$AY$304,"&gt;"&amp;AY224)+COUNTIFS($AY$5:AY224,AY224))</f>
        <v>0</v>
      </c>
      <c r="BS224" s="43">
        <f>IF(B224="","",IF(AH224=0,"Add - no costs entered yet",IF(AR224="","Check - no price yet",IF(AV224&lt;0,"Loss - every sale costs you money",IF(AND(AZ224&lt;&gt;"",AZ224&lt;MinimumWage),"Below - pays under minimum wage",IF(AW224&lt;MarginWarning,"Low margin - re-price it",IF(AND(AF224&lt;&gt;"",K224&lt;&gt;"",K224+AC224&gt;AF224),"Check - too heavy for that postage band",IF(AND(BN224&lt;&gt;"",BN224&gt;PriceReviewDays),"Due - price has not been reviewed",IF(AND(BG224&lt;&gt;"",BG224&gt;0.5),"Check - well above the market","OK")))))))) )</f>
        <v>0</v>
      </c>
    </row>
    <row r="225" spans="1:71">
      <c r="A225" s="38">
        <f>IF(B225="","",ProductPrefix&amp;TEXT(ROW()-4,"0000"))</f>
        <v>0</v>
      </c>
      <c r="S225" s="38">
        <f>IF(B225="","",IF(C225&lt;&gt;"",C225,UPPER(LEFT(IF(D225="","GEN",D225),3))&amp;"-"&amp;TEXT(ROW()-4,"000")))</f>
        <v>0</v>
      </c>
      <c r="T225" s="20">
        <f>IF(B225="","",ROUND(SUMIFS('Material Usage'!$M$5:$M$904,'Material Usage'!$A$5:$A$904,A225)+SUMIFS(Crochet!$AD$5:$AD$84,Crochet!$A$5:$A$84,A225)+SUMIFS(Jewelry!$AF$5:$AF$84,Jewelry!$A$5:$A$84,A225)+SUMIFS(Candles!$AF$5:$AF$84,Candles!$A$5:$A$84,A225)+SUMIFS(Clothing!$AB$5:$AB$84,Clothing!$A$5:$A$84,A225)+SUMIFS(Woodworking!$AC$5:$AC$84,Woodworking!$A$5:$A$84,A225)+SUMIFS(Digital!$X$5:$X$84,Digital!$A$5:$A$84,A225),2))</f>
        <v>0</v>
      </c>
      <c r="U225" s="20">
        <f>IF(B225="","",ROUND(SUMIFS(Labor!$O$5:$O$304,Labor!$A$5:$A$304,A225)+SUMIFS(Crochet!$AG$5:$AG$84,Crochet!$A$5:$A$84,A225)+SUMIFS(Jewelry!$AI$5:$AI$84,Jewelry!$A$5:$A$84,A225)+SUMIFS(Candles!$AI$5:$AI$84,Candles!$A$5:$A$84,A225)+SUMIFS(Clothing!$AE$5:$AE$84,Clothing!$A$5:$A$84,A225)+SUMIFS(Woodworking!$AF$5:$AF$84,Woodworking!$A$5:$A$84,A225)+SUMIFS(Digital!$Z$5:$Z$84,Digital!$A$5:$A$84,A225),2))</f>
        <v>0</v>
      </c>
      <c r="V225" s="36">
        <f>IF(B225="","",ROUND(SUMIFS(Labor!$P$5:$P$304,Labor!$A$5:$A$304,A225)+SUMIFS(Crochet!$AE$5:$AE$84,Crochet!$A$5:$A$84,A225)+SUMIFS(Jewelry!$AG$5:$AG$84,Jewelry!$A$5:$A$84,A225)+SUMIFS(Candles!$AG$5:$AG$84,Candles!$A$5:$A$84,A225)+SUMIFS(Clothing!$AC$5:$AC$84,Clothing!$A$5:$A$84,A225)+SUMIFS(Woodworking!$AD$5:$AD$84,Woodworking!$A$5:$A$84,A225)+SUMIFS(Digital!$Y$5:$Y$84,Digital!$A$5:$A$84,A225),1))</f>
        <v>0</v>
      </c>
      <c r="W225" s="41">
        <f>IF(B225="","",IFERROR(INDEX(DiffTimeFactors,MATCH(G225,DiffNames,0)),1))</f>
        <v>0</v>
      </c>
      <c r="X225" s="36">
        <f>IF(B225="","",ROUND(V225*W225,1))</f>
        <v>0</v>
      </c>
      <c r="Y225" s="41">
        <f>IF(B225="","",ROUND(X225/60,3))</f>
        <v>0</v>
      </c>
      <c r="Z225" s="20">
        <f>IF(B225="","",ROUND(U225*W225,2))</f>
        <v>0</v>
      </c>
      <c r="AA225" s="20">
        <f>IF(B225="","",ROUND(SUMIFS(Labor!$Q$5:$Q$304,Labor!$A$5:$A$304,A225)+SUMIFS(Crochet!$AH$5:$AH$84,Crochet!$A$5:$A$84,A225)+SUMIFS(Jewelry!$AJ$5:$AJ$84,Jewelry!$A$5:$A$84,A225)+SUMIFS(Candles!$AJ$5:$AJ$84,Candles!$A$5:$A$84,A225)+SUMIFS(Clothing!$AF$5:$AF$84,Clothing!$A$5:$A$84,A225)+SUMIFS(Woodworking!$AH$5:$AH$84,Woodworking!$A$5:$A$84,A225)+SUMIFS(Digital!$AA$5:$AA$84,Digital!$A$5:$A$84,A225),2))</f>
        <v>0</v>
      </c>
      <c r="AB225" s="20">
        <f>IF(B225="","",ROUND(IF(I225="Budget",PackBudget,IF(I225="Standard",PackStandard,IF(I225="Gift",PackGift,IF(I225="Premium",PackPremium,DefaultPackaging)))),2))</f>
        <v>0</v>
      </c>
      <c r="AC225" s="36">
        <f>IF(B225="","",IF(I225="Budget",PackWeightBudget,IF(I225="Standard",PackWeightStandard,IF(I225="Gift",PackWeightGift,IF(I225="Premium",PackWeightPremium,0)))))</f>
        <v>0</v>
      </c>
      <c r="AD225" s="20">
        <f>IF(B225="","",IFERROR(INDEX(Shipping!$M$5:$M$64,MATCH(J225,Shipping!$L$5:$L$64,0)),DefaultShipping))</f>
        <v>0</v>
      </c>
      <c r="AE225" s="20">
        <f>IF(B225="","",IFERROR(INDEX(Shipping!$F$5:$F$64,MATCH(J225,Shipping!$L$5:$L$64,0)),0))</f>
        <v>0</v>
      </c>
      <c r="AF225" s="36">
        <f>IF(B225="","",IFERROR(INDEX(Shipping!$C$5:$C$64,MATCH(J225,Shipping!$L$5:$L$64,0)),""))</f>
        <v>0</v>
      </c>
      <c r="AG225" s="20">
        <f>IF(B225="","",ROUND(MAX(0,AD225-AE225),2))</f>
        <v>0</v>
      </c>
      <c r="AH225" s="20">
        <f>IF(B225="","",ROUND(T225+Z225+AA225+AB225+AG225,2))</f>
        <v>0</v>
      </c>
      <c r="AI225" s="33">
        <f>IF(B225="","",IFERROR(INDEX(Channels!$S$5:$S$18,MATCH(IF(H225="",DefaultChannel,H225),Channels!$A$5:$A$18,0)),0))</f>
        <v>0</v>
      </c>
      <c r="AJ225" s="42">
        <f>IF(B225="","",IFERROR(INDEX(Channels!$O$5:$O$18,MATCH(IF(H225="",DefaultChannel,H225),Channels!$A$5:$A$18,0)),"No"))</f>
        <v>0</v>
      </c>
      <c r="AK225" s="20">
        <f>IF(B225="","",ROUND(IFERROR(INDEX(Channels!$T$5:$T$18,MATCH(IF(H225="",DefaultChannel,H225),Channels!$A$5:$A$18,0)),0)+IF(AJ225="Yes",AE225*AI225,0),4))</f>
        <v>0</v>
      </c>
      <c r="AL225" s="33">
        <f>IF(B225="","",IF(OverheadMethod="Share of revenue",IF(RevenueTargetMonth&lt;=0,0,OverheadMonthly/RevenueTargetMonth),0))</f>
        <v>0</v>
      </c>
      <c r="AM225" s="20">
        <f>IF(B225="","",IF(OverheadMethod="Per hour worked",ROUND(OverheadPerHour*Y225,2),IF(OR(OverheadMethod="Per unit made",OverheadMethod="Per order"),OverheadPerUnit,0)))</f>
        <v>0</v>
      </c>
      <c r="AN225" s="33">
        <f>IF(B225="","",IF(N225&lt;&gt;"",N225,TargetRetailMargin))</f>
        <v>0</v>
      </c>
      <c r="AO225" s="41">
        <f>IF(B225="","",1-AN225-AI225-AL225)</f>
        <v>0</v>
      </c>
      <c r="AP225" s="20">
        <f>IF(B225="","",IF(AO225&lt;=0,"",(AH225+AM225+AK225)/AO225))</f>
        <v>0</v>
      </c>
      <c r="AQ225" s="20">
        <f>IF(B225="","",IF(AP225="","Check the settings",ROUND(IF(RoundingRule="None",AP225,IF(RoundingRule="Nearest 0.99",MAX(0.99,CEILING(AP225,1)-0.01),IF(RoundingRule="Nearest 0.95",MAX(0.95,CEILING(AP225,1)-0.05),IF(RoundingRule="Nearest 0.50",CEILING(AP225,0.5),IF(RoundingRule="Nearest 1",CEILING(AP225,1),IF(RoundingRule="Nearest 5",CEILING(AP225,5),IF(RoundingRule="Up to whole 1",CEILING(AP225,1),IF(RoundingRule="Up to whole 5",CEILING(AP225,5),ROUND(AP225,2))))))))),2)))</f>
        <v>0</v>
      </c>
      <c r="AR225" s="20">
        <f>IF(B225="","",IF(M225&lt;&gt;"",M225,IF(ISNUMBER(AQ225),AQ225,"")))</f>
        <v>0</v>
      </c>
      <c r="AS225" s="20">
        <f>IF(B225="","",IF(AR225="","",ROUND(AM225+AR225*AL225,2)))</f>
        <v>0</v>
      </c>
      <c r="AT225" s="20">
        <f>IF(B225="","",IF(AR225="","",ROUND(AH225+AS225,2)))</f>
        <v>0</v>
      </c>
      <c r="AU225" s="20">
        <f>IF(B225="","",IF(AR225="","",ROUND(AR225*AI225+AK225,2)))</f>
        <v>0</v>
      </c>
      <c r="AV225" s="20">
        <f>IF(B225="","",IF(AR225="","",ROUND(AR225-AT225-AU225,2)))</f>
        <v>0</v>
      </c>
      <c r="AW225" s="33">
        <f>IF(B225="","",IF(OR(AR225="",AR225=0),"",AV225/AR225))</f>
        <v>0</v>
      </c>
      <c r="AX225" s="33">
        <f>IF(B225="","",IF(OR(AT225="",AT225=0),"",AV225/AT225))</f>
        <v>0</v>
      </c>
      <c r="AY225" s="20">
        <f>IF(B225="","",IF(OR(Y225="",Y225=0,AV225=""),"",ROUND(AV225/Y225,2)))</f>
        <v>0</v>
      </c>
      <c r="AZ225" s="20">
        <f>IF(B225="","",IF(OR(Y225="",Y225=0,AV225=""),"",ROUND((AV225+Z225)/Y225,2)))</f>
        <v>0</v>
      </c>
      <c r="BA225" s="20">
        <f>IF(B225="","",IF(1-AI225-AL225&lt;=0,"",ROUND((AH225+AM225+AK225)/(1-AI225-AL225),2)))</f>
        <v>0</v>
      </c>
      <c r="BB225" s="20">
        <f>IF(B225="","",IF(AT225="","",ROUND(AT225*2,2)))</f>
        <v>0</v>
      </c>
      <c r="BC225" s="20">
        <f>IF(B225="","",IF(AR225="","",ROUND(AR225*(1-WholesaleDiscount),2)))</f>
        <v>0</v>
      </c>
      <c r="BD225" s="20">
        <f>IF(B225="","",IF(BC225="","",ROUND(BC225-AH225-AM225,2)))</f>
        <v>0</v>
      </c>
      <c r="BE225" s="33">
        <f>IF(B225="","",IF(OR(BC225="",BC225=0),"",BD225/BC225))</f>
        <v>0</v>
      </c>
      <c r="BF225" s="20">
        <f>IF(B225="","",IFERROR(ROUND(AVERAGEIFS(Competitors!$F$5:$F$154,Competitors!$A$5:$A$154,A225),2),""))</f>
        <v>0</v>
      </c>
      <c r="BG225" s="33">
        <f>IF(B225="","",IF(OR(BF225="",BF225=0,AR225=""),"",AR225/BF225-1))</f>
        <v>0</v>
      </c>
      <c r="BH225" s="32">
        <f>IF(B225="","",SUMIFS(Sales!$D$5:$D$804,Sales!$C$5:$C$804,A225))</f>
        <v>0</v>
      </c>
      <c r="BI225" s="20">
        <f>IF(B225="","",ROUND(SUMIFS(Sales!$V$5:$V$804,Sales!$C$5:$C$804,A225),2))</f>
        <v>0</v>
      </c>
      <c r="BJ225" s="20">
        <f>IF(B225="","",ROUND(SUMIFS(Sales!$AG$5:$AG$804,Sales!$C$5:$C$804,A225),2))</f>
        <v>0</v>
      </c>
      <c r="BK225" s="33">
        <f>IF(B225="","",IF(OR(BI225="",BI225=0),"",BJ225/BI225))</f>
        <v>0</v>
      </c>
      <c r="BL225" s="17">
        <f>IF(B225="","",IF(SUMPRODUCT(MAX((Sales!$C$5:$C$804=A225)*Sales!$B$5:$B$804))=0,"",SUMPRODUCT(MAX((Sales!$C$5:$C$804=A225)*Sales!$B$5:$B$804))))</f>
        <v>0</v>
      </c>
      <c r="BM225" s="17">
        <f>IF(B225="","",IF(SUMPRODUCT(MAX(('Price History'!$B$5:$B$304=A225)*'Price History'!$A$5:$A$304))=0,IF(P225="","",P225),SUMPRODUCT(MAX(('Price History'!$B$5:$B$304=A225)*'Price History'!$A$5:$A$304))))</f>
        <v>0</v>
      </c>
      <c r="BN225" s="32">
        <f>IF(B225="","",IF(BM225="","",TodayDate-BM225))</f>
        <v>0</v>
      </c>
      <c r="BO225" s="32">
        <f>IF(B225="","",COUNTIFS($AV$5:$AV$304,"&gt;"&amp;AV225)+COUNTIFS($AV$5:AV225,AV225))</f>
        <v>0</v>
      </c>
      <c r="BP225" s="32">
        <f>IF(B225="","",COUNTIFS($AW$5:$AW$304,"&gt;"&amp;AW225)+COUNTIFS($AW$5:AW225,AW225))</f>
        <v>0</v>
      </c>
      <c r="BQ225" s="32">
        <f>IF(B225="","",COUNTIFS($BI$5:$BI$304,"&gt;"&amp;BI225)+COUNTIFS($BI$5:BI225,BI225))</f>
        <v>0</v>
      </c>
      <c r="BR225" s="32">
        <f>IF(B225="","",COUNTIFS($AY$5:$AY$304,"&gt;"&amp;AY225)+COUNTIFS($AY$5:AY225,AY225))</f>
        <v>0</v>
      </c>
      <c r="BS225" s="43">
        <f>IF(B225="","",IF(AH225=0,"Add - no costs entered yet",IF(AR225="","Check - no price yet",IF(AV225&lt;0,"Loss - every sale costs you money",IF(AND(AZ225&lt;&gt;"",AZ225&lt;MinimumWage),"Below - pays under minimum wage",IF(AW225&lt;MarginWarning,"Low margin - re-price it",IF(AND(AF225&lt;&gt;"",K225&lt;&gt;"",K225+AC225&gt;AF225),"Check - too heavy for that postage band",IF(AND(BN225&lt;&gt;"",BN225&gt;PriceReviewDays),"Due - price has not been reviewed",IF(AND(BG225&lt;&gt;"",BG225&gt;0.5),"Check - well above the market","OK")))))))) )</f>
        <v>0</v>
      </c>
    </row>
    <row r="226" spans="1:71">
      <c r="A226" s="38">
        <f>IF(B226="","",ProductPrefix&amp;TEXT(ROW()-4,"0000"))</f>
        <v>0</v>
      </c>
      <c r="S226" s="38">
        <f>IF(B226="","",IF(C226&lt;&gt;"",C226,UPPER(LEFT(IF(D226="","GEN",D226),3))&amp;"-"&amp;TEXT(ROW()-4,"000")))</f>
        <v>0</v>
      </c>
      <c r="T226" s="20">
        <f>IF(B226="","",ROUND(SUMIFS('Material Usage'!$M$5:$M$904,'Material Usage'!$A$5:$A$904,A226)+SUMIFS(Crochet!$AD$5:$AD$84,Crochet!$A$5:$A$84,A226)+SUMIFS(Jewelry!$AF$5:$AF$84,Jewelry!$A$5:$A$84,A226)+SUMIFS(Candles!$AF$5:$AF$84,Candles!$A$5:$A$84,A226)+SUMIFS(Clothing!$AB$5:$AB$84,Clothing!$A$5:$A$84,A226)+SUMIFS(Woodworking!$AC$5:$AC$84,Woodworking!$A$5:$A$84,A226)+SUMIFS(Digital!$X$5:$X$84,Digital!$A$5:$A$84,A226),2))</f>
        <v>0</v>
      </c>
      <c r="U226" s="20">
        <f>IF(B226="","",ROUND(SUMIFS(Labor!$O$5:$O$304,Labor!$A$5:$A$304,A226)+SUMIFS(Crochet!$AG$5:$AG$84,Crochet!$A$5:$A$84,A226)+SUMIFS(Jewelry!$AI$5:$AI$84,Jewelry!$A$5:$A$84,A226)+SUMIFS(Candles!$AI$5:$AI$84,Candles!$A$5:$A$84,A226)+SUMIFS(Clothing!$AE$5:$AE$84,Clothing!$A$5:$A$84,A226)+SUMIFS(Woodworking!$AF$5:$AF$84,Woodworking!$A$5:$A$84,A226)+SUMIFS(Digital!$Z$5:$Z$84,Digital!$A$5:$A$84,A226),2))</f>
        <v>0</v>
      </c>
      <c r="V226" s="36">
        <f>IF(B226="","",ROUND(SUMIFS(Labor!$P$5:$P$304,Labor!$A$5:$A$304,A226)+SUMIFS(Crochet!$AE$5:$AE$84,Crochet!$A$5:$A$84,A226)+SUMIFS(Jewelry!$AG$5:$AG$84,Jewelry!$A$5:$A$84,A226)+SUMIFS(Candles!$AG$5:$AG$84,Candles!$A$5:$A$84,A226)+SUMIFS(Clothing!$AC$5:$AC$84,Clothing!$A$5:$A$84,A226)+SUMIFS(Woodworking!$AD$5:$AD$84,Woodworking!$A$5:$A$84,A226)+SUMIFS(Digital!$Y$5:$Y$84,Digital!$A$5:$A$84,A226),1))</f>
        <v>0</v>
      </c>
      <c r="W226" s="41">
        <f>IF(B226="","",IFERROR(INDEX(DiffTimeFactors,MATCH(G226,DiffNames,0)),1))</f>
        <v>0</v>
      </c>
      <c r="X226" s="36">
        <f>IF(B226="","",ROUND(V226*W226,1))</f>
        <v>0</v>
      </c>
      <c r="Y226" s="41">
        <f>IF(B226="","",ROUND(X226/60,3))</f>
        <v>0</v>
      </c>
      <c r="Z226" s="20">
        <f>IF(B226="","",ROUND(U226*W226,2))</f>
        <v>0</v>
      </c>
      <c r="AA226" s="20">
        <f>IF(B226="","",ROUND(SUMIFS(Labor!$Q$5:$Q$304,Labor!$A$5:$A$304,A226)+SUMIFS(Crochet!$AH$5:$AH$84,Crochet!$A$5:$A$84,A226)+SUMIFS(Jewelry!$AJ$5:$AJ$84,Jewelry!$A$5:$A$84,A226)+SUMIFS(Candles!$AJ$5:$AJ$84,Candles!$A$5:$A$84,A226)+SUMIFS(Clothing!$AF$5:$AF$84,Clothing!$A$5:$A$84,A226)+SUMIFS(Woodworking!$AH$5:$AH$84,Woodworking!$A$5:$A$84,A226)+SUMIFS(Digital!$AA$5:$AA$84,Digital!$A$5:$A$84,A226),2))</f>
        <v>0</v>
      </c>
      <c r="AB226" s="20">
        <f>IF(B226="","",ROUND(IF(I226="Budget",PackBudget,IF(I226="Standard",PackStandard,IF(I226="Gift",PackGift,IF(I226="Premium",PackPremium,DefaultPackaging)))),2))</f>
        <v>0</v>
      </c>
      <c r="AC226" s="36">
        <f>IF(B226="","",IF(I226="Budget",PackWeightBudget,IF(I226="Standard",PackWeightStandard,IF(I226="Gift",PackWeightGift,IF(I226="Premium",PackWeightPremium,0)))))</f>
        <v>0</v>
      </c>
      <c r="AD226" s="20">
        <f>IF(B226="","",IFERROR(INDEX(Shipping!$M$5:$M$64,MATCH(J226,Shipping!$L$5:$L$64,0)),DefaultShipping))</f>
        <v>0</v>
      </c>
      <c r="AE226" s="20">
        <f>IF(B226="","",IFERROR(INDEX(Shipping!$F$5:$F$64,MATCH(J226,Shipping!$L$5:$L$64,0)),0))</f>
        <v>0</v>
      </c>
      <c r="AF226" s="36">
        <f>IF(B226="","",IFERROR(INDEX(Shipping!$C$5:$C$64,MATCH(J226,Shipping!$L$5:$L$64,0)),""))</f>
        <v>0</v>
      </c>
      <c r="AG226" s="20">
        <f>IF(B226="","",ROUND(MAX(0,AD226-AE226),2))</f>
        <v>0</v>
      </c>
      <c r="AH226" s="20">
        <f>IF(B226="","",ROUND(T226+Z226+AA226+AB226+AG226,2))</f>
        <v>0</v>
      </c>
      <c r="AI226" s="33">
        <f>IF(B226="","",IFERROR(INDEX(Channels!$S$5:$S$18,MATCH(IF(H226="",DefaultChannel,H226),Channels!$A$5:$A$18,0)),0))</f>
        <v>0</v>
      </c>
      <c r="AJ226" s="42">
        <f>IF(B226="","",IFERROR(INDEX(Channels!$O$5:$O$18,MATCH(IF(H226="",DefaultChannel,H226),Channels!$A$5:$A$18,0)),"No"))</f>
        <v>0</v>
      </c>
      <c r="AK226" s="20">
        <f>IF(B226="","",ROUND(IFERROR(INDEX(Channels!$T$5:$T$18,MATCH(IF(H226="",DefaultChannel,H226),Channels!$A$5:$A$18,0)),0)+IF(AJ226="Yes",AE226*AI226,0),4))</f>
        <v>0</v>
      </c>
      <c r="AL226" s="33">
        <f>IF(B226="","",IF(OverheadMethod="Share of revenue",IF(RevenueTargetMonth&lt;=0,0,OverheadMonthly/RevenueTargetMonth),0))</f>
        <v>0</v>
      </c>
      <c r="AM226" s="20">
        <f>IF(B226="","",IF(OverheadMethod="Per hour worked",ROUND(OverheadPerHour*Y226,2),IF(OR(OverheadMethod="Per unit made",OverheadMethod="Per order"),OverheadPerUnit,0)))</f>
        <v>0</v>
      </c>
      <c r="AN226" s="33">
        <f>IF(B226="","",IF(N226&lt;&gt;"",N226,TargetRetailMargin))</f>
        <v>0</v>
      </c>
      <c r="AO226" s="41">
        <f>IF(B226="","",1-AN226-AI226-AL226)</f>
        <v>0</v>
      </c>
      <c r="AP226" s="20">
        <f>IF(B226="","",IF(AO226&lt;=0,"",(AH226+AM226+AK226)/AO226))</f>
        <v>0</v>
      </c>
      <c r="AQ226" s="20">
        <f>IF(B226="","",IF(AP226="","Check the settings",ROUND(IF(RoundingRule="None",AP226,IF(RoundingRule="Nearest 0.99",MAX(0.99,CEILING(AP226,1)-0.01),IF(RoundingRule="Nearest 0.95",MAX(0.95,CEILING(AP226,1)-0.05),IF(RoundingRule="Nearest 0.50",CEILING(AP226,0.5),IF(RoundingRule="Nearest 1",CEILING(AP226,1),IF(RoundingRule="Nearest 5",CEILING(AP226,5),IF(RoundingRule="Up to whole 1",CEILING(AP226,1),IF(RoundingRule="Up to whole 5",CEILING(AP226,5),ROUND(AP226,2))))))))),2)))</f>
        <v>0</v>
      </c>
      <c r="AR226" s="20">
        <f>IF(B226="","",IF(M226&lt;&gt;"",M226,IF(ISNUMBER(AQ226),AQ226,"")))</f>
        <v>0</v>
      </c>
      <c r="AS226" s="20">
        <f>IF(B226="","",IF(AR226="","",ROUND(AM226+AR226*AL226,2)))</f>
        <v>0</v>
      </c>
      <c r="AT226" s="20">
        <f>IF(B226="","",IF(AR226="","",ROUND(AH226+AS226,2)))</f>
        <v>0</v>
      </c>
      <c r="AU226" s="20">
        <f>IF(B226="","",IF(AR226="","",ROUND(AR226*AI226+AK226,2)))</f>
        <v>0</v>
      </c>
      <c r="AV226" s="20">
        <f>IF(B226="","",IF(AR226="","",ROUND(AR226-AT226-AU226,2)))</f>
        <v>0</v>
      </c>
      <c r="AW226" s="33">
        <f>IF(B226="","",IF(OR(AR226="",AR226=0),"",AV226/AR226))</f>
        <v>0</v>
      </c>
      <c r="AX226" s="33">
        <f>IF(B226="","",IF(OR(AT226="",AT226=0),"",AV226/AT226))</f>
        <v>0</v>
      </c>
      <c r="AY226" s="20">
        <f>IF(B226="","",IF(OR(Y226="",Y226=0,AV226=""),"",ROUND(AV226/Y226,2)))</f>
        <v>0</v>
      </c>
      <c r="AZ226" s="20">
        <f>IF(B226="","",IF(OR(Y226="",Y226=0,AV226=""),"",ROUND((AV226+Z226)/Y226,2)))</f>
        <v>0</v>
      </c>
      <c r="BA226" s="20">
        <f>IF(B226="","",IF(1-AI226-AL226&lt;=0,"",ROUND((AH226+AM226+AK226)/(1-AI226-AL226),2)))</f>
        <v>0</v>
      </c>
      <c r="BB226" s="20">
        <f>IF(B226="","",IF(AT226="","",ROUND(AT226*2,2)))</f>
        <v>0</v>
      </c>
      <c r="BC226" s="20">
        <f>IF(B226="","",IF(AR226="","",ROUND(AR226*(1-WholesaleDiscount),2)))</f>
        <v>0</v>
      </c>
      <c r="BD226" s="20">
        <f>IF(B226="","",IF(BC226="","",ROUND(BC226-AH226-AM226,2)))</f>
        <v>0</v>
      </c>
      <c r="BE226" s="33">
        <f>IF(B226="","",IF(OR(BC226="",BC226=0),"",BD226/BC226))</f>
        <v>0</v>
      </c>
      <c r="BF226" s="20">
        <f>IF(B226="","",IFERROR(ROUND(AVERAGEIFS(Competitors!$F$5:$F$154,Competitors!$A$5:$A$154,A226),2),""))</f>
        <v>0</v>
      </c>
      <c r="BG226" s="33">
        <f>IF(B226="","",IF(OR(BF226="",BF226=0,AR226=""),"",AR226/BF226-1))</f>
        <v>0</v>
      </c>
      <c r="BH226" s="32">
        <f>IF(B226="","",SUMIFS(Sales!$D$5:$D$804,Sales!$C$5:$C$804,A226))</f>
        <v>0</v>
      </c>
      <c r="BI226" s="20">
        <f>IF(B226="","",ROUND(SUMIFS(Sales!$V$5:$V$804,Sales!$C$5:$C$804,A226),2))</f>
        <v>0</v>
      </c>
      <c r="BJ226" s="20">
        <f>IF(B226="","",ROUND(SUMIFS(Sales!$AG$5:$AG$804,Sales!$C$5:$C$804,A226),2))</f>
        <v>0</v>
      </c>
      <c r="BK226" s="33">
        <f>IF(B226="","",IF(OR(BI226="",BI226=0),"",BJ226/BI226))</f>
        <v>0</v>
      </c>
      <c r="BL226" s="17">
        <f>IF(B226="","",IF(SUMPRODUCT(MAX((Sales!$C$5:$C$804=A226)*Sales!$B$5:$B$804))=0,"",SUMPRODUCT(MAX((Sales!$C$5:$C$804=A226)*Sales!$B$5:$B$804))))</f>
        <v>0</v>
      </c>
      <c r="BM226" s="17">
        <f>IF(B226="","",IF(SUMPRODUCT(MAX(('Price History'!$B$5:$B$304=A226)*'Price History'!$A$5:$A$304))=0,IF(P226="","",P226),SUMPRODUCT(MAX(('Price History'!$B$5:$B$304=A226)*'Price History'!$A$5:$A$304))))</f>
        <v>0</v>
      </c>
      <c r="BN226" s="32">
        <f>IF(B226="","",IF(BM226="","",TodayDate-BM226))</f>
        <v>0</v>
      </c>
      <c r="BO226" s="32">
        <f>IF(B226="","",COUNTIFS($AV$5:$AV$304,"&gt;"&amp;AV226)+COUNTIFS($AV$5:AV226,AV226))</f>
        <v>0</v>
      </c>
      <c r="BP226" s="32">
        <f>IF(B226="","",COUNTIFS($AW$5:$AW$304,"&gt;"&amp;AW226)+COUNTIFS($AW$5:AW226,AW226))</f>
        <v>0</v>
      </c>
      <c r="BQ226" s="32">
        <f>IF(B226="","",COUNTIFS($BI$5:$BI$304,"&gt;"&amp;BI226)+COUNTIFS($BI$5:BI226,BI226))</f>
        <v>0</v>
      </c>
      <c r="BR226" s="32">
        <f>IF(B226="","",COUNTIFS($AY$5:$AY$304,"&gt;"&amp;AY226)+COUNTIFS($AY$5:AY226,AY226))</f>
        <v>0</v>
      </c>
      <c r="BS226" s="43">
        <f>IF(B226="","",IF(AH226=0,"Add - no costs entered yet",IF(AR226="","Check - no price yet",IF(AV226&lt;0,"Loss - every sale costs you money",IF(AND(AZ226&lt;&gt;"",AZ226&lt;MinimumWage),"Below - pays under minimum wage",IF(AW226&lt;MarginWarning,"Low margin - re-price it",IF(AND(AF226&lt;&gt;"",K226&lt;&gt;"",K226+AC226&gt;AF226),"Check - too heavy for that postage band",IF(AND(BN226&lt;&gt;"",BN226&gt;PriceReviewDays),"Due - price has not been reviewed",IF(AND(BG226&lt;&gt;"",BG226&gt;0.5),"Check - well above the market","OK")))))))) )</f>
        <v>0</v>
      </c>
    </row>
    <row r="227" spans="1:71">
      <c r="A227" s="38">
        <f>IF(B227="","",ProductPrefix&amp;TEXT(ROW()-4,"0000"))</f>
        <v>0</v>
      </c>
      <c r="S227" s="38">
        <f>IF(B227="","",IF(C227&lt;&gt;"",C227,UPPER(LEFT(IF(D227="","GEN",D227),3))&amp;"-"&amp;TEXT(ROW()-4,"000")))</f>
        <v>0</v>
      </c>
      <c r="T227" s="20">
        <f>IF(B227="","",ROUND(SUMIFS('Material Usage'!$M$5:$M$904,'Material Usage'!$A$5:$A$904,A227)+SUMIFS(Crochet!$AD$5:$AD$84,Crochet!$A$5:$A$84,A227)+SUMIFS(Jewelry!$AF$5:$AF$84,Jewelry!$A$5:$A$84,A227)+SUMIFS(Candles!$AF$5:$AF$84,Candles!$A$5:$A$84,A227)+SUMIFS(Clothing!$AB$5:$AB$84,Clothing!$A$5:$A$84,A227)+SUMIFS(Woodworking!$AC$5:$AC$84,Woodworking!$A$5:$A$84,A227)+SUMIFS(Digital!$X$5:$X$84,Digital!$A$5:$A$84,A227),2))</f>
        <v>0</v>
      </c>
      <c r="U227" s="20">
        <f>IF(B227="","",ROUND(SUMIFS(Labor!$O$5:$O$304,Labor!$A$5:$A$304,A227)+SUMIFS(Crochet!$AG$5:$AG$84,Crochet!$A$5:$A$84,A227)+SUMIFS(Jewelry!$AI$5:$AI$84,Jewelry!$A$5:$A$84,A227)+SUMIFS(Candles!$AI$5:$AI$84,Candles!$A$5:$A$84,A227)+SUMIFS(Clothing!$AE$5:$AE$84,Clothing!$A$5:$A$84,A227)+SUMIFS(Woodworking!$AF$5:$AF$84,Woodworking!$A$5:$A$84,A227)+SUMIFS(Digital!$Z$5:$Z$84,Digital!$A$5:$A$84,A227),2))</f>
        <v>0</v>
      </c>
      <c r="V227" s="36">
        <f>IF(B227="","",ROUND(SUMIFS(Labor!$P$5:$P$304,Labor!$A$5:$A$304,A227)+SUMIFS(Crochet!$AE$5:$AE$84,Crochet!$A$5:$A$84,A227)+SUMIFS(Jewelry!$AG$5:$AG$84,Jewelry!$A$5:$A$84,A227)+SUMIFS(Candles!$AG$5:$AG$84,Candles!$A$5:$A$84,A227)+SUMIFS(Clothing!$AC$5:$AC$84,Clothing!$A$5:$A$84,A227)+SUMIFS(Woodworking!$AD$5:$AD$84,Woodworking!$A$5:$A$84,A227)+SUMIFS(Digital!$Y$5:$Y$84,Digital!$A$5:$A$84,A227),1))</f>
        <v>0</v>
      </c>
      <c r="W227" s="41">
        <f>IF(B227="","",IFERROR(INDEX(DiffTimeFactors,MATCH(G227,DiffNames,0)),1))</f>
        <v>0</v>
      </c>
      <c r="X227" s="36">
        <f>IF(B227="","",ROUND(V227*W227,1))</f>
        <v>0</v>
      </c>
      <c r="Y227" s="41">
        <f>IF(B227="","",ROUND(X227/60,3))</f>
        <v>0</v>
      </c>
      <c r="Z227" s="20">
        <f>IF(B227="","",ROUND(U227*W227,2))</f>
        <v>0</v>
      </c>
      <c r="AA227" s="20">
        <f>IF(B227="","",ROUND(SUMIFS(Labor!$Q$5:$Q$304,Labor!$A$5:$A$304,A227)+SUMIFS(Crochet!$AH$5:$AH$84,Crochet!$A$5:$A$84,A227)+SUMIFS(Jewelry!$AJ$5:$AJ$84,Jewelry!$A$5:$A$84,A227)+SUMIFS(Candles!$AJ$5:$AJ$84,Candles!$A$5:$A$84,A227)+SUMIFS(Clothing!$AF$5:$AF$84,Clothing!$A$5:$A$84,A227)+SUMIFS(Woodworking!$AH$5:$AH$84,Woodworking!$A$5:$A$84,A227)+SUMIFS(Digital!$AA$5:$AA$84,Digital!$A$5:$A$84,A227),2))</f>
        <v>0</v>
      </c>
      <c r="AB227" s="20">
        <f>IF(B227="","",ROUND(IF(I227="Budget",PackBudget,IF(I227="Standard",PackStandard,IF(I227="Gift",PackGift,IF(I227="Premium",PackPremium,DefaultPackaging)))),2))</f>
        <v>0</v>
      </c>
      <c r="AC227" s="36">
        <f>IF(B227="","",IF(I227="Budget",PackWeightBudget,IF(I227="Standard",PackWeightStandard,IF(I227="Gift",PackWeightGift,IF(I227="Premium",PackWeightPremium,0)))))</f>
        <v>0</v>
      </c>
      <c r="AD227" s="20">
        <f>IF(B227="","",IFERROR(INDEX(Shipping!$M$5:$M$64,MATCH(J227,Shipping!$L$5:$L$64,0)),DefaultShipping))</f>
        <v>0</v>
      </c>
      <c r="AE227" s="20">
        <f>IF(B227="","",IFERROR(INDEX(Shipping!$F$5:$F$64,MATCH(J227,Shipping!$L$5:$L$64,0)),0))</f>
        <v>0</v>
      </c>
      <c r="AF227" s="36">
        <f>IF(B227="","",IFERROR(INDEX(Shipping!$C$5:$C$64,MATCH(J227,Shipping!$L$5:$L$64,0)),""))</f>
        <v>0</v>
      </c>
      <c r="AG227" s="20">
        <f>IF(B227="","",ROUND(MAX(0,AD227-AE227),2))</f>
        <v>0</v>
      </c>
      <c r="AH227" s="20">
        <f>IF(B227="","",ROUND(T227+Z227+AA227+AB227+AG227,2))</f>
        <v>0</v>
      </c>
      <c r="AI227" s="33">
        <f>IF(B227="","",IFERROR(INDEX(Channels!$S$5:$S$18,MATCH(IF(H227="",DefaultChannel,H227),Channels!$A$5:$A$18,0)),0))</f>
        <v>0</v>
      </c>
      <c r="AJ227" s="42">
        <f>IF(B227="","",IFERROR(INDEX(Channels!$O$5:$O$18,MATCH(IF(H227="",DefaultChannel,H227),Channels!$A$5:$A$18,0)),"No"))</f>
        <v>0</v>
      </c>
      <c r="AK227" s="20">
        <f>IF(B227="","",ROUND(IFERROR(INDEX(Channels!$T$5:$T$18,MATCH(IF(H227="",DefaultChannel,H227),Channels!$A$5:$A$18,0)),0)+IF(AJ227="Yes",AE227*AI227,0),4))</f>
        <v>0</v>
      </c>
      <c r="AL227" s="33">
        <f>IF(B227="","",IF(OverheadMethod="Share of revenue",IF(RevenueTargetMonth&lt;=0,0,OverheadMonthly/RevenueTargetMonth),0))</f>
        <v>0</v>
      </c>
      <c r="AM227" s="20">
        <f>IF(B227="","",IF(OverheadMethod="Per hour worked",ROUND(OverheadPerHour*Y227,2),IF(OR(OverheadMethod="Per unit made",OverheadMethod="Per order"),OverheadPerUnit,0)))</f>
        <v>0</v>
      </c>
      <c r="AN227" s="33">
        <f>IF(B227="","",IF(N227&lt;&gt;"",N227,TargetRetailMargin))</f>
        <v>0</v>
      </c>
      <c r="AO227" s="41">
        <f>IF(B227="","",1-AN227-AI227-AL227)</f>
        <v>0</v>
      </c>
      <c r="AP227" s="20">
        <f>IF(B227="","",IF(AO227&lt;=0,"",(AH227+AM227+AK227)/AO227))</f>
        <v>0</v>
      </c>
      <c r="AQ227" s="20">
        <f>IF(B227="","",IF(AP227="","Check the settings",ROUND(IF(RoundingRule="None",AP227,IF(RoundingRule="Nearest 0.99",MAX(0.99,CEILING(AP227,1)-0.01),IF(RoundingRule="Nearest 0.95",MAX(0.95,CEILING(AP227,1)-0.05),IF(RoundingRule="Nearest 0.50",CEILING(AP227,0.5),IF(RoundingRule="Nearest 1",CEILING(AP227,1),IF(RoundingRule="Nearest 5",CEILING(AP227,5),IF(RoundingRule="Up to whole 1",CEILING(AP227,1),IF(RoundingRule="Up to whole 5",CEILING(AP227,5),ROUND(AP227,2))))))))),2)))</f>
        <v>0</v>
      </c>
      <c r="AR227" s="20">
        <f>IF(B227="","",IF(M227&lt;&gt;"",M227,IF(ISNUMBER(AQ227),AQ227,"")))</f>
        <v>0</v>
      </c>
      <c r="AS227" s="20">
        <f>IF(B227="","",IF(AR227="","",ROUND(AM227+AR227*AL227,2)))</f>
        <v>0</v>
      </c>
      <c r="AT227" s="20">
        <f>IF(B227="","",IF(AR227="","",ROUND(AH227+AS227,2)))</f>
        <v>0</v>
      </c>
      <c r="AU227" s="20">
        <f>IF(B227="","",IF(AR227="","",ROUND(AR227*AI227+AK227,2)))</f>
        <v>0</v>
      </c>
      <c r="AV227" s="20">
        <f>IF(B227="","",IF(AR227="","",ROUND(AR227-AT227-AU227,2)))</f>
        <v>0</v>
      </c>
      <c r="AW227" s="33">
        <f>IF(B227="","",IF(OR(AR227="",AR227=0),"",AV227/AR227))</f>
        <v>0</v>
      </c>
      <c r="AX227" s="33">
        <f>IF(B227="","",IF(OR(AT227="",AT227=0),"",AV227/AT227))</f>
        <v>0</v>
      </c>
      <c r="AY227" s="20">
        <f>IF(B227="","",IF(OR(Y227="",Y227=0,AV227=""),"",ROUND(AV227/Y227,2)))</f>
        <v>0</v>
      </c>
      <c r="AZ227" s="20">
        <f>IF(B227="","",IF(OR(Y227="",Y227=0,AV227=""),"",ROUND((AV227+Z227)/Y227,2)))</f>
        <v>0</v>
      </c>
      <c r="BA227" s="20">
        <f>IF(B227="","",IF(1-AI227-AL227&lt;=0,"",ROUND((AH227+AM227+AK227)/(1-AI227-AL227),2)))</f>
        <v>0</v>
      </c>
      <c r="BB227" s="20">
        <f>IF(B227="","",IF(AT227="","",ROUND(AT227*2,2)))</f>
        <v>0</v>
      </c>
      <c r="BC227" s="20">
        <f>IF(B227="","",IF(AR227="","",ROUND(AR227*(1-WholesaleDiscount),2)))</f>
        <v>0</v>
      </c>
      <c r="BD227" s="20">
        <f>IF(B227="","",IF(BC227="","",ROUND(BC227-AH227-AM227,2)))</f>
        <v>0</v>
      </c>
      <c r="BE227" s="33">
        <f>IF(B227="","",IF(OR(BC227="",BC227=0),"",BD227/BC227))</f>
        <v>0</v>
      </c>
      <c r="BF227" s="20">
        <f>IF(B227="","",IFERROR(ROUND(AVERAGEIFS(Competitors!$F$5:$F$154,Competitors!$A$5:$A$154,A227),2),""))</f>
        <v>0</v>
      </c>
      <c r="BG227" s="33">
        <f>IF(B227="","",IF(OR(BF227="",BF227=0,AR227=""),"",AR227/BF227-1))</f>
        <v>0</v>
      </c>
      <c r="BH227" s="32">
        <f>IF(B227="","",SUMIFS(Sales!$D$5:$D$804,Sales!$C$5:$C$804,A227))</f>
        <v>0</v>
      </c>
      <c r="BI227" s="20">
        <f>IF(B227="","",ROUND(SUMIFS(Sales!$V$5:$V$804,Sales!$C$5:$C$804,A227),2))</f>
        <v>0</v>
      </c>
      <c r="BJ227" s="20">
        <f>IF(B227="","",ROUND(SUMIFS(Sales!$AG$5:$AG$804,Sales!$C$5:$C$804,A227),2))</f>
        <v>0</v>
      </c>
      <c r="BK227" s="33">
        <f>IF(B227="","",IF(OR(BI227="",BI227=0),"",BJ227/BI227))</f>
        <v>0</v>
      </c>
      <c r="BL227" s="17">
        <f>IF(B227="","",IF(SUMPRODUCT(MAX((Sales!$C$5:$C$804=A227)*Sales!$B$5:$B$804))=0,"",SUMPRODUCT(MAX((Sales!$C$5:$C$804=A227)*Sales!$B$5:$B$804))))</f>
        <v>0</v>
      </c>
      <c r="BM227" s="17">
        <f>IF(B227="","",IF(SUMPRODUCT(MAX(('Price History'!$B$5:$B$304=A227)*'Price History'!$A$5:$A$304))=0,IF(P227="","",P227),SUMPRODUCT(MAX(('Price History'!$B$5:$B$304=A227)*'Price History'!$A$5:$A$304))))</f>
        <v>0</v>
      </c>
      <c r="BN227" s="32">
        <f>IF(B227="","",IF(BM227="","",TodayDate-BM227))</f>
        <v>0</v>
      </c>
      <c r="BO227" s="32">
        <f>IF(B227="","",COUNTIFS($AV$5:$AV$304,"&gt;"&amp;AV227)+COUNTIFS($AV$5:AV227,AV227))</f>
        <v>0</v>
      </c>
      <c r="BP227" s="32">
        <f>IF(B227="","",COUNTIFS($AW$5:$AW$304,"&gt;"&amp;AW227)+COUNTIFS($AW$5:AW227,AW227))</f>
        <v>0</v>
      </c>
      <c r="BQ227" s="32">
        <f>IF(B227="","",COUNTIFS($BI$5:$BI$304,"&gt;"&amp;BI227)+COUNTIFS($BI$5:BI227,BI227))</f>
        <v>0</v>
      </c>
      <c r="BR227" s="32">
        <f>IF(B227="","",COUNTIFS($AY$5:$AY$304,"&gt;"&amp;AY227)+COUNTIFS($AY$5:AY227,AY227))</f>
        <v>0</v>
      </c>
      <c r="BS227" s="43">
        <f>IF(B227="","",IF(AH227=0,"Add - no costs entered yet",IF(AR227="","Check - no price yet",IF(AV227&lt;0,"Loss - every sale costs you money",IF(AND(AZ227&lt;&gt;"",AZ227&lt;MinimumWage),"Below - pays under minimum wage",IF(AW227&lt;MarginWarning,"Low margin - re-price it",IF(AND(AF227&lt;&gt;"",K227&lt;&gt;"",K227+AC227&gt;AF227),"Check - too heavy for that postage band",IF(AND(BN227&lt;&gt;"",BN227&gt;PriceReviewDays),"Due - price has not been reviewed",IF(AND(BG227&lt;&gt;"",BG227&gt;0.5),"Check - well above the market","OK")))))))) )</f>
        <v>0</v>
      </c>
    </row>
    <row r="228" spans="1:71">
      <c r="A228" s="38">
        <f>IF(B228="","",ProductPrefix&amp;TEXT(ROW()-4,"0000"))</f>
        <v>0</v>
      </c>
      <c r="S228" s="38">
        <f>IF(B228="","",IF(C228&lt;&gt;"",C228,UPPER(LEFT(IF(D228="","GEN",D228),3))&amp;"-"&amp;TEXT(ROW()-4,"000")))</f>
        <v>0</v>
      </c>
      <c r="T228" s="20">
        <f>IF(B228="","",ROUND(SUMIFS('Material Usage'!$M$5:$M$904,'Material Usage'!$A$5:$A$904,A228)+SUMIFS(Crochet!$AD$5:$AD$84,Crochet!$A$5:$A$84,A228)+SUMIFS(Jewelry!$AF$5:$AF$84,Jewelry!$A$5:$A$84,A228)+SUMIFS(Candles!$AF$5:$AF$84,Candles!$A$5:$A$84,A228)+SUMIFS(Clothing!$AB$5:$AB$84,Clothing!$A$5:$A$84,A228)+SUMIFS(Woodworking!$AC$5:$AC$84,Woodworking!$A$5:$A$84,A228)+SUMIFS(Digital!$X$5:$X$84,Digital!$A$5:$A$84,A228),2))</f>
        <v>0</v>
      </c>
      <c r="U228" s="20">
        <f>IF(B228="","",ROUND(SUMIFS(Labor!$O$5:$O$304,Labor!$A$5:$A$304,A228)+SUMIFS(Crochet!$AG$5:$AG$84,Crochet!$A$5:$A$84,A228)+SUMIFS(Jewelry!$AI$5:$AI$84,Jewelry!$A$5:$A$84,A228)+SUMIFS(Candles!$AI$5:$AI$84,Candles!$A$5:$A$84,A228)+SUMIFS(Clothing!$AE$5:$AE$84,Clothing!$A$5:$A$84,A228)+SUMIFS(Woodworking!$AF$5:$AF$84,Woodworking!$A$5:$A$84,A228)+SUMIFS(Digital!$Z$5:$Z$84,Digital!$A$5:$A$84,A228),2))</f>
        <v>0</v>
      </c>
      <c r="V228" s="36">
        <f>IF(B228="","",ROUND(SUMIFS(Labor!$P$5:$P$304,Labor!$A$5:$A$304,A228)+SUMIFS(Crochet!$AE$5:$AE$84,Crochet!$A$5:$A$84,A228)+SUMIFS(Jewelry!$AG$5:$AG$84,Jewelry!$A$5:$A$84,A228)+SUMIFS(Candles!$AG$5:$AG$84,Candles!$A$5:$A$84,A228)+SUMIFS(Clothing!$AC$5:$AC$84,Clothing!$A$5:$A$84,A228)+SUMIFS(Woodworking!$AD$5:$AD$84,Woodworking!$A$5:$A$84,A228)+SUMIFS(Digital!$Y$5:$Y$84,Digital!$A$5:$A$84,A228),1))</f>
        <v>0</v>
      </c>
      <c r="W228" s="41">
        <f>IF(B228="","",IFERROR(INDEX(DiffTimeFactors,MATCH(G228,DiffNames,0)),1))</f>
        <v>0</v>
      </c>
      <c r="X228" s="36">
        <f>IF(B228="","",ROUND(V228*W228,1))</f>
        <v>0</v>
      </c>
      <c r="Y228" s="41">
        <f>IF(B228="","",ROUND(X228/60,3))</f>
        <v>0</v>
      </c>
      <c r="Z228" s="20">
        <f>IF(B228="","",ROUND(U228*W228,2))</f>
        <v>0</v>
      </c>
      <c r="AA228" s="20">
        <f>IF(B228="","",ROUND(SUMIFS(Labor!$Q$5:$Q$304,Labor!$A$5:$A$304,A228)+SUMIFS(Crochet!$AH$5:$AH$84,Crochet!$A$5:$A$84,A228)+SUMIFS(Jewelry!$AJ$5:$AJ$84,Jewelry!$A$5:$A$84,A228)+SUMIFS(Candles!$AJ$5:$AJ$84,Candles!$A$5:$A$84,A228)+SUMIFS(Clothing!$AF$5:$AF$84,Clothing!$A$5:$A$84,A228)+SUMIFS(Woodworking!$AH$5:$AH$84,Woodworking!$A$5:$A$84,A228)+SUMIFS(Digital!$AA$5:$AA$84,Digital!$A$5:$A$84,A228),2))</f>
        <v>0</v>
      </c>
      <c r="AB228" s="20">
        <f>IF(B228="","",ROUND(IF(I228="Budget",PackBudget,IF(I228="Standard",PackStandard,IF(I228="Gift",PackGift,IF(I228="Premium",PackPremium,DefaultPackaging)))),2))</f>
        <v>0</v>
      </c>
      <c r="AC228" s="36">
        <f>IF(B228="","",IF(I228="Budget",PackWeightBudget,IF(I228="Standard",PackWeightStandard,IF(I228="Gift",PackWeightGift,IF(I228="Premium",PackWeightPremium,0)))))</f>
        <v>0</v>
      </c>
      <c r="AD228" s="20">
        <f>IF(B228="","",IFERROR(INDEX(Shipping!$M$5:$M$64,MATCH(J228,Shipping!$L$5:$L$64,0)),DefaultShipping))</f>
        <v>0</v>
      </c>
      <c r="AE228" s="20">
        <f>IF(B228="","",IFERROR(INDEX(Shipping!$F$5:$F$64,MATCH(J228,Shipping!$L$5:$L$64,0)),0))</f>
        <v>0</v>
      </c>
      <c r="AF228" s="36">
        <f>IF(B228="","",IFERROR(INDEX(Shipping!$C$5:$C$64,MATCH(J228,Shipping!$L$5:$L$64,0)),""))</f>
        <v>0</v>
      </c>
      <c r="AG228" s="20">
        <f>IF(B228="","",ROUND(MAX(0,AD228-AE228),2))</f>
        <v>0</v>
      </c>
      <c r="AH228" s="20">
        <f>IF(B228="","",ROUND(T228+Z228+AA228+AB228+AG228,2))</f>
        <v>0</v>
      </c>
      <c r="AI228" s="33">
        <f>IF(B228="","",IFERROR(INDEX(Channels!$S$5:$S$18,MATCH(IF(H228="",DefaultChannel,H228),Channels!$A$5:$A$18,0)),0))</f>
        <v>0</v>
      </c>
      <c r="AJ228" s="42">
        <f>IF(B228="","",IFERROR(INDEX(Channels!$O$5:$O$18,MATCH(IF(H228="",DefaultChannel,H228),Channels!$A$5:$A$18,0)),"No"))</f>
        <v>0</v>
      </c>
      <c r="AK228" s="20">
        <f>IF(B228="","",ROUND(IFERROR(INDEX(Channels!$T$5:$T$18,MATCH(IF(H228="",DefaultChannel,H228),Channels!$A$5:$A$18,0)),0)+IF(AJ228="Yes",AE228*AI228,0),4))</f>
        <v>0</v>
      </c>
      <c r="AL228" s="33">
        <f>IF(B228="","",IF(OverheadMethod="Share of revenue",IF(RevenueTargetMonth&lt;=0,0,OverheadMonthly/RevenueTargetMonth),0))</f>
        <v>0</v>
      </c>
      <c r="AM228" s="20">
        <f>IF(B228="","",IF(OverheadMethod="Per hour worked",ROUND(OverheadPerHour*Y228,2),IF(OR(OverheadMethod="Per unit made",OverheadMethod="Per order"),OverheadPerUnit,0)))</f>
        <v>0</v>
      </c>
      <c r="AN228" s="33">
        <f>IF(B228="","",IF(N228&lt;&gt;"",N228,TargetRetailMargin))</f>
        <v>0</v>
      </c>
      <c r="AO228" s="41">
        <f>IF(B228="","",1-AN228-AI228-AL228)</f>
        <v>0</v>
      </c>
      <c r="AP228" s="20">
        <f>IF(B228="","",IF(AO228&lt;=0,"",(AH228+AM228+AK228)/AO228))</f>
        <v>0</v>
      </c>
      <c r="AQ228" s="20">
        <f>IF(B228="","",IF(AP228="","Check the settings",ROUND(IF(RoundingRule="None",AP228,IF(RoundingRule="Nearest 0.99",MAX(0.99,CEILING(AP228,1)-0.01),IF(RoundingRule="Nearest 0.95",MAX(0.95,CEILING(AP228,1)-0.05),IF(RoundingRule="Nearest 0.50",CEILING(AP228,0.5),IF(RoundingRule="Nearest 1",CEILING(AP228,1),IF(RoundingRule="Nearest 5",CEILING(AP228,5),IF(RoundingRule="Up to whole 1",CEILING(AP228,1),IF(RoundingRule="Up to whole 5",CEILING(AP228,5),ROUND(AP228,2))))))))),2)))</f>
        <v>0</v>
      </c>
      <c r="AR228" s="20">
        <f>IF(B228="","",IF(M228&lt;&gt;"",M228,IF(ISNUMBER(AQ228),AQ228,"")))</f>
        <v>0</v>
      </c>
      <c r="AS228" s="20">
        <f>IF(B228="","",IF(AR228="","",ROUND(AM228+AR228*AL228,2)))</f>
        <v>0</v>
      </c>
      <c r="AT228" s="20">
        <f>IF(B228="","",IF(AR228="","",ROUND(AH228+AS228,2)))</f>
        <v>0</v>
      </c>
      <c r="AU228" s="20">
        <f>IF(B228="","",IF(AR228="","",ROUND(AR228*AI228+AK228,2)))</f>
        <v>0</v>
      </c>
      <c r="AV228" s="20">
        <f>IF(B228="","",IF(AR228="","",ROUND(AR228-AT228-AU228,2)))</f>
        <v>0</v>
      </c>
      <c r="AW228" s="33">
        <f>IF(B228="","",IF(OR(AR228="",AR228=0),"",AV228/AR228))</f>
        <v>0</v>
      </c>
      <c r="AX228" s="33">
        <f>IF(B228="","",IF(OR(AT228="",AT228=0),"",AV228/AT228))</f>
        <v>0</v>
      </c>
      <c r="AY228" s="20">
        <f>IF(B228="","",IF(OR(Y228="",Y228=0,AV228=""),"",ROUND(AV228/Y228,2)))</f>
        <v>0</v>
      </c>
      <c r="AZ228" s="20">
        <f>IF(B228="","",IF(OR(Y228="",Y228=0,AV228=""),"",ROUND((AV228+Z228)/Y228,2)))</f>
        <v>0</v>
      </c>
      <c r="BA228" s="20">
        <f>IF(B228="","",IF(1-AI228-AL228&lt;=0,"",ROUND((AH228+AM228+AK228)/(1-AI228-AL228),2)))</f>
        <v>0</v>
      </c>
      <c r="BB228" s="20">
        <f>IF(B228="","",IF(AT228="","",ROUND(AT228*2,2)))</f>
        <v>0</v>
      </c>
      <c r="BC228" s="20">
        <f>IF(B228="","",IF(AR228="","",ROUND(AR228*(1-WholesaleDiscount),2)))</f>
        <v>0</v>
      </c>
      <c r="BD228" s="20">
        <f>IF(B228="","",IF(BC228="","",ROUND(BC228-AH228-AM228,2)))</f>
        <v>0</v>
      </c>
      <c r="BE228" s="33">
        <f>IF(B228="","",IF(OR(BC228="",BC228=0),"",BD228/BC228))</f>
        <v>0</v>
      </c>
      <c r="BF228" s="20">
        <f>IF(B228="","",IFERROR(ROUND(AVERAGEIFS(Competitors!$F$5:$F$154,Competitors!$A$5:$A$154,A228),2),""))</f>
        <v>0</v>
      </c>
      <c r="BG228" s="33">
        <f>IF(B228="","",IF(OR(BF228="",BF228=0,AR228=""),"",AR228/BF228-1))</f>
        <v>0</v>
      </c>
      <c r="BH228" s="32">
        <f>IF(B228="","",SUMIFS(Sales!$D$5:$D$804,Sales!$C$5:$C$804,A228))</f>
        <v>0</v>
      </c>
      <c r="BI228" s="20">
        <f>IF(B228="","",ROUND(SUMIFS(Sales!$V$5:$V$804,Sales!$C$5:$C$804,A228),2))</f>
        <v>0</v>
      </c>
      <c r="BJ228" s="20">
        <f>IF(B228="","",ROUND(SUMIFS(Sales!$AG$5:$AG$804,Sales!$C$5:$C$804,A228),2))</f>
        <v>0</v>
      </c>
      <c r="BK228" s="33">
        <f>IF(B228="","",IF(OR(BI228="",BI228=0),"",BJ228/BI228))</f>
        <v>0</v>
      </c>
      <c r="BL228" s="17">
        <f>IF(B228="","",IF(SUMPRODUCT(MAX((Sales!$C$5:$C$804=A228)*Sales!$B$5:$B$804))=0,"",SUMPRODUCT(MAX((Sales!$C$5:$C$804=A228)*Sales!$B$5:$B$804))))</f>
        <v>0</v>
      </c>
      <c r="BM228" s="17">
        <f>IF(B228="","",IF(SUMPRODUCT(MAX(('Price History'!$B$5:$B$304=A228)*'Price History'!$A$5:$A$304))=0,IF(P228="","",P228),SUMPRODUCT(MAX(('Price History'!$B$5:$B$304=A228)*'Price History'!$A$5:$A$304))))</f>
        <v>0</v>
      </c>
      <c r="BN228" s="32">
        <f>IF(B228="","",IF(BM228="","",TodayDate-BM228))</f>
        <v>0</v>
      </c>
      <c r="BO228" s="32">
        <f>IF(B228="","",COUNTIFS($AV$5:$AV$304,"&gt;"&amp;AV228)+COUNTIFS($AV$5:AV228,AV228))</f>
        <v>0</v>
      </c>
      <c r="BP228" s="32">
        <f>IF(B228="","",COUNTIFS($AW$5:$AW$304,"&gt;"&amp;AW228)+COUNTIFS($AW$5:AW228,AW228))</f>
        <v>0</v>
      </c>
      <c r="BQ228" s="32">
        <f>IF(B228="","",COUNTIFS($BI$5:$BI$304,"&gt;"&amp;BI228)+COUNTIFS($BI$5:BI228,BI228))</f>
        <v>0</v>
      </c>
      <c r="BR228" s="32">
        <f>IF(B228="","",COUNTIFS($AY$5:$AY$304,"&gt;"&amp;AY228)+COUNTIFS($AY$5:AY228,AY228))</f>
        <v>0</v>
      </c>
      <c r="BS228" s="43">
        <f>IF(B228="","",IF(AH228=0,"Add - no costs entered yet",IF(AR228="","Check - no price yet",IF(AV228&lt;0,"Loss - every sale costs you money",IF(AND(AZ228&lt;&gt;"",AZ228&lt;MinimumWage),"Below - pays under minimum wage",IF(AW228&lt;MarginWarning,"Low margin - re-price it",IF(AND(AF228&lt;&gt;"",K228&lt;&gt;"",K228+AC228&gt;AF228),"Check - too heavy for that postage band",IF(AND(BN228&lt;&gt;"",BN228&gt;PriceReviewDays),"Due - price has not been reviewed",IF(AND(BG228&lt;&gt;"",BG228&gt;0.5),"Check - well above the market","OK")))))))) )</f>
        <v>0</v>
      </c>
    </row>
    <row r="229" spans="1:71">
      <c r="A229" s="38">
        <f>IF(B229="","",ProductPrefix&amp;TEXT(ROW()-4,"0000"))</f>
        <v>0</v>
      </c>
      <c r="S229" s="38">
        <f>IF(B229="","",IF(C229&lt;&gt;"",C229,UPPER(LEFT(IF(D229="","GEN",D229),3))&amp;"-"&amp;TEXT(ROW()-4,"000")))</f>
        <v>0</v>
      </c>
      <c r="T229" s="20">
        <f>IF(B229="","",ROUND(SUMIFS('Material Usage'!$M$5:$M$904,'Material Usage'!$A$5:$A$904,A229)+SUMIFS(Crochet!$AD$5:$AD$84,Crochet!$A$5:$A$84,A229)+SUMIFS(Jewelry!$AF$5:$AF$84,Jewelry!$A$5:$A$84,A229)+SUMIFS(Candles!$AF$5:$AF$84,Candles!$A$5:$A$84,A229)+SUMIFS(Clothing!$AB$5:$AB$84,Clothing!$A$5:$A$84,A229)+SUMIFS(Woodworking!$AC$5:$AC$84,Woodworking!$A$5:$A$84,A229)+SUMIFS(Digital!$X$5:$X$84,Digital!$A$5:$A$84,A229),2))</f>
        <v>0</v>
      </c>
      <c r="U229" s="20">
        <f>IF(B229="","",ROUND(SUMIFS(Labor!$O$5:$O$304,Labor!$A$5:$A$304,A229)+SUMIFS(Crochet!$AG$5:$AG$84,Crochet!$A$5:$A$84,A229)+SUMIFS(Jewelry!$AI$5:$AI$84,Jewelry!$A$5:$A$84,A229)+SUMIFS(Candles!$AI$5:$AI$84,Candles!$A$5:$A$84,A229)+SUMIFS(Clothing!$AE$5:$AE$84,Clothing!$A$5:$A$84,A229)+SUMIFS(Woodworking!$AF$5:$AF$84,Woodworking!$A$5:$A$84,A229)+SUMIFS(Digital!$Z$5:$Z$84,Digital!$A$5:$A$84,A229),2))</f>
        <v>0</v>
      </c>
      <c r="V229" s="36">
        <f>IF(B229="","",ROUND(SUMIFS(Labor!$P$5:$P$304,Labor!$A$5:$A$304,A229)+SUMIFS(Crochet!$AE$5:$AE$84,Crochet!$A$5:$A$84,A229)+SUMIFS(Jewelry!$AG$5:$AG$84,Jewelry!$A$5:$A$84,A229)+SUMIFS(Candles!$AG$5:$AG$84,Candles!$A$5:$A$84,A229)+SUMIFS(Clothing!$AC$5:$AC$84,Clothing!$A$5:$A$84,A229)+SUMIFS(Woodworking!$AD$5:$AD$84,Woodworking!$A$5:$A$84,A229)+SUMIFS(Digital!$Y$5:$Y$84,Digital!$A$5:$A$84,A229),1))</f>
        <v>0</v>
      </c>
      <c r="W229" s="41">
        <f>IF(B229="","",IFERROR(INDEX(DiffTimeFactors,MATCH(G229,DiffNames,0)),1))</f>
        <v>0</v>
      </c>
      <c r="X229" s="36">
        <f>IF(B229="","",ROUND(V229*W229,1))</f>
        <v>0</v>
      </c>
      <c r="Y229" s="41">
        <f>IF(B229="","",ROUND(X229/60,3))</f>
        <v>0</v>
      </c>
      <c r="Z229" s="20">
        <f>IF(B229="","",ROUND(U229*W229,2))</f>
        <v>0</v>
      </c>
      <c r="AA229" s="20">
        <f>IF(B229="","",ROUND(SUMIFS(Labor!$Q$5:$Q$304,Labor!$A$5:$A$304,A229)+SUMIFS(Crochet!$AH$5:$AH$84,Crochet!$A$5:$A$84,A229)+SUMIFS(Jewelry!$AJ$5:$AJ$84,Jewelry!$A$5:$A$84,A229)+SUMIFS(Candles!$AJ$5:$AJ$84,Candles!$A$5:$A$84,A229)+SUMIFS(Clothing!$AF$5:$AF$84,Clothing!$A$5:$A$84,A229)+SUMIFS(Woodworking!$AH$5:$AH$84,Woodworking!$A$5:$A$84,A229)+SUMIFS(Digital!$AA$5:$AA$84,Digital!$A$5:$A$84,A229),2))</f>
        <v>0</v>
      </c>
      <c r="AB229" s="20">
        <f>IF(B229="","",ROUND(IF(I229="Budget",PackBudget,IF(I229="Standard",PackStandard,IF(I229="Gift",PackGift,IF(I229="Premium",PackPremium,DefaultPackaging)))),2))</f>
        <v>0</v>
      </c>
      <c r="AC229" s="36">
        <f>IF(B229="","",IF(I229="Budget",PackWeightBudget,IF(I229="Standard",PackWeightStandard,IF(I229="Gift",PackWeightGift,IF(I229="Premium",PackWeightPremium,0)))))</f>
        <v>0</v>
      </c>
      <c r="AD229" s="20">
        <f>IF(B229="","",IFERROR(INDEX(Shipping!$M$5:$M$64,MATCH(J229,Shipping!$L$5:$L$64,0)),DefaultShipping))</f>
        <v>0</v>
      </c>
      <c r="AE229" s="20">
        <f>IF(B229="","",IFERROR(INDEX(Shipping!$F$5:$F$64,MATCH(J229,Shipping!$L$5:$L$64,0)),0))</f>
        <v>0</v>
      </c>
      <c r="AF229" s="36">
        <f>IF(B229="","",IFERROR(INDEX(Shipping!$C$5:$C$64,MATCH(J229,Shipping!$L$5:$L$64,0)),""))</f>
        <v>0</v>
      </c>
      <c r="AG229" s="20">
        <f>IF(B229="","",ROUND(MAX(0,AD229-AE229),2))</f>
        <v>0</v>
      </c>
      <c r="AH229" s="20">
        <f>IF(B229="","",ROUND(T229+Z229+AA229+AB229+AG229,2))</f>
        <v>0</v>
      </c>
      <c r="AI229" s="33">
        <f>IF(B229="","",IFERROR(INDEX(Channels!$S$5:$S$18,MATCH(IF(H229="",DefaultChannel,H229),Channels!$A$5:$A$18,0)),0))</f>
        <v>0</v>
      </c>
      <c r="AJ229" s="42">
        <f>IF(B229="","",IFERROR(INDEX(Channels!$O$5:$O$18,MATCH(IF(H229="",DefaultChannel,H229),Channels!$A$5:$A$18,0)),"No"))</f>
        <v>0</v>
      </c>
      <c r="AK229" s="20">
        <f>IF(B229="","",ROUND(IFERROR(INDEX(Channels!$T$5:$T$18,MATCH(IF(H229="",DefaultChannel,H229),Channels!$A$5:$A$18,0)),0)+IF(AJ229="Yes",AE229*AI229,0),4))</f>
        <v>0</v>
      </c>
      <c r="AL229" s="33">
        <f>IF(B229="","",IF(OverheadMethod="Share of revenue",IF(RevenueTargetMonth&lt;=0,0,OverheadMonthly/RevenueTargetMonth),0))</f>
        <v>0</v>
      </c>
      <c r="AM229" s="20">
        <f>IF(B229="","",IF(OverheadMethod="Per hour worked",ROUND(OverheadPerHour*Y229,2),IF(OR(OverheadMethod="Per unit made",OverheadMethod="Per order"),OverheadPerUnit,0)))</f>
        <v>0</v>
      </c>
      <c r="AN229" s="33">
        <f>IF(B229="","",IF(N229&lt;&gt;"",N229,TargetRetailMargin))</f>
        <v>0</v>
      </c>
      <c r="AO229" s="41">
        <f>IF(B229="","",1-AN229-AI229-AL229)</f>
        <v>0</v>
      </c>
      <c r="AP229" s="20">
        <f>IF(B229="","",IF(AO229&lt;=0,"",(AH229+AM229+AK229)/AO229))</f>
        <v>0</v>
      </c>
      <c r="AQ229" s="20">
        <f>IF(B229="","",IF(AP229="","Check the settings",ROUND(IF(RoundingRule="None",AP229,IF(RoundingRule="Nearest 0.99",MAX(0.99,CEILING(AP229,1)-0.01),IF(RoundingRule="Nearest 0.95",MAX(0.95,CEILING(AP229,1)-0.05),IF(RoundingRule="Nearest 0.50",CEILING(AP229,0.5),IF(RoundingRule="Nearest 1",CEILING(AP229,1),IF(RoundingRule="Nearest 5",CEILING(AP229,5),IF(RoundingRule="Up to whole 1",CEILING(AP229,1),IF(RoundingRule="Up to whole 5",CEILING(AP229,5),ROUND(AP229,2))))))))),2)))</f>
        <v>0</v>
      </c>
      <c r="AR229" s="20">
        <f>IF(B229="","",IF(M229&lt;&gt;"",M229,IF(ISNUMBER(AQ229),AQ229,"")))</f>
        <v>0</v>
      </c>
      <c r="AS229" s="20">
        <f>IF(B229="","",IF(AR229="","",ROUND(AM229+AR229*AL229,2)))</f>
        <v>0</v>
      </c>
      <c r="AT229" s="20">
        <f>IF(B229="","",IF(AR229="","",ROUND(AH229+AS229,2)))</f>
        <v>0</v>
      </c>
      <c r="AU229" s="20">
        <f>IF(B229="","",IF(AR229="","",ROUND(AR229*AI229+AK229,2)))</f>
        <v>0</v>
      </c>
      <c r="AV229" s="20">
        <f>IF(B229="","",IF(AR229="","",ROUND(AR229-AT229-AU229,2)))</f>
        <v>0</v>
      </c>
      <c r="AW229" s="33">
        <f>IF(B229="","",IF(OR(AR229="",AR229=0),"",AV229/AR229))</f>
        <v>0</v>
      </c>
      <c r="AX229" s="33">
        <f>IF(B229="","",IF(OR(AT229="",AT229=0),"",AV229/AT229))</f>
        <v>0</v>
      </c>
      <c r="AY229" s="20">
        <f>IF(B229="","",IF(OR(Y229="",Y229=0,AV229=""),"",ROUND(AV229/Y229,2)))</f>
        <v>0</v>
      </c>
      <c r="AZ229" s="20">
        <f>IF(B229="","",IF(OR(Y229="",Y229=0,AV229=""),"",ROUND((AV229+Z229)/Y229,2)))</f>
        <v>0</v>
      </c>
      <c r="BA229" s="20">
        <f>IF(B229="","",IF(1-AI229-AL229&lt;=0,"",ROUND((AH229+AM229+AK229)/(1-AI229-AL229),2)))</f>
        <v>0</v>
      </c>
      <c r="BB229" s="20">
        <f>IF(B229="","",IF(AT229="","",ROUND(AT229*2,2)))</f>
        <v>0</v>
      </c>
      <c r="BC229" s="20">
        <f>IF(B229="","",IF(AR229="","",ROUND(AR229*(1-WholesaleDiscount),2)))</f>
        <v>0</v>
      </c>
      <c r="BD229" s="20">
        <f>IF(B229="","",IF(BC229="","",ROUND(BC229-AH229-AM229,2)))</f>
        <v>0</v>
      </c>
      <c r="BE229" s="33">
        <f>IF(B229="","",IF(OR(BC229="",BC229=0),"",BD229/BC229))</f>
        <v>0</v>
      </c>
      <c r="BF229" s="20">
        <f>IF(B229="","",IFERROR(ROUND(AVERAGEIFS(Competitors!$F$5:$F$154,Competitors!$A$5:$A$154,A229),2),""))</f>
        <v>0</v>
      </c>
      <c r="BG229" s="33">
        <f>IF(B229="","",IF(OR(BF229="",BF229=0,AR229=""),"",AR229/BF229-1))</f>
        <v>0</v>
      </c>
      <c r="BH229" s="32">
        <f>IF(B229="","",SUMIFS(Sales!$D$5:$D$804,Sales!$C$5:$C$804,A229))</f>
        <v>0</v>
      </c>
      <c r="BI229" s="20">
        <f>IF(B229="","",ROUND(SUMIFS(Sales!$V$5:$V$804,Sales!$C$5:$C$804,A229),2))</f>
        <v>0</v>
      </c>
      <c r="BJ229" s="20">
        <f>IF(B229="","",ROUND(SUMIFS(Sales!$AG$5:$AG$804,Sales!$C$5:$C$804,A229),2))</f>
        <v>0</v>
      </c>
      <c r="BK229" s="33">
        <f>IF(B229="","",IF(OR(BI229="",BI229=0),"",BJ229/BI229))</f>
        <v>0</v>
      </c>
      <c r="BL229" s="17">
        <f>IF(B229="","",IF(SUMPRODUCT(MAX((Sales!$C$5:$C$804=A229)*Sales!$B$5:$B$804))=0,"",SUMPRODUCT(MAX((Sales!$C$5:$C$804=A229)*Sales!$B$5:$B$804))))</f>
        <v>0</v>
      </c>
      <c r="BM229" s="17">
        <f>IF(B229="","",IF(SUMPRODUCT(MAX(('Price History'!$B$5:$B$304=A229)*'Price History'!$A$5:$A$304))=0,IF(P229="","",P229),SUMPRODUCT(MAX(('Price History'!$B$5:$B$304=A229)*'Price History'!$A$5:$A$304))))</f>
        <v>0</v>
      </c>
      <c r="BN229" s="32">
        <f>IF(B229="","",IF(BM229="","",TodayDate-BM229))</f>
        <v>0</v>
      </c>
      <c r="BO229" s="32">
        <f>IF(B229="","",COUNTIFS($AV$5:$AV$304,"&gt;"&amp;AV229)+COUNTIFS($AV$5:AV229,AV229))</f>
        <v>0</v>
      </c>
      <c r="BP229" s="32">
        <f>IF(B229="","",COUNTIFS($AW$5:$AW$304,"&gt;"&amp;AW229)+COUNTIFS($AW$5:AW229,AW229))</f>
        <v>0</v>
      </c>
      <c r="BQ229" s="32">
        <f>IF(B229="","",COUNTIFS($BI$5:$BI$304,"&gt;"&amp;BI229)+COUNTIFS($BI$5:BI229,BI229))</f>
        <v>0</v>
      </c>
      <c r="BR229" s="32">
        <f>IF(B229="","",COUNTIFS($AY$5:$AY$304,"&gt;"&amp;AY229)+COUNTIFS($AY$5:AY229,AY229))</f>
        <v>0</v>
      </c>
      <c r="BS229" s="43">
        <f>IF(B229="","",IF(AH229=0,"Add - no costs entered yet",IF(AR229="","Check - no price yet",IF(AV229&lt;0,"Loss - every sale costs you money",IF(AND(AZ229&lt;&gt;"",AZ229&lt;MinimumWage),"Below - pays under minimum wage",IF(AW229&lt;MarginWarning,"Low margin - re-price it",IF(AND(AF229&lt;&gt;"",K229&lt;&gt;"",K229+AC229&gt;AF229),"Check - too heavy for that postage band",IF(AND(BN229&lt;&gt;"",BN229&gt;PriceReviewDays),"Due - price has not been reviewed",IF(AND(BG229&lt;&gt;"",BG229&gt;0.5),"Check - well above the market","OK")))))))) )</f>
        <v>0</v>
      </c>
    </row>
    <row r="230" spans="1:71">
      <c r="A230" s="38">
        <f>IF(B230="","",ProductPrefix&amp;TEXT(ROW()-4,"0000"))</f>
        <v>0</v>
      </c>
      <c r="S230" s="38">
        <f>IF(B230="","",IF(C230&lt;&gt;"",C230,UPPER(LEFT(IF(D230="","GEN",D230),3))&amp;"-"&amp;TEXT(ROW()-4,"000")))</f>
        <v>0</v>
      </c>
      <c r="T230" s="20">
        <f>IF(B230="","",ROUND(SUMIFS('Material Usage'!$M$5:$M$904,'Material Usage'!$A$5:$A$904,A230)+SUMIFS(Crochet!$AD$5:$AD$84,Crochet!$A$5:$A$84,A230)+SUMIFS(Jewelry!$AF$5:$AF$84,Jewelry!$A$5:$A$84,A230)+SUMIFS(Candles!$AF$5:$AF$84,Candles!$A$5:$A$84,A230)+SUMIFS(Clothing!$AB$5:$AB$84,Clothing!$A$5:$A$84,A230)+SUMIFS(Woodworking!$AC$5:$AC$84,Woodworking!$A$5:$A$84,A230)+SUMIFS(Digital!$X$5:$X$84,Digital!$A$5:$A$84,A230),2))</f>
        <v>0</v>
      </c>
      <c r="U230" s="20">
        <f>IF(B230="","",ROUND(SUMIFS(Labor!$O$5:$O$304,Labor!$A$5:$A$304,A230)+SUMIFS(Crochet!$AG$5:$AG$84,Crochet!$A$5:$A$84,A230)+SUMIFS(Jewelry!$AI$5:$AI$84,Jewelry!$A$5:$A$84,A230)+SUMIFS(Candles!$AI$5:$AI$84,Candles!$A$5:$A$84,A230)+SUMIFS(Clothing!$AE$5:$AE$84,Clothing!$A$5:$A$84,A230)+SUMIFS(Woodworking!$AF$5:$AF$84,Woodworking!$A$5:$A$84,A230)+SUMIFS(Digital!$Z$5:$Z$84,Digital!$A$5:$A$84,A230),2))</f>
        <v>0</v>
      </c>
      <c r="V230" s="36">
        <f>IF(B230="","",ROUND(SUMIFS(Labor!$P$5:$P$304,Labor!$A$5:$A$304,A230)+SUMIFS(Crochet!$AE$5:$AE$84,Crochet!$A$5:$A$84,A230)+SUMIFS(Jewelry!$AG$5:$AG$84,Jewelry!$A$5:$A$84,A230)+SUMIFS(Candles!$AG$5:$AG$84,Candles!$A$5:$A$84,A230)+SUMIFS(Clothing!$AC$5:$AC$84,Clothing!$A$5:$A$84,A230)+SUMIFS(Woodworking!$AD$5:$AD$84,Woodworking!$A$5:$A$84,A230)+SUMIFS(Digital!$Y$5:$Y$84,Digital!$A$5:$A$84,A230),1))</f>
        <v>0</v>
      </c>
      <c r="W230" s="41">
        <f>IF(B230="","",IFERROR(INDEX(DiffTimeFactors,MATCH(G230,DiffNames,0)),1))</f>
        <v>0</v>
      </c>
      <c r="X230" s="36">
        <f>IF(B230="","",ROUND(V230*W230,1))</f>
        <v>0</v>
      </c>
      <c r="Y230" s="41">
        <f>IF(B230="","",ROUND(X230/60,3))</f>
        <v>0</v>
      </c>
      <c r="Z230" s="20">
        <f>IF(B230="","",ROUND(U230*W230,2))</f>
        <v>0</v>
      </c>
      <c r="AA230" s="20">
        <f>IF(B230="","",ROUND(SUMIFS(Labor!$Q$5:$Q$304,Labor!$A$5:$A$304,A230)+SUMIFS(Crochet!$AH$5:$AH$84,Crochet!$A$5:$A$84,A230)+SUMIFS(Jewelry!$AJ$5:$AJ$84,Jewelry!$A$5:$A$84,A230)+SUMIFS(Candles!$AJ$5:$AJ$84,Candles!$A$5:$A$84,A230)+SUMIFS(Clothing!$AF$5:$AF$84,Clothing!$A$5:$A$84,A230)+SUMIFS(Woodworking!$AH$5:$AH$84,Woodworking!$A$5:$A$84,A230)+SUMIFS(Digital!$AA$5:$AA$84,Digital!$A$5:$A$84,A230),2))</f>
        <v>0</v>
      </c>
      <c r="AB230" s="20">
        <f>IF(B230="","",ROUND(IF(I230="Budget",PackBudget,IF(I230="Standard",PackStandard,IF(I230="Gift",PackGift,IF(I230="Premium",PackPremium,DefaultPackaging)))),2))</f>
        <v>0</v>
      </c>
      <c r="AC230" s="36">
        <f>IF(B230="","",IF(I230="Budget",PackWeightBudget,IF(I230="Standard",PackWeightStandard,IF(I230="Gift",PackWeightGift,IF(I230="Premium",PackWeightPremium,0)))))</f>
        <v>0</v>
      </c>
      <c r="AD230" s="20">
        <f>IF(B230="","",IFERROR(INDEX(Shipping!$M$5:$M$64,MATCH(J230,Shipping!$L$5:$L$64,0)),DefaultShipping))</f>
        <v>0</v>
      </c>
      <c r="AE230" s="20">
        <f>IF(B230="","",IFERROR(INDEX(Shipping!$F$5:$F$64,MATCH(J230,Shipping!$L$5:$L$64,0)),0))</f>
        <v>0</v>
      </c>
      <c r="AF230" s="36">
        <f>IF(B230="","",IFERROR(INDEX(Shipping!$C$5:$C$64,MATCH(J230,Shipping!$L$5:$L$64,0)),""))</f>
        <v>0</v>
      </c>
      <c r="AG230" s="20">
        <f>IF(B230="","",ROUND(MAX(0,AD230-AE230),2))</f>
        <v>0</v>
      </c>
      <c r="AH230" s="20">
        <f>IF(B230="","",ROUND(T230+Z230+AA230+AB230+AG230,2))</f>
        <v>0</v>
      </c>
      <c r="AI230" s="33">
        <f>IF(B230="","",IFERROR(INDEX(Channels!$S$5:$S$18,MATCH(IF(H230="",DefaultChannel,H230),Channels!$A$5:$A$18,0)),0))</f>
        <v>0</v>
      </c>
      <c r="AJ230" s="42">
        <f>IF(B230="","",IFERROR(INDEX(Channels!$O$5:$O$18,MATCH(IF(H230="",DefaultChannel,H230),Channels!$A$5:$A$18,0)),"No"))</f>
        <v>0</v>
      </c>
      <c r="AK230" s="20">
        <f>IF(B230="","",ROUND(IFERROR(INDEX(Channels!$T$5:$T$18,MATCH(IF(H230="",DefaultChannel,H230),Channels!$A$5:$A$18,0)),0)+IF(AJ230="Yes",AE230*AI230,0),4))</f>
        <v>0</v>
      </c>
      <c r="AL230" s="33">
        <f>IF(B230="","",IF(OverheadMethod="Share of revenue",IF(RevenueTargetMonth&lt;=0,0,OverheadMonthly/RevenueTargetMonth),0))</f>
        <v>0</v>
      </c>
      <c r="AM230" s="20">
        <f>IF(B230="","",IF(OverheadMethod="Per hour worked",ROUND(OverheadPerHour*Y230,2),IF(OR(OverheadMethod="Per unit made",OverheadMethod="Per order"),OverheadPerUnit,0)))</f>
        <v>0</v>
      </c>
      <c r="AN230" s="33">
        <f>IF(B230="","",IF(N230&lt;&gt;"",N230,TargetRetailMargin))</f>
        <v>0</v>
      </c>
      <c r="AO230" s="41">
        <f>IF(B230="","",1-AN230-AI230-AL230)</f>
        <v>0</v>
      </c>
      <c r="AP230" s="20">
        <f>IF(B230="","",IF(AO230&lt;=0,"",(AH230+AM230+AK230)/AO230))</f>
        <v>0</v>
      </c>
      <c r="AQ230" s="20">
        <f>IF(B230="","",IF(AP230="","Check the settings",ROUND(IF(RoundingRule="None",AP230,IF(RoundingRule="Nearest 0.99",MAX(0.99,CEILING(AP230,1)-0.01),IF(RoundingRule="Nearest 0.95",MAX(0.95,CEILING(AP230,1)-0.05),IF(RoundingRule="Nearest 0.50",CEILING(AP230,0.5),IF(RoundingRule="Nearest 1",CEILING(AP230,1),IF(RoundingRule="Nearest 5",CEILING(AP230,5),IF(RoundingRule="Up to whole 1",CEILING(AP230,1),IF(RoundingRule="Up to whole 5",CEILING(AP230,5),ROUND(AP230,2))))))))),2)))</f>
        <v>0</v>
      </c>
      <c r="AR230" s="20">
        <f>IF(B230="","",IF(M230&lt;&gt;"",M230,IF(ISNUMBER(AQ230),AQ230,"")))</f>
        <v>0</v>
      </c>
      <c r="AS230" s="20">
        <f>IF(B230="","",IF(AR230="","",ROUND(AM230+AR230*AL230,2)))</f>
        <v>0</v>
      </c>
      <c r="AT230" s="20">
        <f>IF(B230="","",IF(AR230="","",ROUND(AH230+AS230,2)))</f>
        <v>0</v>
      </c>
      <c r="AU230" s="20">
        <f>IF(B230="","",IF(AR230="","",ROUND(AR230*AI230+AK230,2)))</f>
        <v>0</v>
      </c>
      <c r="AV230" s="20">
        <f>IF(B230="","",IF(AR230="","",ROUND(AR230-AT230-AU230,2)))</f>
        <v>0</v>
      </c>
      <c r="AW230" s="33">
        <f>IF(B230="","",IF(OR(AR230="",AR230=0),"",AV230/AR230))</f>
        <v>0</v>
      </c>
      <c r="AX230" s="33">
        <f>IF(B230="","",IF(OR(AT230="",AT230=0),"",AV230/AT230))</f>
        <v>0</v>
      </c>
      <c r="AY230" s="20">
        <f>IF(B230="","",IF(OR(Y230="",Y230=0,AV230=""),"",ROUND(AV230/Y230,2)))</f>
        <v>0</v>
      </c>
      <c r="AZ230" s="20">
        <f>IF(B230="","",IF(OR(Y230="",Y230=0,AV230=""),"",ROUND((AV230+Z230)/Y230,2)))</f>
        <v>0</v>
      </c>
      <c r="BA230" s="20">
        <f>IF(B230="","",IF(1-AI230-AL230&lt;=0,"",ROUND((AH230+AM230+AK230)/(1-AI230-AL230),2)))</f>
        <v>0</v>
      </c>
      <c r="BB230" s="20">
        <f>IF(B230="","",IF(AT230="","",ROUND(AT230*2,2)))</f>
        <v>0</v>
      </c>
      <c r="BC230" s="20">
        <f>IF(B230="","",IF(AR230="","",ROUND(AR230*(1-WholesaleDiscount),2)))</f>
        <v>0</v>
      </c>
      <c r="BD230" s="20">
        <f>IF(B230="","",IF(BC230="","",ROUND(BC230-AH230-AM230,2)))</f>
        <v>0</v>
      </c>
      <c r="BE230" s="33">
        <f>IF(B230="","",IF(OR(BC230="",BC230=0),"",BD230/BC230))</f>
        <v>0</v>
      </c>
      <c r="BF230" s="20">
        <f>IF(B230="","",IFERROR(ROUND(AVERAGEIFS(Competitors!$F$5:$F$154,Competitors!$A$5:$A$154,A230),2),""))</f>
        <v>0</v>
      </c>
      <c r="BG230" s="33">
        <f>IF(B230="","",IF(OR(BF230="",BF230=0,AR230=""),"",AR230/BF230-1))</f>
        <v>0</v>
      </c>
      <c r="BH230" s="32">
        <f>IF(B230="","",SUMIFS(Sales!$D$5:$D$804,Sales!$C$5:$C$804,A230))</f>
        <v>0</v>
      </c>
      <c r="BI230" s="20">
        <f>IF(B230="","",ROUND(SUMIFS(Sales!$V$5:$V$804,Sales!$C$5:$C$804,A230),2))</f>
        <v>0</v>
      </c>
      <c r="BJ230" s="20">
        <f>IF(B230="","",ROUND(SUMIFS(Sales!$AG$5:$AG$804,Sales!$C$5:$C$804,A230),2))</f>
        <v>0</v>
      </c>
      <c r="BK230" s="33">
        <f>IF(B230="","",IF(OR(BI230="",BI230=0),"",BJ230/BI230))</f>
        <v>0</v>
      </c>
      <c r="BL230" s="17">
        <f>IF(B230="","",IF(SUMPRODUCT(MAX((Sales!$C$5:$C$804=A230)*Sales!$B$5:$B$804))=0,"",SUMPRODUCT(MAX((Sales!$C$5:$C$804=A230)*Sales!$B$5:$B$804))))</f>
        <v>0</v>
      </c>
      <c r="BM230" s="17">
        <f>IF(B230="","",IF(SUMPRODUCT(MAX(('Price History'!$B$5:$B$304=A230)*'Price History'!$A$5:$A$304))=0,IF(P230="","",P230),SUMPRODUCT(MAX(('Price History'!$B$5:$B$304=A230)*'Price History'!$A$5:$A$304))))</f>
        <v>0</v>
      </c>
      <c r="BN230" s="32">
        <f>IF(B230="","",IF(BM230="","",TodayDate-BM230))</f>
        <v>0</v>
      </c>
      <c r="BO230" s="32">
        <f>IF(B230="","",COUNTIFS($AV$5:$AV$304,"&gt;"&amp;AV230)+COUNTIFS($AV$5:AV230,AV230))</f>
        <v>0</v>
      </c>
      <c r="BP230" s="32">
        <f>IF(B230="","",COUNTIFS($AW$5:$AW$304,"&gt;"&amp;AW230)+COUNTIFS($AW$5:AW230,AW230))</f>
        <v>0</v>
      </c>
      <c r="BQ230" s="32">
        <f>IF(B230="","",COUNTIFS($BI$5:$BI$304,"&gt;"&amp;BI230)+COUNTIFS($BI$5:BI230,BI230))</f>
        <v>0</v>
      </c>
      <c r="BR230" s="32">
        <f>IF(B230="","",COUNTIFS($AY$5:$AY$304,"&gt;"&amp;AY230)+COUNTIFS($AY$5:AY230,AY230))</f>
        <v>0</v>
      </c>
      <c r="BS230" s="43">
        <f>IF(B230="","",IF(AH230=0,"Add - no costs entered yet",IF(AR230="","Check - no price yet",IF(AV230&lt;0,"Loss - every sale costs you money",IF(AND(AZ230&lt;&gt;"",AZ230&lt;MinimumWage),"Below - pays under minimum wage",IF(AW230&lt;MarginWarning,"Low margin - re-price it",IF(AND(AF230&lt;&gt;"",K230&lt;&gt;"",K230+AC230&gt;AF230),"Check - too heavy for that postage band",IF(AND(BN230&lt;&gt;"",BN230&gt;PriceReviewDays),"Due - price has not been reviewed",IF(AND(BG230&lt;&gt;"",BG230&gt;0.5),"Check - well above the market","OK")))))))) )</f>
        <v>0</v>
      </c>
    </row>
    <row r="231" spans="1:71">
      <c r="A231" s="38">
        <f>IF(B231="","",ProductPrefix&amp;TEXT(ROW()-4,"0000"))</f>
        <v>0</v>
      </c>
      <c r="S231" s="38">
        <f>IF(B231="","",IF(C231&lt;&gt;"",C231,UPPER(LEFT(IF(D231="","GEN",D231),3))&amp;"-"&amp;TEXT(ROW()-4,"000")))</f>
        <v>0</v>
      </c>
      <c r="T231" s="20">
        <f>IF(B231="","",ROUND(SUMIFS('Material Usage'!$M$5:$M$904,'Material Usage'!$A$5:$A$904,A231)+SUMIFS(Crochet!$AD$5:$AD$84,Crochet!$A$5:$A$84,A231)+SUMIFS(Jewelry!$AF$5:$AF$84,Jewelry!$A$5:$A$84,A231)+SUMIFS(Candles!$AF$5:$AF$84,Candles!$A$5:$A$84,A231)+SUMIFS(Clothing!$AB$5:$AB$84,Clothing!$A$5:$A$84,A231)+SUMIFS(Woodworking!$AC$5:$AC$84,Woodworking!$A$5:$A$84,A231)+SUMIFS(Digital!$X$5:$X$84,Digital!$A$5:$A$84,A231),2))</f>
        <v>0</v>
      </c>
      <c r="U231" s="20">
        <f>IF(B231="","",ROUND(SUMIFS(Labor!$O$5:$O$304,Labor!$A$5:$A$304,A231)+SUMIFS(Crochet!$AG$5:$AG$84,Crochet!$A$5:$A$84,A231)+SUMIFS(Jewelry!$AI$5:$AI$84,Jewelry!$A$5:$A$84,A231)+SUMIFS(Candles!$AI$5:$AI$84,Candles!$A$5:$A$84,A231)+SUMIFS(Clothing!$AE$5:$AE$84,Clothing!$A$5:$A$84,A231)+SUMIFS(Woodworking!$AF$5:$AF$84,Woodworking!$A$5:$A$84,A231)+SUMIFS(Digital!$Z$5:$Z$84,Digital!$A$5:$A$84,A231),2))</f>
        <v>0</v>
      </c>
      <c r="V231" s="36">
        <f>IF(B231="","",ROUND(SUMIFS(Labor!$P$5:$P$304,Labor!$A$5:$A$304,A231)+SUMIFS(Crochet!$AE$5:$AE$84,Crochet!$A$5:$A$84,A231)+SUMIFS(Jewelry!$AG$5:$AG$84,Jewelry!$A$5:$A$84,A231)+SUMIFS(Candles!$AG$5:$AG$84,Candles!$A$5:$A$84,A231)+SUMIFS(Clothing!$AC$5:$AC$84,Clothing!$A$5:$A$84,A231)+SUMIFS(Woodworking!$AD$5:$AD$84,Woodworking!$A$5:$A$84,A231)+SUMIFS(Digital!$Y$5:$Y$84,Digital!$A$5:$A$84,A231),1))</f>
        <v>0</v>
      </c>
      <c r="W231" s="41">
        <f>IF(B231="","",IFERROR(INDEX(DiffTimeFactors,MATCH(G231,DiffNames,0)),1))</f>
        <v>0</v>
      </c>
      <c r="X231" s="36">
        <f>IF(B231="","",ROUND(V231*W231,1))</f>
        <v>0</v>
      </c>
      <c r="Y231" s="41">
        <f>IF(B231="","",ROUND(X231/60,3))</f>
        <v>0</v>
      </c>
      <c r="Z231" s="20">
        <f>IF(B231="","",ROUND(U231*W231,2))</f>
        <v>0</v>
      </c>
      <c r="AA231" s="20">
        <f>IF(B231="","",ROUND(SUMIFS(Labor!$Q$5:$Q$304,Labor!$A$5:$A$304,A231)+SUMIFS(Crochet!$AH$5:$AH$84,Crochet!$A$5:$A$84,A231)+SUMIFS(Jewelry!$AJ$5:$AJ$84,Jewelry!$A$5:$A$84,A231)+SUMIFS(Candles!$AJ$5:$AJ$84,Candles!$A$5:$A$84,A231)+SUMIFS(Clothing!$AF$5:$AF$84,Clothing!$A$5:$A$84,A231)+SUMIFS(Woodworking!$AH$5:$AH$84,Woodworking!$A$5:$A$84,A231)+SUMIFS(Digital!$AA$5:$AA$84,Digital!$A$5:$A$84,A231),2))</f>
        <v>0</v>
      </c>
      <c r="AB231" s="20">
        <f>IF(B231="","",ROUND(IF(I231="Budget",PackBudget,IF(I231="Standard",PackStandard,IF(I231="Gift",PackGift,IF(I231="Premium",PackPremium,DefaultPackaging)))),2))</f>
        <v>0</v>
      </c>
      <c r="AC231" s="36">
        <f>IF(B231="","",IF(I231="Budget",PackWeightBudget,IF(I231="Standard",PackWeightStandard,IF(I231="Gift",PackWeightGift,IF(I231="Premium",PackWeightPremium,0)))))</f>
        <v>0</v>
      </c>
      <c r="AD231" s="20">
        <f>IF(B231="","",IFERROR(INDEX(Shipping!$M$5:$M$64,MATCH(J231,Shipping!$L$5:$L$64,0)),DefaultShipping))</f>
        <v>0</v>
      </c>
      <c r="AE231" s="20">
        <f>IF(B231="","",IFERROR(INDEX(Shipping!$F$5:$F$64,MATCH(J231,Shipping!$L$5:$L$64,0)),0))</f>
        <v>0</v>
      </c>
      <c r="AF231" s="36">
        <f>IF(B231="","",IFERROR(INDEX(Shipping!$C$5:$C$64,MATCH(J231,Shipping!$L$5:$L$64,0)),""))</f>
        <v>0</v>
      </c>
      <c r="AG231" s="20">
        <f>IF(B231="","",ROUND(MAX(0,AD231-AE231),2))</f>
        <v>0</v>
      </c>
      <c r="AH231" s="20">
        <f>IF(B231="","",ROUND(T231+Z231+AA231+AB231+AG231,2))</f>
        <v>0</v>
      </c>
      <c r="AI231" s="33">
        <f>IF(B231="","",IFERROR(INDEX(Channels!$S$5:$S$18,MATCH(IF(H231="",DefaultChannel,H231),Channels!$A$5:$A$18,0)),0))</f>
        <v>0</v>
      </c>
      <c r="AJ231" s="42">
        <f>IF(B231="","",IFERROR(INDEX(Channels!$O$5:$O$18,MATCH(IF(H231="",DefaultChannel,H231),Channels!$A$5:$A$18,0)),"No"))</f>
        <v>0</v>
      </c>
      <c r="AK231" s="20">
        <f>IF(B231="","",ROUND(IFERROR(INDEX(Channels!$T$5:$T$18,MATCH(IF(H231="",DefaultChannel,H231),Channels!$A$5:$A$18,0)),0)+IF(AJ231="Yes",AE231*AI231,0),4))</f>
        <v>0</v>
      </c>
      <c r="AL231" s="33">
        <f>IF(B231="","",IF(OverheadMethod="Share of revenue",IF(RevenueTargetMonth&lt;=0,0,OverheadMonthly/RevenueTargetMonth),0))</f>
        <v>0</v>
      </c>
      <c r="AM231" s="20">
        <f>IF(B231="","",IF(OverheadMethod="Per hour worked",ROUND(OverheadPerHour*Y231,2),IF(OR(OverheadMethod="Per unit made",OverheadMethod="Per order"),OverheadPerUnit,0)))</f>
        <v>0</v>
      </c>
      <c r="AN231" s="33">
        <f>IF(B231="","",IF(N231&lt;&gt;"",N231,TargetRetailMargin))</f>
        <v>0</v>
      </c>
      <c r="AO231" s="41">
        <f>IF(B231="","",1-AN231-AI231-AL231)</f>
        <v>0</v>
      </c>
      <c r="AP231" s="20">
        <f>IF(B231="","",IF(AO231&lt;=0,"",(AH231+AM231+AK231)/AO231))</f>
        <v>0</v>
      </c>
      <c r="AQ231" s="20">
        <f>IF(B231="","",IF(AP231="","Check the settings",ROUND(IF(RoundingRule="None",AP231,IF(RoundingRule="Nearest 0.99",MAX(0.99,CEILING(AP231,1)-0.01),IF(RoundingRule="Nearest 0.95",MAX(0.95,CEILING(AP231,1)-0.05),IF(RoundingRule="Nearest 0.50",CEILING(AP231,0.5),IF(RoundingRule="Nearest 1",CEILING(AP231,1),IF(RoundingRule="Nearest 5",CEILING(AP231,5),IF(RoundingRule="Up to whole 1",CEILING(AP231,1),IF(RoundingRule="Up to whole 5",CEILING(AP231,5),ROUND(AP231,2))))))))),2)))</f>
        <v>0</v>
      </c>
      <c r="AR231" s="20">
        <f>IF(B231="","",IF(M231&lt;&gt;"",M231,IF(ISNUMBER(AQ231),AQ231,"")))</f>
        <v>0</v>
      </c>
      <c r="AS231" s="20">
        <f>IF(B231="","",IF(AR231="","",ROUND(AM231+AR231*AL231,2)))</f>
        <v>0</v>
      </c>
      <c r="AT231" s="20">
        <f>IF(B231="","",IF(AR231="","",ROUND(AH231+AS231,2)))</f>
        <v>0</v>
      </c>
      <c r="AU231" s="20">
        <f>IF(B231="","",IF(AR231="","",ROUND(AR231*AI231+AK231,2)))</f>
        <v>0</v>
      </c>
      <c r="AV231" s="20">
        <f>IF(B231="","",IF(AR231="","",ROUND(AR231-AT231-AU231,2)))</f>
        <v>0</v>
      </c>
      <c r="AW231" s="33">
        <f>IF(B231="","",IF(OR(AR231="",AR231=0),"",AV231/AR231))</f>
        <v>0</v>
      </c>
      <c r="AX231" s="33">
        <f>IF(B231="","",IF(OR(AT231="",AT231=0),"",AV231/AT231))</f>
        <v>0</v>
      </c>
      <c r="AY231" s="20">
        <f>IF(B231="","",IF(OR(Y231="",Y231=0,AV231=""),"",ROUND(AV231/Y231,2)))</f>
        <v>0</v>
      </c>
      <c r="AZ231" s="20">
        <f>IF(B231="","",IF(OR(Y231="",Y231=0,AV231=""),"",ROUND((AV231+Z231)/Y231,2)))</f>
        <v>0</v>
      </c>
      <c r="BA231" s="20">
        <f>IF(B231="","",IF(1-AI231-AL231&lt;=0,"",ROUND((AH231+AM231+AK231)/(1-AI231-AL231),2)))</f>
        <v>0</v>
      </c>
      <c r="BB231" s="20">
        <f>IF(B231="","",IF(AT231="","",ROUND(AT231*2,2)))</f>
        <v>0</v>
      </c>
      <c r="BC231" s="20">
        <f>IF(B231="","",IF(AR231="","",ROUND(AR231*(1-WholesaleDiscount),2)))</f>
        <v>0</v>
      </c>
      <c r="BD231" s="20">
        <f>IF(B231="","",IF(BC231="","",ROUND(BC231-AH231-AM231,2)))</f>
        <v>0</v>
      </c>
      <c r="BE231" s="33">
        <f>IF(B231="","",IF(OR(BC231="",BC231=0),"",BD231/BC231))</f>
        <v>0</v>
      </c>
      <c r="BF231" s="20">
        <f>IF(B231="","",IFERROR(ROUND(AVERAGEIFS(Competitors!$F$5:$F$154,Competitors!$A$5:$A$154,A231),2),""))</f>
        <v>0</v>
      </c>
      <c r="BG231" s="33">
        <f>IF(B231="","",IF(OR(BF231="",BF231=0,AR231=""),"",AR231/BF231-1))</f>
        <v>0</v>
      </c>
      <c r="BH231" s="32">
        <f>IF(B231="","",SUMIFS(Sales!$D$5:$D$804,Sales!$C$5:$C$804,A231))</f>
        <v>0</v>
      </c>
      <c r="BI231" s="20">
        <f>IF(B231="","",ROUND(SUMIFS(Sales!$V$5:$V$804,Sales!$C$5:$C$804,A231),2))</f>
        <v>0</v>
      </c>
      <c r="BJ231" s="20">
        <f>IF(B231="","",ROUND(SUMIFS(Sales!$AG$5:$AG$804,Sales!$C$5:$C$804,A231),2))</f>
        <v>0</v>
      </c>
      <c r="BK231" s="33">
        <f>IF(B231="","",IF(OR(BI231="",BI231=0),"",BJ231/BI231))</f>
        <v>0</v>
      </c>
      <c r="BL231" s="17">
        <f>IF(B231="","",IF(SUMPRODUCT(MAX((Sales!$C$5:$C$804=A231)*Sales!$B$5:$B$804))=0,"",SUMPRODUCT(MAX((Sales!$C$5:$C$804=A231)*Sales!$B$5:$B$804))))</f>
        <v>0</v>
      </c>
      <c r="BM231" s="17">
        <f>IF(B231="","",IF(SUMPRODUCT(MAX(('Price History'!$B$5:$B$304=A231)*'Price History'!$A$5:$A$304))=0,IF(P231="","",P231),SUMPRODUCT(MAX(('Price History'!$B$5:$B$304=A231)*'Price History'!$A$5:$A$304))))</f>
        <v>0</v>
      </c>
      <c r="BN231" s="32">
        <f>IF(B231="","",IF(BM231="","",TodayDate-BM231))</f>
        <v>0</v>
      </c>
      <c r="BO231" s="32">
        <f>IF(B231="","",COUNTIFS($AV$5:$AV$304,"&gt;"&amp;AV231)+COUNTIFS($AV$5:AV231,AV231))</f>
        <v>0</v>
      </c>
      <c r="BP231" s="32">
        <f>IF(B231="","",COUNTIFS($AW$5:$AW$304,"&gt;"&amp;AW231)+COUNTIFS($AW$5:AW231,AW231))</f>
        <v>0</v>
      </c>
      <c r="BQ231" s="32">
        <f>IF(B231="","",COUNTIFS($BI$5:$BI$304,"&gt;"&amp;BI231)+COUNTIFS($BI$5:BI231,BI231))</f>
        <v>0</v>
      </c>
      <c r="BR231" s="32">
        <f>IF(B231="","",COUNTIFS($AY$5:$AY$304,"&gt;"&amp;AY231)+COUNTIFS($AY$5:AY231,AY231))</f>
        <v>0</v>
      </c>
      <c r="BS231" s="43">
        <f>IF(B231="","",IF(AH231=0,"Add - no costs entered yet",IF(AR231="","Check - no price yet",IF(AV231&lt;0,"Loss - every sale costs you money",IF(AND(AZ231&lt;&gt;"",AZ231&lt;MinimumWage),"Below - pays under minimum wage",IF(AW231&lt;MarginWarning,"Low margin - re-price it",IF(AND(AF231&lt;&gt;"",K231&lt;&gt;"",K231+AC231&gt;AF231),"Check - too heavy for that postage band",IF(AND(BN231&lt;&gt;"",BN231&gt;PriceReviewDays),"Due - price has not been reviewed",IF(AND(BG231&lt;&gt;"",BG231&gt;0.5),"Check - well above the market","OK")))))))) )</f>
        <v>0</v>
      </c>
    </row>
    <row r="232" spans="1:71">
      <c r="A232" s="38">
        <f>IF(B232="","",ProductPrefix&amp;TEXT(ROW()-4,"0000"))</f>
        <v>0</v>
      </c>
      <c r="S232" s="38">
        <f>IF(B232="","",IF(C232&lt;&gt;"",C232,UPPER(LEFT(IF(D232="","GEN",D232),3))&amp;"-"&amp;TEXT(ROW()-4,"000")))</f>
        <v>0</v>
      </c>
      <c r="T232" s="20">
        <f>IF(B232="","",ROUND(SUMIFS('Material Usage'!$M$5:$M$904,'Material Usage'!$A$5:$A$904,A232)+SUMIFS(Crochet!$AD$5:$AD$84,Crochet!$A$5:$A$84,A232)+SUMIFS(Jewelry!$AF$5:$AF$84,Jewelry!$A$5:$A$84,A232)+SUMIFS(Candles!$AF$5:$AF$84,Candles!$A$5:$A$84,A232)+SUMIFS(Clothing!$AB$5:$AB$84,Clothing!$A$5:$A$84,A232)+SUMIFS(Woodworking!$AC$5:$AC$84,Woodworking!$A$5:$A$84,A232)+SUMIFS(Digital!$X$5:$X$84,Digital!$A$5:$A$84,A232),2))</f>
        <v>0</v>
      </c>
      <c r="U232" s="20">
        <f>IF(B232="","",ROUND(SUMIFS(Labor!$O$5:$O$304,Labor!$A$5:$A$304,A232)+SUMIFS(Crochet!$AG$5:$AG$84,Crochet!$A$5:$A$84,A232)+SUMIFS(Jewelry!$AI$5:$AI$84,Jewelry!$A$5:$A$84,A232)+SUMIFS(Candles!$AI$5:$AI$84,Candles!$A$5:$A$84,A232)+SUMIFS(Clothing!$AE$5:$AE$84,Clothing!$A$5:$A$84,A232)+SUMIFS(Woodworking!$AF$5:$AF$84,Woodworking!$A$5:$A$84,A232)+SUMIFS(Digital!$Z$5:$Z$84,Digital!$A$5:$A$84,A232),2))</f>
        <v>0</v>
      </c>
      <c r="V232" s="36">
        <f>IF(B232="","",ROUND(SUMIFS(Labor!$P$5:$P$304,Labor!$A$5:$A$304,A232)+SUMIFS(Crochet!$AE$5:$AE$84,Crochet!$A$5:$A$84,A232)+SUMIFS(Jewelry!$AG$5:$AG$84,Jewelry!$A$5:$A$84,A232)+SUMIFS(Candles!$AG$5:$AG$84,Candles!$A$5:$A$84,A232)+SUMIFS(Clothing!$AC$5:$AC$84,Clothing!$A$5:$A$84,A232)+SUMIFS(Woodworking!$AD$5:$AD$84,Woodworking!$A$5:$A$84,A232)+SUMIFS(Digital!$Y$5:$Y$84,Digital!$A$5:$A$84,A232),1))</f>
        <v>0</v>
      </c>
      <c r="W232" s="41">
        <f>IF(B232="","",IFERROR(INDEX(DiffTimeFactors,MATCH(G232,DiffNames,0)),1))</f>
        <v>0</v>
      </c>
      <c r="X232" s="36">
        <f>IF(B232="","",ROUND(V232*W232,1))</f>
        <v>0</v>
      </c>
      <c r="Y232" s="41">
        <f>IF(B232="","",ROUND(X232/60,3))</f>
        <v>0</v>
      </c>
      <c r="Z232" s="20">
        <f>IF(B232="","",ROUND(U232*W232,2))</f>
        <v>0</v>
      </c>
      <c r="AA232" s="20">
        <f>IF(B232="","",ROUND(SUMIFS(Labor!$Q$5:$Q$304,Labor!$A$5:$A$304,A232)+SUMIFS(Crochet!$AH$5:$AH$84,Crochet!$A$5:$A$84,A232)+SUMIFS(Jewelry!$AJ$5:$AJ$84,Jewelry!$A$5:$A$84,A232)+SUMIFS(Candles!$AJ$5:$AJ$84,Candles!$A$5:$A$84,A232)+SUMIFS(Clothing!$AF$5:$AF$84,Clothing!$A$5:$A$84,A232)+SUMIFS(Woodworking!$AH$5:$AH$84,Woodworking!$A$5:$A$84,A232)+SUMIFS(Digital!$AA$5:$AA$84,Digital!$A$5:$A$84,A232),2))</f>
        <v>0</v>
      </c>
      <c r="AB232" s="20">
        <f>IF(B232="","",ROUND(IF(I232="Budget",PackBudget,IF(I232="Standard",PackStandard,IF(I232="Gift",PackGift,IF(I232="Premium",PackPremium,DefaultPackaging)))),2))</f>
        <v>0</v>
      </c>
      <c r="AC232" s="36">
        <f>IF(B232="","",IF(I232="Budget",PackWeightBudget,IF(I232="Standard",PackWeightStandard,IF(I232="Gift",PackWeightGift,IF(I232="Premium",PackWeightPremium,0)))))</f>
        <v>0</v>
      </c>
      <c r="AD232" s="20">
        <f>IF(B232="","",IFERROR(INDEX(Shipping!$M$5:$M$64,MATCH(J232,Shipping!$L$5:$L$64,0)),DefaultShipping))</f>
        <v>0</v>
      </c>
      <c r="AE232" s="20">
        <f>IF(B232="","",IFERROR(INDEX(Shipping!$F$5:$F$64,MATCH(J232,Shipping!$L$5:$L$64,0)),0))</f>
        <v>0</v>
      </c>
      <c r="AF232" s="36">
        <f>IF(B232="","",IFERROR(INDEX(Shipping!$C$5:$C$64,MATCH(J232,Shipping!$L$5:$L$64,0)),""))</f>
        <v>0</v>
      </c>
      <c r="AG232" s="20">
        <f>IF(B232="","",ROUND(MAX(0,AD232-AE232),2))</f>
        <v>0</v>
      </c>
      <c r="AH232" s="20">
        <f>IF(B232="","",ROUND(T232+Z232+AA232+AB232+AG232,2))</f>
        <v>0</v>
      </c>
      <c r="AI232" s="33">
        <f>IF(B232="","",IFERROR(INDEX(Channels!$S$5:$S$18,MATCH(IF(H232="",DefaultChannel,H232),Channels!$A$5:$A$18,0)),0))</f>
        <v>0</v>
      </c>
      <c r="AJ232" s="42">
        <f>IF(B232="","",IFERROR(INDEX(Channels!$O$5:$O$18,MATCH(IF(H232="",DefaultChannel,H232),Channels!$A$5:$A$18,0)),"No"))</f>
        <v>0</v>
      </c>
      <c r="AK232" s="20">
        <f>IF(B232="","",ROUND(IFERROR(INDEX(Channels!$T$5:$T$18,MATCH(IF(H232="",DefaultChannel,H232),Channels!$A$5:$A$18,0)),0)+IF(AJ232="Yes",AE232*AI232,0),4))</f>
        <v>0</v>
      </c>
      <c r="AL232" s="33">
        <f>IF(B232="","",IF(OverheadMethod="Share of revenue",IF(RevenueTargetMonth&lt;=0,0,OverheadMonthly/RevenueTargetMonth),0))</f>
        <v>0</v>
      </c>
      <c r="AM232" s="20">
        <f>IF(B232="","",IF(OverheadMethod="Per hour worked",ROUND(OverheadPerHour*Y232,2),IF(OR(OverheadMethod="Per unit made",OverheadMethod="Per order"),OverheadPerUnit,0)))</f>
        <v>0</v>
      </c>
      <c r="AN232" s="33">
        <f>IF(B232="","",IF(N232&lt;&gt;"",N232,TargetRetailMargin))</f>
        <v>0</v>
      </c>
      <c r="AO232" s="41">
        <f>IF(B232="","",1-AN232-AI232-AL232)</f>
        <v>0</v>
      </c>
      <c r="AP232" s="20">
        <f>IF(B232="","",IF(AO232&lt;=0,"",(AH232+AM232+AK232)/AO232))</f>
        <v>0</v>
      </c>
      <c r="AQ232" s="20">
        <f>IF(B232="","",IF(AP232="","Check the settings",ROUND(IF(RoundingRule="None",AP232,IF(RoundingRule="Nearest 0.99",MAX(0.99,CEILING(AP232,1)-0.01),IF(RoundingRule="Nearest 0.95",MAX(0.95,CEILING(AP232,1)-0.05),IF(RoundingRule="Nearest 0.50",CEILING(AP232,0.5),IF(RoundingRule="Nearest 1",CEILING(AP232,1),IF(RoundingRule="Nearest 5",CEILING(AP232,5),IF(RoundingRule="Up to whole 1",CEILING(AP232,1),IF(RoundingRule="Up to whole 5",CEILING(AP232,5),ROUND(AP232,2))))))))),2)))</f>
        <v>0</v>
      </c>
      <c r="AR232" s="20">
        <f>IF(B232="","",IF(M232&lt;&gt;"",M232,IF(ISNUMBER(AQ232),AQ232,"")))</f>
        <v>0</v>
      </c>
      <c r="AS232" s="20">
        <f>IF(B232="","",IF(AR232="","",ROUND(AM232+AR232*AL232,2)))</f>
        <v>0</v>
      </c>
      <c r="AT232" s="20">
        <f>IF(B232="","",IF(AR232="","",ROUND(AH232+AS232,2)))</f>
        <v>0</v>
      </c>
      <c r="AU232" s="20">
        <f>IF(B232="","",IF(AR232="","",ROUND(AR232*AI232+AK232,2)))</f>
        <v>0</v>
      </c>
      <c r="AV232" s="20">
        <f>IF(B232="","",IF(AR232="","",ROUND(AR232-AT232-AU232,2)))</f>
        <v>0</v>
      </c>
      <c r="AW232" s="33">
        <f>IF(B232="","",IF(OR(AR232="",AR232=0),"",AV232/AR232))</f>
        <v>0</v>
      </c>
      <c r="AX232" s="33">
        <f>IF(B232="","",IF(OR(AT232="",AT232=0),"",AV232/AT232))</f>
        <v>0</v>
      </c>
      <c r="AY232" s="20">
        <f>IF(B232="","",IF(OR(Y232="",Y232=0,AV232=""),"",ROUND(AV232/Y232,2)))</f>
        <v>0</v>
      </c>
      <c r="AZ232" s="20">
        <f>IF(B232="","",IF(OR(Y232="",Y232=0,AV232=""),"",ROUND((AV232+Z232)/Y232,2)))</f>
        <v>0</v>
      </c>
      <c r="BA232" s="20">
        <f>IF(B232="","",IF(1-AI232-AL232&lt;=0,"",ROUND((AH232+AM232+AK232)/(1-AI232-AL232),2)))</f>
        <v>0</v>
      </c>
      <c r="BB232" s="20">
        <f>IF(B232="","",IF(AT232="","",ROUND(AT232*2,2)))</f>
        <v>0</v>
      </c>
      <c r="BC232" s="20">
        <f>IF(B232="","",IF(AR232="","",ROUND(AR232*(1-WholesaleDiscount),2)))</f>
        <v>0</v>
      </c>
      <c r="BD232" s="20">
        <f>IF(B232="","",IF(BC232="","",ROUND(BC232-AH232-AM232,2)))</f>
        <v>0</v>
      </c>
      <c r="BE232" s="33">
        <f>IF(B232="","",IF(OR(BC232="",BC232=0),"",BD232/BC232))</f>
        <v>0</v>
      </c>
      <c r="BF232" s="20">
        <f>IF(B232="","",IFERROR(ROUND(AVERAGEIFS(Competitors!$F$5:$F$154,Competitors!$A$5:$A$154,A232),2),""))</f>
        <v>0</v>
      </c>
      <c r="BG232" s="33">
        <f>IF(B232="","",IF(OR(BF232="",BF232=0,AR232=""),"",AR232/BF232-1))</f>
        <v>0</v>
      </c>
      <c r="BH232" s="32">
        <f>IF(B232="","",SUMIFS(Sales!$D$5:$D$804,Sales!$C$5:$C$804,A232))</f>
        <v>0</v>
      </c>
      <c r="BI232" s="20">
        <f>IF(B232="","",ROUND(SUMIFS(Sales!$V$5:$V$804,Sales!$C$5:$C$804,A232),2))</f>
        <v>0</v>
      </c>
      <c r="BJ232" s="20">
        <f>IF(B232="","",ROUND(SUMIFS(Sales!$AG$5:$AG$804,Sales!$C$5:$C$804,A232),2))</f>
        <v>0</v>
      </c>
      <c r="BK232" s="33">
        <f>IF(B232="","",IF(OR(BI232="",BI232=0),"",BJ232/BI232))</f>
        <v>0</v>
      </c>
      <c r="BL232" s="17">
        <f>IF(B232="","",IF(SUMPRODUCT(MAX((Sales!$C$5:$C$804=A232)*Sales!$B$5:$B$804))=0,"",SUMPRODUCT(MAX((Sales!$C$5:$C$804=A232)*Sales!$B$5:$B$804))))</f>
        <v>0</v>
      </c>
      <c r="BM232" s="17">
        <f>IF(B232="","",IF(SUMPRODUCT(MAX(('Price History'!$B$5:$B$304=A232)*'Price History'!$A$5:$A$304))=0,IF(P232="","",P232),SUMPRODUCT(MAX(('Price History'!$B$5:$B$304=A232)*'Price History'!$A$5:$A$304))))</f>
        <v>0</v>
      </c>
      <c r="BN232" s="32">
        <f>IF(B232="","",IF(BM232="","",TodayDate-BM232))</f>
        <v>0</v>
      </c>
      <c r="BO232" s="32">
        <f>IF(B232="","",COUNTIFS($AV$5:$AV$304,"&gt;"&amp;AV232)+COUNTIFS($AV$5:AV232,AV232))</f>
        <v>0</v>
      </c>
      <c r="BP232" s="32">
        <f>IF(B232="","",COUNTIFS($AW$5:$AW$304,"&gt;"&amp;AW232)+COUNTIFS($AW$5:AW232,AW232))</f>
        <v>0</v>
      </c>
      <c r="BQ232" s="32">
        <f>IF(B232="","",COUNTIFS($BI$5:$BI$304,"&gt;"&amp;BI232)+COUNTIFS($BI$5:BI232,BI232))</f>
        <v>0</v>
      </c>
      <c r="BR232" s="32">
        <f>IF(B232="","",COUNTIFS($AY$5:$AY$304,"&gt;"&amp;AY232)+COUNTIFS($AY$5:AY232,AY232))</f>
        <v>0</v>
      </c>
      <c r="BS232" s="43">
        <f>IF(B232="","",IF(AH232=0,"Add - no costs entered yet",IF(AR232="","Check - no price yet",IF(AV232&lt;0,"Loss - every sale costs you money",IF(AND(AZ232&lt;&gt;"",AZ232&lt;MinimumWage),"Below - pays under minimum wage",IF(AW232&lt;MarginWarning,"Low margin - re-price it",IF(AND(AF232&lt;&gt;"",K232&lt;&gt;"",K232+AC232&gt;AF232),"Check - too heavy for that postage band",IF(AND(BN232&lt;&gt;"",BN232&gt;PriceReviewDays),"Due - price has not been reviewed",IF(AND(BG232&lt;&gt;"",BG232&gt;0.5),"Check - well above the market","OK")))))))) )</f>
        <v>0</v>
      </c>
    </row>
    <row r="233" spans="1:71">
      <c r="A233" s="38">
        <f>IF(B233="","",ProductPrefix&amp;TEXT(ROW()-4,"0000"))</f>
        <v>0</v>
      </c>
      <c r="S233" s="38">
        <f>IF(B233="","",IF(C233&lt;&gt;"",C233,UPPER(LEFT(IF(D233="","GEN",D233),3))&amp;"-"&amp;TEXT(ROW()-4,"000")))</f>
        <v>0</v>
      </c>
      <c r="T233" s="20">
        <f>IF(B233="","",ROUND(SUMIFS('Material Usage'!$M$5:$M$904,'Material Usage'!$A$5:$A$904,A233)+SUMIFS(Crochet!$AD$5:$AD$84,Crochet!$A$5:$A$84,A233)+SUMIFS(Jewelry!$AF$5:$AF$84,Jewelry!$A$5:$A$84,A233)+SUMIFS(Candles!$AF$5:$AF$84,Candles!$A$5:$A$84,A233)+SUMIFS(Clothing!$AB$5:$AB$84,Clothing!$A$5:$A$84,A233)+SUMIFS(Woodworking!$AC$5:$AC$84,Woodworking!$A$5:$A$84,A233)+SUMIFS(Digital!$X$5:$X$84,Digital!$A$5:$A$84,A233),2))</f>
        <v>0</v>
      </c>
      <c r="U233" s="20">
        <f>IF(B233="","",ROUND(SUMIFS(Labor!$O$5:$O$304,Labor!$A$5:$A$304,A233)+SUMIFS(Crochet!$AG$5:$AG$84,Crochet!$A$5:$A$84,A233)+SUMIFS(Jewelry!$AI$5:$AI$84,Jewelry!$A$5:$A$84,A233)+SUMIFS(Candles!$AI$5:$AI$84,Candles!$A$5:$A$84,A233)+SUMIFS(Clothing!$AE$5:$AE$84,Clothing!$A$5:$A$84,A233)+SUMIFS(Woodworking!$AF$5:$AF$84,Woodworking!$A$5:$A$84,A233)+SUMIFS(Digital!$Z$5:$Z$84,Digital!$A$5:$A$84,A233),2))</f>
        <v>0</v>
      </c>
      <c r="V233" s="36">
        <f>IF(B233="","",ROUND(SUMIFS(Labor!$P$5:$P$304,Labor!$A$5:$A$304,A233)+SUMIFS(Crochet!$AE$5:$AE$84,Crochet!$A$5:$A$84,A233)+SUMIFS(Jewelry!$AG$5:$AG$84,Jewelry!$A$5:$A$84,A233)+SUMIFS(Candles!$AG$5:$AG$84,Candles!$A$5:$A$84,A233)+SUMIFS(Clothing!$AC$5:$AC$84,Clothing!$A$5:$A$84,A233)+SUMIFS(Woodworking!$AD$5:$AD$84,Woodworking!$A$5:$A$84,A233)+SUMIFS(Digital!$Y$5:$Y$84,Digital!$A$5:$A$84,A233),1))</f>
        <v>0</v>
      </c>
      <c r="W233" s="41">
        <f>IF(B233="","",IFERROR(INDEX(DiffTimeFactors,MATCH(G233,DiffNames,0)),1))</f>
        <v>0</v>
      </c>
      <c r="X233" s="36">
        <f>IF(B233="","",ROUND(V233*W233,1))</f>
        <v>0</v>
      </c>
      <c r="Y233" s="41">
        <f>IF(B233="","",ROUND(X233/60,3))</f>
        <v>0</v>
      </c>
      <c r="Z233" s="20">
        <f>IF(B233="","",ROUND(U233*W233,2))</f>
        <v>0</v>
      </c>
      <c r="AA233" s="20">
        <f>IF(B233="","",ROUND(SUMIFS(Labor!$Q$5:$Q$304,Labor!$A$5:$A$304,A233)+SUMIFS(Crochet!$AH$5:$AH$84,Crochet!$A$5:$A$84,A233)+SUMIFS(Jewelry!$AJ$5:$AJ$84,Jewelry!$A$5:$A$84,A233)+SUMIFS(Candles!$AJ$5:$AJ$84,Candles!$A$5:$A$84,A233)+SUMIFS(Clothing!$AF$5:$AF$84,Clothing!$A$5:$A$84,A233)+SUMIFS(Woodworking!$AH$5:$AH$84,Woodworking!$A$5:$A$84,A233)+SUMIFS(Digital!$AA$5:$AA$84,Digital!$A$5:$A$84,A233),2))</f>
        <v>0</v>
      </c>
      <c r="AB233" s="20">
        <f>IF(B233="","",ROUND(IF(I233="Budget",PackBudget,IF(I233="Standard",PackStandard,IF(I233="Gift",PackGift,IF(I233="Premium",PackPremium,DefaultPackaging)))),2))</f>
        <v>0</v>
      </c>
      <c r="AC233" s="36">
        <f>IF(B233="","",IF(I233="Budget",PackWeightBudget,IF(I233="Standard",PackWeightStandard,IF(I233="Gift",PackWeightGift,IF(I233="Premium",PackWeightPremium,0)))))</f>
        <v>0</v>
      </c>
      <c r="AD233" s="20">
        <f>IF(B233="","",IFERROR(INDEX(Shipping!$M$5:$M$64,MATCH(J233,Shipping!$L$5:$L$64,0)),DefaultShipping))</f>
        <v>0</v>
      </c>
      <c r="AE233" s="20">
        <f>IF(B233="","",IFERROR(INDEX(Shipping!$F$5:$F$64,MATCH(J233,Shipping!$L$5:$L$64,0)),0))</f>
        <v>0</v>
      </c>
      <c r="AF233" s="36">
        <f>IF(B233="","",IFERROR(INDEX(Shipping!$C$5:$C$64,MATCH(J233,Shipping!$L$5:$L$64,0)),""))</f>
        <v>0</v>
      </c>
      <c r="AG233" s="20">
        <f>IF(B233="","",ROUND(MAX(0,AD233-AE233),2))</f>
        <v>0</v>
      </c>
      <c r="AH233" s="20">
        <f>IF(B233="","",ROUND(T233+Z233+AA233+AB233+AG233,2))</f>
        <v>0</v>
      </c>
      <c r="AI233" s="33">
        <f>IF(B233="","",IFERROR(INDEX(Channels!$S$5:$S$18,MATCH(IF(H233="",DefaultChannel,H233),Channels!$A$5:$A$18,0)),0))</f>
        <v>0</v>
      </c>
      <c r="AJ233" s="42">
        <f>IF(B233="","",IFERROR(INDEX(Channels!$O$5:$O$18,MATCH(IF(H233="",DefaultChannel,H233),Channels!$A$5:$A$18,0)),"No"))</f>
        <v>0</v>
      </c>
      <c r="AK233" s="20">
        <f>IF(B233="","",ROUND(IFERROR(INDEX(Channels!$T$5:$T$18,MATCH(IF(H233="",DefaultChannel,H233),Channels!$A$5:$A$18,0)),0)+IF(AJ233="Yes",AE233*AI233,0),4))</f>
        <v>0</v>
      </c>
      <c r="AL233" s="33">
        <f>IF(B233="","",IF(OverheadMethod="Share of revenue",IF(RevenueTargetMonth&lt;=0,0,OverheadMonthly/RevenueTargetMonth),0))</f>
        <v>0</v>
      </c>
      <c r="AM233" s="20">
        <f>IF(B233="","",IF(OverheadMethod="Per hour worked",ROUND(OverheadPerHour*Y233,2),IF(OR(OverheadMethod="Per unit made",OverheadMethod="Per order"),OverheadPerUnit,0)))</f>
        <v>0</v>
      </c>
      <c r="AN233" s="33">
        <f>IF(B233="","",IF(N233&lt;&gt;"",N233,TargetRetailMargin))</f>
        <v>0</v>
      </c>
      <c r="AO233" s="41">
        <f>IF(B233="","",1-AN233-AI233-AL233)</f>
        <v>0</v>
      </c>
      <c r="AP233" s="20">
        <f>IF(B233="","",IF(AO233&lt;=0,"",(AH233+AM233+AK233)/AO233))</f>
        <v>0</v>
      </c>
      <c r="AQ233" s="20">
        <f>IF(B233="","",IF(AP233="","Check the settings",ROUND(IF(RoundingRule="None",AP233,IF(RoundingRule="Nearest 0.99",MAX(0.99,CEILING(AP233,1)-0.01),IF(RoundingRule="Nearest 0.95",MAX(0.95,CEILING(AP233,1)-0.05),IF(RoundingRule="Nearest 0.50",CEILING(AP233,0.5),IF(RoundingRule="Nearest 1",CEILING(AP233,1),IF(RoundingRule="Nearest 5",CEILING(AP233,5),IF(RoundingRule="Up to whole 1",CEILING(AP233,1),IF(RoundingRule="Up to whole 5",CEILING(AP233,5),ROUND(AP233,2))))))))),2)))</f>
        <v>0</v>
      </c>
      <c r="AR233" s="20">
        <f>IF(B233="","",IF(M233&lt;&gt;"",M233,IF(ISNUMBER(AQ233),AQ233,"")))</f>
        <v>0</v>
      </c>
      <c r="AS233" s="20">
        <f>IF(B233="","",IF(AR233="","",ROUND(AM233+AR233*AL233,2)))</f>
        <v>0</v>
      </c>
      <c r="AT233" s="20">
        <f>IF(B233="","",IF(AR233="","",ROUND(AH233+AS233,2)))</f>
        <v>0</v>
      </c>
      <c r="AU233" s="20">
        <f>IF(B233="","",IF(AR233="","",ROUND(AR233*AI233+AK233,2)))</f>
        <v>0</v>
      </c>
      <c r="AV233" s="20">
        <f>IF(B233="","",IF(AR233="","",ROUND(AR233-AT233-AU233,2)))</f>
        <v>0</v>
      </c>
      <c r="AW233" s="33">
        <f>IF(B233="","",IF(OR(AR233="",AR233=0),"",AV233/AR233))</f>
        <v>0</v>
      </c>
      <c r="AX233" s="33">
        <f>IF(B233="","",IF(OR(AT233="",AT233=0),"",AV233/AT233))</f>
        <v>0</v>
      </c>
      <c r="AY233" s="20">
        <f>IF(B233="","",IF(OR(Y233="",Y233=0,AV233=""),"",ROUND(AV233/Y233,2)))</f>
        <v>0</v>
      </c>
      <c r="AZ233" s="20">
        <f>IF(B233="","",IF(OR(Y233="",Y233=0,AV233=""),"",ROUND((AV233+Z233)/Y233,2)))</f>
        <v>0</v>
      </c>
      <c r="BA233" s="20">
        <f>IF(B233="","",IF(1-AI233-AL233&lt;=0,"",ROUND((AH233+AM233+AK233)/(1-AI233-AL233),2)))</f>
        <v>0</v>
      </c>
      <c r="BB233" s="20">
        <f>IF(B233="","",IF(AT233="","",ROUND(AT233*2,2)))</f>
        <v>0</v>
      </c>
      <c r="BC233" s="20">
        <f>IF(B233="","",IF(AR233="","",ROUND(AR233*(1-WholesaleDiscount),2)))</f>
        <v>0</v>
      </c>
      <c r="BD233" s="20">
        <f>IF(B233="","",IF(BC233="","",ROUND(BC233-AH233-AM233,2)))</f>
        <v>0</v>
      </c>
      <c r="BE233" s="33">
        <f>IF(B233="","",IF(OR(BC233="",BC233=0),"",BD233/BC233))</f>
        <v>0</v>
      </c>
      <c r="BF233" s="20">
        <f>IF(B233="","",IFERROR(ROUND(AVERAGEIFS(Competitors!$F$5:$F$154,Competitors!$A$5:$A$154,A233),2),""))</f>
        <v>0</v>
      </c>
      <c r="BG233" s="33">
        <f>IF(B233="","",IF(OR(BF233="",BF233=0,AR233=""),"",AR233/BF233-1))</f>
        <v>0</v>
      </c>
      <c r="BH233" s="32">
        <f>IF(B233="","",SUMIFS(Sales!$D$5:$D$804,Sales!$C$5:$C$804,A233))</f>
        <v>0</v>
      </c>
      <c r="BI233" s="20">
        <f>IF(B233="","",ROUND(SUMIFS(Sales!$V$5:$V$804,Sales!$C$5:$C$804,A233),2))</f>
        <v>0</v>
      </c>
      <c r="BJ233" s="20">
        <f>IF(B233="","",ROUND(SUMIFS(Sales!$AG$5:$AG$804,Sales!$C$5:$C$804,A233),2))</f>
        <v>0</v>
      </c>
      <c r="BK233" s="33">
        <f>IF(B233="","",IF(OR(BI233="",BI233=0),"",BJ233/BI233))</f>
        <v>0</v>
      </c>
      <c r="BL233" s="17">
        <f>IF(B233="","",IF(SUMPRODUCT(MAX((Sales!$C$5:$C$804=A233)*Sales!$B$5:$B$804))=0,"",SUMPRODUCT(MAX((Sales!$C$5:$C$804=A233)*Sales!$B$5:$B$804))))</f>
        <v>0</v>
      </c>
      <c r="BM233" s="17">
        <f>IF(B233="","",IF(SUMPRODUCT(MAX(('Price History'!$B$5:$B$304=A233)*'Price History'!$A$5:$A$304))=0,IF(P233="","",P233),SUMPRODUCT(MAX(('Price History'!$B$5:$B$304=A233)*'Price History'!$A$5:$A$304))))</f>
        <v>0</v>
      </c>
      <c r="BN233" s="32">
        <f>IF(B233="","",IF(BM233="","",TodayDate-BM233))</f>
        <v>0</v>
      </c>
      <c r="BO233" s="32">
        <f>IF(B233="","",COUNTIFS($AV$5:$AV$304,"&gt;"&amp;AV233)+COUNTIFS($AV$5:AV233,AV233))</f>
        <v>0</v>
      </c>
      <c r="BP233" s="32">
        <f>IF(B233="","",COUNTIFS($AW$5:$AW$304,"&gt;"&amp;AW233)+COUNTIFS($AW$5:AW233,AW233))</f>
        <v>0</v>
      </c>
      <c r="BQ233" s="32">
        <f>IF(B233="","",COUNTIFS($BI$5:$BI$304,"&gt;"&amp;BI233)+COUNTIFS($BI$5:BI233,BI233))</f>
        <v>0</v>
      </c>
      <c r="BR233" s="32">
        <f>IF(B233="","",COUNTIFS($AY$5:$AY$304,"&gt;"&amp;AY233)+COUNTIFS($AY$5:AY233,AY233))</f>
        <v>0</v>
      </c>
      <c r="BS233" s="43">
        <f>IF(B233="","",IF(AH233=0,"Add - no costs entered yet",IF(AR233="","Check - no price yet",IF(AV233&lt;0,"Loss - every sale costs you money",IF(AND(AZ233&lt;&gt;"",AZ233&lt;MinimumWage),"Below - pays under minimum wage",IF(AW233&lt;MarginWarning,"Low margin - re-price it",IF(AND(AF233&lt;&gt;"",K233&lt;&gt;"",K233+AC233&gt;AF233),"Check - too heavy for that postage band",IF(AND(BN233&lt;&gt;"",BN233&gt;PriceReviewDays),"Due - price has not been reviewed",IF(AND(BG233&lt;&gt;"",BG233&gt;0.5),"Check - well above the market","OK")))))))) )</f>
        <v>0</v>
      </c>
    </row>
    <row r="234" spans="1:71">
      <c r="A234" s="38">
        <f>IF(B234="","",ProductPrefix&amp;TEXT(ROW()-4,"0000"))</f>
        <v>0</v>
      </c>
      <c r="S234" s="38">
        <f>IF(B234="","",IF(C234&lt;&gt;"",C234,UPPER(LEFT(IF(D234="","GEN",D234),3))&amp;"-"&amp;TEXT(ROW()-4,"000")))</f>
        <v>0</v>
      </c>
      <c r="T234" s="20">
        <f>IF(B234="","",ROUND(SUMIFS('Material Usage'!$M$5:$M$904,'Material Usage'!$A$5:$A$904,A234)+SUMIFS(Crochet!$AD$5:$AD$84,Crochet!$A$5:$A$84,A234)+SUMIFS(Jewelry!$AF$5:$AF$84,Jewelry!$A$5:$A$84,A234)+SUMIFS(Candles!$AF$5:$AF$84,Candles!$A$5:$A$84,A234)+SUMIFS(Clothing!$AB$5:$AB$84,Clothing!$A$5:$A$84,A234)+SUMIFS(Woodworking!$AC$5:$AC$84,Woodworking!$A$5:$A$84,A234)+SUMIFS(Digital!$X$5:$X$84,Digital!$A$5:$A$84,A234),2))</f>
        <v>0</v>
      </c>
      <c r="U234" s="20">
        <f>IF(B234="","",ROUND(SUMIFS(Labor!$O$5:$O$304,Labor!$A$5:$A$304,A234)+SUMIFS(Crochet!$AG$5:$AG$84,Crochet!$A$5:$A$84,A234)+SUMIFS(Jewelry!$AI$5:$AI$84,Jewelry!$A$5:$A$84,A234)+SUMIFS(Candles!$AI$5:$AI$84,Candles!$A$5:$A$84,A234)+SUMIFS(Clothing!$AE$5:$AE$84,Clothing!$A$5:$A$84,A234)+SUMIFS(Woodworking!$AF$5:$AF$84,Woodworking!$A$5:$A$84,A234)+SUMIFS(Digital!$Z$5:$Z$84,Digital!$A$5:$A$84,A234),2))</f>
        <v>0</v>
      </c>
      <c r="V234" s="36">
        <f>IF(B234="","",ROUND(SUMIFS(Labor!$P$5:$P$304,Labor!$A$5:$A$304,A234)+SUMIFS(Crochet!$AE$5:$AE$84,Crochet!$A$5:$A$84,A234)+SUMIFS(Jewelry!$AG$5:$AG$84,Jewelry!$A$5:$A$84,A234)+SUMIFS(Candles!$AG$5:$AG$84,Candles!$A$5:$A$84,A234)+SUMIFS(Clothing!$AC$5:$AC$84,Clothing!$A$5:$A$84,A234)+SUMIFS(Woodworking!$AD$5:$AD$84,Woodworking!$A$5:$A$84,A234)+SUMIFS(Digital!$Y$5:$Y$84,Digital!$A$5:$A$84,A234),1))</f>
        <v>0</v>
      </c>
      <c r="W234" s="41">
        <f>IF(B234="","",IFERROR(INDEX(DiffTimeFactors,MATCH(G234,DiffNames,0)),1))</f>
        <v>0</v>
      </c>
      <c r="X234" s="36">
        <f>IF(B234="","",ROUND(V234*W234,1))</f>
        <v>0</v>
      </c>
      <c r="Y234" s="41">
        <f>IF(B234="","",ROUND(X234/60,3))</f>
        <v>0</v>
      </c>
      <c r="Z234" s="20">
        <f>IF(B234="","",ROUND(U234*W234,2))</f>
        <v>0</v>
      </c>
      <c r="AA234" s="20">
        <f>IF(B234="","",ROUND(SUMIFS(Labor!$Q$5:$Q$304,Labor!$A$5:$A$304,A234)+SUMIFS(Crochet!$AH$5:$AH$84,Crochet!$A$5:$A$84,A234)+SUMIFS(Jewelry!$AJ$5:$AJ$84,Jewelry!$A$5:$A$84,A234)+SUMIFS(Candles!$AJ$5:$AJ$84,Candles!$A$5:$A$84,A234)+SUMIFS(Clothing!$AF$5:$AF$84,Clothing!$A$5:$A$84,A234)+SUMIFS(Woodworking!$AH$5:$AH$84,Woodworking!$A$5:$A$84,A234)+SUMIFS(Digital!$AA$5:$AA$84,Digital!$A$5:$A$84,A234),2))</f>
        <v>0</v>
      </c>
      <c r="AB234" s="20">
        <f>IF(B234="","",ROUND(IF(I234="Budget",PackBudget,IF(I234="Standard",PackStandard,IF(I234="Gift",PackGift,IF(I234="Premium",PackPremium,DefaultPackaging)))),2))</f>
        <v>0</v>
      </c>
      <c r="AC234" s="36">
        <f>IF(B234="","",IF(I234="Budget",PackWeightBudget,IF(I234="Standard",PackWeightStandard,IF(I234="Gift",PackWeightGift,IF(I234="Premium",PackWeightPremium,0)))))</f>
        <v>0</v>
      </c>
      <c r="AD234" s="20">
        <f>IF(B234="","",IFERROR(INDEX(Shipping!$M$5:$M$64,MATCH(J234,Shipping!$L$5:$L$64,0)),DefaultShipping))</f>
        <v>0</v>
      </c>
      <c r="AE234" s="20">
        <f>IF(B234="","",IFERROR(INDEX(Shipping!$F$5:$F$64,MATCH(J234,Shipping!$L$5:$L$64,0)),0))</f>
        <v>0</v>
      </c>
      <c r="AF234" s="36">
        <f>IF(B234="","",IFERROR(INDEX(Shipping!$C$5:$C$64,MATCH(J234,Shipping!$L$5:$L$64,0)),""))</f>
        <v>0</v>
      </c>
      <c r="AG234" s="20">
        <f>IF(B234="","",ROUND(MAX(0,AD234-AE234),2))</f>
        <v>0</v>
      </c>
      <c r="AH234" s="20">
        <f>IF(B234="","",ROUND(T234+Z234+AA234+AB234+AG234,2))</f>
        <v>0</v>
      </c>
      <c r="AI234" s="33">
        <f>IF(B234="","",IFERROR(INDEX(Channels!$S$5:$S$18,MATCH(IF(H234="",DefaultChannel,H234),Channels!$A$5:$A$18,0)),0))</f>
        <v>0</v>
      </c>
      <c r="AJ234" s="42">
        <f>IF(B234="","",IFERROR(INDEX(Channels!$O$5:$O$18,MATCH(IF(H234="",DefaultChannel,H234),Channels!$A$5:$A$18,0)),"No"))</f>
        <v>0</v>
      </c>
      <c r="AK234" s="20">
        <f>IF(B234="","",ROUND(IFERROR(INDEX(Channels!$T$5:$T$18,MATCH(IF(H234="",DefaultChannel,H234),Channels!$A$5:$A$18,0)),0)+IF(AJ234="Yes",AE234*AI234,0),4))</f>
        <v>0</v>
      </c>
      <c r="AL234" s="33">
        <f>IF(B234="","",IF(OverheadMethod="Share of revenue",IF(RevenueTargetMonth&lt;=0,0,OverheadMonthly/RevenueTargetMonth),0))</f>
        <v>0</v>
      </c>
      <c r="AM234" s="20">
        <f>IF(B234="","",IF(OverheadMethod="Per hour worked",ROUND(OverheadPerHour*Y234,2),IF(OR(OverheadMethod="Per unit made",OverheadMethod="Per order"),OverheadPerUnit,0)))</f>
        <v>0</v>
      </c>
      <c r="AN234" s="33">
        <f>IF(B234="","",IF(N234&lt;&gt;"",N234,TargetRetailMargin))</f>
        <v>0</v>
      </c>
      <c r="AO234" s="41">
        <f>IF(B234="","",1-AN234-AI234-AL234)</f>
        <v>0</v>
      </c>
      <c r="AP234" s="20">
        <f>IF(B234="","",IF(AO234&lt;=0,"",(AH234+AM234+AK234)/AO234))</f>
        <v>0</v>
      </c>
      <c r="AQ234" s="20">
        <f>IF(B234="","",IF(AP234="","Check the settings",ROUND(IF(RoundingRule="None",AP234,IF(RoundingRule="Nearest 0.99",MAX(0.99,CEILING(AP234,1)-0.01),IF(RoundingRule="Nearest 0.95",MAX(0.95,CEILING(AP234,1)-0.05),IF(RoundingRule="Nearest 0.50",CEILING(AP234,0.5),IF(RoundingRule="Nearest 1",CEILING(AP234,1),IF(RoundingRule="Nearest 5",CEILING(AP234,5),IF(RoundingRule="Up to whole 1",CEILING(AP234,1),IF(RoundingRule="Up to whole 5",CEILING(AP234,5),ROUND(AP234,2))))))))),2)))</f>
        <v>0</v>
      </c>
      <c r="AR234" s="20">
        <f>IF(B234="","",IF(M234&lt;&gt;"",M234,IF(ISNUMBER(AQ234),AQ234,"")))</f>
        <v>0</v>
      </c>
      <c r="AS234" s="20">
        <f>IF(B234="","",IF(AR234="","",ROUND(AM234+AR234*AL234,2)))</f>
        <v>0</v>
      </c>
      <c r="AT234" s="20">
        <f>IF(B234="","",IF(AR234="","",ROUND(AH234+AS234,2)))</f>
        <v>0</v>
      </c>
      <c r="AU234" s="20">
        <f>IF(B234="","",IF(AR234="","",ROUND(AR234*AI234+AK234,2)))</f>
        <v>0</v>
      </c>
      <c r="AV234" s="20">
        <f>IF(B234="","",IF(AR234="","",ROUND(AR234-AT234-AU234,2)))</f>
        <v>0</v>
      </c>
      <c r="AW234" s="33">
        <f>IF(B234="","",IF(OR(AR234="",AR234=0),"",AV234/AR234))</f>
        <v>0</v>
      </c>
      <c r="AX234" s="33">
        <f>IF(B234="","",IF(OR(AT234="",AT234=0),"",AV234/AT234))</f>
        <v>0</v>
      </c>
      <c r="AY234" s="20">
        <f>IF(B234="","",IF(OR(Y234="",Y234=0,AV234=""),"",ROUND(AV234/Y234,2)))</f>
        <v>0</v>
      </c>
      <c r="AZ234" s="20">
        <f>IF(B234="","",IF(OR(Y234="",Y234=0,AV234=""),"",ROUND((AV234+Z234)/Y234,2)))</f>
        <v>0</v>
      </c>
      <c r="BA234" s="20">
        <f>IF(B234="","",IF(1-AI234-AL234&lt;=0,"",ROUND((AH234+AM234+AK234)/(1-AI234-AL234),2)))</f>
        <v>0</v>
      </c>
      <c r="BB234" s="20">
        <f>IF(B234="","",IF(AT234="","",ROUND(AT234*2,2)))</f>
        <v>0</v>
      </c>
      <c r="BC234" s="20">
        <f>IF(B234="","",IF(AR234="","",ROUND(AR234*(1-WholesaleDiscount),2)))</f>
        <v>0</v>
      </c>
      <c r="BD234" s="20">
        <f>IF(B234="","",IF(BC234="","",ROUND(BC234-AH234-AM234,2)))</f>
        <v>0</v>
      </c>
      <c r="BE234" s="33">
        <f>IF(B234="","",IF(OR(BC234="",BC234=0),"",BD234/BC234))</f>
        <v>0</v>
      </c>
      <c r="BF234" s="20">
        <f>IF(B234="","",IFERROR(ROUND(AVERAGEIFS(Competitors!$F$5:$F$154,Competitors!$A$5:$A$154,A234),2),""))</f>
        <v>0</v>
      </c>
      <c r="BG234" s="33">
        <f>IF(B234="","",IF(OR(BF234="",BF234=0,AR234=""),"",AR234/BF234-1))</f>
        <v>0</v>
      </c>
      <c r="BH234" s="32">
        <f>IF(B234="","",SUMIFS(Sales!$D$5:$D$804,Sales!$C$5:$C$804,A234))</f>
        <v>0</v>
      </c>
      <c r="BI234" s="20">
        <f>IF(B234="","",ROUND(SUMIFS(Sales!$V$5:$V$804,Sales!$C$5:$C$804,A234),2))</f>
        <v>0</v>
      </c>
      <c r="BJ234" s="20">
        <f>IF(B234="","",ROUND(SUMIFS(Sales!$AG$5:$AG$804,Sales!$C$5:$C$804,A234),2))</f>
        <v>0</v>
      </c>
      <c r="BK234" s="33">
        <f>IF(B234="","",IF(OR(BI234="",BI234=0),"",BJ234/BI234))</f>
        <v>0</v>
      </c>
      <c r="BL234" s="17">
        <f>IF(B234="","",IF(SUMPRODUCT(MAX((Sales!$C$5:$C$804=A234)*Sales!$B$5:$B$804))=0,"",SUMPRODUCT(MAX((Sales!$C$5:$C$804=A234)*Sales!$B$5:$B$804))))</f>
        <v>0</v>
      </c>
      <c r="BM234" s="17">
        <f>IF(B234="","",IF(SUMPRODUCT(MAX(('Price History'!$B$5:$B$304=A234)*'Price History'!$A$5:$A$304))=0,IF(P234="","",P234),SUMPRODUCT(MAX(('Price History'!$B$5:$B$304=A234)*'Price History'!$A$5:$A$304))))</f>
        <v>0</v>
      </c>
      <c r="BN234" s="32">
        <f>IF(B234="","",IF(BM234="","",TodayDate-BM234))</f>
        <v>0</v>
      </c>
      <c r="BO234" s="32">
        <f>IF(B234="","",COUNTIFS($AV$5:$AV$304,"&gt;"&amp;AV234)+COUNTIFS($AV$5:AV234,AV234))</f>
        <v>0</v>
      </c>
      <c r="BP234" s="32">
        <f>IF(B234="","",COUNTIFS($AW$5:$AW$304,"&gt;"&amp;AW234)+COUNTIFS($AW$5:AW234,AW234))</f>
        <v>0</v>
      </c>
      <c r="BQ234" s="32">
        <f>IF(B234="","",COUNTIFS($BI$5:$BI$304,"&gt;"&amp;BI234)+COUNTIFS($BI$5:BI234,BI234))</f>
        <v>0</v>
      </c>
      <c r="BR234" s="32">
        <f>IF(B234="","",COUNTIFS($AY$5:$AY$304,"&gt;"&amp;AY234)+COUNTIFS($AY$5:AY234,AY234))</f>
        <v>0</v>
      </c>
      <c r="BS234" s="43">
        <f>IF(B234="","",IF(AH234=0,"Add - no costs entered yet",IF(AR234="","Check - no price yet",IF(AV234&lt;0,"Loss - every sale costs you money",IF(AND(AZ234&lt;&gt;"",AZ234&lt;MinimumWage),"Below - pays under minimum wage",IF(AW234&lt;MarginWarning,"Low margin - re-price it",IF(AND(AF234&lt;&gt;"",K234&lt;&gt;"",K234+AC234&gt;AF234),"Check - too heavy for that postage band",IF(AND(BN234&lt;&gt;"",BN234&gt;PriceReviewDays),"Due - price has not been reviewed",IF(AND(BG234&lt;&gt;"",BG234&gt;0.5),"Check - well above the market","OK")))))))) )</f>
        <v>0</v>
      </c>
    </row>
    <row r="235" spans="1:71">
      <c r="A235" s="38">
        <f>IF(B235="","",ProductPrefix&amp;TEXT(ROW()-4,"0000"))</f>
        <v>0</v>
      </c>
      <c r="S235" s="38">
        <f>IF(B235="","",IF(C235&lt;&gt;"",C235,UPPER(LEFT(IF(D235="","GEN",D235),3))&amp;"-"&amp;TEXT(ROW()-4,"000")))</f>
        <v>0</v>
      </c>
      <c r="T235" s="20">
        <f>IF(B235="","",ROUND(SUMIFS('Material Usage'!$M$5:$M$904,'Material Usage'!$A$5:$A$904,A235)+SUMIFS(Crochet!$AD$5:$AD$84,Crochet!$A$5:$A$84,A235)+SUMIFS(Jewelry!$AF$5:$AF$84,Jewelry!$A$5:$A$84,A235)+SUMIFS(Candles!$AF$5:$AF$84,Candles!$A$5:$A$84,A235)+SUMIFS(Clothing!$AB$5:$AB$84,Clothing!$A$5:$A$84,A235)+SUMIFS(Woodworking!$AC$5:$AC$84,Woodworking!$A$5:$A$84,A235)+SUMIFS(Digital!$X$5:$X$84,Digital!$A$5:$A$84,A235),2))</f>
        <v>0</v>
      </c>
      <c r="U235" s="20">
        <f>IF(B235="","",ROUND(SUMIFS(Labor!$O$5:$O$304,Labor!$A$5:$A$304,A235)+SUMIFS(Crochet!$AG$5:$AG$84,Crochet!$A$5:$A$84,A235)+SUMIFS(Jewelry!$AI$5:$AI$84,Jewelry!$A$5:$A$84,A235)+SUMIFS(Candles!$AI$5:$AI$84,Candles!$A$5:$A$84,A235)+SUMIFS(Clothing!$AE$5:$AE$84,Clothing!$A$5:$A$84,A235)+SUMIFS(Woodworking!$AF$5:$AF$84,Woodworking!$A$5:$A$84,A235)+SUMIFS(Digital!$Z$5:$Z$84,Digital!$A$5:$A$84,A235),2))</f>
        <v>0</v>
      </c>
      <c r="V235" s="36">
        <f>IF(B235="","",ROUND(SUMIFS(Labor!$P$5:$P$304,Labor!$A$5:$A$304,A235)+SUMIFS(Crochet!$AE$5:$AE$84,Crochet!$A$5:$A$84,A235)+SUMIFS(Jewelry!$AG$5:$AG$84,Jewelry!$A$5:$A$84,A235)+SUMIFS(Candles!$AG$5:$AG$84,Candles!$A$5:$A$84,A235)+SUMIFS(Clothing!$AC$5:$AC$84,Clothing!$A$5:$A$84,A235)+SUMIFS(Woodworking!$AD$5:$AD$84,Woodworking!$A$5:$A$84,A235)+SUMIFS(Digital!$Y$5:$Y$84,Digital!$A$5:$A$84,A235),1))</f>
        <v>0</v>
      </c>
      <c r="W235" s="41">
        <f>IF(B235="","",IFERROR(INDEX(DiffTimeFactors,MATCH(G235,DiffNames,0)),1))</f>
        <v>0</v>
      </c>
      <c r="X235" s="36">
        <f>IF(B235="","",ROUND(V235*W235,1))</f>
        <v>0</v>
      </c>
      <c r="Y235" s="41">
        <f>IF(B235="","",ROUND(X235/60,3))</f>
        <v>0</v>
      </c>
      <c r="Z235" s="20">
        <f>IF(B235="","",ROUND(U235*W235,2))</f>
        <v>0</v>
      </c>
      <c r="AA235" s="20">
        <f>IF(B235="","",ROUND(SUMIFS(Labor!$Q$5:$Q$304,Labor!$A$5:$A$304,A235)+SUMIFS(Crochet!$AH$5:$AH$84,Crochet!$A$5:$A$84,A235)+SUMIFS(Jewelry!$AJ$5:$AJ$84,Jewelry!$A$5:$A$84,A235)+SUMIFS(Candles!$AJ$5:$AJ$84,Candles!$A$5:$A$84,A235)+SUMIFS(Clothing!$AF$5:$AF$84,Clothing!$A$5:$A$84,A235)+SUMIFS(Woodworking!$AH$5:$AH$84,Woodworking!$A$5:$A$84,A235)+SUMIFS(Digital!$AA$5:$AA$84,Digital!$A$5:$A$84,A235),2))</f>
        <v>0</v>
      </c>
      <c r="AB235" s="20">
        <f>IF(B235="","",ROUND(IF(I235="Budget",PackBudget,IF(I235="Standard",PackStandard,IF(I235="Gift",PackGift,IF(I235="Premium",PackPremium,DefaultPackaging)))),2))</f>
        <v>0</v>
      </c>
      <c r="AC235" s="36">
        <f>IF(B235="","",IF(I235="Budget",PackWeightBudget,IF(I235="Standard",PackWeightStandard,IF(I235="Gift",PackWeightGift,IF(I235="Premium",PackWeightPremium,0)))))</f>
        <v>0</v>
      </c>
      <c r="AD235" s="20">
        <f>IF(B235="","",IFERROR(INDEX(Shipping!$M$5:$M$64,MATCH(J235,Shipping!$L$5:$L$64,0)),DefaultShipping))</f>
        <v>0</v>
      </c>
      <c r="AE235" s="20">
        <f>IF(B235="","",IFERROR(INDEX(Shipping!$F$5:$F$64,MATCH(J235,Shipping!$L$5:$L$64,0)),0))</f>
        <v>0</v>
      </c>
      <c r="AF235" s="36">
        <f>IF(B235="","",IFERROR(INDEX(Shipping!$C$5:$C$64,MATCH(J235,Shipping!$L$5:$L$64,0)),""))</f>
        <v>0</v>
      </c>
      <c r="AG235" s="20">
        <f>IF(B235="","",ROUND(MAX(0,AD235-AE235),2))</f>
        <v>0</v>
      </c>
      <c r="AH235" s="20">
        <f>IF(B235="","",ROUND(T235+Z235+AA235+AB235+AG235,2))</f>
        <v>0</v>
      </c>
      <c r="AI235" s="33">
        <f>IF(B235="","",IFERROR(INDEX(Channels!$S$5:$S$18,MATCH(IF(H235="",DefaultChannel,H235),Channels!$A$5:$A$18,0)),0))</f>
        <v>0</v>
      </c>
      <c r="AJ235" s="42">
        <f>IF(B235="","",IFERROR(INDEX(Channels!$O$5:$O$18,MATCH(IF(H235="",DefaultChannel,H235),Channels!$A$5:$A$18,0)),"No"))</f>
        <v>0</v>
      </c>
      <c r="AK235" s="20">
        <f>IF(B235="","",ROUND(IFERROR(INDEX(Channels!$T$5:$T$18,MATCH(IF(H235="",DefaultChannel,H235),Channels!$A$5:$A$18,0)),0)+IF(AJ235="Yes",AE235*AI235,0),4))</f>
        <v>0</v>
      </c>
      <c r="AL235" s="33">
        <f>IF(B235="","",IF(OverheadMethod="Share of revenue",IF(RevenueTargetMonth&lt;=0,0,OverheadMonthly/RevenueTargetMonth),0))</f>
        <v>0</v>
      </c>
      <c r="AM235" s="20">
        <f>IF(B235="","",IF(OverheadMethod="Per hour worked",ROUND(OverheadPerHour*Y235,2),IF(OR(OverheadMethod="Per unit made",OverheadMethod="Per order"),OverheadPerUnit,0)))</f>
        <v>0</v>
      </c>
      <c r="AN235" s="33">
        <f>IF(B235="","",IF(N235&lt;&gt;"",N235,TargetRetailMargin))</f>
        <v>0</v>
      </c>
      <c r="AO235" s="41">
        <f>IF(B235="","",1-AN235-AI235-AL235)</f>
        <v>0</v>
      </c>
      <c r="AP235" s="20">
        <f>IF(B235="","",IF(AO235&lt;=0,"",(AH235+AM235+AK235)/AO235))</f>
        <v>0</v>
      </c>
      <c r="AQ235" s="20">
        <f>IF(B235="","",IF(AP235="","Check the settings",ROUND(IF(RoundingRule="None",AP235,IF(RoundingRule="Nearest 0.99",MAX(0.99,CEILING(AP235,1)-0.01),IF(RoundingRule="Nearest 0.95",MAX(0.95,CEILING(AP235,1)-0.05),IF(RoundingRule="Nearest 0.50",CEILING(AP235,0.5),IF(RoundingRule="Nearest 1",CEILING(AP235,1),IF(RoundingRule="Nearest 5",CEILING(AP235,5),IF(RoundingRule="Up to whole 1",CEILING(AP235,1),IF(RoundingRule="Up to whole 5",CEILING(AP235,5),ROUND(AP235,2))))))))),2)))</f>
        <v>0</v>
      </c>
      <c r="AR235" s="20">
        <f>IF(B235="","",IF(M235&lt;&gt;"",M235,IF(ISNUMBER(AQ235),AQ235,"")))</f>
        <v>0</v>
      </c>
      <c r="AS235" s="20">
        <f>IF(B235="","",IF(AR235="","",ROUND(AM235+AR235*AL235,2)))</f>
        <v>0</v>
      </c>
      <c r="AT235" s="20">
        <f>IF(B235="","",IF(AR235="","",ROUND(AH235+AS235,2)))</f>
        <v>0</v>
      </c>
      <c r="AU235" s="20">
        <f>IF(B235="","",IF(AR235="","",ROUND(AR235*AI235+AK235,2)))</f>
        <v>0</v>
      </c>
      <c r="AV235" s="20">
        <f>IF(B235="","",IF(AR235="","",ROUND(AR235-AT235-AU235,2)))</f>
        <v>0</v>
      </c>
      <c r="AW235" s="33">
        <f>IF(B235="","",IF(OR(AR235="",AR235=0),"",AV235/AR235))</f>
        <v>0</v>
      </c>
      <c r="AX235" s="33">
        <f>IF(B235="","",IF(OR(AT235="",AT235=0),"",AV235/AT235))</f>
        <v>0</v>
      </c>
      <c r="AY235" s="20">
        <f>IF(B235="","",IF(OR(Y235="",Y235=0,AV235=""),"",ROUND(AV235/Y235,2)))</f>
        <v>0</v>
      </c>
      <c r="AZ235" s="20">
        <f>IF(B235="","",IF(OR(Y235="",Y235=0,AV235=""),"",ROUND((AV235+Z235)/Y235,2)))</f>
        <v>0</v>
      </c>
      <c r="BA235" s="20">
        <f>IF(B235="","",IF(1-AI235-AL235&lt;=0,"",ROUND((AH235+AM235+AK235)/(1-AI235-AL235),2)))</f>
        <v>0</v>
      </c>
      <c r="BB235" s="20">
        <f>IF(B235="","",IF(AT235="","",ROUND(AT235*2,2)))</f>
        <v>0</v>
      </c>
      <c r="BC235" s="20">
        <f>IF(B235="","",IF(AR235="","",ROUND(AR235*(1-WholesaleDiscount),2)))</f>
        <v>0</v>
      </c>
      <c r="BD235" s="20">
        <f>IF(B235="","",IF(BC235="","",ROUND(BC235-AH235-AM235,2)))</f>
        <v>0</v>
      </c>
      <c r="BE235" s="33">
        <f>IF(B235="","",IF(OR(BC235="",BC235=0),"",BD235/BC235))</f>
        <v>0</v>
      </c>
      <c r="BF235" s="20">
        <f>IF(B235="","",IFERROR(ROUND(AVERAGEIFS(Competitors!$F$5:$F$154,Competitors!$A$5:$A$154,A235),2),""))</f>
        <v>0</v>
      </c>
      <c r="BG235" s="33">
        <f>IF(B235="","",IF(OR(BF235="",BF235=0,AR235=""),"",AR235/BF235-1))</f>
        <v>0</v>
      </c>
      <c r="BH235" s="32">
        <f>IF(B235="","",SUMIFS(Sales!$D$5:$D$804,Sales!$C$5:$C$804,A235))</f>
        <v>0</v>
      </c>
      <c r="BI235" s="20">
        <f>IF(B235="","",ROUND(SUMIFS(Sales!$V$5:$V$804,Sales!$C$5:$C$804,A235),2))</f>
        <v>0</v>
      </c>
      <c r="BJ235" s="20">
        <f>IF(B235="","",ROUND(SUMIFS(Sales!$AG$5:$AG$804,Sales!$C$5:$C$804,A235),2))</f>
        <v>0</v>
      </c>
      <c r="BK235" s="33">
        <f>IF(B235="","",IF(OR(BI235="",BI235=0),"",BJ235/BI235))</f>
        <v>0</v>
      </c>
      <c r="BL235" s="17">
        <f>IF(B235="","",IF(SUMPRODUCT(MAX((Sales!$C$5:$C$804=A235)*Sales!$B$5:$B$804))=0,"",SUMPRODUCT(MAX((Sales!$C$5:$C$804=A235)*Sales!$B$5:$B$804))))</f>
        <v>0</v>
      </c>
      <c r="BM235" s="17">
        <f>IF(B235="","",IF(SUMPRODUCT(MAX(('Price History'!$B$5:$B$304=A235)*'Price History'!$A$5:$A$304))=0,IF(P235="","",P235),SUMPRODUCT(MAX(('Price History'!$B$5:$B$304=A235)*'Price History'!$A$5:$A$304))))</f>
        <v>0</v>
      </c>
      <c r="BN235" s="32">
        <f>IF(B235="","",IF(BM235="","",TodayDate-BM235))</f>
        <v>0</v>
      </c>
      <c r="BO235" s="32">
        <f>IF(B235="","",COUNTIFS($AV$5:$AV$304,"&gt;"&amp;AV235)+COUNTIFS($AV$5:AV235,AV235))</f>
        <v>0</v>
      </c>
      <c r="BP235" s="32">
        <f>IF(B235="","",COUNTIFS($AW$5:$AW$304,"&gt;"&amp;AW235)+COUNTIFS($AW$5:AW235,AW235))</f>
        <v>0</v>
      </c>
      <c r="BQ235" s="32">
        <f>IF(B235="","",COUNTIFS($BI$5:$BI$304,"&gt;"&amp;BI235)+COUNTIFS($BI$5:BI235,BI235))</f>
        <v>0</v>
      </c>
      <c r="BR235" s="32">
        <f>IF(B235="","",COUNTIFS($AY$5:$AY$304,"&gt;"&amp;AY235)+COUNTIFS($AY$5:AY235,AY235))</f>
        <v>0</v>
      </c>
      <c r="BS235" s="43">
        <f>IF(B235="","",IF(AH235=0,"Add - no costs entered yet",IF(AR235="","Check - no price yet",IF(AV235&lt;0,"Loss - every sale costs you money",IF(AND(AZ235&lt;&gt;"",AZ235&lt;MinimumWage),"Below - pays under minimum wage",IF(AW235&lt;MarginWarning,"Low margin - re-price it",IF(AND(AF235&lt;&gt;"",K235&lt;&gt;"",K235+AC235&gt;AF235),"Check - too heavy for that postage band",IF(AND(BN235&lt;&gt;"",BN235&gt;PriceReviewDays),"Due - price has not been reviewed",IF(AND(BG235&lt;&gt;"",BG235&gt;0.5),"Check - well above the market","OK")))))))) )</f>
        <v>0</v>
      </c>
    </row>
    <row r="236" spans="1:71">
      <c r="A236" s="38">
        <f>IF(B236="","",ProductPrefix&amp;TEXT(ROW()-4,"0000"))</f>
        <v>0</v>
      </c>
      <c r="S236" s="38">
        <f>IF(B236="","",IF(C236&lt;&gt;"",C236,UPPER(LEFT(IF(D236="","GEN",D236),3))&amp;"-"&amp;TEXT(ROW()-4,"000")))</f>
        <v>0</v>
      </c>
      <c r="T236" s="20">
        <f>IF(B236="","",ROUND(SUMIFS('Material Usage'!$M$5:$M$904,'Material Usage'!$A$5:$A$904,A236)+SUMIFS(Crochet!$AD$5:$AD$84,Crochet!$A$5:$A$84,A236)+SUMIFS(Jewelry!$AF$5:$AF$84,Jewelry!$A$5:$A$84,A236)+SUMIFS(Candles!$AF$5:$AF$84,Candles!$A$5:$A$84,A236)+SUMIFS(Clothing!$AB$5:$AB$84,Clothing!$A$5:$A$84,A236)+SUMIFS(Woodworking!$AC$5:$AC$84,Woodworking!$A$5:$A$84,A236)+SUMIFS(Digital!$X$5:$X$84,Digital!$A$5:$A$84,A236),2))</f>
        <v>0</v>
      </c>
      <c r="U236" s="20">
        <f>IF(B236="","",ROUND(SUMIFS(Labor!$O$5:$O$304,Labor!$A$5:$A$304,A236)+SUMIFS(Crochet!$AG$5:$AG$84,Crochet!$A$5:$A$84,A236)+SUMIFS(Jewelry!$AI$5:$AI$84,Jewelry!$A$5:$A$84,A236)+SUMIFS(Candles!$AI$5:$AI$84,Candles!$A$5:$A$84,A236)+SUMIFS(Clothing!$AE$5:$AE$84,Clothing!$A$5:$A$84,A236)+SUMIFS(Woodworking!$AF$5:$AF$84,Woodworking!$A$5:$A$84,A236)+SUMIFS(Digital!$Z$5:$Z$84,Digital!$A$5:$A$84,A236),2))</f>
        <v>0</v>
      </c>
      <c r="V236" s="36">
        <f>IF(B236="","",ROUND(SUMIFS(Labor!$P$5:$P$304,Labor!$A$5:$A$304,A236)+SUMIFS(Crochet!$AE$5:$AE$84,Crochet!$A$5:$A$84,A236)+SUMIFS(Jewelry!$AG$5:$AG$84,Jewelry!$A$5:$A$84,A236)+SUMIFS(Candles!$AG$5:$AG$84,Candles!$A$5:$A$84,A236)+SUMIFS(Clothing!$AC$5:$AC$84,Clothing!$A$5:$A$84,A236)+SUMIFS(Woodworking!$AD$5:$AD$84,Woodworking!$A$5:$A$84,A236)+SUMIFS(Digital!$Y$5:$Y$84,Digital!$A$5:$A$84,A236),1))</f>
        <v>0</v>
      </c>
      <c r="W236" s="41">
        <f>IF(B236="","",IFERROR(INDEX(DiffTimeFactors,MATCH(G236,DiffNames,0)),1))</f>
        <v>0</v>
      </c>
      <c r="X236" s="36">
        <f>IF(B236="","",ROUND(V236*W236,1))</f>
        <v>0</v>
      </c>
      <c r="Y236" s="41">
        <f>IF(B236="","",ROUND(X236/60,3))</f>
        <v>0</v>
      </c>
      <c r="Z236" s="20">
        <f>IF(B236="","",ROUND(U236*W236,2))</f>
        <v>0</v>
      </c>
      <c r="AA236" s="20">
        <f>IF(B236="","",ROUND(SUMIFS(Labor!$Q$5:$Q$304,Labor!$A$5:$A$304,A236)+SUMIFS(Crochet!$AH$5:$AH$84,Crochet!$A$5:$A$84,A236)+SUMIFS(Jewelry!$AJ$5:$AJ$84,Jewelry!$A$5:$A$84,A236)+SUMIFS(Candles!$AJ$5:$AJ$84,Candles!$A$5:$A$84,A236)+SUMIFS(Clothing!$AF$5:$AF$84,Clothing!$A$5:$A$84,A236)+SUMIFS(Woodworking!$AH$5:$AH$84,Woodworking!$A$5:$A$84,A236)+SUMIFS(Digital!$AA$5:$AA$84,Digital!$A$5:$A$84,A236),2))</f>
        <v>0</v>
      </c>
      <c r="AB236" s="20">
        <f>IF(B236="","",ROUND(IF(I236="Budget",PackBudget,IF(I236="Standard",PackStandard,IF(I236="Gift",PackGift,IF(I236="Premium",PackPremium,DefaultPackaging)))),2))</f>
        <v>0</v>
      </c>
      <c r="AC236" s="36">
        <f>IF(B236="","",IF(I236="Budget",PackWeightBudget,IF(I236="Standard",PackWeightStandard,IF(I236="Gift",PackWeightGift,IF(I236="Premium",PackWeightPremium,0)))))</f>
        <v>0</v>
      </c>
      <c r="AD236" s="20">
        <f>IF(B236="","",IFERROR(INDEX(Shipping!$M$5:$M$64,MATCH(J236,Shipping!$L$5:$L$64,0)),DefaultShipping))</f>
        <v>0</v>
      </c>
      <c r="AE236" s="20">
        <f>IF(B236="","",IFERROR(INDEX(Shipping!$F$5:$F$64,MATCH(J236,Shipping!$L$5:$L$64,0)),0))</f>
        <v>0</v>
      </c>
      <c r="AF236" s="36">
        <f>IF(B236="","",IFERROR(INDEX(Shipping!$C$5:$C$64,MATCH(J236,Shipping!$L$5:$L$64,0)),""))</f>
        <v>0</v>
      </c>
      <c r="AG236" s="20">
        <f>IF(B236="","",ROUND(MAX(0,AD236-AE236),2))</f>
        <v>0</v>
      </c>
      <c r="AH236" s="20">
        <f>IF(B236="","",ROUND(T236+Z236+AA236+AB236+AG236,2))</f>
        <v>0</v>
      </c>
      <c r="AI236" s="33">
        <f>IF(B236="","",IFERROR(INDEX(Channels!$S$5:$S$18,MATCH(IF(H236="",DefaultChannel,H236),Channels!$A$5:$A$18,0)),0))</f>
        <v>0</v>
      </c>
      <c r="AJ236" s="42">
        <f>IF(B236="","",IFERROR(INDEX(Channels!$O$5:$O$18,MATCH(IF(H236="",DefaultChannel,H236),Channels!$A$5:$A$18,0)),"No"))</f>
        <v>0</v>
      </c>
      <c r="AK236" s="20">
        <f>IF(B236="","",ROUND(IFERROR(INDEX(Channels!$T$5:$T$18,MATCH(IF(H236="",DefaultChannel,H236),Channels!$A$5:$A$18,0)),0)+IF(AJ236="Yes",AE236*AI236,0),4))</f>
        <v>0</v>
      </c>
      <c r="AL236" s="33">
        <f>IF(B236="","",IF(OverheadMethod="Share of revenue",IF(RevenueTargetMonth&lt;=0,0,OverheadMonthly/RevenueTargetMonth),0))</f>
        <v>0</v>
      </c>
      <c r="AM236" s="20">
        <f>IF(B236="","",IF(OverheadMethod="Per hour worked",ROUND(OverheadPerHour*Y236,2),IF(OR(OverheadMethod="Per unit made",OverheadMethod="Per order"),OverheadPerUnit,0)))</f>
        <v>0</v>
      </c>
      <c r="AN236" s="33">
        <f>IF(B236="","",IF(N236&lt;&gt;"",N236,TargetRetailMargin))</f>
        <v>0</v>
      </c>
      <c r="AO236" s="41">
        <f>IF(B236="","",1-AN236-AI236-AL236)</f>
        <v>0</v>
      </c>
      <c r="AP236" s="20">
        <f>IF(B236="","",IF(AO236&lt;=0,"",(AH236+AM236+AK236)/AO236))</f>
        <v>0</v>
      </c>
      <c r="AQ236" s="20">
        <f>IF(B236="","",IF(AP236="","Check the settings",ROUND(IF(RoundingRule="None",AP236,IF(RoundingRule="Nearest 0.99",MAX(0.99,CEILING(AP236,1)-0.01),IF(RoundingRule="Nearest 0.95",MAX(0.95,CEILING(AP236,1)-0.05),IF(RoundingRule="Nearest 0.50",CEILING(AP236,0.5),IF(RoundingRule="Nearest 1",CEILING(AP236,1),IF(RoundingRule="Nearest 5",CEILING(AP236,5),IF(RoundingRule="Up to whole 1",CEILING(AP236,1),IF(RoundingRule="Up to whole 5",CEILING(AP236,5),ROUND(AP236,2))))))))),2)))</f>
        <v>0</v>
      </c>
      <c r="AR236" s="20">
        <f>IF(B236="","",IF(M236&lt;&gt;"",M236,IF(ISNUMBER(AQ236),AQ236,"")))</f>
        <v>0</v>
      </c>
      <c r="AS236" s="20">
        <f>IF(B236="","",IF(AR236="","",ROUND(AM236+AR236*AL236,2)))</f>
        <v>0</v>
      </c>
      <c r="AT236" s="20">
        <f>IF(B236="","",IF(AR236="","",ROUND(AH236+AS236,2)))</f>
        <v>0</v>
      </c>
      <c r="AU236" s="20">
        <f>IF(B236="","",IF(AR236="","",ROUND(AR236*AI236+AK236,2)))</f>
        <v>0</v>
      </c>
      <c r="AV236" s="20">
        <f>IF(B236="","",IF(AR236="","",ROUND(AR236-AT236-AU236,2)))</f>
        <v>0</v>
      </c>
      <c r="AW236" s="33">
        <f>IF(B236="","",IF(OR(AR236="",AR236=0),"",AV236/AR236))</f>
        <v>0</v>
      </c>
      <c r="AX236" s="33">
        <f>IF(B236="","",IF(OR(AT236="",AT236=0),"",AV236/AT236))</f>
        <v>0</v>
      </c>
      <c r="AY236" s="20">
        <f>IF(B236="","",IF(OR(Y236="",Y236=0,AV236=""),"",ROUND(AV236/Y236,2)))</f>
        <v>0</v>
      </c>
      <c r="AZ236" s="20">
        <f>IF(B236="","",IF(OR(Y236="",Y236=0,AV236=""),"",ROUND((AV236+Z236)/Y236,2)))</f>
        <v>0</v>
      </c>
      <c r="BA236" s="20">
        <f>IF(B236="","",IF(1-AI236-AL236&lt;=0,"",ROUND((AH236+AM236+AK236)/(1-AI236-AL236),2)))</f>
        <v>0</v>
      </c>
      <c r="BB236" s="20">
        <f>IF(B236="","",IF(AT236="","",ROUND(AT236*2,2)))</f>
        <v>0</v>
      </c>
      <c r="BC236" s="20">
        <f>IF(B236="","",IF(AR236="","",ROUND(AR236*(1-WholesaleDiscount),2)))</f>
        <v>0</v>
      </c>
      <c r="BD236" s="20">
        <f>IF(B236="","",IF(BC236="","",ROUND(BC236-AH236-AM236,2)))</f>
        <v>0</v>
      </c>
      <c r="BE236" s="33">
        <f>IF(B236="","",IF(OR(BC236="",BC236=0),"",BD236/BC236))</f>
        <v>0</v>
      </c>
      <c r="BF236" s="20">
        <f>IF(B236="","",IFERROR(ROUND(AVERAGEIFS(Competitors!$F$5:$F$154,Competitors!$A$5:$A$154,A236),2),""))</f>
        <v>0</v>
      </c>
      <c r="BG236" s="33">
        <f>IF(B236="","",IF(OR(BF236="",BF236=0,AR236=""),"",AR236/BF236-1))</f>
        <v>0</v>
      </c>
      <c r="BH236" s="32">
        <f>IF(B236="","",SUMIFS(Sales!$D$5:$D$804,Sales!$C$5:$C$804,A236))</f>
        <v>0</v>
      </c>
      <c r="BI236" s="20">
        <f>IF(B236="","",ROUND(SUMIFS(Sales!$V$5:$V$804,Sales!$C$5:$C$804,A236),2))</f>
        <v>0</v>
      </c>
      <c r="BJ236" s="20">
        <f>IF(B236="","",ROUND(SUMIFS(Sales!$AG$5:$AG$804,Sales!$C$5:$C$804,A236),2))</f>
        <v>0</v>
      </c>
      <c r="BK236" s="33">
        <f>IF(B236="","",IF(OR(BI236="",BI236=0),"",BJ236/BI236))</f>
        <v>0</v>
      </c>
      <c r="BL236" s="17">
        <f>IF(B236="","",IF(SUMPRODUCT(MAX((Sales!$C$5:$C$804=A236)*Sales!$B$5:$B$804))=0,"",SUMPRODUCT(MAX((Sales!$C$5:$C$804=A236)*Sales!$B$5:$B$804))))</f>
        <v>0</v>
      </c>
      <c r="BM236" s="17">
        <f>IF(B236="","",IF(SUMPRODUCT(MAX(('Price History'!$B$5:$B$304=A236)*'Price History'!$A$5:$A$304))=0,IF(P236="","",P236),SUMPRODUCT(MAX(('Price History'!$B$5:$B$304=A236)*'Price History'!$A$5:$A$304))))</f>
        <v>0</v>
      </c>
      <c r="BN236" s="32">
        <f>IF(B236="","",IF(BM236="","",TodayDate-BM236))</f>
        <v>0</v>
      </c>
      <c r="BO236" s="32">
        <f>IF(B236="","",COUNTIFS($AV$5:$AV$304,"&gt;"&amp;AV236)+COUNTIFS($AV$5:AV236,AV236))</f>
        <v>0</v>
      </c>
      <c r="BP236" s="32">
        <f>IF(B236="","",COUNTIFS($AW$5:$AW$304,"&gt;"&amp;AW236)+COUNTIFS($AW$5:AW236,AW236))</f>
        <v>0</v>
      </c>
      <c r="BQ236" s="32">
        <f>IF(B236="","",COUNTIFS($BI$5:$BI$304,"&gt;"&amp;BI236)+COUNTIFS($BI$5:BI236,BI236))</f>
        <v>0</v>
      </c>
      <c r="BR236" s="32">
        <f>IF(B236="","",COUNTIFS($AY$5:$AY$304,"&gt;"&amp;AY236)+COUNTIFS($AY$5:AY236,AY236))</f>
        <v>0</v>
      </c>
      <c r="BS236" s="43">
        <f>IF(B236="","",IF(AH236=0,"Add - no costs entered yet",IF(AR236="","Check - no price yet",IF(AV236&lt;0,"Loss - every sale costs you money",IF(AND(AZ236&lt;&gt;"",AZ236&lt;MinimumWage),"Below - pays under minimum wage",IF(AW236&lt;MarginWarning,"Low margin - re-price it",IF(AND(AF236&lt;&gt;"",K236&lt;&gt;"",K236+AC236&gt;AF236),"Check - too heavy for that postage band",IF(AND(BN236&lt;&gt;"",BN236&gt;PriceReviewDays),"Due - price has not been reviewed",IF(AND(BG236&lt;&gt;"",BG236&gt;0.5),"Check - well above the market","OK")))))))) )</f>
        <v>0</v>
      </c>
    </row>
    <row r="237" spans="1:71">
      <c r="A237" s="38">
        <f>IF(B237="","",ProductPrefix&amp;TEXT(ROW()-4,"0000"))</f>
        <v>0</v>
      </c>
      <c r="S237" s="38">
        <f>IF(B237="","",IF(C237&lt;&gt;"",C237,UPPER(LEFT(IF(D237="","GEN",D237),3))&amp;"-"&amp;TEXT(ROW()-4,"000")))</f>
        <v>0</v>
      </c>
      <c r="T237" s="20">
        <f>IF(B237="","",ROUND(SUMIFS('Material Usage'!$M$5:$M$904,'Material Usage'!$A$5:$A$904,A237)+SUMIFS(Crochet!$AD$5:$AD$84,Crochet!$A$5:$A$84,A237)+SUMIFS(Jewelry!$AF$5:$AF$84,Jewelry!$A$5:$A$84,A237)+SUMIFS(Candles!$AF$5:$AF$84,Candles!$A$5:$A$84,A237)+SUMIFS(Clothing!$AB$5:$AB$84,Clothing!$A$5:$A$84,A237)+SUMIFS(Woodworking!$AC$5:$AC$84,Woodworking!$A$5:$A$84,A237)+SUMIFS(Digital!$X$5:$X$84,Digital!$A$5:$A$84,A237),2))</f>
        <v>0</v>
      </c>
      <c r="U237" s="20">
        <f>IF(B237="","",ROUND(SUMIFS(Labor!$O$5:$O$304,Labor!$A$5:$A$304,A237)+SUMIFS(Crochet!$AG$5:$AG$84,Crochet!$A$5:$A$84,A237)+SUMIFS(Jewelry!$AI$5:$AI$84,Jewelry!$A$5:$A$84,A237)+SUMIFS(Candles!$AI$5:$AI$84,Candles!$A$5:$A$84,A237)+SUMIFS(Clothing!$AE$5:$AE$84,Clothing!$A$5:$A$84,A237)+SUMIFS(Woodworking!$AF$5:$AF$84,Woodworking!$A$5:$A$84,A237)+SUMIFS(Digital!$Z$5:$Z$84,Digital!$A$5:$A$84,A237),2))</f>
        <v>0</v>
      </c>
      <c r="V237" s="36">
        <f>IF(B237="","",ROUND(SUMIFS(Labor!$P$5:$P$304,Labor!$A$5:$A$304,A237)+SUMIFS(Crochet!$AE$5:$AE$84,Crochet!$A$5:$A$84,A237)+SUMIFS(Jewelry!$AG$5:$AG$84,Jewelry!$A$5:$A$84,A237)+SUMIFS(Candles!$AG$5:$AG$84,Candles!$A$5:$A$84,A237)+SUMIFS(Clothing!$AC$5:$AC$84,Clothing!$A$5:$A$84,A237)+SUMIFS(Woodworking!$AD$5:$AD$84,Woodworking!$A$5:$A$84,A237)+SUMIFS(Digital!$Y$5:$Y$84,Digital!$A$5:$A$84,A237),1))</f>
        <v>0</v>
      </c>
      <c r="W237" s="41">
        <f>IF(B237="","",IFERROR(INDEX(DiffTimeFactors,MATCH(G237,DiffNames,0)),1))</f>
        <v>0</v>
      </c>
      <c r="X237" s="36">
        <f>IF(B237="","",ROUND(V237*W237,1))</f>
        <v>0</v>
      </c>
      <c r="Y237" s="41">
        <f>IF(B237="","",ROUND(X237/60,3))</f>
        <v>0</v>
      </c>
      <c r="Z237" s="20">
        <f>IF(B237="","",ROUND(U237*W237,2))</f>
        <v>0</v>
      </c>
      <c r="AA237" s="20">
        <f>IF(B237="","",ROUND(SUMIFS(Labor!$Q$5:$Q$304,Labor!$A$5:$A$304,A237)+SUMIFS(Crochet!$AH$5:$AH$84,Crochet!$A$5:$A$84,A237)+SUMIFS(Jewelry!$AJ$5:$AJ$84,Jewelry!$A$5:$A$84,A237)+SUMIFS(Candles!$AJ$5:$AJ$84,Candles!$A$5:$A$84,A237)+SUMIFS(Clothing!$AF$5:$AF$84,Clothing!$A$5:$A$84,A237)+SUMIFS(Woodworking!$AH$5:$AH$84,Woodworking!$A$5:$A$84,A237)+SUMIFS(Digital!$AA$5:$AA$84,Digital!$A$5:$A$84,A237),2))</f>
        <v>0</v>
      </c>
      <c r="AB237" s="20">
        <f>IF(B237="","",ROUND(IF(I237="Budget",PackBudget,IF(I237="Standard",PackStandard,IF(I237="Gift",PackGift,IF(I237="Premium",PackPremium,DefaultPackaging)))),2))</f>
        <v>0</v>
      </c>
      <c r="AC237" s="36">
        <f>IF(B237="","",IF(I237="Budget",PackWeightBudget,IF(I237="Standard",PackWeightStandard,IF(I237="Gift",PackWeightGift,IF(I237="Premium",PackWeightPremium,0)))))</f>
        <v>0</v>
      </c>
      <c r="AD237" s="20">
        <f>IF(B237="","",IFERROR(INDEX(Shipping!$M$5:$M$64,MATCH(J237,Shipping!$L$5:$L$64,0)),DefaultShipping))</f>
        <v>0</v>
      </c>
      <c r="AE237" s="20">
        <f>IF(B237="","",IFERROR(INDEX(Shipping!$F$5:$F$64,MATCH(J237,Shipping!$L$5:$L$64,0)),0))</f>
        <v>0</v>
      </c>
      <c r="AF237" s="36">
        <f>IF(B237="","",IFERROR(INDEX(Shipping!$C$5:$C$64,MATCH(J237,Shipping!$L$5:$L$64,0)),""))</f>
        <v>0</v>
      </c>
      <c r="AG237" s="20">
        <f>IF(B237="","",ROUND(MAX(0,AD237-AE237),2))</f>
        <v>0</v>
      </c>
      <c r="AH237" s="20">
        <f>IF(B237="","",ROUND(T237+Z237+AA237+AB237+AG237,2))</f>
        <v>0</v>
      </c>
      <c r="AI237" s="33">
        <f>IF(B237="","",IFERROR(INDEX(Channels!$S$5:$S$18,MATCH(IF(H237="",DefaultChannel,H237),Channels!$A$5:$A$18,0)),0))</f>
        <v>0</v>
      </c>
      <c r="AJ237" s="42">
        <f>IF(B237="","",IFERROR(INDEX(Channels!$O$5:$O$18,MATCH(IF(H237="",DefaultChannel,H237),Channels!$A$5:$A$18,0)),"No"))</f>
        <v>0</v>
      </c>
      <c r="AK237" s="20">
        <f>IF(B237="","",ROUND(IFERROR(INDEX(Channels!$T$5:$T$18,MATCH(IF(H237="",DefaultChannel,H237),Channels!$A$5:$A$18,0)),0)+IF(AJ237="Yes",AE237*AI237,0),4))</f>
        <v>0</v>
      </c>
      <c r="AL237" s="33">
        <f>IF(B237="","",IF(OverheadMethod="Share of revenue",IF(RevenueTargetMonth&lt;=0,0,OverheadMonthly/RevenueTargetMonth),0))</f>
        <v>0</v>
      </c>
      <c r="AM237" s="20">
        <f>IF(B237="","",IF(OverheadMethod="Per hour worked",ROUND(OverheadPerHour*Y237,2),IF(OR(OverheadMethod="Per unit made",OverheadMethod="Per order"),OverheadPerUnit,0)))</f>
        <v>0</v>
      </c>
      <c r="AN237" s="33">
        <f>IF(B237="","",IF(N237&lt;&gt;"",N237,TargetRetailMargin))</f>
        <v>0</v>
      </c>
      <c r="AO237" s="41">
        <f>IF(B237="","",1-AN237-AI237-AL237)</f>
        <v>0</v>
      </c>
      <c r="AP237" s="20">
        <f>IF(B237="","",IF(AO237&lt;=0,"",(AH237+AM237+AK237)/AO237))</f>
        <v>0</v>
      </c>
      <c r="AQ237" s="20">
        <f>IF(B237="","",IF(AP237="","Check the settings",ROUND(IF(RoundingRule="None",AP237,IF(RoundingRule="Nearest 0.99",MAX(0.99,CEILING(AP237,1)-0.01),IF(RoundingRule="Nearest 0.95",MAX(0.95,CEILING(AP237,1)-0.05),IF(RoundingRule="Nearest 0.50",CEILING(AP237,0.5),IF(RoundingRule="Nearest 1",CEILING(AP237,1),IF(RoundingRule="Nearest 5",CEILING(AP237,5),IF(RoundingRule="Up to whole 1",CEILING(AP237,1),IF(RoundingRule="Up to whole 5",CEILING(AP237,5),ROUND(AP237,2))))))))),2)))</f>
        <v>0</v>
      </c>
      <c r="AR237" s="20">
        <f>IF(B237="","",IF(M237&lt;&gt;"",M237,IF(ISNUMBER(AQ237),AQ237,"")))</f>
        <v>0</v>
      </c>
      <c r="AS237" s="20">
        <f>IF(B237="","",IF(AR237="","",ROUND(AM237+AR237*AL237,2)))</f>
        <v>0</v>
      </c>
      <c r="AT237" s="20">
        <f>IF(B237="","",IF(AR237="","",ROUND(AH237+AS237,2)))</f>
        <v>0</v>
      </c>
      <c r="AU237" s="20">
        <f>IF(B237="","",IF(AR237="","",ROUND(AR237*AI237+AK237,2)))</f>
        <v>0</v>
      </c>
      <c r="AV237" s="20">
        <f>IF(B237="","",IF(AR237="","",ROUND(AR237-AT237-AU237,2)))</f>
        <v>0</v>
      </c>
      <c r="AW237" s="33">
        <f>IF(B237="","",IF(OR(AR237="",AR237=0),"",AV237/AR237))</f>
        <v>0</v>
      </c>
      <c r="AX237" s="33">
        <f>IF(B237="","",IF(OR(AT237="",AT237=0),"",AV237/AT237))</f>
        <v>0</v>
      </c>
      <c r="AY237" s="20">
        <f>IF(B237="","",IF(OR(Y237="",Y237=0,AV237=""),"",ROUND(AV237/Y237,2)))</f>
        <v>0</v>
      </c>
      <c r="AZ237" s="20">
        <f>IF(B237="","",IF(OR(Y237="",Y237=0,AV237=""),"",ROUND((AV237+Z237)/Y237,2)))</f>
        <v>0</v>
      </c>
      <c r="BA237" s="20">
        <f>IF(B237="","",IF(1-AI237-AL237&lt;=0,"",ROUND((AH237+AM237+AK237)/(1-AI237-AL237),2)))</f>
        <v>0</v>
      </c>
      <c r="BB237" s="20">
        <f>IF(B237="","",IF(AT237="","",ROUND(AT237*2,2)))</f>
        <v>0</v>
      </c>
      <c r="BC237" s="20">
        <f>IF(B237="","",IF(AR237="","",ROUND(AR237*(1-WholesaleDiscount),2)))</f>
        <v>0</v>
      </c>
      <c r="BD237" s="20">
        <f>IF(B237="","",IF(BC237="","",ROUND(BC237-AH237-AM237,2)))</f>
        <v>0</v>
      </c>
      <c r="BE237" s="33">
        <f>IF(B237="","",IF(OR(BC237="",BC237=0),"",BD237/BC237))</f>
        <v>0</v>
      </c>
      <c r="BF237" s="20">
        <f>IF(B237="","",IFERROR(ROUND(AVERAGEIFS(Competitors!$F$5:$F$154,Competitors!$A$5:$A$154,A237),2),""))</f>
        <v>0</v>
      </c>
      <c r="BG237" s="33">
        <f>IF(B237="","",IF(OR(BF237="",BF237=0,AR237=""),"",AR237/BF237-1))</f>
        <v>0</v>
      </c>
      <c r="BH237" s="32">
        <f>IF(B237="","",SUMIFS(Sales!$D$5:$D$804,Sales!$C$5:$C$804,A237))</f>
        <v>0</v>
      </c>
      <c r="BI237" s="20">
        <f>IF(B237="","",ROUND(SUMIFS(Sales!$V$5:$V$804,Sales!$C$5:$C$804,A237),2))</f>
        <v>0</v>
      </c>
      <c r="BJ237" s="20">
        <f>IF(B237="","",ROUND(SUMIFS(Sales!$AG$5:$AG$804,Sales!$C$5:$C$804,A237),2))</f>
        <v>0</v>
      </c>
      <c r="BK237" s="33">
        <f>IF(B237="","",IF(OR(BI237="",BI237=0),"",BJ237/BI237))</f>
        <v>0</v>
      </c>
      <c r="BL237" s="17">
        <f>IF(B237="","",IF(SUMPRODUCT(MAX((Sales!$C$5:$C$804=A237)*Sales!$B$5:$B$804))=0,"",SUMPRODUCT(MAX((Sales!$C$5:$C$804=A237)*Sales!$B$5:$B$804))))</f>
        <v>0</v>
      </c>
      <c r="BM237" s="17">
        <f>IF(B237="","",IF(SUMPRODUCT(MAX(('Price History'!$B$5:$B$304=A237)*'Price History'!$A$5:$A$304))=0,IF(P237="","",P237),SUMPRODUCT(MAX(('Price History'!$B$5:$B$304=A237)*'Price History'!$A$5:$A$304))))</f>
        <v>0</v>
      </c>
      <c r="BN237" s="32">
        <f>IF(B237="","",IF(BM237="","",TodayDate-BM237))</f>
        <v>0</v>
      </c>
      <c r="BO237" s="32">
        <f>IF(B237="","",COUNTIFS($AV$5:$AV$304,"&gt;"&amp;AV237)+COUNTIFS($AV$5:AV237,AV237))</f>
        <v>0</v>
      </c>
      <c r="BP237" s="32">
        <f>IF(B237="","",COUNTIFS($AW$5:$AW$304,"&gt;"&amp;AW237)+COUNTIFS($AW$5:AW237,AW237))</f>
        <v>0</v>
      </c>
      <c r="BQ237" s="32">
        <f>IF(B237="","",COUNTIFS($BI$5:$BI$304,"&gt;"&amp;BI237)+COUNTIFS($BI$5:BI237,BI237))</f>
        <v>0</v>
      </c>
      <c r="BR237" s="32">
        <f>IF(B237="","",COUNTIFS($AY$5:$AY$304,"&gt;"&amp;AY237)+COUNTIFS($AY$5:AY237,AY237))</f>
        <v>0</v>
      </c>
      <c r="BS237" s="43">
        <f>IF(B237="","",IF(AH237=0,"Add - no costs entered yet",IF(AR237="","Check - no price yet",IF(AV237&lt;0,"Loss - every sale costs you money",IF(AND(AZ237&lt;&gt;"",AZ237&lt;MinimumWage),"Below - pays under minimum wage",IF(AW237&lt;MarginWarning,"Low margin - re-price it",IF(AND(AF237&lt;&gt;"",K237&lt;&gt;"",K237+AC237&gt;AF237),"Check - too heavy for that postage band",IF(AND(BN237&lt;&gt;"",BN237&gt;PriceReviewDays),"Due - price has not been reviewed",IF(AND(BG237&lt;&gt;"",BG237&gt;0.5),"Check - well above the market","OK")))))))) )</f>
        <v>0</v>
      </c>
    </row>
    <row r="238" spans="1:71">
      <c r="A238" s="38">
        <f>IF(B238="","",ProductPrefix&amp;TEXT(ROW()-4,"0000"))</f>
        <v>0</v>
      </c>
      <c r="S238" s="38">
        <f>IF(B238="","",IF(C238&lt;&gt;"",C238,UPPER(LEFT(IF(D238="","GEN",D238),3))&amp;"-"&amp;TEXT(ROW()-4,"000")))</f>
        <v>0</v>
      </c>
      <c r="T238" s="20">
        <f>IF(B238="","",ROUND(SUMIFS('Material Usage'!$M$5:$M$904,'Material Usage'!$A$5:$A$904,A238)+SUMIFS(Crochet!$AD$5:$AD$84,Crochet!$A$5:$A$84,A238)+SUMIFS(Jewelry!$AF$5:$AF$84,Jewelry!$A$5:$A$84,A238)+SUMIFS(Candles!$AF$5:$AF$84,Candles!$A$5:$A$84,A238)+SUMIFS(Clothing!$AB$5:$AB$84,Clothing!$A$5:$A$84,A238)+SUMIFS(Woodworking!$AC$5:$AC$84,Woodworking!$A$5:$A$84,A238)+SUMIFS(Digital!$X$5:$X$84,Digital!$A$5:$A$84,A238),2))</f>
        <v>0</v>
      </c>
      <c r="U238" s="20">
        <f>IF(B238="","",ROUND(SUMIFS(Labor!$O$5:$O$304,Labor!$A$5:$A$304,A238)+SUMIFS(Crochet!$AG$5:$AG$84,Crochet!$A$5:$A$84,A238)+SUMIFS(Jewelry!$AI$5:$AI$84,Jewelry!$A$5:$A$84,A238)+SUMIFS(Candles!$AI$5:$AI$84,Candles!$A$5:$A$84,A238)+SUMIFS(Clothing!$AE$5:$AE$84,Clothing!$A$5:$A$84,A238)+SUMIFS(Woodworking!$AF$5:$AF$84,Woodworking!$A$5:$A$84,A238)+SUMIFS(Digital!$Z$5:$Z$84,Digital!$A$5:$A$84,A238),2))</f>
        <v>0</v>
      </c>
      <c r="V238" s="36">
        <f>IF(B238="","",ROUND(SUMIFS(Labor!$P$5:$P$304,Labor!$A$5:$A$304,A238)+SUMIFS(Crochet!$AE$5:$AE$84,Crochet!$A$5:$A$84,A238)+SUMIFS(Jewelry!$AG$5:$AG$84,Jewelry!$A$5:$A$84,A238)+SUMIFS(Candles!$AG$5:$AG$84,Candles!$A$5:$A$84,A238)+SUMIFS(Clothing!$AC$5:$AC$84,Clothing!$A$5:$A$84,A238)+SUMIFS(Woodworking!$AD$5:$AD$84,Woodworking!$A$5:$A$84,A238)+SUMIFS(Digital!$Y$5:$Y$84,Digital!$A$5:$A$84,A238),1))</f>
        <v>0</v>
      </c>
      <c r="W238" s="41">
        <f>IF(B238="","",IFERROR(INDEX(DiffTimeFactors,MATCH(G238,DiffNames,0)),1))</f>
        <v>0</v>
      </c>
      <c r="X238" s="36">
        <f>IF(B238="","",ROUND(V238*W238,1))</f>
        <v>0</v>
      </c>
      <c r="Y238" s="41">
        <f>IF(B238="","",ROUND(X238/60,3))</f>
        <v>0</v>
      </c>
      <c r="Z238" s="20">
        <f>IF(B238="","",ROUND(U238*W238,2))</f>
        <v>0</v>
      </c>
      <c r="AA238" s="20">
        <f>IF(B238="","",ROUND(SUMIFS(Labor!$Q$5:$Q$304,Labor!$A$5:$A$304,A238)+SUMIFS(Crochet!$AH$5:$AH$84,Crochet!$A$5:$A$84,A238)+SUMIFS(Jewelry!$AJ$5:$AJ$84,Jewelry!$A$5:$A$84,A238)+SUMIFS(Candles!$AJ$5:$AJ$84,Candles!$A$5:$A$84,A238)+SUMIFS(Clothing!$AF$5:$AF$84,Clothing!$A$5:$A$84,A238)+SUMIFS(Woodworking!$AH$5:$AH$84,Woodworking!$A$5:$A$84,A238)+SUMIFS(Digital!$AA$5:$AA$84,Digital!$A$5:$A$84,A238),2))</f>
        <v>0</v>
      </c>
      <c r="AB238" s="20">
        <f>IF(B238="","",ROUND(IF(I238="Budget",PackBudget,IF(I238="Standard",PackStandard,IF(I238="Gift",PackGift,IF(I238="Premium",PackPremium,DefaultPackaging)))),2))</f>
        <v>0</v>
      </c>
      <c r="AC238" s="36">
        <f>IF(B238="","",IF(I238="Budget",PackWeightBudget,IF(I238="Standard",PackWeightStandard,IF(I238="Gift",PackWeightGift,IF(I238="Premium",PackWeightPremium,0)))))</f>
        <v>0</v>
      </c>
      <c r="AD238" s="20">
        <f>IF(B238="","",IFERROR(INDEX(Shipping!$M$5:$M$64,MATCH(J238,Shipping!$L$5:$L$64,0)),DefaultShipping))</f>
        <v>0</v>
      </c>
      <c r="AE238" s="20">
        <f>IF(B238="","",IFERROR(INDEX(Shipping!$F$5:$F$64,MATCH(J238,Shipping!$L$5:$L$64,0)),0))</f>
        <v>0</v>
      </c>
      <c r="AF238" s="36">
        <f>IF(B238="","",IFERROR(INDEX(Shipping!$C$5:$C$64,MATCH(J238,Shipping!$L$5:$L$64,0)),""))</f>
        <v>0</v>
      </c>
      <c r="AG238" s="20">
        <f>IF(B238="","",ROUND(MAX(0,AD238-AE238),2))</f>
        <v>0</v>
      </c>
      <c r="AH238" s="20">
        <f>IF(B238="","",ROUND(T238+Z238+AA238+AB238+AG238,2))</f>
        <v>0</v>
      </c>
      <c r="AI238" s="33">
        <f>IF(B238="","",IFERROR(INDEX(Channels!$S$5:$S$18,MATCH(IF(H238="",DefaultChannel,H238),Channels!$A$5:$A$18,0)),0))</f>
        <v>0</v>
      </c>
      <c r="AJ238" s="42">
        <f>IF(B238="","",IFERROR(INDEX(Channels!$O$5:$O$18,MATCH(IF(H238="",DefaultChannel,H238),Channels!$A$5:$A$18,0)),"No"))</f>
        <v>0</v>
      </c>
      <c r="AK238" s="20">
        <f>IF(B238="","",ROUND(IFERROR(INDEX(Channels!$T$5:$T$18,MATCH(IF(H238="",DefaultChannel,H238),Channels!$A$5:$A$18,0)),0)+IF(AJ238="Yes",AE238*AI238,0),4))</f>
        <v>0</v>
      </c>
      <c r="AL238" s="33">
        <f>IF(B238="","",IF(OverheadMethod="Share of revenue",IF(RevenueTargetMonth&lt;=0,0,OverheadMonthly/RevenueTargetMonth),0))</f>
        <v>0</v>
      </c>
      <c r="AM238" s="20">
        <f>IF(B238="","",IF(OverheadMethod="Per hour worked",ROUND(OverheadPerHour*Y238,2),IF(OR(OverheadMethod="Per unit made",OverheadMethod="Per order"),OverheadPerUnit,0)))</f>
        <v>0</v>
      </c>
      <c r="AN238" s="33">
        <f>IF(B238="","",IF(N238&lt;&gt;"",N238,TargetRetailMargin))</f>
        <v>0</v>
      </c>
      <c r="AO238" s="41">
        <f>IF(B238="","",1-AN238-AI238-AL238)</f>
        <v>0</v>
      </c>
      <c r="AP238" s="20">
        <f>IF(B238="","",IF(AO238&lt;=0,"",(AH238+AM238+AK238)/AO238))</f>
        <v>0</v>
      </c>
      <c r="AQ238" s="20">
        <f>IF(B238="","",IF(AP238="","Check the settings",ROUND(IF(RoundingRule="None",AP238,IF(RoundingRule="Nearest 0.99",MAX(0.99,CEILING(AP238,1)-0.01),IF(RoundingRule="Nearest 0.95",MAX(0.95,CEILING(AP238,1)-0.05),IF(RoundingRule="Nearest 0.50",CEILING(AP238,0.5),IF(RoundingRule="Nearest 1",CEILING(AP238,1),IF(RoundingRule="Nearest 5",CEILING(AP238,5),IF(RoundingRule="Up to whole 1",CEILING(AP238,1),IF(RoundingRule="Up to whole 5",CEILING(AP238,5),ROUND(AP238,2))))))))),2)))</f>
        <v>0</v>
      </c>
      <c r="AR238" s="20">
        <f>IF(B238="","",IF(M238&lt;&gt;"",M238,IF(ISNUMBER(AQ238),AQ238,"")))</f>
        <v>0</v>
      </c>
      <c r="AS238" s="20">
        <f>IF(B238="","",IF(AR238="","",ROUND(AM238+AR238*AL238,2)))</f>
        <v>0</v>
      </c>
      <c r="AT238" s="20">
        <f>IF(B238="","",IF(AR238="","",ROUND(AH238+AS238,2)))</f>
        <v>0</v>
      </c>
      <c r="AU238" s="20">
        <f>IF(B238="","",IF(AR238="","",ROUND(AR238*AI238+AK238,2)))</f>
        <v>0</v>
      </c>
      <c r="AV238" s="20">
        <f>IF(B238="","",IF(AR238="","",ROUND(AR238-AT238-AU238,2)))</f>
        <v>0</v>
      </c>
      <c r="AW238" s="33">
        <f>IF(B238="","",IF(OR(AR238="",AR238=0),"",AV238/AR238))</f>
        <v>0</v>
      </c>
      <c r="AX238" s="33">
        <f>IF(B238="","",IF(OR(AT238="",AT238=0),"",AV238/AT238))</f>
        <v>0</v>
      </c>
      <c r="AY238" s="20">
        <f>IF(B238="","",IF(OR(Y238="",Y238=0,AV238=""),"",ROUND(AV238/Y238,2)))</f>
        <v>0</v>
      </c>
      <c r="AZ238" s="20">
        <f>IF(B238="","",IF(OR(Y238="",Y238=0,AV238=""),"",ROUND((AV238+Z238)/Y238,2)))</f>
        <v>0</v>
      </c>
      <c r="BA238" s="20">
        <f>IF(B238="","",IF(1-AI238-AL238&lt;=0,"",ROUND((AH238+AM238+AK238)/(1-AI238-AL238),2)))</f>
        <v>0</v>
      </c>
      <c r="BB238" s="20">
        <f>IF(B238="","",IF(AT238="","",ROUND(AT238*2,2)))</f>
        <v>0</v>
      </c>
      <c r="BC238" s="20">
        <f>IF(B238="","",IF(AR238="","",ROUND(AR238*(1-WholesaleDiscount),2)))</f>
        <v>0</v>
      </c>
      <c r="BD238" s="20">
        <f>IF(B238="","",IF(BC238="","",ROUND(BC238-AH238-AM238,2)))</f>
        <v>0</v>
      </c>
      <c r="BE238" s="33">
        <f>IF(B238="","",IF(OR(BC238="",BC238=0),"",BD238/BC238))</f>
        <v>0</v>
      </c>
      <c r="BF238" s="20">
        <f>IF(B238="","",IFERROR(ROUND(AVERAGEIFS(Competitors!$F$5:$F$154,Competitors!$A$5:$A$154,A238),2),""))</f>
        <v>0</v>
      </c>
      <c r="BG238" s="33">
        <f>IF(B238="","",IF(OR(BF238="",BF238=0,AR238=""),"",AR238/BF238-1))</f>
        <v>0</v>
      </c>
      <c r="BH238" s="32">
        <f>IF(B238="","",SUMIFS(Sales!$D$5:$D$804,Sales!$C$5:$C$804,A238))</f>
        <v>0</v>
      </c>
      <c r="BI238" s="20">
        <f>IF(B238="","",ROUND(SUMIFS(Sales!$V$5:$V$804,Sales!$C$5:$C$804,A238),2))</f>
        <v>0</v>
      </c>
      <c r="BJ238" s="20">
        <f>IF(B238="","",ROUND(SUMIFS(Sales!$AG$5:$AG$804,Sales!$C$5:$C$804,A238),2))</f>
        <v>0</v>
      </c>
      <c r="BK238" s="33">
        <f>IF(B238="","",IF(OR(BI238="",BI238=0),"",BJ238/BI238))</f>
        <v>0</v>
      </c>
      <c r="BL238" s="17">
        <f>IF(B238="","",IF(SUMPRODUCT(MAX((Sales!$C$5:$C$804=A238)*Sales!$B$5:$B$804))=0,"",SUMPRODUCT(MAX((Sales!$C$5:$C$804=A238)*Sales!$B$5:$B$804))))</f>
        <v>0</v>
      </c>
      <c r="BM238" s="17">
        <f>IF(B238="","",IF(SUMPRODUCT(MAX(('Price History'!$B$5:$B$304=A238)*'Price History'!$A$5:$A$304))=0,IF(P238="","",P238),SUMPRODUCT(MAX(('Price History'!$B$5:$B$304=A238)*'Price History'!$A$5:$A$304))))</f>
        <v>0</v>
      </c>
      <c r="BN238" s="32">
        <f>IF(B238="","",IF(BM238="","",TodayDate-BM238))</f>
        <v>0</v>
      </c>
      <c r="BO238" s="32">
        <f>IF(B238="","",COUNTIFS($AV$5:$AV$304,"&gt;"&amp;AV238)+COUNTIFS($AV$5:AV238,AV238))</f>
        <v>0</v>
      </c>
      <c r="BP238" s="32">
        <f>IF(B238="","",COUNTIFS($AW$5:$AW$304,"&gt;"&amp;AW238)+COUNTIFS($AW$5:AW238,AW238))</f>
        <v>0</v>
      </c>
      <c r="BQ238" s="32">
        <f>IF(B238="","",COUNTIFS($BI$5:$BI$304,"&gt;"&amp;BI238)+COUNTIFS($BI$5:BI238,BI238))</f>
        <v>0</v>
      </c>
      <c r="BR238" s="32">
        <f>IF(B238="","",COUNTIFS($AY$5:$AY$304,"&gt;"&amp;AY238)+COUNTIFS($AY$5:AY238,AY238))</f>
        <v>0</v>
      </c>
      <c r="BS238" s="43">
        <f>IF(B238="","",IF(AH238=0,"Add - no costs entered yet",IF(AR238="","Check - no price yet",IF(AV238&lt;0,"Loss - every sale costs you money",IF(AND(AZ238&lt;&gt;"",AZ238&lt;MinimumWage),"Below - pays under minimum wage",IF(AW238&lt;MarginWarning,"Low margin - re-price it",IF(AND(AF238&lt;&gt;"",K238&lt;&gt;"",K238+AC238&gt;AF238),"Check - too heavy for that postage band",IF(AND(BN238&lt;&gt;"",BN238&gt;PriceReviewDays),"Due - price has not been reviewed",IF(AND(BG238&lt;&gt;"",BG238&gt;0.5),"Check - well above the market","OK")))))))) )</f>
        <v>0</v>
      </c>
    </row>
    <row r="239" spans="1:71">
      <c r="A239" s="38">
        <f>IF(B239="","",ProductPrefix&amp;TEXT(ROW()-4,"0000"))</f>
        <v>0</v>
      </c>
      <c r="S239" s="38">
        <f>IF(B239="","",IF(C239&lt;&gt;"",C239,UPPER(LEFT(IF(D239="","GEN",D239),3))&amp;"-"&amp;TEXT(ROW()-4,"000")))</f>
        <v>0</v>
      </c>
      <c r="T239" s="20">
        <f>IF(B239="","",ROUND(SUMIFS('Material Usage'!$M$5:$M$904,'Material Usage'!$A$5:$A$904,A239)+SUMIFS(Crochet!$AD$5:$AD$84,Crochet!$A$5:$A$84,A239)+SUMIFS(Jewelry!$AF$5:$AF$84,Jewelry!$A$5:$A$84,A239)+SUMIFS(Candles!$AF$5:$AF$84,Candles!$A$5:$A$84,A239)+SUMIFS(Clothing!$AB$5:$AB$84,Clothing!$A$5:$A$84,A239)+SUMIFS(Woodworking!$AC$5:$AC$84,Woodworking!$A$5:$A$84,A239)+SUMIFS(Digital!$X$5:$X$84,Digital!$A$5:$A$84,A239),2))</f>
        <v>0</v>
      </c>
      <c r="U239" s="20">
        <f>IF(B239="","",ROUND(SUMIFS(Labor!$O$5:$O$304,Labor!$A$5:$A$304,A239)+SUMIFS(Crochet!$AG$5:$AG$84,Crochet!$A$5:$A$84,A239)+SUMIFS(Jewelry!$AI$5:$AI$84,Jewelry!$A$5:$A$84,A239)+SUMIFS(Candles!$AI$5:$AI$84,Candles!$A$5:$A$84,A239)+SUMIFS(Clothing!$AE$5:$AE$84,Clothing!$A$5:$A$84,A239)+SUMIFS(Woodworking!$AF$5:$AF$84,Woodworking!$A$5:$A$84,A239)+SUMIFS(Digital!$Z$5:$Z$84,Digital!$A$5:$A$84,A239),2))</f>
        <v>0</v>
      </c>
      <c r="V239" s="36">
        <f>IF(B239="","",ROUND(SUMIFS(Labor!$P$5:$P$304,Labor!$A$5:$A$304,A239)+SUMIFS(Crochet!$AE$5:$AE$84,Crochet!$A$5:$A$84,A239)+SUMIFS(Jewelry!$AG$5:$AG$84,Jewelry!$A$5:$A$84,A239)+SUMIFS(Candles!$AG$5:$AG$84,Candles!$A$5:$A$84,A239)+SUMIFS(Clothing!$AC$5:$AC$84,Clothing!$A$5:$A$84,A239)+SUMIFS(Woodworking!$AD$5:$AD$84,Woodworking!$A$5:$A$84,A239)+SUMIFS(Digital!$Y$5:$Y$84,Digital!$A$5:$A$84,A239),1))</f>
        <v>0</v>
      </c>
      <c r="W239" s="41">
        <f>IF(B239="","",IFERROR(INDEX(DiffTimeFactors,MATCH(G239,DiffNames,0)),1))</f>
        <v>0</v>
      </c>
      <c r="X239" s="36">
        <f>IF(B239="","",ROUND(V239*W239,1))</f>
        <v>0</v>
      </c>
      <c r="Y239" s="41">
        <f>IF(B239="","",ROUND(X239/60,3))</f>
        <v>0</v>
      </c>
      <c r="Z239" s="20">
        <f>IF(B239="","",ROUND(U239*W239,2))</f>
        <v>0</v>
      </c>
      <c r="AA239" s="20">
        <f>IF(B239="","",ROUND(SUMIFS(Labor!$Q$5:$Q$304,Labor!$A$5:$A$304,A239)+SUMIFS(Crochet!$AH$5:$AH$84,Crochet!$A$5:$A$84,A239)+SUMIFS(Jewelry!$AJ$5:$AJ$84,Jewelry!$A$5:$A$84,A239)+SUMIFS(Candles!$AJ$5:$AJ$84,Candles!$A$5:$A$84,A239)+SUMIFS(Clothing!$AF$5:$AF$84,Clothing!$A$5:$A$84,A239)+SUMIFS(Woodworking!$AH$5:$AH$84,Woodworking!$A$5:$A$84,A239)+SUMIFS(Digital!$AA$5:$AA$84,Digital!$A$5:$A$84,A239),2))</f>
        <v>0</v>
      </c>
      <c r="AB239" s="20">
        <f>IF(B239="","",ROUND(IF(I239="Budget",PackBudget,IF(I239="Standard",PackStandard,IF(I239="Gift",PackGift,IF(I239="Premium",PackPremium,DefaultPackaging)))),2))</f>
        <v>0</v>
      </c>
      <c r="AC239" s="36">
        <f>IF(B239="","",IF(I239="Budget",PackWeightBudget,IF(I239="Standard",PackWeightStandard,IF(I239="Gift",PackWeightGift,IF(I239="Premium",PackWeightPremium,0)))))</f>
        <v>0</v>
      </c>
      <c r="AD239" s="20">
        <f>IF(B239="","",IFERROR(INDEX(Shipping!$M$5:$M$64,MATCH(J239,Shipping!$L$5:$L$64,0)),DefaultShipping))</f>
        <v>0</v>
      </c>
      <c r="AE239" s="20">
        <f>IF(B239="","",IFERROR(INDEX(Shipping!$F$5:$F$64,MATCH(J239,Shipping!$L$5:$L$64,0)),0))</f>
        <v>0</v>
      </c>
      <c r="AF239" s="36">
        <f>IF(B239="","",IFERROR(INDEX(Shipping!$C$5:$C$64,MATCH(J239,Shipping!$L$5:$L$64,0)),""))</f>
        <v>0</v>
      </c>
      <c r="AG239" s="20">
        <f>IF(B239="","",ROUND(MAX(0,AD239-AE239),2))</f>
        <v>0</v>
      </c>
      <c r="AH239" s="20">
        <f>IF(B239="","",ROUND(T239+Z239+AA239+AB239+AG239,2))</f>
        <v>0</v>
      </c>
      <c r="AI239" s="33">
        <f>IF(B239="","",IFERROR(INDEX(Channels!$S$5:$S$18,MATCH(IF(H239="",DefaultChannel,H239),Channels!$A$5:$A$18,0)),0))</f>
        <v>0</v>
      </c>
      <c r="AJ239" s="42">
        <f>IF(B239="","",IFERROR(INDEX(Channels!$O$5:$O$18,MATCH(IF(H239="",DefaultChannel,H239),Channels!$A$5:$A$18,0)),"No"))</f>
        <v>0</v>
      </c>
      <c r="AK239" s="20">
        <f>IF(B239="","",ROUND(IFERROR(INDEX(Channels!$T$5:$T$18,MATCH(IF(H239="",DefaultChannel,H239),Channels!$A$5:$A$18,0)),0)+IF(AJ239="Yes",AE239*AI239,0),4))</f>
        <v>0</v>
      </c>
      <c r="AL239" s="33">
        <f>IF(B239="","",IF(OverheadMethod="Share of revenue",IF(RevenueTargetMonth&lt;=0,0,OverheadMonthly/RevenueTargetMonth),0))</f>
        <v>0</v>
      </c>
      <c r="AM239" s="20">
        <f>IF(B239="","",IF(OverheadMethod="Per hour worked",ROUND(OverheadPerHour*Y239,2),IF(OR(OverheadMethod="Per unit made",OverheadMethod="Per order"),OverheadPerUnit,0)))</f>
        <v>0</v>
      </c>
      <c r="AN239" s="33">
        <f>IF(B239="","",IF(N239&lt;&gt;"",N239,TargetRetailMargin))</f>
        <v>0</v>
      </c>
      <c r="AO239" s="41">
        <f>IF(B239="","",1-AN239-AI239-AL239)</f>
        <v>0</v>
      </c>
      <c r="AP239" s="20">
        <f>IF(B239="","",IF(AO239&lt;=0,"",(AH239+AM239+AK239)/AO239))</f>
        <v>0</v>
      </c>
      <c r="AQ239" s="20">
        <f>IF(B239="","",IF(AP239="","Check the settings",ROUND(IF(RoundingRule="None",AP239,IF(RoundingRule="Nearest 0.99",MAX(0.99,CEILING(AP239,1)-0.01),IF(RoundingRule="Nearest 0.95",MAX(0.95,CEILING(AP239,1)-0.05),IF(RoundingRule="Nearest 0.50",CEILING(AP239,0.5),IF(RoundingRule="Nearest 1",CEILING(AP239,1),IF(RoundingRule="Nearest 5",CEILING(AP239,5),IF(RoundingRule="Up to whole 1",CEILING(AP239,1),IF(RoundingRule="Up to whole 5",CEILING(AP239,5),ROUND(AP239,2))))))))),2)))</f>
        <v>0</v>
      </c>
      <c r="AR239" s="20">
        <f>IF(B239="","",IF(M239&lt;&gt;"",M239,IF(ISNUMBER(AQ239),AQ239,"")))</f>
        <v>0</v>
      </c>
      <c r="AS239" s="20">
        <f>IF(B239="","",IF(AR239="","",ROUND(AM239+AR239*AL239,2)))</f>
        <v>0</v>
      </c>
      <c r="AT239" s="20">
        <f>IF(B239="","",IF(AR239="","",ROUND(AH239+AS239,2)))</f>
        <v>0</v>
      </c>
      <c r="AU239" s="20">
        <f>IF(B239="","",IF(AR239="","",ROUND(AR239*AI239+AK239,2)))</f>
        <v>0</v>
      </c>
      <c r="AV239" s="20">
        <f>IF(B239="","",IF(AR239="","",ROUND(AR239-AT239-AU239,2)))</f>
        <v>0</v>
      </c>
      <c r="AW239" s="33">
        <f>IF(B239="","",IF(OR(AR239="",AR239=0),"",AV239/AR239))</f>
        <v>0</v>
      </c>
      <c r="AX239" s="33">
        <f>IF(B239="","",IF(OR(AT239="",AT239=0),"",AV239/AT239))</f>
        <v>0</v>
      </c>
      <c r="AY239" s="20">
        <f>IF(B239="","",IF(OR(Y239="",Y239=0,AV239=""),"",ROUND(AV239/Y239,2)))</f>
        <v>0</v>
      </c>
      <c r="AZ239" s="20">
        <f>IF(B239="","",IF(OR(Y239="",Y239=0,AV239=""),"",ROUND((AV239+Z239)/Y239,2)))</f>
        <v>0</v>
      </c>
      <c r="BA239" s="20">
        <f>IF(B239="","",IF(1-AI239-AL239&lt;=0,"",ROUND((AH239+AM239+AK239)/(1-AI239-AL239),2)))</f>
        <v>0</v>
      </c>
      <c r="BB239" s="20">
        <f>IF(B239="","",IF(AT239="","",ROUND(AT239*2,2)))</f>
        <v>0</v>
      </c>
      <c r="BC239" s="20">
        <f>IF(B239="","",IF(AR239="","",ROUND(AR239*(1-WholesaleDiscount),2)))</f>
        <v>0</v>
      </c>
      <c r="BD239" s="20">
        <f>IF(B239="","",IF(BC239="","",ROUND(BC239-AH239-AM239,2)))</f>
        <v>0</v>
      </c>
      <c r="BE239" s="33">
        <f>IF(B239="","",IF(OR(BC239="",BC239=0),"",BD239/BC239))</f>
        <v>0</v>
      </c>
      <c r="BF239" s="20">
        <f>IF(B239="","",IFERROR(ROUND(AVERAGEIFS(Competitors!$F$5:$F$154,Competitors!$A$5:$A$154,A239),2),""))</f>
        <v>0</v>
      </c>
      <c r="BG239" s="33">
        <f>IF(B239="","",IF(OR(BF239="",BF239=0,AR239=""),"",AR239/BF239-1))</f>
        <v>0</v>
      </c>
      <c r="BH239" s="32">
        <f>IF(B239="","",SUMIFS(Sales!$D$5:$D$804,Sales!$C$5:$C$804,A239))</f>
        <v>0</v>
      </c>
      <c r="BI239" s="20">
        <f>IF(B239="","",ROUND(SUMIFS(Sales!$V$5:$V$804,Sales!$C$5:$C$804,A239),2))</f>
        <v>0</v>
      </c>
      <c r="BJ239" s="20">
        <f>IF(B239="","",ROUND(SUMIFS(Sales!$AG$5:$AG$804,Sales!$C$5:$C$804,A239),2))</f>
        <v>0</v>
      </c>
      <c r="BK239" s="33">
        <f>IF(B239="","",IF(OR(BI239="",BI239=0),"",BJ239/BI239))</f>
        <v>0</v>
      </c>
      <c r="BL239" s="17">
        <f>IF(B239="","",IF(SUMPRODUCT(MAX((Sales!$C$5:$C$804=A239)*Sales!$B$5:$B$804))=0,"",SUMPRODUCT(MAX((Sales!$C$5:$C$804=A239)*Sales!$B$5:$B$804))))</f>
        <v>0</v>
      </c>
      <c r="BM239" s="17">
        <f>IF(B239="","",IF(SUMPRODUCT(MAX(('Price History'!$B$5:$B$304=A239)*'Price History'!$A$5:$A$304))=0,IF(P239="","",P239),SUMPRODUCT(MAX(('Price History'!$B$5:$B$304=A239)*'Price History'!$A$5:$A$304))))</f>
        <v>0</v>
      </c>
      <c r="BN239" s="32">
        <f>IF(B239="","",IF(BM239="","",TodayDate-BM239))</f>
        <v>0</v>
      </c>
      <c r="BO239" s="32">
        <f>IF(B239="","",COUNTIFS($AV$5:$AV$304,"&gt;"&amp;AV239)+COUNTIFS($AV$5:AV239,AV239))</f>
        <v>0</v>
      </c>
      <c r="BP239" s="32">
        <f>IF(B239="","",COUNTIFS($AW$5:$AW$304,"&gt;"&amp;AW239)+COUNTIFS($AW$5:AW239,AW239))</f>
        <v>0</v>
      </c>
      <c r="BQ239" s="32">
        <f>IF(B239="","",COUNTIFS($BI$5:$BI$304,"&gt;"&amp;BI239)+COUNTIFS($BI$5:BI239,BI239))</f>
        <v>0</v>
      </c>
      <c r="BR239" s="32">
        <f>IF(B239="","",COUNTIFS($AY$5:$AY$304,"&gt;"&amp;AY239)+COUNTIFS($AY$5:AY239,AY239))</f>
        <v>0</v>
      </c>
      <c r="BS239" s="43">
        <f>IF(B239="","",IF(AH239=0,"Add - no costs entered yet",IF(AR239="","Check - no price yet",IF(AV239&lt;0,"Loss - every sale costs you money",IF(AND(AZ239&lt;&gt;"",AZ239&lt;MinimumWage),"Below - pays under minimum wage",IF(AW239&lt;MarginWarning,"Low margin - re-price it",IF(AND(AF239&lt;&gt;"",K239&lt;&gt;"",K239+AC239&gt;AF239),"Check - too heavy for that postage band",IF(AND(BN239&lt;&gt;"",BN239&gt;PriceReviewDays),"Due - price has not been reviewed",IF(AND(BG239&lt;&gt;"",BG239&gt;0.5),"Check - well above the market","OK")))))))) )</f>
        <v>0</v>
      </c>
    </row>
    <row r="240" spans="1:71">
      <c r="A240" s="38">
        <f>IF(B240="","",ProductPrefix&amp;TEXT(ROW()-4,"0000"))</f>
        <v>0</v>
      </c>
      <c r="S240" s="38">
        <f>IF(B240="","",IF(C240&lt;&gt;"",C240,UPPER(LEFT(IF(D240="","GEN",D240),3))&amp;"-"&amp;TEXT(ROW()-4,"000")))</f>
        <v>0</v>
      </c>
      <c r="T240" s="20">
        <f>IF(B240="","",ROUND(SUMIFS('Material Usage'!$M$5:$M$904,'Material Usage'!$A$5:$A$904,A240)+SUMIFS(Crochet!$AD$5:$AD$84,Crochet!$A$5:$A$84,A240)+SUMIFS(Jewelry!$AF$5:$AF$84,Jewelry!$A$5:$A$84,A240)+SUMIFS(Candles!$AF$5:$AF$84,Candles!$A$5:$A$84,A240)+SUMIFS(Clothing!$AB$5:$AB$84,Clothing!$A$5:$A$84,A240)+SUMIFS(Woodworking!$AC$5:$AC$84,Woodworking!$A$5:$A$84,A240)+SUMIFS(Digital!$X$5:$X$84,Digital!$A$5:$A$84,A240),2))</f>
        <v>0</v>
      </c>
      <c r="U240" s="20">
        <f>IF(B240="","",ROUND(SUMIFS(Labor!$O$5:$O$304,Labor!$A$5:$A$304,A240)+SUMIFS(Crochet!$AG$5:$AG$84,Crochet!$A$5:$A$84,A240)+SUMIFS(Jewelry!$AI$5:$AI$84,Jewelry!$A$5:$A$84,A240)+SUMIFS(Candles!$AI$5:$AI$84,Candles!$A$5:$A$84,A240)+SUMIFS(Clothing!$AE$5:$AE$84,Clothing!$A$5:$A$84,A240)+SUMIFS(Woodworking!$AF$5:$AF$84,Woodworking!$A$5:$A$84,A240)+SUMIFS(Digital!$Z$5:$Z$84,Digital!$A$5:$A$84,A240),2))</f>
        <v>0</v>
      </c>
      <c r="V240" s="36">
        <f>IF(B240="","",ROUND(SUMIFS(Labor!$P$5:$P$304,Labor!$A$5:$A$304,A240)+SUMIFS(Crochet!$AE$5:$AE$84,Crochet!$A$5:$A$84,A240)+SUMIFS(Jewelry!$AG$5:$AG$84,Jewelry!$A$5:$A$84,A240)+SUMIFS(Candles!$AG$5:$AG$84,Candles!$A$5:$A$84,A240)+SUMIFS(Clothing!$AC$5:$AC$84,Clothing!$A$5:$A$84,A240)+SUMIFS(Woodworking!$AD$5:$AD$84,Woodworking!$A$5:$A$84,A240)+SUMIFS(Digital!$Y$5:$Y$84,Digital!$A$5:$A$84,A240),1))</f>
        <v>0</v>
      </c>
      <c r="W240" s="41">
        <f>IF(B240="","",IFERROR(INDEX(DiffTimeFactors,MATCH(G240,DiffNames,0)),1))</f>
        <v>0</v>
      </c>
      <c r="X240" s="36">
        <f>IF(B240="","",ROUND(V240*W240,1))</f>
        <v>0</v>
      </c>
      <c r="Y240" s="41">
        <f>IF(B240="","",ROUND(X240/60,3))</f>
        <v>0</v>
      </c>
      <c r="Z240" s="20">
        <f>IF(B240="","",ROUND(U240*W240,2))</f>
        <v>0</v>
      </c>
      <c r="AA240" s="20">
        <f>IF(B240="","",ROUND(SUMIFS(Labor!$Q$5:$Q$304,Labor!$A$5:$A$304,A240)+SUMIFS(Crochet!$AH$5:$AH$84,Crochet!$A$5:$A$84,A240)+SUMIFS(Jewelry!$AJ$5:$AJ$84,Jewelry!$A$5:$A$84,A240)+SUMIFS(Candles!$AJ$5:$AJ$84,Candles!$A$5:$A$84,A240)+SUMIFS(Clothing!$AF$5:$AF$84,Clothing!$A$5:$A$84,A240)+SUMIFS(Woodworking!$AH$5:$AH$84,Woodworking!$A$5:$A$84,A240)+SUMIFS(Digital!$AA$5:$AA$84,Digital!$A$5:$A$84,A240),2))</f>
        <v>0</v>
      </c>
      <c r="AB240" s="20">
        <f>IF(B240="","",ROUND(IF(I240="Budget",PackBudget,IF(I240="Standard",PackStandard,IF(I240="Gift",PackGift,IF(I240="Premium",PackPremium,DefaultPackaging)))),2))</f>
        <v>0</v>
      </c>
      <c r="AC240" s="36">
        <f>IF(B240="","",IF(I240="Budget",PackWeightBudget,IF(I240="Standard",PackWeightStandard,IF(I240="Gift",PackWeightGift,IF(I240="Premium",PackWeightPremium,0)))))</f>
        <v>0</v>
      </c>
      <c r="AD240" s="20">
        <f>IF(B240="","",IFERROR(INDEX(Shipping!$M$5:$M$64,MATCH(J240,Shipping!$L$5:$L$64,0)),DefaultShipping))</f>
        <v>0</v>
      </c>
      <c r="AE240" s="20">
        <f>IF(B240="","",IFERROR(INDEX(Shipping!$F$5:$F$64,MATCH(J240,Shipping!$L$5:$L$64,0)),0))</f>
        <v>0</v>
      </c>
      <c r="AF240" s="36">
        <f>IF(B240="","",IFERROR(INDEX(Shipping!$C$5:$C$64,MATCH(J240,Shipping!$L$5:$L$64,0)),""))</f>
        <v>0</v>
      </c>
      <c r="AG240" s="20">
        <f>IF(B240="","",ROUND(MAX(0,AD240-AE240),2))</f>
        <v>0</v>
      </c>
      <c r="AH240" s="20">
        <f>IF(B240="","",ROUND(T240+Z240+AA240+AB240+AG240,2))</f>
        <v>0</v>
      </c>
      <c r="AI240" s="33">
        <f>IF(B240="","",IFERROR(INDEX(Channels!$S$5:$S$18,MATCH(IF(H240="",DefaultChannel,H240),Channels!$A$5:$A$18,0)),0))</f>
        <v>0</v>
      </c>
      <c r="AJ240" s="42">
        <f>IF(B240="","",IFERROR(INDEX(Channels!$O$5:$O$18,MATCH(IF(H240="",DefaultChannel,H240),Channels!$A$5:$A$18,0)),"No"))</f>
        <v>0</v>
      </c>
      <c r="AK240" s="20">
        <f>IF(B240="","",ROUND(IFERROR(INDEX(Channels!$T$5:$T$18,MATCH(IF(H240="",DefaultChannel,H240),Channels!$A$5:$A$18,0)),0)+IF(AJ240="Yes",AE240*AI240,0),4))</f>
        <v>0</v>
      </c>
      <c r="AL240" s="33">
        <f>IF(B240="","",IF(OverheadMethod="Share of revenue",IF(RevenueTargetMonth&lt;=0,0,OverheadMonthly/RevenueTargetMonth),0))</f>
        <v>0</v>
      </c>
      <c r="AM240" s="20">
        <f>IF(B240="","",IF(OverheadMethod="Per hour worked",ROUND(OverheadPerHour*Y240,2),IF(OR(OverheadMethod="Per unit made",OverheadMethod="Per order"),OverheadPerUnit,0)))</f>
        <v>0</v>
      </c>
      <c r="AN240" s="33">
        <f>IF(B240="","",IF(N240&lt;&gt;"",N240,TargetRetailMargin))</f>
        <v>0</v>
      </c>
      <c r="AO240" s="41">
        <f>IF(B240="","",1-AN240-AI240-AL240)</f>
        <v>0</v>
      </c>
      <c r="AP240" s="20">
        <f>IF(B240="","",IF(AO240&lt;=0,"",(AH240+AM240+AK240)/AO240))</f>
        <v>0</v>
      </c>
      <c r="AQ240" s="20">
        <f>IF(B240="","",IF(AP240="","Check the settings",ROUND(IF(RoundingRule="None",AP240,IF(RoundingRule="Nearest 0.99",MAX(0.99,CEILING(AP240,1)-0.01),IF(RoundingRule="Nearest 0.95",MAX(0.95,CEILING(AP240,1)-0.05),IF(RoundingRule="Nearest 0.50",CEILING(AP240,0.5),IF(RoundingRule="Nearest 1",CEILING(AP240,1),IF(RoundingRule="Nearest 5",CEILING(AP240,5),IF(RoundingRule="Up to whole 1",CEILING(AP240,1),IF(RoundingRule="Up to whole 5",CEILING(AP240,5),ROUND(AP240,2))))))))),2)))</f>
        <v>0</v>
      </c>
      <c r="AR240" s="20">
        <f>IF(B240="","",IF(M240&lt;&gt;"",M240,IF(ISNUMBER(AQ240),AQ240,"")))</f>
        <v>0</v>
      </c>
      <c r="AS240" s="20">
        <f>IF(B240="","",IF(AR240="","",ROUND(AM240+AR240*AL240,2)))</f>
        <v>0</v>
      </c>
      <c r="AT240" s="20">
        <f>IF(B240="","",IF(AR240="","",ROUND(AH240+AS240,2)))</f>
        <v>0</v>
      </c>
      <c r="AU240" s="20">
        <f>IF(B240="","",IF(AR240="","",ROUND(AR240*AI240+AK240,2)))</f>
        <v>0</v>
      </c>
      <c r="AV240" s="20">
        <f>IF(B240="","",IF(AR240="","",ROUND(AR240-AT240-AU240,2)))</f>
        <v>0</v>
      </c>
      <c r="AW240" s="33">
        <f>IF(B240="","",IF(OR(AR240="",AR240=0),"",AV240/AR240))</f>
        <v>0</v>
      </c>
      <c r="AX240" s="33">
        <f>IF(B240="","",IF(OR(AT240="",AT240=0),"",AV240/AT240))</f>
        <v>0</v>
      </c>
      <c r="AY240" s="20">
        <f>IF(B240="","",IF(OR(Y240="",Y240=0,AV240=""),"",ROUND(AV240/Y240,2)))</f>
        <v>0</v>
      </c>
      <c r="AZ240" s="20">
        <f>IF(B240="","",IF(OR(Y240="",Y240=0,AV240=""),"",ROUND((AV240+Z240)/Y240,2)))</f>
        <v>0</v>
      </c>
      <c r="BA240" s="20">
        <f>IF(B240="","",IF(1-AI240-AL240&lt;=0,"",ROUND((AH240+AM240+AK240)/(1-AI240-AL240),2)))</f>
        <v>0</v>
      </c>
      <c r="BB240" s="20">
        <f>IF(B240="","",IF(AT240="","",ROUND(AT240*2,2)))</f>
        <v>0</v>
      </c>
      <c r="BC240" s="20">
        <f>IF(B240="","",IF(AR240="","",ROUND(AR240*(1-WholesaleDiscount),2)))</f>
        <v>0</v>
      </c>
      <c r="BD240" s="20">
        <f>IF(B240="","",IF(BC240="","",ROUND(BC240-AH240-AM240,2)))</f>
        <v>0</v>
      </c>
      <c r="BE240" s="33">
        <f>IF(B240="","",IF(OR(BC240="",BC240=0),"",BD240/BC240))</f>
        <v>0</v>
      </c>
      <c r="BF240" s="20">
        <f>IF(B240="","",IFERROR(ROUND(AVERAGEIFS(Competitors!$F$5:$F$154,Competitors!$A$5:$A$154,A240),2),""))</f>
        <v>0</v>
      </c>
      <c r="BG240" s="33">
        <f>IF(B240="","",IF(OR(BF240="",BF240=0,AR240=""),"",AR240/BF240-1))</f>
        <v>0</v>
      </c>
      <c r="BH240" s="32">
        <f>IF(B240="","",SUMIFS(Sales!$D$5:$D$804,Sales!$C$5:$C$804,A240))</f>
        <v>0</v>
      </c>
      <c r="BI240" s="20">
        <f>IF(B240="","",ROUND(SUMIFS(Sales!$V$5:$V$804,Sales!$C$5:$C$804,A240),2))</f>
        <v>0</v>
      </c>
      <c r="BJ240" s="20">
        <f>IF(B240="","",ROUND(SUMIFS(Sales!$AG$5:$AG$804,Sales!$C$5:$C$804,A240),2))</f>
        <v>0</v>
      </c>
      <c r="BK240" s="33">
        <f>IF(B240="","",IF(OR(BI240="",BI240=0),"",BJ240/BI240))</f>
        <v>0</v>
      </c>
      <c r="BL240" s="17">
        <f>IF(B240="","",IF(SUMPRODUCT(MAX((Sales!$C$5:$C$804=A240)*Sales!$B$5:$B$804))=0,"",SUMPRODUCT(MAX((Sales!$C$5:$C$804=A240)*Sales!$B$5:$B$804))))</f>
        <v>0</v>
      </c>
      <c r="BM240" s="17">
        <f>IF(B240="","",IF(SUMPRODUCT(MAX(('Price History'!$B$5:$B$304=A240)*'Price History'!$A$5:$A$304))=0,IF(P240="","",P240),SUMPRODUCT(MAX(('Price History'!$B$5:$B$304=A240)*'Price History'!$A$5:$A$304))))</f>
        <v>0</v>
      </c>
      <c r="BN240" s="32">
        <f>IF(B240="","",IF(BM240="","",TodayDate-BM240))</f>
        <v>0</v>
      </c>
      <c r="BO240" s="32">
        <f>IF(B240="","",COUNTIFS($AV$5:$AV$304,"&gt;"&amp;AV240)+COUNTIFS($AV$5:AV240,AV240))</f>
        <v>0</v>
      </c>
      <c r="BP240" s="32">
        <f>IF(B240="","",COUNTIFS($AW$5:$AW$304,"&gt;"&amp;AW240)+COUNTIFS($AW$5:AW240,AW240))</f>
        <v>0</v>
      </c>
      <c r="BQ240" s="32">
        <f>IF(B240="","",COUNTIFS($BI$5:$BI$304,"&gt;"&amp;BI240)+COUNTIFS($BI$5:BI240,BI240))</f>
        <v>0</v>
      </c>
      <c r="BR240" s="32">
        <f>IF(B240="","",COUNTIFS($AY$5:$AY$304,"&gt;"&amp;AY240)+COUNTIFS($AY$5:AY240,AY240))</f>
        <v>0</v>
      </c>
      <c r="BS240" s="43">
        <f>IF(B240="","",IF(AH240=0,"Add - no costs entered yet",IF(AR240="","Check - no price yet",IF(AV240&lt;0,"Loss - every sale costs you money",IF(AND(AZ240&lt;&gt;"",AZ240&lt;MinimumWage),"Below - pays under minimum wage",IF(AW240&lt;MarginWarning,"Low margin - re-price it",IF(AND(AF240&lt;&gt;"",K240&lt;&gt;"",K240+AC240&gt;AF240),"Check - too heavy for that postage band",IF(AND(BN240&lt;&gt;"",BN240&gt;PriceReviewDays),"Due - price has not been reviewed",IF(AND(BG240&lt;&gt;"",BG240&gt;0.5),"Check - well above the market","OK")))))))) )</f>
        <v>0</v>
      </c>
    </row>
    <row r="241" spans="1:71">
      <c r="A241" s="38">
        <f>IF(B241="","",ProductPrefix&amp;TEXT(ROW()-4,"0000"))</f>
        <v>0</v>
      </c>
      <c r="S241" s="38">
        <f>IF(B241="","",IF(C241&lt;&gt;"",C241,UPPER(LEFT(IF(D241="","GEN",D241),3))&amp;"-"&amp;TEXT(ROW()-4,"000")))</f>
        <v>0</v>
      </c>
      <c r="T241" s="20">
        <f>IF(B241="","",ROUND(SUMIFS('Material Usage'!$M$5:$M$904,'Material Usage'!$A$5:$A$904,A241)+SUMIFS(Crochet!$AD$5:$AD$84,Crochet!$A$5:$A$84,A241)+SUMIFS(Jewelry!$AF$5:$AF$84,Jewelry!$A$5:$A$84,A241)+SUMIFS(Candles!$AF$5:$AF$84,Candles!$A$5:$A$84,A241)+SUMIFS(Clothing!$AB$5:$AB$84,Clothing!$A$5:$A$84,A241)+SUMIFS(Woodworking!$AC$5:$AC$84,Woodworking!$A$5:$A$84,A241)+SUMIFS(Digital!$X$5:$X$84,Digital!$A$5:$A$84,A241),2))</f>
        <v>0</v>
      </c>
      <c r="U241" s="20">
        <f>IF(B241="","",ROUND(SUMIFS(Labor!$O$5:$O$304,Labor!$A$5:$A$304,A241)+SUMIFS(Crochet!$AG$5:$AG$84,Crochet!$A$5:$A$84,A241)+SUMIFS(Jewelry!$AI$5:$AI$84,Jewelry!$A$5:$A$84,A241)+SUMIFS(Candles!$AI$5:$AI$84,Candles!$A$5:$A$84,A241)+SUMIFS(Clothing!$AE$5:$AE$84,Clothing!$A$5:$A$84,A241)+SUMIFS(Woodworking!$AF$5:$AF$84,Woodworking!$A$5:$A$84,A241)+SUMIFS(Digital!$Z$5:$Z$84,Digital!$A$5:$A$84,A241),2))</f>
        <v>0</v>
      </c>
      <c r="V241" s="36">
        <f>IF(B241="","",ROUND(SUMIFS(Labor!$P$5:$P$304,Labor!$A$5:$A$304,A241)+SUMIFS(Crochet!$AE$5:$AE$84,Crochet!$A$5:$A$84,A241)+SUMIFS(Jewelry!$AG$5:$AG$84,Jewelry!$A$5:$A$84,A241)+SUMIFS(Candles!$AG$5:$AG$84,Candles!$A$5:$A$84,A241)+SUMIFS(Clothing!$AC$5:$AC$84,Clothing!$A$5:$A$84,A241)+SUMIFS(Woodworking!$AD$5:$AD$84,Woodworking!$A$5:$A$84,A241)+SUMIFS(Digital!$Y$5:$Y$84,Digital!$A$5:$A$84,A241),1))</f>
        <v>0</v>
      </c>
      <c r="W241" s="41">
        <f>IF(B241="","",IFERROR(INDEX(DiffTimeFactors,MATCH(G241,DiffNames,0)),1))</f>
        <v>0</v>
      </c>
      <c r="X241" s="36">
        <f>IF(B241="","",ROUND(V241*W241,1))</f>
        <v>0</v>
      </c>
      <c r="Y241" s="41">
        <f>IF(B241="","",ROUND(X241/60,3))</f>
        <v>0</v>
      </c>
      <c r="Z241" s="20">
        <f>IF(B241="","",ROUND(U241*W241,2))</f>
        <v>0</v>
      </c>
      <c r="AA241" s="20">
        <f>IF(B241="","",ROUND(SUMIFS(Labor!$Q$5:$Q$304,Labor!$A$5:$A$304,A241)+SUMIFS(Crochet!$AH$5:$AH$84,Crochet!$A$5:$A$84,A241)+SUMIFS(Jewelry!$AJ$5:$AJ$84,Jewelry!$A$5:$A$84,A241)+SUMIFS(Candles!$AJ$5:$AJ$84,Candles!$A$5:$A$84,A241)+SUMIFS(Clothing!$AF$5:$AF$84,Clothing!$A$5:$A$84,A241)+SUMIFS(Woodworking!$AH$5:$AH$84,Woodworking!$A$5:$A$84,A241)+SUMIFS(Digital!$AA$5:$AA$84,Digital!$A$5:$A$84,A241),2))</f>
        <v>0</v>
      </c>
      <c r="AB241" s="20">
        <f>IF(B241="","",ROUND(IF(I241="Budget",PackBudget,IF(I241="Standard",PackStandard,IF(I241="Gift",PackGift,IF(I241="Premium",PackPremium,DefaultPackaging)))),2))</f>
        <v>0</v>
      </c>
      <c r="AC241" s="36">
        <f>IF(B241="","",IF(I241="Budget",PackWeightBudget,IF(I241="Standard",PackWeightStandard,IF(I241="Gift",PackWeightGift,IF(I241="Premium",PackWeightPremium,0)))))</f>
        <v>0</v>
      </c>
      <c r="AD241" s="20">
        <f>IF(B241="","",IFERROR(INDEX(Shipping!$M$5:$M$64,MATCH(J241,Shipping!$L$5:$L$64,0)),DefaultShipping))</f>
        <v>0</v>
      </c>
      <c r="AE241" s="20">
        <f>IF(B241="","",IFERROR(INDEX(Shipping!$F$5:$F$64,MATCH(J241,Shipping!$L$5:$L$64,0)),0))</f>
        <v>0</v>
      </c>
      <c r="AF241" s="36">
        <f>IF(B241="","",IFERROR(INDEX(Shipping!$C$5:$C$64,MATCH(J241,Shipping!$L$5:$L$64,0)),""))</f>
        <v>0</v>
      </c>
      <c r="AG241" s="20">
        <f>IF(B241="","",ROUND(MAX(0,AD241-AE241),2))</f>
        <v>0</v>
      </c>
      <c r="AH241" s="20">
        <f>IF(B241="","",ROUND(T241+Z241+AA241+AB241+AG241,2))</f>
        <v>0</v>
      </c>
      <c r="AI241" s="33">
        <f>IF(B241="","",IFERROR(INDEX(Channels!$S$5:$S$18,MATCH(IF(H241="",DefaultChannel,H241),Channels!$A$5:$A$18,0)),0))</f>
        <v>0</v>
      </c>
      <c r="AJ241" s="42">
        <f>IF(B241="","",IFERROR(INDEX(Channels!$O$5:$O$18,MATCH(IF(H241="",DefaultChannel,H241),Channels!$A$5:$A$18,0)),"No"))</f>
        <v>0</v>
      </c>
      <c r="AK241" s="20">
        <f>IF(B241="","",ROUND(IFERROR(INDEX(Channels!$T$5:$T$18,MATCH(IF(H241="",DefaultChannel,H241),Channels!$A$5:$A$18,0)),0)+IF(AJ241="Yes",AE241*AI241,0),4))</f>
        <v>0</v>
      </c>
      <c r="AL241" s="33">
        <f>IF(B241="","",IF(OverheadMethod="Share of revenue",IF(RevenueTargetMonth&lt;=0,0,OverheadMonthly/RevenueTargetMonth),0))</f>
        <v>0</v>
      </c>
      <c r="AM241" s="20">
        <f>IF(B241="","",IF(OverheadMethod="Per hour worked",ROUND(OverheadPerHour*Y241,2),IF(OR(OverheadMethod="Per unit made",OverheadMethod="Per order"),OverheadPerUnit,0)))</f>
        <v>0</v>
      </c>
      <c r="AN241" s="33">
        <f>IF(B241="","",IF(N241&lt;&gt;"",N241,TargetRetailMargin))</f>
        <v>0</v>
      </c>
      <c r="AO241" s="41">
        <f>IF(B241="","",1-AN241-AI241-AL241)</f>
        <v>0</v>
      </c>
      <c r="AP241" s="20">
        <f>IF(B241="","",IF(AO241&lt;=0,"",(AH241+AM241+AK241)/AO241))</f>
        <v>0</v>
      </c>
      <c r="AQ241" s="20">
        <f>IF(B241="","",IF(AP241="","Check the settings",ROUND(IF(RoundingRule="None",AP241,IF(RoundingRule="Nearest 0.99",MAX(0.99,CEILING(AP241,1)-0.01),IF(RoundingRule="Nearest 0.95",MAX(0.95,CEILING(AP241,1)-0.05),IF(RoundingRule="Nearest 0.50",CEILING(AP241,0.5),IF(RoundingRule="Nearest 1",CEILING(AP241,1),IF(RoundingRule="Nearest 5",CEILING(AP241,5),IF(RoundingRule="Up to whole 1",CEILING(AP241,1),IF(RoundingRule="Up to whole 5",CEILING(AP241,5),ROUND(AP241,2))))))))),2)))</f>
        <v>0</v>
      </c>
      <c r="AR241" s="20">
        <f>IF(B241="","",IF(M241&lt;&gt;"",M241,IF(ISNUMBER(AQ241),AQ241,"")))</f>
        <v>0</v>
      </c>
      <c r="AS241" s="20">
        <f>IF(B241="","",IF(AR241="","",ROUND(AM241+AR241*AL241,2)))</f>
        <v>0</v>
      </c>
      <c r="AT241" s="20">
        <f>IF(B241="","",IF(AR241="","",ROUND(AH241+AS241,2)))</f>
        <v>0</v>
      </c>
      <c r="AU241" s="20">
        <f>IF(B241="","",IF(AR241="","",ROUND(AR241*AI241+AK241,2)))</f>
        <v>0</v>
      </c>
      <c r="AV241" s="20">
        <f>IF(B241="","",IF(AR241="","",ROUND(AR241-AT241-AU241,2)))</f>
        <v>0</v>
      </c>
      <c r="AW241" s="33">
        <f>IF(B241="","",IF(OR(AR241="",AR241=0),"",AV241/AR241))</f>
        <v>0</v>
      </c>
      <c r="AX241" s="33">
        <f>IF(B241="","",IF(OR(AT241="",AT241=0),"",AV241/AT241))</f>
        <v>0</v>
      </c>
      <c r="AY241" s="20">
        <f>IF(B241="","",IF(OR(Y241="",Y241=0,AV241=""),"",ROUND(AV241/Y241,2)))</f>
        <v>0</v>
      </c>
      <c r="AZ241" s="20">
        <f>IF(B241="","",IF(OR(Y241="",Y241=0,AV241=""),"",ROUND((AV241+Z241)/Y241,2)))</f>
        <v>0</v>
      </c>
      <c r="BA241" s="20">
        <f>IF(B241="","",IF(1-AI241-AL241&lt;=0,"",ROUND((AH241+AM241+AK241)/(1-AI241-AL241),2)))</f>
        <v>0</v>
      </c>
      <c r="BB241" s="20">
        <f>IF(B241="","",IF(AT241="","",ROUND(AT241*2,2)))</f>
        <v>0</v>
      </c>
      <c r="BC241" s="20">
        <f>IF(B241="","",IF(AR241="","",ROUND(AR241*(1-WholesaleDiscount),2)))</f>
        <v>0</v>
      </c>
      <c r="BD241" s="20">
        <f>IF(B241="","",IF(BC241="","",ROUND(BC241-AH241-AM241,2)))</f>
        <v>0</v>
      </c>
      <c r="BE241" s="33">
        <f>IF(B241="","",IF(OR(BC241="",BC241=0),"",BD241/BC241))</f>
        <v>0</v>
      </c>
      <c r="BF241" s="20">
        <f>IF(B241="","",IFERROR(ROUND(AVERAGEIFS(Competitors!$F$5:$F$154,Competitors!$A$5:$A$154,A241),2),""))</f>
        <v>0</v>
      </c>
      <c r="BG241" s="33">
        <f>IF(B241="","",IF(OR(BF241="",BF241=0,AR241=""),"",AR241/BF241-1))</f>
        <v>0</v>
      </c>
      <c r="BH241" s="32">
        <f>IF(B241="","",SUMIFS(Sales!$D$5:$D$804,Sales!$C$5:$C$804,A241))</f>
        <v>0</v>
      </c>
      <c r="BI241" s="20">
        <f>IF(B241="","",ROUND(SUMIFS(Sales!$V$5:$V$804,Sales!$C$5:$C$804,A241),2))</f>
        <v>0</v>
      </c>
      <c r="BJ241" s="20">
        <f>IF(B241="","",ROUND(SUMIFS(Sales!$AG$5:$AG$804,Sales!$C$5:$C$804,A241),2))</f>
        <v>0</v>
      </c>
      <c r="BK241" s="33">
        <f>IF(B241="","",IF(OR(BI241="",BI241=0),"",BJ241/BI241))</f>
        <v>0</v>
      </c>
      <c r="BL241" s="17">
        <f>IF(B241="","",IF(SUMPRODUCT(MAX((Sales!$C$5:$C$804=A241)*Sales!$B$5:$B$804))=0,"",SUMPRODUCT(MAX((Sales!$C$5:$C$804=A241)*Sales!$B$5:$B$804))))</f>
        <v>0</v>
      </c>
      <c r="BM241" s="17">
        <f>IF(B241="","",IF(SUMPRODUCT(MAX(('Price History'!$B$5:$B$304=A241)*'Price History'!$A$5:$A$304))=0,IF(P241="","",P241),SUMPRODUCT(MAX(('Price History'!$B$5:$B$304=A241)*'Price History'!$A$5:$A$304))))</f>
        <v>0</v>
      </c>
      <c r="BN241" s="32">
        <f>IF(B241="","",IF(BM241="","",TodayDate-BM241))</f>
        <v>0</v>
      </c>
      <c r="BO241" s="32">
        <f>IF(B241="","",COUNTIFS($AV$5:$AV$304,"&gt;"&amp;AV241)+COUNTIFS($AV$5:AV241,AV241))</f>
        <v>0</v>
      </c>
      <c r="BP241" s="32">
        <f>IF(B241="","",COUNTIFS($AW$5:$AW$304,"&gt;"&amp;AW241)+COUNTIFS($AW$5:AW241,AW241))</f>
        <v>0</v>
      </c>
      <c r="BQ241" s="32">
        <f>IF(B241="","",COUNTIFS($BI$5:$BI$304,"&gt;"&amp;BI241)+COUNTIFS($BI$5:BI241,BI241))</f>
        <v>0</v>
      </c>
      <c r="BR241" s="32">
        <f>IF(B241="","",COUNTIFS($AY$5:$AY$304,"&gt;"&amp;AY241)+COUNTIFS($AY$5:AY241,AY241))</f>
        <v>0</v>
      </c>
      <c r="BS241" s="43">
        <f>IF(B241="","",IF(AH241=0,"Add - no costs entered yet",IF(AR241="","Check - no price yet",IF(AV241&lt;0,"Loss - every sale costs you money",IF(AND(AZ241&lt;&gt;"",AZ241&lt;MinimumWage),"Below - pays under minimum wage",IF(AW241&lt;MarginWarning,"Low margin - re-price it",IF(AND(AF241&lt;&gt;"",K241&lt;&gt;"",K241+AC241&gt;AF241),"Check - too heavy for that postage band",IF(AND(BN241&lt;&gt;"",BN241&gt;PriceReviewDays),"Due - price has not been reviewed",IF(AND(BG241&lt;&gt;"",BG241&gt;0.5),"Check - well above the market","OK")))))))) )</f>
        <v>0</v>
      </c>
    </row>
    <row r="242" spans="1:71">
      <c r="A242" s="38">
        <f>IF(B242="","",ProductPrefix&amp;TEXT(ROW()-4,"0000"))</f>
        <v>0</v>
      </c>
      <c r="S242" s="38">
        <f>IF(B242="","",IF(C242&lt;&gt;"",C242,UPPER(LEFT(IF(D242="","GEN",D242),3))&amp;"-"&amp;TEXT(ROW()-4,"000")))</f>
        <v>0</v>
      </c>
      <c r="T242" s="20">
        <f>IF(B242="","",ROUND(SUMIFS('Material Usage'!$M$5:$M$904,'Material Usage'!$A$5:$A$904,A242)+SUMIFS(Crochet!$AD$5:$AD$84,Crochet!$A$5:$A$84,A242)+SUMIFS(Jewelry!$AF$5:$AF$84,Jewelry!$A$5:$A$84,A242)+SUMIFS(Candles!$AF$5:$AF$84,Candles!$A$5:$A$84,A242)+SUMIFS(Clothing!$AB$5:$AB$84,Clothing!$A$5:$A$84,A242)+SUMIFS(Woodworking!$AC$5:$AC$84,Woodworking!$A$5:$A$84,A242)+SUMIFS(Digital!$X$5:$X$84,Digital!$A$5:$A$84,A242),2))</f>
        <v>0</v>
      </c>
      <c r="U242" s="20">
        <f>IF(B242="","",ROUND(SUMIFS(Labor!$O$5:$O$304,Labor!$A$5:$A$304,A242)+SUMIFS(Crochet!$AG$5:$AG$84,Crochet!$A$5:$A$84,A242)+SUMIFS(Jewelry!$AI$5:$AI$84,Jewelry!$A$5:$A$84,A242)+SUMIFS(Candles!$AI$5:$AI$84,Candles!$A$5:$A$84,A242)+SUMIFS(Clothing!$AE$5:$AE$84,Clothing!$A$5:$A$84,A242)+SUMIFS(Woodworking!$AF$5:$AF$84,Woodworking!$A$5:$A$84,A242)+SUMIFS(Digital!$Z$5:$Z$84,Digital!$A$5:$A$84,A242),2))</f>
        <v>0</v>
      </c>
      <c r="V242" s="36">
        <f>IF(B242="","",ROUND(SUMIFS(Labor!$P$5:$P$304,Labor!$A$5:$A$304,A242)+SUMIFS(Crochet!$AE$5:$AE$84,Crochet!$A$5:$A$84,A242)+SUMIFS(Jewelry!$AG$5:$AG$84,Jewelry!$A$5:$A$84,A242)+SUMIFS(Candles!$AG$5:$AG$84,Candles!$A$5:$A$84,A242)+SUMIFS(Clothing!$AC$5:$AC$84,Clothing!$A$5:$A$84,A242)+SUMIFS(Woodworking!$AD$5:$AD$84,Woodworking!$A$5:$A$84,A242)+SUMIFS(Digital!$Y$5:$Y$84,Digital!$A$5:$A$84,A242),1))</f>
        <v>0</v>
      </c>
      <c r="W242" s="41">
        <f>IF(B242="","",IFERROR(INDEX(DiffTimeFactors,MATCH(G242,DiffNames,0)),1))</f>
        <v>0</v>
      </c>
      <c r="X242" s="36">
        <f>IF(B242="","",ROUND(V242*W242,1))</f>
        <v>0</v>
      </c>
      <c r="Y242" s="41">
        <f>IF(B242="","",ROUND(X242/60,3))</f>
        <v>0</v>
      </c>
      <c r="Z242" s="20">
        <f>IF(B242="","",ROUND(U242*W242,2))</f>
        <v>0</v>
      </c>
      <c r="AA242" s="20">
        <f>IF(B242="","",ROUND(SUMIFS(Labor!$Q$5:$Q$304,Labor!$A$5:$A$304,A242)+SUMIFS(Crochet!$AH$5:$AH$84,Crochet!$A$5:$A$84,A242)+SUMIFS(Jewelry!$AJ$5:$AJ$84,Jewelry!$A$5:$A$84,A242)+SUMIFS(Candles!$AJ$5:$AJ$84,Candles!$A$5:$A$84,A242)+SUMIFS(Clothing!$AF$5:$AF$84,Clothing!$A$5:$A$84,A242)+SUMIFS(Woodworking!$AH$5:$AH$84,Woodworking!$A$5:$A$84,A242)+SUMIFS(Digital!$AA$5:$AA$84,Digital!$A$5:$A$84,A242),2))</f>
        <v>0</v>
      </c>
      <c r="AB242" s="20">
        <f>IF(B242="","",ROUND(IF(I242="Budget",PackBudget,IF(I242="Standard",PackStandard,IF(I242="Gift",PackGift,IF(I242="Premium",PackPremium,DefaultPackaging)))),2))</f>
        <v>0</v>
      </c>
      <c r="AC242" s="36">
        <f>IF(B242="","",IF(I242="Budget",PackWeightBudget,IF(I242="Standard",PackWeightStandard,IF(I242="Gift",PackWeightGift,IF(I242="Premium",PackWeightPremium,0)))))</f>
        <v>0</v>
      </c>
      <c r="AD242" s="20">
        <f>IF(B242="","",IFERROR(INDEX(Shipping!$M$5:$M$64,MATCH(J242,Shipping!$L$5:$L$64,0)),DefaultShipping))</f>
        <v>0</v>
      </c>
      <c r="AE242" s="20">
        <f>IF(B242="","",IFERROR(INDEX(Shipping!$F$5:$F$64,MATCH(J242,Shipping!$L$5:$L$64,0)),0))</f>
        <v>0</v>
      </c>
      <c r="AF242" s="36">
        <f>IF(B242="","",IFERROR(INDEX(Shipping!$C$5:$C$64,MATCH(J242,Shipping!$L$5:$L$64,0)),""))</f>
        <v>0</v>
      </c>
      <c r="AG242" s="20">
        <f>IF(B242="","",ROUND(MAX(0,AD242-AE242),2))</f>
        <v>0</v>
      </c>
      <c r="AH242" s="20">
        <f>IF(B242="","",ROUND(T242+Z242+AA242+AB242+AG242,2))</f>
        <v>0</v>
      </c>
      <c r="AI242" s="33">
        <f>IF(B242="","",IFERROR(INDEX(Channels!$S$5:$S$18,MATCH(IF(H242="",DefaultChannel,H242),Channels!$A$5:$A$18,0)),0))</f>
        <v>0</v>
      </c>
      <c r="AJ242" s="42">
        <f>IF(B242="","",IFERROR(INDEX(Channels!$O$5:$O$18,MATCH(IF(H242="",DefaultChannel,H242),Channels!$A$5:$A$18,0)),"No"))</f>
        <v>0</v>
      </c>
      <c r="AK242" s="20">
        <f>IF(B242="","",ROUND(IFERROR(INDEX(Channels!$T$5:$T$18,MATCH(IF(H242="",DefaultChannel,H242),Channels!$A$5:$A$18,0)),0)+IF(AJ242="Yes",AE242*AI242,0),4))</f>
        <v>0</v>
      </c>
      <c r="AL242" s="33">
        <f>IF(B242="","",IF(OverheadMethod="Share of revenue",IF(RevenueTargetMonth&lt;=0,0,OverheadMonthly/RevenueTargetMonth),0))</f>
        <v>0</v>
      </c>
      <c r="AM242" s="20">
        <f>IF(B242="","",IF(OverheadMethod="Per hour worked",ROUND(OverheadPerHour*Y242,2),IF(OR(OverheadMethod="Per unit made",OverheadMethod="Per order"),OverheadPerUnit,0)))</f>
        <v>0</v>
      </c>
      <c r="AN242" s="33">
        <f>IF(B242="","",IF(N242&lt;&gt;"",N242,TargetRetailMargin))</f>
        <v>0</v>
      </c>
      <c r="AO242" s="41">
        <f>IF(B242="","",1-AN242-AI242-AL242)</f>
        <v>0</v>
      </c>
      <c r="AP242" s="20">
        <f>IF(B242="","",IF(AO242&lt;=0,"",(AH242+AM242+AK242)/AO242))</f>
        <v>0</v>
      </c>
      <c r="AQ242" s="20">
        <f>IF(B242="","",IF(AP242="","Check the settings",ROUND(IF(RoundingRule="None",AP242,IF(RoundingRule="Nearest 0.99",MAX(0.99,CEILING(AP242,1)-0.01),IF(RoundingRule="Nearest 0.95",MAX(0.95,CEILING(AP242,1)-0.05),IF(RoundingRule="Nearest 0.50",CEILING(AP242,0.5),IF(RoundingRule="Nearest 1",CEILING(AP242,1),IF(RoundingRule="Nearest 5",CEILING(AP242,5),IF(RoundingRule="Up to whole 1",CEILING(AP242,1),IF(RoundingRule="Up to whole 5",CEILING(AP242,5),ROUND(AP242,2))))))))),2)))</f>
        <v>0</v>
      </c>
      <c r="AR242" s="20">
        <f>IF(B242="","",IF(M242&lt;&gt;"",M242,IF(ISNUMBER(AQ242),AQ242,"")))</f>
        <v>0</v>
      </c>
      <c r="AS242" s="20">
        <f>IF(B242="","",IF(AR242="","",ROUND(AM242+AR242*AL242,2)))</f>
        <v>0</v>
      </c>
      <c r="AT242" s="20">
        <f>IF(B242="","",IF(AR242="","",ROUND(AH242+AS242,2)))</f>
        <v>0</v>
      </c>
      <c r="AU242" s="20">
        <f>IF(B242="","",IF(AR242="","",ROUND(AR242*AI242+AK242,2)))</f>
        <v>0</v>
      </c>
      <c r="AV242" s="20">
        <f>IF(B242="","",IF(AR242="","",ROUND(AR242-AT242-AU242,2)))</f>
        <v>0</v>
      </c>
      <c r="AW242" s="33">
        <f>IF(B242="","",IF(OR(AR242="",AR242=0),"",AV242/AR242))</f>
        <v>0</v>
      </c>
      <c r="AX242" s="33">
        <f>IF(B242="","",IF(OR(AT242="",AT242=0),"",AV242/AT242))</f>
        <v>0</v>
      </c>
      <c r="AY242" s="20">
        <f>IF(B242="","",IF(OR(Y242="",Y242=0,AV242=""),"",ROUND(AV242/Y242,2)))</f>
        <v>0</v>
      </c>
      <c r="AZ242" s="20">
        <f>IF(B242="","",IF(OR(Y242="",Y242=0,AV242=""),"",ROUND((AV242+Z242)/Y242,2)))</f>
        <v>0</v>
      </c>
      <c r="BA242" s="20">
        <f>IF(B242="","",IF(1-AI242-AL242&lt;=0,"",ROUND((AH242+AM242+AK242)/(1-AI242-AL242),2)))</f>
        <v>0</v>
      </c>
      <c r="BB242" s="20">
        <f>IF(B242="","",IF(AT242="","",ROUND(AT242*2,2)))</f>
        <v>0</v>
      </c>
      <c r="BC242" s="20">
        <f>IF(B242="","",IF(AR242="","",ROUND(AR242*(1-WholesaleDiscount),2)))</f>
        <v>0</v>
      </c>
      <c r="BD242" s="20">
        <f>IF(B242="","",IF(BC242="","",ROUND(BC242-AH242-AM242,2)))</f>
        <v>0</v>
      </c>
      <c r="BE242" s="33">
        <f>IF(B242="","",IF(OR(BC242="",BC242=0),"",BD242/BC242))</f>
        <v>0</v>
      </c>
      <c r="BF242" s="20">
        <f>IF(B242="","",IFERROR(ROUND(AVERAGEIFS(Competitors!$F$5:$F$154,Competitors!$A$5:$A$154,A242),2),""))</f>
        <v>0</v>
      </c>
      <c r="BG242" s="33">
        <f>IF(B242="","",IF(OR(BF242="",BF242=0,AR242=""),"",AR242/BF242-1))</f>
        <v>0</v>
      </c>
      <c r="BH242" s="32">
        <f>IF(B242="","",SUMIFS(Sales!$D$5:$D$804,Sales!$C$5:$C$804,A242))</f>
        <v>0</v>
      </c>
      <c r="BI242" s="20">
        <f>IF(B242="","",ROUND(SUMIFS(Sales!$V$5:$V$804,Sales!$C$5:$C$804,A242),2))</f>
        <v>0</v>
      </c>
      <c r="BJ242" s="20">
        <f>IF(B242="","",ROUND(SUMIFS(Sales!$AG$5:$AG$804,Sales!$C$5:$C$804,A242),2))</f>
        <v>0</v>
      </c>
      <c r="BK242" s="33">
        <f>IF(B242="","",IF(OR(BI242="",BI242=0),"",BJ242/BI242))</f>
        <v>0</v>
      </c>
      <c r="BL242" s="17">
        <f>IF(B242="","",IF(SUMPRODUCT(MAX((Sales!$C$5:$C$804=A242)*Sales!$B$5:$B$804))=0,"",SUMPRODUCT(MAX((Sales!$C$5:$C$804=A242)*Sales!$B$5:$B$804))))</f>
        <v>0</v>
      </c>
      <c r="BM242" s="17">
        <f>IF(B242="","",IF(SUMPRODUCT(MAX(('Price History'!$B$5:$B$304=A242)*'Price History'!$A$5:$A$304))=0,IF(P242="","",P242),SUMPRODUCT(MAX(('Price History'!$B$5:$B$304=A242)*'Price History'!$A$5:$A$304))))</f>
        <v>0</v>
      </c>
      <c r="BN242" s="32">
        <f>IF(B242="","",IF(BM242="","",TodayDate-BM242))</f>
        <v>0</v>
      </c>
      <c r="BO242" s="32">
        <f>IF(B242="","",COUNTIFS($AV$5:$AV$304,"&gt;"&amp;AV242)+COUNTIFS($AV$5:AV242,AV242))</f>
        <v>0</v>
      </c>
      <c r="BP242" s="32">
        <f>IF(B242="","",COUNTIFS($AW$5:$AW$304,"&gt;"&amp;AW242)+COUNTIFS($AW$5:AW242,AW242))</f>
        <v>0</v>
      </c>
      <c r="BQ242" s="32">
        <f>IF(B242="","",COUNTIFS($BI$5:$BI$304,"&gt;"&amp;BI242)+COUNTIFS($BI$5:BI242,BI242))</f>
        <v>0</v>
      </c>
      <c r="BR242" s="32">
        <f>IF(B242="","",COUNTIFS($AY$5:$AY$304,"&gt;"&amp;AY242)+COUNTIFS($AY$5:AY242,AY242))</f>
        <v>0</v>
      </c>
      <c r="BS242" s="43">
        <f>IF(B242="","",IF(AH242=0,"Add - no costs entered yet",IF(AR242="","Check - no price yet",IF(AV242&lt;0,"Loss - every sale costs you money",IF(AND(AZ242&lt;&gt;"",AZ242&lt;MinimumWage),"Below - pays under minimum wage",IF(AW242&lt;MarginWarning,"Low margin - re-price it",IF(AND(AF242&lt;&gt;"",K242&lt;&gt;"",K242+AC242&gt;AF242),"Check - too heavy for that postage band",IF(AND(BN242&lt;&gt;"",BN242&gt;PriceReviewDays),"Due - price has not been reviewed",IF(AND(BG242&lt;&gt;"",BG242&gt;0.5),"Check - well above the market","OK")))))))) )</f>
        <v>0</v>
      </c>
    </row>
    <row r="243" spans="1:71">
      <c r="A243" s="38">
        <f>IF(B243="","",ProductPrefix&amp;TEXT(ROW()-4,"0000"))</f>
        <v>0</v>
      </c>
      <c r="S243" s="38">
        <f>IF(B243="","",IF(C243&lt;&gt;"",C243,UPPER(LEFT(IF(D243="","GEN",D243),3))&amp;"-"&amp;TEXT(ROW()-4,"000")))</f>
        <v>0</v>
      </c>
      <c r="T243" s="20">
        <f>IF(B243="","",ROUND(SUMIFS('Material Usage'!$M$5:$M$904,'Material Usage'!$A$5:$A$904,A243)+SUMIFS(Crochet!$AD$5:$AD$84,Crochet!$A$5:$A$84,A243)+SUMIFS(Jewelry!$AF$5:$AF$84,Jewelry!$A$5:$A$84,A243)+SUMIFS(Candles!$AF$5:$AF$84,Candles!$A$5:$A$84,A243)+SUMIFS(Clothing!$AB$5:$AB$84,Clothing!$A$5:$A$84,A243)+SUMIFS(Woodworking!$AC$5:$AC$84,Woodworking!$A$5:$A$84,A243)+SUMIFS(Digital!$X$5:$X$84,Digital!$A$5:$A$84,A243),2))</f>
        <v>0</v>
      </c>
      <c r="U243" s="20">
        <f>IF(B243="","",ROUND(SUMIFS(Labor!$O$5:$O$304,Labor!$A$5:$A$304,A243)+SUMIFS(Crochet!$AG$5:$AG$84,Crochet!$A$5:$A$84,A243)+SUMIFS(Jewelry!$AI$5:$AI$84,Jewelry!$A$5:$A$84,A243)+SUMIFS(Candles!$AI$5:$AI$84,Candles!$A$5:$A$84,A243)+SUMIFS(Clothing!$AE$5:$AE$84,Clothing!$A$5:$A$84,A243)+SUMIFS(Woodworking!$AF$5:$AF$84,Woodworking!$A$5:$A$84,A243)+SUMIFS(Digital!$Z$5:$Z$84,Digital!$A$5:$A$84,A243),2))</f>
        <v>0</v>
      </c>
      <c r="V243" s="36">
        <f>IF(B243="","",ROUND(SUMIFS(Labor!$P$5:$P$304,Labor!$A$5:$A$304,A243)+SUMIFS(Crochet!$AE$5:$AE$84,Crochet!$A$5:$A$84,A243)+SUMIFS(Jewelry!$AG$5:$AG$84,Jewelry!$A$5:$A$84,A243)+SUMIFS(Candles!$AG$5:$AG$84,Candles!$A$5:$A$84,A243)+SUMIFS(Clothing!$AC$5:$AC$84,Clothing!$A$5:$A$84,A243)+SUMIFS(Woodworking!$AD$5:$AD$84,Woodworking!$A$5:$A$84,A243)+SUMIFS(Digital!$Y$5:$Y$84,Digital!$A$5:$A$84,A243),1))</f>
        <v>0</v>
      </c>
      <c r="W243" s="41">
        <f>IF(B243="","",IFERROR(INDEX(DiffTimeFactors,MATCH(G243,DiffNames,0)),1))</f>
        <v>0</v>
      </c>
      <c r="X243" s="36">
        <f>IF(B243="","",ROUND(V243*W243,1))</f>
        <v>0</v>
      </c>
      <c r="Y243" s="41">
        <f>IF(B243="","",ROUND(X243/60,3))</f>
        <v>0</v>
      </c>
      <c r="Z243" s="20">
        <f>IF(B243="","",ROUND(U243*W243,2))</f>
        <v>0</v>
      </c>
      <c r="AA243" s="20">
        <f>IF(B243="","",ROUND(SUMIFS(Labor!$Q$5:$Q$304,Labor!$A$5:$A$304,A243)+SUMIFS(Crochet!$AH$5:$AH$84,Crochet!$A$5:$A$84,A243)+SUMIFS(Jewelry!$AJ$5:$AJ$84,Jewelry!$A$5:$A$84,A243)+SUMIFS(Candles!$AJ$5:$AJ$84,Candles!$A$5:$A$84,A243)+SUMIFS(Clothing!$AF$5:$AF$84,Clothing!$A$5:$A$84,A243)+SUMIFS(Woodworking!$AH$5:$AH$84,Woodworking!$A$5:$A$84,A243)+SUMIFS(Digital!$AA$5:$AA$84,Digital!$A$5:$A$84,A243),2))</f>
        <v>0</v>
      </c>
      <c r="AB243" s="20">
        <f>IF(B243="","",ROUND(IF(I243="Budget",PackBudget,IF(I243="Standard",PackStandard,IF(I243="Gift",PackGift,IF(I243="Premium",PackPremium,DefaultPackaging)))),2))</f>
        <v>0</v>
      </c>
      <c r="AC243" s="36">
        <f>IF(B243="","",IF(I243="Budget",PackWeightBudget,IF(I243="Standard",PackWeightStandard,IF(I243="Gift",PackWeightGift,IF(I243="Premium",PackWeightPremium,0)))))</f>
        <v>0</v>
      </c>
      <c r="AD243" s="20">
        <f>IF(B243="","",IFERROR(INDEX(Shipping!$M$5:$M$64,MATCH(J243,Shipping!$L$5:$L$64,0)),DefaultShipping))</f>
        <v>0</v>
      </c>
      <c r="AE243" s="20">
        <f>IF(B243="","",IFERROR(INDEX(Shipping!$F$5:$F$64,MATCH(J243,Shipping!$L$5:$L$64,0)),0))</f>
        <v>0</v>
      </c>
      <c r="AF243" s="36">
        <f>IF(B243="","",IFERROR(INDEX(Shipping!$C$5:$C$64,MATCH(J243,Shipping!$L$5:$L$64,0)),""))</f>
        <v>0</v>
      </c>
      <c r="AG243" s="20">
        <f>IF(B243="","",ROUND(MAX(0,AD243-AE243),2))</f>
        <v>0</v>
      </c>
      <c r="AH243" s="20">
        <f>IF(B243="","",ROUND(T243+Z243+AA243+AB243+AG243,2))</f>
        <v>0</v>
      </c>
      <c r="AI243" s="33">
        <f>IF(B243="","",IFERROR(INDEX(Channels!$S$5:$S$18,MATCH(IF(H243="",DefaultChannel,H243),Channels!$A$5:$A$18,0)),0))</f>
        <v>0</v>
      </c>
      <c r="AJ243" s="42">
        <f>IF(B243="","",IFERROR(INDEX(Channels!$O$5:$O$18,MATCH(IF(H243="",DefaultChannel,H243),Channels!$A$5:$A$18,0)),"No"))</f>
        <v>0</v>
      </c>
      <c r="AK243" s="20">
        <f>IF(B243="","",ROUND(IFERROR(INDEX(Channels!$T$5:$T$18,MATCH(IF(H243="",DefaultChannel,H243),Channels!$A$5:$A$18,0)),0)+IF(AJ243="Yes",AE243*AI243,0),4))</f>
        <v>0</v>
      </c>
      <c r="AL243" s="33">
        <f>IF(B243="","",IF(OverheadMethod="Share of revenue",IF(RevenueTargetMonth&lt;=0,0,OverheadMonthly/RevenueTargetMonth),0))</f>
        <v>0</v>
      </c>
      <c r="AM243" s="20">
        <f>IF(B243="","",IF(OverheadMethod="Per hour worked",ROUND(OverheadPerHour*Y243,2),IF(OR(OverheadMethod="Per unit made",OverheadMethod="Per order"),OverheadPerUnit,0)))</f>
        <v>0</v>
      </c>
      <c r="AN243" s="33">
        <f>IF(B243="","",IF(N243&lt;&gt;"",N243,TargetRetailMargin))</f>
        <v>0</v>
      </c>
      <c r="AO243" s="41">
        <f>IF(B243="","",1-AN243-AI243-AL243)</f>
        <v>0</v>
      </c>
      <c r="AP243" s="20">
        <f>IF(B243="","",IF(AO243&lt;=0,"",(AH243+AM243+AK243)/AO243))</f>
        <v>0</v>
      </c>
      <c r="AQ243" s="20">
        <f>IF(B243="","",IF(AP243="","Check the settings",ROUND(IF(RoundingRule="None",AP243,IF(RoundingRule="Nearest 0.99",MAX(0.99,CEILING(AP243,1)-0.01),IF(RoundingRule="Nearest 0.95",MAX(0.95,CEILING(AP243,1)-0.05),IF(RoundingRule="Nearest 0.50",CEILING(AP243,0.5),IF(RoundingRule="Nearest 1",CEILING(AP243,1),IF(RoundingRule="Nearest 5",CEILING(AP243,5),IF(RoundingRule="Up to whole 1",CEILING(AP243,1),IF(RoundingRule="Up to whole 5",CEILING(AP243,5),ROUND(AP243,2))))))))),2)))</f>
        <v>0</v>
      </c>
      <c r="AR243" s="20">
        <f>IF(B243="","",IF(M243&lt;&gt;"",M243,IF(ISNUMBER(AQ243),AQ243,"")))</f>
        <v>0</v>
      </c>
      <c r="AS243" s="20">
        <f>IF(B243="","",IF(AR243="","",ROUND(AM243+AR243*AL243,2)))</f>
        <v>0</v>
      </c>
      <c r="AT243" s="20">
        <f>IF(B243="","",IF(AR243="","",ROUND(AH243+AS243,2)))</f>
        <v>0</v>
      </c>
      <c r="AU243" s="20">
        <f>IF(B243="","",IF(AR243="","",ROUND(AR243*AI243+AK243,2)))</f>
        <v>0</v>
      </c>
      <c r="AV243" s="20">
        <f>IF(B243="","",IF(AR243="","",ROUND(AR243-AT243-AU243,2)))</f>
        <v>0</v>
      </c>
      <c r="AW243" s="33">
        <f>IF(B243="","",IF(OR(AR243="",AR243=0),"",AV243/AR243))</f>
        <v>0</v>
      </c>
      <c r="AX243" s="33">
        <f>IF(B243="","",IF(OR(AT243="",AT243=0),"",AV243/AT243))</f>
        <v>0</v>
      </c>
      <c r="AY243" s="20">
        <f>IF(B243="","",IF(OR(Y243="",Y243=0,AV243=""),"",ROUND(AV243/Y243,2)))</f>
        <v>0</v>
      </c>
      <c r="AZ243" s="20">
        <f>IF(B243="","",IF(OR(Y243="",Y243=0,AV243=""),"",ROUND((AV243+Z243)/Y243,2)))</f>
        <v>0</v>
      </c>
      <c r="BA243" s="20">
        <f>IF(B243="","",IF(1-AI243-AL243&lt;=0,"",ROUND((AH243+AM243+AK243)/(1-AI243-AL243),2)))</f>
        <v>0</v>
      </c>
      <c r="BB243" s="20">
        <f>IF(B243="","",IF(AT243="","",ROUND(AT243*2,2)))</f>
        <v>0</v>
      </c>
      <c r="BC243" s="20">
        <f>IF(B243="","",IF(AR243="","",ROUND(AR243*(1-WholesaleDiscount),2)))</f>
        <v>0</v>
      </c>
      <c r="BD243" s="20">
        <f>IF(B243="","",IF(BC243="","",ROUND(BC243-AH243-AM243,2)))</f>
        <v>0</v>
      </c>
      <c r="BE243" s="33">
        <f>IF(B243="","",IF(OR(BC243="",BC243=0),"",BD243/BC243))</f>
        <v>0</v>
      </c>
      <c r="BF243" s="20">
        <f>IF(B243="","",IFERROR(ROUND(AVERAGEIFS(Competitors!$F$5:$F$154,Competitors!$A$5:$A$154,A243),2),""))</f>
        <v>0</v>
      </c>
      <c r="BG243" s="33">
        <f>IF(B243="","",IF(OR(BF243="",BF243=0,AR243=""),"",AR243/BF243-1))</f>
        <v>0</v>
      </c>
      <c r="BH243" s="32">
        <f>IF(B243="","",SUMIFS(Sales!$D$5:$D$804,Sales!$C$5:$C$804,A243))</f>
        <v>0</v>
      </c>
      <c r="BI243" s="20">
        <f>IF(B243="","",ROUND(SUMIFS(Sales!$V$5:$V$804,Sales!$C$5:$C$804,A243),2))</f>
        <v>0</v>
      </c>
      <c r="BJ243" s="20">
        <f>IF(B243="","",ROUND(SUMIFS(Sales!$AG$5:$AG$804,Sales!$C$5:$C$804,A243),2))</f>
        <v>0</v>
      </c>
      <c r="BK243" s="33">
        <f>IF(B243="","",IF(OR(BI243="",BI243=0),"",BJ243/BI243))</f>
        <v>0</v>
      </c>
      <c r="BL243" s="17">
        <f>IF(B243="","",IF(SUMPRODUCT(MAX((Sales!$C$5:$C$804=A243)*Sales!$B$5:$B$804))=0,"",SUMPRODUCT(MAX((Sales!$C$5:$C$804=A243)*Sales!$B$5:$B$804))))</f>
        <v>0</v>
      </c>
      <c r="BM243" s="17">
        <f>IF(B243="","",IF(SUMPRODUCT(MAX(('Price History'!$B$5:$B$304=A243)*'Price History'!$A$5:$A$304))=0,IF(P243="","",P243),SUMPRODUCT(MAX(('Price History'!$B$5:$B$304=A243)*'Price History'!$A$5:$A$304))))</f>
        <v>0</v>
      </c>
      <c r="BN243" s="32">
        <f>IF(B243="","",IF(BM243="","",TodayDate-BM243))</f>
        <v>0</v>
      </c>
      <c r="BO243" s="32">
        <f>IF(B243="","",COUNTIFS($AV$5:$AV$304,"&gt;"&amp;AV243)+COUNTIFS($AV$5:AV243,AV243))</f>
        <v>0</v>
      </c>
      <c r="BP243" s="32">
        <f>IF(B243="","",COUNTIFS($AW$5:$AW$304,"&gt;"&amp;AW243)+COUNTIFS($AW$5:AW243,AW243))</f>
        <v>0</v>
      </c>
      <c r="BQ243" s="32">
        <f>IF(B243="","",COUNTIFS($BI$5:$BI$304,"&gt;"&amp;BI243)+COUNTIFS($BI$5:BI243,BI243))</f>
        <v>0</v>
      </c>
      <c r="BR243" s="32">
        <f>IF(B243="","",COUNTIFS($AY$5:$AY$304,"&gt;"&amp;AY243)+COUNTIFS($AY$5:AY243,AY243))</f>
        <v>0</v>
      </c>
      <c r="BS243" s="43">
        <f>IF(B243="","",IF(AH243=0,"Add - no costs entered yet",IF(AR243="","Check - no price yet",IF(AV243&lt;0,"Loss - every sale costs you money",IF(AND(AZ243&lt;&gt;"",AZ243&lt;MinimumWage),"Below - pays under minimum wage",IF(AW243&lt;MarginWarning,"Low margin - re-price it",IF(AND(AF243&lt;&gt;"",K243&lt;&gt;"",K243+AC243&gt;AF243),"Check - too heavy for that postage band",IF(AND(BN243&lt;&gt;"",BN243&gt;PriceReviewDays),"Due - price has not been reviewed",IF(AND(BG243&lt;&gt;"",BG243&gt;0.5),"Check - well above the market","OK")))))))) )</f>
        <v>0</v>
      </c>
    </row>
    <row r="244" spans="1:71">
      <c r="A244" s="38">
        <f>IF(B244="","",ProductPrefix&amp;TEXT(ROW()-4,"0000"))</f>
        <v>0</v>
      </c>
      <c r="S244" s="38">
        <f>IF(B244="","",IF(C244&lt;&gt;"",C244,UPPER(LEFT(IF(D244="","GEN",D244),3))&amp;"-"&amp;TEXT(ROW()-4,"000")))</f>
        <v>0</v>
      </c>
      <c r="T244" s="20">
        <f>IF(B244="","",ROUND(SUMIFS('Material Usage'!$M$5:$M$904,'Material Usage'!$A$5:$A$904,A244)+SUMIFS(Crochet!$AD$5:$AD$84,Crochet!$A$5:$A$84,A244)+SUMIFS(Jewelry!$AF$5:$AF$84,Jewelry!$A$5:$A$84,A244)+SUMIFS(Candles!$AF$5:$AF$84,Candles!$A$5:$A$84,A244)+SUMIFS(Clothing!$AB$5:$AB$84,Clothing!$A$5:$A$84,A244)+SUMIFS(Woodworking!$AC$5:$AC$84,Woodworking!$A$5:$A$84,A244)+SUMIFS(Digital!$X$5:$X$84,Digital!$A$5:$A$84,A244),2))</f>
        <v>0</v>
      </c>
      <c r="U244" s="20">
        <f>IF(B244="","",ROUND(SUMIFS(Labor!$O$5:$O$304,Labor!$A$5:$A$304,A244)+SUMIFS(Crochet!$AG$5:$AG$84,Crochet!$A$5:$A$84,A244)+SUMIFS(Jewelry!$AI$5:$AI$84,Jewelry!$A$5:$A$84,A244)+SUMIFS(Candles!$AI$5:$AI$84,Candles!$A$5:$A$84,A244)+SUMIFS(Clothing!$AE$5:$AE$84,Clothing!$A$5:$A$84,A244)+SUMIFS(Woodworking!$AF$5:$AF$84,Woodworking!$A$5:$A$84,A244)+SUMIFS(Digital!$Z$5:$Z$84,Digital!$A$5:$A$84,A244),2))</f>
        <v>0</v>
      </c>
      <c r="V244" s="36">
        <f>IF(B244="","",ROUND(SUMIFS(Labor!$P$5:$P$304,Labor!$A$5:$A$304,A244)+SUMIFS(Crochet!$AE$5:$AE$84,Crochet!$A$5:$A$84,A244)+SUMIFS(Jewelry!$AG$5:$AG$84,Jewelry!$A$5:$A$84,A244)+SUMIFS(Candles!$AG$5:$AG$84,Candles!$A$5:$A$84,A244)+SUMIFS(Clothing!$AC$5:$AC$84,Clothing!$A$5:$A$84,A244)+SUMIFS(Woodworking!$AD$5:$AD$84,Woodworking!$A$5:$A$84,A244)+SUMIFS(Digital!$Y$5:$Y$84,Digital!$A$5:$A$84,A244),1))</f>
        <v>0</v>
      </c>
      <c r="W244" s="41">
        <f>IF(B244="","",IFERROR(INDEX(DiffTimeFactors,MATCH(G244,DiffNames,0)),1))</f>
        <v>0</v>
      </c>
      <c r="X244" s="36">
        <f>IF(B244="","",ROUND(V244*W244,1))</f>
        <v>0</v>
      </c>
      <c r="Y244" s="41">
        <f>IF(B244="","",ROUND(X244/60,3))</f>
        <v>0</v>
      </c>
      <c r="Z244" s="20">
        <f>IF(B244="","",ROUND(U244*W244,2))</f>
        <v>0</v>
      </c>
      <c r="AA244" s="20">
        <f>IF(B244="","",ROUND(SUMIFS(Labor!$Q$5:$Q$304,Labor!$A$5:$A$304,A244)+SUMIFS(Crochet!$AH$5:$AH$84,Crochet!$A$5:$A$84,A244)+SUMIFS(Jewelry!$AJ$5:$AJ$84,Jewelry!$A$5:$A$84,A244)+SUMIFS(Candles!$AJ$5:$AJ$84,Candles!$A$5:$A$84,A244)+SUMIFS(Clothing!$AF$5:$AF$84,Clothing!$A$5:$A$84,A244)+SUMIFS(Woodworking!$AH$5:$AH$84,Woodworking!$A$5:$A$84,A244)+SUMIFS(Digital!$AA$5:$AA$84,Digital!$A$5:$A$84,A244),2))</f>
        <v>0</v>
      </c>
      <c r="AB244" s="20">
        <f>IF(B244="","",ROUND(IF(I244="Budget",PackBudget,IF(I244="Standard",PackStandard,IF(I244="Gift",PackGift,IF(I244="Premium",PackPremium,DefaultPackaging)))),2))</f>
        <v>0</v>
      </c>
      <c r="AC244" s="36">
        <f>IF(B244="","",IF(I244="Budget",PackWeightBudget,IF(I244="Standard",PackWeightStandard,IF(I244="Gift",PackWeightGift,IF(I244="Premium",PackWeightPremium,0)))))</f>
        <v>0</v>
      </c>
      <c r="AD244" s="20">
        <f>IF(B244="","",IFERROR(INDEX(Shipping!$M$5:$M$64,MATCH(J244,Shipping!$L$5:$L$64,0)),DefaultShipping))</f>
        <v>0</v>
      </c>
      <c r="AE244" s="20">
        <f>IF(B244="","",IFERROR(INDEX(Shipping!$F$5:$F$64,MATCH(J244,Shipping!$L$5:$L$64,0)),0))</f>
        <v>0</v>
      </c>
      <c r="AF244" s="36">
        <f>IF(B244="","",IFERROR(INDEX(Shipping!$C$5:$C$64,MATCH(J244,Shipping!$L$5:$L$64,0)),""))</f>
        <v>0</v>
      </c>
      <c r="AG244" s="20">
        <f>IF(B244="","",ROUND(MAX(0,AD244-AE244),2))</f>
        <v>0</v>
      </c>
      <c r="AH244" s="20">
        <f>IF(B244="","",ROUND(T244+Z244+AA244+AB244+AG244,2))</f>
        <v>0</v>
      </c>
      <c r="AI244" s="33">
        <f>IF(B244="","",IFERROR(INDEX(Channels!$S$5:$S$18,MATCH(IF(H244="",DefaultChannel,H244),Channels!$A$5:$A$18,0)),0))</f>
        <v>0</v>
      </c>
      <c r="AJ244" s="42">
        <f>IF(B244="","",IFERROR(INDEX(Channels!$O$5:$O$18,MATCH(IF(H244="",DefaultChannel,H244),Channels!$A$5:$A$18,0)),"No"))</f>
        <v>0</v>
      </c>
      <c r="AK244" s="20">
        <f>IF(B244="","",ROUND(IFERROR(INDEX(Channels!$T$5:$T$18,MATCH(IF(H244="",DefaultChannel,H244),Channels!$A$5:$A$18,0)),0)+IF(AJ244="Yes",AE244*AI244,0),4))</f>
        <v>0</v>
      </c>
      <c r="AL244" s="33">
        <f>IF(B244="","",IF(OverheadMethod="Share of revenue",IF(RevenueTargetMonth&lt;=0,0,OverheadMonthly/RevenueTargetMonth),0))</f>
        <v>0</v>
      </c>
      <c r="AM244" s="20">
        <f>IF(B244="","",IF(OverheadMethod="Per hour worked",ROUND(OverheadPerHour*Y244,2),IF(OR(OverheadMethod="Per unit made",OverheadMethod="Per order"),OverheadPerUnit,0)))</f>
        <v>0</v>
      </c>
      <c r="AN244" s="33">
        <f>IF(B244="","",IF(N244&lt;&gt;"",N244,TargetRetailMargin))</f>
        <v>0</v>
      </c>
      <c r="AO244" s="41">
        <f>IF(B244="","",1-AN244-AI244-AL244)</f>
        <v>0</v>
      </c>
      <c r="AP244" s="20">
        <f>IF(B244="","",IF(AO244&lt;=0,"",(AH244+AM244+AK244)/AO244))</f>
        <v>0</v>
      </c>
      <c r="AQ244" s="20">
        <f>IF(B244="","",IF(AP244="","Check the settings",ROUND(IF(RoundingRule="None",AP244,IF(RoundingRule="Nearest 0.99",MAX(0.99,CEILING(AP244,1)-0.01),IF(RoundingRule="Nearest 0.95",MAX(0.95,CEILING(AP244,1)-0.05),IF(RoundingRule="Nearest 0.50",CEILING(AP244,0.5),IF(RoundingRule="Nearest 1",CEILING(AP244,1),IF(RoundingRule="Nearest 5",CEILING(AP244,5),IF(RoundingRule="Up to whole 1",CEILING(AP244,1),IF(RoundingRule="Up to whole 5",CEILING(AP244,5),ROUND(AP244,2))))))))),2)))</f>
        <v>0</v>
      </c>
      <c r="AR244" s="20">
        <f>IF(B244="","",IF(M244&lt;&gt;"",M244,IF(ISNUMBER(AQ244),AQ244,"")))</f>
        <v>0</v>
      </c>
      <c r="AS244" s="20">
        <f>IF(B244="","",IF(AR244="","",ROUND(AM244+AR244*AL244,2)))</f>
        <v>0</v>
      </c>
      <c r="AT244" s="20">
        <f>IF(B244="","",IF(AR244="","",ROUND(AH244+AS244,2)))</f>
        <v>0</v>
      </c>
      <c r="AU244" s="20">
        <f>IF(B244="","",IF(AR244="","",ROUND(AR244*AI244+AK244,2)))</f>
        <v>0</v>
      </c>
      <c r="AV244" s="20">
        <f>IF(B244="","",IF(AR244="","",ROUND(AR244-AT244-AU244,2)))</f>
        <v>0</v>
      </c>
      <c r="AW244" s="33">
        <f>IF(B244="","",IF(OR(AR244="",AR244=0),"",AV244/AR244))</f>
        <v>0</v>
      </c>
      <c r="AX244" s="33">
        <f>IF(B244="","",IF(OR(AT244="",AT244=0),"",AV244/AT244))</f>
        <v>0</v>
      </c>
      <c r="AY244" s="20">
        <f>IF(B244="","",IF(OR(Y244="",Y244=0,AV244=""),"",ROUND(AV244/Y244,2)))</f>
        <v>0</v>
      </c>
      <c r="AZ244" s="20">
        <f>IF(B244="","",IF(OR(Y244="",Y244=0,AV244=""),"",ROUND((AV244+Z244)/Y244,2)))</f>
        <v>0</v>
      </c>
      <c r="BA244" s="20">
        <f>IF(B244="","",IF(1-AI244-AL244&lt;=0,"",ROUND((AH244+AM244+AK244)/(1-AI244-AL244),2)))</f>
        <v>0</v>
      </c>
      <c r="BB244" s="20">
        <f>IF(B244="","",IF(AT244="","",ROUND(AT244*2,2)))</f>
        <v>0</v>
      </c>
      <c r="BC244" s="20">
        <f>IF(B244="","",IF(AR244="","",ROUND(AR244*(1-WholesaleDiscount),2)))</f>
        <v>0</v>
      </c>
      <c r="BD244" s="20">
        <f>IF(B244="","",IF(BC244="","",ROUND(BC244-AH244-AM244,2)))</f>
        <v>0</v>
      </c>
      <c r="BE244" s="33">
        <f>IF(B244="","",IF(OR(BC244="",BC244=0),"",BD244/BC244))</f>
        <v>0</v>
      </c>
      <c r="BF244" s="20">
        <f>IF(B244="","",IFERROR(ROUND(AVERAGEIFS(Competitors!$F$5:$F$154,Competitors!$A$5:$A$154,A244),2),""))</f>
        <v>0</v>
      </c>
      <c r="BG244" s="33">
        <f>IF(B244="","",IF(OR(BF244="",BF244=0,AR244=""),"",AR244/BF244-1))</f>
        <v>0</v>
      </c>
      <c r="BH244" s="32">
        <f>IF(B244="","",SUMIFS(Sales!$D$5:$D$804,Sales!$C$5:$C$804,A244))</f>
        <v>0</v>
      </c>
      <c r="BI244" s="20">
        <f>IF(B244="","",ROUND(SUMIFS(Sales!$V$5:$V$804,Sales!$C$5:$C$804,A244),2))</f>
        <v>0</v>
      </c>
      <c r="BJ244" s="20">
        <f>IF(B244="","",ROUND(SUMIFS(Sales!$AG$5:$AG$804,Sales!$C$5:$C$804,A244),2))</f>
        <v>0</v>
      </c>
      <c r="BK244" s="33">
        <f>IF(B244="","",IF(OR(BI244="",BI244=0),"",BJ244/BI244))</f>
        <v>0</v>
      </c>
      <c r="BL244" s="17">
        <f>IF(B244="","",IF(SUMPRODUCT(MAX((Sales!$C$5:$C$804=A244)*Sales!$B$5:$B$804))=0,"",SUMPRODUCT(MAX((Sales!$C$5:$C$804=A244)*Sales!$B$5:$B$804))))</f>
        <v>0</v>
      </c>
      <c r="BM244" s="17">
        <f>IF(B244="","",IF(SUMPRODUCT(MAX(('Price History'!$B$5:$B$304=A244)*'Price History'!$A$5:$A$304))=0,IF(P244="","",P244),SUMPRODUCT(MAX(('Price History'!$B$5:$B$304=A244)*'Price History'!$A$5:$A$304))))</f>
        <v>0</v>
      </c>
      <c r="BN244" s="32">
        <f>IF(B244="","",IF(BM244="","",TodayDate-BM244))</f>
        <v>0</v>
      </c>
      <c r="BO244" s="32">
        <f>IF(B244="","",COUNTIFS($AV$5:$AV$304,"&gt;"&amp;AV244)+COUNTIFS($AV$5:AV244,AV244))</f>
        <v>0</v>
      </c>
      <c r="BP244" s="32">
        <f>IF(B244="","",COUNTIFS($AW$5:$AW$304,"&gt;"&amp;AW244)+COUNTIFS($AW$5:AW244,AW244))</f>
        <v>0</v>
      </c>
      <c r="BQ244" s="32">
        <f>IF(B244="","",COUNTIFS($BI$5:$BI$304,"&gt;"&amp;BI244)+COUNTIFS($BI$5:BI244,BI244))</f>
        <v>0</v>
      </c>
      <c r="BR244" s="32">
        <f>IF(B244="","",COUNTIFS($AY$5:$AY$304,"&gt;"&amp;AY244)+COUNTIFS($AY$5:AY244,AY244))</f>
        <v>0</v>
      </c>
      <c r="BS244" s="43">
        <f>IF(B244="","",IF(AH244=0,"Add - no costs entered yet",IF(AR244="","Check - no price yet",IF(AV244&lt;0,"Loss - every sale costs you money",IF(AND(AZ244&lt;&gt;"",AZ244&lt;MinimumWage),"Below - pays under minimum wage",IF(AW244&lt;MarginWarning,"Low margin - re-price it",IF(AND(AF244&lt;&gt;"",K244&lt;&gt;"",K244+AC244&gt;AF244),"Check - too heavy for that postage band",IF(AND(BN244&lt;&gt;"",BN244&gt;PriceReviewDays),"Due - price has not been reviewed",IF(AND(BG244&lt;&gt;"",BG244&gt;0.5),"Check - well above the market","OK")))))))) )</f>
        <v>0</v>
      </c>
    </row>
    <row r="245" spans="1:71">
      <c r="A245" s="38">
        <f>IF(B245="","",ProductPrefix&amp;TEXT(ROW()-4,"0000"))</f>
        <v>0</v>
      </c>
      <c r="S245" s="38">
        <f>IF(B245="","",IF(C245&lt;&gt;"",C245,UPPER(LEFT(IF(D245="","GEN",D245),3))&amp;"-"&amp;TEXT(ROW()-4,"000")))</f>
        <v>0</v>
      </c>
      <c r="T245" s="20">
        <f>IF(B245="","",ROUND(SUMIFS('Material Usage'!$M$5:$M$904,'Material Usage'!$A$5:$A$904,A245)+SUMIFS(Crochet!$AD$5:$AD$84,Crochet!$A$5:$A$84,A245)+SUMIFS(Jewelry!$AF$5:$AF$84,Jewelry!$A$5:$A$84,A245)+SUMIFS(Candles!$AF$5:$AF$84,Candles!$A$5:$A$84,A245)+SUMIFS(Clothing!$AB$5:$AB$84,Clothing!$A$5:$A$84,A245)+SUMIFS(Woodworking!$AC$5:$AC$84,Woodworking!$A$5:$A$84,A245)+SUMIFS(Digital!$X$5:$X$84,Digital!$A$5:$A$84,A245),2))</f>
        <v>0</v>
      </c>
      <c r="U245" s="20">
        <f>IF(B245="","",ROUND(SUMIFS(Labor!$O$5:$O$304,Labor!$A$5:$A$304,A245)+SUMIFS(Crochet!$AG$5:$AG$84,Crochet!$A$5:$A$84,A245)+SUMIFS(Jewelry!$AI$5:$AI$84,Jewelry!$A$5:$A$84,A245)+SUMIFS(Candles!$AI$5:$AI$84,Candles!$A$5:$A$84,A245)+SUMIFS(Clothing!$AE$5:$AE$84,Clothing!$A$5:$A$84,A245)+SUMIFS(Woodworking!$AF$5:$AF$84,Woodworking!$A$5:$A$84,A245)+SUMIFS(Digital!$Z$5:$Z$84,Digital!$A$5:$A$84,A245),2))</f>
        <v>0</v>
      </c>
      <c r="V245" s="36">
        <f>IF(B245="","",ROUND(SUMIFS(Labor!$P$5:$P$304,Labor!$A$5:$A$304,A245)+SUMIFS(Crochet!$AE$5:$AE$84,Crochet!$A$5:$A$84,A245)+SUMIFS(Jewelry!$AG$5:$AG$84,Jewelry!$A$5:$A$84,A245)+SUMIFS(Candles!$AG$5:$AG$84,Candles!$A$5:$A$84,A245)+SUMIFS(Clothing!$AC$5:$AC$84,Clothing!$A$5:$A$84,A245)+SUMIFS(Woodworking!$AD$5:$AD$84,Woodworking!$A$5:$A$84,A245)+SUMIFS(Digital!$Y$5:$Y$84,Digital!$A$5:$A$84,A245),1))</f>
        <v>0</v>
      </c>
      <c r="W245" s="41">
        <f>IF(B245="","",IFERROR(INDEX(DiffTimeFactors,MATCH(G245,DiffNames,0)),1))</f>
        <v>0</v>
      </c>
      <c r="X245" s="36">
        <f>IF(B245="","",ROUND(V245*W245,1))</f>
        <v>0</v>
      </c>
      <c r="Y245" s="41">
        <f>IF(B245="","",ROUND(X245/60,3))</f>
        <v>0</v>
      </c>
      <c r="Z245" s="20">
        <f>IF(B245="","",ROUND(U245*W245,2))</f>
        <v>0</v>
      </c>
      <c r="AA245" s="20">
        <f>IF(B245="","",ROUND(SUMIFS(Labor!$Q$5:$Q$304,Labor!$A$5:$A$304,A245)+SUMIFS(Crochet!$AH$5:$AH$84,Crochet!$A$5:$A$84,A245)+SUMIFS(Jewelry!$AJ$5:$AJ$84,Jewelry!$A$5:$A$84,A245)+SUMIFS(Candles!$AJ$5:$AJ$84,Candles!$A$5:$A$84,A245)+SUMIFS(Clothing!$AF$5:$AF$84,Clothing!$A$5:$A$84,A245)+SUMIFS(Woodworking!$AH$5:$AH$84,Woodworking!$A$5:$A$84,A245)+SUMIFS(Digital!$AA$5:$AA$84,Digital!$A$5:$A$84,A245),2))</f>
        <v>0</v>
      </c>
      <c r="AB245" s="20">
        <f>IF(B245="","",ROUND(IF(I245="Budget",PackBudget,IF(I245="Standard",PackStandard,IF(I245="Gift",PackGift,IF(I245="Premium",PackPremium,DefaultPackaging)))),2))</f>
        <v>0</v>
      </c>
      <c r="AC245" s="36">
        <f>IF(B245="","",IF(I245="Budget",PackWeightBudget,IF(I245="Standard",PackWeightStandard,IF(I245="Gift",PackWeightGift,IF(I245="Premium",PackWeightPremium,0)))))</f>
        <v>0</v>
      </c>
      <c r="AD245" s="20">
        <f>IF(B245="","",IFERROR(INDEX(Shipping!$M$5:$M$64,MATCH(J245,Shipping!$L$5:$L$64,0)),DefaultShipping))</f>
        <v>0</v>
      </c>
      <c r="AE245" s="20">
        <f>IF(B245="","",IFERROR(INDEX(Shipping!$F$5:$F$64,MATCH(J245,Shipping!$L$5:$L$64,0)),0))</f>
        <v>0</v>
      </c>
      <c r="AF245" s="36">
        <f>IF(B245="","",IFERROR(INDEX(Shipping!$C$5:$C$64,MATCH(J245,Shipping!$L$5:$L$64,0)),""))</f>
        <v>0</v>
      </c>
      <c r="AG245" s="20">
        <f>IF(B245="","",ROUND(MAX(0,AD245-AE245),2))</f>
        <v>0</v>
      </c>
      <c r="AH245" s="20">
        <f>IF(B245="","",ROUND(T245+Z245+AA245+AB245+AG245,2))</f>
        <v>0</v>
      </c>
      <c r="AI245" s="33">
        <f>IF(B245="","",IFERROR(INDEX(Channels!$S$5:$S$18,MATCH(IF(H245="",DefaultChannel,H245),Channels!$A$5:$A$18,0)),0))</f>
        <v>0</v>
      </c>
      <c r="AJ245" s="42">
        <f>IF(B245="","",IFERROR(INDEX(Channels!$O$5:$O$18,MATCH(IF(H245="",DefaultChannel,H245),Channels!$A$5:$A$18,0)),"No"))</f>
        <v>0</v>
      </c>
      <c r="AK245" s="20">
        <f>IF(B245="","",ROUND(IFERROR(INDEX(Channels!$T$5:$T$18,MATCH(IF(H245="",DefaultChannel,H245),Channels!$A$5:$A$18,0)),0)+IF(AJ245="Yes",AE245*AI245,0),4))</f>
        <v>0</v>
      </c>
      <c r="AL245" s="33">
        <f>IF(B245="","",IF(OverheadMethod="Share of revenue",IF(RevenueTargetMonth&lt;=0,0,OverheadMonthly/RevenueTargetMonth),0))</f>
        <v>0</v>
      </c>
      <c r="AM245" s="20">
        <f>IF(B245="","",IF(OverheadMethod="Per hour worked",ROUND(OverheadPerHour*Y245,2),IF(OR(OverheadMethod="Per unit made",OverheadMethod="Per order"),OverheadPerUnit,0)))</f>
        <v>0</v>
      </c>
      <c r="AN245" s="33">
        <f>IF(B245="","",IF(N245&lt;&gt;"",N245,TargetRetailMargin))</f>
        <v>0</v>
      </c>
      <c r="AO245" s="41">
        <f>IF(B245="","",1-AN245-AI245-AL245)</f>
        <v>0</v>
      </c>
      <c r="AP245" s="20">
        <f>IF(B245="","",IF(AO245&lt;=0,"",(AH245+AM245+AK245)/AO245))</f>
        <v>0</v>
      </c>
      <c r="AQ245" s="20">
        <f>IF(B245="","",IF(AP245="","Check the settings",ROUND(IF(RoundingRule="None",AP245,IF(RoundingRule="Nearest 0.99",MAX(0.99,CEILING(AP245,1)-0.01),IF(RoundingRule="Nearest 0.95",MAX(0.95,CEILING(AP245,1)-0.05),IF(RoundingRule="Nearest 0.50",CEILING(AP245,0.5),IF(RoundingRule="Nearest 1",CEILING(AP245,1),IF(RoundingRule="Nearest 5",CEILING(AP245,5),IF(RoundingRule="Up to whole 1",CEILING(AP245,1),IF(RoundingRule="Up to whole 5",CEILING(AP245,5),ROUND(AP245,2))))))))),2)))</f>
        <v>0</v>
      </c>
      <c r="AR245" s="20">
        <f>IF(B245="","",IF(M245&lt;&gt;"",M245,IF(ISNUMBER(AQ245),AQ245,"")))</f>
        <v>0</v>
      </c>
      <c r="AS245" s="20">
        <f>IF(B245="","",IF(AR245="","",ROUND(AM245+AR245*AL245,2)))</f>
        <v>0</v>
      </c>
      <c r="AT245" s="20">
        <f>IF(B245="","",IF(AR245="","",ROUND(AH245+AS245,2)))</f>
        <v>0</v>
      </c>
      <c r="AU245" s="20">
        <f>IF(B245="","",IF(AR245="","",ROUND(AR245*AI245+AK245,2)))</f>
        <v>0</v>
      </c>
      <c r="AV245" s="20">
        <f>IF(B245="","",IF(AR245="","",ROUND(AR245-AT245-AU245,2)))</f>
        <v>0</v>
      </c>
      <c r="AW245" s="33">
        <f>IF(B245="","",IF(OR(AR245="",AR245=0),"",AV245/AR245))</f>
        <v>0</v>
      </c>
      <c r="AX245" s="33">
        <f>IF(B245="","",IF(OR(AT245="",AT245=0),"",AV245/AT245))</f>
        <v>0</v>
      </c>
      <c r="AY245" s="20">
        <f>IF(B245="","",IF(OR(Y245="",Y245=0,AV245=""),"",ROUND(AV245/Y245,2)))</f>
        <v>0</v>
      </c>
      <c r="AZ245" s="20">
        <f>IF(B245="","",IF(OR(Y245="",Y245=0,AV245=""),"",ROUND((AV245+Z245)/Y245,2)))</f>
        <v>0</v>
      </c>
      <c r="BA245" s="20">
        <f>IF(B245="","",IF(1-AI245-AL245&lt;=0,"",ROUND((AH245+AM245+AK245)/(1-AI245-AL245),2)))</f>
        <v>0</v>
      </c>
      <c r="BB245" s="20">
        <f>IF(B245="","",IF(AT245="","",ROUND(AT245*2,2)))</f>
        <v>0</v>
      </c>
      <c r="BC245" s="20">
        <f>IF(B245="","",IF(AR245="","",ROUND(AR245*(1-WholesaleDiscount),2)))</f>
        <v>0</v>
      </c>
      <c r="BD245" s="20">
        <f>IF(B245="","",IF(BC245="","",ROUND(BC245-AH245-AM245,2)))</f>
        <v>0</v>
      </c>
      <c r="BE245" s="33">
        <f>IF(B245="","",IF(OR(BC245="",BC245=0),"",BD245/BC245))</f>
        <v>0</v>
      </c>
      <c r="BF245" s="20">
        <f>IF(B245="","",IFERROR(ROUND(AVERAGEIFS(Competitors!$F$5:$F$154,Competitors!$A$5:$A$154,A245),2),""))</f>
        <v>0</v>
      </c>
      <c r="BG245" s="33">
        <f>IF(B245="","",IF(OR(BF245="",BF245=0,AR245=""),"",AR245/BF245-1))</f>
        <v>0</v>
      </c>
      <c r="BH245" s="32">
        <f>IF(B245="","",SUMIFS(Sales!$D$5:$D$804,Sales!$C$5:$C$804,A245))</f>
        <v>0</v>
      </c>
      <c r="BI245" s="20">
        <f>IF(B245="","",ROUND(SUMIFS(Sales!$V$5:$V$804,Sales!$C$5:$C$804,A245),2))</f>
        <v>0</v>
      </c>
      <c r="BJ245" s="20">
        <f>IF(B245="","",ROUND(SUMIFS(Sales!$AG$5:$AG$804,Sales!$C$5:$C$804,A245),2))</f>
        <v>0</v>
      </c>
      <c r="BK245" s="33">
        <f>IF(B245="","",IF(OR(BI245="",BI245=0),"",BJ245/BI245))</f>
        <v>0</v>
      </c>
      <c r="BL245" s="17">
        <f>IF(B245="","",IF(SUMPRODUCT(MAX((Sales!$C$5:$C$804=A245)*Sales!$B$5:$B$804))=0,"",SUMPRODUCT(MAX((Sales!$C$5:$C$804=A245)*Sales!$B$5:$B$804))))</f>
        <v>0</v>
      </c>
      <c r="BM245" s="17">
        <f>IF(B245="","",IF(SUMPRODUCT(MAX(('Price History'!$B$5:$B$304=A245)*'Price History'!$A$5:$A$304))=0,IF(P245="","",P245),SUMPRODUCT(MAX(('Price History'!$B$5:$B$304=A245)*'Price History'!$A$5:$A$304))))</f>
        <v>0</v>
      </c>
      <c r="BN245" s="32">
        <f>IF(B245="","",IF(BM245="","",TodayDate-BM245))</f>
        <v>0</v>
      </c>
      <c r="BO245" s="32">
        <f>IF(B245="","",COUNTIFS($AV$5:$AV$304,"&gt;"&amp;AV245)+COUNTIFS($AV$5:AV245,AV245))</f>
        <v>0</v>
      </c>
      <c r="BP245" s="32">
        <f>IF(B245="","",COUNTIFS($AW$5:$AW$304,"&gt;"&amp;AW245)+COUNTIFS($AW$5:AW245,AW245))</f>
        <v>0</v>
      </c>
      <c r="BQ245" s="32">
        <f>IF(B245="","",COUNTIFS($BI$5:$BI$304,"&gt;"&amp;BI245)+COUNTIFS($BI$5:BI245,BI245))</f>
        <v>0</v>
      </c>
      <c r="BR245" s="32">
        <f>IF(B245="","",COUNTIFS($AY$5:$AY$304,"&gt;"&amp;AY245)+COUNTIFS($AY$5:AY245,AY245))</f>
        <v>0</v>
      </c>
      <c r="BS245" s="43">
        <f>IF(B245="","",IF(AH245=0,"Add - no costs entered yet",IF(AR245="","Check - no price yet",IF(AV245&lt;0,"Loss - every sale costs you money",IF(AND(AZ245&lt;&gt;"",AZ245&lt;MinimumWage),"Below - pays under minimum wage",IF(AW245&lt;MarginWarning,"Low margin - re-price it",IF(AND(AF245&lt;&gt;"",K245&lt;&gt;"",K245+AC245&gt;AF245),"Check - too heavy for that postage band",IF(AND(BN245&lt;&gt;"",BN245&gt;PriceReviewDays),"Due - price has not been reviewed",IF(AND(BG245&lt;&gt;"",BG245&gt;0.5),"Check - well above the market","OK")))))))) )</f>
        <v>0</v>
      </c>
    </row>
    <row r="246" spans="1:71">
      <c r="A246" s="38">
        <f>IF(B246="","",ProductPrefix&amp;TEXT(ROW()-4,"0000"))</f>
        <v>0</v>
      </c>
      <c r="S246" s="38">
        <f>IF(B246="","",IF(C246&lt;&gt;"",C246,UPPER(LEFT(IF(D246="","GEN",D246),3))&amp;"-"&amp;TEXT(ROW()-4,"000")))</f>
        <v>0</v>
      </c>
      <c r="T246" s="20">
        <f>IF(B246="","",ROUND(SUMIFS('Material Usage'!$M$5:$M$904,'Material Usage'!$A$5:$A$904,A246)+SUMIFS(Crochet!$AD$5:$AD$84,Crochet!$A$5:$A$84,A246)+SUMIFS(Jewelry!$AF$5:$AF$84,Jewelry!$A$5:$A$84,A246)+SUMIFS(Candles!$AF$5:$AF$84,Candles!$A$5:$A$84,A246)+SUMIFS(Clothing!$AB$5:$AB$84,Clothing!$A$5:$A$84,A246)+SUMIFS(Woodworking!$AC$5:$AC$84,Woodworking!$A$5:$A$84,A246)+SUMIFS(Digital!$X$5:$X$84,Digital!$A$5:$A$84,A246),2))</f>
        <v>0</v>
      </c>
      <c r="U246" s="20">
        <f>IF(B246="","",ROUND(SUMIFS(Labor!$O$5:$O$304,Labor!$A$5:$A$304,A246)+SUMIFS(Crochet!$AG$5:$AG$84,Crochet!$A$5:$A$84,A246)+SUMIFS(Jewelry!$AI$5:$AI$84,Jewelry!$A$5:$A$84,A246)+SUMIFS(Candles!$AI$5:$AI$84,Candles!$A$5:$A$84,A246)+SUMIFS(Clothing!$AE$5:$AE$84,Clothing!$A$5:$A$84,A246)+SUMIFS(Woodworking!$AF$5:$AF$84,Woodworking!$A$5:$A$84,A246)+SUMIFS(Digital!$Z$5:$Z$84,Digital!$A$5:$A$84,A246),2))</f>
        <v>0</v>
      </c>
      <c r="V246" s="36">
        <f>IF(B246="","",ROUND(SUMIFS(Labor!$P$5:$P$304,Labor!$A$5:$A$304,A246)+SUMIFS(Crochet!$AE$5:$AE$84,Crochet!$A$5:$A$84,A246)+SUMIFS(Jewelry!$AG$5:$AG$84,Jewelry!$A$5:$A$84,A246)+SUMIFS(Candles!$AG$5:$AG$84,Candles!$A$5:$A$84,A246)+SUMIFS(Clothing!$AC$5:$AC$84,Clothing!$A$5:$A$84,A246)+SUMIFS(Woodworking!$AD$5:$AD$84,Woodworking!$A$5:$A$84,A246)+SUMIFS(Digital!$Y$5:$Y$84,Digital!$A$5:$A$84,A246),1))</f>
        <v>0</v>
      </c>
      <c r="W246" s="41">
        <f>IF(B246="","",IFERROR(INDEX(DiffTimeFactors,MATCH(G246,DiffNames,0)),1))</f>
        <v>0</v>
      </c>
      <c r="X246" s="36">
        <f>IF(B246="","",ROUND(V246*W246,1))</f>
        <v>0</v>
      </c>
      <c r="Y246" s="41">
        <f>IF(B246="","",ROUND(X246/60,3))</f>
        <v>0</v>
      </c>
      <c r="Z246" s="20">
        <f>IF(B246="","",ROUND(U246*W246,2))</f>
        <v>0</v>
      </c>
      <c r="AA246" s="20">
        <f>IF(B246="","",ROUND(SUMIFS(Labor!$Q$5:$Q$304,Labor!$A$5:$A$304,A246)+SUMIFS(Crochet!$AH$5:$AH$84,Crochet!$A$5:$A$84,A246)+SUMIFS(Jewelry!$AJ$5:$AJ$84,Jewelry!$A$5:$A$84,A246)+SUMIFS(Candles!$AJ$5:$AJ$84,Candles!$A$5:$A$84,A246)+SUMIFS(Clothing!$AF$5:$AF$84,Clothing!$A$5:$A$84,A246)+SUMIFS(Woodworking!$AH$5:$AH$84,Woodworking!$A$5:$A$84,A246)+SUMIFS(Digital!$AA$5:$AA$84,Digital!$A$5:$A$84,A246),2))</f>
        <v>0</v>
      </c>
      <c r="AB246" s="20">
        <f>IF(B246="","",ROUND(IF(I246="Budget",PackBudget,IF(I246="Standard",PackStandard,IF(I246="Gift",PackGift,IF(I246="Premium",PackPremium,DefaultPackaging)))),2))</f>
        <v>0</v>
      </c>
      <c r="AC246" s="36">
        <f>IF(B246="","",IF(I246="Budget",PackWeightBudget,IF(I246="Standard",PackWeightStandard,IF(I246="Gift",PackWeightGift,IF(I246="Premium",PackWeightPremium,0)))))</f>
        <v>0</v>
      </c>
      <c r="AD246" s="20">
        <f>IF(B246="","",IFERROR(INDEX(Shipping!$M$5:$M$64,MATCH(J246,Shipping!$L$5:$L$64,0)),DefaultShipping))</f>
        <v>0</v>
      </c>
      <c r="AE246" s="20">
        <f>IF(B246="","",IFERROR(INDEX(Shipping!$F$5:$F$64,MATCH(J246,Shipping!$L$5:$L$64,0)),0))</f>
        <v>0</v>
      </c>
      <c r="AF246" s="36">
        <f>IF(B246="","",IFERROR(INDEX(Shipping!$C$5:$C$64,MATCH(J246,Shipping!$L$5:$L$64,0)),""))</f>
        <v>0</v>
      </c>
      <c r="AG246" s="20">
        <f>IF(B246="","",ROUND(MAX(0,AD246-AE246),2))</f>
        <v>0</v>
      </c>
      <c r="AH246" s="20">
        <f>IF(B246="","",ROUND(T246+Z246+AA246+AB246+AG246,2))</f>
        <v>0</v>
      </c>
      <c r="AI246" s="33">
        <f>IF(B246="","",IFERROR(INDEX(Channels!$S$5:$S$18,MATCH(IF(H246="",DefaultChannel,H246),Channels!$A$5:$A$18,0)),0))</f>
        <v>0</v>
      </c>
      <c r="AJ246" s="42">
        <f>IF(B246="","",IFERROR(INDEX(Channels!$O$5:$O$18,MATCH(IF(H246="",DefaultChannel,H246),Channels!$A$5:$A$18,0)),"No"))</f>
        <v>0</v>
      </c>
      <c r="AK246" s="20">
        <f>IF(B246="","",ROUND(IFERROR(INDEX(Channels!$T$5:$T$18,MATCH(IF(H246="",DefaultChannel,H246),Channels!$A$5:$A$18,0)),0)+IF(AJ246="Yes",AE246*AI246,0),4))</f>
        <v>0</v>
      </c>
      <c r="AL246" s="33">
        <f>IF(B246="","",IF(OverheadMethod="Share of revenue",IF(RevenueTargetMonth&lt;=0,0,OverheadMonthly/RevenueTargetMonth),0))</f>
        <v>0</v>
      </c>
      <c r="AM246" s="20">
        <f>IF(B246="","",IF(OverheadMethod="Per hour worked",ROUND(OverheadPerHour*Y246,2),IF(OR(OverheadMethod="Per unit made",OverheadMethod="Per order"),OverheadPerUnit,0)))</f>
        <v>0</v>
      </c>
      <c r="AN246" s="33">
        <f>IF(B246="","",IF(N246&lt;&gt;"",N246,TargetRetailMargin))</f>
        <v>0</v>
      </c>
      <c r="AO246" s="41">
        <f>IF(B246="","",1-AN246-AI246-AL246)</f>
        <v>0</v>
      </c>
      <c r="AP246" s="20">
        <f>IF(B246="","",IF(AO246&lt;=0,"",(AH246+AM246+AK246)/AO246))</f>
        <v>0</v>
      </c>
      <c r="AQ246" s="20">
        <f>IF(B246="","",IF(AP246="","Check the settings",ROUND(IF(RoundingRule="None",AP246,IF(RoundingRule="Nearest 0.99",MAX(0.99,CEILING(AP246,1)-0.01),IF(RoundingRule="Nearest 0.95",MAX(0.95,CEILING(AP246,1)-0.05),IF(RoundingRule="Nearest 0.50",CEILING(AP246,0.5),IF(RoundingRule="Nearest 1",CEILING(AP246,1),IF(RoundingRule="Nearest 5",CEILING(AP246,5),IF(RoundingRule="Up to whole 1",CEILING(AP246,1),IF(RoundingRule="Up to whole 5",CEILING(AP246,5),ROUND(AP246,2))))))))),2)))</f>
        <v>0</v>
      </c>
      <c r="AR246" s="20">
        <f>IF(B246="","",IF(M246&lt;&gt;"",M246,IF(ISNUMBER(AQ246),AQ246,"")))</f>
        <v>0</v>
      </c>
      <c r="AS246" s="20">
        <f>IF(B246="","",IF(AR246="","",ROUND(AM246+AR246*AL246,2)))</f>
        <v>0</v>
      </c>
      <c r="AT246" s="20">
        <f>IF(B246="","",IF(AR246="","",ROUND(AH246+AS246,2)))</f>
        <v>0</v>
      </c>
      <c r="AU246" s="20">
        <f>IF(B246="","",IF(AR246="","",ROUND(AR246*AI246+AK246,2)))</f>
        <v>0</v>
      </c>
      <c r="AV246" s="20">
        <f>IF(B246="","",IF(AR246="","",ROUND(AR246-AT246-AU246,2)))</f>
        <v>0</v>
      </c>
      <c r="AW246" s="33">
        <f>IF(B246="","",IF(OR(AR246="",AR246=0),"",AV246/AR246))</f>
        <v>0</v>
      </c>
      <c r="AX246" s="33">
        <f>IF(B246="","",IF(OR(AT246="",AT246=0),"",AV246/AT246))</f>
        <v>0</v>
      </c>
      <c r="AY246" s="20">
        <f>IF(B246="","",IF(OR(Y246="",Y246=0,AV246=""),"",ROUND(AV246/Y246,2)))</f>
        <v>0</v>
      </c>
      <c r="AZ246" s="20">
        <f>IF(B246="","",IF(OR(Y246="",Y246=0,AV246=""),"",ROUND((AV246+Z246)/Y246,2)))</f>
        <v>0</v>
      </c>
      <c r="BA246" s="20">
        <f>IF(B246="","",IF(1-AI246-AL246&lt;=0,"",ROUND((AH246+AM246+AK246)/(1-AI246-AL246),2)))</f>
        <v>0</v>
      </c>
      <c r="BB246" s="20">
        <f>IF(B246="","",IF(AT246="","",ROUND(AT246*2,2)))</f>
        <v>0</v>
      </c>
      <c r="BC246" s="20">
        <f>IF(B246="","",IF(AR246="","",ROUND(AR246*(1-WholesaleDiscount),2)))</f>
        <v>0</v>
      </c>
      <c r="BD246" s="20">
        <f>IF(B246="","",IF(BC246="","",ROUND(BC246-AH246-AM246,2)))</f>
        <v>0</v>
      </c>
      <c r="BE246" s="33">
        <f>IF(B246="","",IF(OR(BC246="",BC246=0),"",BD246/BC246))</f>
        <v>0</v>
      </c>
      <c r="BF246" s="20">
        <f>IF(B246="","",IFERROR(ROUND(AVERAGEIFS(Competitors!$F$5:$F$154,Competitors!$A$5:$A$154,A246),2),""))</f>
        <v>0</v>
      </c>
      <c r="BG246" s="33">
        <f>IF(B246="","",IF(OR(BF246="",BF246=0,AR246=""),"",AR246/BF246-1))</f>
        <v>0</v>
      </c>
      <c r="BH246" s="32">
        <f>IF(B246="","",SUMIFS(Sales!$D$5:$D$804,Sales!$C$5:$C$804,A246))</f>
        <v>0</v>
      </c>
      <c r="BI246" s="20">
        <f>IF(B246="","",ROUND(SUMIFS(Sales!$V$5:$V$804,Sales!$C$5:$C$804,A246),2))</f>
        <v>0</v>
      </c>
      <c r="BJ246" s="20">
        <f>IF(B246="","",ROUND(SUMIFS(Sales!$AG$5:$AG$804,Sales!$C$5:$C$804,A246),2))</f>
        <v>0</v>
      </c>
      <c r="BK246" s="33">
        <f>IF(B246="","",IF(OR(BI246="",BI246=0),"",BJ246/BI246))</f>
        <v>0</v>
      </c>
      <c r="BL246" s="17">
        <f>IF(B246="","",IF(SUMPRODUCT(MAX((Sales!$C$5:$C$804=A246)*Sales!$B$5:$B$804))=0,"",SUMPRODUCT(MAX((Sales!$C$5:$C$804=A246)*Sales!$B$5:$B$804))))</f>
        <v>0</v>
      </c>
      <c r="BM246" s="17">
        <f>IF(B246="","",IF(SUMPRODUCT(MAX(('Price History'!$B$5:$B$304=A246)*'Price History'!$A$5:$A$304))=0,IF(P246="","",P246),SUMPRODUCT(MAX(('Price History'!$B$5:$B$304=A246)*'Price History'!$A$5:$A$304))))</f>
        <v>0</v>
      </c>
      <c r="BN246" s="32">
        <f>IF(B246="","",IF(BM246="","",TodayDate-BM246))</f>
        <v>0</v>
      </c>
      <c r="BO246" s="32">
        <f>IF(B246="","",COUNTIFS($AV$5:$AV$304,"&gt;"&amp;AV246)+COUNTIFS($AV$5:AV246,AV246))</f>
        <v>0</v>
      </c>
      <c r="BP246" s="32">
        <f>IF(B246="","",COUNTIFS($AW$5:$AW$304,"&gt;"&amp;AW246)+COUNTIFS($AW$5:AW246,AW246))</f>
        <v>0</v>
      </c>
      <c r="BQ246" s="32">
        <f>IF(B246="","",COUNTIFS($BI$5:$BI$304,"&gt;"&amp;BI246)+COUNTIFS($BI$5:BI246,BI246))</f>
        <v>0</v>
      </c>
      <c r="BR246" s="32">
        <f>IF(B246="","",COUNTIFS($AY$5:$AY$304,"&gt;"&amp;AY246)+COUNTIFS($AY$5:AY246,AY246))</f>
        <v>0</v>
      </c>
      <c r="BS246" s="43">
        <f>IF(B246="","",IF(AH246=0,"Add - no costs entered yet",IF(AR246="","Check - no price yet",IF(AV246&lt;0,"Loss - every sale costs you money",IF(AND(AZ246&lt;&gt;"",AZ246&lt;MinimumWage),"Below - pays under minimum wage",IF(AW246&lt;MarginWarning,"Low margin - re-price it",IF(AND(AF246&lt;&gt;"",K246&lt;&gt;"",K246+AC246&gt;AF246),"Check - too heavy for that postage band",IF(AND(BN246&lt;&gt;"",BN246&gt;PriceReviewDays),"Due - price has not been reviewed",IF(AND(BG246&lt;&gt;"",BG246&gt;0.5),"Check - well above the market","OK")))))))) )</f>
        <v>0</v>
      </c>
    </row>
    <row r="247" spans="1:71">
      <c r="A247" s="38">
        <f>IF(B247="","",ProductPrefix&amp;TEXT(ROW()-4,"0000"))</f>
        <v>0</v>
      </c>
      <c r="S247" s="38">
        <f>IF(B247="","",IF(C247&lt;&gt;"",C247,UPPER(LEFT(IF(D247="","GEN",D247),3))&amp;"-"&amp;TEXT(ROW()-4,"000")))</f>
        <v>0</v>
      </c>
      <c r="T247" s="20">
        <f>IF(B247="","",ROUND(SUMIFS('Material Usage'!$M$5:$M$904,'Material Usage'!$A$5:$A$904,A247)+SUMIFS(Crochet!$AD$5:$AD$84,Crochet!$A$5:$A$84,A247)+SUMIFS(Jewelry!$AF$5:$AF$84,Jewelry!$A$5:$A$84,A247)+SUMIFS(Candles!$AF$5:$AF$84,Candles!$A$5:$A$84,A247)+SUMIFS(Clothing!$AB$5:$AB$84,Clothing!$A$5:$A$84,A247)+SUMIFS(Woodworking!$AC$5:$AC$84,Woodworking!$A$5:$A$84,A247)+SUMIFS(Digital!$X$5:$X$84,Digital!$A$5:$A$84,A247),2))</f>
        <v>0</v>
      </c>
      <c r="U247" s="20">
        <f>IF(B247="","",ROUND(SUMIFS(Labor!$O$5:$O$304,Labor!$A$5:$A$304,A247)+SUMIFS(Crochet!$AG$5:$AG$84,Crochet!$A$5:$A$84,A247)+SUMIFS(Jewelry!$AI$5:$AI$84,Jewelry!$A$5:$A$84,A247)+SUMIFS(Candles!$AI$5:$AI$84,Candles!$A$5:$A$84,A247)+SUMIFS(Clothing!$AE$5:$AE$84,Clothing!$A$5:$A$84,A247)+SUMIFS(Woodworking!$AF$5:$AF$84,Woodworking!$A$5:$A$84,A247)+SUMIFS(Digital!$Z$5:$Z$84,Digital!$A$5:$A$84,A247),2))</f>
        <v>0</v>
      </c>
      <c r="V247" s="36">
        <f>IF(B247="","",ROUND(SUMIFS(Labor!$P$5:$P$304,Labor!$A$5:$A$304,A247)+SUMIFS(Crochet!$AE$5:$AE$84,Crochet!$A$5:$A$84,A247)+SUMIFS(Jewelry!$AG$5:$AG$84,Jewelry!$A$5:$A$84,A247)+SUMIFS(Candles!$AG$5:$AG$84,Candles!$A$5:$A$84,A247)+SUMIFS(Clothing!$AC$5:$AC$84,Clothing!$A$5:$A$84,A247)+SUMIFS(Woodworking!$AD$5:$AD$84,Woodworking!$A$5:$A$84,A247)+SUMIFS(Digital!$Y$5:$Y$84,Digital!$A$5:$A$84,A247),1))</f>
        <v>0</v>
      </c>
      <c r="W247" s="41">
        <f>IF(B247="","",IFERROR(INDEX(DiffTimeFactors,MATCH(G247,DiffNames,0)),1))</f>
        <v>0</v>
      </c>
      <c r="X247" s="36">
        <f>IF(B247="","",ROUND(V247*W247,1))</f>
        <v>0</v>
      </c>
      <c r="Y247" s="41">
        <f>IF(B247="","",ROUND(X247/60,3))</f>
        <v>0</v>
      </c>
      <c r="Z247" s="20">
        <f>IF(B247="","",ROUND(U247*W247,2))</f>
        <v>0</v>
      </c>
      <c r="AA247" s="20">
        <f>IF(B247="","",ROUND(SUMIFS(Labor!$Q$5:$Q$304,Labor!$A$5:$A$304,A247)+SUMIFS(Crochet!$AH$5:$AH$84,Crochet!$A$5:$A$84,A247)+SUMIFS(Jewelry!$AJ$5:$AJ$84,Jewelry!$A$5:$A$84,A247)+SUMIFS(Candles!$AJ$5:$AJ$84,Candles!$A$5:$A$84,A247)+SUMIFS(Clothing!$AF$5:$AF$84,Clothing!$A$5:$A$84,A247)+SUMIFS(Woodworking!$AH$5:$AH$84,Woodworking!$A$5:$A$84,A247)+SUMIFS(Digital!$AA$5:$AA$84,Digital!$A$5:$A$84,A247),2))</f>
        <v>0</v>
      </c>
      <c r="AB247" s="20">
        <f>IF(B247="","",ROUND(IF(I247="Budget",PackBudget,IF(I247="Standard",PackStandard,IF(I247="Gift",PackGift,IF(I247="Premium",PackPremium,DefaultPackaging)))),2))</f>
        <v>0</v>
      </c>
      <c r="AC247" s="36">
        <f>IF(B247="","",IF(I247="Budget",PackWeightBudget,IF(I247="Standard",PackWeightStandard,IF(I247="Gift",PackWeightGift,IF(I247="Premium",PackWeightPremium,0)))))</f>
        <v>0</v>
      </c>
      <c r="AD247" s="20">
        <f>IF(B247="","",IFERROR(INDEX(Shipping!$M$5:$M$64,MATCH(J247,Shipping!$L$5:$L$64,0)),DefaultShipping))</f>
        <v>0</v>
      </c>
      <c r="AE247" s="20">
        <f>IF(B247="","",IFERROR(INDEX(Shipping!$F$5:$F$64,MATCH(J247,Shipping!$L$5:$L$64,0)),0))</f>
        <v>0</v>
      </c>
      <c r="AF247" s="36">
        <f>IF(B247="","",IFERROR(INDEX(Shipping!$C$5:$C$64,MATCH(J247,Shipping!$L$5:$L$64,0)),""))</f>
        <v>0</v>
      </c>
      <c r="AG247" s="20">
        <f>IF(B247="","",ROUND(MAX(0,AD247-AE247),2))</f>
        <v>0</v>
      </c>
      <c r="AH247" s="20">
        <f>IF(B247="","",ROUND(T247+Z247+AA247+AB247+AG247,2))</f>
        <v>0</v>
      </c>
      <c r="AI247" s="33">
        <f>IF(B247="","",IFERROR(INDEX(Channels!$S$5:$S$18,MATCH(IF(H247="",DefaultChannel,H247),Channels!$A$5:$A$18,0)),0))</f>
        <v>0</v>
      </c>
      <c r="AJ247" s="42">
        <f>IF(B247="","",IFERROR(INDEX(Channels!$O$5:$O$18,MATCH(IF(H247="",DefaultChannel,H247),Channels!$A$5:$A$18,0)),"No"))</f>
        <v>0</v>
      </c>
      <c r="AK247" s="20">
        <f>IF(B247="","",ROUND(IFERROR(INDEX(Channels!$T$5:$T$18,MATCH(IF(H247="",DefaultChannel,H247),Channels!$A$5:$A$18,0)),0)+IF(AJ247="Yes",AE247*AI247,0),4))</f>
        <v>0</v>
      </c>
      <c r="AL247" s="33">
        <f>IF(B247="","",IF(OverheadMethod="Share of revenue",IF(RevenueTargetMonth&lt;=0,0,OverheadMonthly/RevenueTargetMonth),0))</f>
        <v>0</v>
      </c>
      <c r="AM247" s="20">
        <f>IF(B247="","",IF(OverheadMethod="Per hour worked",ROUND(OverheadPerHour*Y247,2),IF(OR(OverheadMethod="Per unit made",OverheadMethod="Per order"),OverheadPerUnit,0)))</f>
        <v>0</v>
      </c>
      <c r="AN247" s="33">
        <f>IF(B247="","",IF(N247&lt;&gt;"",N247,TargetRetailMargin))</f>
        <v>0</v>
      </c>
      <c r="AO247" s="41">
        <f>IF(B247="","",1-AN247-AI247-AL247)</f>
        <v>0</v>
      </c>
      <c r="AP247" s="20">
        <f>IF(B247="","",IF(AO247&lt;=0,"",(AH247+AM247+AK247)/AO247))</f>
        <v>0</v>
      </c>
      <c r="AQ247" s="20">
        <f>IF(B247="","",IF(AP247="","Check the settings",ROUND(IF(RoundingRule="None",AP247,IF(RoundingRule="Nearest 0.99",MAX(0.99,CEILING(AP247,1)-0.01),IF(RoundingRule="Nearest 0.95",MAX(0.95,CEILING(AP247,1)-0.05),IF(RoundingRule="Nearest 0.50",CEILING(AP247,0.5),IF(RoundingRule="Nearest 1",CEILING(AP247,1),IF(RoundingRule="Nearest 5",CEILING(AP247,5),IF(RoundingRule="Up to whole 1",CEILING(AP247,1),IF(RoundingRule="Up to whole 5",CEILING(AP247,5),ROUND(AP247,2))))))))),2)))</f>
        <v>0</v>
      </c>
      <c r="AR247" s="20">
        <f>IF(B247="","",IF(M247&lt;&gt;"",M247,IF(ISNUMBER(AQ247),AQ247,"")))</f>
        <v>0</v>
      </c>
      <c r="AS247" s="20">
        <f>IF(B247="","",IF(AR247="","",ROUND(AM247+AR247*AL247,2)))</f>
        <v>0</v>
      </c>
      <c r="AT247" s="20">
        <f>IF(B247="","",IF(AR247="","",ROUND(AH247+AS247,2)))</f>
        <v>0</v>
      </c>
      <c r="AU247" s="20">
        <f>IF(B247="","",IF(AR247="","",ROUND(AR247*AI247+AK247,2)))</f>
        <v>0</v>
      </c>
      <c r="AV247" s="20">
        <f>IF(B247="","",IF(AR247="","",ROUND(AR247-AT247-AU247,2)))</f>
        <v>0</v>
      </c>
      <c r="AW247" s="33">
        <f>IF(B247="","",IF(OR(AR247="",AR247=0),"",AV247/AR247))</f>
        <v>0</v>
      </c>
      <c r="AX247" s="33">
        <f>IF(B247="","",IF(OR(AT247="",AT247=0),"",AV247/AT247))</f>
        <v>0</v>
      </c>
      <c r="AY247" s="20">
        <f>IF(B247="","",IF(OR(Y247="",Y247=0,AV247=""),"",ROUND(AV247/Y247,2)))</f>
        <v>0</v>
      </c>
      <c r="AZ247" s="20">
        <f>IF(B247="","",IF(OR(Y247="",Y247=0,AV247=""),"",ROUND((AV247+Z247)/Y247,2)))</f>
        <v>0</v>
      </c>
      <c r="BA247" s="20">
        <f>IF(B247="","",IF(1-AI247-AL247&lt;=0,"",ROUND((AH247+AM247+AK247)/(1-AI247-AL247),2)))</f>
        <v>0</v>
      </c>
      <c r="BB247" s="20">
        <f>IF(B247="","",IF(AT247="","",ROUND(AT247*2,2)))</f>
        <v>0</v>
      </c>
      <c r="BC247" s="20">
        <f>IF(B247="","",IF(AR247="","",ROUND(AR247*(1-WholesaleDiscount),2)))</f>
        <v>0</v>
      </c>
      <c r="BD247" s="20">
        <f>IF(B247="","",IF(BC247="","",ROUND(BC247-AH247-AM247,2)))</f>
        <v>0</v>
      </c>
      <c r="BE247" s="33">
        <f>IF(B247="","",IF(OR(BC247="",BC247=0),"",BD247/BC247))</f>
        <v>0</v>
      </c>
      <c r="BF247" s="20">
        <f>IF(B247="","",IFERROR(ROUND(AVERAGEIFS(Competitors!$F$5:$F$154,Competitors!$A$5:$A$154,A247),2),""))</f>
        <v>0</v>
      </c>
      <c r="BG247" s="33">
        <f>IF(B247="","",IF(OR(BF247="",BF247=0,AR247=""),"",AR247/BF247-1))</f>
        <v>0</v>
      </c>
      <c r="BH247" s="32">
        <f>IF(B247="","",SUMIFS(Sales!$D$5:$D$804,Sales!$C$5:$C$804,A247))</f>
        <v>0</v>
      </c>
      <c r="BI247" s="20">
        <f>IF(B247="","",ROUND(SUMIFS(Sales!$V$5:$V$804,Sales!$C$5:$C$804,A247),2))</f>
        <v>0</v>
      </c>
      <c r="BJ247" s="20">
        <f>IF(B247="","",ROUND(SUMIFS(Sales!$AG$5:$AG$804,Sales!$C$5:$C$804,A247),2))</f>
        <v>0</v>
      </c>
      <c r="BK247" s="33">
        <f>IF(B247="","",IF(OR(BI247="",BI247=0),"",BJ247/BI247))</f>
        <v>0</v>
      </c>
      <c r="BL247" s="17">
        <f>IF(B247="","",IF(SUMPRODUCT(MAX((Sales!$C$5:$C$804=A247)*Sales!$B$5:$B$804))=0,"",SUMPRODUCT(MAX((Sales!$C$5:$C$804=A247)*Sales!$B$5:$B$804))))</f>
        <v>0</v>
      </c>
      <c r="BM247" s="17">
        <f>IF(B247="","",IF(SUMPRODUCT(MAX(('Price History'!$B$5:$B$304=A247)*'Price History'!$A$5:$A$304))=0,IF(P247="","",P247),SUMPRODUCT(MAX(('Price History'!$B$5:$B$304=A247)*'Price History'!$A$5:$A$304))))</f>
        <v>0</v>
      </c>
      <c r="BN247" s="32">
        <f>IF(B247="","",IF(BM247="","",TodayDate-BM247))</f>
        <v>0</v>
      </c>
      <c r="BO247" s="32">
        <f>IF(B247="","",COUNTIFS($AV$5:$AV$304,"&gt;"&amp;AV247)+COUNTIFS($AV$5:AV247,AV247))</f>
        <v>0</v>
      </c>
      <c r="BP247" s="32">
        <f>IF(B247="","",COUNTIFS($AW$5:$AW$304,"&gt;"&amp;AW247)+COUNTIFS($AW$5:AW247,AW247))</f>
        <v>0</v>
      </c>
      <c r="BQ247" s="32">
        <f>IF(B247="","",COUNTIFS($BI$5:$BI$304,"&gt;"&amp;BI247)+COUNTIFS($BI$5:BI247,BI247))</f>
        <v>0</v>
      </c>
      <c r="BR247" s="32">
        <f>IF(B247="","",COUNTIFS($AY$5:$AY$304,"&gt;"&amp;AY247)+COUNTIFS($AY$5:AY247,AY247))</f>
        <v>0</v>
      </c>
      <c r="BS247" s="43">
        <f>IF(B247="","",IF(AH247=0,"Add - no costs entered yet",IF(AR247="","Check - no price yet",IF(AV247&lt;0,"Loss - every sale costs you money",IF(AND(AZ247&lt;&gt;"",AZ247&lt;MinimumWage),"Below - pays under minimum wage",IF(AW247&lt;MarginWarning,"Low margin - re-price it",IF(AND(AF247&lt;&gt;"",K247&lt;&gt;"",K247+AC247&gt;AF247),"Check - too heavy for that postage band",IF(AND(BN247&lt;&gt;"",BN247&gt;PriceReviewDays),"Due - price has not been reviewed",IF(AND(BG247&lt;&gt;"",BG247&gt;0.5),"Check - well above the market","OK")))))))) )</f>
        <v>0</v>
      </c>
    </row>
    <row r="248" spans="1:71">
      <c r="A248" s="38">
        <f>IF(B248="","",ProductPrefix&amp;TEXT(ROW()-4,"0000"))</f>
        <v>0</v>
      </c>
      <c r="S248" s="38">
        <f>IF(B248="","",IF(C248&lt;&gt;"",C248,UPPER(LEFT(IF(D248="","GEN",D248),3))&amp;"-"&amp;TEXT(ROW()-4,"000")))</f>
        <v>0</v>
      </c>
      <c r="T248" s="20">
        <f>IF(B248="","",ROUND(SUMIFS('Material Usage'!$M$5:$M$904,'Material Usage'!$A$5:$A$904,A248)+SUMIFS(Crochet!$AD$5:$AD$84,Crochet!$A$5:$A$84,A248)+SUMIFS(Jewelry!$AF$5:$AF$84,Jewelry!$A$5:$A$84,A248)+SUMIFS(Candles!$AF$5:$AF$84,Candles!$A$5:$A$84,A248)+SUMIFS(Clothing!$AB$5:$AB$84,Clothing!$A$5:$A$84,A248)+SUMIFS(Woodworking!$AC$5:$AC$84,Woodworking!$A$5:$A$84,A248)+SUMIFS(Digital!$X$5:$X$84,Digital!$A$5:$A$84,A248),2))</f>
        <v>0</v>
      </c>
      <c r="U248" s="20">
        <f>IF(B248="","",ROUND(SUMIFS(Labor!$O$5:$O$304,Labor!$A$5:$A$304,A248)+SUMIFS(Crochet!$AG$5:$AG$84,Crochet!$A$5:$A$84,A248)+SUMIFS(Jewelry!$AI$5:$AI$84,Jewelry!$A$5:$A$84,A248)+SUMIFS(Candles!$AI$5:$AI$84,Candles!$A$5:$A$84,A248)+SUMIFS(Clothing!$AE$5:$AE$84,Clothing!$A$5:$A$84,A248)+SUMIFS(Woodworking!$AF$5:$AF$84,Woodworking!$A$5:$A$84,A248)+SUMIFS(Digital!$Z$5:$Z$84,Digital!$A$5:$A$84,A248),2))</f>
        <v>0</v>
      </c>
      <c r="V248" s="36">
        <f>IF(B248="","",ROUND(SUMIFS(Labor!$P$5:$P$304,Labor!$A$5:$A$304,A248)+SUMIFS(Crochet!$AE$5:$AE$84,Crochet!$A$5:$A$84,A248)+SUMIFS(Jewelry!$AG$5:$AG$84,Jewelry!$A$5:$A$84,A248)+SUMIFS(Candles!$AG$5:$AG$84,Candles!$A$5:$A$84,A248)+SUMIFS(Clothing!$AC$5:$AC$84,Clothing!$A$5:$A$84,A248)+SUMIFS(Woodworking!$AD$5:$AD$84,Woodworking!$A$5:$A$84,A248)+SUMIFS(Digital!$Y$5:$Y$84,Digital!$A$5:$A$84,A248),1))</f>
        <v>0</v>
      </c>
      <c r="W248" s="41">
        <f>IF(B248="","",IFERROR(INDEX(DiffTimeFactors,MATCH(G248,DiffNames,0)),1))</f>
        <v>0</v>
      </c>
      <c r="X248" s="36">
        <f>IF(B248="","",ROUND(V248*W248,1))</f>
        <v>0</v>
      </c>
      <c r="Y248" s="41">
        <f>IF(B248="","",ROUND(X248/60,3))</f>
        <v>0</v>
      </c>
      <c r="Z248" s="20">
        <f>IF(B248="","",ROUND(U248*W248,2))</f>
        <v>0</v>
      </c>
      <c r="AA248" s="20">
        <f>IF(B248="","",ROUND(SUMIFS(Labor!$Q$5:$Q$304,Labor!$A$5:$A$304,A248)+SUMIFS(Crochet!$AH$5:$AH$84,Crochet!$A$5:$A$84,A248)+SUMIFS(Jewelry!$AJ$5:$AJ$84,Jewelry!$A$5:$A$84,A248)+SUMIFS(Candles!$AJ$5:$AJ$84,Candles!$A$5:$A$84,A248)+SUMIFS(Clothing!$AF$5:$AF$84,Clothing!$A$5:$A$84,A248)+SUMIFS(Woodworking!$AH$5:$AH$84,Woodworking!$A$5:$A$84,A248)+SUMIFS(Digital!$AA$5:$AA$84,Digital!$A$5:$A$84,A248),2))</f>
        <v>0</v>
      </c>
      <c r="AB248" s="20">
        <f>IF(B248="","",ROUND(IF(I248="Budget",PackBudget,IF(I248="Standard",PackStandard,IF(I248="Gift",PackGift,IF(I248="Premium",PackPremium,DefaultPackaging)))),2))</f>
        <v>0</v>
      </c>
      <c r="AC248" s="36">
        <f>IF(B248="","",IF(I248="Budget",PackWeightBudget,IF(I248="Standard",PackWeightStandard,IF(I248="Gift",PackWeightGift,IF(I248="Premium",PackWeightPremium,0)))))</f>
        <v>0</v>
      </c>
      <c r="AD248" s="20">
        <f>IF(B248="","",IFERROR(INDEX(Shipping!$M$5:$M$64,MATCH(J248,Shipping!$L$5:$L$64,0)),DefaultShipping))</f>
        <v>0</v>
      </c>
      <c r="AE248" s="20">
        <f>IF(B248="","",IFERROR(INDEX(Shipping!$F$5:$F$64,MATCH(J248,Shipping!$L$5:$L$64,0)),0))</f>
        <v>0</v>
      </c>
      <c r="AF248" s="36">
        <f>IF(B248="","",IFERROR(INDEX(Shipping!$C$5:$C$64,MATCH(J248,Shipping!$L$5:$L$64,0)),""))</f>
        <v>0</v>
      </c>
      <c r="AG248" s="20">
        <f>IF(B248="","",ROUND(MAX(0,AD248-AE248),2))</f>
        <v>0</v>
      </c>
      <c r="AH248" s="20">
        <f>IF(B248="","",ROUND(T248+Z248+AA248+AB248+AG248,2))</f>
        <v>0</v>
      </c>
      <c r="AI248" s="33">
        <f>IF(B248="","",IFERROR(INDEX(Channels!$S$5:$S$18,MATCH(IF(H248="",DefaultChannel,H248),Channels!$A$5:$A$18,0)),0))</f>
        <v>0</v>
      </c>
      <c r="AJ248" s="42">
        <f>IF(B248="","",IFERROR(INDEX(Channels!$O$5:$O$18,MATCH(IF(H248="",DefaultChannel,H248),Channels!$A$5:$A$18,0)),"No"))</f>
        <v>0</v>
      </c>
      <c r="AK248" s="20">
        <f>IF(B248="","",ROUND(IFERROR(INDEX(Channels!$T$5:$T$18,MATCH(IF(H248="",DefaultChannel,H248),Channels!$A$5:$A$18,0)),0)+IF(AJ248="Yes",AE248*AI248,0),4))</f>
        <v>0</v>
      </c>
      <c r="AL248" s="33">
        <f>IF(B248="","",IF(OverheadMethod="Share of revenue",IF(RevenueTargetMonth&lt;=0,0,OverheadMonthly/RevenueTargetMonth),0))</f>
        <v>0</v>
      </c>
      <c r="AM248" s="20">
        <f>IF(B248="","",IF(OverheadMethod="Per hour worked",ROUND(OverheadPerHour*Y248,2),IF(OR(OverheadMethod="Per unit made",OverheadMethod="Per order"),OverheadPerUnit,0)))</f>
        <v>0</v>
      </c>
      <c r="AN248" s="33">
        <f>IF(B248="","",IF(N248&lt;&gt;"",N248,TargetRetailMargin))</f>
        <v>0</v>
      </c>
      <c r="AO248" s="41">
        <f>IF(B248="","",1-AN248-AI248-AL248)</f>
        <v>0</v>
      </c>
      <c r="AP248" s="20">
        <f>IF(B248="","",IF(AO248&lt;=0,"",(AH248+AM248+AK248)/AO248))</f>
        <v>0</v>
      </c>
      <c r="AQ248" s="20">
        <f>IF(B248="","",IF(AP248="","Check the settings",ROUND(IF(RoundingRule="None",AP248,IF(RoundingRule="Nearest 0.99",MAX(0.99,CEILING(AP248,1)-0.01),IF(RoundingRule="Nearest 0.95",MAX(0.95,CEILING(AP248,1)-0.05),IF(RoundingRule="Nearest 0.50",CEILING(AP248,0.5),IF(RoundingRule="Nearest 1",CEILING(AP248,1),IF(RoundingRule="Nearest 5",CEILING(AP248,5),IF(RoundingRule="Up to whole 1",CEILING(AP248,1),IF(RoundingRule="Up to whole 5",CEILING(AP248,5),ROUND(AP248,2))))))))),2)))</f>
        <v>0</v>
      </c>
      <c r="AR248" s="20">
        <f>IF(B248="","",IF(M248&lt;&gt;"",M248,IF(ISNUMBER(AQ248),AQ248,"")))</f>
        <v>0</v>
      </c>
      <c r="AS248" s="20">
        <f>IF(B248="","",IF(AR248="","",ROUND(AM248+AR248*AL248,2)))</f>
        <v>0</v>
      </c>
      <c r="AT248" s="20">
        <f>IF(B248="","",IF(AR248="","",ROUND(AH248+AS248,2)))</f>
        <v>0</v>
      </c>
      <c r="AU248" s="20">
        <f>IF(B248="","",IF(AR248="","",ROUND(AR248*AI248+AK248,2)))</f>
        <v>0</v>
      </c>
      <c r="AV248" s="20">
        <f>IF(B248="","",IF(AR248="","",ROUND(AR248-AT248-AU248,2)))</f>
        <v>0</v>
      </c>
      <c r="AW248" s="33">
        <f>IF(B248="","",IF(OR(AR248="",AR248=0),"",AV248/AR248))</f>
        <v>0</v>
      </c>
      <c r="AX248" s="33">
        <f>IF(B248="","",IF(OR(AT248="",AT248=0),"",AV248/AT248))</f>
        <v>0</v>
      </c>
      <c r="AY248" s="20">
        <f>IF(B248="","",IF(OR(Y248="",Y248=0,AV248=""),"",ROUND(AV248/Y248,2)))</f>
        <v>0</v>
      </c>
      <c r="AZ248" s="20">
        <f>IF(B248="","",IF(OR(Y248="",Y248=0,AV248=""),"",ROUND((AV248+Z248)/Y248,2)))</f>
        <v>0</v>
      </c>
      <c r="BA248" s="20">
        <f>IF(B248="","",IF(1-AI248-AL248&lt;=0,"",ROUND((AH248+AM248+AK248)/(1-AI248-AL248),2)))</f>
        <v>0</v>
      </c>
      <c r="BB248" s="20">
        <f>IF(B248="","",IF(AT248="","",ROUND(AT248*2,2)))</f>
        <v>0</v>
      </c>
      <c r="BC248" s="20">
        <f>IF(B248="","",IF(AR248="","",ROUND(AR248*(1-WholesaleDiscount),2)))</f>
        <v>0</v>
      </c>
      <c r="BD248" s="20">
        <f>IF(B248="","",IF(BC248="","",ROUND(BC248-AH248-AM248,2)))</f>
        <v>0</v>
      </c>
      <c r="BE248" s="33">
        <f>IF(B248="","",IF(OR(BC248="",BC248=0),"",BD248/BC248))</f>
        <v>0</v>
      </c>
      <c r="BF248" s="20">
        <f>IF(B248="","",IFERROR(ROUND(AVERAGEIFS(Competitors!$F$5:$F$154,Competitors!$A$5:$A$154,A248),2),""))</f>
        <v>0</v>
      </c>
      <c r="BG248" s="33">
        <f>IF(B248="","",IF(OR(BF248="",BF248=0,AR248=""),"",AR248/BF248-1))</f>
        <v>0</v>
      </c>
      <c r="BH248" s="32">
        <f>IF(B248="","",SUMIFS(Sales!$D$5:$D$804,Sales!$C$5:$C$804,A248))</f>
        <v>0</v>
      </c>
      <c r="BI248" s="20">
        <f>IF(B248="","",ROUND(SUMIFS(Sales!$V$5:$V$804,Sales!$C$5:$C$804,A248),2))</f>
        <v>0</v>
      </c>
      <c r="BJ248" s="20">
        <f>IF(B248="","",ROUND(SUMIFS(Sales!$AG$5:$AG$804,Sales!$C$5:$C$804,A248),2))</f>
        <v>0</v>
      </c>
      <c r="BK248" s="33">
        <f>IF(B248="","",IF(OR(BI248="",BI248=0),"",BJ248/BI248))</f>
        <v>0</v>
      </c>
      <c r="BL248" s="17">
        <f>IF(B248="","",IF(SUMPRODUCT(MAX((Sales!$C$5:$C$804=A248)*Sales!$B$5:$B$804))=0,"",SUMPRODUCT(MAX((Sales!$C$5:$C$804=A248)*Sales!$B$5:$B$804))))</f>
        <v>0</v>
      </c>
      <c r="BM248" s="17">
        <f>IF(B248="","",IF(SUMPRODUCT(MAX(('Price History'!$B$5:$B$304=A248)*'Price History'!$A$5:$A$304))=0,IF(P248="","",P248),SUMPRODUCT(MAX(('Price History'!$B$5:$B$304=A248)*'Price History'!$A$5:$A$304))))</f>
        <v>0</v>
      </c>
      <c r="BN248" s="32">
        <f>IF(B248="","",IF(BM248="","",TodayDate-BM248))</f>
        <v>0</v>
      </c>
      <c r="BO248" s="32">
        <f>IF(B248="","",COUNTIFS($AV$5:$AV$304,"&gt;"&amp;AV248)+COUNTIFS($AV$5:AV248,AV248))</f>
        <v>0</v>
      </c>
      <c r="BP248" s="32">
        <f>IF(B248="","",COUNTIFS($AW$5:$AW$304,"&gt;"&amp;AW248)+COUNTIFS($AW$5:AW248,AW248))</f>
        <v>0</v>
      </c>
      <c r="BQ248" s="32">
        <f>IF(B248="","",COUNTIFS($BI$5:$BI$304,"&gt;"&amp;BI248)+COUNTIFS($BI$5:BI248,BI248))</f>
        <v>0</v>
      </c>
      <c r="BR248" s="32">
        <f>IF(B248="","",COUNTIFS($AY$5:$AY$304,"&gt;"&amp;AY248)+COUNTIFS($AY$5:AY248,AY248))</f>
        <v>0</v>
      </c>
      <c r="BS248" s="43">
        <f>IF(B248="","",IF(AH248=0,"Add - no costs entered yet",IF(AR248="","Check - no price yet",IF(AV248&lt;0,"Loss - every sale costs you money",IF(AND(AZ248&lt;&gt;"",AZ248&lt;MinimumWage),"Below - pays under minimum wage",IF(AW248&lt;MarginWarning,"Low margin - re-price it",IF(AND(AF248&lt;&gt;"",K248&lt;&gt;"",K248+AC248&gt;AF248),"Check - too heavy for that postage band",IF(AND(BN248&lt;&gt;"",BN248&gt;PriceReviewDays),"Due - price has not been reviewed",IF(AND(BG248&lt;&gt;"",BG248&gt;0.5),"Check - well above the market","OK")))))))) )</f>
        <v>0</v>
      </c>
    </row>
    <row r="249" spans="1:71">
      <c r="A249" s="38">
        <f>IF(B249="","",ProductPrefix&amp;TEXT(ROW()-4,"0000"))</f>
        <v>0</v>
      </c>
      <c r="S249" s="38">
        <f>IF(B249="","",IF(C249&lt;&gt;"",C249,UPPER(LEFT(IF(D249="","GEN",D249),3))&amp;"-"&amp;TEXT(ROW()-4,"000")))</f>
        <v>0</v>
      </c>
      <c r="T249" s="20">
        <f>IF(B249="","",ROUND(SUMIFS('Material Usage'!$M$5:$M$904,'Material Usage'!$A$5:$A$904,A249)+SUMIFS(Crochet!$AD$5:$AD$84,Crochet!$A$5:$A$84,A249)+SUMIFS(Jewelry!$AF$5:$AF$84,Jewelry!$A$5:$A$84,A249)+SUMIFS(Candles!$AF$5:$AF$84,Candles!$A$5:$A$84,A249)+SUMIFS(Clothing!$AB$5:$AB$84,Clothing!$A$5:$A$84,A249)+SUMIFS(Woodworking!$AC$5:$AC$84,Woodworking!$A$5:$A$84,A249)+SUMIFS(Digital!$X$5:$X$84,Digital!$A$5:$A$84,A249),2))</f>
        <v>0</v>
      </c>
      <c r="U249" s="20">
        <f>IF(B249="","",ROUND(SUMIFS(Labor!$O$5:$O$304,Labor!$A$5:$A$304,A249)+SUMIFS(Crochet!$AG$5:$AG$84,Crochet!$A$5:$A$84,A249)+SUMIFS(Jewelry!$AI$5:$AI$84,Jewelry!$A$5:$A$84,A249)+SUMIFS(Candles!$AI$5:$AI$84,Candles!$A$5:$A$84,A249)+SUMIFS(Clothing!$AE$5:$AE$84,Clothing!$A$5:$A$84,A249)+SUMIFS(Woodworking!$AF$5:$AF$84,Woodworking!$A$5:$A$84,A249)+SUMIFS(Digital!$Z$5:$Z$84,Digital!$A$5:$A$84,A249),2))</f>
        <v>0</v>
      </c>
      <c r="V249" s="36">
        <f>IF(B249="","",ROUND(SUMIFS(Labor!$P$5:$P$304,Labor!$A$5:$A$304,A249)+SUMIFS(Crochet!$AE$5:$AE$84,Crochet!$A$5:$A$84,A249)+SUMIFS(Jewelry!$AG$5:$AG$84,Jewelry!$A$5:$A$84,A249)+SUMIFS(Candles!$AG$5:$AG$84,Candles!$A$5:$A$84,A249)+SUMIFS(Clothing!$AC$5:$AC$84,Clothing!$A$5:$A$84,A249)+SUMIFS(Woodworking!$AD$5:$AD$84,Woodworking!$A$5:$A$84,A249)+SUMIFS(Digital!$Y$5:$Y$84,Digital!$A$5:$A$84,A249),1))</f>
        <v>0</v>
      </c>
      <c r="W249" s="41">
        <f>IF(B249="","",IFERROR(INDEX(DiffTimeFactors,MATCH(G249,DiffNames,0)),1))</f>
        <v>0</v>
      </c>
      <c r="X249" s="36">
        <f>IF(B249="","",ROUND(V249*W249,1))</f>
        <v>0</v>
      </c>
      <c r="Y249" s="41">
        <f>IF(B249="","",ROUND(X249/60,3))</f>
        <v>0</v>
      </c>
      <c r="Z249" s="20">
        <f>IF(B249="","",ROUND(U249*W249,2))</f>
        <v>0</v>
      </c>
      <c r="AA249" s="20">
        <f>IF(B249="","",ROUND(SUMIFS(Labor!$Q$5:$Q$304,Labor!$A$5:$A$304,A249)+SUMIFS(Crochet!$AH$5:$AH$84,Crochet!$A$5:$A$84,A249)+SUMIFS(Jewelry!$AJ$5:$AJ$84,Jewelry!$A$5:$A$84,A249)+SUMIFS(Candles!$AJ$5:$AJ$84,Candles!$A$5:$A$84,A249)+SUMIFS(Clothing!$AF$5:$AF$84,Clothing!$A$5:$A$84,A249)+SUMIFS(Woodworking!$AH$5:$AH$84,Woodworking!$A$5:$A$84,A249)+SUMIFS(Digital!$AA$5:$AA$84,Digital!$A$5:$A$84,A249),2))</f>
        <v>0</v>
      </c>
      <c r="AB249" s="20">
        <f>IF(B249="","",ROUND(IF(I249="Budget",PackBudget,IF(I249="Standard",PackStandard,IF(I249="Gift",PackGift,IF(I249="Premium",PackPremium,DefaultPackaging)))),2))</f>
        <v>0</v>
      </c>
      <c r="AC249" s="36">
        <f>IF(B249="","",IF(I249="Budget",PackWeightBudget,IF(I249="Standard",PackWeightStandard,IF(I249="Gift",PackWeightGift,IF(I249="Premium",PackWeightPremium,0)))))</f>
        <v>0</v>
      </c>
      <c r="AD249" s="20">
        <f>IF(B249="","",IFERROR(INDEX(Shipping!$M$5:$M$64,MATCH(J249,Shipping!$L$5:$L$64,0)),DefaultShipping))</f>
        <v>0</v>
      </c>
      <c r="AE249" s="20">
        <f>IF(B249="","",IFERROR(INDEX(Shipping!$F$5:$F$64,MATCH(J249,Shipping!$L$5:$L$64,0)),0))</f>
        <v>0</v>
      </c>
      <c r="AF249" s="36">
        <f>IF(B249="","",IFERROR(INDEX(Shipping!$C$5:$C$64,MATCH(J249,Shipping!$L$5:$L$64,0)),""))</f>
        <v>0</v>
      </c>
      <c r="AG249" s="20">
        <f>IF(B249="","",ROUND(MAX(0,AD249-AE249),2))</f>
        <v>0</v>
      </c>
      <c r="AH249" s="20">
        <f>IF(B249="","",ROUND(T249+Z249+AA249+AB249+AG249,2))</f>
        <v>0</v>
      </c>
      <c r="AI249" s="33">
        <f>IF(B249="","",IFERROR(INDEX(Channels!$S$5:$S$18,MATCH(IF(H249="",DefaultChannel,H249),Channels!$A$5:$A$18,0)),0))</f>
        <v>0</v>
      </c>
      <c r="AJ249" s="42">
        <f>IF(B249="","",IFERROR(INDEX(Channels!$O$5:$O$18,MATCH(IF(H249="",DefaultChannel,H249),Channels!$A$5:$A$18,0)),"No"))</f>
        <v>0</v>
      </c>
      <c r="AK249" s="20">
        <f>IF(B249="","",ROUND(IFERROR(INDEX(Channels!$T$5:$T$18,MATCH(IF(H249="",DefaultChannel,H249),Channels!$A$5:$A$18,0)),0)+IF(AJ249="Yes",AE249*AI249,0),4))</f>
        <v>0</v>
      </c>
      <c r="AL249" s="33">
        <f>IF(B249="","",IF(OverheadMethod="Share of revenue",IF(RevenueTargetMonth&lt;=0,0,OverheadMonthly/RevenueTargetMonth),0))</f>
        <v>0</v>
      </c>
      <c r="AM249" s="20">
        <f>IF(B249="","",IF(OverheadMethod="Per hour worked",ROUND(OverheadPerHour*Y249,2),IF(OR(OverheadMethod="Per unit made",OverheadMethod="Per order"),OverheadPerUnit,0)))</f>
        <v>0</v>
      </c>
      <c r="AN249" s="33">
        <f>IF(B249="","",IF(N249&lt;&gt;"",N249,TargetRetailMargin))</f>
        <v>0</v>
      </c>
      <c r="AO249" s="41">
        <f>IF(B249="","",1-AN249-AI249-AL249)</f>
        <v>0</v>
      </c>
      <c r="AP249" s="20">
        <f>IF(B249="","",IF(AO249&lt;=0,"",(AH249+AM249+AK249)/AO249))</f>
        <v>0</v>
      </c>
      <c r="AQ249" s="20">
        <f>IF(B249="","",IF(AP249="","Check the settings",ROUND(IF(RoundingRule="None",AP249,IF(RoundingRule="Nearest 0.99",MAX(0.99,CEILING(AP249,1)-0.01),IF(RoundingRule="Nearest 0.95",MAX(0.95,CEILING(AP249,1)-0.05),IF(RoundingRule="Nearest 0.50",CEILING(AP249,0.5),IF(RoundingRule="Nearest 1",CEILING(AP249,1),IF(RoundingRule="Nearest 5",CEILING(AP249,5),IF(RoundingRule="Up to whole 1",CEILING(AP249,1),IF(RoundingRule="Up to whole 5",CEILING(AP249,5),ROUND(AP249,2))))))))),2)))</f>
        <v>0</v>
      </c>
      <c r="AR249" s="20">
        <f>IF(B249="","",IF(M249&lt;&gt;"",M249,IF(ISNUMBER(AQ249),AQ249,"")))</f>
        <v>0</v>
      </c>
      <c r="AS249" s="20">
        <f>IF(B249="","",IF(AR249="","",ROUND(AM249+AR249*AL249,2)))</f>
        <v>0</v>
      </c>
      <c r="AT249" s="20">
        <f>IF(B249="","",IF(AR249="","",ROUND(AH249+AS249,2)))</f>
        <v>0</v>
      </c>
      <c r="AU249" s="20">
        <f>IF(B249="","",IF(AR249="","",ROUND(AR249*AI249+AK249,2)))</f>
        <v>0</v>
      </c>
      <c r="AV249" s="20">
        <f>IF(B249="","",IF(AR249="","",ROUND(AR249-AT249-AU249,2)))</f>
        <v>0</v>
      </c>
      <c r="AW249" s="33">
        <f>IF(B249="","",IF(OR(AR249="",AR249=0),"",AV249/AR249))</f>
        <v>0</v>
      </c>
      <c r="AX249" s="33">
        <f>IF(B249="","",IF(OR(AT249="",AT249=0),"",AV249/AT249))</f>
        <v>0</v>
      </c>
      <c r="AY249" s="20">
        <f>IF(B249="","",IF(OR(Y249="",Y249=0,AV249=""),"",ROUND(AV249/Y249,2)))</f>
        <v>0</v>
      </c>
      <c r="AZ249" s="20">
        <f>IF(B249="","",IF(OR(Y249="",Y249=0,AV249=""),"",ROUND((AV249+Z249)/Y249,2)))</f>
        <v>0</v>
      </c>
      <c r="BA249" s="20">
        <f>IF(B249="","",IF(1-AI249-AL249&lt;=0,"",ROUND((AH249+AM249+AK249)/(1-AI249-AL249),2)))</f>
        <v>0</v>
      </c>
      <c r="BB249" s="20">
        <f>IF(B249="","",IF(AT249="","",ROUND(AT249*2,2)))</f>
        <v>0</v>
      </c>
      <c r="BC249" s="20">
        <f>IF(B249="","",IF(AR249="","",ROUND(AR249*(1-WholesaleDiscount),2)))</f>
        <v>0</v>
      </c>
      <c r="BD249" s="20">
        <f>IF(B249="","",IF(BC249="","",ROUND(BC249-AH249-AM249,2)))</f>
        <v>0</v>
      </c>
      <c r="BE249" s="33">
        <f>IF(B249="","",IF(OR(BC249="",BC249=0),"",BD249/BC249))</f>
        <v>0</v>
      </c>
      <c r="BF249" s="20">
        <f>IF(B249="","",IFERROR(ROUND(AVERAGEIFS(Competitors!$F$5:$F$154,Competitors!$A$5:$A$154,A249),2),""))</f>
        <v>0</v>
      </c>
      <c r="BG249" s="33">
        <f>IF(B249="","",IF(OR(BF249="",BF249=0,AR249=""),"",AR249/BF249-1))</f>
        <v>0</v>
      </c>
      <c r="BH249" s="32">
        <f>IF(B249="","",SUMIFS(Sales!$D$5:$D$804,Sales!$C$5:$C$804,A249))</f>
        <v>0</v>
      </c>
      <c r="BI249" s="20">
        <f>IF(B249="","",ROUND(SUMIFS(Sales!$V$5:$V$804,Sales!$C$5:$C$804,A249),2))</f>
        <v>0</v>
      </c>
      <c r="BJ249" s="20">
        <f>IF(B249="","",ROUND(SUMIFS(Sales!$AG$5:$AG$804,Sales!$C$5:$C$804,A249),2))</f>
        <v>0</v>
      </c>
      <c r="BK249" s="33">
        <f>IF(B249="","",IF(OR(BI249="",BI249=0),"",BJ249/BI249))</f>
        <v>0</v>
      </c>
      <c r="BL249" s="17">
        <f>IF(B249="","",IF(SUMPRODUCT(MAX((Sales!$C$5:$C$804=A249)*Sales!$B$5:$B$804))=0,"",SUMPRODUCT(MAX((Sales!$C$5:$C$804=A249)*Sales!$B$5:$B$804))))</f>
        <v>0</v>
      </c>
      <c r="BM249" s="17">
        <f>IF(B249="","",IF(SUMPRODUCT(MAX(('Price History'!$B$5:$B$304=A249)*'Price History'!$A$5:$A$304))=0,IF(P249="","",P249),SUMPRODUCT(MAX(('Price History'!$B$5:$B$304=A249)*'Price History'!$A$5:$A$304))))</f>
        <v>0</v>
      </c>
      <c r="BN249" s="32">
        <f>IF(B249="","",IF(BM249="","",TodayDate-BM249))</f>
        <v>0</v>
      </c>
      <c r="BO249" s="32">
        <f>IF(B249="","",COUNTIFS($AV$5:$AV$304,"&gt;"&amp;AV249)+COUNTIFS($AV$5:AV249,AV249))</f>
        <v>0</v>
      </c>
      <c r="BP249" s="32">
        <f>IF(B249="","",COUNTIFS($AW$5:$AW$304,"&gt;"&amp;AW249)+COUNTIFS($AW$5:AW249,AW249))</f>
        <v>0</v>
      </c>
      <c r="BQ249" s="32">
        <f>IF(B249="","",COUNTIFS($BI$5:$BI$304,"&gt;"&amp;BI249)+COUNTIFS($BI$5:BI249,BI249))</f>
        <v>0</v>
      </c>
      <c r="BR249" s="32">
        <f>IF(B249="","",COUNTIFS($AY$5:$AY$304,"&gt;"&amp;AY249)+COUNTIFS($AY$5:AY249,AY249))</f>
        <v>0</v>
      </c>
      <c r="BS249" s="43">
        <f>IF(B249="","",IF(AH249=0,"Add - no costs entered yet",IF(AR249="","Check - no price yet",IF(AV249&lt;0,"Loss - every sale costs you money",IF(AND(AZ249&lt;&gt;"",AZ249&lt;MinimumWage),"Below - pays under minimum wage",IF(AW249&lt;MarginWarning,"Low margin - re-price it",IF(AND(AF249&lt;&gt;"",K249&lt;&gt;"",K249+AC249&gt;AF249),"Check - too heavy for that postage band",IF(AND(BN249&lt;&gt;"",BN249&gt;PriceReviewDays),"Due - price has not been reviewed",IF(AND(BG249&lt;&gt;"",BG249&gt;0.5),"Check - well above the market","OK")))))))) )</f>
        <v>0</v>
      </c>
    </row>
    <row r="250" spans="1:71">
      <c r="A250" s="38">
        <f>IF(B250="","",ProductPrefix&amp;TEXT(ROW()-4,"0000"))</f>
        <v>0</v>
      </c>
      <c r="S250" s="38">
        <f>IF(B250="","",IF(C250&lt;&gt;"",C250,UPPER(LEFT(IF(D250="","GEN",D250),3))&amp;"-"&amp;TEXT(ROW()-4,"000")))</f>
        <v>0</v>
      </c>
      <c r="T250" s="20">
        <f>IF(B250="","",ROUND(SUMIFS('Material Usage'!$M$5:$M$904,'Material Usage'!$A$5:$A$904,A250)+SUMIFS(Crochet!$AD$5:$AD$84,Crochet!$A$5:$A$84,A250)+SUMIFS(Jewelry!$AF$5:$AF$84,Jewelry!$A$5:$A$84,A250)+SUMIFS(Candles!$AF$5:$AF$84,Candles!$A$5:$A$84,A250)+SUMIFS(Clothing!$AB$5:$AB$84,Clothing!$A$5:$A$84,A250)+SUMIFS(Woodworking!$AC$5:$AC$84,Woodworking!$A$5:$A$84,A250)+SUMIFS(Digital!$X$5:$X$84,Digital!$A$5:$A$84,A250),2))</f>
        <v>0</v>
      </c>
      <c r="U250" s="20">
        <f>IF(B250="","",ROUND(SUMIFS(Labor!$O$5:$O$304,Labor!$A$5:$A$304,A250)+SUMIFS(Crochet!$AG$5:$AG$84,Crochet!$A$5:$A$84,A250)+SUMIFS(Jewelry!$AI$5:$AI$84,Jewelry!$A$5:$A$84,A250)+SUMIFS(Candles!$AI$5:$AI$84,Candles!$A$5:$A$84,A250)+SUMIFS(Clothing!$AE$5:$AE$84,Clothing!$A$5:$A$84,A250)+SUMIFS(Woodworking!$AF$5:$AF$84,Woodworking!$A$5:$A$84,A250)+SUMIFS(Digital!$Z$5:$Z$84,Digital!$A$5:$A$84,A250),2))</f>
        <v>0</v>
      </c>
      <c r="V250" s="36">
        <f>IF(B250="","",ROUND(SUMIFS(Labor!$P$5:$P$304,Labor!$A$5:$A$304,A250)+SUMIFS(Crochet!$AE$5:$AE$84,Crochet!$A$5:$A$84,A250)+SUMIFS(Jewelry!$AG$5:$AG$84,Jewelry!$A$5:$A$84,A250)+SUMIFS(Candles!$AG$5:$AG$84,Candles!$A$5:$A$84,A250)+SUMIFS(Clothing!$AC$5:$AC$84,Clothing!$A$5:$A$84,A250)+SUMIFS(Woodworking!$AD$5:$AD$84,Woodworking!$A$5:$A$84,A250)+SUMIFS(Digital!$Y$5:$Y$84,Digital!$A$5:$A$84,A250),1))</f>
        <v>0</v>
      </c>
      <c r="W250" s="41">
        <f>IF(B250="","",IFERROR(INDEX(DiffTimeFactors,MATCH(G250,DiffNames,0)),1))</f>
        <v>0</v>
      </c>
      <c r="X250" s="36">
        <f>IF(B250="","",ROUND(V250*W250,1))</f>
        <v>0</v>
      </c>
      <c r="Y250" s="41">
        <f>IF(B250="","",ROUND(X250/60,3))</f>
        <v>0</v>
      </c>
      <c r="Z250" s="20">
        <f>IF(B250="","",ROUND(U250*W250,2))</f>
        <v>0</v>
      </c>
      <c r="AA250" s="20">
        <f>IF(B250="","",ROUND(SUMIFS(Labor!$Q$5:$Q$304,Labor!$A$5:$A$304,A250)+SUMIFS(Crochet!$AH$5:$AH$84,Crochet!$A$5:$A$84,A250)+SUMIFS(Jewelry!$AJ$5:$AJ$84,Jewelry!$A$5:$A$84,A250)+SUMIFS(Candles!$AJ$5:$AJ$84,Candles!$A$5:$A$84,A250)+SUMIFS(Clothing!$AF$5:$AF$84,Clothing!$A$5:$A$84,A250)+SUMIFS(Woodworking!$AH$5:$AH$84,Woodworking!$A$5:$A$84,A250)+SUMIFS(Digital!$AA$5:$AA$84,Digital!$A$5:$A$84,A250),2))</f>
        <v>0</v>
      </c>
      <c r="AB250" s="20">
        <f>IF(B250="","",ROUND(IF(I250="Budget",PackBudget,IF(I250="Standard",PackStandard,IF(I250="Gift",PackGift,IF(I250="Premium",PackPremium,DefaultPackaging)))),2))</f>
        <v>0</v>
      </c>
      <c r="AC250" s="36">
        <f>IF(B250="","",IF(I250="Budget",PackWeightBudget,IF(I250="Standard",PackWeightStandard,IF(I250="Gift",PackWeightGift,IF(I250="Premium",PackWeightPremium,0)))))</f>
        <v>0</v>
      </c>
      <c r="AD250" s="20">
        <f>IF(B250="","",IFERROR(INDEX(Shipping!$M$5:$M$64,MATCH(J250,Shipping!$L$5:$L$64,0)),DefaultShipping))</f>
        <v>0</v>
      </c>
      <c r="AE250" s="20">
        <f>IF(B250="","",IFERROR(INDEX(Shipping!$F$5:$F$64,MATCH(J250,Shipping!$L$5:$L$64,0)),0))</f>
        <v>0</v>
      </c>
      <c r="AF250" s="36">
        <f>IF(B250="","",IFERROR(INDEX(Shipping!$C$5:$C$64,MATCH(J250,Shipping!$L$5:$L$64,0)),""))</f>
        <v>0</v>
      </c>
      <c r="AG250" s="20">
        <f>IF(B250="","",ROUND(MAX(0,AD250-AE250),2))</f>
        <v>0</v>
      </c>
      <c r="AH250" s="20">
        <f>IF(B250="","",ROUND(T250+Z250+AA250+AB250+AG250,2))</f>
        <v>0</v>
      </c>
      <c r="AI250" s="33">
        <f>IF(B250="","",IFERROR(INDEX(Channels!$S$5:$S$18,MATCH(IF(H250="",DefaultChannel,H250),Channels!$A$5:$A$18,0)),0))</f>
        <v>0</v>
      </c>
      <c r="AJ250" s="42">
        <f>IF(B250="","",IFERROR(INDEX(Channels!$O$5:$O$18,MATCH(IF(H250="",DefaultChannel,H250),Channels!$A$5:$A$18,0)),"No"))</f>
        <v>0</v>
      </c>
      <c r="AK250" s="20">
        <f>IF(B250="","",ROUND(IFERROR(INDEX(Channels!$T$5:$T$18,MATCH(IF(H250="",DefaultChannel,H250),Channels!$A$5:$A$18,0)),0)+IF(AJ250="Yes",AE250*AI250,0),4))</f>
        <v>0</v>
      </c>
      <c r="AL250" s="33">
        <f>IF(B250="","",IF(OverheadMethod="Share of revenue",IF(RevenueTargetMonth&lt;=0,0,OverheadMonthly/RevenueTargetMonth),0))</f>
        <v>0</v>
      </c>
      <c r="AM250" s="20">
        <f>IF(B250="","",IF(OverheadMethod="Per hour worked",ROUND(OverheadPerHour*Y250,2),IF(OR(OverheadMethod="Per unit made",OverheadMethod="Per order"),OverheadPerUnit,0)))</f>
        <v>0</v>
      </c>
      <c r="AN250" s="33">
        <f>IF(B250="","",IF(N250&lt;&gt;"",N250,TargetRetailMargin))</f>
        <v>0</v>
      </c>
      <c r="AO250" s="41">
        <f>IF(B250="","",1-AN250-AI250-AL250)</f>
        <v>0</v>
      </c>
      <c r="AP250" s="20">
        <f>IF(B250="","",IF(AO250&lt;=0,"",(AH250+AM250+AK250)/AO250))</f>
        <v>0</v>
      </c>
      <c r="AQ250" s="20">
        <f>IF(B250="","",IF(AP250="","Check the settings",ROUND(IF(RoundingRule="None",AP250,IF(RoundingRule="Nearest 0.99",MAX(0.99,CEILING(AP250,1)-0.01),IF(RoundingRule="Nearest 0.95",MAX(0.95,CEILING(AP250,1)-0.05),IF(RoundingRule="Nearest 0.50",CEILING(AP250,0.5),IF(RoundingRule="Nearest 1",CEILING(AP250,1),IF(RoundingRule="Nearest 5",CEILING(AP250,5),IF(RoundingRule="Up to whole 1",CEILING(AP250,1),IF(RoundingRule="Up to whole 5",CEILING(AP250,5),ROUND(AP250,2))))))))),2)))</f>
        <v>0</v>
      </c>
      <c r="AR250" s="20">
        <f>IF(B250="","",IF(M250&lt;&gt;"",M250,IF(ISNUMBER(AQ250),AQ250,"")))</f>
        <v>0</v>
      </c>
      <c r="AS250" s="20">
        <f>IF(B250="","",IF(AR250="","",ROUND(AM250+AR250*AL250,2)))</f>
        <v>0</v>
      </c>
      <c r="AT250" s="20">
        <f>IF(B250="","",IF(AR250="","",ROUND(AH250+AS250,2)))</f>
        <v>0</v>
      </c>
      <c r="AU250" s="20">
        <f>IF(B250="","",IF(AR250="","",ROUND(AR250*AI250+AK250,2)))</f>
        <v>0</v>
      </c>
      <c r="AV250" s="20">
        <f>IF(B250="","",IF(AR250="","",ROUND(AR250-AT250-AU250,2)))</f>
        <v>0</v>
      </c>
      <c r="AW250" s="33">
        <f>IF(B250="","",IF(OR(AR250="",AR250=0),"",AV250/AR250))</f>
        <v>0</v>
      </c>
      <c r="AX250" s="33">
        <f>IF(B250="","",IF(OR(AT250="",AT250=0),"",AV250/AT250))</f>
        <v>0</v>
      </c>
      <c r="AY250" s="20">
        <f>IF(B250="","",IF(OR(Y250="",Y250=0,AV250=""),"",ROUND(AV250/Y250,2)))</f>
        <v>0</v>
      </c>
      <c r="AZ250" s="20">
        <f>IF(B250="","",IF(OR(Y250="",Y250=0,AV250=""),"",ROUND((AV250+Z250)/Y250,2)))</f>
        <v>0</v>
      </c>
      <c r="BA250" s="20">
        <f>IF(B250="","",IF(1-AI250-AL250&lt;=0,"",ROUND((AH250+AM250+AK250)/(1-AI250-AL250),2)))</f>
        <v>0</v>
      </c>
      <c r="BB250" s="20">
        <f>IF(B250="","",IF(AT250="","",ROUND(AT250*2,2)))</f>
        <v>0</v>
      </c>
      <c r="BC250" s="20">
        <f>IF(B250="","",IF(AR250="","",ROUND(AR250*(1-WholesaleDiscount),2)))</f>
        <v>0</v>
      </c>
      <c r="BD250" s="20">
        <f>IF(B250="","",IF(BC250="","",ROUND(BC250-AH250-AM250,2)))</f>
        <v>0</v>
      </c>
      <c r="BE250" s="33">
        <f>IF(B250="","",IF(OR(BC250="",BC250=0),"",BD250/BC250))</f>
        <v>0</v>
      </c>
      <c r="BF250" s="20">
        <f>IF(B250="","",IFERROR(ROUND(AVERAGEIFS(Competitors!$F$5:$F$154,Competitors!$A$5:$A$154,A250),2),""))</f>
        <v>0</v>
      </c>
      <c r="BG250" s="33">
        <f>IF(B250="","",IF(OR(BF250="",BF250=0,AR250=""),"",AR250/BF250-1))</f>
        <v>0</v>
      </c>
      <c r="BH250" s="32">
        <f>IF(B250="","",SUMIFS(Sales!$D$5:$D$804,Sales!$C$5:$C$804,A250))</f>
        <v>0</v>
      </c>
      <c r="BI250" s="20">
        <f>IF(B250="","",ROUND(SUMIFS(Sales!$V$5:$V$804,Sales!$C$5:$C$804,A250),2))</f>
        <v>0</v>
      </c>
      <c r="BJ250" s="20">
        <f>IF(B250="","",ROUND(SUMIFS(Sales!$AG$5:$AG$804,Sales!$C$5:$C$804,A250),2))</f>
        <v>0</v>
      </c>
      <c r="BK250" s="33">
        <f>IF(B250="","",IF(OR(BI250="",BI250=0),"",BJ250/BI250))</f>
        <v>0</v>
      </c>
      <c r="BL250" s="17">
        <f>IF(B250="","",IF(SUMPRODUCT(MAX((Sales!$C$5:$C$804=A250)*Sales!$B$5:$B$804))=0,"",SUMPRODUCT(MAX((Sales!$C$5:$C$804=A250)*Sales!$B$5:$B$804))))</f>
        <v>0</v>
      </c>
      <c r="BM250" s="17">
        <f>IF(B250="","",IF(SUMPRODUCT(MAX(('Price History'!$B$5:$B$304=A250)*'Price History'!$A$5:$A$304))=0,IF(P250="","",P250),SUMPRODUCT(MAX(('Price History'!$B$5:$B$304=A250)*'Price History'!$A$5:$A$304))))</f>
        <v>0</v>
      </c>
      <c r="BN250" s="32">
        <f>IF(B250="","",IF(BM250="","",TodayDate-BM250))</f>
        <v>0</v>
      </c>
      <c r="BO250" s="32">
        <f>IF(B250="","",COUNTIFS($AV$5:$AV$304,"&gt;"&amp;AV250)+COUNTIFS($AV$5:AV250,AV250))</f>
        <v>0</v>
      </c>
      <c r="BP250" s="32">
        <f>IF(B250="","",COUNTIFS($AW$5:$AW$304,"&gt;"&amp;AW250)+COUNTIFS($AW$5:AW250,AW250))</f>
        <v>0</v>
      </c>
      <c r="BQ250" s="32">
        <f>IF(B250="","",COUNTIFS($BI$5:$BI$304,"&gt;"&amp;BI250)+COUNTIFS($BI$5:BI250,BI250))</f>
        <v>0</v>
      </c>
      <c r="BR250" s="32">
        <f>IF(B250="","",COUNTIFS($AY$5:$AY$304,"&gt;"&amp;AY250)+COUNTIFS($AY$5:AY250,AY250))</f>
        <v>0</v>
      </c>
      <c r="BS250" s="43">
        <f>IF(B250="","",IF(AH250=0,"Add - no costs entered yet",IF(AR250="","Check - no price yet",IF(AV250&lt;0,"Loss - every sale costs you money",IF(AND(AZ250&lt;&gt;"",AZ250&lt;MinimumWage),"Below - pays under minimum wage",IF(AW250&lt;MarginWarning,"Low margin - re-price it",IF(AND(AF250&lt;&gt;"",K250&lt;&gt;"",K250+AC250&gt;AF250),"Check - too heavy for that postage band",IF(AND(BN250&lt;&gt;"",BN250&gt;PriceReviewDays),"Due - price has not been reviewed",IF(AND(BG250&lt;&gt;"",BG250&gt;0.5),"Check - well above the market","OK")))))))) )</f>
        <v>0</v>
      </c>
    </row>
    <row r="251" spans="1:71">
      <c r="A251" s="38">
        <f>IF(B251="","",ProductPrefix&amp;TEXT(ROW()-4,"0000"))</f>
        <v>0</v>
      </c>
      <c r="S251" s="38">
        <f>IF(B251="","",IF(C251&lt;&gt;"",C251,UPPER(LEFT(IF(D251="","GEN",D251),3))&amp;"-"&amp;TEXT(ROW()-4,"000")))</f>
        <v>0</v>
      </c>
      <c r="T251" s="20">
        <f>IF(B251="","",ROUND(SUMIFS('Material Usage'!$M$5:$M$904,'Material Usage'!$A$5:$A$904,A251)+SUMIFS(Crochet!$AD$5:$AD$84,Crochet!$A$5:$A$84,A251)+SUMIFS(Jewelry!$AF$5:$AF$84,Jewelry!$A$5:$A$84,A251)+SUMIFS(Candles!$AF$5:$AF$84,Candles!$A$5:$A$84,A251)+SUMIFS(Clothing!$AB$5:$AB$84,Clothing!$A$5:$A$84,A251)+SUMIFS(Woodworking!$AC$5:$AC$84,Woodworking!$A$5:$A$84,A251)+SUMIFS(Digital!$X$5:$X$84,Digital!$A$5:$A$84,A251),2))</f>
        <v>0</v>
      </c>
      <c r="U251" s="20">
        <f>IF(B251="","",ROUND(SUMIFS(Labor!$O$5:$O$304,Labor!$A$5:$A$304,A251)+SUMIFS(Crochet!$AG$5:$AG$84,Crochet!$A$5:$A$84,A251)+SUMIFS(Jewelry!$AI$5:$AI$84,Jewelry!$A$5:$A$84,A251)+SUMIFS(Candles!$AI$5:$AI$84,Candles!$A$5:$A$84,A251)+SUMIFS(Clothing!$AE$5:$AE$84,Clothing!$A$5:$A$84,A251)+SUMIFS(Woodworking!$AF$5:$AF$84,Woodworking!$A$5:$A$84,A251)+SUMIFS(Digital!$Z$5:$Z$84,Digital!$A$5:$A$84,A251),2))</f>
        <v>0</v>
      </c>
      <c r="V251" s="36">
        <f>IF(B251="","",ROUND(SUMIFS(Labor!$P$5:$P$304,Labor!$A$5:$A$304,A251)+SUMIFS(Crochet!$AE$5:$AE$84,Crochet!$A$5:$A$84,A251)+SUMIFS(Jewelry!$AG$5:$AG$84,Jewelry!$A$5:$A$84,A251)+SUMIFS(Candles!$AG$5:$AG$84,Candles!$A$5:$A$84,A251)+SUMIFS(Clothing!$AC$5:$AC$84,Clothing!$A$5:$A$84,A251)+SUMIFS(Woodworking!$AD$5:$AD$84,Woodworking!$A$5:$A$84,A251)+SUMIFS(Digital!$Y$5:$Y$84,Digital!$A$5:$A$84,A251),1))</f>
        <v>0</v>
      </c>
      <c r="W251" s="41">
        <f>IF(B251="","",IFERROR(INDEX(DiffTimeFactors,MATCH(G251,DiffNames,0)),1))</f>
        <v>0</v>
      </c>
      <c r="X251" s="36">
        <f>IF(B251="","",ROUND(V251*W251,1))</f>
        <v>0</v>
      </c>
      <c r="Y251" s="41">
        <f>IF(B251="","",ROUND(X251/60,3))</f>
        <v>0</v>
      </c>
      <c r="Z251" s="20">
        <f>IF(B251="","",ROUND(U251*W251,2))</f>
        <v>0</v>
      </c>
      <c r="AA251" s="20">
        <f>IF(B251="","",ROUND(SUMIFS(Labor!$Q$5:$Q$304,Labor!$A$5:$A$304,A251)+SUMIFS(Crochet!$AH$5:$AH$84,Crochet!$A$5:$A$84,A251)+SUMIFS(Jewelry!$AJ$5:$AJ$84,Jewelry!$A$5:$A$84,A251)+SUMIFS(Candles!$AJ$5:$AJ$84,Candles!$A$5:$A$84,A251)+SUMIFS(Clothing!$AF$5:$AF$84,Clothing!$A$5:$A$84,A251)+SUMIFS(Woodworking!$AH$5:$AH$84,Woodworking!$A$5:$A$84,A251)+SUMIFS(Digital!$AA$5:$AA$84,Digital!$A$5:$A$84,A251),2))</f>
        <v>0</v>
      </c>
      <c r="AB251" s="20">
        <f>IF(B251="","",ROUND(IF(I251="Budget",PackBudget,IF(I251="Standard",PackStandard,IF(I251="Gift",PackGift,IF(I251="Premium",PackPremium,DefaultPackaging)))),2))</f>
        <v>0</v>
      </c>
      <c r="AC251" s="36">
        <f>IF(B251="","",IF(I251="Budget",PackWeightBudget,IF(I251="Standard",PackWeightStandard,IF(I251="Gift",PackWeightGift,IF(I251="Premium",PackWeightPremium,0)))))</f>
        <v>0</v>
      </c>
      <c r="AD251" s="20">
        <f>IF(B251="","",IFERROR(INDEX(Shipping!$M$5:$M$64,MATCH(J251,Shipping!$L$5:$L$64,0)),DefaultShipping))</f>
        <v>0</v>
      </c>
      <c r="AE251" s="20">
        <f>IF(B251="","",IFERROR(INDEX(Shipping!$F$5:$F$64,MATCH(J251,Shipping!$L$5:$L$64,0)),0))</f>
        <v>0</v>
      </c>
      <c r="AF251" s="36">
        <f>IF(B251="","",IFERROR(INDEX(Shipping!$C$5:$C$64,MATCH(J251,Shipping!$L$5:$L$64,0)),""))</f>
        <v>0</v>
      </c>
      <c r="AG251" s="20">
        <f>IF(B251="","",ROUND(MAX(0,AD251-AE251),2))</f>
        <v>0</v>
      </c>
      <c r="AH251" s="20">
        <f>IF(B251="","",ROUND(T251+Z251+AA251+AB251+AG251,2))</f>
        <v>0</v>
      </c>
      <c r="AI251" s="33">
        <f>IF(B251="","",IFERROR(INDEX(Channels!$S$5:$S$18,MATCH(IF(H251="",DefaultChannel,H251),Channels!$A$5:$A$18,0)),0))</f>
        <v>0</v>
      </c>
      <c r="AJ251" s="42">
        <f>IF(B251="","",IFERROR(INDEX(Channels!$O$5:$O$18,MATCH(IF(H251="",DefaultChannel,H251),Channels!$A$5:$A$18,0)),"No"))</f>
        <v>0</v>
      </c>
      <c r="AK251" s="20">
        <f>IF(B251="","",ROUND(IFERROR(INDEX(Channels!$T$5:$T$18,MATCH(IF(H251="",DefaultChannel,H251),Channels!$A$5:$A$18,0)),0)+IF(AJ251="Yes",AE251*AI251,0),4))</f>
        <v>0</v>
      </c>
      <c r="AL251" s="33">
        <f>IF(B251="","",IF(OverheadMethod="Share of revenue",IF(RevenueTargetMonth&lt;=0,0,OverheadMonthly/RevenueTargetMonth),0))</f>
        <v>0</v>
      </c>
      <c r="AM251" s="20">
        <f>IF(B251="","",IF(OverheadMethod="Per hour worked",ROUND(OverheadPerHour*Y251,2),IF(OR(OverheadMethod="Per unit made",OverheadMethod="Per order"),OverheadPerUnit,0)))</f>
        <v>0</v>
      </c>
      <c r="AN251" s="33">
        <f>IF(B251="","",IF(N251&lt;&gt;"",N251,TargetRetailMargin))</f>
        <v>0</v>
      </c>
      <c r="AO251" s="41">
        <f>IF(B251="","",1-AN251-AI251-AL251)</f>
        <v>0</v>
      </c>
      <c r="AP251" s="20">
        <f>IF(B251="","",IF(AO251&lt;=0,"",(AH251+AM251+AK251)/AO251))</f>
        <v>0</v>
      </c>
      <c r="AQ251" s="20">
        <f>IF(B251="","",IF(AP251="","Check the settings",ROUND(IF(RoundingRule="None",AP251,IF(RoundingRule="Nearest 0.99",MAX(0.99,CEILING(AP251,1)-0.01),IF(RoundingRule="Nearest 0.95",MAX(0.95,CEILING(AP251,1)-0.05),IF(RoundingRule="Nearest 0.50",CEILING(AP251,0.5),IF(RoundingRule="Nearest 1",CEILING(AP251,1),IF(RoundingRule="Nearest 5",CEILING(AP251,5),IF(RoundingRule="Up to whole 1",CEILING(AP251,1),IF(RoundingRule="Up to whole 5",CEILING(AP251,5),ROUND(AP251,2))))))))),2)))</f>
        <v>0</v>
      </c>
      <c r="AR251" s="20">
        <f>IF(B251="","",IF(M251&lt;&gt;"",M251,IF(ISNUMBER(AQ251),AQ251,"")))</f>
        <v>0</v>
      </c>
      <c r="AS251" s="20">
        <f>IF(B251="","",IF(AR251="","",ROUND(AM251+AR251*AL251,2)))</f>
        <v>0</v>
      </c>
      <c r="AT251" s="20">
        <f>IF(B251="","",IF(AR251="","",ROUND(AH251+AS251,2)))</f>
        <v>0</v>
      </c>
      <c r="AU251" s="20">
        <f>IF(B251="","",IF(AR251="","",ROUND(AR251*AI251+AK251,2)))</f>
        <v>0</v>
      </c>
      <c r="AV251" s="20">
        <f>IF(B251="","",IF(AR251="","",ROUND(AR251-AT251-AU251,2)))</f>
        <v>0</v>
      </c>
      <c r="AW251" s="33">
        <f>IF(B251="","",IF(OR(AR251="",AR251=0),"",AV251/AR251))</f>
        <v>0</v>
      </c>
      <c r="AX251" s="33">
        <f>IF(B251="","",IF(OR(AT251="",AT251=0),"",AV251/AT251))</f>
        <v>0</v>
      </c>
      <c r="AY251" s="20">
        <f>IF(B251="","",IF(OR(Y251="",Y251=0,AV251=""),"",ROUND(AV251/Y251,2)))</f>
        <v>0</v>
      </c>
      <c r="AZ251" s="20">
        <f>IF(B251="","",IF(OR(Y251="",Y251=0,AV251=""),"",ROUND((AV251+Z251)/Y251,2)))</f>
        <v>0</v>
      </c>
      <c r="BA251" s="20">
        <f>IF(B251="","",IF(1-AI251-AL251&lt;=0,"",ROUND((AH251+AM251+AK251)/(1-AI251-AL251),2)))</f>
        <v>0</v>
      </c>
      <c r="BB251" s="20">
        <f>IF(B251="","",IF(AT251="","",ROUND(AT251*2,2)))</f>
        <v>0</v>
      </c>
      <c r="BC251" s="20">
        <f>IF(B251="","",IF(AR251="","",ROUND(AR251*(1-WholesaleDiscount),2)))</f>
        <v>0</v>
      </c>
      <c r="BD251" s="20">
        <f>IF(B251="","",IF(BC251="","",ROUND(BC251-AH251-AM251,2)))</f>
        <v>0</v>
      </c>
      <c r="BE251" s="33">
        <f>IF(B251="","",IF(OR(BC251="",BC251=0),"",BD251/BC251))</f>
        <v>0</v>
      </c>
      <c r="BF251" s="20">
        <f>IF(B251="","",IFERROR(ROUND(AVERAGEIFS(Competitors!$F$5:$F$154,Competitors!$A$5:$A$154,A251),2),""))</f>
        <v>0</v>
      </c>
      <c r="BG251" s="33">
        <f>IF(B251="","",IF(OR(BF251="",BF251=0,AR251=""),"",AR251/BF251-1))</f>
        <v>0</v>
      </c>
      <c r="BH251" s="32">
        <f>IF(B251="","",SUMIFS(Sales!$D$5:$D$804,Sales!$C$5:$C$804,A251))</f>
        <v>0</v>
      </c>
      <c r="BI251" s="20">
        <f>IF(B251="","",ROUND(SUMIFS(Sales!$V$5:$V$804,Sales!$C$5:$C$804,A251),2))</f>
        <v>0</v>
      </c>
      <c r="BJ251" s="20">
        <f>IF(B251="","",ROUND(SUMIFS(Sales!$AG$5:$AG$804,Sales!$C$5:$C$804,A251),2))</f>
        <v>0</v>
      </c>
      <c r="BK251" s="33">
        <f>IF(B251="","",IF(OR(BI251="",BI251=0),"",BJ251/BI251))</f>
        <v>0</v>
      </c>
      <c r="BL251" s="17">
        <f>IF(B251="","",IF(SUMPRODUCT(MAX((Sales!$C$5:$C$804=A251)*Sales!$B$5:$B$804))=0,"",SUMPRODUCT(MAX((Sales!$C$5:$C$804=A251)*Sales!$B$5:$B$804))))</f>
        <v>0</v>
      </c>
      <c r="BM251" s="17">
        <f>IF(B251="","",IF(SUMPRODUCT(MAX(('Price History'!$B$5:$B$304=A251)*'Price History'!$A$5:$A$304))=0,IF(P251="","",P251),SUMPRODUCT(MAX(('Price History'!$B$5:$B$304=A251)*'Price History'!$A$5:$A$304))))</f>
        <v>0</v>
      </c>
      <c r="BN251" s="32">
        <f>IF(B251="","",IF(BM251="","",TodayDate-BM251))</f>
        <v>0</v>
      </c>
      <c r="BO251" s="32">
        <f>IF(B251="","",COUNTIFS($AV$5:$AV$304,"&gt;"&amp;AV251)+COUNTIFS($AV$5:AV251,AV251))</f>
        <v>0</v>
      </c>
      <c r="BP251" s="32">
        <f>IF(B251="","",COUNTIFS($AW$5:$AW$304,"&gt;"&amp;AW251)+COUNTIFS($AW$5:AW251,AW251))</f>
        <v>0</v>
      </c>
      <c r="BQ251" s="32">
        <f>IF(B251="","",COUNTIFS($BI$5:$BI$304,"&gt;"&amp;BI251)+COUNTIFS($BI$5:BI251,BI251))</f>
        <v>0</v>
      </c>
      <c r="BR251" s="32">
        <f>IF(B251="","",COUNTIFS($AY$5:$AY$304,"&gt;"&amp;AY251)+COUNTIFS($AY$5:AY251,AY251))</f>
        <v>0</v>
      </c>
      <c r="BS251" s="43">
        <f>IF(B251="","",IF(AH251=0,"Add - no costs entered yet",IF(AR251="","Check - no price yet",IF(AV251&lt;0,"Loss - every sale costs you money",IF(AND(AZ251&lt;&gt;"",AZ251&lt;MinimumWage),"Below - pays under minimum wage",IF(AW251&lt;MarginWarning,"Low margin - re-price it",IF(AND(AF251&lt;&gt;"",K251&lt;&gt;"",K251+AC251&gt;AF251),"Check - too heavy for that postage band",IF(AND(BN251&lt;&gt;"",BN251&gt;PriceReviewDays),"Due - price has not been reviewed",IF(AND(BG251&lt;&gt;"",BG251&gt;0.5),"Check - well above the market","OK")))))))) )</f>
        <v>0</v>
      </c>
    </row>
    <row r="252" spans="1:71">
      <c r="A252" s="38">
        <f>IF(B252="","",ProductPrefix&amp;TEXT(ROW()-4,"0000"))</f>
        <v>0</v>
      </c>
      <c r="S252" s="38">
        <f>IF(B252="","",IF(C252&lt;&gt;"",C252,UPPER(LEFT(IF(D252="","GEN",D252),3))&amp;"-"&amp;TEXT(ROW()-4,"000")))</f>
        <v>0</v>
      </c>
      <c r="T252" s="20">
        <f>IF(B252="","",ROUND(SUMIFS('Material Usage'!$M$5:$M$904,'Material Usage'!$A$5:$A$904,A252)+SUMIFS(Crochet!$AD$5:$AD$84,Crochet!$A$5:$A$84,A252)+SUMIFS(Jewelry!$AF$5:$AF$84,Jewelry!$A$5:$A$84,A252)+SUMIFS(Candles!$AF$5:$AF$84,Candles!$A$5:$A$84,A252)+SUMIFS(Clothing!$AB$5:$AB$84,Clothing!$A$5:$A$84,A252)+SUMIFS(Woodworking!$AC$5:$AC$84,Woodworking!$A$5:$A$84,A252)+SUMIFS(Digital!$X$5:$X$84,Digital!$A$5:$A$84,A252),2))</f>
        <v>0</v>
      </c>
      <c r="U252" s="20">
        <f>IF(B252="","",ROUND(SUMIFS(Labor!$O$5:$O$304,Labor!$A$5:$A$304,A252)+SUMIFS(Crochet!$AG$5:$AG$84,Crochet!$A$5:$A$84,A252)+SUMIFS(Jewelry!$AI$5:$AI$84,Jewelry!$A$5:$A$84,A252)+SUMIFS(Candles!$AI$5:$AI$84,Candles!$A$5:$A$84,A252)+SUMIFS(Clothing!$AE$5:$AE$84,Clothing!$A$5:$A$84,A252)+SUMIFS(Woodworking!$AF$5:$AF$84,Woodworking!$A$5:$A$84,A252)+SUMIFS(Digital!$Z$5:$Z$84,Digital!$A$5:$A$84,A252),2))</f>
        <v>0</v>
      </c>
      <c r="V252" s="36">
        <f>IF(B252="","",ROUND(SUMIFS(Labor!$P$5:$P$304,Labor!$A$5:$A$304,A252)+SUMIFS(Crochet!$AE$5:$AE$84,Crochet!$A$5:$A$84,A252)+SUMIFS(Jewelry!$AG$5:$AG$84,Jewelry!$A$5:$A$84,A252)+SUMIFS(Candles!$AG$5:$AG$84,Candles!$A$5:$A$84,A252)+SUMIFS(Clothing!$AC$5:$AC$84,Clothing!$A$5:$A$84,A252)+SUMIFS(Woodworking!$AD$5:$AD$84,Woodworking!$A$5:$A$84,A252)+SUMIFS(Digital!$Y$5:$Y$84,Digital!$A$5:$A$84,A252),1))</f>
        <v>0</v>
      </c>
      <c r="W252" s="41">
        <f>IF(B252="","",IFERROR(INDEX(DiffTimeFactors,MATCH(G252,DiffNames,0)),1))</f>
        <v>0</v>
      </c>
      <c r="X252" s="36">
        <f>IF(B252="","",ROUND(V252*W252,1))</f>
        <v>0</v>
      </c>
      <c r="Y252" s="41">
        <f>IF(B252="","",ROUND(X252/60,3))</f>
        <v>0</v>
      </c>
      <c r="Z252" s="20">
        <f>IF(B252="","",ROUND(U252*W252,2))</f>
        <v>0</v>
      </c>
      <c r="AA252" s="20">
        <f>IF(B252="","",ROUND(SUMIFS(Labor!$Q$5:$Q$304,Labor!$A$5:$A$304,A252)+SUMIFS(Crochet!$AH$5:$AH$84,Crochet!$A$5:$A$84,A252)+SUMIFS(Jewelry!$AJ$5:$AJ$84,Jewelry!$A$5:$A$84,A252)+SUMIFS(Candles!$AJ$5:$AJ$84,Candles!$A$5:$A$84,A252)+SUMIFS(Clothing!$AF$5:$AF$84,Clothing!$A$5:$A$84,A252)+SUMIFS(Woodworking!$AH$5:$AH$84,Woodworking!$A$5:$A$84,A252)+SUMIFS(Digital!$AA$5:$AA$84,Digital!$A$5:$A$84,A252),2))</f>
        <v>0</v>
      </c>
      <c r="AB252" s="20">
        <f>IF(B252="","",ROUND(IF(I252="Budget",PackBudget,IF(I252="Standard",PackStandard,IF(I252="Gift",PackGift,IF(I252="Premium",PackPremium,DefaultPackaging)))),2))</f>
        <v>0</v>
      </c>
      <c r="AC252" s="36">
        <f>IF(B252="","",IF(I252="Budget",PackWeightBudget,IF(I252="Standard",PackWeightStandard,IF(I252="Gift",PackWeightGift,IF(I252="Premium",PackWeightPremium,0)))))</f>
        <v>0</v>
      </c>
      <c r="AD252" s="20">
        <f>IF(B252="","",IFERROR(INDEX(Shipping!$M$5:$M$64,MATCH(J252,Shipping!$L$5:$L$64,0)),DefaultShipping))</f>
        <v>0</v>
      </c>
      <c r="AE252" s="20">
        <f>IF(B252="","",IFERROR(INDEX(Shipping!$F$5:$F$64,MATCH(J252,Shipping!$L$5:$L$64,0)),0))</f>
        <v>0</v>
      </c>
      <c r="AF252" s="36">
        <f>IF(B252="","",IFERROR(INDEX(Shipping!$C$5:$C$64,MATCH(J252,Shipping!$L$5:$L$64,0)),""))</f>
        <v>0</v>
      </c>
      <c r="AG252" s="20">
        <f>IF(B252="","",ROUND(MAX(0,AD252-AE252),2))</f>
        <v>0</v>
      </c>
      <c r="AH252" s="20">
        <f>IF(B252="","",ROUND(T252+Z252+AA252+AB252+AG252,2))</f>
        <v>0</v>
      </c>
      <c r="AI252" s="33">
        <f>IF(B252="","",IFERROR(INDEX(Channels!$S$5:$S$18,MATCH(IF(H252="",DefaultChannel,H252),Channels!$A$5:$A$18,0)),0))</f>
        <v>0</v>
      </c>
      <c r="AJ252" s="42">
        <f>IF(B252="","",IFERROR(INDEX(Channels!$O$5:$O$18,MATCH(IF(H252="",DefaultChannel,H252),Channels!$A$5:$A$18,0)),"No"))</f>
        <v>0</v>
      </c>
      <c r="AK252" s="20">
        <f>IF(B252="","",ROUND(IFERROR(INDEX(Channels!$T$5:$T$18,MATCH(IF(H252="",DefaultChannel,H252),Channels!$A$5:$A$18,0)),0)+IF(AJ252="Yes",AE252*AI252,0),4))</f>
        <v>0</v>
      </c>
      <c r="AL252" s="33">
        <f>IF(B252="","",IF(OverheadMethod="Share of revenue",IF(RevenueTargetMonth&lt;=0,0,OverheadMonthly/RevenueTargetMonth),0))</f>
        <v>0</v>
      </c>
      <c r="AM252" s="20">
        <f>IF(B252="","",IF(OverheadMethod="Per hour worked",ROUND(OverheadPerHour*Y252,2),IF(OR(OverheadMethod="Per unit made",OverheadMethod="Per order"),OverheadPerUnit,0)))</f>
        <v>0</v>
      </c>
      <c r="AN252" s="33">
        <f>IF(B252="","",IF(N252&lt;&gt;"",N252,TargetRetailMargin))</f>
        <v>0</v>
      </c>
      <c r="AO252" s="41">
        <f>IF(B252="","",1-AN252-AI252-AL252)</f>
        <v>0</v>
      </c>
      <c r="AP252" s="20">
        <f>IF(B252="","",IF(AO252&lt;=0,"",(AH252+AM252+AK252)/AO252))</f>
        <v>0</v>
      </c>
      <c r="AQ252" s="20">
        <f>IF(B252="","",IF(AP252="","Check the settings",ROUND(IF(RoundingRule="None",AP252,IF(RoundingRule="Nearest 0.99",MAX(0.99,CEILING(AP252,1)-0.01),IF(RoundingRule="Nearest 0.95",MAX(0.95,CEILING(AP252,1)-0.05),IF(RoundingRule="Nearest 0.50",CEILING(AP252,0.5),IF(RoundingRule="Nearest 1",CEILING(AP252,1),IF(RoundingRule="Nearest 5",CEILING(AP252,5),IF(RoundingRule="Up to whole 1",CEILING(AP252,1),IF(RoundingRule="Up to whole 5",CEILING(AP252,5),ROUND(AP252,2))))))))),2)))</f>
        <v>0</v>
      </c>
      <c r="AR252" s="20">
        <f>IF(B252="","",IF(M252&lt;&gt;"",M252,IF(ISNUMBER(AQ252),AQ252,"")))</f>
        <v>0</v>
      </c>
      <c r="AS252" s="20">
        <f>IF(B252="","",IF(AR252="","",ROUND(AM252+AR252*AL252,2)))</f>
        <v>0</v>
      </c>
      <c r="AT252" s="20">
        <f>IF(B252="","",IF(AR252="","",ROUND(AH252+AS252,2)))</f>
        <v>0</v>
      </c>
      <c r="AU252" s="20">
        <f>IF(B252="","",IF(AR252="","",ROUND(AR252*AI252+AK252,2)))</f>
        <v>0</v>
      </c>
      <c r="AV252" s="20">
        <f>IF(B252="","",IF(AR252="","",ROUND(AR252-AT252-AU252,2)))</f>
        <v>0</v>
      </c>
      <c r="AW252" s="33">
        <f>IF(B252="","",IF(OR(AR252="",AR252=0),"",AV252/AR252))</f>
        <v>0</v>
      </c>
      <c r="AX252" s="33">
        <f>IF(B252="","",IF(OR(AT252="",AT252=0),"",AV252/AT252))</f>
        <v>0</v>
      </c>
      <c r="AY252" s="20">
        <f>IF(B252="","",IF(OR(Y252="",Y252=0,AV252=""),"",ROUND(AV252/Y252,2)))</f>
        <v>0</v>
      </c>
      <c r="AZ252" s="20">
        <f>IF(B252="","",IF(OR(Y252="",Y252=0,AV252=""),"",ROUND((AV252+Z252)/Y252,2)))</f>
        <v>0</v>
      </c>
      <c r="BA252" s="20">
        <f>IF(B252="","",IF(1-AI252-AL252&lt;=0,"",ROUND((AH252+AM252+AK252)/(1-AI252-AL252),2)))</f>
        <v>0</v>
      </c>
      <c r="BB252" s="20">
        <f>IF(B252="","",IF(AT252="","",ROUND(AT252*2,2)))</f>
        <v>0</v>
      </c>
      <c r="BC252" s="20">
        <f>IF(B252="","",IF(AR252="","",ROUND(AR252*(1-WholesaleDiscount),2)))</f>
        <v>0</v>
      </c>
      <c r="BD252" s="20">
        <f>IF(B252="","",IF(BC252="","",ROUND(BC252-AH252-AM252,2)))</f>
        <v>0</v>
      </c>
      <c r="BE252" s="33">
        <f>IF(B252="","",IF(OR(BC252="",BC252=0),"",BD252/BC252))</f>
        <v>0</v>
      </c>
      <c r="BF252" s="20">
        <f>IF(B252="","",IFERROR(ROUND(AVERAGEIFS(Competitors!$F$5:$F$154,Competitors!$A$5:$A$154,A252),2),""))</f>
        <v>0</v>
      </c>
      <c r="BG252" s="33">
        <f>IF(B252="","",IF(OR(BF252="",BF252=0,AR252=""),"",AR252/BF252-1))</f>
        <v>0</v>
      </c>
      <c r="BH252" s="32">
        <f>IF(B252="","",SUMIFS(Sales!$D$5:$D$804,Sales!$C$5:$C$804,A252))</f>
        <v>0</v>
      </c>
      <c r="BI252" s="20">
        <f>IF(B252="","",ROUND(SUMIFS(Sales!$V$5:$V$804,Sales!$C$5:$C$804,A252),2))</f>
        <v>0</v>
      </c>
      <c r="BJ252" s="20">
        <f>IF(B252="","",ROUND(SUMIFS(Sales!$AG$5:$AG$804,Sales!$C$5:$C$804,A252),2))</f>
        <v>0</v>
      </c>
      <c r="BK252" s="33">
        <f>IF(B252="","",IF(OR(BI252="",BI252=0),"",BJ252/BI252))</f>
        <v>0</v>
      </c>
      <c r="BL252" s="17">
        <f>IF(B252="","",IF(SUMPRODUCT(MAX((Sales!$C$5:$C$804=A252)*Sales!$B$5:$B$804))=0,"",SUMPRODUCT(MAX((Sales!$C$5:$C$804=A252)*Sales!$B$5:$B$804))))</f>
        <v>0</v>
      </c>
      <c r="BM252" s="17">
        <f>IF(B252="","",IF(SUMPRODUCT(MAX(('Price History'!$B$5:$B$304=A252)*'Price History'!$A$5:$A$304))=0,IF(P252="","",P252),SUMPRODUCT(MAX(('Price History'!$B$5:$B$304=A252)*'Price History'!$A$5:$A$304))))</f>
        <v>0</v>
      </c>
      <c r="BN252" s="32">
        <f>IF(B252="","",IF(BM252="","",TodayDate-BM252))</f>
        <v>0</v>
      </c>
      <c r="BO252" s="32">
        <f>IF(B252="","",COUNTIFS($AV$5:$AV$304,"&gt;"&amp;AV252)+COUNTIFS($AV$5:AV252,AV252))</f>
        <v>0</v>
      </c>
      <c r="BP252" s="32">
        <f>IF(B252="","",COUNTIFS($AW$5:$AW$304,"&gt;"&amp;AW252)+COUNTIFS($AW$5:AW252,AW252))</f>
        <v>0</v>
      </c>
      <c r="BQ252" s="32">
        <f>IF(B252="","",COUNTIFS($BI$5:$BI$304,"&gt;"&amp;BI252)+COUNTIFS($BI$5:BI252,BI252))</f>
        <v>0</v>
      </c>
      <c r="BR252" s="32">
        <f>IF(B252="","",COUNTIFS($AY$5:$AY$304,"&gt;"&amp;AY252)+COUNTIFS($AY$5:AY252,AY252))</f>
        <v>0</v>
      </c>
      <c r="BS252" s="43">
        <f>IF(B252="","",IF(AH252=0,"Add - no costs entered yet",IF(AR252="","Check - no price yet",IF(AV252&lt;0,"Loss - every sale costs you money",IF(AND(AZ252&lt;&gt;"",AZ252&lt;MinimumWage),"Below - pays under minimum wage",IF(AW252&lt;MarginWarning,"Low margin - re-price it",IF(AND(AF252&lt;&gt;"",K252&lt;&gt;"",K252+AC252&gt;AF252),"Check - too heavy for that postage band",IF(AND(BN252&lt;&gt;"",BN252&gt;PriceReviewDays),"Due - price has not been reviewed",IF(AND(BG252&lt;&gt;"",BG252&gt;0.5),"Check - well above the market","OK")))))))) )</f>
        <v>0</v>
      </c>
    </row>
    <row r="253" spans="1:71">
      <c r="A253" s="38">
        <f>IF(B253="","",ProductPrefix&amp;TEXT(ROW()-4,"0000"))</f>
        <v>0</v>
      </c>
      <c r="S253" s="38">
        <f>IF(B253="","",IF(C253&lt;&gt;"",C253,UPPER(LEFT(IF(D253="","GEN",D253),3))&amp;"-"&amp;TEXT(ROW()-4,"000")))</f>
        <v>0</v>
      </c>
      <c r="T253" s="20">
        <f>IF(B253="","",ROUND(SUMIFS('Material Usage'!$M$5:$M$904,'Material Usage'!$A$5:$A$904,A253)+SUMIFS(Crochet!$AD$5:$AD$84,Crochet!$A$5:$A$84,A253)+SUMIFS(Jewelry!$AF$5:$AF$84,Jewelry!$A$5:$A$84,A253)+SUMIFS(Candles!$AF$5:$AF$84,Candles!$A$5:$A$84,A253)+SUMIFS(Clothing!$AB$5:$AB$84,Clothing!$A$5:$A$84,A253)+SUMIFS(Woodworking!$AC$5:$AC$84,Woodworking!$A$5:$A$84,A253)+SUMIFS(Digital!$X$5:$X$84,Digital!$A$5:$A$84,A253),2))</f>
        <v>0</v>
      </c>
      <c r="U253" s="20">
        <f>IF(B253="","",ROUND(SUMIFS(Labor!$O$5:$O$304,Labor!$A$5:$A$304,A253)+SUMIFS(Crochet!$AG$5:$AG$84,Crochet!$A$5:$A$84,A253)+SUMIFS(Jewelry!$AI$5:$AI$84,Jewelry!$A$5:$A$84,A253)+SUMIFS(Candles!$AI$5:$AI$84,Candles!$A$5:$A$84,A253)+SUMIFS(Clothing!$AE$5:$AE$84,Clothing!$A$5:$A$84,A253)+SUMIFS(Woodworking!$AF$5:$AF$84,Woodworking!$A$5:$A$84,A253)+SUMIFS(Digital!$Z$5:$Z$84,Digital!$A$5:$A$84,A253),2))</f>
        <v>0</v>
      </c>
      <c r="V253" s="36">
        <f>IF(B253="","",ROUND(SUMIFS(Labor!$P$5:$P$304,Labor!$A$5:$A$304,A253)+SUMIFS(Crochet!$AE$5:$AE$84,Crochet!$A$5:$A$84,A253)+SUMIFS(Jewelry!$AG$5:$AG$84,Jewelry!$A$5:$A$84,A253)+SUMIFS(Candles!$AG$5:$AG$84,Candles!$A$5:$A$84,A253)+SUMIFS(Clothing!$AC$5:$AC$84,Clothing!$A$5:$A$84,A253)+SUMIFS(Woodworking!$AD$5:$AD$84,Woodworking!$A$5:$A$84,A253)+SUMIFS(Digital!$Y$5:$Y$84,Digital!$A$5:$A$84,A253),1))</f>
        <v>0</v>
      </c>
      <c r="W253" s="41">
        <f>IF(B253="","",IFERROR(INDEX(DiffTimeFactors,MATCH(G253,DiffNames,0)),1))</f>
        <v>0</v>
      </c>
      <c r="X253" s="36">
        <f>IF(B253="","",ROUND(V253*W253,1))</f>
        <v>0</v>
      </c>
      <c r="Y253" s="41">
        <f>IF(B253="","",ROUND(X253/60,3))</f>
        <v>0</v>
      </c>
      <c r="Z253" s="20">
        <f>IF(B253="","",ROUND(U253*W253,2))</f>
        <v>0</v>
      </c>
      <c r="AA253" s="20">
        <f>IF(B253="","",ROUND(SUMIFS(Labor!$Q$5:$Q$304,Labor!$A$5:$A$304,A253)+SUMIFS(Crochet!$AH$5:$AH$84,Crochet!$A$5:$A$84,A253)+SUMIFS(Jewelry!$AJ$5:$AJ$84,Jewelry!$A$5:$A$84,A253)+SUMIFS(Candles!$AJ$5:$AJ$84,Candles!$A$5:$A$84,A253)+SUMIFS(Clothing!$AF$5:$AF$84,Clothing!$A$5:$A$84,A253)+SUMIFS(Woodworking!$AH$5:$AH$84,Woodworking!$A$5:$A$84,A253)+SUMIFS(Digital!$AA$5:$AA$84,Digital!$A$5:$A$84,A253),2))</f>
        <v>0</v>
      </c>
      <c r="AB253" s="20">
        <f>IF(B253="","",ROUND(IF(I253="Budget",PackBudget,IF(I253="Standard",PackStandard,IF(I253="Gift",PackGift,IF(I253="Premium",PackPremium,DefaultPackaging)))),2))</f>
        <v>0</v>
      </c>
      <c r="AC253" s="36">
        <f>IF(B253="","",IF(I253="Budget",PackWeightBudget,IF(I253="Standard",PackWeightStandard,IF(I253="Gift",PackWeightGift,IF(I253="Premium",PackWeightPremium,0)))))</f>
        <v>0</v>
      </c>
      <c r="AD253" s="20">
        <f>IF(B253="","",IFERROR(INDEX(Shipping!$M$5:$M$64,MATCH(J253,Shipping!$L$5:$L$64,0)),DefaultShipping))</f>
        <v>0</v>
      </c>
      <c r="AE253" s="20">
        <f>IF(B253="","",IFERROR(INDEX(Shipping!$F$5:$F$64,MATCH(J253,Shipping!$L$5:$L$64,0)),0))</f>
        <v>0</v>
      </c>
      <c r="AF253" s="36">
        <f>IF(B253="","",IFERROR(INDEX(Shipping!$C$5:$C$64,MATCH(J253,Shipping!$L$5:$L$64,0)),""))</f>
        <v>0</v>
      </c>
      <c r="AG253" s="20">
        <f>IF(B253="","",ROUND(MAX(0,AD253-AE253),2))</f>
        <v>0</v>
      </c>
      <c r="AH253" s="20">
        <f>IF(B253="","",ROUND(T253+Z253+AA253+AB253+AG253,2))</f>
        <v>0</v>
      </c>
      <c r="AI253" s="33">
        <f>IF(B253="","",IFERROR(INDEX(Channels!$S$5:$S$18,MATCH(IF(H253="",DefaultChannel,H253),Channels!$A$5:$A$18,0)),0))</f>
        <v>0</v>
      </c>
      <c r="AJ253" s="42">
        <f>IF(B253="","",IFERROR(INDEX(Channels!$O$5:$O$18,MATCH(IF(H253="",DefaultChannel,H253),Channels!$A$5:$A$18,0)),"No"))</f>
        <v>0</v>
      </c>
      <c r="AK253" s="20">
        <f>IF(B253="","",ROUND(IFERROR(INDEX(Channels!$T$5:$T$18,MATCH(IF(H253="",DefaultChannel,H253),Channels!$A$5:$A$18,0)),0)+IF(AJ253="Yes",AE253*AI253,0),4))</f>
        <v>0</v>
      </c>
      <c r="AL253" s="33">
        <f>IF(B253="","",IF(OverheadMethod="Share of revenue",IF(RevenueTargetMonth&lt;=0,0,OverheadMonthly/RevenueTargetMonth),0))</f>
        <v>0</v>
      </c>
      <c r="AM253" s="20">
        <f>IF(B253="","",IF(OverheadMethod="Per hour worked",ROUND(OverheadPerHour*Y253,2),IF(OR(OverheadMethod="Per unit made",OverheadMethod="Per order"),OverheadPerUnit,0)))</f>
        <v>0</v>
      </c>
      <c r="AN253" s="33">
        <f>IF(B253="","",IF(N253&lt;&gt;"",N253,TargetRetailMargin))</f>
        <v>0</v>
      </c>
      <c r="AO253" s="41">
        <f>IF(B253="","",1-AN253-AI253-AL253)</f>
        <v>0</v>
      </c>
      <c r="AP253" s="20">
        <f>IF(B253="","",IF(AO253&lt;=0,"",(AH253+AM253+AK253)/AO253))</f>
        <v>0</v>
      </c>
      <c r="AQ253" s="20">
        <f>IF(B253="","",IF(AP253="","Check the settings",ROUND(IF(RoundingRule="None",AP253,IF(RoundingRule="Nearest 0.99",MAX(0.99,CEILING(AP253,1)-0.01),IF(RoundingRule="Nearest 0.95",MAX(0.95,CEILING(AP253,1)-0.05),IF(RoundingRule="Nearest 0.50",CEILING(AP253,0.5),IF(RoundingRule="Nearest 1",CEILING(AP253,1),IF(RoundingRule="Nearest 5",CEILING(AP253,5),IF(RoundingRule="Up to whole 1",CEILING(AP253,1),IF(RoundingRule="Up to whole 5",CEILING(AP253,5),ROUND(AP253,2))))))))),2)))</f>
        <v>0</v>
      </c>
      <c r="AR253" s="20">
        <f>IF(B253="","",IF(M253&lt;&gt;"",M253,IF(ISNUMBER(AQ253),AQ253,"")))</f>
        <v>0</v>
      </c>
      <c r="AS253" s="20">
        <f>IF(B253="","",IF(AR253="","",ROUND(AM253+AR253*AL253,2)))</f>
        <v>0</v>
      </c>
      <c r="AT253" s="20">
        <f>IF(B253="","",IF(AR253="","",ROUND(AH253+AS253,2)))</f>
        <v>0</v>
      </c>
      <c r="AU253" s="20">
        <f>IF(B253="","",IF(AR253="","",ROUND(AR253*AI253+AK253,2)))</f>
        <v>0</v>
      </c>
      <c r="AV253" s="20">
        <f>IF(B253="","",IF(AR253="","",ROUND(AR253-AT253-AU253,2)))</f>
        <v>0</v>
      </c>
      <c r="AW253" s="33">
        <f>IF(B253="","",IF(OR(AR253="",AR253=0),"",AV253/AR253))</f>
        <v>0</v>
      </c>
      <c r="AX253" s="33">
        <f>IF(B253="","",IF(OR(AT253="",AT253=0),"",AV253/AT253))</f>
        <v>0</v>
      </c>
      <c r="AY253" s="20">
        <f>IF(B253="","",IF(OR(Y253="",Y253=0,AV253=""),"",ROUND(AV253/Y253,2)))</f>
        <v>0</v>
      </c>
      <c r="AZ253" s="20">
        <f>IF(B253="","",IF(OR(Y253="",Y253=0,AV253=""),"",ROUND((AV253+Z253)/Y253,2)))</f>
        <v>0</v>
      </c>
      <c r="BA253" s="20">
        <f>IF(B253="","",IF(1-AI253-AL253&lt;=0,"",ROUND((AH253+AM253+AK253)/(1-AI253-AL253),2)))</f>
        <v>0</v>
      </c>
      <c r="BB253" s="20">
        <f>IF(B253="","",IF(AT253="","",ROUND(AT253*2,2)))</f>
        <v>0</v>
      </c>
      <c r="BC253" s="20">
        <f>IF(B253="","",IF(AR253="","",ROUND(AR253*(1-WholesaleDiscount),2)))</f>
        <v>0</v>
      </c>
      <c r="BD253" s="20">
        <f>IF(B253="","",IF(BC253="","",ROUND(BC253-AH253-AM253,2)))</f>
        <v>0</v>
      </c>
      <c r="BE253" s="33">
        <f>IF(B253="","",IF(OR(BC253="",BC253=0),"",BD253/BC253))</f>
        <v>0</v>
      </c>
      <c r="BF253" s="20">
        <f>IF(B253="","",IFERROR(ROUND(AVERAGEIFS(Competitors!$F$5:$F$154,Competitors!$A$5:$A$154,A253),2),""))</f>
        <v>0</v>
      </c>
      <c r="BG253" s="33">
        <f>IF(B253="","",IF(OR(BF253="",BF253=0,AR253=""),"",AR253/BF253-1))</f>
        <v>0</v>
      </c>
      <c r="BH253" s="32">
        <f>IF(B253="","",SUMIFS(Sales!$D$5:$D$804,Sales!$C$5:$C$804,A253))</f>
        <v>0</v>
      </c>
      <c r="BI253" s="20">
        <f>IF(B253="","",ROUND(SUMIFS(Sales!$V$5:$V$804,Sales!$C$5:$C$804,A253),2))</f>
        <v>0</v>
      </c>
      <c r="BJ253" s="20">
        <f>IF(B253="","",ROUND(SUMIFS(Sales!$AG$5:$AG$804,Sales!$C$5:$C$804,A253),2))</f>
        <v>0</v>
      </c>
      <c r="BK253" s="33">
        <f>IF(B253="","",IF(OR(BI253="",BI253=0),"",BJ253/BI253))</f>
        <v>0</v>
      </c>
      <c r="BL253" s="17">
        <f>IF(B253="","",IF(SUMPRODUCT(MAX((Sales!$C$5:$C$804=A253)*Sales!$B$5:$B$804))=0,"",SUMPRODUCT(MAX((Sales!$C$5:$C$804=A253)*Sales!$B$5:$B$804))))</f>
        <v>0</v>
      </c>
      <c r="BM253" s="17">
        <f>IF(B253="","",IF(SUMPRODUCT(MAX(('Price History'!$B$5:$B$304=A253)*'Price History'!$A$5:$A$304))=0,IF(P253="","",P253),SUMPRODUCT(MAX(('Price History'!$B$5:$B$304=A253)*'Price History'!$A$5:$A$304))))</f>
        <v>0</v>
      </c>
      <c r="BN253" s="32">
        <f>IF(B253="","",IF(BM253="","",TodayDate-BM253))</f>
        <v>0</v>
      </c>
      <c r="BO253" s="32">
        <f>IF(B253="","",COUNTIFS($AV$5:$AV$304,"&gt;"&amp;AV253)+COUNTIFS($AV$5:AV253,AV253))</f>
        <v>0</v>
      </c>
      <c r="BP253" s="32">
        <f>IF(B253="","",COUNTIFS($AW$5:$AW$304,"&gt;"&amp;AW253)+COUNTIFS($AW$5:AW253,AW253))</f>
        <v>0</v>
      </c>
      <c r="BQ253" s="32">
        <f>IF(B253="","",COUNTIFS($BI$5:$BI$304,"&gt;"&amp;BI253)+COUNTIFS($BI$5:BI253,BI253))</f>
        <v>0</v>
      </c>
      <c r="BR253" s="32">
        <f>IF(B253="","",COUNTIFS($AY$5:$AY$304,"&gt;"&amp;AY253)+COUNTIFS($AY$5:AY253,AY253))</f>
        <v>0</v>
      </c>
      <c r="BS253" s="43">
        <f>IF(B253="","",IF(AH253=0,"Add - no costs entered yet",IF(AR253="","Check - no price yet",IF(AV253&lt;0,"Loss - every sale costs you money",IF(AND(AZ253&lt;&gt;"",AZ253&lt;MinimumWage),"Below - pays under minimum wage",IF(AW253&lt;MarginWarning,"Low margin - re-price it",IF(AND(AF253&lt;&gt;"",K253&lt;&gt;"",K253+AC253&gt;AF253),"Check - too heavy for that postage band",IF(AND(BN253&lt;&gt;"",BN253&gt;PriceReviewDays),"Due - price has not been reviewed",IF(AND(BG253&lt;&gt;"",BG253&gt;0.5),"Check - well above the market","OK")))))))) )</f>
        <v>0</v>
      </c>
    </row>
    <row r="254" spans="1:71">
      <c r="A254" s="38">
        <f>IF(B254="","",ProductPrefix&amp;TEXT(ROW()-4,"0000"))</f>
        <v>0</v>
      </c>
      <c r="S254" s="38">
        <f>IF(B254="","",IF(C254&lt;&gt;"",C254,UPPER(LEFT(IF(D254="","GEN",D254),3))&amp;"-"&amp;TEXT(ROW()-4,"000")))</f>
        <v>0</v>
      </c>
      <c r="T254" s="20">
        <f>IF(B254="","",ROUND(SUMIFS('Material Usage'!$M$5:$M$904,'Material Usage'!$A$5:$A$904,A254)+SUMIFS(Crochet!$AD$5:$AD$84,Crochet!$A$5:$A$84,A254)+SUMIFS(Jewelry!$AF$5:$AF$84,Jewelry!$A$5:$A$84,A254)+SUMIFS(Candles!$AF$5:$AF$84,Candles!$A$5:$A$84,A254)+SUMIFS(Clothing!$AB$5:$AB$84,Clothing!$A$5:$A$84,A254)+SUMIFS(Woodworking!$AC$5:$AC$84,Woodworking!$A$5:$A$84,A254)+SUMIFS(Digital!$X$5:$X$84,Digital!$A$5:$A$84,A254),2))</f>
        <v>0</v>
      </c>
      <c r="U254" s="20">
        <f>IF(B254="","",ROUND(SUMIFS(Labor!$O$5:$O$304,Labor!$A$5:$A$304,A254)+SUMIFS(Crochet!$AG$5:$AG$84,Crochet!$A$5:$A$84,A254)+SUMIFS(Jewelry!$AI$5:$AI$84,Jewelry!$A$5:$A$84,A254)+SUMIFS(Candles!$AI$5:$AI$84,Candles!$A$5:$A$84,A254)+SUMIFS(Clothing!$AE$5:$AE$84,Clothing!$A$5:$A$84,A254)+SUMIFS(Woodworking!$AF$5:$AF$84,Woodworking!$A$5:$A$84,A254)+SUMIFS(Digital!$Z$5:$Z$84,Digital!$A$5:$A$84,A254),2))</f>
        <v>0</v>
      </c>
      <c r="V254" s="36">
        <f>IF(B254="","",ROUND(SUMIFS(Labor!$P$5:$P$304,Labor!$A$5:$A$304,A254)+SUMIFS(Crochet!$AE$5:$AE$84,Crochet!$A$5:$A$84,A254)+SUMIFS(Jewelry!$AG$5:$AG$84,Jewelry!$A$5:$A$84,A254)+SUMIFS(Candles!$AG$5:$AG$84,Candles!$A$5:$A$84,A254)+SUMIFS(Clothing!$AC$5:$AC$84,Clothing!$A$5:$A$84,A254)+SUMIFS(Woodworking!$AD$5:$AD$84,Woodworking!$A$5:$A$84,A254)+SUMIFS(Digital!$Y$5:$Y$84,Digital!$A$5:$A$84,A254),1))</f>
        <v>0</v>
      </c>
      <c r="W254" s="41">
        <f>IF(B254="","",IFERROR(INDEX(DiffTimeFactors,MATCH(G254,DiffNames,0)),1))</f>
        <v>0</v>
      </c>
      <c r="X254" s="36">
        <f>IF(B254="","",ROUND(V254*W254,1))</f>
        <v>0</v>
      </c>
      <c r="Y254" s="41">
        <f>IF(B254="","",ROUND(X254/60,3))</f>
        <v>0</v>
      </c>
      <c r="Z254" s="20">
        <f>IF(B254="","",ROUND(U254*W254,2))</f>
        <v>0</v>
      </c>
      <c r="AA254" s="20">
        <f>IF(B254="","",ROUND(SUMIFS(Labor!$Q$5:$Q$304,Labor!$A$5:$A$304,A254)+SUMIFS(Crochet!$AH$5:$AH$84,Crochet!$A$5:$A$84,A254)+SUMIFS(Jewelry!$AJ$5:$AJ$84,Jewelry!$A$5:$A$84,A254)+SUMIFS(Candles!$AJ$5:$AJ$84,Candles!$A$5:$A$84,A254)+SUMIFS(Clothing!$AF$5:$AF$84,Clothing!$A$5:$A$84,A254)+SUMIFS(Woodworking!$AH$5:$AH$84,Woodworking!$A$5:$A$84,A254)+SUMIFS(Digital!$AA$5:$AA$84,Digital!$A$5:$A$84,A254),2))</f>
        <v>0</v>
      </c>
      <c r="AB254" s="20">
        <f>IF(B254="","",ROUND(IF(I254="Budget",PackBudget,IF(I254="Standard",PackStandard,IF(I254="Gift",PackGift,IF(I254="Premium",PackPremium,DefaultPackaging)))),2))</f>
        <v>0</v>
      </c>
      <c r="AC254" s="36">
        <f>IF(B254="","",IF(I254="Budget",PackWeightBudget,IF(I254="Standard",PackWeightStandard,IF(I254="Gift",PackWeightGift,IF(I254="Premium",PackWeightPremium,0)))))</f>
        <v>0</v>
      </c>
      <c r="AD254" s="20">
        <f>IF(B254="","",IFERROR(INDEX(Shipping!$M$5:$M$64,MATCH(J254,Shipping!$L$5:$L$64,0)),DefaultShipping))</f>
        <v>0</v>
      </c>
      <c r="AE254" s="20">
        <f>IF(B254="","",IFERROR(INDEX(Shipping!$F$5:$F$64,MATCH(J254,Shipping!$L$5:$L$64,0)),0))</f>
        <v>0</v>
      </c>
      <c r="AF254" s="36">
        <f>IF(B254="","",IFERROR(INDEX(Shipping!$C$5:$C$64,MATCH(J254,Shipping!$L$5:$L$64,0)),""))</f>
        <v>0</v>
      </c>
      <c r="AG254" s="20">
        <f>IF(B254="","",ROUND(MAX(0,AD254-AE254),2))</f>
        <v>0</v>
      </c>
      <c r="AH254" s="20">
        <f>IF(B254="","",ROUND(T254+Z254+AA254+AB254+AG254,2))</f>
        <v>0</v>
      </c>
      <c r="AI254" s="33">
        <f>IF(B254="","",IFERROR(INDEX(Channels!$S$5:$S$18,MATCH(IF(H254="",DefaultChannel,H254),Channels!$A$5:$A$18,0)),0))</f>
        <v>0</v>
      </c>
      <c r="AJ254" s="42">
        <f>IF(B254="","",IFERROR(INDEX(Channels!$O$5:$O$18,MATCH(IF(H254="",DefaultChannel,H254),Channels!$A$5:$A$18,0)),"No"))</f>
        <v>0</v>
      </c>
      <c r="AK254" s="20">
        <f>IF(B254="","",ROUND(IFERROR(INDEX(Channels!$T$5:$T$18,MATCH(IF(H254="",DefaultChannel,H254),Channels!$A$5:$A$18,0)),0)+IF(AJ254="Yes",AE254*AI254,0),4))</f>
        <v>0</v>
      </c>
      <c r="AL254" s="33">
        <f>IF(B254="","",IF(OverheadMethod="Share of revenue",IF(RevenueTargetMonth&lt;=0,0,OverheadMonthly/RevenueTargetMonth),0))</f>
        <v>0</v>
      </c>
      <c r="AM254" s="20">
        <f>IF(B254="","",IF(OverheadMethod="Per hour worked",ROUND(OverheadPerHour*Y254,2),IF(OR(OverheadMethod="Per unit made",OverheadMethod="Per order"),OverheadPerUnit,0)))</f>
        <v>0</v>
      </c>
      <c r="AN254" s="33">
        <f>IF(B254="","",IF(N254&lt;&gt;"",N254,TargetRetailMargin))</f>
        <v>0</v>
      </c>
      <c r="AO254" s="41">
        <f>IF(B254="","",1-AN254-AI254-AL254)</f>
        <v>0</v>
      </c>
      <c r="AP254" s="20">
        <f>IF(B254="","",IF(AO254&lt;=0,"",(AH254+AM254+AK254)/AO254))</f>
        <v>0</v>
      </c>
      <c r="AQ254" s="20">
        <f>IF(B254="","",IF(AP254="","Check the settings",ROUND(IF(RoundingRule="None",AP254,IF(RoundingRule="Nearest 0.99",MAX(0.99,CEILING(AP254,1)-0.01),IF(RoundingRule="Nearest 0.95",MAX(0.95,CEILING(AP254,1)-0.05),IF(RoundingRule="Nearest 0.50",CEILING(AP254,0.5),IF(RoundingRule="Nearest 1",CEILING(AP254,1),IF(RoundingRule="Nearest 5",CEILING(AP254,5),IF(RoundingRule="Up to whole 1",CEILING(AP254,1),IF(RoundingRule="Up to whole 5",CEILING(AP254,5),ROUND(AP254,2))))))))),2)))</f>
        <v>0</v>
      </c>
      <c r="AR254" s="20">
        <f>IF(B254="","",IF(M254&lt;&gt;"",M254,IF(ISNUMBER(AQ254),AQ254,"")))</f>
        <v>0</v>
      </c>
      <c r="AS254" s="20">
        <f>IF(B254="","",IF(AR254="","",ROUND(AM254+AR254*AL254,2)))</f>
        <v>0</v>
      </c>
      <c r="AT254" s="20">
        <f>IF(B254="","",IF(AR254="","",ROUND(AH254+AS254,2)))</f>
        <v>0</v>
      </c>
      <c r="AU254" s="20">
        <f>IF(B254="","",IF(AR254="","",ROUND(AR254*AI254+AK254,2)))</f>
        <v>0</v>
      </c>
      <c r="AV254" s="20">
        <f>IF(B254="","",IF(AR254="","",ROUND(AR254-AT254-AU254,2)))</f>
        <v>0</v>
      </c>
      <c r="AW254" s="33">
        <f>IF(B254="","",IF(OR(AR254="",AR254=0),"",AV254/AR254))</f>
        <v>0</v>
      </c>
      <c r="AX254" s="33">
        <f>IF(B254="","",IF(OR(AT254="",AT254=0),"",AV254/AT254))</f>
        <v>0</v>
      </c>
      <c r="AY254" s="20">
        <f>IF(B254="","",IF(OR(Y254="",Y254=0,AV254=""),"",ROUND(AV254/Y254,2)))</f>
        <v>0</v>
      </c>
      <c r="AZ254" s="20">
        <f>IF(B254="","",IF(OR(Y254="",Y254=0,AV254=""),"",ROUND((AV254+Z254)/Y254,2)))</f>
        <v>0</v>
      </c>
      <c r="BA254" s="20">
        <f>IF(B254="","",IF(1-AI254-AL254&lt;=0,"",ROUND((AH254+AM254+AK254)/(1-AI254-AL254),2)))</f>
        <v>0</v>
      </c>
      <c r="BB254" s="20">
        <f>IF(B254="","",IF(AT254="","",ROUND(AT254*2,2)))</f>
        <v>0</v>
      </c>
      <c r="BC254" s="20">
        <f>IF(B254="","",IF(AR254="","",ROUND(AR254*(1-WholesaleDiscount),2)))</f>
        <v>0</v>
      </c>
      <c r="BD254" s="20">
        <f>IF(B254="","",IF(BC254="","",ROUND(BC254-AH254-AM254,2)))</f>
        <v>0</v>
      </c>
      <c r="BE254" s="33">
        <f>IF(B254="","",IF(OR(BC254="",BC254=0),"",BD254/BC254))</f>
        <v>0</v>
      </c>
      <c r="BF254" s="20">
        <f>IF(B254="","",IFERROR(ROUND(AVERAGEIFS(Competitors!$F$5:$F$154,Competitors!$A$5:$A$154,A254),2),""))</f>
        <v>0</v>
      </c>
      <c r="BG254" s="33">
        <f>IF(B254="","",IF(OR(BF254="",BF254=0,AR254=""),"",AR254/BF254-1))</f>
        <v>0</v>
      </c>
      <c r="BH254" s="32">
        <f>IF(B254="","",SUMIFS(Sales!$D$5:$D$804,Sales!$C$5:$C$804,A254))</f>
        <v>0</v>
      </c>
      <c r="BI254" s="20">
        <f>IF(B254="","",ROUND(SUMIFS(Sales!$V$5:$V$804,Sales!$C$5:$C$804,A254),2))</f>
        <v>0</v>
      </c>
      <c r="BJ254" s="20">
        <f>IF(B254="","",ROUND(SUMIFS(Sales!$AG$5:$AG$804,Sales!$C$5:$C$804,A254),2))</f>
        <v>0</v>
      </c>
      <c r="BK254" s="33">
        <f>IF(B254="","",IF(OR(BI254="",BI254=0),"",BJ254/BI254))</f>
        <v>0</v>
      </c>
      <c r="BL254" s="17">
        <f>IF(B254="","",IF(SUMPRODUCT(MAX((Sales!$C$5:$C$804=A254)*Sales!$B$5:$B$804))=0,"",SUMPRODUCT(MAX((Sales!$C$5:$C$804=A254)*Sales!$B$5:$B$804))))</f>
        <v>0</v>
      </c>
      <c r="BM254" s="17">
        <f>IF(B254="","",IF(SUMPRODUCT(MAX(('Price History'!$B$5:$B$304=A254)*'Price History'!$A$5:$A$304))=0,IF(P254="","",P254),SUMPRODUCT(MAX(('Price History'!$B$5:$B$304=A254)*'Price History'!$A$5:$A$304))))</f>
        <v>0</v>
      </c>
      <c r="BN254" s="32">
        <f>IF(B254="","",IF(BM254="","",TodayDate-BM254))</f>
        <v>0</v>
      </c>
      <c r="BO254" s="32">
        <f>IF(B254="","",COUNTIFS($AV$5:$AV$304,"&gt;"&amp;AV254)+COUNTIFS($AV$5:AV254,AV254))</f>
        <v>0</v>
      </c>
      <c r="BP254" s="32">
        <f>IF(B254="","",COUNTIFS($AW$5:$AW$304,"&gt;"&amp;AW254)+COUNTIFS($AW$5:AW254,AW254))</f>
        <v>0</v>
      </c>
      <c r="BQ254" s="32">
        <f>IF(B254="","",COUNTIFS($BI$5:$BI$304,"&gt;"&amp;BI254)+COUNTIFS($BI$5:BI254,BI254))</f>
        <v>0</v>
      </c>
      <c r="BR254" s="32">
        <f>IF(B254="","",COUNTIFS($AY$5:$AY$304,"&gt;"&amp;AY254)+COUNTIFS($AY$5:AY254,AY254))</f>
        <v>0</v>
      </c>
      <c r="BS254" s="43">
        <f>IF(B254="","",IF(AH254=0,"Add - no costs entered yet",IF(AR254="","Check - no price yet",IF(AV254&lt;0,"Loss - every sale costs you money",IF(AND(AZ254&lt;&gt;"",AZ254&lt;MinimumWage),"Below - pays under minimum wage",IF(AW254&lt;MarginWarning,"Low margin - re-price it",IF(AND(AF254&lt;&gt;"",K254&lt;&gt;"",K254+AC254&gt;AF254),"Check - too heavy for that postage band",IF(AND(BN254&lt;&gt;"",BN254&gt;PriceReviewDays),"Due - price has not been reviewed",IF(AND(BG254&lt;&gt;"",BG254&gt;0.5),"Check - well above the market","OK")))))))) )</f>
        <v>0</v>
      </c>
    </row>
    <row r="255" spans="1:71">
      <c r="A255" s="38">
        <f>IF(B255="","",ProductPrefix&amp;TEXT(ROW()-4,"0000"))</f>
        <v>0</v>
      </c>
      <c r="S255" s="38">
        <f>IF(B255="","",IF(C255&lt;&gt;"",C255,UPPER(LEFT(IF(D255="","GEN",D255),3))&amp;"-"&amp;TEXT(ROW()-4,"000")))</f>
        <v>0</v>
      </c>
      <c r="T255" s="20">
        <f>IF(B255="","",ROUND(SUMIFS('Material Usage'!$M$5:$M$904,'Material Usage'!$A$5:$A$904,A255)+SUMIFS(Crochet!$AD$5:$AD$84,Crochet!$A$5:$A$84,A255)+SUMIFS(Jewelry!$AF$5:$AF$84,Jewelry!$A$5:$A$84,A255)+SUMIFS(Candles!$AF$5:$AF$84,Candles!$A$5:$A$84,A255)+SUMIFS(Clothing!$AB$5:$AB$84,Clothing!$A$5:$A$84,A255)+SUMIFS(Woodworking!$AC$5:$AC$84,Woodworking!$A$5:$A$84,A255)+SUMIFS(Digital!$X$5:$X$84,Digital!$A$5:$A$84,A255),2))</f>
        <v>0</v>
      </c>
      <c r="U255" s="20">
        <f>IF(B255="","",ROUND(SUMIFS(Labor!$O$5:$O$304,Labor!$A$5:$A$304,A255)+SUMIFS(Crochet!$AG$5:$AG$84,Crochet!$A$5:$A$84,A255)+SUMIFS(Jewelry!$AI$5:$AI$84,Jewelry!$A$5:$A$84,A255)+SUMIFS(Candles!$AI$5:$AI$84,Candles!$A$5:$A$84,A255)+SUMIFS(Clothing!$AE$5:$AE$84,Clothing!$A$5:$A$84,A255)+SUMIFS(Woodworking!$AF$5:$AF$84,Woodworking!$A$5:$A$84,A255)+SUMIFS(Digital!$Z$5:$Z$84,Digital!$A$5:$A$84,A255),2))</f>
        <v>0</v>
      </c>
      <c r="V255" s="36">
        <f>IF(B255="","",ROUND(SUMIFS(Labor!$P$5:$P$304,Labor!$A$5:$A$304,A255)+SUMIFS(Crochet!$AE$5:$AE$84,Crochet!$A$5:$A$84,A255)+SUMIFS(Jewelry!$AG$5:$AG$84,Jewelry!$A$5:$A$84,A255)+SUMIFS(Candles!$AG$5:$AG$84,Candles!$A$5:$A$84,A255)+SUMIFS(Clothing!$AC$5:$AC$84,Clothing!$A$5:$A$84,A255)+SUMIFS(Woodworking!$AD$5:$AD$84,Woodworking!$A$5:$A$84,A255)+SUMIFS(Digital!$Y$5:$Y$84,Digital!$A$5:$A$84,A255),1))</f>
        <v>0</v>
      </c>
      <c r="W255" s="41">
        <f>IF(B255="","",IFERROR(INDEX(DiffTimeFactors,MATCH(G255,DiffNames,0)),1))</f>
        <v>0</v>
      </c>
      <c r="X255" s="36">
        <f>IF(B255="","",ROUND(V255*W255,1))</f>
        <v>0</v>
      </c>
      <c r="Y255" s="41">
        <f>IF(B255="","",ROUND(X255/60,3))</f>
        <v>0</v>
      </c>
      <c r="Z255" s="20">
        <f>IF(B255="","",ROUND(U255*W255,2))</f>
        <v>0</v>
      </c>
      <c r="AA255" s="20">
        <f>IF(B255="","",ROUND(SUMIFS(Labor!$Q$5:$Q$304,Labor!$A$5:$A$304,A255)+SUMIFS(Crochet!$AH$5:$AH$84,Crochet!$A$5:$A$84,A255)+SUMIFS(Jewelry!$AJ$5:$AJ$84,Jewelry!$A$5:$A$84,A255)+SUMIFS(Candles!$AJ$5:$AJ$84,Candles!$A$5:$A$84,A255)+SUMIFS(Clothing!$AF$5:$AF$84,Clothing!$A$5:$A$84,A255)+SUMIFS(Woodworking!$AH$5:$AH$84,Woodworking!$A$5:$A$84,A255)+SUMIFS(Digital!$AA$5:$AA$84,Digital!$A$5:$A$84,A255),2))</f>
        <v>0</v>
      </c>
      <c r="AB255" s="20">
        <f>IF(B255="","",ROUND(IF(I255="Budget",PackBudget,IF(I255="Standard",PackStandard,IF(I255="Gift",PackGift,IF(I255="Premium",PackPremium,DefaultPackaging)))),2))</f>
        <v>0</v>
      </c>
      <c r="AC255" s="36">
        <f>IF(B255="","",IF(I255="Budget",PackWeightBudget,IF(I255="Standard",PackWeightStandard,IF(I255="Gift",PackWeightGift,IF(I255="Premium",PackWeightPremium,0)))))</f>
        <v>0</v>
      </c>
      <c r="AD255" s="20">
        <f>IF(B255="","",IFERROR(INDEX(Shipping!$M$5:$M$64,MATCH(J255,Shipping!$L$5:$L$64,0)),DefaultShipping))</f>
        <v>0</v>
      </c>
      <c r="AE255" s="20">
        <f>IF(B255="","",IFERROR(INDEX(Shipping!$F$5:$F$64,MATCH(J255,Shipping!$L$5:$L$64,0)),0))</f>
        <v>0</v>
      </c>
      <c r="AF255" s="36">
        <f>IF(B255="","",IFERROR(INDEX(Shipping!$C$5:$C$64,MATCH(J255,Shipping!$L$5:$L$64,0)),""))</f>
        <v>0</v>
      </c>
      <c r="AG255" s="20">
        <f>IF(B255="","",ROUND(MAX(0,AD255-AE255),2))</f>
        <v>0</v>
      </c>
      <c r="AH255" s="20">
        <f>IF(B255="","",ROUND(T255+Z255+AA255+AB255+AG255,2))</f>
        <v>0</v>
      </c>
      <c r="AI255" s="33">
        <f>IF(B255="","",IFERROR(INDEX(Channels!$S$5:$S$18,MATCH(IF(H255="",DefaultChannel,H255),Channels!$A$5:$A$18,0)),0))</f>
        <v>0</v>
      </c>
      <c r="AJ255" s="42">
        <f>IF(B255="","",IFERROR(INDEX(Channels!$O$5:$O$18,MATCH(IF(H255="",DefaultChannel,H255),Channels!$A$5:$A$18,0)),"No"))</f>
        <v>0</v>
      </c>
      <c r="AK255" s="20">
        <f>IF(B255="","",ROUND(IFERROR(INDEX(Channels!$T$5:$T$18,MATCH(IF(H255="",DefaultChannel,H255),Channels!$A$5:$A$18,0)),0)+IF(AJ255="Yes",AE255*AI255,0),4))</f>
        <v>0</v>
      </c>
      <c r="AL255" s="33">
        <f>IF(B255="","",IF(OverheadMethod="Share of revenue",IF(RevenueTargetMonth&lt;=0,0,OverheadMonthly/RevenueTargetMonth),0))</f>
        <v>0</v>
      </c>
      <c r="AM255" s="20">
        <f>IF(B255="","",IF(OverheadMethod="Per hour worked",ROUND(OverheadPerHour*Y255,2),IF(OR(OverheadMethod="Per unit made",OverheadMethod="Per order"),OverheadPerUnit,0)))</f>
        <v>0</v>
      </c>
      <c r="AN255" s="33">
        <f>IF(B255="","",IF(N255&lt;&gt;"",N255,TargetRetailMargin))</f>
        <v>0</v>
      </c>
      <c r="AO255" s="41">
        <f>IF(B255="","",1-AN255-AI255-AL255)</f>
        <v>0</v>
      </c>
      <c r="AP255" s="20">
        <f>IF(B255="","",IF(AO255&lt;=0,"",(AH255+AM255+AK255)/AO255))</f>
        <v>0</v>
      </c>
      <c r="AQ255" s="20">
        <f>IF(B255="","",IF(AP255="","Check the settings",ROUND(IF(RoundingRule="None",AP255,IF(RoundingRule="Nearest 0.99",MAX(0.99,CEILING(AP255,1)-0.01),IF(RoundingRule="Nearest 0.95",MAX(0.95,CEILING(AP255,1)-0.05),IF(RoundingRule="Nearest 0.50",CEILING(AP255,0.5),IF(RoundingRule="Nearest 1",CEILING(AP255,1),IF(RoundingRule="Nearest 5",CEILING(AP255,5),IF(RoundingRule="Up to whole 1",CEILING(AP255,1),IF(RoundingRule="Up to whole 5",CEILING(AP255,5),ROUND(AP255,2))))))))),2)))</f>
        <v>0</v>
      </c>
      <c r="AR255" s="20">
        <f>IF(B255="","",IF(M255&lt;&gt;"",M255,IF(ISNUMBER(AQ255),AQ255,"")))</f>
        <v>0</v>
      </c>
      <c r="AS255" s="20">
        <f>IF(B255="","",IF(AR255="","",ROUND(AM255+AR255*AL255,2)))</f>
        <v>0</v>
      </c>
      <c r="AT255" s="20">
        <f>IF(B255="","",IF(AR255="","",ROUND(AH255+AS255,2)))</f>
        <v>0</v>
      </c>
      <c r="AU255" s="20">
        <f>IF(B255="","",IF(AR255="","",ROUND(AR255*AI255+AK255,2)))</f>
        <v>0</v>
      </c>
      <c r="AV255" s="20">
        <f>IF(B255="","",IF(AR255="","",ROUND(AR255-AT255-AU255,2)))</f>
        <v>0</v>
      </c>
      <c r="AW255" s="33">
        <f>IF(B255="","",IF(OR(AR255="",AR255=0),"",AV255/AR255))</f>
        <v>0</v>
      </c>
      <c r="AX255" s="33">
        <f>IF(B255="","",IF(OR(AT255="",AT255=0),"",AV255/AT255))</f>
        <v>0</v>
      </c>
      <c r="AY255" s="20">
        <f>IF(B255="","",IF(OR(Y255="",Y255=0,AV255=""),"",ROUND(AV255/Y255,2)))</f>
        <v>0</v>
      </c>
      <c r="AZ255" s="20">
        <f>IF(B255="","",IF(OR(Y255="",Y255=0,AV255=""),"",ROUND((AV255+Z255)/Y255,2)))</f>
        <v>0</v>
      </c>
      <c r="BA255" s="20">
        <f>IF(B255="","",IF(1-AI255-AL255&lt;=0,"",ROUND((AH255+AM255+AK255)/(1-AI255-AL255),2)))</f>
        <v>0</v>
      </c>
      <c r="BB255" s="20">
        <f>IF(B255="","",IF(AT255="","",ROUND(AT255*2,2)))</f>
        <v>0</v>
      </c>
      <c r="BC255" s="20">
        <f>IF(B255="","",IF(AR255="","",ROUND(AR255*(1-WholesaleDiscount),2)))</f>
        <v>0</v>
      </c>
      <c r="BD255" s="20">
        <f>IF(B255="","",IF(BC255="","",ROUND(BC255-AH255-AM255,2)))</f>
        <v>0</v>
      </c>
      <c r="BE255" s="33">
        <f>IF(B255="","",IF(OR(BC255="",BC255=0),"",BD255/BC255))</f>
        <v>0</v>
      </c>
      <c r="BF255" s="20">
        <f>IF(B255="","",IFERROR(ROUND(AVERAGEIFS(Competitors!$F$5:$F$154,Competitors!$A$5:$A$154,A255),2),""))</f>
        <v>0</v>
      </c>
      <c r="BG255" s="33">
        <f>IF(B255="","",IF(OR(BF255="",BF255=0,AR255=""),"",AR255/BF255-1))</f>
        <v>0</v>
      </c>
      <c r="BH255" s="32">
        <f>IF(B255="","",SUMIFS(Sales!$D$5:$D$804,Sales!$C$5:$C$804,A255))</f>
        <v>0</v>
      </c>
      <c r="BI255" s="20">
        <f>IF(B255="","",ROUND(SUMIFS(Sales!$V$5:$V$804,Sales!$C$5:$C$804,A255),2))</f>
        <v>0</v>
      </c>
      <c r="BJ255" s="20">
        <f>IF(B255="","",ROUND(SUMIFS(Sales!$AG$5:$AG$804,Sales!$C$5:$C$804,A255),2))</f>
        <v>0</v>
      </c>
      <c r="BK255" s="33">
        <f>IF(B255="","",IF(OR(BI255="",BI255=0),"",BJ255/BI255))</f>
        <v>0</v>
      </c>
      <c r="BL255" s="17">
        <f>IF(B255="","",IF(SUMPRODUCT(MAX((Sales!$C$5:$C$804=A255)*Sales!$B$5:$B$804))=0,"",SUMPRODUCT(MAX((Sales!$C$5:$C$804=A255)*Sales!$B$5:$B$804))))</f>
        <v>0</v>
      </c>
      <c r="BM255" s="17">
        <f>IF(B255="","",IF(SUMPRODUCT(MAX(('Price History'!$B$5:$B$304=A255)*'Price History'!$A$5:$A$304))=0,IF(P255="","",P255),SUMPRODUCT(MAX(('Price History'!$B$5:$B$304=A255)*'Price History'!$A$5:$A$304))))</f>
        <v>0</v>
      </c>
      <c r="BN255" s="32">
        <f>IF(B255="","",IF(BM255="","",TodayDate-BM255))</f>
        <v>0</v>
      </c>
      <c r="BO255" s="32">
        <f>IF(B255="","",COUNTIFS($AV$5:$AV$304,"&gt;"&amp;AV255)+COUNTIFS($AV$5:AV255,AV255))</f>
        <v>0</v>
      </c>
      <c r="BP255" s="32">
        <f>IF(B255="","",COUNTIFS($AW$5:$AW$304,"&gt;"&amp;AW255)+COUNTIFS($AW$5:AW255,AW255))</f>
        <v>0</v>
      </c>
      <c r="BQ255" s="32">
        <f>IF(B255="","",COUNTIFS($BI$5:$BI$304,"&gt;"&amp;BI255)+COUNTIFS($BI$5:BI255,BI255))</f>
        <v>0</v>
      </c>
      <c r="BR255" s="32">
        <f>IF(B255="","",COUNTIFS($AY$5:$AY$304,"&gt;"&amp;AY255)+COUNTIFS($AY$5:AY255,AY255))</f>
        <v>0</v>
      </c>
      <c r="BS255" s="43">
        <f>IF(B255="","",IF(AH255=0,"Add - no costs entered yet",IF(AR255="","Check - no price yet",IF(AV255&lt;0,"Loss - every sale costs you money",IF(AND(AZ255&lt;&gt;"",AZ255&lt;MinimumWage),"Below - pays under minimum wage",IF(AW255&lt;MarginWarning,"Low margin - re-price it",IF(AND(AF255&lt;&gt;"",K255&lt;&gt;"",K255+AC255&gt;AF255),"Check - too heavy for that postage band",IF(AND(BN255&lt;&gt;"",BN255&gt;PriceReviewDays),"Due - price has not been reviewed",IF(AND(BG255&lt;&gt;"",BG255&gt;0.5),"Check - well above the market","OK")))))))) )</f>
        <v>0</v>
      </c>
    </row>
    <row r="256" spans="1:71">
      <c r="A256" s="38">
        <f>IF(B256="","",ProductPrefix&amp;TEXT(ROW()-4,"0000"))</f>
        <v>0</v>
      </c>
      <c r="S256" s="38">
        <f>IF(B256="","",IF(C256&lt;&gt;"",C256,UPPER(LEFT(IF(D256="","GEN",D256),3))&amp;"-"&amp;TEXT(ROW()-4,"000")))</f>
        <v>0</v>
      </c>
      <c r="T256" s="20">
        <f>IF(B256="","",ROUND(SUMIFS('Material Usage'!$M$5:$M$904,'Material Usage'!$A$5:$A$904,A256)+SUMIFS(Crochet!$AD$5:$AD$84,Crochet!$A$5:$A$84,A256)+SUMIFS(Jewelry!$AF$5:$AF$84,Jewelry!$A$5:$A$84,A256)+SUMIFS(Candles!$AF$5:$AF$84,Candles!$A$5:$A$84,A256)+SUMIFS(Clothing!$AB$5:$AB$84,Clothing!$A$5:$A$84,A256)+SUMIFS(Woodworking!$AC$5:$AC$84,Woodworking!$A$5:$A$84,A256)+SUMIFS(Digital!$X$5:$X$84,Digital!$A$5:$A$84,A256),2))</f>
        <v>0</v>
      </c>
      <c r="U256" s="20">
        <f>IF(B256="","",ROUND(SUMIFS(Labor!$O$5:$O$304,Labor!$A$5:$A$304,A256)+SUMIFS(Crochet!$AG$5:$AG$84,Crochet!$A$5:$A$84,A256)+SUMIFS(Jewelry!$AI$5:$AI$84,Jewelry!$A$5:$A$84,A256)+SUMIFS(Candles!$AI$5:$AI$84,Candles!$A$5:$A$84,A256)+SUMIFS(Clothing!$AE$5:$AE$84,Clothing!$A$5:$A$84,A256)+SUMIFS(Woodworking!$AF$5:$AF$84,Woodworking!$A$5:$A$84,A256)+SUMIFS(Digital!$Z$5:$Z$84,Digital!$A$5:$A$84,A256),2))</f>
        <v>0</v>
      </c>
      <c r="V256" s="36">
        <f>IF(B256="","",ROUND(SUMIFS(Labor!$P$5:$P$304,Labor!$A$5:$A$304,A256)+SUMIFS(Crochet!$AE$5:$AE$84,Crochet!$A$5:$A$84,A256)+SUMIFS(Jewelry!$AG$5:$AG$84,Jewelry!$A$5:$A$84,A256)+SUMIFS(Candles!$AG$5:$AG$84,Candles!$A$5:$A$84,A256)+SUMIFS(Clothing!$AC$5:$AC$84,Clothing!$A$5:$A$84,A256)+SUMIFS(Woodworking!$AD$5:$AD$84,Woodworking!$A$5:$A$84,A256)+SUMIFS(Digital!$Y$5:$Y$84,Digital!$A$5:$A$84,A256),1))</f>
        <v>0</v>
      </c>
      <c r="W256" s="41">
        <f>IF(B256="","",IFERROR(INDEX(DiffTimeFactors,MATCH(G256,DiffNames,0)),1))</f>
        <v>0</v>
      </c>
      <c r="X256" s="36">
        <f>IF(B256="","",ROUND(V256*W256,1))</f>
        <v>0</v>
      </c>
      <c r="Y256" s="41">
        <f>IF(B256="","",ROUND(X256/60,3))</f>
        <v>0</v>
      </c>
      <c r="Z256" s="20">
        <f>IF(B256="","",ROUND(U256*W256,2))</f>
        <v>0</v>
      </c>
      <c r="AA256" s="20">
        <f>IF(B256="","",ROUND(SUMIFS(Labor!$Q$5:$Q$304,Labor!$A$5:$A$304,A256)+SUMIFS(Crochet!$AH$5:$AH$84,Crochet!$A$5:$A$84,A256)+SUMIFS(Jewelry!$AJ$5:$AJ$84,Jewelry!$A$5:$A$84,A256)+SUMIFS(Candles!$AJ$5:$AJ$84,Candles!$A$5:$A$84,A256)+SUMIFS(Clothing!$AF$5:$AF$84,Clothing!$A$5:$A$84,A256)+SUMIFS(Woodworking!$AH$5:$AH$84,Woodworking!$A$5:$A$84,A256)+SUMIFS(Digital!$AA$5:$AA$84,Digital!$A$5:$A$84,A256),2))</f>
        <v>0</v>
      </c>
      <c r="AB256" s="20">
        <f>IF(B256="","",ROUND(IF(I256="Budget",PackBudget,IF(I256="Standard",PackStandard,IF(I256="Gift",PackGift,IF(I256="Premium",PackPremium,DefaultPackaging)))),2))</f>
        <v>0</v>
      </c>
      <c r="AC256" s="36">
        <f>IF(B256="","",IF(I256="Budget",PackWeightBudget,IF(I256="Standard",PackWeightStandard,IF(I256="Gift",PackWeightGift,IF(I256="Premium",PackWeightPremium,0)))))</f>
        <v>0</v>
      </c>
      <c r="AD256" s="20">
        <f>IF(B256="","",IFERROR(INDEX(Shipping!$M$5:$M$64,MATCH(J256,Shipping!$L$5:$L$64,0)),DefaultShipping))</f>
        <v>0</v>
      </c>
      <c r="AE256" s="20">
        <f>IF(B256="","",IFERROR(INDEX(Shipping!$F$5:$F$64,MATCH(J256,Shipping!$L$5:$L$64,0)),0))</f>
        <v>0</v>
      </c>
      <c r="AF256" s="36">
        <f>IF(B256="","",IFERROR(INDEX(Shipping!$C$5:$C$64,MATCH(J256,Shipping!$L$5:$L$64,0)),""))</f>
        <v>0</v>
      </c>
      <c r="AG256" s="20">
        <f>IF(B256="","",ROUND(MAX(0,AD256-AE256),2))</f>
        <v>0</v>
      </c>
      <c r="AH256" s="20">
        <f>IF(B256="","",ROUND(T256+Z256+AA256+AB256+AG256,2))</f>
        <v>0</v>
      </c>
      <c r="AI256" s="33">
        <f>IF(B256="","",IFERROR(INDEX(Channels!$S$5:$S$18,MATCH(IF(H256="",DefaultChannel,H256),Channels!$A$5:$A$18,0)),0))</f>
        <v>0</v>
      </c>
      <c r="AJ256" s="42">
        <f>IF(B256="","",IFERROR(INDEX(Channels!$O$5:$O$18,MATCH(IF(H256="",DefaultChannel,H256),Channels!$A$5:$A$18,0)),"No"))</f>
        <v>0</v>
      </c>
      <c r="AK256" s="20">
        <f>IF(B256="","",ROUND(IFERROR(INDEX(Channels!$T$5:$T$18,MATCH(IF(H256="",DefaultChannel,H256),Channels!$A$5:$A$18,0)),0)+IF(AJ256="Yes",AE256*AI256,0),4))</f>
        <v>0</v>
      </c>
      <c r="AL256" s="33">
        <f>IF(B256="","",IF(OverheadMethod="Share of revenue",IF(RevenueTargetMonth&lt;=0,0,OverheadMonthly/RevenueTargetMonth),0))</f>
        <v>0</v>
      </c>
      <c r="AM256" s="20">
        <f>IF(B256="","",IF(OverheadMethod="Per hour worked",ROUND(OverheadPerHour*Y256,2),IF(OR(OverheadMethod="Per unit made",OverheadMethod="Per order"),OverheadPerUnit,0)))</f>
        <v>0</v>
      </c>
      <c r="AN256" s="33">
        <f>IF(B256="","",IF(N256&lt;&gt;"",N256,TargetRetailMargin))</f>
        <v>0</v>
      </c>
      <c r="AO256" s="41">
        <f>IF(B256="","",1-AN256-AI256-AL256)</f>
        <v>0</v>
      </c>
      <c r="AP256" s="20">
        <f>IF(B256="","",IF(AO256&lt;=0,"",(AH256+AM256+AK256)/AO256))</f>
        <v>0</v>
      </c>
      <c r="AQ256" s="20">
        <f>IF(B256="","",IF(AP256="","Check the settings",ROUND(IF(RoundingRule="None",AP256,IF(RoundingRule="Nearest 0.99",MAX(0.99,CEILING(AP256,1)-0.01),IF(RoundingRule="Nearest 0.95",MAX(0.95,CEILING(AP256,1)-0.05),IF(RoundingRule="Nearest 0.50",CEILING(AP256,0.5),IF(RoundingRule="Nearest 1",CEILING(AP256,1),IF(RoundingRule="Nearest 5",CEILING(AP256,5),IF(RoundingRule="Up to whole 1",CEILING(AP256,1),IF(RoundingRule="Up to whole 5",CEILING(AP256,5),ROUND(AP256,2))))))))),2)))</f>
        <v>0</v>
      </c>
      <c r="AR256" s="20">
        <f>IF(B256="","",IF(M256&lt;&gt;"",M256,IF(ISNUMBER(AQ256),AQ256,"")))</f>
        <v>0</v>
      </c>
      <c r="AS256" s="20">
        <f>IF(B256="","",IF(AR256="","",ROUND(AM256+AR256*AL256,2)))</f>
        <v>0</v>
      </c>
      <c r="AT256" s="20">
        <f>IF(B256="","",IF(AR256="","",ROUND(AH256+AS256,2)))</f>
        <v>0</v>
      </c>
      <c r="AU256" s="20">
        <f>IF(B256="","",IF(AR256="","",ROUND(AR256*AI256+AK256,2)))</f>
        <v>0</v>
      </c>
      <c r="AV256" s="20">
        <f>IF(B256="","",IF(AR256="","",ROUND(AR256-AT256-AU256,2)))</f>
        <v>0</v>
      </c>
      <c r="AW256" s="33">
        <f>IF(B256="","",IF(OR(AR256="",AR256=0),"",AV256/AR256))</f>
        <v>0</v>
      </c>
      <c r="AX256" s="33">
        <f>IF(B256="","",IF(OR(AT256="",AT256=0),"",AV256/AT256))</f>
        <v>0</v>
      </c>
      <c r="AY256" s="20">
        <f>IF(B256="","",IF(OR(Y256="",Y256=0,AV256=""),"",ROUND(AV256/Y256,2)))</f>
        <v>0</v>
      </c>
      <c r="AZ256" s="20">
        <f>IF(B256="","",IF(OR(Y256="",Y256=0,AV256=""),"",ROUND((AV256+Z256)/Y256,2)))</f>
        <v>0</v>
      </c>
      <c r="BA256" s="20">
        <f>IF(B256="","",IF(1-AI256-AL256&lt;=0,"",ROUND((AH256+AM256+AK256)/(1-AI256-AL256),2)))</f>
        <v>0</v>
      </c>
      <c r="BB256" s="20">
        <f>IF(B256="","",IF(AT256="","",ROUND(AT256*2,2)))</f>
        <v>0</v>
      </c>
      <c r="BC256" s="20">
        <f>IF(B256="","",IF(AR256="","",ROUND(AR256*(1-WholesaleDiscount),2)))</f>
        <v>0</v>
      </c>
      <c r="BD256" s="20">
        <f>IF(B256="","",IF(BC256="","",ROUND(BC256-AH256-AM256,2)))</f>
        <v>0</v>
      </c>
      <c r="BE256" s="33">
        <f>IF(B256="","",IF(OR(BC256="",BC256=0),"",BD256/BC256))</f>
        <v>0</v>
      </c>
      <c r="BF256" s="20">
        <f>IF(B256="","",IFERROR(ROUND(AVERAGEIFS(Competitors!$F$5:$F$154,Competitors!$A$5:$A$154,A256),2),""))</f>
        <v>0</v>
      </c>
      <c r="BG256" s="33">
        <f>IF(B256="","",IF(OR(BF256="",BF256=0,AR256=""),"",AR256/BF256-1))</f>
        <v>0</v>
      </c>
      <c r="BH256" s="32">
        <f>IF(B256="","",SUMIFS(Sales!$D$5:$D$804,Sales!$C$5:$C$804,A256))</f>
        <v>0</v>
      </c>
      <c r="BI256" s="20">
        <f>IF(B256="","",ROUND(SUMIFS(Sales!$V$5:$V$804,Sales!$C$5:$C$804,A256),2))</f>
        <v>0</v>
      </c>
      <c r="BJ256" s="20">
        <f>IF(B256="","",ROUND(SUMIFS(Sales!$AG$5:$AG$804,Sales!$C$5:$C$804,A256),2))</f>
        <v>0</v>
      </c>
      <c r="BK256" s="33">
        <f>IF(B256="","",IF(OR(BI256="",BI256=0),"",BJ256/BI256))</f>
        <v>0</v>
      </c>
      <c r="BL256" s="17">
        <f>IF(B256="","",IF(SUMPRODUCT(MAX((Sales!$C$5:$C$804=A256)*Sales!$B$5:$B$804))=0,"",SUMPRODUCT(MAX((Sales!$C$5:$C$804=A256)*Sales!$B$5:$B$804))))</f>
        <v>0</v>
      </c>
      <c r="BM256" s="17">
        <f>IF(B256="","",IF(SUMPRODUCT(MAX(('Price History'!$B$5:$B$304=A256)*'Price History'!$A$5:$A$304))=0,IF(P256="","",P256),SUMPRODUCT(MAX(('Price History'!$B$5:$B$304=A256)*'Price History'!$A$5:$A$304))))</f>
        <v>0</v>
      </c>
      <c r="BN256" s="32">
        <f>IF(B256="","",IF(BM256="","",TodayDate-BM256))</f>
        <v>0</v>
      </c>
      <c r="BO256" s="32">
        <f>IF(B256="","",COUNTIFS($AV$5:$AV$304,"&gt;"&amp;AV256)+COUNTIFS($AV$5:AV256,AV256))</f>
        <v>0</v>
      </c>
      <c r="BP256" s="32">
        <f>IF(B256="","",COUNTIFS($AW$5:$AW$304,"&gt;"&amp;AW256)+COUNTIFS($AW$5:AW256,AW256))</f>
        <v>0</v>
      </c>
      <c r="BQ256" s="32">
        <f>IF(B256="","",COUNTIFS($BI$5:$BI$304,"&gt;"&amp;BI256)+COUNTIFS($BI$5:BI256,BI256))</f>
        <v>0</v>
      </c>
      <c r="BR256" s="32">
        <f>IF(B256="","",COUNTIFS($AY$5:$AY$304,"&gt;"&amp;AY256)+COUNTIFS($AY$5:AY256,AY256))</f>
        <v>0</v>
      </c>
      <c r="BS256" s="43">
        <f>IF(B256="","",IF(AH256=0,"Add - no costs entered yet",IF(AR256="","Check - no price yet",IF(AV256&lt;0,"Loss - every sale costs you money",IF(AND(AZ256&lt;&gt;"",AZ256&lt;MinimumWage),"Below - pays under minimum wage",IF(AW256&lt;MarginWarning,"Low margin - re-price it",IF(AND(AF256&lt;&gt;"",K256&lt;&gt;"",K256+AC256&gt;AF256),"Check - too heavy for that postage band",IF(AND(BN256&lt;&gt;"",BN256&gt;PriceReviewDays),"Due - price has not been reviewed",IF(AND(BG256&lt;&gt;"",BG256&gt;0.5),"Check - well above the market","OK")))))))) )</f>
        <v>0</v>
      </c>
    </row>
    <row r="257" spans="1:71">
      <c r="A257" s="38">
        <f>IF(B257="","",ProductPrefix&amp;TEXT(ROW()-4,"0000"))</f>
        <v>0</v>
      </c>
      <c r="S257" s="38">
        <f>IF(B257="","",IF(C257&lt;&gt;"",C257,UPPER(LEFT(IF(D257="","GEN",D257),3))&amp;"-"&amp;TEXT(ROW()-4,"000")))</f>
        <v>0</v>
      </c>
      <c r="T257" s="20">
        <f>IF(B257="","",ROUND(SUMIFS('Material Usage'!$M$5:$M$904,'Material Usage'!$A$5:$A$904,A257)+SUMIFS(Crochet!$AD$5:$AD$84,Crochet!$A$5:$A$84,A257)+SUMIFS(Jewelry!$AF$5:$AF$84,Jewelry!$A$5:$A$84,A257)+SUMIFS(Candles!$AF$5:$AF$84,Candles!$A$5:$A$84,A257)+SUMIFS(Clothing!$AB$5:$AB$84,Clothing!$A$5:$A$84,A257)+SUMIFS(Woodworking!$AC$5:$AC$84,Woodworking!$A$5:$A$84,A257)+SUMIFS(Digital!$X$5:$X$84,Digital!$A$5:$A$84,A257),2))</f>
        <v>0</v>
      </c>
      <c r="U257" s="20">
        <f>IF(B257="","",ROUND(SUMIFS(Labor!$O$5:$O$304,Labor!$A$5:$A$304,A257)+SUMIFS(Crochet!$AG$5:$AG$84,Crochet!$A$5:$A$84,A257)+SUMIFS(Jewelry!$AI$5:$AI$84,Jewelry!$A$5:$A$84,A257)+SUMIFS(Candles!$AI$5:$AI$84,Candles!$A$5:$A$84,A257)+SUMIFS(Clothing!$AE$5:$AE$84,Clothing!$A$5:$A$84,A257)+SUMIFS(Woodworking!$AF$5:$AF$84,Woodworking!$A$5:$A$84,A257)+SUMIFS(Digital!$Z$5:$Z$84,Digital!$A$5:$A$84,A257),2))</f>
        <v>0</v>
      </c>
      <c r="V257" s="36">
        <f>IF(B257="","",ROUND(SUMIFS(Labor!$P$5:$P$304,Labor!$A$5:$A$304,A257)+SUMIFS(Crochet!$AE$5:$AE$84,Crochet!$A$5:$A$84,A257)+SUMIFS(Jewelry!$AG$5:$AG$84,Jewelry!$A$5:$A$84,A257)+SUMIFS(Candles!$AG$5:$AG$84,Candles!$A$5:$A$84,A257)+SUMIFS(Clothing!$AC$5:$AC$84,Clothing!$A$5:$A$84,A257)+SUMIFS(Woodworking!$AD$5:$AD$84,Woodworking!$A$5:$A$84,A257)+SUMIFS(Digital!$Y$5:$Y$84,Digital!$A$5:$A$84,A257),1))</f>
        <v>0</v>
      </c>
      <c r="W257" s="41">
        <f>IF(B257="","",IFERROR(INDEX(DiffTimeFactors,MATCH(G257,DiffNames,0)),1))</f>
        <v>0</v>
      </c>
      <c r="X257" s="36">
        <f>IF(B257="","",ROUND(V257*W257,1))</f>
        <v>0</v>
      </c>
      <c r="Y257" s="41">
        <f>IF(B257="","",ROUND(X257/60,3))</f>
        <v>0</v>
      </c>
      <c r="Z257" s="20">
        <f>IF(B257="","",ROUND(U257*W257,2))</f>
        <v>0</v>
      </c>
      <c r="AA257" s="20">
        <f>IF(B257="","",ROUND(SUMIFS(Labor!$Q$5:$Q$304,Labor!$A$5:$A$304,A257)+SUMIFS(Crochet!$AH$5:$AH$84,Crochet!$A$5:$A$84,A257)+SUMIFS(Jewelry!$AJ$5:$AJ$84,Jewelry!$A$5:$A$84,A257)+SUMIFS(Candles!$AJ$5:$AJ$84,Candles!$A$5:$A$84,A257)+SUMIFS(Clothing!$AF$5:$AF$84,Clothing!$A$5:$A$84,A257)+SUMIFS(Woodworking!$AH$5:$AH$84,Woodworking!$A$5:$A$84,A257)+SUMIFS(Digital!$AA$5:$AA$84,Digital!$A$5:$A$84,A257),2))</f>
        <v>0</v>
      </c>
      <c r="AB257" s="20">
        <f>IF(B257="","",ROUND(IF(I257="Budget",PackBudget,IF(I257="Standard",PackStandard,IF(I257="Gift",PackGift,IF(I257="Premium",PackPremium,DefaultPackaging)))),2))</f>
        <v>0</v>
      </c>
      <c r="AC257" s="36">
        <f>IF(B257="","",IF(I257="Budget",PackWeightBudget,IF(I257="Standard",PackWeightStandard,IF(I257="Gift",PackWeightGift,IF(I257="Premium",PackWeightPremium,0)))))</f>
        <v>0</v>
      </c>
      <c r="AD257" s="20">
        <f>IF(B257="","",IFERROR(INDEX(Shipping!$M$5:$M$64,MATCH(J257,Shipping!$L$5:$L$64,0)),DefaultShipping))</f>
        <v>0</v>
      </c>
      <c r="AE257" s="20">
        <f>IF(B257="","",IFERROR(INDEX(Shipping!$F$5:$F$64,MATCH(J257,Shipping!$L$5:$L$64,0)),0))</f>
        <v>0</v>
      </c>
      <c r="AF257" s="36">
        <f>IF(B257="","",IFERROR(INDEX(Shipping!$C$5:$C$64,MATCH(J257,Shipping!$L$5:$L$64,0)),""))</f>
        <v>0</v>
      </c>
      <c r="AG257" s="20">
        <f>IF(B257="","",ROUND(MAX(0,AD257-AE257),2))</f>
        <v>0</v>
      </c>
      <c r="AH257" s="20">
        <f>IF(B257="","",ROUND(T257+Z257+AA257+AB257+AG257,2))</f>
        <v>0</v>
      </c>
      <c r="AI257" s="33">
        <f>IF(B257="","",IFERROR(INDEX(Channels!$S$5:$S$18,MATCH(IF(H257="",DefaultChannel,H257),Channels!$A$5:$A$18,0)),0))</f>
        <v>0</v>
      </c>
      <c r="AJ257" s="42">
        <f>IF(B257="","",IFERROR(INDEX(Channels!$O$5:$O$18,MATCH(IF(H257="",DefaultChannel,H257),Channels!$A$5:$A$18,0)),"No"))</f>
        <v>0</v>
      </c>
      <c r="AK257" s="20">
        <f>IF(B257="","",ROUND(IFERROR(INDEX(Channels!$T$5:$T$18,MATCH(IF(H257="",DefaultChannel,H257),Channels!$A$5:$A$18,0)),0)+IF(AJ257="Yes",AE257*AI257,0),4))</f>
        <v>0</v>
      </c>
      <c r="AL257" s="33">
        <f>IF(B257="","",IF(OverheadMethod="Share of revenue",IF(RevenueTargetMonth&lt;=0,0,OverheadMonthly/RevenueTargetMonth),0))</f>
        <v>0</v>
      </c>
      <c r="AM257" s="20">
        <f>IF(B257="","",IF(OverheadMethod="Per hour worked",ROUND(OverheadPerHour*Y257,2),IF(OR(OverheadMethod="Per unit made",OverheadMethod="Per order"),OverheadPerUnit,0)))</f>
        <v>0</v>
      </c>
      <c r="AN257" s="33">
        <f>IF(B257="","",IF(N257&lt;&gt;"",N257,TargetRetailMargin))</f>
        <v>0</v>
      </c>
      <c r="AO257" s="41">
        <f>IF(B257="","",1-AN257-AI257-AL257)</f>
        <v>0</v>
      </c>
      <c r="AP257" s="20">
        <f>IF(B257="","",IF(AO257&lt;=0,"",(AH257+AM257+AK257)/AO257))</f>
        <v>0</v>
      </c>
      <c r="AQ257" s="20">
        <f>IF(B257="","",IF(AP257="","Check the settings",ROUND(IF(RoundingRule="None",AP257,IF(RoundingRule="Nearest 0.99",MAX(0.99,CEILING(AP257,1)-0.01),IF(RoundingRule="Nearest 0.95",MAX(0.95,CEILING(AP257,1)-0.05),IF(RoundingRule="Nearest 0.50",CEILING(AP257,0.5),IF(RoundingRule="Nearest 1",CEILING(AP257,1),IF(RoundingRule="Nearest 5",CEILING(AP257,5),IF(RoundingRule="Up to whole 1",CEILING(AP257,1),IF(RoundingRule="Up to whole 5",CEILING(AP257,5),ROUND(AP257,2))))))))),2)))</f>
        <v>0</v>
      </c>
      <c r="AR257" s="20">
        <f>IF(B257="","",IF(M257&lt;&gt;"",M257,IF(ISNUMBER(AQ257),AQ257,"")))</f>
        <v>0</v>
      </c>
      <c r="AS257" s="20">
        <f>IF(B257="","",IF(AR257="","",ROUND(AM257+AR257*AL257,2)))</f>
        <v>0</v>
      </c>
      <c r="AT257" s="20">
        <f>IF(B257="","",IF(AR257="","",ROUND(AH257+AS257,2)))</f>
        <v>0</v>
      </c>
      <c r="AU257" s="20">
        <f>IF(B257="","",IF(AR257="","",ROUND(AR257*AI257+AK257,2)))</f>
        <v>0</v>
      </c>
      <c r="AV257" s="20">
        <f>IF(B257="","",IF(AR257="","",ROUND(AR257-AT257-AU257,2)))</f>
        <v>0</v>
      </c>
      <c r="AW257" s="33">
        <f>IF(B257="","",IF(OR(AR257="",AR257=0),"",AV257/AR257))</f>
        <v>0</v>
      </c>
      <c r="AX257" s="33">
        <f>IF(B257="","",IF(OR(AT257="",AT257=0),"",AV257/AT257))</f>
        <v>0</v>
      </c>
      <c r="AY257" s="20">
        <f>IF(B257="","",IF(OR(Y257="",Y257=0,AV257=""),"",ROUND(AV257/Y257,2)))</f>
        <v>0</v>
      </c>
      <c r="AZ257" s="20">
        <f>IF(B257="","",IF(OR(Y257="",Y257=0,AV257=""),"",ROUND((AV257+Z257)/Y257,2)))</f>
        <v>0</v>
      </c>
      <c r="BA257" s="20">
        <f>IF(B257="","",IF(1-AI257-AL257&lt;=0,"",ROUND((AH257+AM257+AK257)/(1-AI257-AL257),2)))</f>
        <v>0</v>
      </c>
      <c r="BB257" s="20">
        <f>IF(B257="","",IF(AT257="","",ROUND(AT257*2,2)))</f>
        <v>0</v>
      </c>
      <c r="BC257" s="20">
        <f>IF(B257="","",IF(AR257="","",ROUND(AR257*(1-WholesaleDiscount),2)))</f>
        <v>0</v>
      </c>
      <c r="BD257" s="20">
        <f>IF(B257="","",IF(BC257="","",ROUND(BC257-AH257-AM257,2)))</f>
        <v>0</v>
      </c>
      <c r="BE257" s="33">
        <f>IF(B257="","",IF(OR(BC257="",BC257=0),"",BD257/BC257))</f>
        <v>0</v>
      </c>
      <c r="BF257" s="20">
        <f>IF(B257="","",IFERROR(ROUND(AVERAGEIFS(Competitors!$F$5:$F$154,Competitors!$A$5:$A$154,A257),2),""))</f>
        <v>0</v>
      </c>
      <c r="BG257" s="33">
        <f>IF(B257="","",IF(OR(BF257="",BF257=0,AR257=""),"",AR257/BF257-1))</f>
        <v>0</v>
      </c>
      <c r="BH257" s="32">
        <f>IF(B257="","",SUMIFS(Sales!$D$5:$D$804,Sales!$C$5:$C$804,A257))</f>
        <v>0</v>
      </c>
      <c r="BI257" s="20">
        <f>IF(B257="","",ROUND(SUMIFS(Sales!$V$5:$V$804,Sales!$C$5:$C$804,A257),2))</f>
        <v>0</v>
      </c>
      <c r="BJ257" s="20">
        <f>IF(B257="","",ROUND(SUMIFS(Sales!$AG$5:$AG$804,Sales!$C$5:$C$804,A257),2))</f>
        <v>0</v>
      </c>
      <c r="BK257" s="33">
        <f>IF(B257="","",IF(OR(BI257="",BI257=0),"",BJ257/BI257))</f>
        <v>0</v>
      </c>
      <c r="BL257" s="17">
        <f>IF(B257="","",IF(SUMPRODUCT(MAX((Sales!$C$5:$C$804=A257)*Sales!$B$5:$B$804))=0,"",SUMPRODUCT(MAX((Sales!$C$5:$C$804=A257)*Sales!$B$5:$B$804))))</f>
        <v>0</v>
      </c>
      <c r="BM257" s="17">
        <f>IF(B257="","",IF(SUMPRODUCT(MAX(('Price History'!$B$5:$B$304=A257)*'Price History'!$A$5:$A$304))=0,IF(P257="","",P257),SUMPRODUCT(MAX(('Price History'!$B$5:$B$304=A257)*'Price History'!$A$5:$A$304))))</f>
        <v>0</v>
      </c>
      <c r="BN257" s="32">
        <f>IF(B257="","",IF(BM257="","",TodayDate-BM257))</f>
        <v>0</v>
      </c>
      <c r="BO257" s="32">
        <f>IF(B257="","",COUNTIFS($AV$5:$AV$304,"&gt;"&amp;AV257)+COUNTIFS($AV$5:AV257,AV257))</f>
        <v>0</v>
      </c>
      <c r="BP257" s="32">
        <f>IF(B257="","",COUNTIFS($AW$5:$AW$304,"&gt;"&amp;AW257)+COUNTIFS($AW$5:AW257,AW257))</f>
        <v>0</v>
      </c>
      <c r="BQ257" s="32">
        <f>IF(B257="","",COUNTIFS($BI$5:$BI$304,"&gt;"&amp;BI257)+COUNTIFS($BI$5:BI257,BI257))</f>
        <v>0</v>
      </c>
      <c r="BR257" s="32">
        <f>IF(B257="","",COUNTIFS($AY$5:$AY$304,"&gt;"&amp;AY257)+COUNTIFS($AY$5:AY257,AY257))</f>
        <v>0</v>
      </c>
      <c r="BS257" s="43">
        <f>IF(B257="","",IF(AH257=0,"Add - no costs entered yet",IF(AR257="","Check - no price yet",IF(AV257&lt;0,"Loss - every sale costs you money",IF(AND(AZ257&lt;&gt;"",AZ257&lt;MinimumWage),"Below - pays under minimum wage",IF(AW257&lt;MarginWarning,"Low margin - re-price it",IF(AND(AF257&lt;&gt;"",K257&lt;&gt;"",K257+AC257&gt;AF257),"Check - too heavy for that postage band",IF(AND(BN257&lt;&gt;"",BN257&gt;PriceReviewDays),"Due - price has not been reviewed",IF(AND(BG257&lt;&gt;"",BG257&gt;0.5),"Check - well above the market","OK")))))))) )</f>
        <v>0</v>
      </c>
    </row>
    <row r="258" spans="1:71">
      <c r="A258" s="38">
        <f>IF(B258="","",ProductPrefix&amp;TEXT(ROW()-4,"0000"))</f>
        <v>0</v>
      </c>
      <c r="S258" s="38">
        <f>IF(B258="","",IF(C258&lt;&gt;"",C258,UPPER(LEFT(IF(D258="","GEN",D258),3))&amp;"-"&amp;TEXT(ROW()-4,"000")))</f>
        <v>0</v>
      </c>
      <c r="T258" s="20">
        <f>IF(B258="","",ROUND(SUMIFS('Material Usage'!$M$5:$M$904,'Material Usage'!$A$5:$A$904,A258)+SUMIFS(Crochet!$AD$5:$AD$84,Crochet!$A$5:$A$84,A258)+SUMIFS(Jewelry!$AF$5:$AF$84,Jewelry!$A$5:$A$84,A258)+SUMIFS(Candles!$AF$5:$AF$84,Candles!$A$5:$A$84,A258)+SUMIFS(Clothing!$AB$5:$AB$84,Clothing!$A$5:$A$84,A258)+SUMIFS(Woodworking!$AC$5:$AC$84,Woodworking!$A$5:$A$84,A258)+SUMIFS(Digital!$X$5:$X$84,Digital!$A$5:$A$84,A258),2))</f>
        <v>0</v>
      </c>
      <c r="U258" s="20">
        <f>IF(B258="","",ROUND(SUMIFS(Labor!$O$5:$O$304,Labor!$A$5:$A$304,A258)+SUMIFS(Crochet!$AG$5:$AG$84,Crochet!$A$5:$A$84,A258)+SUMIFS(Jewelry!$AI$5:$AI$84,Jewelry!$A$5:$A$84,A258)+SUMIFS(Candles!$AI$5:$AI$84,Candles!$A$5:$A$84,A258)+SUMIFS(Clothing!$AE$5:$AE$84,Clothing!$A$5:$A$84,A258)+SUMIFS(Woodworking!$AF$5:$AF$84,Woodworking!$A$5:$A$84,A258)+SUMIFS(Digital!$Z$5:$Z$84,Digital!$A$5:$A$84,A258),2))</f>
        <v>0</v>
      </c>
      <c r="V258" s="36">
        <f>IF(B258="","",ROUND(SUMIFS(Labor!$P$5:$P$304,Labor!$A$5:$A$304,A258)+SUMIFS(Crochet!$AE$5:$AE$84,Crochet!$A$5:$A$84,A258)+SUMIFS(Jewelry!$AG$5:$AG$84,Jewelry!$A$5:$A$84,A258)+SUMIFS(Candles!$AG$5:$AG$84,Candles!$A$5:$A$84,A258)+SUMIFS(Clothing!$AC$5:$AC$84,Clothing!$A$5:$A$84,A258)+SUMIFS(Woodworking!$AD$5:$AD$84,Woodworking!$A$5:$A$84,A258)+SUMIFS(Digital!$Y$5:$Y$84,Digital!$A$5:$A$84,A258),1))</f>
        <v>0</v>
      </c>
      <c r="W258" s="41">
        <f>IF(B258="","",IFERROR(INDEX(DiffTimeFactors,MATCH(G258,DiffNames,0)),1))</f>
        <v>0</v>
      </c>
      <c r="X258" s="36">
        <f>IF(B258="","",ROUND(V258*W258,1))</f>
        <v>0</v>
      </c>
      <c r="Y258" s="41">
        <f>IF(B258="","",ROUND(X258/60,3))</f>
        <v>0</v>
      </c>
      <c r="Z258" s="20">
        <f>IF(B258="","",ROUND(U258*W258,2))</f>
        <v>0</v>
      </c>
      <c r="AA258" s="20">
        <f>IF(B258="","",ROUND(SUMIFS(Labor!$Q$5:$Q$304,Labor!$A$5:$A$304,A258)+SUMIFS(Crochet!$AH$5:$AH$84,Crochet!$A$5:$A$84,A258)+SUMIFS(Jewelry!$AJ$5:$AJ$84,Jewelry!$A$5:$A$84,A258)+SUMIFS(Candles!$AJ$5:$AJ$84,Candles!$A$5:$A$84,A258)+SUMIFS(Clothing!$AF$5:$AF$84,Clothing!$A$5:$A$84,A258)+SUMIFS(Woodworking!$AH$5:$AH$84,Woodworking!$A$5:$A$84,A258)+SUMIFS(Digital!$AA$5:$AA$84,Digital!$A$5:$A$84,A258),2))</f>
        <v>0</v>
      </c>
      <c r="AB258" s="20">
        <f>IF(B258="","",ROUND(IF(I258="Budget",PackBudget,IF(I258="Standard",PackStandard,IF(I258="Gift",PackGift,IF(I258="Premium",PackPremium,DefaultPackaging)))),2))</f>
        <v>0</v>
      </c>
      <c r="AC258" s="36">
        <f>IF(B258="","",IF(I258="Budget",PackWeightBudget,IF(I258="Standard",PackWeightStandard,IF(I258="Gift",PackWeightGift,IF(I258="Premium",PackWeightPremium,0)))))</f>
        <v>0</v>
      </c>
      <c r="AD258" s="20">
        <f>IF(B258="","",IFERROR(INDEX(Shipping!$M$5:$M$64,MATCH(J258,Shipping!$L$5:$L$64,0)),DefaultShipping))</f>
        <v>0</v>
      </c>
      <c r="AE258" s="20">
        <f>IF(B258="","",IFERROR(INDEX(Shipping!$F$5:$F$64,MATCH(J258,Shipping!$L$5:$L$64,0)),0))</f>
        <v>0</v>
      </c>
      <c r="AF258" s="36">
        <f>IF(B258="","",IFERROR(INDEX(Shipping!$C$5:$C$64,MATCH(J258,Shipping!$L$5:$L$64,0)),""))</f>
        <v>0</v>
      </c>
      <c r="AG258" s="20">
        <f>IF(B258="","",ROUND(MAX(0,AD258-AE258),2))</f>
        <v>0</v>
      </c>
      <c r="AH258" s="20">
        <f>IF(B258="","",ROUND(T258+Z258+AA258+AB258+AG258,2))</f>
        <v>0</v>
      </c>
      <c r="AI258" s="33">
        <f>IF(B258="","",IFERROR(INDEX(Channels!$S$5:$S$18,MATCH(IF(H258="",DefaultChannel,H258),Channels!$A$5:$A$18,0)),0))</f>
        <v>0</v>
      </c>
      <c r="AJ258" s="42">
        <f>IF(B258="","",IFERROR(INDEX(Channels!$O$5:$O$18,MATCH(IF(H258="",DefaultChannel,H258),Channels!$A$5:$A$18,0)),"No"))</f>
        <v>0</v>
      </c>
      <c r="AK258" s="20">
        <f>IF(B258="","",ROUND(IFERROR(INDEX(Channels!$T$5:$T$18,MATCH(IF(H258="",DefaultChannel,H258),Channels!$A$5:$A$18,0)),0)+IF(AJ258="Yes",AE258*AI258,0),4))</f>
        <v>0</v>
      </c>
      <c r="AL258" s="33">
        <f>IF(B258="","",IF(OverheadMethod="Share of revenue",IF(RevenueTargetMonth&lt;=0,0,OverheadMonthly/RevenueTargetMonth),0))</f>
        <v>0</v>
      </c>
      <c r="AM258" s="20">
        <f>IF(B258="","",IF(OverheadMethod="Per hour worked",ROUND(OverheadPerHour*Y258,2),IF(OR(OverheadMethod="Per unit made",OverheadMethod="Per order"),OverheadPerUnit,0)))</f>
        <v>0</v>
      </c>
      <c r="AN258" s="33">
        <f>IF(B258="","",IF(N258&lt;&gt;"",N258,TargetRetailMargin))</f>
        <v>0</v>
      </c>
      <c r="AO258" s="41">
        <f>IF(B258="","",1-AN258-AI258-AL258)</f>
        <v>0</v>
      </c>
      <c r="AP258" s="20">
        <f>IF(B258="","",IF(AO258&lt;=0,"",(AH258+AM258+AK258)/AO258))</f>
        <v>0</v>
      </c>
      <c r="AQ258" s="20">
        <f>IF(B258="","",IF(AP258="","Check the settings",ROUND(IF(RoundingRule="None",AP258,IF(RoundingRule="Nearest 0.99",MAX(0.99,CEILING(AP258,1)-0.01),IF(RoundingRule="Nearest 0.95",MAX(0.95,CEILING(AP258,1)-0.05),IF(RoundingRule="Nearest 0.50",CEILING(AP258,0.5),IF(RoundingRule="Nearest 1",CEILING(AP258,1),IF(RoundingRule="Nearest 5",CEILING(AP258,5),IF(RoundingRule="Up to whole 1",CEILING(AP258,1),IF(RoundingRule="Up to whole 5",CEILING(AP258,5),ROUND(AP258,2))))))))),2)))</f>
        <v>0</v>
      </c>
      <c r="AR258" s="20">
        <f>IF(B258="","",IF(M258&lt;&gt;"",M258,IF(ISNUMBER(AQ258),AQ258,"")))</f>
        <v>0</v>
      </c>
      <c r="AS258" s="20">
        <f>IF(B258="","",IF(AR258="","",ROUND(AM258+AR258*AL258,2)))</f>
        <v>0</v>
      </c>
      <c r="AT258" s="20">
        <f>IF(B258="","",IF(AR258="","",ROUND(AH258+AS258,2)))</f>
        <v>0</v>
      </c>
      <c r="AU258" s="20">
        <f>IF(B258="","",IF(AR258="","",ROUND(AR258*AI258+AK258,2)))</f>
        <v>0</v>
      </c>
      <c r="AV258" s="20">
        <f>IF(B258="","",IF(AR258="","",ROUND(AR258-AT258-AU258,2)))</f>
        <v>0</v>
      </c>
      <c r="AW258" s="33">
        <f>IF(B258="","",IF(OR(AR258="",AR258=0),"",AV258/AR258))</f>
        <v>0</v>
      </c>
      <c r="AX258" s="33">
        <f>IF(B258="","",IF(OR(AT258="",AT258=0),"",AV258/AT258))</f>
        <v>0</v>
      </c>
      <c r="AY258" s="20">
        <f>IF(B258="","",IF(OR(Y258="",Y258=0,AV258=""),"",ROUND(AV258/Y258,2)))</f>
        <v>0</v>
      </c>
      <c r="AZ258" s="20">
        <f>IF(B258="","",IF(OR(Y258="",Y258=0,AV258=""),"",ROUND((AV258+Z258)/Y258,2)))</f>
        <v>0</v>
      </c>
      <c r="BA258" s="20">
        <f>IF(B258="","",IF(1-AI258-AL258&lt;=0,"",ROUND((AH258+AM258+AK258)/(1-AI258-AL258),2)))</f>
        <v>0</v>
      </c>
      <c r="BB258" s="20">
        <f>IF(B258="","",IF(AT258="","",ROUND(AT258*2,2)))</f>
        <v>0</v>
      </c>
      <c r="BC258" s="20">
        <f>IF(B258="","",IF(AR258="","",ROUND(AR258*(1-WholesaleDiscount),2)))</f>
        <v>0</v>
      </c>
      <c r="BD258" s="20">
        <f>IF(B258="","",IF(BC258="","",ROUND(BC258-AH258-AM258,2)))</f>
        <v>0</v>
      </c>
      <c r="BE258" s="33">
        <f>IF(B258="","",IF(OR(BC258="",BC258=0),"",BD258/BC258))</f>
        <v>0</v>
      </c>
      <c r="BF258" s="20">
        <f>IF(B258="","",IFERROR(ROUND(AVERAGEIFS(Competitors!$F$5:$F$154,Competitors!$A$5:$A$154,A258),2),""))</f>
        <v>0</v>
      </c>
      <c r="BG258" s="33">
        <f>IF(B258="","",IF(OR(BF258="",BF258=0,AR258=""),"",AR258/BF258-1))</f>
        <v>0</v>
      </c>
      <c r="BH258" s="32">
        <f>IF(B258="","",SUMIFS(Sales!$D$5:$D$804,Sales!$C$5:$C$804,A258))</f>
        <v>0</v>
      </c>
      <c r="BI258" s="20">
        <f>IF(B258="","",ROUND(SUMIFS(Sales!$V$5:$V$804,Sales!$C$5:$C$804,A258),2))</f>
        <v>0</v>
      </c>
      <c r="BJ258" s="20">
        <f>IF(B258="","",ROUND(SUMIFS(Sales!$AG$5:$AG$804,Sales!$C$5:$C$804,A258),2))</f>
        <v>0</v>
      </c>
      <c r="BK258" s="33">
        <f>IF(B258="","",IF(OR(BI258="",BI258=0),"",BJ258/BI258))</f>
        <v>0</v>
      </c>
      <c r="BL258" s="17">
        <f>IF(B258="","",IF(SUMPRODUCT(MAX((Sales!$C$5:$C$804=A258)*Sales!$B$5:$B$804))=0,"",SUMPRODUCT(MAX((Sales!$C$5:$C$804=A258)*Sales!$B$5:$B$804))))</f>
        <v>0</v>
      </c>
      <c r="BM258" s="17">
        <f>IF(B258="","",IF(SUMPRODUCT(MAX(('Price History'!$B$5:$B$304=A258)*'Price History'!$A$5:$A$304))=0,IF(P258="","",P258),SUMPRODUCT(MAX(('Price History'!$B$5:$B$304=A258)*'Price History'!$A$5:$A$304))))</f>
        <v>0</v>
      </c>
      <c r="BN258" s="32">
        <f>IF(B258="","",IF(BM258="","",TodayDate-BM258))</f>
        <v>0</v>
      </c>
      <c r="BO258" s="32">
        <f>IF(B258="","",COUNTIFS($AV$5:$AV$304,"&gt;"&amp;AV258)+COUNTIFS($AV$5:AV258,AV258))</f>
        <v>0</v>
      </c>
      <c r="BP258" s="32">
        <f>IF(B258="","",COUNTIFS($AW$5:$AW$304,"&gt;"&amp;AW258)+COUNTIFS($AW$5:AW258,AW258))</f>
        <v>0</v>
      </c>
      <c r="BQ258" s="32">
        <f>IF(B258="","",COUNTIFS($BI$5:$BI$304,"&gt;"&amp;BI258)+COUNTIFS($BI$5:BI258,BI258))</f>
        <v>0</v>
      </c>
      <c r="BR258" s="32">
        <f>IF(B258="","",COUNTIFS($AY$5:$AY$304,"&gt;"&amp;AY258)+COUNTIFS($AY$5:AY258,AY258))</f>
        <v>0</v>
      </c>
      <c r="BS258" s="43">
        <f>IF(B258="","",IF(AH258=0,"Add - no costs entered yet",IF(AR258="","Check - no price yet",IF(AV258&lt;0,"Loss - every sale costs you money",IF(AND(AZ258&lt;&gt;"",AZ258&lt;MinimumWage),"Below - pays under minimum wage",IF(AW258&lt;MarginWarning,"Low margin - re-price it",IF(AND(AF258&lt;&gt;"",K258&lt;&gt;"",K258+AC258&gt;AF258),"Check - too heavy for that postage band",IF(AND(BN258&lt;&gt;"",BN258&gt;PriceReviewDays),"Due - price has not been reviewed",IF(AND(BG258&lt;&gt;"",BG258&gt;0.5),"Check - well above the market","OK")))))))) )</f>
        <v>0</v>
      </c>
    </row>
    <row r="259" spans="1:71">
      <c r="A259" s="38">
        <f>IF(B259="","",ProductPrefix&amp;TEXT(ROW()-4,"0000"))</f>
        <v>0</v>
      </c>
      <c r="S259" s="38">
        <f>IF(B259="","",IF(C259&lt;&gt;"",C259,UPPER(LEFT(IF(D259="","GEN",D259),3))&amp;"-"&amp;TEXT(ROW()-4,"000")))</f>
        <v>0</v>
      </c>
      <c r="T259" s="20">
        <f>IF(B259="","",ROUND(SUMIFS('Material Usage'!$M$5:$M$904,'Material Usage'!$A$5:$A$904,A259)+SUMIFS(Crochet!$AD$5:$AD$84,Crochet!$A$5:$A$84,A259)+SUMIFS(Jewelry!$AF$5:$AF$84,Jewelry!$A$5:$A$84,A259)+SUMIFS(Candles!$AF$5:$AF$84,Candles!$A$5:$A$84,A259)+SUMIFS(Clothing!$AB$5:$AB$84,Clothing!$A$5:$A$84,A259)+SUMIFS(Woodworking!$AC$5:$AC$84,Woodworking!$A$5:$A$84,A259)+SUMIFS(Digital!$X$5:$X$84,Digital!$A$5:$A$84,A259),2))</f>
        <v>0</v>
      </c>
      <c r="U259" s="20">
        <f>IF(B259="","",ROUND(SUMIFS(Labor!$O$5:$O$304,Labor!$A$5:$A$304,A259)+SUMIFS(Crochet!$AG$5:$AG$84,Crochet!$A$5:$A$84,A259)+SUMIFS(Jewelry!$AI$5:$AI$84,Jewelry!$A$5:$A$84,A259)+SUMIFS(Candles!$AI$5:$AI$84,Candles!$A$5:$A$84,A259)+SUMIFS(Clothing!$AE$5:$AE$84,Clothing!$A$5:$A$84,A259)+SUMIFS(Woodworking!$AF$5:$AF$84,Woodworking!$A$5:$A$84,A259)+SUMIFS(Digital!$Z$5:$Z$84,Digital!$A$5:$A$84,A259),2))</f>
        <v>0</v>
      </c>
      <c r="V259" s="36">
        <f>IF(B259="","",ROUND(SUMIFS(Labor!$P$5:$P$304,Labor!$A$5:$A$304,A259)+SUMIFS(Crochet!$AE$5:$AE$84,Crochet!$A$5:$A$84,A259)+SUMIFS(Jewelry!$AG$5:$AG$84,Jewelry!$A$5:$A$84,A259)+SUMIFS(Candles!$AG$5:$AG$84,Candles!$A$5:$A$84,A259)+SUMIFS(Clothing!$AC$5:$AC$84,Clothing!$A$5:$A$84,A259)+SUMIFS(Woodworking!$AD$5:$AD$84,Woodworking!$A$5:$A$84,A259)+SUMIFS(Digital!$Y$5:$Y$84,Digital!$A$5:$A$84,A259),1))</f>
        <v>0</v>
      </c>
      <c r="W259" s="41">
        <f>IF(B259="","",IFERROR(INDEX(DiffTimeFactors,MATCH(G259,DiffNames,0)),1))</f>
        <v>0</v>
      </c>
      <c r="X259" s="36">
        <f>IF(B259="","",ROUND(V259*W259,1))</f>
        <v>0</v>
      </c>
      <c r="Y259" s="41">
        <f>IF(B259="","",ROUND(X259/60,3))</f>
        <v>0</v>
      </c>
      <c r="Z259" s="20">
        <f>IF(B259="","",ROUND(U259*W259,2))</f>
        <v>0</v>
      </c>
      <c r="AA259" s="20">
        <f>IF(B259="","",ROUND(SUMIFS(Labor!$Q$5:$Q$304,Labor!$A$5:$A$304,A259)+SUMIFS(Crochet!$AH$5:$AH$84,Crochet!$A$5:$A$84,A259)+SUMIFS(Jewelry!$AJ$5:$AJ$84,Jewelry!$A$5:$A$84,A259)+SUMIFS(Candles!$AJ$5:$AJ$84,Candles!$A$5:$A$84,A259)+SUMIFS(Clothing!$AF$5:$AF$84,Clothing!$A$5:$A$84,A259)+SUMIFS(Woodworking!$AH$5:$AH$84,Woodworking!$A$5:$A$84,A259)+SUMIFS(Digital!$AA$5:$AA$84,Digital!$A$5:$A$84,A259),2))</f>
        <v>0</v>
      </c>
      <c r="AB259" s="20">
        <f>IF(B259="","",ROUND(IF(I259="Budget",PackBudget,IF(I259="Standard",PackStandard,IF(I259="Gift",PackGift,IF(I259="Premium",PackPremium,DefaultPackaging)))),2))</f>
        <v>0</v>
      </c>
      <c r="AC259" s="36">
        <f>IF(B259="","",IF(I259="Budget",PackWeightBudget,IF(I259="Standard",PackWeightStandard,IF(I259="Gift",PackWeightGift,IF(I259="Premium",PackWeightPremium,0)))))</f>
        <v>0</v>
      </c>
      <c r="AD259" s="20">
        <f>IF(B259="","",IFERROR(INDEX(Shipping!$M$5:$M$64,MATCH(J259,Shipping!$L$5:$L$64,0)),DefaultShipping))</f>
        <v>0</v>
      </c>
      <c r="AE259" s="20">
        <f>IF(B259="","",IFERROR(INDEX(Shipping!$F$5:$F$64,MATCH(J259,Shipping!$L$5:$L$64,0)),0))</f>
        <v>0</v>
      </c>
      <c r="AF259" s="36">
        <f>IF(B259="","",IFERROR(INDEX(Shipping!$C$5:$C$64,MATCH(J259,Shipping!$L$5:$L$64,0)),""))</f>
        <v>0</v>
      </c>
      <c r="AG259" s="20">
        <f>IF(B259="","",ROUND(MAX(0,AD259-AE259),2))</f>
        <v>0</v>
      </c>
      <c r="AH259" s="20">
        <f>IF(B259="","",ROUND(T259+Z259+AA259+AB259+AG259,2))</f>
        <v>0</v>
      </c>
      <c r="AI259" s="33">
        <f>IF(B259="","",IFERROR(INDEX(Channels!$S$5:$S$18,MATCH(IF(H259="",DefaultChannel,H259),Channels!$A$5:$A$18,0)),0))</f>
        <v>0</v>
      </c>
      <c r="AJ259" s="42">
        <f>IF(B259="","",IFERROR(INDEX(Channels!$O$5:$O$18,MATCH(IF(H259="",DefaultChannel,H259),Channels!$A$5:$A$18,0)),"No"))</f>
        <v>0</v>
      </c>
      <c r="AK259" s="20">
        <f>IF(B259="","",ROUND(IFERROR(INDEX(Channels!$T$5:$T$18,MATCH(IF(H259="",DefaultChannel,H259),Channels!$A$5:$A$18,0)),0)+IF(AJ259="Yes",AE259*AI259,0),4))</f>
        <v>0</v>
      </c>
      <c r="AL259" s="33">
        <f>IF(B259="","",IF(OverheadMethod="Share of revenue",IF(RevenueTargetMonth&lt;=0,0,OverheadMonthly/RevenueTargetMonth),0))</f>
        <v>0</v>
      </c>
      <c r="AM259" s="20">
        <f>IF(B259="","",IF(OverheadMethod="Per hour worked",ROUND(OverheadPerHour*Y259,2),IF(OR(OverheadMethod="Per unit made",OverheadMethod="Per order"),OverheadPerUnit,0)))</f>
        <v>0</v>
      </c>
      <c r="AN259" s="33">
        <f>IF(B259="","",IF(N259&lt;&gt;"",N259,TargetRetailMargin))</f>
        <v>0</v>
      </c>
      <c r="AO259" s="41">
        <f>IF(B259="","",1-AN259-AI259-AL259)</f>
        <v>0</v>
      </c>
      <c r="AP259" s="20">
        <f>IF(B259="","",IF(AO259&lt;=0,"",(AH259+AM259+AK259)/AO259))</f>
        <v>0</v>
      </c>
      <c r="AQ259" s="20">
        <f>IF(B259="","",IF(AP259="","Check the settings",ROUND(IF(RoundingRule="None",AP259,IF(RoundingRule="Nearest 0.99",MAX(0.99,CEILING(AP259,1)-0.01),IF(RoundingRule="Nearest 0.95",MAX(0.95,CEILING(AP259,1)-0.05),IF(RoundingRule="Nearest 0.50",CEILING(AP259,0.5),IF(RoundingRule="Nearest 1",CEILING(AP259,1),IF(RoundingRule="Nearest 5",CEILING(AP259,5),IF(RoundingRule="Up to whole 1",CEILING(AP259,1),IF(RoundingRule="Up to whole 5",CEILING(AP259,5),ROUND(AP259,2))))))))),2)))</f>
        <v>0</v>
      </c>
      <c r="AR259" s="20">
        <f>IF(B259="","",IF(M259&lt;&gt;"",M259,IF(ISNUMBER(AQ259),AQ259,"")))</f>
        <v>0</v>
      </c>
      <c r="AS259" s="20">
        <f>IF(B259="","",IF(AR259="","",ROUND(AM259+AR259*AL259,2)))</f>
        <v>0</v>
      </c>
      <c r="AT259" s="20">
        <f>IF(B259="","",IF(AR259="","",ROUND(AH259+AS259,2)))</f>
        <v>0</v>
      </c>
      <c r="AU259" s="20">
        <f>IF(B259="","",IF(AR259="","",ROUND(AR259*AI259+AK259,2)))</f>
        <v>0</v>
      </c>
      <c r="AV259" s="20">
        <f>IF(B259="","",IF(AR259="","",ROUND(AR259-AT259-AU259,2)))</f>
        <v>0</v>
      </c>
      <c r="AW259" s="33">
        <f>IF(B259="","",IF(OR(AR259="",AR259=0),"",AV259/AR259))</f>
        <v>0</v>
      </c>
      <c r="AX259" s="33">
        <f>IF(B259="","",IF(OR(AT259="",AT259=0),"",AV259/AT259))</f>
        <v>0</v>
      </c>
      <c r="AY259" s="20">
        <f>IF(B259="","",IF(OR(Y259="",Y259=0,AV259=""),"",ROUND(AV259/Y259,2)))</f>
        <v>0</v>
      </c>
      <c r="AZ259" s="20">
        <f>IF(B259="","",IF(OR(Y259="",Y259=0,AV259=""),"",ROUND((AV259+Z259)/Y259,2)))</f>
        <v>0</v>
      </c>
      <c r="BA259" s="20">
        <f>IF(B259="","",IF(1-AI259-AL259&lt;=0,"",ROUND((AH259+AM259+AK259)/(1-AI259-AL259),2)))</f>
        <v>0</v>
      </c>
      <c r="BB259" s="20">
        <f>IF(B259="","",IF(AT259="","",ROUND(AT259*2,2)))</f>
        <v>0</v>
      </c>
      <c r="BC259" s="20">
        <f>IF(B259="","",IF(AR259="","",ROUND(AR259*(1-WholesaleDiscount),2)))</f>
        <v>0</v>
      </c>
      <c r="BD259" s="20">
        <f>IF(B259="","",IF(BC259="","",ROUND(BC259-AH259-AM259,2)))</f>
        <v>0</v>
      </c>
      <c r="BE259" s="33">
        <f>IF(B259="","",IF(OR(BC259="",BC259=0),"",BD259/BC259))</f>
        <v>0</v>
      </c>
      <c r="BF259" s="20">
        <f>IF(B259="","",IFERROR(ROUND(AVERAGEIFS(Competitors!$F$5:$F$154,Competitors!$A$5:$A$154,A259),2),""))</f>
        <v>0</v>
      </c>
      <c r="BG259" s="33">
        <f>IF(B259="","",IF(OR(BF259="",BF259=0,AR259=""),"",AR259/BF259-1))</f>
        <v>0</v>
      </c>
      <c r="BH259" s="32">
        <f>IF(B259="","",SUMIFS(Sales!$D$5:$D$804,Sales!$C$5:$C$804,A259))</f>
        <v>0</v>
      </c>
      <c r="BI259" s="20">
        <f>IF(B259="","",ROUND(SUMIFS(Sales!$V$5:$V$804,Sales!$C$5:$C$804,A259),2))</f>
        <v>0</v>
      </c>
      <c r="BJ259" s="20">
        <f>IF(B259="","",ROUND(SUMIFS(Sales!$AG$5:$AG$804,Sales!$C$5:$C$804,A259),2))</f>
        <v>0</v>
      </c>
      <c r="BK259" s="33">
        <f>IF(B259="","",IF(OR(BI259="",BI259=0),"",BJ259/BI259))</f>
        <v>0</v>
      </c>
      <c r="BL259" s="17">
        <f>IF(B259="","",IF(SUMPRODUCT(MAX((Sales!$C$5:$C$804=A259)*Sales!$B$5:$B$804))=0,"",SUMPRODUCT(MAX((Sales!$C$5:$C$804=A259)*Sales!$B$5:$B$804))))</f>
        <v>0</v>
      </c>
      <c r="BM259" s="17">
        <f>IF(B259="","",IF(SUMPRODUCT(MAX(('Price History'!$B$5:$B$304=A259)*'Price History'!$A$5:$A$304))=0,IF(P259="","",P259),SUMPRODUCT(MAX(('Price History'!$B$5:$B$304=A259)*'Price History'!$A$5:$A$304))))</f>
        <v>0</v>
      </c>
      <c r="BN259" s="32">
        <f>IF(B259="","",IF(BM259="","",TodayDate-BM259))</f>
        <v>0</v>
      </c>
      <c r="BO259" s="32">
        <f>IF(B259="","",COUNTIFS($AV$5:$AV$304,"&gt;"&amp;AV259)+COUNTIFS($AV$5:AV259,AV259))</f>
        <v>0</v>
      </c>
      <c r="BP259" s="32">
        <f>IF(B259="","",COUNTIFS($AW$5:$AW$304,"&gt;"&amp;AW259)+COUNTIFS($AW$5:AW259,AW259))</f>
        <v>0</v>
      </c>
      <c r="BQ259" s="32">
        <f>IF(B259="","",COUNTIFS($BI$5:$BI$304,"&gt;"&amp;BI259)+COUNTIFS($BI$5:BI259,BI259))</f>
        <v>0</v>
      </c>
      <c r="BR259" s="32">
        <f>IF(B259="","",COUNTIFS($AY$5:$AY$304,"&gt;"&amp;AY259)+COUNTIFS($AY$5:AY259,AY259))</f>
        <v>0</v>
      </c>
      <c r="BS259" s="43">
        <f>IF(B259="","",IF(AH259=0,"Add - no costs entered yet",IF(AR259="","Check - no price yet",IF(AV259&lt;0,"Loss - every sale costs you money",IF(AND(AZ259&lt;&gt;"",AZ259&lt;MinimumWage),"Below - pays under minimum wage",IF(AW259&lt;MarginWarning,"Low margin - re-price it",IF(AND(AF259&lt;&gt;"",K259&lt;&gt;"",K259+AC259&gt;AF259),"Check - too heavy for that postage band",IF(AND(BN259&lt;&gt;"",BN259&gt;PriceReviewDays),"Due - price has not been reviewed",IF(AND(BG259&lt;&gt;"",BG259&gt;0.5),"Check - well above the market","OK")))))))) )</f>
        <v>0</v>
      </c>
    </row>
    <row r="260" spans="1:71">
      <c r="A260" s="38">
        <f>IF(B260="","",ProductPrefix&amp;TEXT(ROW()-4,"0000"))</f>
        <v>0</v>
      </c>
      <c r="S260" s="38">
        <f>IF(B260="","",IF(C260&lt;&gt;"",C260,UPPER(LEFT(IF(D260="","GEN",D260),3))&amp;"-"&amp;TEXT(ROW()-4,"000")))</f>
        <v>0</v>
      </c>
      <c r="T260" s="20">
        <f>IF(B260="","",ROUND(SUMIFS('Material Usage'!$M$5:$M$904,'Material Usage'!$A$5:$A$904,A260)+SUMIFS(Crochet!$AD$5:$AD$84,Crochet!$A$5:$A$84,A260)+SUMIFS(Jewelry!$AF$5:$AF$84,Jewelry!$A$5:$A$84,A260)+SUMIFS(Candles!$AF$5:$AF$84,Candles!$A$5:$A$84,A260)+SUMIFS(Clothing!$AB$5:$AB$84,Clothing!$A$5:$A$84,A260)+SUMIFS(Woodworking!$AC$5:$AC$84,Woodworking!$A$5:$A$84,A260)+SUMIFS(Digital!$X$5:$X$84,Digital!$A$5:$A$84,A260),2))</f>
        <v>0</v>
      </c>
      <c r="U260" s="20">
        <f>IF(B260="","",ROUND(SUMIFS(Labor!$O$5:$O$304,Labor!$A$5:$A$304,A260)+SUMIFS(Crochet!$AG$5:$AG$84,Crochet!$A$5:$A$84,A260)+SUMIFS(Jewelry!$AI$5:$AI$84,Jewelry!$A$5:$A$84,A260)+SUMIFS(Candles!$AI$5:$AI$84,Candles!$A$5:$A$84,A260)+SUMIFS(Clothing!$AE$5:$AE$84,Clothing!$A$5:$A$84,A260)+SUMIFS(Woodworking!$AF$5:$AF$84,Woodworking!$A$5:$A$84,A260)+SUMIFS(Digital!$Z$5:$Z$84,Digital!$A$5:$A$84,A260),2))</f>
        <v>0</v>
      </c>
      <c r="V260" s="36">
        <f>IF(B260="","",ROUND(SUMIFS(Labor!$P$5:$P$304,Labor!$A$5:$A$304,A260)+SUMIFS(Crochet!$AE$5:$AE$84,Crochet!$A$5:$A$84,A260)+SUMIFS(Jewelry!$AG$5:$AG$84,Jewelry!$A$5:$A$84,A260)+SUMIFS(Candles!$AG$5:$AG$84,Candles!$A$5:$A$84,A260)+SUMIFS(Clothing!$AC$5:$AC$84,Clothing!$A$5:$A$84,A260)+SUMIFS(Woodworking!$AD$5:$AD$84,Woodworking!$A$5:$A$84,A260)+SUMIFS(Digital!$Y$5:$Y$84,Digital!$A$5:$A$84,A260),1))</f>
        <v>0</v>
      </c>
      <c r="W260" s="41">
        <f>IF(B260="","",IFERROR(INDEX(DiffTimeFactors,MATCH(G260,DiffNames,0)),1))</f>
        <v>0</v>
      </c>
      <c r="X260" s="36">
        <f>IF(B260="","",ROUND(V260*W260,1))</f>
        <v>0</v>
      </c>
      <c r="Y260" s="41">
        <f>IF(B260="","",ROUND(X260/60,3))</f>
        <v>0</v>
      </c>
      <c r="Z260" s="20">
        <f>IF(B260="","",ROUND(U260*W260,2))</f>
        <v>0</v>
      </c>
      <c r="AA260" s="20">
        <f>IF(B260="","",ROUND(SUMIFS(Labor!$Q$5:$Q$304,Labor!$A$5:$A$304,A260)+SUMIFS(Crochet!$AH$5:$AH$84,Crochet!$A$5:$A$84,A260)+SUMIFS(Jewelry!$AJ$5:$AJ$84,Jewelry!$A$5:$A$84,A260)+SUMIFS(Candles!$AJ$5:$AJ$84,Candles!$A$5:$A$84,A260)+SUMIFS(Clothing!$AF$5:$AF$84,Clothing!$A$5:$A$84,A260)+SUMIFS(Woodworking!$AH$5:$AH$84,Woodworking!$A$5:$A$84,A260)+SUMIFS(Digital!$AA$5:$AA$84,Digital!$A$5:$A$84,A260),2))</f>
        <v>0</v>
      </c>
      <c r="AB260" s="20">
        <f>IF(B260="","",ROUND(IF(I260="Budget",PackBudget,IF(I260="Standard",PackStandard,IF(I260="Gift",PackGift,IF(I260="Premium",PackPremium,DefaultPackaging)))),2))</f>
        <v>0</v>
      </c>
      <c r="AC260" s="36">
        <f>IF(B260="","",IF(I260="Budget",PackWeightBudget,IF(I260="Standard",PackWeightStandard,IF(I260="Gift",PackWeightGift,IF(I260="Premium",PackWeightPremium,0)))))</f>
        <v>0</v>
      </c>
      <c r="AD260" s="20">
        <f>IF(B260="","",IFERROR(INDEX(Shipping!$M$5:$M$64,MATCH(J260,Shipping!$L$5:$L$64,0)),DefaultShipping))</f>
        <v>0</v>
      </c>
      <c r="AE260" s="20">
        <f>IF(B260="","",IFERROR(INDEX(Shipping!$F$5:$F$64,MATCH(J260,Shipping!$L$5:$L$64,0)),0))</f>
        <v>0</v>
      </c>
      <c r="AF260" s="36">
        <f>IF(B260="","",IFERROR(INDEX(Shipping!$C$5:$C$64,MATCH(J260,Shipping!$L$5:$L$64,0)),""))</f>
        <v>0</v>
      </c>
      <c r="AG260" s="20">
        <f>IF(B260="","",ROUND(MAX(0,AD260-AE260),2))</f>
        <v>0</v>
      </c>
      <c r="AH260" s="20">
        <f>IF(B260="","",ROUND(T260+Z260+AA260+AB260+AG260,2))</f>
        <v>0</v>
      </c>
      <c r="AI260" s="33">
        <f>IF(B260="","",IFERROR(INDEX(Channels!$S$5:$S$18,MATCH(IF(H260="",DefaultChannel,H260),Channels!$A$5:$A$18,0)),0))</f>
        <v>0</v>
      </c>
      <c r="AJ260" s="42">
        <f>IF(B260="","",IFERROR(INDEX(Channels!$O$5:$O$18,MATCH(IF(H260="",DefaultChannel,H260),Channels!$A$5:$A$18,0)),"No"))</f>
        <v>0</v>
      </c>
      <c r="AK260" s="20">
        <f>IF(B260="","",ROUND(IFERROR(INDEX(Channels!$T$5:$T$18,MATCH(IF(H260="",DefaultChannel,H260),Channels!$A$5:$A$18,0)),0)+IF(AJ260="Yes",AE260*AI260,0),4))</f>
        <v>0</v>
      </c>
      <c r="AL260" s="33">
        <f>IF(B260="","",IF(OverheadMethod="Share of revenue",IF(RevenueTargetMonth&lt;=0,0,OverheadMonthly/RevenueTargetMonth),0))</f>
        <v>0</v>
      </c>
      <c r="AM260" s="20">
        <f>IF(B260="","",IF(OverheadMethod="Per hour worked",ROUND(OverheadPerHour*Y260,2),IF(OR(OverheadMethod="Per unit made",OverheadMethod="Per order"),OverheadPerUnit,0)))</f>
        <v>0</v>
      </c>
      <c r="AN260" s="33">
        <f>IF(B260="","",IF(N260&lt;&gt;"",N260,TargetRetailMargin))</f>
        <v>0</v>
      </c>
      <c r="AO260" s="41">
        <f>IF(B260="","",1-AN260-AI260-AL260)</f>
        <v>0</v>
      </c>
      <c r="AP260" s="20">
        <f>IF(B260="","",IF(AO260&lt;=0,"",(AH260+AM260+AK260)/AO260))</f>
        <v>0</v>
      </c>
      <c r="AQ260" s="20">
        <f>IF(B260="","",IF(AP260="","Check the settings",ROUND(IF(RoundingRule="None",AP260,IF(RoundingRule="Nearest 0.99",MAX(0.99,CEILING(AP260,1)-0.01),IF(RoundingRule="Nearest 0.95",MAX(0.95,CEILING(AP260,1)-0.05),IF(RoundingRule="Nearest 0.50",CEILING(AP260,0.5),IF(RoundingRule="Nearest 1",CEILING(AP260,1),IF(RoundingRule="Nearest 5",CEILING(AP260,5),IF(RoundingRule="Up to whole 1",CEILING(AP260,1),IF(RoundingRule="Up to whole 5",CEILING(AP260,5),ROUND(AP260,2))))))))),2)))</f>
        <v>0</v>
      </c>
      <c r="AR260" s="20">
        <f>IF(B260="","",IF(M260&lt;&gt;"",M260,IF(ISNUMBER(AQ260),AQ260,"")))</f>
        <v>0</v>
      </c>
      <c r="AS260" s="20">
        <f>IF(B260="","",IF(AR260="","",ROUND(AM260+AR260*AL260,2)))</f>
        <v>0</v>
      </c>
      <c r="AT260" s="20">
        <f>IF(B260="","",IF(AR260="","",ROUND(AH260+AS260,2)))</f>
        <v>0</v>
      </c>
      <c r="AU260" s="20">
        <f>IF(B260="","",IF(AR260="","",ROUND(AR260*AI260+AK260,2)))</f>
        <v>0</v>
      </c>
      <c r="AV260" s="20">
        <f>IF(B260="","",IF(AR260="","",ROUND(AR260-AT260-AU260,2)))</f>
        <v>0</v>
      </c>
      <c r="AW260" s="33">
        <f>IF(B260="","",IF(OR(AR260="",AR260=0),"",AV260/AR260))</f>
        <v>0</v>
      </c>
      <c r="AX260" s="33">
        <f>IF(B260="","",IF(OR(AT260="",AT260=0),"",AV260/AT260))</f>
        <v>0</v>
      </c>
      <c r="AY260" s="20">
        <f>IF(B260="","",IF(OR(Y260="",Y260=0,AV260=""),"",ROUND(AV260/Y260,2)))</f>
        <v>0</v>
      </c>
      <c r="AZ260" s="20">
        <f>IF(B260="","",IF(OR(Y260="",Y260=0,AV260=""),"",ROUND((AV260+Z260)/Y260,2)))</f>
        <v>0</v>
      </c>
      <c r="BA260" s="20">
        <f>IF(B260="","",IF(1-AI260-AL260&lt;=0,"",ROUND((AH260+AM260+AK260)/(1-AI260-AL260),2)))</f>
        <v>0</v>
      </c>
      <c r="BB260" s="20">
        <f>IF(B260="","",IF(AT260="","",ROUND(AT260*2,2)))</f>
        <v>0</v>
      </c>
      <c r="BC260" s="20">
        <f>IF(B260="","",IF(AR260="","",ROUND(AR260*(1-WholesaleDiscount),2)))</f>
        <v>0</v>
      </c>
      <c r="BD260" s="20">
        <f>IF(B260="","",IF(BC260="","",ROUND(BC260-AH260-AM260,2)))</f>
        <v>0</v>
      </c>
      <c r="BE260" s="33">
        <f>IF(B260="","",IF(OR(BC260="",BC260=0),"",BD260/BC260))</f>
        <v>0</v>
      </c>
      <c r="BF260" s="20">
        <f>IF(B260="","",IFERROR(ROUND(AVERAGEIFS(Competitors!$F$5:$F$154,Competitors!$A$5:$A$154,A260),2),""))</f>
        <v>0</v>
      </c>
      <c r="BG260" s="33">
        <f>IF(B260="","",IF(OR(BF260="",BF260=0,AR260=""),"",AR260/BF260-1))</f>
        <v>0</v>
      </c>
      <c r="BH260" s="32">
        <f>IF(B260="","",SUMIFS(Sales!$D$5:$D$804,Sales!$C$5:$C$804,A260))</f>
        <v>0</v>
      </c>
      <c r="BI260" s="20">
        <f>IF(B260="","",ROUND(SUMIFS(Sales!$V$5:$V$804,Sales!$C$5:$C$804,A260),2))</f>
        <v>0</v>
      </c>
      <c r="BJ260" s="20">
        <f>IF(B260="","",ROUND(SUMIFS(Sales!$AG$5:$AG$804,Sales!$C$5:$C$804,A260),2))</f>
        <v>0</v>
      </c>
      <c r="BK260" s="33">
        <f>IF(B260="","",IF(OR(BI260="",BI260=0),"",BJ260/BI260))</f>
        <v>0</v>
      </c>
      <c r="BL260" s="17">
        <f>IF(B260="","",IF(SUMPRODUCT(MAX((Sales!$C$5:$C$804=A260)*Sales!$B$5:$B$804))=0,"",SUMPRODUCT(MAX((Sales!$C$5:$C$804=A260)*Sales!$B$5:$B$804))))</f>
        <v>0</v>
      </c>
      <c r="BM260" s="17">
        <f>IF(B260="","",IF(SUMPRODUCT(MAX(('Price History'!$B$5:$B$304=A260)*'Price History'!$A$5:$A$304))=0,IF(P260="","",P260),SUMPRODUCT(MAX(('Price History'!$B$5:$B$304=A260)*'Price History'!$A$5:$A$304))))</f>
        <v>0</v>
      </c>
      <c r="BN260" s="32">
        <f>IF(B260="","",IF(BM260="","",TodayDate-BM260))</f>
        <v>0</v>
      </c>
      <c r="BO260" s="32">
        <f>IF(B260="","",COUNTIFS($AV$5:$AV$304,"&gt;"&amp;AV260)+COUNTIFS($AV$5:AV260,AV260))</f>
        <v>0</v>
      </c>
      <c r="BP260" s="32">
        <f>IF(B260="","",COUNTIFS($AW$5:$AW$304,"&gt;"&amp;AW260)+COUNTIFS($AW$5:AW260,AW260))</f>
        <v>0</v>
      </c>
      <c r="BQ260" s="32">
        <f>IF(B260="","",COUNTIFS($BI$5:$BI$304,"&gt;"&amp;BI260)+COUNTIFS($BI$5:BI260,BI260))</f>
        <v>0</v>
      </c>
      <c r="BR260" s="32">
        <f>IF(B260="","",COUNTIFS($AY$5:$AY$304,"&gt;"&amp;AY260)+COUNTIFS($AY$5:AY260,AY260))</f>
        <v>0</v>
      </c>
      <c r="BS260" s="43">
        <f>IF(B260="","",IF(AH260=0,"Add - no costs entered yet",IF(AR260="","Check - no price yet",IF(AV260&lt;0,"Loss - every sale costs you money",IF(AND(AZ260&lt;&gt;"",AZ260&lt;MinimumWage),"Below - pays under minimum wage",IF(AW260&lt;MarginWarning,"Low margin - re-price it",IF(AND(AF260&lt;&gt;"",K260&lt;&gt;"",K260+AC260&gt;AF260),"Check - too heavy for that postage band",IF(AND(BN260&lt;&gt;"",BN260&gt;PriceReviewDays),"Due - price has not been reviewed",IF(AND(BG260&lt;&gt;"",BG260&gt;0.5),"Check - well above the market","OK")))))))) )</f>
        <v>0</v>
      </c>
    </row>
    <row r="261" spans="1:71">
      <c r="A261" s="38">
        <f>IF(B261="","",ProductPrefix&amp;TEXT(ROW()-4,"0000"))</f>
        <v>0</v>
      </c>
      <c r="S261" s="38">
        <f>IF(B261="","",IF(C261&lt;&gt;"",C261,UPPER(LEFT(IF(D261="","GEN",D261),3))&amp;"-"&amp;TEXT(ROW()-4,"000")))</f>
        <v>0</v>
      </c>
      <c r="T261" s="20">
        <f>IF(B261="","",ROUND(SUMIFS('Material Usage'!$M$5:$M$904,'Material Usage'!$A$5:$A$904,A261)+SUMIFS(Crochet!$AD$5:$AD$84,Crochet!$A$5:$A$84,A261)+SUMIFS(Jewelry!$AF$5:$AF$84,Jewelry!$A$5:$A$84,A261)+SUMIFS(Candles!$AF$5:$AF$84,Candles!$A$5:$A$84,A261)+SUMIFS(Clothing!$AB$5:$AB$84,Clothing!$A$5:$A$84,A261)+SUMIFS(Woodworking!$AC$5:$AC$84,Woodworking!$A$5:$A$84,A261)+SUMIFS(Digital!$X$5:$X$84,Digital!$A$5:$A$84,A261),2))</f>
        <v>0</v>
      </c>
      <c r="U261" s="20">
        <f>IF(B261="","",ROUND(SUMIFS(Labor!$O$5:$O$304,Labor!$A$5:$A$304,A261)+SUMIFS(Crochet!$AG$5:$AG$84,Crochet!$A$5:$A$84,A261)+SUMIFS(Jewelry!$AI$5:$AI$84,Jewelry!$A$5:$A$84,A261)+SUMIFS(Candles!$AI$5:$AI$84,Candles!$A$5:$A$84,A261)+SUMIFS(Clothing!$AE$5:$AE$84,Clothing!$A$5:$A$84,A261)+SUMIFS(Woodworking!$AF$5:$AF$84,Woodworking!$A$5:$A$84,A261)+SUMIFS(Digital!$Z$5:$Z$84,Digital!$A$5:$A$84,A261),2))</f>
        <v>0</v>
      </c>
      <c r="V261" s="36">
        <f>IF(B261="","",ROUND(SUMIFS(Labor!$P$5:$P$304,Labor!$A$5:$A$304,A261)+SUMIFS(Crochet!$AE$5:$AE$84,Crochet!$A$5:$A$84,A261)+SUMIFS(Jewelry!$AG$5:$AG$84,Jewelry!$A$5:$A$84,A261)+SUMIFS(Candles!$AG$5:$AG$84,Candles!$A$5:$A$84,A261)+SUMIFS(Clothing!$AC$5:$AC$84,Clothing!$A$5:$A$84,A261)+SUMIFS(Woodworking!$AD$5:$AD$84,Woodworking!$A$5:$A$84,A261)+SUMIFS(Digital!$Y$5:$Y$84,Digital!$A$5:$A$84,A261),1))</f>
        <v>0</v>
      </c>
      <c r="W261" s="41">
        <f>IF(B261="","",IFERROR(INDEX(DiffTimeFactors,MATCH(G261,DiffNames,0)),1))</f>
        <v>0</v>
      </c>
      <c r="X261" s="36">
        <f>IF(B261="","",ROUND(V261*W261,1))</f>
        <v>0</v>
      </c>
      <c r="Y261" s="41">
        <f>IF(B261="","",ROUND(X261/60,3))</f>
        <v>0</v>
      </c>
      <c r="Z261" s="20">
        <f>IF(B261="","",ROUND(U261*W261,2))</f>
        <v>0</v>
      </c>
      <c r="AA261" s="20">
        <f>IF(B261="","",ROUND(SUMIFS(Labor!$Q$5:$Q$304,Labor!$A$5:$A$304,A261)+SUMIFS(Crochet!$AH$5:$AH$84,Crochet!$A$5:$A$84,A261)+SUMIFS(Jewelry!$AJ$5:$AJ$84,Jewelry!$A$5:$A$84,A261)+SUMIFS(Candles!$AJ$5:$AJ$84,Candles!$A$5:$A$84,A261)+SUMIFS(Clothing!$AF$5:$AF$84,Clothing!$A$5:$A$84,A261)+SUMIFS(Woodworking!$AH$5:$AH$84,Woodworking!$A$5:$A$84,A261)+SUMIFS(Digital!$AA$5:$AA$84,Digital!$A$5:$A$84,A261),2))</f>
        <v>0</v>
      </c>
      <c r="AB261" s="20">
        <f>IF(B261="","",ROUND(IF(I261="Budget",PackBudget,IF(I261="Standard",PackStandard,IF(I261="Gift",PackGift,IF(I261="Premium",PackPremium,DefaultPackaging)))),2))</f>
        <v>0</v>
      </c>
      <c r="AC261" s="36">
        <f>IF(B261="","",IF(I261="Budget",PackWeightBudget,IF(I261="Standard",PackWeightStandard,IF(I261="Gift",PackWeightGift,IF(I261="Premium",PackWeightPremium,0)))))</f>
        <v>0</v>
      </c>
      <c r="AD261" s="20">
        <f>IF(B261="","",IFERROR(INDEX(Shipping!$M$5:$M$64,MATCH(J261,Shipping!$L$5:$L$64,0)),DefaultShipping))</f>
        <v>0</v>
      </c>
      <c r="AE261" s="20">
        <f>IF(B261="","",IFERROR(INDEX(Shipping!$F$5:$F$64,MATCH(J261,Shipping!$L$5:$L$64,0)),0))</f>
        <v>0</v>
      </c>
      <c r="AF261" s="36">
        <f>IF(B261="","",IFERROR(INDEX(Shipping!$C$5:$C$64,MATCH(J261,Shipping!$L$5:$L$64,0)),""))</f>
        <v>0</v>
      </c>
      <c r="AG261" s="20">
        <f>IF(B261="","",ROUND(MAX(0,AD261-AE261),2))</f>
        <v>0</v>
      </c>
      <c r="AH261" s="20">
        <f>IF(B261="","",ROUND(T261+Z261+AA261+AB261+AG261,2))</f>
        <v>0</v>
      </c>
      <c r="AI261" s="33">
        <f>IF(B261="","",IFERROR(INDEX(Channels!$S$5:$S$18,MATCH(IF(H261="",DefaultChannel,H261),Channels!$A$5:$A$18,0)),0))</f>
        <v>0</v>
      </c>
      <c r="AJ261" s="42">
        <f>IF(B261="","",IFERROR(INDEX(Channels!$O$5:$O$18,MATCH(IF(H261="",DefaultChannel,H261),Channels!$A$5:$A$18,0)),"No"))</f>
        <v>0</v>
      </c>
      <c r="AK261" s="20">
        <f>IF(B261="","",ROUND(IFERROR(INDEX(Channels!$T$5:$T$18,MATCH(IF(H261="",DefaultChannel,H261),Channels!$A$5:$A$18,0)),0)+IF(AJ261="Yes",AE261*AI261,0),4))</f>
        <v>0</v>
      </c>
      <c r="AL261" s="33">
        <f>IF(B261="","",IF(OverheadMethod="Share of revenue",IF(RevenueTargetMonth&lt;=0,0,OverheadMonthly/RevenueTargetMonth),0))</f>
        <v>0</v>
      </c>
      <c r="AM261" s="20">
        <f>IF(B261="","",IF(OverheadMethod="Per hour worked",ROUND(OverheadPerHour*Y261,2),IF(OR(OverheadMethod="Per unit made",OverheadMethod="Per order"),OverheadPerUnit,0)))</f>
        <v>0</v>
      </c>
      <c r="AN261" s="33">
        <f>IF(B261="","",IF(N261&lt;&gt;"",N261,TargetRetailMargin))</f>
        <v>0</v>
      </c>
      <c r="AO261" s="41">
        <f>IF(B261="","",1-AN261-AI261-AL261)</f>
        <v>0</v>
      </c>
      <c r="AP261" s="20">
        <f>IF(B261="","",IF(AO261&lt;=0,"",(AH261+AM261+AK261)/AO261))</f>
        <v>0</v>
      </c>
      <c r="AQ261" s="20">
        <f>IF(B261="","",IF(AP261="","Check the settings",ROUND(IF(RoundingRule="None",AP261,IF(RoundingRule="Nearest 0.99",MAX(0.99,CEILING(AP261,1)-0.01),IF(RoundingRule="Nearest 0.95",MAX(0.95,CEILING(AP261,1)-0.05),IF(RoundingRule="Nearest 0.50",CEILING(AP261,0.5),IF(RoundingRule="Nearest 1",CEILING(AP261,1),IF(RoundingRule="Nearest 5",CEILING(AP261,5),IF(RoundingRule="Up to whole 1",CEILING(AP261,1),IF(RoundingRule="Up to whole 5",CEILING(AP261,5),ROUND(AP261,2))))))))),2)))</f>
        <v>0</v>
      </c>
      <c r="AR261" s="20">
        <f>IF(B261="","",IF(M261&lt;&gt;"",M261,IF(ISNUMBER(AQ261),AQ261,"")))</f>
        <v>0</v>
      </c>
      <c r="AS261" s="20">
        <f>IF(B261="","",IF(AR261="","",ROUND(AM261+AR261*AL261,2)))</f>
        <v>0</v>
      </c>
      <c r="AT261" s="20">
        <f>IF(B261="","",IF(AR261="","",ROUND(AH261+AS261,2)))</f>
        <v>0</v>
      </c>
      <c r="AU261" s="20">
        <f>IF(B261="","",IF(AR261="","",ROUND(AR261*AI261+AK261,2)))</f>
        <v>0</v>
      </c>
      <c r="AV261" s="20">
        <f>IF(B261="","",IF(AR261="","",ROUND(AR261-AT261-AU261,2)))</f>
        <v>0</v>
      </c>
      <c r="AW261" s="33">
        <f>IF(B261="","",IF(OR(AR261="",AR261=0),"",AV261/AR261))</f>
        <v>0</v>
      </c>
      <c r="AX261" s="33">
        <f>IF(B261="","",IF(OR(AT261="",AT261=0),"",AV261/AT261))</f>
        <v>0</v>
      </c>
      <c r="AY261" s="20">
        <f>IF(B261="","",IF(OR(Y261="",Y261=0,AV261=""),"",ROUND(AV261/Y261,2)))</f>
        <v>0</v>
      </c>
      <c r="AZ261" s="20">
        <f>IF(B261="","",IF(OR(Y261="",Y261=0,AV261=""),"",ROUND((AV261+Z261)/Y261,2)))</f>
        <v>0</v>
      </c>
      <c r="BA261" s="20">
        <f>IF(B261="","",IF(1-AI261-AL261&lt;=0,"",ROUND((AH261+AM261+AK261)/(1-AI261-AL261),2)))</f>
        <v>0</v>
      </c>
      <c r="BB261" s="20">
        <f>IF(B261="","",IF(AT261="","",ROUND(AT261*2,2)))</f>
        <v>0</v>
      </c>
      <c r="BC261" s="20">
        <f>IF(B261="","",IF(AR261="","",ROUND(AR261*(1-WholesaleDiscount),2)))</f>
        <v>0</v>
      </c>
      <c r="BD261" s="20">
        <f>IF(B261="","",IF(BC261="","",ROUND(BC261-AH261-AM261,2)))</f>
        <v>0</v>
      </c>
      <c r="BE261" s="33">
        <f>IF(B261="","",IF(OR(BC261="",BC261=0),"",BD261/BC261))</f>
        <v>0</v>
      </c>
      <c r="BF261" s="20">
        <f>IF(B261="","",IFERROR(ROUND(AVERAGEIFS(Competitors!$F$5:$F$154,Competitors!$A$5:$A$154,A261),2),""))</f>
        <v>0</v>
      </c>
      <c r="BG261" s="33">
        <f>IF(B261="","",IF(OR(BF261="",BF261=0,AR261=""),"",AR261/BF261-1))</f>
        <v>0</v>
      </c>
      <c r="BH261" s="32">
        <f>IF(B261="","",SUMIFS(Sales!$D$5:$D$804,Sales!$C$5:$C$804,A261))</f>
        <v>0</v>
      </c>
      <c r="BI261" s="20">
        <f>IF(B261="","",ROUND(SUMIFS(Sales!$V$5:$V$804,Sales!$C$5:$C$804,A261),2))</f>
        <v>0</v>
      </c>
      <c r="BJ261" s="20">
        <f>IF(B261="","",ROUND(SUMIFS(Sales!$AG$5:$AG$804,Sales!$C$5:$C$804,A261),2))</f>
        <v>0</v>
      </c>
      <c r="BK261" s="33">
        <f>IF(B261="","",IF(OR(BI261="",BI261=0),"",BJ261/BI261))</f>
        <v>0</v>
      </c>
      <c r="BL261" s="17">
        <f>IF(B261="","",IF(SUMPRODUCT(MAX((Sales!$C$5:$C$804=A261)*Sales!$B$5:$B$804))=0,"",SUMPRODUCT(MAX((Sales!$C$5:$C$804=A261)*Sales!$B$5:$B$804))))</f>
        <v>0</v>
      </c>
      <c r="BM261" s="17">
        <f>IF(B261="","",IF(SUMPRODUCT(MAX(('Price History'!$B$5:$B$304=A261)*'Price History'!$A$5:$A$304))=0,IF(P261="","",P261),SUMPRODUCT(MAX(('Price History'!$B$5:$B$304=A261)*'Price History'!$A$5:$A$304))))</f>
        <v>0</v>
      </c>
      <c r="BN261" s="32">
        <f>IF(B261="","",IF(BM261="","",TodayDate-BM261))</f>
        <v>0</v>
      </c>
      <c r="BO261" s="32">
        <f>IF(B261="","",COUNTIFS($AV$5:$AV$304,"&gt;"&amp;AV261)+COUNTIFS($AV$5:AV261,AV261))</f>
        <v>0</v>
      </c>
      <c r="BP261" s="32">
        <f>IF(B261="","",COUNTIFS($AW$5:$AW$304,"&gt;"&amp;AW261)+COUNTIFS($AW$5:AW261,AW261))</f>
        <v>0</v>
      </c>
      <c r="BQ261" s="32">
        <f>IF(B261="","",COUNTIFS($BI$5:$BI$304,"&gt;"&amp;BI261)+COUNTIFS($BI$5:BI261,BI261))</f>
        <v>0</v>
      </c>
      <c r="BR261" s="32">
        <f>IF(B261="","",COUNTIFS($AY$5:$AY$304,"&gt;"&amp;AY261)+COUNTIFS($AY$5:AY261,AY261))</f>
        <v>0</v>
      </c>
      <c r="BS261" s="43">
        <f>IF(B261="","",IF(AH261=0,"Add - no costs entered yet",IF(AR261="","Check - no price yet",IF(AV261&lt;0,"Loss - every sale costs you money",IF(AND(AZ261&lt;&gt;"",AZ261&lt;MinimumWage),"Below - pays under minimum wage",IF(AW261&lt;MarginWarning,"Low margin - re-price it",IF(AND(AF261&lt;&gt;"",K261&lt;&gt;"",K261+AC261&gt;AF261),"Check - too heavy for that postage band",IF(AND(BN261&lt;&gt;"",BN261&gt;PriceReviewDays),"Due - price has not been reviewed",IF(AND(BG261&lt;&gt;"",BG261&gt;0.5),"Check - well above the market","OK")))))))) )</f>
        <v>0</v>
      </c>
    </row>
    <row r="262" spans="1:71">
      <c r="A262" s="38">
        <f>IF(B262="","",ProductPrefix&amp;TEXT(ROW()-4,"0000"))</f>
        <v>0</v>
      </c>
      <c r="S262" s="38">
        <f>IF(B262="","",IF(C262&lt;&gt;"",C262,UPPER(LEFT(IF(D262="","GEN",D262),3))&amp;"-"&amp;TEXT(ROW()-4,"000")))</f>
        <v>0</v>
      </c>
      <c r="T262" s="20">
        <f>IF(B262="","",ROUND(SUMIFS('Material Usage'!$M$5:$M$904,'Material Usage'!$A$5:$A$904,A262)+SUMIFS(Crochet!$AD$5:$AD$84,Crochet!$A$5:$A$84,A262)+SUMIFS(Jewelry!$AF$5:$AF$84,Jewelry!$A$5:$A$84,A262)+SUMIFS(Candles!$AF$5:$AF$84,Candles!$A$5:$A$84,A262)+SUMIFS(Clothing!$AB$5:$AB$84,Clothing!$A$5:$A$84,A262)+SUMIFS(Woodworking!$AC$5:$AC$84,Woodworking!$A$5:$A$84,A262)+SUMIFS(Digital!$X$5:$X$84,Digital!$A$5:$A$84,A262),2))</f>
        <v>0</v>
      </c>
      <c r="U262" s="20">
        <f>IF(B262="","",ROUND(SUMIFS(Labor!$O$5:$O$304,Labor!$A$5:$A$304,A262)+SUMIFS(Crochet!$AG$5:$AG$84,Crochet!$A$5:$A$84,A262)+SUMIFS(Jewelry!$AI$5:$AI$84,Jewelry!$A$5:$A$84,A262)+SUMIFS(Candles!$AI$5:$AI$84,Candles!$A$5:$A$84,A262)+SUMIFS(Clothing!$AE$5:$AE$84,Clothing!$A$5:$A$84,A262)+SUMIFS(Woodworking!$AF$5:$AF$84,Woodworking!$A$5:$A$84,A262)+SUMIFS(Digital!$Z$5:$Z$84,Digital!$A$5:$A$84,A262),2))</f>
        <v>0</v>
      </c>
      <c r="V262" s="36">
        <f>IF(B262="","",ROUND(SUMIFS(Labor!$P$5:$P$304,Labor!$A$5:$A$304,A262)+SUMIFS(Crochet!$AE$5:$AE$84,Crochet!$A$5:$A$84,A262)+SUMIFS(Jewelry!$AG$5:$AG$84,Jewelry!$A$5:$A$84,A262)+SUMIFS(Candles!$AG$5:$AG$84,Candles!$A$5:$A$84,A262)+SUMIFS(Clothing!$AC$5:$AC$84,Clothing!$A$5:$A$84,A262)+SUMIFS(Woodworking!$AD$5:$AD$84,Woodworking!$A$5:$A$84,A262)+SUMIFS(Digital!$Y$5:$Y$84,Digital!$A$5:$A$84,A262),1))</f>
        <v>0</v>
      </c>
      <c r="W262" s="41">
        <f>IF(B262="","",IFERROR(INDEX(DiffTimeFactors,MATCH(G262,DiffNames,0)),1))</f>
        <v>0</v>
      </c>
      <c r="X262" s="36">
        <f>IF(B262="","",ROUND(V262*W262,1))</f>
        <v>0</v>
      </c>
      <c r="Y262" s="41">
        <f>IF(B262="","",ROUND(X262/60,3))</f>
        <v>0</v>
      </c>
      <c r="Z262" s="20">
        <f>IF(B262="","",ROUND(U262*W262,2))</f>
        <v>0</v>
      </c>
      <c r="AA262" s="20">
        <f>IF(B262="","",ROUND(SUMIFS(Labor!$Q$5:$Q$304,Labor!$A$5:$A$304,A262)+SUMIFS(Crochet!$AH$5:$AH$84,Crochet!$A$5:$A$84,A262)+SUMIFS(Jewelry!$AJ$5:$AJ$84,Jewelry!$A$5:$A$84,A262)+SUMIFS(Candles!$AJ$5:$AJ$84,Candles!$A$5:$A$84,A262)+SUMIFS(Clothing!$AF$5:$AF$84,Clothing!$A$5:$A$84,A262)+SUMIFS(Woodworking!$AH$5:$AH$84,Woodworking!$A$5:$A$84,A262)+SUMIFS(Digital!$AA$5:$AA$84,Digital!$A$5:$A$84,A262),2))</f>
        <v>0</v>
      </c>
      <c r="AB262" s="20">
        <f>IF(B262="","",ROUND(IF(I262="Budget",PackBudget,IF(I262="Standard",PackStandard,IF(I262="Gift",PackGift,IF(I262="Premium",PackPremium,DefaultPackaging)))),2))</f>
        <v>0</v>
      </c>
      <c r="AC262" s="36">
        <f>IF(B262="","",IF(I262="Budget",PackWeightBudget,IF(I262="Standard",PackWeightStandard,IF(I262="Gift",PackWeightGift,IF(I262="Premium",PackWeightPremium,0)))))</f>
        <v>0</v>
      </c>
      <c r="AD262" s="20">
        <f>IF(B262="","",IFERROR(INDEX(Shipping!$M$5:$M$64,MATCH(J262,Shipping!$L$5:$L$64,0)),DefaultShipping))</f>
        <v>0</v>
      </c>
      <c r="AE262" s="20">
        <f>IF(B262="","",IFERROR(INDEX(Shipping!$F$5:$F$64,MATCH(J262,Shipping!$L$5:$L$64,0)),0))</f>
        <v>0</v>
      </c>
      <c r="AF262" s="36">
        <f>IF(B262="","",IFERROR(INDEX(Shipping!$C$5:$C$64,MATCH(J262,Shipping!$L$5:$L$64,0)),""))</f>
        <v>0</v>
      </c>
      <c r="AG262" s="20">
        <f>IF(B262="","",ROUND(MAX(0,AD262-AE262),2))</f>
        <v>0</v>
      </c>
      <c r="AH262" s="20">
        <f>IF(B262="","",ROUND(T262+Z262+AA262+AB262+AG262,2))</f>
        <v>0</v>
      </c>
      <c r="AI262" s="33">
        <f>IF(B262="","",IFERROR(INDEX(Channels!$S$5:$S$18,MATCH(IF(H262="",DefaultChannel,H262),Channels!$A$5:$A$18,0)),0))</f>
        <v>0</v>
      </c>
      <c r="AJ262" s="42">
        <f>IF(B262="","",IFERROR(INDEX(Channels!$O$5:$O$18,MATCH(IF(H262="",DefaultChannel,H262),Channels!$A$5:$A$18,0)),"No"))</f>
        <v>0</v>
      </c>
      <c r="AK262" s="20">
        <f>IF(B262="","",ROUND(IFERROR(INDEX(Channels!$T$5:$T$18,MATCH(IF(H262="",DefaultChannel,H262),Channels!$A$5:$A$18,0)),0)+IF(AJ262="Yes",AE262*AI262,0),4))</f>
        <v>0</v>
      </c>
      <c r="AL262" s="33">
        <f>IF(B262="","",IF(OverheadMethod="Share of revenue",IF(RevenueTargetMonth&lt;=0,0,OverheadMonthly/RevenueTargetMonth),0))</f>
        <v>0</v>
      </c>
      <c r="AM262" s="20">
        <f>IF(B262="","",IF(OverheadMethod="Per hour worked",ROUND(OverheadPerHour*Y262,2),IF(OR(OverheadMethod="Per unit made",OverheadMethod="Per order"),OverheadPerUnit,0)))</f>
        <v>0</v>
      </c>
      <c r="AN262" s="33">
        <f>IF(B262="","",IF(N262&lt;&gt;"",N262,TargetRetailMargin))</f>
        <v>0</v>
      </c>
      <c r="AO262" s="41">
        <f>IF(B262="","",1-AN262-AI262-AL262)</f>
        <v>0</v>
      </c>
      <c r="AP262" s="20">
        <f>IF(B262="","",IF(AO262&lt;=0,"",(AH262+AM262+AK262)/AO262))</f>
        <v>0</v>
      </c>
      <c r="AQ262" s="20">
        <f>IF(B262="","",IF(AP262="","Check the settings",ROUND(IF(RoundingRule="None",AP262,IF(RoundingRule="Nearest 0.99",MAX(0.99,CEILING(AP262,1)-0.01),IF(RoundingRule="Nearest 0.95",MAX(0.95,CEILING(AP262,1)-0.05),IF(RoundingRule="Nearest 0.50",CEILING(AP262,0.5),IF(RoundingRule="Nearest 1",CEILING(AP262,1),IF(RoundingRule="Nearest 5",CEILING(AP262,5),IF(RoundingRule="Up to whole 1",CEILING(AP262,1),IF(RoundingRule="Up to whole 5",CEILING(AP262,5),ROUND(AP262,2))))))))),2)))</f>
        <v>0</v>
      </c>
      <c r="AR262" s="20">
        <f>IF(B262="","",IF(M262&lt;&gt;"",M262,IF(ISNUMBER(AQ262),AQ262,"")))</f>
        <v>0</v>
      </c>
      <c r="AS262" s="20">
        <f>IF(B262="","",IF(AR262="","",ROUND(AM262+AR262*AL262,2)))</f>
        <v>0</v>
      </c>
      <c r="AT262" s="20">
        <f>IF(B262="","",IF(AR262="","",ROUND(AH262+AS262,2)))</f>
        <v>0</v>
      </c>
      <c r="AU262" s="20">
        <f>IF(B262="","",IF(AR262="","",ROUND(AR262*AI262+AK262,2)))</f>
        <v>0</v>
      </c>
      <c r="AV262" s="20">
        <f>IF(B262="","",IF(AR262="","",ROUND(AR262-AT262-AU262,2)))</f>
        <v>0</v>
      </c>
      <c r="AW262" s="33">
        <f>IF(B262="","",IF(OR(AR262="",AR262=0),"",AV262/AR262))</f>
        <v>0</v>
      </c>
      <c r="AX262" s="33">
        <f>IF(B262="","",IF(OR(AT262="",AT262=0),"",AV262/AT262))</f>
        <v>0</v>
      </c>
      <c r="AY262" s="20">
        <f>IF(B262="","",IF(OR(Y262="",Y262=0,AV262=""),"",ROUND(AV262/Y262,2)))</f>
        <v>0</v>
      </c>
      <c r="AZ262" s="20">
        <f>IF(B262="","",IF(OR(Y262="",Y262=0,AV262=""),"",ROUND((AV262+Z262)/Y262,2)))</f>
        <v>0</v>
      </c>
      <c r="BA262" s="20">
        <f>IF(B262="","",IF(1-AI262-AL262&lt;=0,"",ROUND((AH262+AM262+AK262)/(1-AI262-AL262),2)))</f>
        <v>0</v>
      </c>
      <c r="BB262" s="20">
        <f>IF(B262="","",IF(AT262="","",ROUND(AT262*2,2)))</f>
        <v>0</v>
      </c>
      <c r="BC262" s="20">
        <f>IF(B262="","",IF(AR262="","",ROUND(AR262*(1-WholesaleDiscount),2)))</f>
        <v>0</v>
      </c>
      <c r="BD262" s="20">
        <f>IF(B262="","",IF(BC262="","",ROUND(BC262-AH262-AM262,2)))</f>
        <v>0</v>
      </c>
      <c r="BE262" s="33">
        <f>IF(B262="","",IF(OR(BC262="",BC262=0),"",BD262/BC262))</f>
        <v>0</v>
      </c>
      <c r="BF262" s="20">
        <f>IF(B262="","",IFERROR(ROUND(AVERAGEIFS(Competitors!$F$5:$F$154,Competitors!$A$5:$A$154,A262),2),""))</f>
        <v>0</v>
      </c>
      <c r="BG262" s="33">
        <f>IF(B262="","",IF(OR(BF262="",BF262=0,AR262=""),"",AR262/BF262-1))</f>
        <v>0</v>
      </c>
      <c r="BH262" s="32">
        <f>IF(B262="","",SUMIFS(Sales!$D$5:$D$804,Sales!$C$5:$C$804,A262))</f>
        <v>0</v>
      </c>
      <c r="BI262" s="20">
        <f>IF(B262="","",ROUND(SUMIFS(Sales!$V$5:$V$804,Sales!$C$5:$C$804,A262),2))</f>
        <v>0</v>
      </c>
      <c r="BJ262" s="20">
        <f>IF(B262="","",ROUND(SUMIFS(Sales!$AG$5:$AG$804,Sales!$C$5:$C$804,A262),2))</f>
        <v>0</v>
      </c>
      <c r="BK262" s="33">
        <f>IF(B262="","",IF(OR(BI262="",BI262=0),"",BJ262/BI262))</f>
        <v>0</v>
      </c>
      <c r="BL262" s="17">
        <f>IF(B262="","",IF(SUMPRODUCT(MAX((Sales!$C$5:$C$804=A262)*Sales!$B$5:$B$804))=0,"",SUMPRODUCT(MAX((Sales!$C$5:$C$804=A262)*Sales!$B$5:$B$804))))</f>
        <v>0</v>
      </c>
      <c r="BM262" s="17">
        <f>IF(B262="","",IF(SUMPRODUCT(MAX(('Price History'!$B$5:$B$304=A262)*'Price History'!$A$5:$A$304))=0,IF(P262="","",P262),SUMPRODUCT(MAX(('Price History'!$B$5:$B$304=A262)*'Price History'!$A$5:$A$304))))</f>
        <v>0</v>
      </c>
      <c r="BN262" s="32">
        <f>IF(B262="","",IF(BM262="","",TodayDate-BM262))</f>
        <v>0</v>
      </c>
      <c r="BO262" s="32">
        <f>IF(B262="","",COUNTIFS($AV$5:$AV$304,"&gt;"&amp;AV262)+COUNTIFS($AV$5:AV262,AV262))</f>
        <v>0</v>
      </c>
      <c r="BP262" s="32">
        <f>IF(B262="","",COUNTIFS($AW$5:$AW$304,"&gt;"&amp;AW262)+COUNTIFS($AW$5:AW262,AW262))</f>
        <v>0</v>
      </c>
      <c r="BQ262" s="32">
        <f>IF(B262="","",COUNTIFS($BI$5:$BI$304,"&gt;"&amp;BI262)+COUNTIFS($BI$5:BI262,BI262))</f>
        <v>0</v>
      </c>
      <c r="BR262" s="32">
        <f>IF(B262="","",COUNTIFS($AY$5:$AY$304,"&gt;"&amp;AY262)+COUNTIFS($AY$5:AY262,AY262))</f>
        <v>0</v>
      </c>
      <c r="BS262" s="43">
        <f>IF(B262="","",IF(AH262=0,"Add - no costs entered yet",IF(AR262="","Check - no price yet",IF(AV262&lt;0,"Loss - every sale costs you money",IF(AND(AZ262&lt;&gt;"",AZ262&lt;MinimumWage),"Below - pays under minimum wage",IF(AW262&lt;MarginWarning,"Low margin - re-price it",IF(AND(AF262&lt;&gt;"",K262&lt;&gt;"",K262+AC262&gt;AF262),"Check - too heavy for that postage band",IF(AND(BN262&lt;&gt;"",BN262&gt;PriceReviewDays),"Due - price has not been reviewed",IF(AND(BG262&lt;&gt;"",BG262&gt;0.5),"Check - well above the market","OK")))))))) )</f>
        <v>0</v>
      </c>
    </row>
    <row r="263" spans="1:71">
      <c r="A263" s="38">
        <f>IF(B263="","",ProductPrefix&amp;TEXT(ROW()-4,"0000"))</f>
        <v>0</v>
      </c>
      <c r="S263" s="38">
        <f>IF(B263="","",IF(C263&lt;&gt;"",C263,UPPER(LEFT(IF(D263="","GEN",D263),3))&amp;"-"&amp;TEXT(ROW()-4,"000")))</f>
        <v>0</v>
      </c>
      <c r="T263" s="20">
        <f>IF(B263="","",ROUND(SUMIFS('Material Usage'!$M$5:$M$904,'Material Usage'!$A$5:$A$904,A263)+SUMIFS(Crochet!$AD$5:$AD$84,Crochet!$A$5:$A$84,A263)+SUMIFS(Jewelry!$AF$5:$AF$84,Jewelry!$A$5:$A$84,A263)+SUMIFS(Candles!$AF$5:$AF$84,Candles!$A$5:$A$84,A263)+SUMIFS(Clothing!$AB$5:$AB$84,Clothing!$A$5:$A$84,A263)+SUMIFS(Woodworking!$AC$5:$AC$84,Woodworking!$A$5:$A$84,A263)+SUMIFS(Digital!$X$5:$X$84,Digital!$A$5:$A$84,A263),2))</f>
        <v>0</v>
      </c>
      <c r="U263" s="20">
        <f>IF(B263="","",ROUND(SUMIFS(Labor!$O$5:$O$304,Labor!$A$5:$A$304,A263)+SUMIFS(Crochet!$AG$5:$AG$84,Crochet!$A$5:$A$84,A263)+SUMIFS(Jewelry!$AI$5:$AI$84,Jewelry!$A$5:$A$84,A263)+SUMIFS(Candles!$AI$5:$AI$84,Candles!$A$5:$A$84,A263)+SUMIFS(Clothing!$AE$5:$AE$84,Clothing!$A$5:$A$84,A263)+SUMIFS(Woodworking!$AF$5:$AF$84,Woodworking!$A$5:$A$84,A263)+SUMIFS(Digital!$Z$5:$Z$84,Digital!$A$5:$A$84,A263),2))</f>
        <v>0</v>
      </c>
      <c r="V263" s="36">
        <f>IF(B263="","",ROUND(SUMIFS(Labor!$P$5:$P$304,Labor!$A$5:$A$304,A263)+SUMIFS(Crochet!$AE$5:$AE$84,Crochet!$A$5:$A$84,A263)+SUMIFS(Jewelry!$AG$5:$AG$84,Jewelry!$A$5:$A$84,A263)+SUMIFS(Candles!$AG$5:$AG$84,Candles!$A$5:$A$84,A263)+SUMIFS(Clothing!$AC$5:$AC$84,Clothing!$A$5:$A$84,A263)+SUMIFS(Woodworking!$AD$5:$AD$84,Woodworking!$A$5:$A$84,A263)+SUMIFS(Digital!$Y$5:$Y$84,Digital!$A$5:$A$84,A263),1))</f>
        <v>0</v>
      </c>
      <c r="W263" s="41">
        <f>IF(B263="","",IFERROR(INDEX(DiffTimeFactors,MATCH(G263,DiffNames,0)),1))</f>
        <v>0</v>
      </c>
      <c r="X263" s="36">
        <f>IF(B263="","",ROUND(V263*W263,1))</f>
        <v>0</v>
      </c>
      <c r="Y263" s="41">
        <f>IF(B263="","",ROUND(X263/60,3))</f>
        <v>0</v>
      </c>
      <c r="Z263" s="20">
        <f>IF(B263="","",ROUND(U263*W263,2))</f>
        <v>0</v>
      </c>
      <c r="AA263" s="20">
        <f>IF(B263="","",ROUND(SUMIFS(Labor!$Q$5:$Q$304,Labor!$A$5:$A$304,A263)+SUMIFS(Crochet!$AH$5:$AH$84,Crochet!$A$5:$A$84,A263)+SUMIFS(Jewelry!$AJ$5:$AJ$84,Jewelry!$A$5:$A$84,A263)+SUMIFS(Candles!$AJ$5:$AJ$84,Candles!$A$5:$A$84,A263)+SUMIFS(Clothing!$AF$5:$AF$84,Clothing!$A$5:$A$84,A263)+SUMIFS(Woodworking!$AH$5:$AH$84,Woodworking!$A$5:$A$84,A263)+SUMIFS(Digital!$AA$5:$AA$84,Digital!$A$5:$A$84,A263),2))</f>
        <v>0</v>
      </c>
      <c r="AB263" s="20">
        <f>IF(B263="","",ROUND(IF(I263="Budget",PackBudget,IF(I263="Standard",PackStandard,IF(I263="Gift",PackGift,IF(I263="Premium",PackPremium,DefaultPackaging)))),2))</f>
        <v>0</v>
      </c>
      <c r="AC263" s="36">
        <f>IF(B263="","",IF(I263="Budget",PackWeightBudget,IF(I263="Standard",PackWeightStandard,IF(I263="Gift",PackWeightGift,IF(I263="Premium",PackWeightPremium,0)))))</f>
        <v>0</v>
      </c>
      <c r="AD263" s="20">
        <f>IF(B263="","",IFERROR(INDEX(Shipping!$M$5:$M$64,MATCH(J263,Shipping!$L$5:$L$64,0)),DefaultShipping))</f>
        <v>0</v>
      </c>
      <c r="AE263" s="20">
        <f>IF(B263="","",IFERROR(INDEX(Shipping!$F$5:$F$64,MATCH(J263,Shipping!$L$5:$L$64,0)),0))</f>
        <v>0</v>
      </c>
      <c r="AF263" s="36">
        <f>IF(B263="","",IFERROR(INDEX(Shipping!$C$5:$C$64,MATCH(J263,Shipping!$L$5:$L$64,0)),""))</f>
        <v>0</v>
      </c>
      <c r="AG263" s="20">
        <f>IF(B263="","",ROUND(MAX(0,AD263-AE263),2))</f>
        <v>0</v>
      </c>
      <c r="AH263" s="20">
        <f>IF(B263="","",ROUND(T263+Z263+AA263+AB263+AG263,2))</f>
        <v>0</v>
      </c>
      <c r="AI263" s="33">
        <f>IF(B263="","",IFERROR(INDEX(Channels!$S$5:$S$18,MATCH(IF(H263="",DefaultChannel,H263),Channels!$A$5:$A$18,0)),0))</f>
        <v>0</v>
      </c>
      <c r="AJ263" s="42">
        <f>IF(B263="","",IFERROR(INDEX(Channels!$O$5:$O$18,MATCH(IF(H263="",DefaultChannel,H263),Channels!$A$5:$A$18,0)),"No"))</f>
        <v>0</v>
      </c>
      <c r="AK263" s="20">
        <f>IF(B263="","",ROUND(IFERROR(INDEX(Channels!$T$5:$T$18,MATCH(IF(H263="",DefaultChannel,H263),Channels!$A$5:$A$18,0)),0)+IF(AJ263="Yes",AE263*AI263,0),4))</f>
        <v>0</v>
      </c>
      <c r="AL263" s="33">
        <f>IF(B263="","",IF(OverheadMethod="Share of revenue",IF(RevenueTargetMonth&lt;=0,0,OverheadMonthly/RevenueTargetMonth),0))</f>
        <v>0</v>
      </c>
      <c r="AM263" s="20">
        <f>IF(B263="","",IF(OverheadMethod="Per hour worked",ROUND(OverheadPerHour*Y263,2),IF(OR(OverheadMethod="Per unit made",OverheadMethod="Per order"),OverheadPerUnit,0)))</f>
        <v>0</v>
      </c>
      <c r="AN263" s="33">
        <f>IF(B263="","",IF(N263&lt;&gt;"",N263,TargetRetailMargin))</f>
        <v>0</v>
      </c>
      <c r="AO263" s="41">
        <f>IF(B263="","",1-AN263-AI263-AL263)</f>
        <v>0</v>
      </c>
      <c r="AP263" s="20">
        <f>IF(B263="","",IF(AO263&lt;=0,"",(AH263+AM263+AK263)/AO263))</f>
        <v>0</v>
      </c>
      <c r="AQ263" s="20">
        <f>IF(B263="","",IF(AP263="","Check the settings",ROUND(IF(RoundingRule="None",AP263,IF(RoundingRule="Nearest 0.99",MAX(0.99,CEILING(AP263,1)-0.01),IF(RoundingRule="Nearest 0.95",MAX(0.95,CEILING(AP263,1)-0.05),IF(RoundingRule="Nearest 0.50",CEILING(AP263,0.5),IF(RoundingRule="Nearest 1",CEILING(AP263,1),IF(RoundingRule="Nearest 5",CEILING(AP263,5),IF(RoundingRule="Up to whole 1",CEILING(AP263,1),IF(RoundingRule="Up to whole 5",CEILING(AP263,5),ROUND(AP263,2))))))))),2)))</f>
        <v>0</v>
      </c>
      <c r="AR263" s="20">
        <f>IF(B263="","",IF(M263&lt;&gt;"",M263,IF(ISNUMBER(AQ263),AQ263,"")))</f>
        <v>0</v>
      </c>
      <c r="AS263" s="20">
        <f>IF(B263="","",IF(AR263="","",ROUND(AM263+AR263*AL263,2)))</f>
        <v>0</v>
      </c>
      <c r="AT263" s="20">
        <f>IF(B263="","",IF(AR263="","",ROUND(AH263+AS263,2)))</f>
        <v>0</v>
      </c>
      <c r="AU263" s="20">
        <f>IF(B263="","",IF(AR263="","",ROUND(AR263*AI263+AK263,2)))</f>
        <v>0</v>
      </c>
      <c r="AV263" s="20">
        <f>IF(B263="","",IF(AR263="","",ROUND(AR263-AT263-AU263,2)))</f>
        <v>0</v>
      </c>
      <c r="AW263" s="33">
        <f>IF(B263="","",IF(OR(AR263="",AR263=0),"",AV263/AR263))</f>
        <v>0</v>
      </c>
      <c r="AX263" s="33">
        <f>IF(B263="","",IF(OR(AT263="",AT263=0),"",AV263/AT263))</f>
        <v>0</v>
      </c>
      <c r="AY263" s="20">
        <f>IF(B263="","",IF(OR(Y263="",Y263=0,AV263=""),"",ROUND(AV263/Y263,2)))</f>
        <v>0</v>
      </c>
      <c r="AZ263" s="20">
        <f>IF(B263="","",IF(OR(Y263="",Y263=0,AV263=""),"",ROUND((AV263+Z263)/Y263,2)))</f>
        <v>0</v>
      </c>
      <c r="BA263" s="20">
        <f>IF(B263="","",IF(1-AI263-AL263&lt;=0,"",ROUND((AH263+AM263+AK263)/(1-AI263-AL263),2)))</f>
        <v>0</v>
      </c>
      <c r="BB263" s="20">
        <f>IF(B263="","",IF(AT263="","",ROUND(AT263*2,2)))</f>
        <v>0</v>
      </c>
      <c r="BC263" s="20">
        <f>IF(B263="","",IF(AR263="","",ROUND(AR263*(1-WholesaleDiscount),2)))</f>
        <v>0</v>
      </c>
      <c r="BD263" s="20">
        <f>IF(B263="","",IF(BC263="","",ROUND(BC263-AH263-AM263,2)))</f>
        <v>0</v>
      </c>
      <c r="BE263" s="33">
        <f>IF(B263="","",IF(OR(BC263="",BC263=0),"",BD263/BC263))</f>
        <v>0</v>
      </c>
      <c r="BF263" s="20">
        <f>IF(B263="","",IFERROR(ROUND(AVERAGEIFS(Competitors!$F$5:$F$154,Competitors!$A$5:$A$154,A263),2),""))</f>
        <v>0</v>
      </c>
      <c r="BG263" s="33">
        <f>IF(B263="","",IF(OR(BF263="",BF263=0,AR263=""),"",AR263/BF263-1))</f>
        <v>0</v>
      </c>
      <c r="BH263" s="32">
        <f>IF(B263="","",SUMIFS(Sales!$D$5:$D$804,Sales!$C$5:$C$804,A263))</f>
        <v>0</v>
      </c>
      <c r="BI263" s="20">
        <f>IF(B263="","",ROUND(SUMIFS(Sales!$V$5:$V$804,Sales!$C$5:$C$804,A263),2))</f>
        <v>0</v>
      </c>
      <c r="BJ263" s="20">
        <f>IF(B263="","",ROUND(SUMIFS(Sales!$AG$5:$AG$804,Sales!$C$5:$C$804,A263),2))</f>
        <v>0</v>
      </c>
      <c r="BK263" s="33">
        <f>IF(B263="","",IF(OR(BI263="",BI263=0),"",BJ263/BI263))</f>
        <v>0</v>
      </c>
      <c r="BL263" s="17">
        <f>IF(B263="","",IF(SUMPRODUCT(MAX((Sales!$C$5:$C$804=A263)*Sales!$B$5:$B$804))=0,"",SUMPRODUCT(MAX((Sales!$C$5:$C$804=A263)*Sales!$B$5:$B$804))))</f>
        <v>0</v>
      </c>
      <c r="BM263" s="17">
        <f>IF(B263="","",IF(SUMPRODUCT(MAX(('Price History'!$B$5:$B$304=A263)*'Price History'!$A$5:$A$304))=0,IF(P263="","",P263),SUMPRODUCT(MAX(('Price History'!$B$5:$B$304=A263)*'Price History'!$A$5:$A$304))))</f>
        <v>0</v>
      </c>
      <c r="BN263" s="32">
        <f>IF(B263="","",IF(BM263="","",TodayDate-BM263))</f>
        <v>0</v>
      </c>
      <c r="BO263" s="32">
        <f>IF(B263="","",COUNTIFS($AV$5:$AV$304,"&gt;"&amp;AV263)+COUNTIFS($AV$5:AV263,AV263))</f>
        <v>0</v>
      </c>
      <c r="BP263" s="32">
        <f>IF(B263="","",COUNTIFS($AW$5:$AW$304,"&gt;"&amp;AW263)+COUNTIFS($AW$5:AW263,AW263))</f>
        <v>0</v>
      </c>
      <c r="BQ263" s="32">
        <f>IF(B263="","",COUNTIFS($BI$5:$BI$304,"&gt;"&amp;BI263)+COUNTIFS($BI$5:BI263,BI263))</f>
        <v>0</v>
      </c>
      <c r="BR263" s="32">
        <f>IF(B263="","",COUNTIFS($AY$5:$AY$304,"&gt;"&amp;AY263)+COUNTIFS($AY$5:AY263,AY263))</f>
        <v>0</v>
      </c>
      <c r="BS263" s="43">
        <f>IF(B263="","",IF(AH263=0,"Add - no costs entered yet",IF(AR263="","Check - no price yet",IF(AV263&lt;0,"Loss - every sale costs you money",IF(AND(AZ263&lt;&gt;"",AZ263&lt;MinimumWage),"Below - pays under minimum wage",IF(AW263&lt;MarginWarning,"Low margin - re-price it",IF(AND(AF263&lt;&gt;"",K263&lt;&gt;"",K263+AC263&gt;AF263),"Check - too heavy for that postage band",IF(AND(BN263&lt;&gt;"",BN263&gt;PriceReviewDays),"Due - price has not been reviewed",IF(AND(BG263&lt;&gt;"",BG263&gt;0.5),"Check - well above the market","OK")))))))) )</f>
        <v>0</v>
      </c>
    </row>
    <row r="264" spans="1:71">
      <c r="A264" s="38">
        <f>IF(B264="","",ProductPrefix&amp;TEXT(ROW()-4,"0000"))</f>
        <v>0</v>
      </c>
      <c r="S264" s="38">
        <f>IF(B264="","",IF(C264&lt;&gt;"",C264,UPPER(LEFT(IF(D264="","GEN",D264),3))&amp;"-"&amp;TEXT(ROW()-4,"000")))</f>
        <v>0</v>
      </c>
      <c r="T264" s="20">
        <f>IF(B264="","",ROUND(SUMIFS('Material Usage'!$M$5:$M$904,'Material Usage'!$A$5:$A$904,A264)+SUMIFS(Crochet!$AD$5:$AD$84,Crochet!$A$5:$A$84,A264)+SUMIFS(Jewelry!$AF$5:$AF$84,Jewelry!$A$5:$A$84,A264)+SUMIFS(Candles!$AF$5:$AF$84,Candles!$A$5:$A$84,A264)+SUMIFS(Clothing!$AB$5:$AB$84,Clothing!$A$5:$A$84,A264)+SUMIFS(Woodworking!$AC$5:$AC$84,Woodworking!$A$5:$A$84,A264)+SUMIFS(Digital!$X$5:$X$84,Digital!$A$5:$A$84,A264),2))</f>
        <v>0</v>
      </c>
      <c r="U264" s="20">
        <f>IF(B264="","",ROUND(SUMIFS(Labor!$O$5:$O$304,Labor!$A$5:$A$304,A264)+SUMIFS(Crochet!$AG$5:$AG$84,Crochet!$A$5:$A$84,A264)+SUMIFS(Jewelry!$AI$5:$AI$84,Jewelry!$A$5:$A$84,A264)+SUMIFS(Candles!$AI$5:$AI$84,Candles!$A$5:$A$84,A264)+SUMIFS(Clothing!$AE$5:$AE$84,Clothing!$A$5:$A$84,A264)+SUMIFS(Woodworking!$AF$5:$AF$84,Woodworking!$A$5:$A$84,A264)+SUMIFS(Digital!$Z$5:$Z$84,Digital!$A$5:$A$84,A264),2))</f>
        <v>0</v>
      </c>
      <c r="V264" s="36">
        <f>IF(B264="","",ROUND(SUMIFS(Labor!$P$5:$P$304,Labor!$A$5:$A$304,A264)+SUMIFS(Crochet!$AE$5:$AE$84,Crochet!$A$5:$A$84,A264)+SUMIFS(Jewelry!$AG$5:$AG$84,Jewelry!$A$5:$A$84,A264)+SUMIFS(Candles!$AG$5:$AG$84,Candles!$A$5:$A$84,A264)+SUMIFS(Clothing!$AC$5:$AC$84,Clothing!$A$5:$A$84,A264)+SUMIFS(Woodworking!$AD$5:$AD$84,Woodworking!$A$5:$A$84,A264)+SUMIFS(Digital!$Y$5:$Y$84,Digital!$A$5:$A$84,A264),1))</f>
        <v>0</v>
      </c>
      <c r="W264" s="41">
        <f>IF(B264="","",IFERROR(INDEX(DiffTimeFactors,MATCH(G264,DiffNames,0)),1))</f>
        <v>0</v>
      </c>
      <c r="X264" s="36">
        <f>IF(B264="","",ROUND(V264*W264,1))</f>
        <v>0</v>
      </c>
      <c r="Y264" s="41">
        <f>IF(B264="","",ROUND(X264/60,3))</f>
        <v>0</v>
      </c>
      <c r="Z264" s="20">
        <f>IF(B264="","",ROUND(U264*W264,2))</f>
        <v>0</v>
      </c>
      <c r="AA264" s="20">
        <f>IF(B264="","",ROUND(SUMIFS(Labor!$Q$5:$Q$304,Labor!$A$5:$A$304,A264)+SUMIFS(Crochet!$AH$5:$AH$84,Crochet!$A$5:$A$84,A264)+SUMIFS(Jewelry!$AJ$5:$AJ$84,Jewelry!$A$5:$A$84,A264)+SUMIFS(Candles!$AJ$5:$AJ$84,Candles!$A$5:$A$84,A264)+SUMIFS(Clothing!$AF$5:$AF$84,Clothing!$A$5:$A$84,A264)+SUMIFS(Woodworking!$AH$5:$AH$84,Woodworking!$A$5:$A$84,A264)+SUMIFS(Digital!$AA$5:$AA$84,Digital!$A$5:$A$84,A264),2))</f>
        <v>0</v>
      </c>
      <c r="AB264" s="20">
        <f>IF(B264="","",ROUND(IF(I264="Budget",PackBudget,IF(I264="Standard",PackStandard,IF(I264="Gift",PackGift,IF(I264="Premium",PackPremium,DefaultPackaging)))),2))</f>
        <v>0</v>
      </c>
      <c r="AC264" s="36">
        <f>IF(B264="","",IF(I264="Budget",PackWeightBudget,IF(I264="Standard",PackWeightStandard,IF(I264="Gift",PackWeightGift,IF(I264="Premium",PackWeightPremium,0)))))</f>
        <v>0</v>
      </c>
      <c r="AD264" s="20">
        <f>IF(B264="","",IFERROR(INDEX(Shipping!$M$5:$M$64,MATCH(J264,Shipping!$L$5:$L$64,0)),DefaultShipping))</f>
        <v>0</v>
      </c>
      <c r="AE264" s="20">
        <f>IF(B264="","",IFERROR(INDEX(Shipping!$F$5:$F$64,MATCH(J264,Shipping!$L$5:$L$64,0)),0))</f>
        <v>0</v>
      </c>
      <c r="AF264" s="36">
        <f>IF(B264="","",IFERROR(INDEX(Shipping!$C$5:$C$64,MATCH(J264,Shipping!$L$5:$L$64,0)),""))</f>
        <v>0</v>
      </c>
      <c r="AG264" s="20">
        <f>IF(B264="","",ROUND(MAX(0,AD264-AE264),2))</f>
        <v>0</v>
      </c>
      <c r="AH264" s="20">
        <f>IF(B264="","",ROUND(T264+Z264+AA264+AB264+AG264,2))</f>
        <v>0</v>
      </c>
      <c r="AI264" s="33">
        <f>IF(B264="","",IFERROR(INDEX(Channels!$S$5:$S$18,MATCH(IF(H264="",DefaultChannel,H264),Channels!$A$5:$A$18,0)),0))</f>
        <v>0</v>
      </c>
      <c r="AJ264" s="42">
        <f>IF(B264="","",IFERROR(INDEX(Channels!$O$5:$O$18,MATCH(IF(H264="",DefaultChannel,H264),Channels!$A$5:$A$18,0)),"No"))</f>
        <v>0</v>
      </c>
      <c r="AK264" s="20">
        <f>IF(B264="","",ROUND(IFERROR(INDEX(Channels!$T$5:$T$18,MATCH(IF(H264="",DefaultChannel,H264),Channels!$A$5:$A$18,0)),0)+IF(AJ264="Yes",AE264*AI264,0),4))</f>
        <v>0</v>
      </c>
      <c r="AL264" s="33">
        <f>IF(B264="","",IF(OverheadMethod="Share of revenue",IF(RevenueTargetMonth&lt;=0,0,OverheadMonthly/RevenueTargetMonth),0))</f>
        <v>0</v>
      </c>
      <c r="AM264" s="20">
        <f>IF(B264="","",IF(OverheadMethod="Per hour worked",ROUND(OverheadPerHour*Y264,2),IF(OR(OverheadMethod="Per unit made",OverheadMethod="Per order"),OverheadPerUnit,0)))</f>
        <v>0</v>
      </c>
      <c r="AN264" s="33">
        <f>IF(B264="","",IF(N264&lt;&gt;"",N264,TargetRetailMargin))</f>
        <v>0</v>
      </c>
      <c r="AO264" s="41">
        <f>IF(B264="","",1-AN264-AI264-AL264)</f>
        <v>0</v>
      </c>
      <c r="AP264" s="20">
        <f>IF(B264="","",IF(AO264&lt;=0,"",(AH264+AM264+AK264)/AO264))</f>
        <v>0</v>
      </c>
      <c r="AQ264" s="20">
        <f>IF(B264="","",IF(AP264="","Check the settings",ROUND(IF(RoundingRule="None",AP264,IF(RoundingRule="Nearest 0.99",MAX(0.99,CEILING(AP264,1)-0.01),IF(RoundingRule="Nearest 0.95",MAX(0.95,CEILING(AP264,1)-0.05),IF(RoundingRule="Nearest 0.50",CEILING(AP264,0.5),IF(RoundingRule="Nearest 1",CEILING(AP264,1),IF(RoundingRule="Nearest 5",CEILING(AP264,5),IF(RoundingRule="Up to whole 1",CEILING(AP264,1),IF(RoundingRule="Up to whole 5",CEILING(AP264,5),ROUND(AP264,2))))))))),2)))</f>
        <v>0</v>
      </c>
      <c r="AR264" s="20">
        <f>IF(B264="","",IF(M264&lt;&gt;"",M264,IF(ISNUMBER(AQ264),AQ264,"")))</f>
        <v>0</v>
      </c>
      <c r="AS264" s="20">
        <f>IF(B264="","",IF(AR264="","",ROUND(AM264+AR264*AL264,2)))</f>
        <v>0</v>
      </c>
      <c r="AT264" s="20">
        <f>IF(B264="","",IF(AR264="","",ROUND(AH264+AS264,2)))</f>
        <v>0</v>
      </c>
      <c r="AU264" s="20">
        <f>IF(B264="","",IF(AR264="","",ROUND(AR264*AI264+AK264,2)))</f>
        <v>0</v>
      </c>
      <c r="AV264" s="20">
        <f>IF(B264="","",IF(AR264="","",ROUND(AR264-AT264-AU264,2)))</f>
        <v>0</v>
      </c>
      <c r="AW264" s="33">
        <f>IF(B264="","",IF(OR(AR264="",AR264=0),"",AV264/AR264))</f>
        <v>0</v>
      </c>
      <c r="AX264" s="33">
        <f>IF(B264="","",IF(OR(AT264="",AT264=0),"",AV264/AT264))</f>
        <v>0</v>
      </c>
      <c r="AY264" s="20">
        <f>IF(B264="","",IF(OR(Y264="",Y264=0,AV264=""),"",ROUND(AV264/Y264,2)))</f>
        <v>0</v>
      </c>
      <c r="AZ264" s="20">
        <f>IF(B264="","",IF(OR(Y264="",Y264=0,AV264=""),"",ROUND((AV264+Z264)/Y264,2)))</f>
        <v>0</v>
      </c>
      <c r="BA264" s="20">
        <f>IF(B264="","",IF(1-AI264-AL264&lt;=0,"",ROUND((AH264+AM264+AK264)/(1-AI264-AL264),2)))</f>
        <v>0</v>
      </c>
      <c r="BB264" s="20">
        <f>IF(B264="","",IF(AT264="","",ROUND(AT264*2,2)))</f>
        <v>0</v>
      </c>
      <c r="BC264" s="20">
        <f>IF(B264="","",IF(AR264="","",ROUND(AR264*(1-WholesaleDiscount),2)))</f>
        <v>0</v>
      </c>
      <c r="BD264" s="20">
        <f>IF(B264="","",IF(BC264="","",ROUND(BC264-AH264-AM264,2)))</f>
        <v>0</v>
      </c>
      <c r="BE264" s="33">
        <f>IF(B264="","",IF(OR(BC264="",BC264=0),"",BD264/BC264))</f>
        <v>0</v>
      </c>
      <c r="BF264" s="20">
        <f>IF(B264="","",IFERROR(ROUND(AVERAGEIFS(Competitors!$F$5:$F$154,Competitors!$A$5:$A$154,A264),2),""))</f>
        <v>0</v>
      </c>
      <c r="BG264" s="33">
        <f>IF(B264="","",IF(OR(BF264="",BF264=0,AR264=""),"",AR264/BF264-1))</f>
        <v>0</v>
      </c>
      <c r="BH264" s="32">
        <f>IF(B264="","",SUMIFS(Sales!$D$5:$D$804,Sales!$C$5:$C$804,A264))</f>
        <v>0</v>
      </c>
      <c r="BI264" s="20">
        <f>IF(B264="","",ROUND(SUMIFS(Sales!$V$5:$V$804,Sales!$C$5:$C$804,A264),2))</f>
        <v>0</v>
      </c>
      <c r="BJ264" s="20">
        <f>IF(B264="","",ROUND(SUMIFS(Sales!$AG$5:$AG$804,Sales!$C$5:$C$804,A264),2))</f>
        <v>0</v>
      </c>
      <c r="BK264" s="33">
        <f>IF(B264="","",IF(OR(BI264="",BI264=0),"",BJ264/BI264))</f>
        <v>0</v>
      </c>
      <c r="BL264" s="17">
        <f>IF(B264="","",IF(SUMPRODUCT(MAX((Sales!$C$5:$C$804=A264)*Sales!$B$5:$B$804))=0,"",SUMPRODUCT(MAX((Sales!$C$5:$C$804=A264)*Sales!$B$5:$B$804))))</f>
        <v>0</v>
      </c>
      <c r="BM264" s="17">
        <f>IF(B264="","",IF(SUMPRODUCT(MAX(('Price History'!$B$5:$B$304=A264)*'Price History'!$A$5:$A$304))=0,IF(P264="","",P264),SUMPRODUCT(MAX(('Price History'!$B$5:$B$304=A264)*'Price History'!$A$5:$A$304))))</f>
        <v>0</v>
      </c>
      <c r="BN264" s="32">
        <f>IF(B264="","",IF(BM264="","",TodayDate-BM264))</f>
        <v>0</v>
      </c>
      <c r="BO264" s="32">
        <f>IF(B264="","",COUNTIFS($AV$5:$AV$304,"&gt;"&amp;AV264)+COUNTIFS($AV$5:AV264,AV264))</f>
        <v>0</v>
      </c>
      <c r="BP264" s="32">
        <f>IF(B264="","",COUNTIFS($AW$5:$AW$304,"&gt;"&amp;AW264)+COUNTIFS($AW$5:AW264,AW264))</f>
        <v>0</v>
      </c>
      <c r="BQ264" s="32">
        <f>IF(B264="","",COUNTIFS($BI$5:$BI$304,"&gt;"&amp;BI264)+COUNTIFS($BI$5:BI264,BI264))</f>
        <v>0</v>
      </c>
      <c r="BR264" s="32">
        <f>IF(B264="","",COUNTIFS($AY$5:$AY$304,"&gt;"&amp;AY264)+COUNTIFS($AY$5:AY264,AY264))</f>
        <v>0</v>
      </c>
      <c r="BS264" s="43">
        <f>IF(B264="","",IF(AH264=0,"Add - no costs entered yet",IF(AR264="","Check - no price yet",IF(AV264&lt;0,"Loss - every sale costs you money",IF(AND(AZ264&lt;&gt;"",AZ264&lt;MinimumWage),"Below - pays under minimum wage",IF(AW264&lt;MarginWarning,"Low margin - re-price it",IF(AND(AF264&lt;&gt;"",K264&lt;&gt;"",K264+AC264&gt;AF264),"Check - too heavy for that postage band",IF(AND(BN264&lt;&gt;"",BN264&gt;PriceReviewDays),"Due - price has not been reviewed",IF(AND(BG264&lt;&gt;"",BG264&gt;0.5),"Check - well above the market","OK")))))))) )</f>
        <v>0</v>
      </c>
    </row>
    <row r="265" spans="1:71">
      <c r="A265" s="38">
        <f>IF(B265="","",ProductPrefix&amp;TEXT(ROW()-4,"0000"))</f>
        <v>0</v>
      </c>
      <c r="S265" s="38">
        <f>IF(B265="","",IF(C265&lt;&gt;"",C265,UPPER(LEFT(IF(D265="","GEN",D265),3))&amp;"-"&amp;TEXT(ROW()-4,"000")))</f>
        <v>0</v>
      </c>
      <c r="T265" s="20">
        <f>IF(B265="","",ROUND(SUMIFS('Material Usage'!$M$5:$M$904,'Material Usage'!$A$5:$A$904,A265)+SUMIFS(Crochet!$AD$5:$AD$84,Crochet!$A$5:$A$84,A265)+SUMIFS(Jewelry!$AF$5:$AF$84,Jewelry!$A$5:$A$84,A265)+SUMIFS(Candles!$AF$5:$AF$84,Candles!$A$5:$A$84,A265)+SUMIFS(Clothing!$AB$5:$AB$84,Clothing!$A$5:$A$84,A265)+SUMIFS(Woodworking!$AC$5:$AC$84,Woodworking!$A$5:$A$84,A265)+SUMIFS(Digital!$X$5:$X$84,Digital!$A$5:$A$84,A265),2))</f>
        <v>0</v>
      </c>
      <c r="U265" s="20">
        <f>IF(B265="","",ROUND(SUMIFS(Labor!$O$5:$O$304,Labor!$A$5:$A$304,A265)+SUMIFS(Crochet!$AG$5:$AG$84,Crochet!$A$5:$A$84,A265)+SUMIFS(Jewelry!$AI$5:$AI$84,Jewelry!$A$5:$A$84,A265)+SUMIFS(Candles!$AI$5:$AI$84,Candles!$A$5:$A$84,A265)+SUMIFS(Clothing!$AE$5:$AE$84,Clothing!$A$5:$A$84,A265)+SUMIFS(Woodworking!$AF$5:$AF$84,Woodworking!$A$5:$A$84,A265)+SUMIFS(Digital!$Z$5:$Z$84,Digital!$A$5:$A$84,A265),2))</f>
        <v>0</v>
      </c>
      <c r="V265" s="36">
        <f>IF(B265="","",ROUND(SUMIFS(Labor!$P$5:$P$304,Labor!$A$5:$A$304,A265)+SUMIFS(Crochet!$AE$5:$AE$84,Crochet!$A$5:$A$84,A265)+SUMIFS(Jewelry!$AG$5:$AG$84,Jewelry!$A$5:$A$84,A265)+SUMIFS(Candles!$AG$5:$AG$84,Candles!$A$5:$A$84,A265)+SUMIFS(Clothing!$AC$5:$AC$84,Clothing!$A$5:$A$84,A265)+SUMIFS(Woodworking!$AD$5:$AD$84,Woodworking!$A$5:$A$84,A265)+SUMIFS(Digital!$Y$5:$Y$84,Digital!$A$5:$A$84,A265),1))</f>
        <v>0</v>
      </c>
      <c r="W265" s="41">
        <f>IF(B265="","",IFERROR(INDEX(DiffTimeFactors,MATCH(G265,DiffNames,0)),1))</f>
        <v>0</v>
      </c>
      <c r="X265" s="36">
        <f>IF(B265="","",ROUND(V265*W265,1))</f>
        <v>0</v>
      </c>
      <c r="Y265" s="41">
        <f>IF(B265="","",ROUND(X265/60,3))</f>
        <v>0</v>
      </c>
      <c r="Z265" s="20">
        <f>IF(B265="","",ROUND(U265*W265,2))</f>
        <v>0</v>
      </c>
      <c r="AA265" s="20">
        <f>IF(B265="","",ROUND(SUMIFS(Labor!$Q$5:$Q$304,Labor!$A$5:$A$304,A265)+SUMIFS(Crochet!$AH$5:$AH$84,Crochet!$A$5:$A$84,A265)+SUMIFS(Jewelry!$AJ$5:$AJ$84,Jewelry!$A$5:$A$84,A265)+SUMIFS(Candles!$AJ$5:$AJ$84,Candles!$A$5:$A$84,A265)+SUMIFS(Clothing!$AF$5:$AF$84,Clothing!$A$5:$A$84,A265)+SUMIFS(Woodworking!$AH$5:$AH$84,Woodworking!$A$5:$A$84,A265)+SUMIFS(Digital!$AA$5:$AA$84,Digital!$A$5:$A$84,A265),2))</f>
        <v>0</v>
      </c>
      <c r="AB265" s="20">
        <f>IF(B265="","",ROUND(IF(I265="Budget",PackBudget,IF(I265="Standard",PackStandard,IF(I265="Gift",PackGift,IF(I265="Premium",PackPremium,DefaultPackaging)))),2))</f>
        <v>0</v>
      </c>
      <c r="AC265" s="36">
        <f>IF(B265="","",IF(I265="Budget",PackWeightBudget,IF(I265="Standard",PackWeightStandard,IF(I265="Gift",PackWeightGift,IF(I265="Premium",PackWeightPremium,0)))))</f>
        <v>0</v>
      </c>
      <c r="AD265" s="20">
        <f>IF(B265="","",IFERROR(INDEX(Shipping!$M$5:$M$64,MATCH(J265,Shipping!$L$5:$L$64,0)),DefaultShipping))</f>
        <v>0</v>
      </c>
      <c r="AE265" s="20">
        <f>IF(B265="","",IFERROR(INDEX(Shipping!$F$5:$F$64,MATCH(J265,Shipping!$L$5:$L$64,0)),0))</f>
        <v>0</v>
      </c>
      <c r="AF265" s="36">
        <f>IF(B265="","",IFERROR(INDEX(Shipping!$C$5:$C$64,MATCH(J265,Shipping!$L$5:$L$64,0)),""))</f>
        <v>0</v>
      </c>
      <c r="AG265" s="20">
        <f>IF(B265="","",ROUND(MAX(0,AD265-AE265),2))</f>
        <v>0</v>
      </c>
      <c r="AH265" s="20">
        <f>IF(B265="","",ROUND(T265+Z265+AA265+AB265+AG265,2))</f>
        <v>0</v>
      </c>
      <c r="AI265" s="33">
        <f>IF(B265="","",IFERROR(INDEX(Channels!$S$5:$S$18,MATCH(IF(H265="",DefaultChannel,H265),Channels!$A$5:$A$18,0)),0))</f>
        <v>0</v>
      </c>
      <c r="AJ265" s="42">
        <f>IF(B265="","",IFERROR(INDEX(Channels!$O$5:$O$18,MATCH(IF(H265="",DefaultChannel,H265),Channels!$A$5:$A$18,0)),"No"))</f>
        <v>0</v>
      </c>
      <c r="AK265" s="20">
        <f>IF(B265="","",ROUND(IFERROR(INDEX(Channels!$T$5:$T$18,MATCH(IF(H265="",DefaultChannel,H265),Channels!$A$5:$A$18,0)),0)+IF(AJ265="Yes",AE265*AI265,0),4))</f>
        <v>0</v>
      </c>
      <c r="AL265" s="33">
        <f>IF(B265="","",IF(OverheadMethod="Share of revenue",IF(RevenueTargetMonth&lt;=0,0,OverheadMonthly/RevenueTargetMonth),0))</f>
        <v>0</v>
      </c>
      <c r="AM265" s="20">
        <f>IF(B265="","",IF(OverheadMethod="Per hour worked",ROUND(OverheadPerHour*Y265,2),IF(OR(OverheadMethod="Per unit made",OverheadMethod="Per order"),OverheadPerUnit,0)))</f>
        <v>0</v>
      </c>
      <c r="AN265" s="33">
        <f>IF(B265="","",IF(N265&lt;&gt;"",N265,TargetRetailMargin))</f>
        <v>0</v>
      </c>
      <c r="AO265" s="41">
        <f>IF(B265="","",1-AN265-AI265-AL265)</f>
        <v>0</v>
      </c>
      <c r="AP265" s="20">
        <f>IF(B265="","",IF(AO265&lt;=0,"",(AH265+AM265+AK265)/AO265))</f>
        <v>0</v>
      </c>
      <c r="AQ265" s="20">
        <f>IF(B265="","",IF(AP265="","Check the settings",ROUND(IF(RoundingRule="None",AP265,IF(RoundingRule="Nearest 0.99",MAX(0.99,CEILING(AP265,1)-0.01),IF(RoundingRule="Nearest 0.95",MAX(0.95,CEILING(AP265,1)-0.05),IF(RoundingRule="Nearest 0.50",CEILING(AP265,0.5),IF(RoundingRule="Nearest 1",CEILING(AP265,1),IF(RoundingRule="Nearest 5",CEILING(AP265,5),IF(RoundingRule="Up to whole 1",CEILING(AP265,1),IF(RoundingRule="Up to whole 5",CEILING(AP265,5),ROUND(AP265,2))))))))),2)))</f>
        <v>0</v>
      </c>
      <c r="AR265" s="20">
        <f>IF(B265="","",IF(M265&lt;&gt;"",M265,IF(ISNUMBER(AQ265),AQ265,"")))</f>
        <v>0</v>
      </c>
      <c r="AS265" s="20">
        <f>IF(B265="","",IF(AR265="","",ROUND(AM265+AR265*AL265,2)))</f>
        <v>0</v>
      </c>
      <c r="AT265" s="20">
        <f>IF(B265="","",IF(AR265="","",ROUND(AH265+AS265,2)))</f>
        <v>0</v>
      </c>
      <c r="AU265" s="20">
        <f>IF(B265="","",IF(AR265="","",ROUND(AR265*AI265+AK265,2)))</f>
        <v>0</v>
      </c>
      <c r="AV265" s="20">
        <f>IF(B265="","",IF(AR265="","",ROUND(AR265-AT265-AU265,2)))</f>
        <v>0</v>
      </c>
      <c r="AW265" s="33">
        <f>IF(B265="","",IF(OR(AR265="",AR265=0),"",AV265/AR265))</f>
        <v>0</v>
      </c>
      <c r="AX265" s="33">
        <f>IF(B265="","",IF(OR(AT265="",AT265=0),"",AV265/AT265))</f>
        <v>0</v>
      </c>
      <c r="AY265" s="20">
        <f>IF(B265="","",IF(OR(Y265="",Y265=0,AV265=""),"",ROUND(AV265/Y265,2)))</f>
        <v>0</v>
      </c>
      <c r="AZ265" s="20">
        <f>IF(B265="","",IF(OR(Y265="",Y265=0,AV265=""),"",ROUND((AV265+Z265)/Y265,2)))</f>
        <v>0</v>
      </c>
      <c r="BA265" s="20">
        <f>IF(B265="","",IF(1-AI265-AL265&lt;=0,"",ROUND((AH265+AM265+AK265)/(1-AI265-AL265),2)))</f>
        <v>0</v>
      </c>
      <c r="BB265" s="20">
        <f>IF(B265="","",IF(AT265="","",ROUND(AT265*2,2)))</f>
        <v>0</v>
      </c>
      <c r="BC265" s="20">
        <f>IF(B265="","",IF(AR265="","",ROUND(AR265*(1-WholesaleDiscount),2)))</f>
        <v>0</v>
      </c>
      <c r="BD265" s="20">
        <f>IF(B265="","",IF(BC265="","",ROUND(BC265-AH265-AM265,2)))</f>
        <v>0</v>
      </c>
      <c r="BE265" s="33">
        <f>IF(B265="","",IF(OR(BC265="",BC265=0),"",BD265/BC265))</f>
        <v>0</v>
      </c>
      <c r="BF265" s="20">
        <f>IF(B265="","",IFERROR(ROUND(AVERAGEIFS(Competitors!$F$5:$F$154,Competitors!$A$5:$A$154,A265),2),""))</f>
        <v>0</v>
      </c>
      <c r="BG265" s="33">
        <f>IF(B265="","",IF(OR(BF265="",BF265=0,AR265=""),"",AR265/BF265-1))</f>
        <v>0</v>
      </c>
      <c r="BH265" s="32">
        <f>IF(B265="","",SUMIFS(Sales!$D$5:$D$804,Sales!$C$5:$C$804,A265))</f>
        <v>0</v>
      </c>
      <c r="BI265" s="20">
        <f>IF(B265="","",ROUND(SUMIFS(Sales!$V$5:$V$804,Sales!$C$5:$C$804,A265),2))</f>
        <v>0</v>
      </c>
      <c r="BJ265" s="20">
        <f>IF(B265="","",ROUND(SUMIFS(Sales!$AG$5:$AG$804,Sales!$C$5:$C$804,A265),2))</f>
        <v>0</v>
      </c>
      <c r="BK265" s="33">
        <f>IF(B265="","",IF(OR(BI265="",BI265=0),"",BJ265/BI265))</f>
        <v>0</v>
      </c>
      <c r="BL265" s="17">
        <f>IF(B265="","",IF(SUMPRODUCT(MAX((Sales!$C$5:$C$804=A265)*Sales!$B$5:$B$804))=0,"",SUMPRODUCT(MAX((Sales!$C$5:$C$804=A265)*Sales!$B$5:$B$804))))</f>
        <v>0</v>
      </c>
      <c r="BM265" s="17">
        <f>IF(B265="","",IF(SUMPRODUCT(MAX(('Price History'!$B$5:$B$304=A265)*'Price History'!$A$5:$A$304))=0,IF(P265="","",P265),SUMPRODUCT(MAX(('Price History'!$B$5:$B$304=A265)*'Price History'!$A$5:$A$304))))</f>
        <v>0</v>
      </c>
      <c r="BN265" s="32">
        <f>IF(B265="","",IF(BM265="","",TodayDate-BM265))</f>
        <v>0</v>
      </c>
      <c r="BO265" s="32">
        <f>IF(B265="","",COUNTIFS($AV$5:$AV$304,"&gt;"&amp;AV265)+COUNTIFS($AV$5:AV265,AV265))</f>
        <v>0</v>
      </c>
      <c r="BP265" s="32">
        <f>IF(B265="","",COUNTIFS($AW$5:$AW$304,"&gt;"&amp;AW265)+COUNTIFS($AW$5:AW265,AW265))</f>
        <v>0</v>
      </c>
      <c r="BQ265" s="32">
        <f>IF(B265="","",COUNTIFS($BI$5:$BI$304,"&gt;"&amp;BI265)+COUNTIFS($BI$5:BI265,BI265))</f>
        <v>0</v>
      </c>
      <c r="BR265" s="32">
        <f>IF(B265="","",COUNTIFS($AY$5:$AY$304,"&gt;"&amp;AY265)+COUNTIFS($AY$5:AY265,AY265))</f>
        <v>0</v>
      </c>
      <c r="BS265" s="43">
        <f>IF(B265="","",IF(AH265=0,"Add - no costs entered yet",IF(AR265="","Check - no price yet",IF(AV265&lt;0,"Loss - every sale costs you money",IF(AND(AZ265&lt;&gt;"",AZ265&lt;MinimumWage),"Below - pays under minimum wage",IF(AW265&lt;MarginWarning,"Low margin - re-price it",IF(AND(AF265&lt;&gt;"",K265&lt;&gt;"",K265+AC265&gt;AF265),"Check - too heavy for that postage band",IF(AND(BN265&lt;&gt;"",BN265&gt;PriceReviewDays),"Due - price has not been reviewed",IF(AND(BG265&lt;&gt;"",BG265&gt;0.5),"Check - well above the market","OK")))))))) )</f>
        <v>0</v>
      </c>
    </row>
    <row r="266" spans="1:71">
      <c r="A266" s="38">
        <f>IF(B266="","",ProductPrefix&amp;TEXT(ROW()-4,"0000"))</f>
        <v>0</v>
      </c>
      <c r="S266" s="38">
        <f>IF(B266="","",IF(C266&lt;&gt;"",C266,UPPER(LEFT(IF(D266="","GEN",D266),3))&amp;"-"&amp;TEXT(ROW()-4,"000")))</f>
        <v>0</v>
      </c>
      <c r="T266" s="20">
        <f>IF(B266="","",ROUND(SUMIFS('Material Usage'!$M$5:$M$904,'Material Usage'!$A$5:$A$904,A266)+SUMIFS(Crochet!$AD$5:$AD$84,Crochet!$A$5:$A$84,A266)+SUMIFS(Jewelry!$AF$5:$AF$84,Jewelry!$A$5:$A$84,A266)+SUMIFS(Candles!$AF$5:$AF$84,Candles!$A$5:$A$84,A266)+SUMIFS(Clothing!$AB$5:$AB$84,Clothing!$A$5:$A$84,A266)+SUMIFS(Woodworking!$AC$5:$AC$84,Woodworking!$A$5:$A$84,A266)+SUMIFS(Digital!$X$5:$X$84,Digital!$A$5:$A$84,A266),2))</f>
        <v>0</v>
      </c>
      <c r="U266" s="20">
        <f>IF(B266="","",ROUND(SUMIFS(Labor!$O$5:$O$304,Labor!$A$5:$A$304,A266)+SUMIFS(Crochet!$AG$5:$AG$84,Crochet!$A$5:$A$84,A266)+SUMIFS(Jewelry!$AI$5:$AI$84,Jewelry!$A$5:$A$84,A266)+SUMIFS(Candles!$AI$5:$AI$84,Candles!$A$5:$A$84,A266)+SUMIFS(Clothing!$AE$5:$AE$84,Clothing!$A$5:$A$84,A266)+SUMIFS(Woodworking!$AF$5:$AF$84,Woodworking!$A$5:$A$84,A266)+SUMIFS(Digital!$Z$5:$Z$84,Digital!$A$5:$A$84,A266),2))</f>
        <v>0</v>
      </c>
      <c r="V266" s="36">
        <f>IF(B266="","",ROUND(SUMIFS(Labor!$P$5:$P$304,Labor!$A$5:$A$304,A266)+SUMIFS(Crochet!$AE$5:$AE$84,Crochet!$A$5:$A$84,A266)+SUMIFS(Jewelry!$AG$5:$AG$84,Jewelry!$A$5:$A$84,A266)+SUMIFS(Candles!$AG$5:$AG$84,Candles!$A$5:$A$84,A266)+SUMIFS(Clothing!$AC$5:$AC$84,Clothing!$A$5:$A$84,A266)+SUMIFS(Woodworking!$AD$5:$AD$84,Woodworking!$A$5:$A$84,A266)+SUMIFS(Digital!$Y$5:$Y$84,Digital!$A$5:$A$84,A266),1))</f>
        <v>0</v>
      </c>
      <c r="W266" s="41">
        <f>IF(B266="","",IFERROR(INDEX(DiffTimeFactors,MATCH(G266,DiffNames,0)),1))</f>
        <v>0</v>
      </c>
      <c r="X266" s="36">
        <f>IF(B266="","",ROUND(V266*W266,1))</f>
        <v>0</v>
      </c>
      <c r="Y266" s="41">
        <f>IF(B266="","",ROUND(X266/60,3))</f>
        <v>0</v>
      </c>
      <c r="Z266" s="20">
        <f>IF(B266="","",ROUND(U266*W266,2))</f>
        <v>0</v>
      </c>
      <c r="AA266" s="20">
        <f>IF(B266="","",ROUND(SUMIFS(Labor!$Q$5:$Q$304,Labor!$A$5:$A$304,A266)+SUMIFS(Crochet!$AH$5:$AH$84,Crochet!$A$5:$A$84,A266)+SUMIFS(Jewelry!$AJ$5:$AJ$84,Jewelry!$A$5:$A$84,A266)+SUMIFS(Candles!$AJ$5:$AJ$84,Candles!$A$5:$A$84,A266)+SUMIFS(Clothing!$AF$5:$AF$84,Clothing!$A$5:$A$84,A266)+SUMIFS(Woodworking!$AH$5:$AH$84,Woodworking!$A$5:$A$84,A266)+SUMIFS(Digital!$AA$5:$AA$84,Digital!$A$5:$A$84,A266),2))</f>
        <v>0</v>
      </c>
      <c r="AB266" s="20">
        <f>IF(B266="","",ROUND(IF(I266="Budget",PackBudget,IF(I266="Standard",PackStandard,IF(I266="Gift",PackGift,IF(I266="Premium",PackPremium,DefaultPackaging)))),2))</f>
        <v>0</v>
      </c>
      <c r="AC266" s="36">
        <f>IF(B266="","",IF(I266="Budget",PackWeightBudget,IF(I266="Standard",PackWeightStandard,IF(I266="Gift",PackWeightGift,IF(I266="Premium",PackWeightPremium,0)))))</f>
        <v>0</v>
      </c>
      <c r="AD266" s="20">
        <f>IF(B266="","",IFERROR(INDEX(Shipping!$M$5:$M$64,MATCH(J266,Shipping!$L$5:$L$64,0)),DefaultShipping))</f>
        <v>0</v>
      </c>
      <c r="AE266" s="20">
        <f>IF(B266="","",IFERROR(INDEX(Shipping!$F$5:$F$64,MATCH(J266,Shipping!$L$5:$L$64,0)),0))</f>
        <v>0</v>
      </c>
      <c r="AF266" s="36">
        <f>IF(B266="","",IFERROR(INDEX(Shipping!$C$5:$C$64,MATCH(J266,Shipping!$L$5:$L$64,0)),""))</f>
        <v>0</v>
      </c>
      <c r="AG266" s="20">
        <f>IF(B266="","",ROUND(MAX(0,AD266-AE266),2))</f>
        <v>0</v>
      </c>
      <c r="AH266" s="20">
        <f>IF(B266="","",ROUND(T266+Z266+AA266+AB266+AG266,2))</f>
        <v>0</v>
      </c>
      <c r="AI266" s="33">
        <f>IF(B266="","",IFERROR(INDEX(Channels!$S$5:$S$18,MATCH(IF(H266="",DefaultChannel,H266),Channels!$A$5:$A$18,0)),0))</f>
        <v>0</v>
      </c>
      <c r="AJ266" s="42">
        <f>IF(B266="","",IFERROR(INDEX(Channels!$O$5:$O$18,MATCH(IF(H266="",DefaultChannel,H266),Channels!$A$5:$A$18,0)),"No"))</f>
        <v>0</v>
      </c>
      <c r="AK266" s="20">
        <f>IF(B266="","",ROUND(IFERROR(INDEX(Channels!$T$5:$T$18,MATCH(IF(H266="",DefaultChannel,H266),Channels!$A$5:$A$18,0)),0)+IF(AJ266="Yes",AE266*AI266,0),4))</f>
        <v>0</v>
      </c>
      <c r="AL266" s="33">
        <f>IF(B266="","",IF(OverheadMethod="Share of revenue",IF(RevenueTargetMonth&lt;=0,0,OverheadMonthly/RevenueTargetMonth),0))</f>
        <v>0</v>
      </c>
      <c r="AM266" s="20">
        <f>IF(B266="","",IF(OverheadMethod="Per hour worked",ROUND(OverheadPerHour*Y266,2),IF(OR(OverheadMethod="Per unit made",OverheadMethod="Per order"),OverheadPerUnit,0)))</f>
        <v>0</v>
      </c>
      <c r="AN266" s="33">
        <f>IF(B266="","",IF(N266&lt;&gt;"",N266,TargetRetailMargin))</f>
        <v>0</v>
      </c>
      <c r="AO266" s="41">
        <f>IF(B266="","",1-AN266-AI266-AL266)</f>
        <v>0</v>
      </c>
      <c r="AP266" s="20">
        <f>IF(B266="","",IF(AO266&lt;=0,"",(AH266+AM266+AK266)/AO266))</f>
        <v>0</v>
      </c>
      <c r="AQ266" s="20">
        <f>IF(B266="","",IF(AP266="","Check the settings",ROUND(IF(RoundingRule="None",AP266,IF(RoundingRule="Nearest 0.99",MAX(0.99,CEILING(AP266,1)-0.01),IF(RoundingRule="Nearest 0.95",MAX(0.95,CEILING(AP266,1)-0.05),IF(RoundingRule="Nearest 0.50",CEILING(AP266,0.5),IF(RoundingRule="Nearest 1",CEILING(AP266,1),IF(RoundingRule="Nearest 5",CEILING(AP266,5),IF(RoundingRule="Up to whole 1",CEILING(AP266,1),IF(RoundingRule="Up to whole 5",CEILING(AP266,5),ROUND(AP266,2))))))))),2)))</f>
        <v>0</v>
      </c>
      <c r="AR266" s="20">
        <f>IF(B266="","",IF(M266&lt;&gt;"",M266,IF(ISNUMBER(AQ266),AQ266,"")))</f>
        <v>0</v>
      </c>
      <c r="AS266" s="20">
        <f>IF(B266="","",IF(AR266="","",ROUND(AM266+AR266*AL266,2)))</f>
        <v>0</v>
      </c>
      <c r="AT266" s="20">
        <f>IF(B266="","",IF(AR266="","",ROUND(AH266+AS266,2)))</f>
        <v>0</v>
      </c>
      <c r="AU266" s="20">
        <f>IF(B266="","",IF(AR266="","",ROUND(AR266*AI266+AK266,2)))</f>
        <v>0</v>
      </c>
      <c r="AV266" s="20">
        <f>IF(B266="","",IF(AR266="","",ROUND(AR266-AT266-AU266,2)))</f>
        <v>0</v>
      </c>
      <c r="AW266" s="33">
        <f>IF(B266="","",IF(OR(AR266="",AR266=0),"",AV266/AR266))</f>
        <v>0</v>
      </c>
      <c r="AX266" s="33">
        <f>IF(B266="","",IF(OR(AT266="",AT266=0),"",AV266/AT266))</f>
        <v>0</v>
      </c>
      <c r="AY266" s="20">
        <f>IF(B266="","",IF(OR(Y266="",Y266=0,AV266=""),"",ROUND(AV266/Y266,2)))</f>
        <v>0</v>
      </c>
      <c r="AZ266" s="20">
        <f>IF(B266="","",IF(OR(Y266="",Y266=0,AV266=""),"",ROUND((AV266+Z266)/Y266,2)))</f>
        <v>0</v>
      </c>
      <c r="BA266" s="20">
        <f>IF(B266="","",IF(1-AI266-AL266&lt;=0,"",ROUND((AH266+AM266+AK266)/(1-AI266-AL266),2)))</f>
        <v>0</v>
      </c>
      <c r="BB266" s="20">
        <f>IF(B266="","",IF(AT266="","",ROUND(AT266*2,2)))</f>
        <v>0</v>
      </c>
      <c r="BC266" s="20">
        <f>IF(B266="","",IF(AR266="","",ROUND(AR266*(1-WholesaleDiscount),2)))</f>
        <v>0</v>
      </c>
      <c r="BD266" s="20">
        <f>IF(B266="","",IF(BC266="","",ROUND(BC266-AH266-AM266,2)))</f>
        <v>0</v>
      </c>
      <c r="BE266" s="33">
        <f>IF(B266="","",IF(OR(BC266="",BC266=0),"",BD266/BC266))</f>
        <v>0</v>
      </c>
      <c r="BF266" s="20">
        <f>IF(B266="","",IFERROR(ROUND(AVERAGEIFS(Competitors!$F$5:$F$154,Competitors!$A$5:$A$154,A266),2),""))</f>
        <v>0</v>
      </c>
      <c r="BG266" s="33">
        <f>IF(B266="","",IF(OR(BF266="",BF266=0,AR266=""),"",AR266/BF266-1))</f>
        <v>0</v>
      </c>
      <c r="BH266" s="32">
        <f>IF(B266="","",SUMIFS(Sales!$D$5:$D$804,Sales!$C$5:$C$804,A266))</f>
        <v>0</v>
      </c>
      <c r="BI266" s="20">
        <f>IF(B266="","",ROUND(SUMIFS(Sales!$V$5:$V$804,Sales!$C$5:$C$804,A266),2))</f>
        <v>0</v>
      </c>
      <c r="BJ266" s="20">
        <f>IF(B266="","",ROUND(SUMIFS(Sales!$AG$5:$AG$804,Sales!$C$5:$C$804,A266),2))</f>
        <v>0</v>
      </c>
      <c r="BK266" s="33">
        <f>IF(B266="","",IF(OR(BI266="",BI266=0),"",BJ266/BI266))</f>
        <v>0</v>
      </c>
      <c r="BL266" s="17">
        <f>IF(B266="","",IF(SUMPRODUCT(MAX((Sales!$C$5:$C$804=A266)*Sales!$B$5:$B$804))=0,"",SUMPRODUCT(MAX((Sales!$C$5:$C$804=A266)*Sales!$B$5:$B$804))))</f>
        <v>0</v>
      </c>
      <c r="BM266" s="17">
        <f>IF(B266="","",IF(SUMPRODUCT(MAX(('Price History'!$B$5:$B$304=A266)*'Price History'!$A$5:$A$304))=0,IF(P266="","",P266),SUMPRODUCT(MAX(('Price History'!$B$5:$B$304=A266)*'Price History'!$A$5:$A$304))))</f>
        <v>0</v>
      </c>
      <c r="BN266" s="32">
        <f>IF(B266="","",IF(BM266="","",TodayDate-BM266))</f>
        <v>0</v>
      </c>
      <c r="BO266" s="32">
        <f>IF(B266="","",COUNTIFS($AV$5:$AV$304,"&gt;"&amp;AV266)+COUNTIFS($AV$5:AV266,AV266))</f>
        <v>0</v>
      </c>
      <c r="BP266" s="32">
        <f>IF(B266="","",COUNTIFS($AW$5:$AW$304,"&gt;"&amp;AW266)+COUNTIFS($AW$5:AW266,AW266))</f>
        <v>0</v>
      </c>
      <c r="BQ266" s="32">
        <f>IF(B266="","",COUNTIFS($BI$5:$BI$304,"&gt;"&amp;BI266)+COUNTIFS($BI$5:BI266,BI266))</f>
        <v>0</v>
      </c>
      <c r="BR266" s="32">
        <f>IF(B266="","",COUNTIFS($AY$5:$AY$304,"&gt;"&amp;AY266)+COUNTIFS($AY$5:AY266,AY266))</f>
        <v>0</v>
      </c>
      <c r="BS266" s="43">
        <f>IF(B266="","",IF(AH266=0,"Add - no costs entered yet",IF(AR266="","Check - no price yet",IF(AV266&lt;0,"Loss - every sale costs you money",IF(AND(AZ266&lt;&gt;"",AZ266&lt;MinimumWage),"Below - pays under minimum wage",IF(AW266&lt;MarginWarning,"Low margin - re-price it",IF(AND(AF266&lt;&gt;"",K266&lt;&gt;"",K266+AC266&gt;AF266),"Check - too heavy for that postage band",IF(AND(BN266&lt;&gt;"",BN266&gt;PriceReviewDays),"Due - price has not been reviewed",IF(AND(BG266&lt;&gt;"",BG266&gt;0.5),"Check - well above the market","OK")))))))) )</f>
        <v>0</v>
      </c>
    </row>
    <row r="267" spans="1:71">
      <c r="A267" s="38">
        <f>IF(B267="","",ProductPrefix&amp;TEXT(ROW()-4,"0000"))</f>
        <v>0</v>
      </c>
      <c r="S267" s="38">
        <f>IF(B267="","",IF(C267&lt;&gt;"",C267,UPPER(LEFT(IF(D267="","GEN",D267),3))&amp;"-"&amp;TEXT(ROW()-4,"000")))</f>
        <v>0</v>
      </c>
      <c r="T267" s="20">
        <f>IF(B267="","",ROUND(SUMIFS('Material Usage'!$M$5:$M$904,'Material Usage'!$A$5:$A$904,A267)+SUMIFS(Crochet!$AD$5:$AD$84,Crochet!$A$5:$A$84,A267)+SUMIFS(Jewelry!$AF$5:$AF$84,Jewelry!$A$5:$A$84,A267)+SUMIFS(Candles!$AF$5:$AF$84,Candles!$A$5:$A$84,A267)+SUMIFS(Clothing!$AB$5:$AB$84,Clothing!$A$5:$A$84,A267)+SUMIFS(Woodworking!$AC$5:$AC$84,Woodworking!$A$5:$A$84,A267)+SUMIFS(Digital!$X$5:$X$84,Digital!$A$5:$A$84,A267),2))</f>
        <v>0</v>
      </c>
      <c r="U267" s="20">
        <f>IF(B267="","",ROUND(SUMIFS(Labor!$O$5:$O$304,Labor!$A$5:$A$304,A267)+SUMIFS(Crochet!$AG$5:$AG$84,Crochet!$A$5:$A$84,A267)+SUMIFS(Jewelry!$AI$5:$AI$84,Jewelry!$A$5:$A$84,A267)+SUMIFS(Candles!$AI$5:$AI$84,Candles!$A$5:$A$84,A267)+SUMIFS(Clothing!$AE$5:$AE$84,Clothing!$A$5:$A$84,A267)+SUMIFS(Woodworking!$AF$5:$AF$84,Woodworking!$A$5:$A$84,A267)+SUMIFS(Digital!$Z$5:$Z$84,Digital!$A$5:$A$84,A267),2))</f>
        <v>0</v>
      </c>
      <c r="V267" s="36">
        <f>IF(B267="","",ROUND(SUMIFS(Labor!$P$5:$P$304,Labor!$A$5:$A$304,A267)+SUMIFS(Crochet!$AE$5:$AE$84,Crochet!$A$5:$A$84,A267)+SUMIFS(Jewelry!$AG$5:$AG$84,Jewelry!$A$5:$A$84,A267)+SUMIFS(Candles!$AG$5:$AG$84,Candles!$A$5:$A$84,A267)+SUMIFS(Clothing!$AC$5:$AC$84,Clothing!$A$5:$A$84,A267)+SUMIFS(Woodworking!$AD$5:$AD$84,Woodworking!$A$5:$A$84,A267)+SUMIFS(Digital!$Y$5:$Y$84,Digital!$A$5:$A$84,A267),1))</f>
        <v>0</v>
      </c>
      <c r="W267" s="41">
        <f>IF(B267="","",IFERROR(INDEX(DiffTimeFactors,MATCH(G267,DiffNames,0)),1))</f>
        <v>0</v>
      </c>
      <c r="X267" s="36">
        <f>IF(B267="","",ROUND(V267*W267,1))</f>
        <v>0</v>
      </c>
      <c r="Y267" s="41">
        <f>IF(B267="","",ROUND(X267/60,3))</f>
        <v>0</v>
      </c>
      <c r="Z267" s="20">
        <f>IF(B267="","",ROUND(U267*W267,2))</f>
        <v>0</v>
      </c>
      <c r="AA267" s="20">
        <f>IF(B267="","",ROUND(SUMIFS(Labor!$Q$5:$Q$304,Labor!$A$5:$A$304,A267)+SUMIFS(Crochet!$AH$5:$AH$84,Crochet!$A$5:$A$84,A267)+SUMIFS(Jewelry!$AJ$5:$AJ$84,Jewelry!$A$5:$A$84,A267)+SUMIFS(Candles!$AJ$5:$AJ$84,Candles!$A$5:$A$84,A267)+SUMIFS(Clothing!$AF$5:$AF$84,Clothing!$A$5:$A$84,A267)+SUMIFS(Woodworking!$AH$5:$AH$84,Woodworking!$A$5:$A$84,A267)+SUMIFS(Digital!$AA$5:$AA$84,Digital!$A$5:$A$84,A267),2))</f>
        <v>0</v>
      </c>
      <c r="AB267" s="20">
        <f>IF(B267="","",ROUND(IF(I267="Budget",PackBudget,IF(I267="Standard",PackStandard,IF(I267="Gift",PackGift,IF(I267="Premium",PackPremium,DefaultPackaging)))),2))</f>
        <v>0</v>
      </c>
      <c r="AC267" s="36">
        <f>IF(B267="","",IF(I267="Budget",PackWeightBudget,IF(I267="Standard",PackWeightStandard,IF(I267="Gift",PackWeightGift,IF(I267="Premium",PackWeightPremium,0)))))</f>
        <v>0</v>
      </c>
      <c r="AD267" s="20">
        <f>IF(B267="","",IFERROR(INDEX(Shipping!$M$5:$M$64,MATCH(J267,Shipping!$L$5:$L$64,0)),DefaultShipping))</f>
        <v>0</v>
      </c>
      <c r="AE267" s="20">
        <f>IF(B267="","",IFERROR(INDEX(Shipping!$F$5:$F$64,MATCH(J267,Shipping!$L$5:$L$64,0)),0))</f>
        <v>0</v>
      </c>
      <c r="AF267" s="36">
        <f>IF(B267="","",IFERROR(INDEX(Shipping!$C$5:$C$64,MATCH(J267,Shipping!$L$5:$L$64,0)),""))</f>
        <v>0</v>
      </c>
      <c r="AG267" s="20">
        <f>IF(B267="","",ROUND(MAX(0,AD267-AE267),2))</f>
        <v>0</v>
      </c>
      <c r="AH267" s="20">
        <f>IF(B267="","",ROUND(T267+Z267+AA267+AB267+AG267,2))</f>
        <v>0</v>
      </c>
      <c r="AI267" s="33">
        <f>IF(B267="","",IFERROR(INDEX(Channels!$S$5:$S$18,MATCH(IF(H267="",DefaultChannel,H267),Channels!$A$5:$A$18,0)),0))</f>
        <v>0</v>
      </c>
      <c r="AJ267" s="42">
        <f>IF(B267="","",IFERROR(INDEX(Channels!$O$5:$O$18,MATCH(IF(H267="",DefaultChannel,H267),Channels!$A$5:$A$18,0)),"No"))</f>
        <v>0</v>
      </c>
      <c r="AK267" s="20">
        <f>IF(B267="","",ROUND(IFERROR(INDEX(Channels!$T$5:$T$18,MATCH(IF(H267="",DefaultChannel,H267),Channels!$A$5:$A$18,0)),0)+IF(AJ267="Yes",AE267*AI267,0),4))</f>
        <v>0</v>
      </c>
      <c r="AL267" s="33">
        <f>IF(B267="","",IF(OverheadMethod="Share of revenue",IF(RevenueTargetMonth&lt;=0,0,OverheadMonthly/RevenueTargetMonth),0))</f>
        <v>0</v>
      </c>
      <c r="AM267" s="20">
        <f>IF(B267="","",IF(OverheadMethod="Per hour worked",ROUND(OverheadPerHour*Y267,2),IF(OR(OverheadMethod="Per unit made",OverheadMethod="Per order"),OverheadPerUnit,0)))</f>
        <v>0</v>
      </c>
      <c r="AN267" s="33">
        <f>IF(B267="","",IF(N267&lt;&gt;"",N267,TargetRetailMargin))</f>
        <v>0</v>
      </c>
      <c r="AO267" s="41">
        <f>IF(B267="","",1-AN267-AI267-AL267)</f>
        <v>0</v>
      </c>
      <c r="AP267" s="20">
        <f>IF(B267="","",IF(AO267&lt;=0,"",(AH267+AM267+AK267)/AO267))</f>
        <v>0</v>
      </c>
      <c r="AQ267" s="20">
        <f>IF(B267="","",IF(AP267="","Check the settings",ROUND(IF(RoundingRule="None",AP267,IF(RoundingRule="Nearest 0.99",MAX(0.99,CEILING(AP267,1)-0.01),IF(RoundingRule="Nearest 0.95",MAX(0.95,CEILING(AP267,1)-0.05),IF(RoundingRule="Nearest 0.50",CEILING(AP267,0.5),IF(RoundingRule="Nearest 1",CEILING(AP267,1),IF(RoundingRule="Nearest 5",CEILING(AP267,5),IF(RoundingRule="Up to whole 1",CEILING(AP267,1),IF(RoundingRule="Up to whole 5",CEILING(AP267,5),ROUND(AP267,2))))))))),2)))</f>
        <v>0</v>
      </c>
      <c r="AR267" s="20">
        <f>IF(B267="","",IF(M267&lt;&gt;"",M267,IF(ISNUMBER(AQ267),AQ267,"")))</f>
        <v>0</v>
      </c>
      <c r="AS267" s="20">
        <f>IF(B267="","",IF(AR267="","",ROUND(AM267+AR267*AL267,2)))</f>
        <v>0</v>
      </c>
      <c r="AT267" s="20">
        <f>IF(B267="","",IF(AR267="","",ROUND(AH267+AS267,2)))</f>
        <v>0</v>
      </c>
      <c r="AU267" s="20">
        <f>IF(B267="","",IF(AR267="","",ROUND(AR267*AI267+AK267,2)))</f>
        <v>0</v>
      </c>
      <c r="AV267" s="20">
        <f>IF(B267="","",IF(AR267="","",ROUND(AR267-AT267-AU267,2)))</f>
        <v>0</v>
      </c>
      <c r="AW267" s="33">
        <f>IF(B267="","",IF(OR(AR267="",AR267=0),"",AV267/AR267))</f>
        <v>0</v>
      </c>
      <c r="AX267" s="33">
        <f>IF(B267="","",IF(OR(AT267="",AT267=0),"",AV267/AT267))</f>
        <v>0</v>
      </c>
      <c r="AY267" s="20">
        <f>IF(B267="","",IF(OR(Y267="",Y267=0,AV267=""),"",ROUND(AV267/Y267,2)))</f>
        <v>0</v>
      </c>
      <c r="AZ267" s="20">
        <f>IF(B267="","",IF(OR(Y267="",Y267=0,AV267=""),"",ROUND((AV267+Z267)/Y267,2)))</f>
        <v>0</v>
      </c>
      <c r="BA267" s="20">
        <f>IF(B267="","",IF(1-AI267-AL267&lt;=0,"",ROUND((AH267+AM267+AK267)/(1-AI267-AL267),2)))</f>
        <v>0</v>
      </c>
      <c r="BB267" s="20">
        <f>IF(B267="","",IF(AT267="","",ROUND(AT267*2,2)))</f>
        <v>0</v>
      </c>
      <c r="BC267" s="20">
        <f>IF(B267="","",IF(AR267="","",ROUND(AR267*(1-WholesaleDiscount),2)))</f>
        <v>0</v>
      </c>
      <c r="BD267" s="20">
        <f>IF(B267="","",IF(BC267="","",ROUND(BC267-AH267-AM267,2)))</f>
        <v>0</v>
      </c>
      <c r="BE267" s="33">
        <f>IF(B267="","",IF(OR(BC267="",BC267=0),"",BD267/BC267))</f>
        <v>0</v>
      </c>
      <c r="BF267" s="20">
        <f>IF(B267="","",IFERROR(ROUND(AVERAGEIFS(Competitors!$F$5:$F$154,Competitors!$A$5:$A$154,A267),2),""))</f>
        <v>0</v>
      </c>
      <c r="BG267" s="33">
        <f>IF(B267="","",IF(OR(BF267="",BF267=0,AR267=""),"",AR267/BF267-1))</f>
        <v>0</v>
      </c>
      <c r="BH267" s="32">
        <f>IF(B267="","",SUMIFS(Sales!$D$5:$D$804,Sales!$C$5:$C$804,A267))</f>
        <v>0</v>
      </c>
      <c r="BI267" s="20">
        <f>IF(B267="","",ROUND(SUMIFS(Sales!$V$5:$V$804,Sales!$C$5:$C$804,A267),2))</f>
        <v>0</v>
      </c>
      <c r="BJ267" s="20">
        <f>IF(B267="","",ROUND(SUMIFS(Sales!$AG$5:$AG$804,Sales!$C$5:$C$804,A267),2))</f>
        <v>0</v>
      </c>
      <c r="BK267" s="33">
        <f>IF(B267="","",IF(OR(BI267="",BI267=0),"",BJ267/BI267))</f>
        <v>0</v>
      </c>
      <c r="BL267" s="17">
        <f>IF(B267="","",IF(SUMPRODUCT(MAX((Sales!$C$5:$C$804=A267)*Sales!$B$5:$B$804))=0,"",SUMPRODUCT(MAX((Sales!$C$5:$C$804=A267)*Sales!$B$5:$B$804))))</f>
        <v>0</v>
      </c>
      <c r="BM267" s="17">
        <f>IF(B267="","",IF(SUMPRODUCT(MAX(('Price History'!$B$5:$B$304=A267)*'Price History'!$A$5:$A$304))=0,IF(P267="","",P267),SUMPRODUCT(MAX(('Price History'!$B$5:$B$304=A267)*'Price History'!$A$5:$A$304))))</f>
        <v>0</v>
      </c>
      <c r="BN267" s="32">
        <f>IF(B267="","",IF(BM267="","",TodayDate-BM267))</f>
        <v>0</v>
      </c>
      <c r="BO267" s="32">
        <f>IF(B267="","",COUNTIFS($AV$5:$AV$304,"&gt;"&amp;AV267)+COUNTIFS($AV$5:AV267,AV267))</f>
        <v>0</v>
      </c>
      <c r="BP267" s="32">
        <f>IF(B267="","",COUNTIFS($AW$5:$AW$304,"&gt;"&amp;AW267)+COUNTIFS($AW$5:AW267,AW267))</f>
        <v>0</v>
      </c>
      <c r="BQ267" s="32">
        <f>IF(B267="","",COUNTIFS($BI$5:$BI$304,"&gt;"&amp;BI267)+COUNTIFS($BI$5:BI267,BI267))</f>
        <v>0</v>
      </c>
      <c r="BR267" s="32">
        <f>IF(B267="","",COUNTIFS($AY$5:$AY$304,"&gt;"&amp;AY267)+COUNTIFS($AY$5:AY267,AY267))</f>
        <v>0</v>
      </c>
      <c r="BS267" s="43">
        <f>IF(B267="","",IF(AH267=0,"Add - no costs entered yet",IF(AR267="","Check - no price yet",IF(AV267&lt;0,"Loss - every sale costs you money",IF(AND(AZ267&lt;&gt;"",AZ267&lt;MinimumWage),"Below - pays under minimum wage",IF(AW267&lt;MarginWarning,"Low margin - re-price it",IF(AND(AF267&lt;&gt;"",K267&lt;&gt;"",K267+AC267&gt;AF267),"Check - too heavy for that postage band",IF(AND(BN267&lt;&gt;"",BN267&gt;PriceReviewDays),"Due - price has not been reviewed",IF(AND(BG267&lt;&gt;"",BG267&gt;0.5),"Check - well above the market","OK")))))))) )</f>
        <v>0</v>
      </c>
    </row>
    <row r="268" spans="1:71">
      <c r="A268" s="38">
        <f>IF(B268="","",ProductPrefix&amp;TEXT(ROW()-4,"0000"))</f>
        <v>0</v>
      </c>
      <c r="S268" s="38">
        <f>IF(B268="","",IF(C268&lt;&gt;"",C268,UPPER(LEFT(IF(D268="","GEN",D268),3))&amp;"-"&amp;TEXT(ROW()-4,"000")))</f>
        <v>0</v>
      </c>
      <c r="T268" s="20">
        <f>IF(B268="","",ROUND(SUMIFS('Material Usage'!$M$5:$M$904,'Material Usage'!$A$5:$A$904,A268)+SUMIFS(Crochet!$AD$5:$AD$84,Crochet!$A$5:$A$84,A268)+SUMIFS(Jewelry!$AF$5:$AF$84,Jewelry!$A$5:$A$84,A268)+SUMIFS(Candles!$AF$5:$AF$84,Candles!$A$5:$A$84,A268)+SUMIFS(Clothing!$AB$5:$AB$84,Clothing!$A$5:$A$84,A268)+SUMIFS(Woodworking!$AC$5:$AC$84,Woodworking!$A$5:$A$84,A268)+SUMIFS(Digital!$X$5:$X$84,Digital!$A$5:$A$84,A268),2))</f>
        <v>0</v>
      </c>
      <c r="U268" s="20">
        <f>IF(B268="","",ROUND(SUMIFS(Labor!$O$5:$O$304,Labor!$A$5:$A$304,A268)+SUMIFS(Crochet!$AG$5:$AG$84,Crochet!$A$5:$A$84,A268)+SUMIFS(Jewelry!$AI$5:$AI$84,Jewelry!$A$5:$A$84,A268)+SUMIFS(Candles!$AI$5:$AI$84,Candles!$A$5:$A$84,A268)+SUMIFS(Clothing!$AE$5:$AE$84,Clothing!$A$5:$A$84,A268)+SUMIFS(Woodworking!$AF$5:$AF$84,Woodworking!$A$5:$A$84,A268)+SUMIFS(Digital!$Z$5:$Z$84,Digital!$A$5:$A$84,A268),2))</f>
        <v>0</v>
      </c>
      <c r="V268" s="36">
        <f>IF(B268="","",ROUND(SUMIFS(Labor!$P$5:$P$304,Labor!$A$5:$A$304,A268)+SUMIFS(Crochet!$AE$5:$AE$84,Crochet!$A$5:$A$84,A268)+SUMIFS(Jewelry!$AG$5:$AG$84,Jewelry!$A$5:$A$84,A268)+SUMIFS(Candles!$AG$5:$AG$84,Candles!$A$5:$A$84,A268)+SUMIFS(Clothing!$AC$5:$AC$84,Clothing!$A$5:$A$84,A268)+SUMIFS(Woodworking!$AD$5:$AD$84,Woodworking!$A$5:$A$84,A268)+SUMIFS(Digital!$Y$5:$Y$84,Digital!$A$5:$A$84,A268),1))</f>
        <v>0</v>
      </c>
      <c r="W268" s="41">
        <f>IF(B268="","",IFERROR(INDEX(DiffTimeFactors,MATCH(G268,DiffNames,0)),1))</f>
        <v>0</v>
      </c>
      <c r="X268" s="36">
        <f>IF(B268="","",ROUND(V268*W268,1))</f>
        <v>0</v>
      </c>
      <c r="Y268" s="41">
        <f>IF(B268="","",ROUND(X268/60,3))</f>
        <v>0</v>
      </c>
      <c r="Z268" s="20">
        <f>IF(B268="","",ROUND(U268*W268,2))</f>
        <v>0</v>
      </c>
      <c r="AA268" s="20">
        <f>IF(B268="","",ROUND(SUMIFS(Labor!$Q$5:$Q$304,Labor!$A$5:$A$304,A268)+SUMIFS(Crochet!$AH$5:$AH$84,Crochet!$A$5:$A$84,A268)+SUMIFS(Jewelry!$AJ$5:$AJ$84,Jewelry!$A$5:$A$84,A268)+SUMIFS(Candles!$AJ$5:$AJ$84,Candles!$A$5:$A$84,A268)+SUMIFS(Clothing!$AF$5:$AF$84,Clothing!$A$5:$A$84,A268)+SUMIFS(Woodworking!$AH$5:$AH$84,Woodworking!$A$5:$A$84,A268)+SUMIFS(Digital!$AA$5:$AA$84,Digital!$A$5:$A$84,A268),2))</f>
        <v>0</v>
      </c>
      <c r="AB268" s="20">
        <f>IF(B268="","",ROUND(IF(I268="Budget",PackBudget,IF(I268="Standard",PackStandard,IF(I268="Gift",PackGift,IF(I268="Premium",PackPremium,DefaultPackaging)))),2))</f>
        <v>0</v>
      </c>
      <c r="AC268" s="36">
        <f>IF(B268="","",IF(I268="Budget",PackWeightBudget,IF(I268="Standard",PackWeightStandard,IF(I268="Gift",PackWeightGift,IF(I268="Premium",PackWeightPremium,0)))))</f>
        <v>0</v>
      </c>
      <c r="AD268" s="20">
        <f>IF(B268="","",IFERROR(INDEX(Shipping!$M$5:$M$64,MATCH(J268,Shipping!$L$5:$L$64,0)),DefaultShipping))</f>
        <v>0</v>
      </c>
      <c r="AE268" s="20">
        <f>IF(B268="","",IFERROR(INDEX(Shipping!$F$5:$F$64,MATCH(J268,Shipping!$L$5:$L$64,0)),0))</f>
        <v>0</v>
      </c>
      <c r="AF268" s="36">
        <f>IF(B268="","",IFERROR(INDEX(Shipping!$C$5:$C$64,MATCH(J268,Shipping!$L$5:$L$64,0)),""))</f>
        <v>0</v>
      </c>
      <c r="AG268" s="20">
        <f>IF(B268="","",ROUND(MAX(0,AD268-AE268),2))</f>
        <v>0</v>
      </c>
      <c r="AH268" s="20">
        <f>IF(B268="","",ROUND(T268+Z268+AA268+AB268+AG268,2))</f>
        <v>0</v>
      </c>
      <c r="AI268" s="33">
        <f>IF(B268="","",IFERROR(INDEX(Channels!$S$5:$S$18,MATCH(IF(H268="",DefaultChannel,H268),Channels!$A$5:$A$18,0)),0))</f>
        <v>0</v>
      </c>
      <c r="AJ268" s="42">
        <f>IF(B268="","",IFERROR(INDEX(Channels!$O$5:$O$18,MATCH(IF(H268="",DefaultChannel,H268),Channels!$A$5:$A$18,0)),"No"))</f>
        <v>0</v>
      </c>
      <c r="AK268" s="20">
        <f>IF(B268="","",ROUND(IFERROR(INDEX(Channels!$T$5:$T$18,MATCH(IF(H268="",DefaultChannel,H268),Channels!$A$5:$A$18,0)),0)+IF(AJ268="Yes",AE268*AI268,0),4))</f>
        <v>0</v>
      </c>
      <c r="AL268" s="33">
        <f>IF(B268="","",IF(OverheadMethod="Share of revenue",IF(RevenueTargetMonth&lt;=0,0,OverheadMonthly/RevenueTargetMonth),0))</f>
        <v>0</v>
      </c>
      <c r="AM268" s="20">
        <f>IF(B268="","",IF(OverheadMethod="Per hour worked",ROUND(OverheadPerHour*Y268,2),IF(OR(OverheadMethod="Per unit made",OverheadMethod="Per order"),OverheadPerUnit,0)))</f>
        <v>0</v>
      </c>
      <c r="AN268" s="33">
        <f>IF(B268="","",IF(N268&lt;&gt;"",N268,TargetRetailMargin))</f>
        <v>0</v>
      </c>
      <c r="AO268" s="41">
        <f>IF(B268="","",1-AN268-AI268-AL268)</f>
        <v>0</v>
      </c>
      <c r="AP268" s="20">
        <f>IF(B268="","",IF(AO268&lt;=0,"",(AH268+AM268+AK268)/AO268))</f>
        <v>0</v>
      </c>
      <c r="AQ268" s="20">
        <f>IF(B268="","",IF(AP268="","Check the settings",ROUND(IF(RoundingRule="None",AP268,IF(RoundingRule="Nearest 0.99",MAX(0.99,CEILING(AP268,1)-0.01),IF(RoundingRule="Nearest 0.95",MAX(0.95,CEILING(AP268,1)-0.05),IF(RoundingRule="Nearest 0.50",CEILING(AP268,0.5),IF(RoundingRule="Nearest 1",CEILING(AP268,1),IF(RoundingRule="Nearest 5",CEILING(AP268,5),IF(RoundingRule="Up to whole 1",CEILING(AP268,1),IF(RoundingRule="Up to whole 5",CEILING(AP268,5),ROUND(AP268,2))))))))),2)))</f>
        <v>0</v>
      </c>
      <c r="AR268" s="20">
        <f>IF(B268="","",IF(M268&lt;&gt;"",M268,IF(ISNUMBER(AQ268),AQ268,"")))</f>
        <v>0</v>
      </c>
      <c r="AS268" s="20">
        <f>IF(B268="","",IF(AR268="","",ROUND(AM268+AR268*AL268,2)))</f>
        <v>0</v>
      </c>
      <c r="AT268" s="20">
        <f>IF(B268="","",IF(AR268="","",ROUND(AH268+AS268,2)))</f>
        <v>0</v>
      </c>
      <c r="AU268" s="20">
        <f>IF(B268="","",IF(AR268="","",ROUND(AR268*AI268+AK268,2)))</f>
        <v>0</v>
      </c>
      <c r="AV268" s="20">
        <f>IF(B268="","",IF(AR268="","",ROUND(AR268-AT268-AU268,2)))</f>
        <v>0</v>
      </c>
      <c r="AW268" s="33">
        <f>IF(B268="","",IF(OR(AR268="",AR268=0),"",AV268/AR268))</f>
        <v>0</v>
      </c>
      <c r="AX268" s="33">
        <f>IF(B268="","",IF(OR(AT268="",AT268=0),"",AV268/AT268))</f>
        <v>0</v>
      </c>
      <c r="AY268" s="20">
        <f>IF(B268="","",IF(OR(Y268="",Y268=0,AV268=""),"",ROUND(AV268/Y268,2)))</f>
        <v>0</v>
      </c>
      <c r="AZ268" s="20">
        <f>IF(B268="","",IF(OR(Y268="",Y268=0,AV268=""),"",ROUND((AV268+Z268)/Y268,2)))</f>
        <v>0</v>
      </c>
      <c r="BA268" s="20">
        <f>IF(B268="","",IF(1-AI268-AL268&lt;=0,"",ROUND((AH268+AM268+AK268)/(1-AI268-AL268),2)))</f>
        <v>0</v>
      </c>
      <c r="BB268" s="20">
        <f>IF(B268="","",IF(AT268="","",ROUND(AT268*2,2)))</f>
        <v>0</v>
      </c>
      <c r="BC268" s="20">
        <f>IF(B268="","",IF(AR268="","",ROUND(AR268*(1-WholesaleDiscount),2)))</f>
        <v>0</v>
      </c>
      <c r="BD268" s="20">
        <f>IF(B268="","",IF(BC268="","",ROUND(BC268-AH268-AM268,2)))</f>
        <v>0</v>
      </c>
      <c r="BE268" s="33">
        <f>IF(B268="","",IF(OR(BC268="",BC268=0),"",BD268/BC268))</f>
        <v>0</v>
      </c>
      <c r="BF268" s="20">
        <f>IF(B268="","",IFERROR(ROUND(AVERAGEIFS(Competitors!$F$5:$F$154,Competitors!$A$5:$A$154,A268),2),""))</f>
        <v>0</v>
      </c>
      <c r="BG268" s="33">
        <f>IF(B268="","",IF(OR(BF268="",BF268=0,AR268=""),"",AR268/BF268-1))</f>
        <v>0</v>
      </c>
      <c r="BH268" s="32">
        <f>IF(B268="","",SUMIFS(Sales!$D$5:$D$804,Sales!$C$5:$C$804,A268))</f>
        <v>0</v>
      </c>
      <c r="BI268" s="20">
        <f>IF(B268="","",ROUND(SUMIFS(Sales!$V$5:$V$804,Sales!$C$5:$C$804,A268),2))</f>
        <v>0</v>
      </c>
      <c r="BJ268" s="20">
        <f>IF(B268="","",ROUND(SUMIFS(Sales!$AG$5:$AG$804,Sales!$C$5:$C$804,A268),2))</f>
        <v>0</v>
      </c>
      <c r="BK268" s="33">
        <f>IF(B268="","",IF(OR(BI268="",BI268=0),"",BJ268/BI268))</f>
        <v>0</v>
      </c>
      <c r="BL268" s="17">
        <f>IF(B268="","",IF(SUMPRODUCT(MAX((Sales!$C$5:$C$804=A268)*Sales!$B$5:$B$804))=0,"",SUMPRODUCT(MAX((Sales!$C$5:$C$804=A268)*Sales!$B$5:$B$804))))</f>
        <v>0</v>
      </c>
      <c r="BM268" s="17">
        <f>IF(B268="","",IF(SUMPRODUCT(MAX(('Price History'!$B$5:$B$304=A268)*'Price History'!$A$5:$A$304))=0,IF(P268="","",P268),SUMPRODUCT(MAX(('Price History'!$B$5:$B$304=A268)*'Price History'!$A$5:$A$304))))</f>
        <v>0</v>
      </c>
      <c r="BN268" s="32">
        <f>IF(B268="","",IF(BM268="","",TodayDate-BM268))</f>
        <v>0</v>
      </c>
      <c r="BO268" s="32">
        <f>IF(B268="","",COUNTIFS($AV$5:$AV$304,"&gt;"&amp;AV268)+COUNTIFS($AV$5:AV268,AV268))</f>
        <v>0</v>
      </c>
      <c r="BP268" s="32">
        <f>IF(B268="","",COUNTIFS($AW$5:$AW$304,"&gt;"&amp;AW268)+COUNTIFS($AW$5:AW268,AW268))</f>
        <v>0</v>
      </c>
      <c r="BQ268" s="32">
        <f>IF(B268="","",COUNTIFS($BI$5:$BI$304,"&gt;"&amp;BI268)+COUNTIFS($BI$5:BI268,BI268))</f>
        <v>0</v>
      </c>
      <c r="BR268" s="32">
        <f>IF(B268="","",COUNTIFS($AY$5:$AY$304,"&gt;"&amp;AY268)+COUNTIFS($AY$5:AY268,AY268))</f>
        <v>0</v>
      </c>
      <c r="BS268" s="43">
        <f>IF(B268="","",IF(AH268=0,"Add - no costs entered yet",IF(AR268="","Check - no price yet",IF(AV268&lt;0,"Loss - every sale costs you money",IF(AND(AZ268&lt;&gt;"",AZ268&lt;MinimumWage),"Below - pays under minimum wage",IF(AW268&lt;MarginWarning,"Low margin - re-price it",IF(AND(AF268&lt;&gt;"",K268&lt;&gt;"",K268+AC268&gt;AF268),"Check - too heavy for that postage band",IF(AND(BN268&lt;&gt;"",BN268&gt;PriceReviewDays),"Due - price has not been reviewed",IF(AND(BG268&lt;&gt;"",BG268&gt;0.5),"Check - well above the market","OK")))))))) )</f>
        <v>0</v>
      </c>
    </row>
    <row r="269" spans="1:71">
      <c r="A269" s="38">
        <f>IF(B269="","",ProductPrefix&amp;TEXT(ROW()-4,"0000"))</f>
        <v>0</v>
      </c>
      <c r="S269" s="38">
        <f>IF(B269="","",IF(C269&lt;&gt;"",C269,UPPER(LEFT(IF(D269="","GEN",D269),3))&amp;"-"&amp;TEXT(ROW()-4,"000")))</f>
        <v>0</v>
      </c>
      <c r="T269" s="20">
        <f>IF(B269="","",ROUND(SUMIFS('Material Usage'!$M$5:$M$904,'Material Usage'!$A$5:$A$904,A269)+SUMIFS(Crochet!$AD$5:$AD$84,Crochet!$A$5:$A$84,A269)+SUMIFS(Jewelry!$AF$5:$AF$84,Jewelry!$A$5:$A$84,A269)+SUMIFS(Candles!$AF$5:$AF$84,Candles!$A$5:$A$84,A269)+SUMIFS(Clothing!$AB$5:$AB$84,Clothing!$A$5:$A$84,A269)+SUMIFS(Woodworking!$AC$5:$AC$84,Woodworking!$A$5:$A$84,A269)+SUMIFS(Digital!$X$5:$X$84,Digital!$A$5:$A$84,A269),2))</f>
        <v>0</v>
      </c>
      <c r="U269" s="20">
        <f>IF(B269="","",ROUND(SUMIFS(Labor!$O$5:$O$304,Labor!$A$5:$A$304,A269)+SUMIFS(Crochet!$AG$5:$AG$84,Crochet!$A$5:$A$84,A269)+SUMIFS(Jewelry!$AI$5:$AI$84,Jewelry!$A$5:$A$84,A269)+SUMIFS(Candles!$AI$5:$AI$84,Candles!$A$5:$A$84,A269)+SUMIFS(Clothing!$AE$5:$AE$84,Clothing!$A$5:$A$84,A269)+SUMIFS(Woodworking!$AF$5:$AF$84,Woodworking!$A$5:$A$84,A269)+SUMIFS(Digital!$Z$5:$Z$84,Digital!$A$5:$A$84,A269),2))</f>
        <v>0</v>
      </c>
      <c r="V269" s="36">
        <f>IF(B269="","",ROUND(SUMIFS(Labor!$P$5:$P$304,Labor!$A$5:$A$304,A269)+SUMIFS(Crochet!$AE$5:$AE$84,Crochet!$A$5:$A$84,A269)+SUMIFS(Jewelry!$AG$5:$AG$84,Jewelry!$A$5:$A$84,A269)+SUMIFS(Candles!$AG$5:$AG$84,Candles!$A$5:$A$84,A269)+SUMIFS(Clothing!$AC$5:$AC$84,Clothing!$A$5:$A$84,A269)+SUMIFS(Woodworking!$AD$5:$AD$84,Woodworking!$A$5:$A$84,A269)+SUMIFS(Digital!$Y$5:$Y$84,Digital!$A$5:$A$84,A269),1))</f>
        <v>0</v>
      </c>
      <c r="W269" s="41">
        <f>IF(B269="","",IFERROR(INDEX(DiffTimeFactors,MATCH(G269,DiffNames,0)),1))</f>
        <v>0</v>
      </c>
      <c r="X269" s="36">
        <f>IF(B269="","",ROUND(V269*W269,1))</f>
        <v>0</v>
      </c>
      <c r="Y269" s="41">
        <f>IF(B269="","",ROUND(X269/60,3))</f>
        <v>0</v>
      </c>
      <c r="Z269" s="20">
        <f>IF(B269="","",ROUND(U269*W269,2))</f>
        <v>0</v>
      </c>
      <c r="AA269" s="20">
        <f>IF(B269="","",ROUND(SUMIFS(Labor!$Q$5:$Q$304,Labor!$A$5:$A$304,A269)+SUMIFS(Crochet!$AH$5:$AH$84,Crochet!$A$5:$A$84,A269)+SUMIFS(Jewelry!$AJ$5:$AJ$84,Jewelry!$A$5:$A$84,A269)+SUMIFS(Candles!$AJ$5:$AJ$84,Candles!$A$5:$A$84,A269)+SUMIFS(Clothing!$AF$5:$AF$84,Clothing!$A$5:$A$84,A269)+SUMIFS(Woodworking!$AH$5:$AH$84,Woodworking!$A$5:$A$84,A269)+SUMIFS(Digital!$AA$5:$AA$84,Digital!$A$5:$A$84,A269),2))</f>
        <v>0</v>
      </c>
      <c r="AB269" s="20">
        <f>IF(B269="","",ROUND(IF(I269="Budget",PackBudget,IF(I269="Standard",PackStandard,IF(I269="Gift",PackGift,IF(I269="Premium",PackPremium,DefaultPackaging)))),2))</f>
        <v>0</v>
      </c>
      <c r="AC269" s="36">
        <f>IF(B269="","",IF(I269="Budget",PackWeightBudget,IF(I269="Standard",PackWeightStandard,IF(I269="Gift",PackWeightGift,IF(I269="Premium",PackWeightPremium,0)))))</f>
        <v>0</v>
      </c>
      <c r="AD269" s="20">
        <f>IF(B269="","",IFERROR(INDEX(Shipping!$M$5:$M$64,MATCH(J269,Shipping!$L$5:$L$64,0)),DefaultShipping))</f>
        <v>0</v>
      </c>
      <c r="AE269" s="20">
        <f>IF(B269="","",IFERROR(INDEX(Shipping!$F$5:$F$64,MATCH(J269,Shipping!$L$5:$L$64,0)),0))</f>
        <v>0</v>
      </c>
      <c r="AF269" s="36">
        <f>IF(B269="","",IFERROR(INDEX(Shipping!$C$5:$C$64,MATCH(J269,Shipping!$L$5:$L$64,0)),""))</f>
        <v>0</v>
      </c>
      <c r="AG269" s="20">
        <f>IF(B269="","",ROUND(MAX(0,AD269-AE269),2))</f>
        <v>0</v>
      </c>
      <c r="AH269" s="20">
        <f>IF(B269="","",ROUND(T269+Z269+AA269+AB269+AG269,2))</f>
        <v>0</v>
      </c>
      <c r="AI269" s="33">
        <f>IF(B269="","",IFERROR(INDEX(Channels!$S$5:$S$18,MATCH(IF(H269="",DefaultChannel,H269),Channels!$A$5:$A$18,0)),0))</f>
        <v>0</v>
      </c>
      <c r="AJ269" s="42">
        <f>IF(B269="","",IFERROR(INDEX(Channels!$O$5:$O$18,MATCH(IF(H269="",DefaultChannel,H269),Channels!$A$5:$A$18,0)),"No"))</f>
        <v>0</v>
      </c>
      <c r="AK269" s="20">
        <f>IF(B269="","",ROUND(IFERROR(INDEX(Channels!$T$5:$T$18,MATCH(IF(H269="",DefaultChannel,H269),Channels!$A$5:$A$18,0)),0)+IF(AJ269="Yes",AE269*AI269,0),4))</f>
        <v>0</v>
      </c>
      <c r="AL269" s="33">
        <f>IF(B269="","",IF(OverheadMethod="Share of revenue",IF(RevenueTargetMonth&lt;=0,0,OverheadMonthly/RevenueTargetMonth),0))</f>
        <v>0</v>
      </c>
      <c r="AM269" s="20">
        <f>IF(B269="","",IF(OverheadMethod="Per hour worked",ROUND(OverheadPerHour*Y269,2),IF(OR(OverheadMethod="Per unit made",OverheadMethod="Per order"),OverheadPerUnit,0)))</f>
        <v>0</v>
      </c>
      <c r="AN269" s="33">
        <f>IF(B269="","",IF(N269&lt;&gt;"",N269,TargetRetailMargin))</f>
        <v>0</v>
      </c>
      <c r="AO269" s="41">
        <f>IF(B269="","",1-AN269-AI269-AL269)</f>
        <v>0</v>
      </c>
      <c r="AP269" s="20">
        <f>IF(B269="","",IF(AO269&lt;=0,"",(AH269+AM269+AK269)/AO269))</f>
        <v>0</v>
      </c>
      <c r="AQ269" s="20">
        <f>IF(B269="","",IF(AP269="","Check the settings",ROUND(IF(RoundingRule="None",AP269,IF(RoundingRule="Nearest 0.99",MAX(0.99,CEILING(AP269,1)-0.01),IF(RoundingRule="Nearest 0.95",MAX(0.95,CEILING(AP269,1)-0.05),IF(RoundingRule="Nearest 0.50",CEILING(AP269,0.5),IF(RoundingRule="Nearest 1",CEILING(AP269,1),IF(RoundingRule="Nearest 5",CEILING(AP269,5),IF(RoundingRule="Up to whole 1",CEILING(AP269,1),IF(RoundingRule="Up to whole 5",CEILING(AP269,5),ROUND(AP269,2))))))))),2)))</f>
        <v>0</v>
      </c>
      <c r="AR269" s="20">
        <f>IF(B269="","",IF(M269&lt;&gt;"",M269,IF(ISNUMBER(AQ269),AQ269,"")))</f>
        <v>0</v>
      </c>
      <c r="AS269" s="20">
        <f>IF(B269="","",IF(AR269="","",ROUND(AM269+AR269*AL269,2)))</f>
        <v>0</v>
      </c>
      <c r="AT269" s="20">
        <f>IF(B269="","",IF(AR269="","",ROUND(AH269+AS269,2)))</f>
        <v>0</v>
      </c>
      <c r="AU269" s="20">
        <f>IF(B269="","",IF(AR269="","",ROUND(AR269*AI269+AK269,2)))</f>
        <v>0</v>
      </c>
      <c r="AV269" s="20">
        <f>IF(B269="","",IF(AR269="","",ROUND(AR269-AT269-AU269,2)))</f>
        <v>0</v>
      </c>
      <c r="AW269" s="33">
        <f>IF(B269="","",IF(OR(AR269="",AR269=0),"",AV269/AR269))</f>
        <v>0</v>
      </c>
      <c r="AX269" s="33">
        <f>IF(B269="","",IF(OR(AT269="",AT269=0),"",AV269/AT269))</f>
        <v>0</v>
      </c>
      <c r="AY269" s="20">
        <f>IF(B269="","",IF(OR(Y269="",Y269=0,AV269=""),"",ROUND(AV269/Y269,2)))</f>
        <v>0</v>
      </c>
      <c r="AZ269" s="20">
        <f>IF(B269="","",IF(OR(Y269="",Y269=0,AV269=""),"",ROUND((AV269+Z269)/Y269,2)))</f>
        <v>0</v>
      </c>
      <c r="BA269" s="20">
        <f>IF(B269="","",IF(1-AI269-AL269&lt;=0,"",ROUND((AH269+AM269+AK269)/(1-AI269-AL269),2)))</f>
        <v>0</v>
      </c>
      <c r="BB269" s="20">
        <f>IF(B269="","",IF(AT269="","",ROUND(AT269*2,2)))</f>
        <v>0</v>
      </c>
      <c r="BC269" s="20">
        <f>IF(B269="","",IF(AR269="","",ROUND(AR269*(1-WholesaleDiscount),2)))</f>
        <v>0</v>
      </c>
      <c r="BD269" s="20">
        <f>IF(B269="","",IF(BC269="","",ROUND(BC269-AH269-AM269,2)))</f>
        <v>0</v>
      </c>
      <c r="BE269" s="33">
        <f>IF(B269="","",IF(OR(BC269="",BC269=0),"",BD269/BC269))</f>
        <v>0</v>
      </c>
      <c r="BF269" s="20">
        <f>IF(B269="","",IFERROR(ROUND(AVERAGEIFS(Competitors!$F$5:$F$154,Competitors!$A$5:$A$154,A269),2),""))</f>
        <v>0</v>
      </c>
      <c r="BG269" s="33">
        <f>IF(B269="","",IF(OR(BF269="",BF269=0,AR269=""),"",AR269/BF269-1))</f>
        <v>0</v>
      </c>
      <c r="BH269" s="32">
        <f>IF(B269="","",SUMIFS(Sales!$D$5:$D$804,Sales!$C$5:$C$804,A269))</f>
        <v>0</v>
      </c>
      <c r="BI269" s="20">
        <f>IF(B269="","",ROUND(SUMIFS(Sales!$V$5:$V$804,Sales!$C$5:$C$804,A269),2))</f>
        <v>0</v>
      </c>
      <c r="BJ269" s="20">
        <f>IF(B269="","",ROUND(SUMIFS(Sales!$AG$5:$AG$804,Sales!$C$5:$C$804,A269),2))</f>
        <v>0</v>
      </c>
      <c r="BK269" s="33">
        <f>IF(B269="","",IF(OR(BI269="",BI269=0),"",BJ269/BI269))</f>
        <v>0</v>
      </c>
      <c r="BL269" s="17">
        <f>IF(B269="","",IF(SUMPRODUCT(MAX((Sales!$C$5:$C$804=A269)*Sales!$B$5:$B$804))=0,"",SUMPRODUCT(MAX((Sales!$C$5:$C$804=A269)*Sales!$B$5:$B$804))))</f>
        <v>0</v>
      </c>
      <c r="BM269" s="17">
        <f>IF(B269="","",IF(SUMPRODUCT(MAX(('Price History'!$B$5:$B$304=A269)*'Price History'!$A$5:$A$304))=0,IF(P269="","",P269),SUMPRODUCT(MAX(('Price History'!$B$5:$B$304=A269)*'Price History'!$A$5:$A$304))))</f>
        <v>0</v>
      </c>
      <c r="BN269" s="32">
        <f>IF(B269="","",IF(BM269="","",TodayDate-BM269))</f>
        <v>0</v>
      </c>
      <c r="BO269" s="32">
        <f>IF(B269="","",COUNTIFS($AV$5:$AV$304,"&gt;"&amp;AV269)+COUNTIFS($AV$5:AV269,AV269))</f>
        <v>0</v>
      </c>
      <c r="BP269" s="32">
        <f>IF(B269="","",COUNTIFS($AW$5:$AW$304,"&gt;"&amp;AW269)+COUNTIFS($AW$5:AW269,AW269))</f>
        <v>0</v>
      </c>
      <c r="BQ269" s="32">
        <f>IF(B269="","",COUNTIFS($BI$5:$BI$304,"&gt;"&amp;BI269)+COUNTIFS($BI$5:BI269,BI269))</f>
        <v>0</v>
      </c>
      <c r="BR269" s="32">
        <f>IF(B269="","",COUNTIFS($AY$5:$AY$304,"&gt;"&amp;AY269)+COUNTIFS($AY$5:AY269,AY269))</f>
        <v>0</v>
      </c>
      <c r="BS269" s="43">
        <f>IF(B269="","",IF(AH269=0,"Add - no costs entered yet",IF(AR269="","Check - no price yet",IF(AV269&lt;0,"Loss - every sale costs you money",IF(AND(AZ269&lt;&gt;"",AZ269&lt;MinimumWage),"Below - pays under minimum wage",IF(AW269&lt;MarginWarning,"Low margin - re-price it",IF(AND(AF269&lt;&gt;"",K269&lt;&gt;"",K269+AC269&gt;AF269),"Check - too heavy for that postage band",IF(AND(BN269&lt;&gt;"",BN269&gt;PriceReviewDays),"Due - price has not been reviewed",IF(AND(BG269&lt;&gt;"",BG269&gt;0.5),"Check - well above the market","OK")))))))) )</f>
        <v>0</v>
      </c>
    </row>
    <row r="270" spans="1:71">
      <c r="A270" s="38">
        <f>IF(B270="","",ProductPrefix&amp;TEXT(ROW()-4,"0000"))</f>
        <v>0</v>
      </c>
      <c r="S270" s="38">
        <f>IF(B270="","",IF(C270&lt;&gt;"",C270,UPPER(LEFT(IF(D270="","GEN",D270),3))&amp;"-"&amp;TEXT(ROW()-4,"000")))</f>
        <v>0</v>
      </c>
      <c r="T270" s="20">
        <f>IF(B270="","",ROUND(SUMIFS('Material Usage'!$M$5:$M$904,'Material Usage'!$A$5:$A$904,A270)+SUMIFS(Crochet!$AD$5:$AD$84,Crochet!$A$5:$A$84,A270)+SUMIFS(Jewelry!$AF$5:$AF$84,Jewelry!$A$5:$A$84,A270)+SUMIFS(Candles!$AF$5:$AF$84,Candles!$A$5:$A$84,A270)+SUMIFS(Clothing!$AB$5:$AB$84,Clothing!$A$5:$A$84,A270)+SUMIFS(Woodworking!$AC$5:$AC$84,Woodworking!$A$5:$A$84,A270)+SUMIFS(Digital!$X$5:$X$84,Digital!$A$5:$A$84,A270),2))</f>
        <v>0</v>
      </c>
      <c r="U270" s="20">
        <f>IF(B270="","",ROUND(SUMIFS(Labor!$O$5:$O$304,Labor!$A$5:$A$304,A270)+SUMIFS(Crochet!$AG$5:$AG$84,Crochet!$A$5:$A$84,A270)+SUMIFS(Jewelry!$AI$5:$AI$84,Jewelry!$A$5:$A$84,A270)+SUMIFS(Candles!$AI$5:$AI$84,Candles!$A$5:$A$84,A270)+SUMIFS(Clothing!$AE$5:$AE$84,Clothing!$A$5:$A$84,A270)+SUMIFS(Woodworking!$AF$5:$AF$84,Woodworking!$A$5:$A$84,A270)+SUMIFS(Digital!$Z$5:$Z$84,Digital!$A$5:$A$84,A270),2))</f>
        <v>0</v>
      </c>
      <c r="V270" s="36">
        <f>IF(B270="","",ROUND(SUMIFS(Labor!$P$5:$P$304,Labor!$A$5:$A$304,A270)+SUMIFS(Crochet!$AE$5:$AE$84,Crochet!$A$5:$A$84,A270)+SUMIFS(Jewelry!$AG$5:$AG$84,Jewelry!$A$5:$A$84,A270)+SUMIFS(Candles!$AG$5:$AG$84,Candles!$A$5:$A$84,A270)+SUMIFS(Clothing!$AC$5:$AC$84,Clothing!$A$5:$A$84,A270)+SUMIFS(Woodworking!$AD$5:$AD$84,Woodworking!$A$5:$A$84,A270)+SUMIFS(Digital!$Y$5:$Y$84,Digital!$A$5:$A$84,A270),1))</f>
        <v>0</v>
      </c>
      <c r="W270" s="41">
        <f>IF(B270="","",IFERROR(INDEX(DiffTimeFactors,MATCH(G270,DiffNames,0)),1))</f>
        <v>0</v>
      </c>
      <c r="X270" s="36">
        <f>IF(B270="","",ROUND(V270*W270,1))</f>
        <v>0</v>
      </c>
      <c r="Y270" s="41">
        <f>IF(B270="","",ROUND(X270/60,3))</f>
        <v>0</v>
      </c>
      <c r="Z270" s="20">
        <f>IF(B270="","",ROUND(U270*W270,2))</f>
        <v>0</v>
      </c>
      <c r="AA270" s="20">
        <f>IF(B270="","",ROUND(SUMIFS(Labor!$Q$5:$Q$304,Labor!$A$5:$A$304,A270)+SUMIFS(Crochet!$AH$5:$AH$84,Crochet!$A$5:$A$84,A270)+SUMIFS(Jewelry!$AJ$5:$AJ$84,Jewelry!$A$5:$A$84,A270)+SUMIFS(Candles!$AJ$5:$AJ$84,Candles!$A$5:$A$84,A270)+SUMIFS(Clothing!$AF$5:$AF$84,Clothing!$A$5:$A$84,A270)+SUMIFS(Woodworking!$AH$5:$AH$84,Woodworking!$A$5:$A$84,A270)+SUMIFS(Digital!$AA$5:$AA$84,Digital!$A$5:$A$84,A270),2))</f>
        <v>0</v>
      </c>
      <c r="AB270" s="20">
        <f>IF(B270="","",ROUND(IF(I270="Budget",PackBudget,IF(I270="Standard",PackStandard,IF(I270="Gift",PackGift,IF(I270="Premium",PackPremium,DefaultPackaging)))),2))</f>
        <v>0</v>
      </c>
      <c r="AC270" s="36">
        <f>IF(B270="","",IF(I270="Budget",PackWeightBudget,IF(I270="Standard",PackWeightStandard,IF(I270="Gift",PackWeightGift,IF(I270="Premium",PackWeightPremium,0)))))</f>
        <v>0</v>
      </c>
      <c r="AD270" s="20">
        <f>IF(B270="","",IFERROR(INDEX(Shipping!$M$5:$M$64,MATCH(J270,Shipping!$L$5:$L$64,0)),DefaultShipping))</f>
        <v>0</v>
      </c>
      <c r="AE270" s="20">
        <f>IF(B270="","",IFERROR(INDEX(Shipping!$F$5:$F$64,MATCH(J270,Shipping!$L$5:$L$64,0)),0))</f>
        <v>0</v>
      </c>
      <c r="AF270" s="36">
        <f>IF(B270="","",IFERROR(INDEX(Shipping!$C$5:$C$64,MATCH(J270,Shipping!$L$5:$L$64,0)),""))</f>
        <v>0</v>
      </c>
      <c r="AG270" s="20">
        <f>IF(B270="","",ROUND(MAX(0,AD270-AE270),2))</f>
        <v>0</v>
      </c>
      <c r="AH270" s="20">
        <f>IF(B270="","",ROUND(T270+Z270+AA270+AB270+AG270,2))</f>
        <v>0</v>
      </c>
      <c r="AI270" s="33">
        <f>IF(B270="","",IFERROR(INDEX(Channels!$S$5:$S$18,MATCH(IF(H270="",DefaultChannel,H270),Channels!$A$5:$A$18,0)),0))</f>
        <v>0</v>
      </c>
      <c r="AJ270" s="42">
        <f>IF(B270="","",IFERROR(INDEX(Channels!$O$5:$O$18,MATCH(IF(H270="",DefaultChannel,H270),Channels!$A$5:$A$18,0)),"No"))</f>
        <v>0</v>
      </c>
      <c r="AK270" s="20">
        <f>IF(B270="","",ROUND(IFERROR(INDEX(Channels!$T$5:$T$18,MATCH(IF(H270="",DefaultChannel,H270),Channels!$A$5:$A$18,0)),0)+IF(AJ270="Yes",AE270*AI270,0),4))</f>
        <v>0</v>
      </c>
      <c r="AL270" s="33">
        <f>IF(B270="","",IF(OverheadMethod="Share of revenue",IF(RevenueTargetMonth&lt;=0,0,OverheadMonthly/RevenueTargetMonth),0))</f>
        <v>0</v>
      </c>
      <c r="AM270" s="20">
        <f>IF(B270="","",IF(OverheadMethod="Per hour worked",ROUND(OverheadPerHour*Y270,2),IF(OR(OverheadMethod="Per unit made",OverheadMethod="Per order"),OverheadPerUnit,0)))</f>
        <v>0</v>
      </c>
      <c r="AN270" s="33">
        <f>IF(B270="","",IF(N270&lt;&gt;"",N270,TargetRetailMargin))</f>
        <v>0</v>
      </c>
      <c r="AO270" s="41">
        <f>IF(B270="","",1-AN270-AI270-AL270)</f>
        <v>0</v>
      </c>
      <c r="AP270" s="20">
        <f>IF(B270="","",IF(AO270&lt;=0,"",(AH270+AM270+AK270)/AO270))</f>
        <v>0</v>
      </c>
      <c r="AQ270" s="20">
        <f>IF(B270="","",IF(AP270="","Check the settings",ROUND(IF(RoundingRule="None",AP270,IF(RoundingRule="Nearest 0.99",MAX(0.99,CEILING(AP270,1)-0.01),IF(RoundingRule="Nearest 0.95",MAX(0.95,CEILING(AP270,1)-0.05),IF(RoundingRule="Nearest 0.50",CEILING(AP270,0.5),IF(RoundingRule="Nearest 1",CEILING(AP270,1),IF(RoundingRule="Nearest 5",CEILING(AP270,5),IF(RoundingRule="Up to whole 1",CEILING(AP270,1),IF(RoundingRule="Up to whole 5",CEILING(AP270,5),ROUND(AP270,2))))))))),2)))</f>
        <v>0</v>
      </c>
      <c r="AR270" s="20">
        <f>IF(B270="","",IF(M270&lt;&gt;"",M270,IF(ISNUMBER(AQ270),AQ270,"")))</f>
        <v>0</v>
      </c>
      <c r="AS270" s="20">
        <f>IF(B270="","",IF(AR270="","",ROUND(AM270+AR270*AL270,2)))</f>
        <v>0</v>
      </c>
      <c r="AT270" s="20">
        <f>IF(B270="","",IF(AR270="","",ROUND(AH270+AS270,2)))</f>
        <v>0</v>
      </c>
      <c r="AU270" s="20">
        <f>IF(B270="","",IF(AR270="","",ROUND(AR270*AI270+AK270,2)))</f>
        <v>0</v>
      </c>
      <c r="AV270" s="20">
        <f>IF(B270="","",IF(AR270="","",ROUND(AR270-AT270-AU270,2)))</f>
        <v>0</v>
      </c>
      <c r="AW270" s="33">
        <f>IF(B270="","",IF(OR(AR270="",AR270=0),"",AV270/AR270))</f>
        <v>0</v>
      </c>
      <c r="AX270" s="33">
        <f>IF(B270="","",IF(OR(AT270="",AT270=0),"",AV270/AT270))</f>
        <v>0</v>
      </c>
      <c r="AY270" s="20">
        <f>IF(B270="","",IF(OR(Y270="",Y270=0,AV270=""),"",ROUND(AV270/Y270,2)))</f>
        <v>0</v>
      </c>
      <c r="AZ270" s="20">
        <f>IF(B270="","",IF(OR(Y270="",Y270=0,AV270=""),"",ROUND((AV270+Z270)/Y270,2)))</f>
        <v>0</v>
      </c>
      <c r="BA270" s="20">
        <f>IF(B270="","",IF(1-AI270-AL270&lt;=0,"",ROUND((AH270+AM270+AK270)/(1-AI270-AL270),2)))</f>
        <v>0</v>
      </c>
      <c r="BB270" s="20">
        <f>IF(B270="","",IF(AT270="","",ROUND(AT270*2,2)))</f>
        <v>0</v>
      </c>
      <c r="BC270" s="20">
        <f>IF(B270="","",IF(AR270="","",ROUND(AR270*(1-WholesaleDiscount),2)))</f>
        <v>0</v>
      </c>
      <c r="BD270" s="20">
        <f>IF(B270="","",IF(BC270="","",ROUND(BC270-AH270-AM270,2)))</f>
        <v>0</v>
      </c>
      <c r="BE270" s="33">
        <f>IF(B270="","",IF(OR(BC270="",BC270=0),"",BD270/BC270))</f>
        <v>0</v>
      </c>
      <c r="BF270" s="20">
        <f>IF(B270="","",IFERROR(ROUND(AVERAGEIFS(Competitors!$F$5:$F$154,Competitors!$A$5:$A$154,A270),2),""))</f>
        <v>0</v>
      </c>
      <c r="BG270" s="33">
        <f>IF(B270="","",IF(OR(BF270="",BF270=0,AR270=""),"",AR270/BF270-1))</f>
        <v>0</v>
      </c>
      <c r="BH270" s="32">
        <f>IF(B270="","",SUMIFS(Sales!$D$5:$D$804,Sales!$C$5:$C$804,A270))</f>
        <v>0</v>
      </c>
      <c r="BI270" s="20">
        <f>IF(B270="","",ROUND(SUMIFS(Sales!$V$5:$V$804,Sales!$C$5:$C$804,A270),2))</f>
        <v>0</v>
      </c>
      <c r="BJ270" s="20">
        <f>IF(B270="","",ROUND(SUMIFS(Sales!$AG$5:$AG$804,Sales!$C$5:$C$804,A270),2))</f>
        <v>0</v>
      </c>
      <c r="BK270" s="33">
        <f>IF(B270="","",IF(OR(BI270="",BI270=0),"",BJ270/BI270))</f>
        <v>0</v>
      </c>
      <c r="BL270" s="17">
        <f>IF(B270="","",IF(SUMPRODUCT(MAX((Sales!$C$5:$C$804=A270)*Sales!$B$5:$B$804))=0,"",SUMPRODUCT(MAX((Sales!$C$5:$C$804=A270)*Sales!$B$5:$B$804))))</f>
        <v>0</v>
      </c>
      <c r="BM270" s="17">
        <f>IF(B270="","",IF(SUMPRODUCT(MAX(('Price History'!$B$5:$B$304=A270)*'Price History'!$A$5:$A$304))=0,IF(P270="","",P270),SUMPRODUCT(MAX(('Price History'!$B$5:$B$304=A270)*'Price History'!$A$5:$A$304))))</f>
        <v>0</v>
      </c>
      <c r="BN270" s="32">
        <f>IF(B270="","",IF(BM270="","",TodayDate-BM270))</f>
        <v>0</v>
      </c>
      <c r="BO270" s="32">
        <f>IF(B270="","",COUNTIFS($AV$5:$AV$304,"&gt;"&amp;AV270)+COUNTIFS($AV$5:AV270,AV270))</f>
        <v>0</v>
      </c>
      <c r="BP270" s="32">
        <f>IF(B270="","",COUNTIFS($AW$5:$AW$304,"&gt;"&amp;AW270)+COUNTIFS($AW$5:AW270,AW270))</f>
        <v>0</v>
      </c>
      <c r="BQ270" s="32">
        <f>IF(B270="","",COUNTIFS($BI$5:$BI$304,"&gt;"&amp;BI270)+COUNTIFS($BI$5:BI270,BI270))</f>
        <v>0</v>
      </c>
      <c r="BR270" s="32">
        <f>IF(B270="","",COUNTIFS($AY$5:$AY$304,"&gt;"&amp;AY270)+COUNTIFS($AY$5:AY270,AY270))</f>
        <v>0</v>
      </c>
      <c r="BS270" s="43">
        <f>IF(B270="","",IF(AH270=0,"Add - no costs entered yet",IF(AR270="","Check - no price yet",IF(AV270&lt;0,"Loss - every sale costs you money",IF(AND(AZ270&lt;&gt;"",AZ270&lt;MinimumWage),"Below - pays under minimum wage",IF(AW270&lt;MarginWarning,"Low margin - re-price it",IF(AND(AF270&lt;&gt;"",K270&lt;&gt;"",K270+AC270&gt;AF270),"Check - too heavy for that postage band",IF(AND(BN270&lt;&gt;"",BN270&gt;PriceReviewDays),"Due - price has not been reviewed",IF(AND(BG270&lt;&gt;"",BG270&gt;0.5),"Check - well above the market","OK")))))))) )</f>
        <v>0</v>
      </c>
    </row>
    <row r="271" spans="1:71">
      <c r="A271" s="38">
        <f>IF(B271="","",ProductPrefix&amp;TEXT(ROW()-4,"0000"))</f>
        <v>0</v>
      </c>
      <c r="S271" s="38">
        <f>IF(B271="","",IF(C271&lt;&gt;"",C271,UPPER(LEFT(IF(D271="","GEN",D271),3))&amp;"-"&amp;TEXT(ROW()-4,"000")))</f>
        <v>0</v>
      </c>
      <c r="T271" s="20">
        <f>IF(B271="","",ROUND(SUMIFS('Material Usage'!$M$5:$M$904,'Material Usage'!$A$5:$A$904,A271)+SUMIFS(Crochet!$AD$5:$AD$84,Crochet!$A$5:$A$84,A271)+SUMIFS(Jewelry!$AF$5:$AF$84,Jewelry!$A$5:$A$84,A271)+SUMIFS(Candles!$AF$5:$AF$84,Candles!$A$5:$A$84,A271)+SUMIFS(Clothing!$AB$5:$AB$84,Clothing!$A$5:$A$84,A271)+SUMIFS(Woodworking!$AC$5:$AC$84,Woodworking!$A$5:$A$84,A271)+SUMIFS(Digital!$X$5:$X$84,Digital!$A$5:$A$84,A271),2))</f>
        <v>0</v>
      </c>
      <c r="U271" s="20">
        <f>IF(B271="","",ROUND(SUMIFS(Labor!$O$5:$O$304,Labor!$A$5:$A$304,A271)+SUMIFS(Crochet!$AG$5:$AG$84,Crochet!$A$5:$A$84,A271)+SUMIFS(Jewelry!$AI$5:$AI$84,Jewelry!$A$5:$A$84,A271)+SUMIFS(Candles!$AI$5:$AI$84,Candles!$A$5:$A$84,A271)+SUMIFS(Clothing!$AE$5:$AE$84,Clothing!$A$5:$A$84,A271)+SUMIFS(Woodworking!$AF$5:$AF$84,Woodworking!$A$5:$A$84,A271)+SUMIFS(Digital!$Z$5:$Z$84,Digital!$A$5:$A$84,A271),2))</f>
        <v>0</v>
      </c>
      <c r="V271" s="36">
        <f>IF(B271="","",ROUND(SUMIFS(Labor!$P$5:$P$304,Labor!$A$5:$A$304,A271)+SUMIFS(Crochet!$AE$5:$AE$84,Crochet!$A$5:$A$84,A271)+SUMIFS(Jewelry!$AG$5:$AG$84,Jewelry!$A$5:$A$84,A271)+SUMIFS(Candles!$AG$5:$AG$84,Candles!$A$5:$A$84,A271)+SUMIFS(Clothing!$AC$5:$AC$84,Clothing!$A$5:$A$84,A271)+SUMIFS(Woodworking!$AD$5:$AD$84,Woodworking!$A$5:$A$84,A271)+SUMIFS(Digital!$Y$5:$Y$84,Digital!$A$5:$A$84,A271),1))</f>
        <v>0</v>
      </c>
      <c r="W271" s="41">
        <f>IF(B271="","",IFERROR(INDEX(DiffTimeFactors,MATCH(G271,DiffNames,0)),1))</f>
        <v>0</v>
      </c>
      <c r="X271" s="36">
        <f>IF(B271="","",ROUND(V271*W271,1))</f>
        <v>0</v>
      </c>
      <c r="Y271" s="41">
        <f>IF(B271="","",ROUND(X271/60,3))</f>
        <v>0</v>
      </c>
      <c r="Z271" s="20">
        <f>IF(B271="","",ROUND(U271*W271,2))</f>
        <v>0</v>
      </c>
      <c r="AA271" s="20">
        <f>IF(B271="","",ROUND(SUMIFS(Labor!$Q$5:$Q$304,Labor!$A$5:$A$304,A271)+SUMIFS(Crochet!$AH$5:$AH$84,Crochet!$A$5:$A$84,A271)+SUMIFS(Jewelry!$AJ$5:$AJ$84,Jewelry!$A$5:$A$84,A271)+SUMIFS(Candles!$AJ$5:$AJ$84,Candles!$A$5:$A$84,A271)+SUMIFS(Clothing!$AF$5:$AF$84,Clothing!$A$5:$A$84,A271)+SUMIFS(Woodworking!$AH$5:$AH$84,Woodworking!$A$5:$A$84,A271)+SUMIFS(Digital!$AA$5:$AA$84,Digital!$A$5:$A$84,A271),2))</f>
        <v>0</v>
      </c>
      <c r="AB271" s="20">
        <f>IF(B271="","",ROUND(IF(I271="Budget",PackBudget,IF(I271="Standard",PackStandard,IF(I271="Gift",PackGift,IF(I271="Premium",PackPremium,DefaultPackaging)))),2))</f>
        <v>0</v>
      </c>
      <c r="AC271" s="36">
        <f>IF(B271="","",IF(I271="Budget",PackWeightBudget,IF(I271="Standard",PackWeightStandard,IF(I271="Gift",PackWeightGift,IF(I271="Premium",PackWeightPremium,0)))))</f>
        <v>0</v>
      </c>
      <c r="AD271" s="20">
        <f>IF(B271="","",IFERROR(INDEX(Shipping!$M$5:$M$64,MATCH(J271,Shipping!$L$5:$L$64,0)),DefaultShipping))</f>
        <v>0</v>
      </c>
      <c r="AE271" s="20">
        <f>IF(B271="","",IFERROR(INDEX(Shipping!$F$5:$F$64,MATCH(J271,Shipping!$L$5:$L$64,0)),0))</f>
        <v>0</v>
      </c>
      <c r="AF271" s="36">
        <f>IF(B271="","",IFERROR(INDEX(Shipping!$C$5:$C$64,MATCH(J271,Shipping!$L$5:$L$64,0)),""))</f>
        <v>0</v>
      </c>
      <c r="AG271" s="20">
        <f>IF(B271="","",ROUND(MAX(0,AD271-AE271),2))</f>
        <v>0</v>
      </c>
      <c r="AH271" s="20">
        <f>IF(B271="","",ROUND(T271+Z271+AA271+AB271+AG271,2))</f>
        <v>0</v>
      </c>
      <c r="AI271" s="33">
        <f>IF(B271="","",IFERROR(INDEX(Channels!$S$5:$S$18,MATCH(IF(H271="",DefaultChannel,H271),Channels!$A$5:$A$18,0)),0))</f>
        <v>0</v>
      </c>
      <c r="AJ271" s="42">
        <f>IF(B271="","",IFERROR(INDEX(Channels!$O$5:$O$18,MATCH(IF(H271="",DefaultChannel,H271),Channels!$A$5:$A$18,0)),"No"))</f>
        <v>0</v>
      </c>
      <c r="AK271" s="20">
        <f>IF(B271="","",ROUND(IFERROR(INDEX(Channels!$T$5:$T$18,MATCH(IF(H271="",DefaultChannel,H271),Channels!$A$5:$A$18,0)),0)+IF(AJ271="Yes",AE271*AI271,0),4))</f>
        <v>0</v>
      </c>
      <c r="AL271" s="33">
        <f>IF(B271="","",IF(OverheadMethod="Share of revenue",IF(RevenueTargetMonth&lt;=0,0,OverheadMonthly/RevenueTargetMonth),0))</f>
        <v>0</v>
      </c>
      <c r="AM271" s="20">
        <f>IF(B271="","",IF(OverheadMethod="Per hour worked",ROUND(OverheadPerHour*Y271,2),IF(OR(OverheadMethod="Per unit made",OverheadMethod="Per order"),OverheadPerUnit,0)))</f>
        <v>0</v>
      </c>
      <c r="AN271" s="33">
        <f>IF(B271="","",IF(N271&lt;&gt;"",N271,TargetRetailMargin))</f>
        <v>0</v>
      </c>
      <c r="AO271" s="41">
        <f>IF(B271="","",1-AN271-AI271-AL271)</f>
        <v>0</v>
      </c>
      <c r="AP271" s="20">
        <f>IF(B271="","",IF(AO271&lt;=0,"",(AH271+AM271+AK271)/AO271))</f>
        <v>0</v>
      </c>
      <c r="AQ271" s="20">
        <f>IF(B271="","",IF(AP271="","Check the settings",ROUND(IF(RoundingRule="None",AP271,IF(RoundingRule="Nearest 0.99",MAX(0.99,CEILING(AP271,1)-0.01),IF(RoundingRule="Nearest 0.95",MAX(0.95,CEILING(AP271,1)-0.05),IF(RoundingRule="Nearest 0.50",CEILING(AP271,0.5),IF(RoundingRule="Nearest 1",CEILING(AP271,1),IF(RoundingRule="Nearest 5",CEILING(AP271,5),IF(RoundingRule="Up to whole 1",CEILING(AP271,1),IF(RoundingRule="Up to whole 5",CEILING(AP271,5),ROUND(AP271,2))))))))),2)))</f>
        <v>0</v>
      </c>
      <c r="AR271" s="20">
        <f>IF(B271="","",IF(M271&lt;&gt;"",M271,IF(ISNUMBER(AQ271),AQ271,"")))</f>
        <v>0</v>
      </c>
      <c r="AS271" s="20">
        <f>IF(B271="","",IF(AR271="","",ROUND(AM271+AR271*AL271,2)))</f>
        <v>0</v>
      </c>
      <c r="AT271" s="20">
        <f>IF(B271="","",IF(AR271="","",ROUND(AH271+AS271,2)))</f>
        <v>0</v>
      </c>
      <c r="AU271" s="20">
        <f>IF(B271="","",IF(AR271="","",ROUND(AR271*AI271+AK271,2)))</f>
        <v>0</v>
      </c>
      <c r="AV271" s="20">
        <f>IF(B271="","",IF(AR271="","",ROUND(AR271-AT271-AU271,2)))</f>
        <v>0</v>
      </c>
      <c r="AW271" s="33">
        <f>IF(B271="","",IF(OR(AR271="",AR271=0),"",AV271/AR271))</f>
        <v>0</v>
      </c>
      <c r="AX271" s="33">
        <f>IF(B271="","",IF(OR(AT271="",AT271=0),"",AV271/AT271))</f>
        <v>0</v>
      </c>
      <c r="AY271" s="20">
        <f>IF(B271="","",IF(OR(Y271="",Y271=0,AV271=""),"",ROUND(AV271/Y271,2)))</f>
        <v>0</v>
      </c>
      <c r="AZ271" s="20">
        <f>IF(B271="","",IF(OR(Y271="",Y271=0,AV271=""),"",ROUND((AV271+Z271)/Y271,2)))</f>
        <v>0</v>
      </c>
      <c r="BA271" s="20">
        <f>IF(B271="","",IF(1-AI271-AL271&lt;=0,"",ROUND((AH271+AM271+AK271)/(1-AI271-AL271),2)))</f>
        <v>0</v>
      </c>
      <c r="BB271" s="20">
        <f>IF(B271="","",IF(AT271="","",ROUND(AT271*2,2)))</f>
        <v>0</v>
      </c>
      <c r="BC271" s="20">
        <f>IF(B271="","",IF(AR271="","",ROUND(AR271*(1-WholesaleDiscount),2)))</f>
        <v>0</v>
      </c>
      <c r="BD271" s="20">
        <f>IF(B271="","",IF(BC271="","",ROUND(BC271-AH271-AM271,2)))</f>
        <v>0</v>
      </c>
      <c r="BE271" s="33">
        <f>IF(B271="","",IF(OR(BC271="",BC271=0),"",BD271/BC271))</f>
        <v>0</v>
      </c>
      <c r="BF271" s="20">
        <f>IF(B271="","",IFERROR(ROUND(AVERAGEIFS(Competitors!$F$5:$F$154,Competitors!$A$5:$A$154,A271),2),""))</f>
        <v>0</v>
      </c>
      <c r="BG271" s="33">
        <f>IF(B271="","",IF(OR(BF271="",BF271=0,AR271=""),"",AR271/BF271-1))</f>
        <v>0</v>
      </c>
      <c r="BH271" s="32">
        <f>IF(B271="","",SUMIFS(Sales!$D$5:$D$804,Sales!$C$5:$C$804,A271))</f>
        <v>0</v>
      </c>
      <c r="BI271" s="20">
        <f>IF(B271="","",ROUND(SUMIFS(Sales!$V$5:$V$804,Sales!$C$5:$C$804,A271),2))</f>
        <v>0</v>
      </c>
      <c r="BJ271" s="20">
        <f>IF(B271="","",ROUND(SUMIFS(Sales!$AG$5:$AG$804,Sales!$C$5:$C$804,A271),2))</f>
        <v>0</v>
      </c>
      <c r="BK271" s="33">
        <f>IF(B271="","",IF(OR(BI271="",BI271=0),"",BJ271/BI271))</f>
        <v>0</v>
      </c>
      <c r="BL271" s="17">
        <f>IF(B271="","",IF(SUMPRODUCT(MAX((Sales!$C$5:$C$804=A271)*Sales!$B$5:$B$804))=0,"",SUMPRODUCT(MAX((Sales!$C$5:$C$804=A271)*Sales!$B$5:$B$804))))</f>
        <v>0</v>
      </c>
      <c r="BM271" s="17">
        <f>IF(B271="","",IF(SUMPRODUCT(MAX(('Price History'!$B$5:$B$304=A271)*'Price History'!$A$5:$A$304))=0,IF(P271="","",P271),SUMPRODUCT(MAX(('Price History'!$B$5:$B$304=A271)*'Price History'!$A$5:$A$304))))</f>
        <v>0</v>
      </c>
      <c r="BN271" s="32">
        <f>IF(B271="","",IF(BM271="","",TodayDate-BM271))</f>
        <v>0</v>
      </c>
      <c r="BO271" s="32">
        <f>IF(B271="","",COUNTIFS($AV$5:$AV$304,"&gt;"&amp;AV271)+COUNTIFS($AV$5:AV271,AV271))</f>
        <v>0</v>
      </c>
      <c r="BP271" s="32">
        <f>IF(B271="","",COUNTIFS($AW$5:$AW$304,"&gt;"&amp;AW271)+COUNTIFS($AW$5:AW271,AW271))</f>
        <v>0</v>
      </c>
      <c r="BQ271" s="32">
        <f>IF(B271="","",COUNTIFS($BI$5:$BI$304,"&gt;"&amp;BI271)+COUNTIFS($BI$5:BI271,BI271))</f>
        <v>0</v>
      </c>
      <c r="BR271" s="32">
        <f>IF(B271="","",COUNTIFS($AY$5:$AY$304,"&gt;"&amp;AY271)+COUNTIFS($AY$5:AY271,AY271))</f>
        <v>0</v>
      </c>
      <c r="BS271" s="43">
        <f>IF(B271="","",IF(AH271=0,"Add - no costs entered yet",IF(AR271="","Check - no price yet",IF(AV271&lt;0,"Loss - every sale costs you money",IF(AND(AZ271&lt;&gt;"",AZ271&lt;MinimumWage),"Below - pays under minimum wage",IF(AW271&lt;MarginWarning,"Low margin - re-price it",IF(AND(AF271&lt;&gt;"",K271&lt;&gt;"",K271+AC271&gt;AF271),"Check - too heavy for that postage band",IF(AND(BN271&lt;&gt;"",BN271&gt;PriceReviewDays),"Due - price has not been reviewed",IF(AND(BG271&lt;&gt;"",BG271&gt;0.5),"Check - well above the market","OK")))))))) )</f>
        <v>0</v>
      </c>
    </row>
    <row r="272" spans="1:71">
      <c r="A272" s="38">
        <f>IF(B272="","",ProductPrefix&amp;TEXT(ROW()-4,"0000"))</f>
        <v>0</v>
      </c>
      <c r="S272" s="38">
        <f>IF(B272="","",IF(C272&lt;&gt;"",C272,UPPER(LEFT(IF(D272="","GEN",D272),3))&amp;"-"&amp;TEXT(ROW()-4,"000")))</f>
        <v>0</v>
      </c>
      <c r="T272" s="20">
        <f>IF(B272="","",ROUND(SUMIFS('Material Usage'!$M$5:$M$904,'Material Usage'!$A$5:$A$904,A272)+SUMIFS(Crochet!$AD$5:$AD$84,Crochet!$A$5:$A$84,A272)+SUMIFS(Jewelry!$AF$5:$AF$84,Jewelry!$A$5:$A$84,A272)+SUMIFS(Candles!$AF$5:$AF$84,Candles!$A$5:$A$84,A272)+SUMIFS(Clothing!$AB$5:$AB$84,Clothing!$A$5:$A$84,A272)+SUMIFS(Woodworking!$AC$5:$AC$84,Woodworking!$A$5:$A$84,A272)+SUMIFS(Digital!$X$5:$X$84,Digital!$A$5:$A$84,A272),2))</f>
        <v>0</v>
      </c>
      <c r="U272" s="20">
        <f>IF(B272="","",ROUND(SUMIFS(Labor!$O$5:$O$304,Labor!$A$5:$A$304,A272)+SUMIFS(Crochet!$AG$5:$AG$84,Crochet!$A$5:$A$84,A272)+SUMIFS(Jewelry!$AI$5:$AI$84,Jewelry!$A$5:$A$84,A272)+SUMIFS(Candles!$AI$5:$AI$84,Candles!$A$5:$A$84,A272)+SUMIFS(Clothing!$AE$5:$AE$84,Clothing!$A$5:$A$84,A272)+SUMIFS(Woodworking!$AF$5:$AF$84,Woodworking!$A$5:$A$84,A272)+SUMIFS(Digital!$Z$5:$Z$84,Digital!$A$5:$A$84,A272),2))</f>
        <v>0</v>
      </c>
      <c r="V272" s="36">
        <f>IF(B272="","",ROUND(SUMIFS(Labor!$P$5:$P$304,Labor!$A$5:$A$304,A272)+SUMIFS(Crochet!$AE$5:$AE$84,Crochet!$A$5:$A$84,A272)+SUMIFS(Jewelry!$AG$5:$AG$84,Jewelry!$A$5:$A$84,A272)+SUMIFS(Candles!$AG$5:$AG$84,Candles!$A$5:$A$84,A272)+SUMIFS(Clothing!$AC$5:$AC$84,Clothing!$A$5:$A$84,A272)+SUMIFS(Woodworking!$AD$5:$AD$84,Woodworking!$A$5:$A$84,A272)+SUMIFS(Digital!$Y$5:$Y$84,Digital!$A$5:$A$84,A272),1))</f>
        <v>0</v>
      </c>
      <c r="W272" s="41">
        <f>IF(B272="","",IFERROR(INDEX(DiffTimeFactors,MATCH(G272,DiffNames,0)),1))</f>
        <v>0</v>
      </c>
      <c r="X272" s="36">
        <f>IF(B272="","",ROUND(V272*W272,1))</f>
        <v>0</v>
      </c>
      <c r="Y272" s="41">
        <f>IF(B272="","",ROUND(X272/60,3))</f>
        <v>0</v>
      </c>
      <c r="Z272" s="20">
        <f>IF(B272="","",ROUND(U272*W272,2))</f>
        <v>0</v>
      </c>
      <c r="AA272" s="20">
        <f>IF(B272="","",ROUND(SUMIFS(Labor!$Q$5:$Q$304,Labor!$A$5:$A$304,A272)+SUMIFS(Crochet!$AH$5:$AH$84,Crochet!$A$5:$A$84,A272)+SUMIFS(Jewelry!$AJ$5:$AJ$84,Jewelry!$A$5:$A$84,A272)+SUMIFS(Candles!$AJ$5:$AJ$84,Candles!$A$5:$A$84,A272)+SUMIFS(Clothing!$AF$5:$AF$84,Clothing!$A$5:$A$84,A272)+SUMIFS(Woodworking!$AH$5:$AH$84,Woodworking!$A$5:$A$84,A272)+SUMIFS(Digital!$AA$5:$AA$84,Digital!$A$5:$A$84,A272),2))</f>
        <v>0</v>
      </c>
      <c r="AB272" s="20">
        <f>IF(B272="","",ROUND(IF(I272="Budget",PackBudget,IF(I272="Standard",PackStandard,IF(I272="Gift",PackGift,IF(I272="Premium",PackPremium,DefaultPackaging)))),2))</f>
        <v>0</v>
      </c>
      <c r="AC272" s="36">
        <f>IF(B272="","",IF(I272="Budget",PackWeightBudget,IF(I272="Standard",PackWeightStandard,IF(I272="Gift",PackWeightGift,IF(I272="Premium",PackWeightPremium,0)))))</f>
        <v>0</v>
      </c>
      <c r="AD272" s="20">
        <f>IF(B272="","",IFERROR(INDEX(Shipping!$M$5:$M$64,MATCH(J272,Shipping!$L$5:$L$64,0)),DefaultShipping))</f>
        <v>0</v>
      </c>
      <c r="AE272" s="20">
        <f>IF(B272="","",IFERROR(INDEX(Shipping!$F$5:$F$64,MATCH(J272,Shipping!$L$5:$L$64,0)),0))</f>
        <v>0</v>
      </c>
      <c r="AF272" s="36">
        <f>IF(B272="","",IFERROR(INDEX(Shipping!$C$5:$C$64,MATCH(J272,Shipping!$L$5:$L$64,0)),""))</f>
        <v>0</v>
      </c>
      <c r="AG272" s="20">
        <f>IF(B272="","",ROUND(MAX(0,AD272-AE272),2))</f>
        <v>0</v>
      </c>
      <c r="AH272" s="20">
        <f>IF(B272="","",ROUND(T272+Z272+AA272+AB272+AG272,2))</f>
        <v>0</v>
      </c>
      <c r="AI272" s="33">
        <f>IF(B272="","",IFERROR(INDEX(Channels!$S$5:$S$18,MATCH(IF(H272="",DefaultChannel,H272),Channels!$A$5:$A$18,0)),0))</f>
        <v>0</v>
      </c>
      <c r="AJ272" s="42">
        <f>IF(B272="","",IFERROR(INDEX(Channels!$O$5:$O$18,MATCH(IF(H272="",DefaultChannel,H272),Channels!$A$5:$A$18,0)),"No"))</f>
        <v>0</v>
      </c>
      <c r="AK272" s="20">
        <f>IF(B272="","",ROUND(IFERROR(INDEX(Channels!$T$5:$T$18,MATCH(IF(H272="",DefaultChannel,H272),Channels!$A$5:$A$18,0)),0)+IF(AJ272="Yes",AE272*AI272,0),4))</f>
        <v>0</v>
      </c>
      <c r="AL272" s="33">
        <f>IF(B272="","",IF(OverheadMethod="Share of revenue",IF(RevenueTargetMonth&lt;=0,0,OverheadMonthly/RevenueTargetMonth),0))</f>
        <v>0</v>
      </c>
      <c r="AM272" s="20">
        <f>IF(B272="","",IF(OverheadMethod="Per hour worked",ROUND(OverheadPerHour*Y272,2),IF(OR(OverheadMethod="Per unit made",OverheadMethod="Per order"),OverheadPerUnit,0)))</f>
        <v>0</v>
      </c>
      <c r="AN272" s="33">
        <f>IF(B272="","",IF(N272&lt;&gt;"",N272,TargetRetailMargin))</f>
        <v>0</v>
      </c>
      <c r="AO272" s="41">
        <f>IF(B272="","",1-AN272-AI272-AL272)</f>
        <v>0</v>
      </c>
      <c r="AP272" s="20">
        <f>IF(B272="","",IF(AO272&lt;=0,"",(AH272+AM272+AK272)/AO272))</f>
        <v>0</v>
      </c>
      <c r="AQ272" s="20">
        <f>IF(B272="","",IF(AP272="","Check the settings",ROUND(IF(RoundingRule="None",AP272,IF(RoundingRule="Nearest 0.99",MAX(0.99,CEILING(AP272,1)-0.01),IF(RoundingRule="Nearest 0.95",MAX(0.95,CEILING(AP272,1)-0.05),IF(RoundingRule="Nearest 0.50",CEILING(AP272,0.5),IF(RoundingRule="Nearest 1",CEILING(AP272,1),IF(RoundingRule="Nearest 5",CEILING(AP272,5),IF(RoundingRule="Up to whole 1",CEILING(AP272,1),IF(RoundingRule="Up to whole 5",CEILING(AP272,5),ROUND(AP272,2))))))))),2)))</f>
        <v>0</v>
      </c>
      <c r="AR272" s="20">
        <f>IF(B272="","",IF(M272&lt;&gt;"",M272,IF(ISNUMBER(AQ272),AQ272,"")))</f>
        <v>0</v>
      </c>
      <c r="AS272" s="20">
        <f>IF(B272="","",IF(AR272="","",ROUND(AM272+AR272*AL272,2)))</f>
        <v>0</v>
      </c>
      <c r="AT272" s="20">
        <f>IF(B272="","",IF(AR272="","",ROUND(AH272+AS272,2)))</f>
        <v>0</v>
      </c>
      <c r="AU272" s="20">
        <f>IF(B272="","",IF(AR272="","",ROUND(AR272*AI272+AK272,2)))</f>
        <v>0</v>
      </c>
      <c r="AV272" s="20">
        <f>IF(B272="","",IF(AR272="","",ROUND(AR272-AT272-AU272,2)))</f>
        <v>0</v>
      </c>
      <c r="AW272" s="33">
        <f>IF(B272="","",IF(OR(AR272="",AR272=0),"",AV272/AR272))</f>
        <v>0</v>
      </c>
      <c r="AX272" s="33">
        <f>IF(B272="","",IF(OR(AT272="",AT272=0),"",AV272/AT272))</f>
        <v>0</v>
      </c>
      <c r="AY272" s="20">
        <f>IF(B272="","",IF(OR(Y272="",Y272=0,AV272=""),"",ROUND(AV272/Y272,2)))</f>
        <v>0</v>
      </c>
      <c r="AZ272" s="20">
        <f>IF(B272="","",IF(OR(Y272="",Y272=0,AV272=""),"",ROUND((AV272+Z272)/Y272,2)))</f>
        <v>0</v>
      </c>
      <c r="BA272" s="20">
        <f>IF(B272="","",IF(1-AI272-AL272&lt;=0,"",ROUND((AH272+AM272+AK272)/(1-AI272-AL272),2)))</f>
        <v>0</v>
      </c>
      <c r="BB272" s="20">
        <f>IF(B272="","",IF(AT272="","",ROUND(AT272*2,2)))</f>
        <v>0</v>
      </c>
      <c r="BC272" s="20">
        <f>IF(B272="","",IF(AR272="","",ROUND(AR272*(1-WholesaleDiscount),2)))</f>
        <v>0</v>
      </c>
      <c r="BD272" s="20">
        <f>IF(B272="","",IF(BC272="","",ROUND(BC272-AH272-AM272,2)))</f>
        <v>0</v>
      </c>
      <c r="BE272" s="33">
        <f>IF(B272="","",IF(OR(BC272="",BC272=0),"",BD272/BC272))</f>
        <v>0</v>
      </c>
      <c r="BF272" s="20">
        <f>IF(B272="","",IFERROR(ROUND(AVERAGEIFS(Competitors!$F$5:$F$154,Competitors!$A$5:$A$154,A272),2),""))</f>
        <v>0</v>
      </c>
      <c r="BG272" s="33">
        <f>IF(B272="","",IF(OR(BF272="",BF272=0,AR272=""),"",AR272/BF272-1))</f>
        <v>0</v>
      </c>
      <c r="BH272" s="32">
        <f>IF(B272="","",SUMIFS(Sales!$D$5:$D$804,Sales!$C$5:$C$804,A272))</f>
        <v>0</v>
      </c>
      <c r="BI272" s="20">
        <f>IF(B272="","",ROUND(SUMIFS(Sales!$V$5:$V$804,Sales!$C$5:$C$804,A272),2))</f>
        <v>0</v>
      </c>
      <c r="BJ272" s="20">
        <f>IF(B272="","",ROUND(SUMIFS(Sales!$AG$5:$AG$804,Sales!$C$5:$C$804,A272),2))</f>
        <v>0</v>
      </c>
      <c r="BK272" s="33">
        <f>IF(B272="","",IF(OR(BI272="",BI272=0),"",BJ272/BI272))</f>
        <v>0</v>
      </c>
      <c r="BL272" s="17">
        <f>IF(B272="","",IF(SUMPRODUCT(MAX((Sales!$C$5:$C$804=A272)*Sales!$B$5:$B$804))=0,"",SUMPRODUCT(MAX((Sales!$C$5:$C$804=A272)*Sales!$B$5:$B$804))))</f>
        <v>0</v>
      </c>
      <c r="BM272" s="17">
        <f>IF(B272="","",IF(SUMPRODUCT(MAX(('Price History'!$B$5:$B$304=A272)*'Price History'!$A$5:$A$304))=0,IF(P272="","",P272),SUMPRODUCT(MAX(('Price History'!$B$5:$B$304=A272)*'Price History'!$A$5:$A$304))))</f>
        <v>0</v>
      </c>
      <c r="BN272" s="32">
        <f>IF(B272="","",IF(BM272="","",TodayDate-BM272))</f>
        <v>0</v>
      </c>
      <c r="BO272" s="32">
        <f>IF(B272="","",COUNTIFS($AV$5:$AV$304,"&gt;"&amp;AV272)+COUNTIFS($AV$5:AV272,AV272))</f>
        <v>0</v>
      </c>
      <c r="BP272" s="32">
        <f>IF(B272="","",COUNTIFS($AW$5:$AW$304,"&gt;"&amp;AW272)+COUNTIFS($AW$5:AW272,AW272))</f>
        <v>0</v>
      </c>
      <c r="BQ272" s="32">
        <f>IF(B272="","",COUNTIFS($BI$5:$BI$304,"&gt;"&amp;BI272)+COUNTIFS($BI$5:BI272,BI272))</f>
        <v>0</v>
      </c>
      <c r="BR272" s="32">
        <f>IF(B272="","",COUNTIFS($AY$5:$AY$304,"&gt;"&amp;AY272)+COUNTIFS($AY$5:AY272,AY272))</f>
        <v>0</v>
      </c>
      <c r="BS272" s="43">
        <f>IF(B272="","",IF(AH272=0,"Add - no costs entered yet",IF(AR272="","Check - no price yet",IF(AV272&lt;0,"Loss - every sale costs you money",IF(AND(AZ272&lt;&gt;"",AZ272&lt;MinimumWage),"Below - pays under minimum wage",IF(AW272&lt;MarginWarning,"Low margin - re-price it",IF(AND(AF272&lt;&gt;"",K272&lt;&gt;"",K272+AC272&gt;AF272),"Check - too heavy for that postage band",IF(AND(BN272&lt;&gt;"",BN272&gt;PriceReviewDays),"Due - price has not been reviewed",IF(AND(BG272&lt;&gt;"",BG272&gt;0.5),"Check - well above the market","OK")))))))) )</f>
        <v>0</v>
      </c>
    </row>
    <row r="273" spans="1:71">
      <c r="A273" s="38">
        <f>IF(B273="","",ProductPrefix&amp;TEXT(ROW()-4,"0000"))</f>
        <v>0</v>
      </c>
      <c r="S273" s="38">
        <f>IF(B273="","",IF(C273&lt;&gt;"",C273,UPPER(LEFT(IF(D273="","GEN",D273),3))&amp;"-"&amp;TEXT(ROW()-4,"000")))</f>
        <v>0</v>
      </c>
      <c r="T273" s="20">
        <f>IF(B273="","",ROUND(SUMIFS('Material Usage'!$M$5:$M$904,'Material Usage'!$A$5:$A$904,A273)+SUMIFS(Crochet!$AD$5:$AD$84,Crochet!$A$5:$A$84,A273)+SUMIFS(Jewelry!$AF$5:$AF$84,Jewelry!$A$5:$A$84,A273)+SUMIFS(Candles!$AF$5:$AF$84,Candles!$A$5:$A$84,A273)+SUMIFS(Clothing!$AB$5:$AB$84,Clothing!$A$5:$A$84,A273)+SUMIFS(Woodworking!$AC$5:$AC$84,Woodworking!$A$5:$A$84,A273)+SUMIFS(Digital!$X$5:$X$84,Digital!$A$5:$A$84,A273),2))</f>
        <v>0</v>
      </c>
      <c r="U273" s="20">
        <f>IF(B273="","",ROUND(SUMIFS(Labor!$O$5:$O$304,Labor!$A$5:$A$304,A273)+SUMIFS(Crochet!$AG$5:$AG$84,Crochet!$A$5:$A$84,A273)+SUMIFS(Jewelry!$AI$5:$AI$84,Jewelry!$A$5:$A$84,A273)+SUMIFS(Candles!$AI$5:$AI$84,Candles!$A$5:$A$84,A273)+SUMIFS(Clothing!$AE$5:$AE$84,Clothing!$A$5:$A$84,A273)+SUMIFS(Woodworking!$AF$5:$AF$84,Woodworking!$A$5:$A$84,A273)+SUMIFS(Digital!$Z$5:$Z$84,Digital!$A$5:$A$84,A273),2))</f>
        <v>0</v>
      </c>
      <c r="V273" s="36">
        <f>IF(B273="","",ROUND(SUMIFS(Labor!$P$5:$P$304,Labor!$A$5:$A$304,A273)+SUMIFS(Crochet!$AE$5:$AE$84,Crochet!$A$5:$A$84,A273)+SUMIFS(Jewelry!$AG$5:$AG$84,Jewelry!$A$5:$A$84,A273)+SUMIFS(Candles!$AG$5:$AG$84,Candles!$A$5:$A$84,A273)+SUMIFS(Clothing!$AC$5:$AC$84,Clothing!$A$5:$A$84,A273)+SUMIFS(Woodworking!$AD$5:$AD$84,Woodworking!$A$5:$A$84,A273)+SUMIFS(Digital!$Y$5:$Y$84,Digital!$A$5:$A$84,A273),1))</f>
        <v>0</v>
      </c>
      <c r="W273" s="41">
        <f>IF(B273="","",IFERROR(INDEX(DiffTimeFactors,MATCH(G273,DiffNames,0)),1))</f>
        <v>0</v>
      </c>
      <c r="X273" s="36">
        <f>IF(B273="","",ROUND(V273*W273,1))</f>
        <v>0</v>
      </c>
      <c r="Y273" s="41">
        <f>IF(B273="","",ROUND(X273/60,3))</f>
        <v>0</v>
      </c>
      <c r="Z273" s="20">
        <f>IF(B273="","",ROUND(U273*W273,2))</f>
        <v>0</v>
      </c>
      <c r="AA273" s="20">
        <f>IF(B273="","",ROUND(SUMIFS(Labor!$Q$5:$Q$304,Labor!$A$5:$A$304,A273)+SUMIFS(Crochet!$AH$5:$AH$84,Crochet!$A$5:$A$84,A273)+SUMIFS(Jewelry!$AJ$5:$AJ$84,Jewelry!$A$5:$A$84,A273)+SUMIFS(Candles!$AJ$5:$AJ$84,Candles!$A$5:$A$84,A273)+SUMIFS(Clothing!$AF$5:$AF$84,Clothing!$A$5:$A$84,A273)+SUMIFS(Woodworking!$AH$5:$AH$84,Woodworking!$A$5:$A$84,A273)+SUMIFS(Digital!$AA$5:$AA$84,Digital!$A$5:$A$84,A273),2))</f>
        <v>0</v>
      </c>
      <c r="AB273" s="20">
        <f>IF(B273="","",ROUND(IF(I273="Budget",PackBudget,IF(I273="Standard",PackStandard,IF(I273="Gift",PackGift,IF(I273="Premium",PackPremium,DefaultPackaging)))),2))</f>
        <v>0</v>
      </c>
      <c r="AC273" s="36">
        <f>IF(B273="","",IF(I273="Budget",PackWeightBudget,IF(I273="Standard",PackWeightStandard,IF(I273="Gift",PackWeightGift,IF(I273="Premium",PackWeightPremium,0)))))</f>
        <v>0</v>
      </c>
      <c r="AD273" s="20">
        <f>IF(B273="","",IFERROR(INDEX(Shipping!$M$5:$M$64,MATCH(J273,Shipping!$L$5:$L$64,0)),DefaultShipping))</f>
        <v>0</v>
      </c>
      <c r="AE273" s="20">
        <f>IF(B273="","",IFERROR(INDEX(Shipping!$F$5:$F$64,MATCH(J273,Shipping!$L$5:$L$64,0)),0))</f>
        <v>0</v>
      </c>
      <c r="AF273" s="36">
        <f>IF(B273="","",IFERROR(INDEX(Shipping!$C$5:$C$64,MATCH(J273,Shipping!$L$5:$L$64,0)),""))</f>
        <v>0</v>
      </c>
      <c r="AG273" s="20">
        <f>IF(B273="","",ROUND(MAX(0,AD273-AE273),2))</f>
        <v>0</v>
      </c>
      <c r="AH273" s="20">
        <f>IF(B273="","",ROUND(T273+Z273+AA273+AB273+AG273,2))</f>
        <v>0</v>
      </c>
      <c r="AI273" s="33">
        <f>IF(B273="","",IFERROR(INDEX(Channels!$S$5:$S$18,MATCH(IF(H273="",DefaultChannel,H273),Channels!$A$5:$A$18,0)),0))</f>
        <v>0</v>
      </c>
      <c r="AJ273" s="42">
        <f>IF(B273="","",IFERROR(INDEX(Channels!$O$5:$O$18,MATCH(IF(H273="",DefaultChannel,H273),Channels!$A$5:$A$18,0)),"No"))</f>
        <v>0</v>
      </c>
      <c r="AK273" s="20">
        <f>IF(B273="","",ROUND(IFERROR(INDEX(Channels!$T$5:$T$18,MATCH(IF(H273="",DefaultChannel,H273),Channels!$A$5:$A$18,0)),0)+IF(AJ273="Yes",AE273*AI273,0),4))</f>
        <v>0</v>
      </c>
      <c r="AL273" s="33">
        <f>IF(B273="","",IF(OverheadMethod="Share of revenue",IF(RevenueTargetMonth&lt;=0,0,OverheadMonthly/RevenueTargetMonth),0))</f>
        <v>0</v>
      </c>
      <c r="AM273" s="20">
        <f>IF(B273="","",IF(OverheadMethod="Per hour worked",ROUND(OverheadPerHour*Y273,2),IF(OR(OverheadMethod="Per unit made",OverheadMethod="Per order"),OverheadPerUnit,0)))</f>
        <v>0</v>
      </c>
      <c r="AN273" s="33">
        <f>IF(B273="","",IF(N273&lt;&gt;"",N273,TargetRetailMargin))</f>
        <v>0</v>
      </c>
      <c r="AO273" s="41">
        <f>IF(B273="","",1-AN273-AI273-AL273)</f>
        <v>0</v>
      </c>
      <c r="AP273" s="20">
        <f>IF(B273="","",IF(AO273&lt;=0,"",(AH273+AM273+AK273)/AO273))</f>
        <v>0</v>
      </c>
      <c r="AQ273" s="20">
        <f>IF(B273="","",IF(AP273="","Check the settings",ROUND(IF(RoundingRule="None",AP273,IF(RoundingRule="Nearest 0.99",MAX(0.99,CEILING(AP273,1)-0.01),IF(RoundingRule="Nearest 0.95",MAX(0.95,CEILING(AP273,1)-0.05),IF(RoundingRule="Nearest 0.50",CEILING(AP273,0.5),IF(RoundingRule="Nearest 1",CEILING(AP273,1),IF(RoundingRule="Nearest 5",CEILING(AP273,5),IF(RoundingRule="Up to whole 1",CEILING(AP273,1),IF(RoundingRule="Up to whole 5",CEILING(AP273,5),ROUND(AP273,2))))))))),2)))</f>
        <v>0</v>
      </c>
      <c r="AR273" s="20">
        <f>IF(B273="","",IF(M273&lt;&gt;"",M273,IF(ISNUMBER(AQ273),AQ273,"")))</f>
        <v>0</v>
      </c>
      <c r="AS273" s="20">
        <f>IF(B273="","",IF(AR273="","",ROUND(AM273+AR273*AL273,2)))</f>
        <v>0</v>
      </c>
      <c r="AT273" s="20">
        <f>IF(B273="","",IF(AR273="","",ROUND(AH273+AS273,2)))</f>
        <v>0</v>
      </c>
      <c r="AU273" s="20">
        <f>IF(B273="","",IF(AR273="","",ROUND(AR273*AI273+AK273,2)))</f>
        <v>0</v>
      </c>
      <c r="AV273" s="20">
        <f>IF(B273="","",IF(AR273="","",ROUND(AR273-AT273-AU273,2)))</f>
        <v>0</v>
      </c>
      <c r="AW273" s="33">
        <f>IF(B273="","",IF(OR(AR273="",AR273=0),"",AV273/AR273))</f>
        <v>0</v>
      </c>
      <c r="AX273" s="33">
        <f>IF(B273="","",IF(OR(AT273="",AT273=0),"",AV273/AT273))</f>
        <v>0</v>
      </c>
      <c r="AY273" s="20">
        <f>IF(B273="","",IF(OR(Y273="",Y273=0,AV273=""),"",ROUND(AV273/Y273,2)))</f>
        <v>0</v>
      </c>
      <c r="AZ273" s="20">
        <f>IF(B273="","",IF(OR(Y273="",Y273=0,AV273=""),"",ROUND((AV273+Z273)/Y273,2)))</f>
        <v>0</v>
      </c>
      <c r="BA273" s="20">
        <f>IF(B273="","",IF(1-AI273-AL273&lt;=0,"",ROUND((AH273+AM273+AK273)/(1-AI273-AL273),2)))</f>
        <v>0</v>
      </c>
      <c r="BB273" s="20">
        <f>IF(B273="","",IF(AT273="","",ROUND(AT273*2,2)))</f>
        <v>0</v>
      </c>
      <c r="BC273" s="20">
        <f>IF(B273="","",IF(AR273="","",ROUND(AR273*(1-WholesaleDiscount),2)))</f>
        <v>0</v>
      </c>
      <c r="BD273" s="20">
        <f>IF(B273="","",IF(BC273="","",ROUND(BC273-AH273-AM273,2)))</f>
        <v>0</v>
      </c>
      <c r="BE273" s="33">
        <f>IF(B273="","",IF(OR(BC273="",BC273=0),"",BD273/BC273))</f>
        <v>0</v>
      </c>
      <c r="BF273" s="20">
        <f>IF(B273="","",IFERROR(ROUND(AVERAGEIFS(Competitors!$F$5:$F$154,Competitors!$A$5:$A$154,A273),2),""))</f>
        <v>0</v>
      </c>
      <c r="BG273" s="33">
        <f>IF(B273="","",IF(OR(BF273="",BF273=0,AR273=""),"",AR273/BF273-1))</f>
        <v>0</v>
      </c>
      <c r="BH273" s="32">
        <f>IF(B273="","",SUMIFS(Sales!$D$5:$D$804,Sales!$C$5:$C$804,A273))</f>
        <v>0</v>
      </c>
      <c r="BI273" s="20">
        <f>IF(B273="","",ROUND(SUMIFS(Sales!$V$5:$V$804,Sales!$C$5:$C$804,A273),2))</f>
        <v>0</v>
      </c>
      <c r="BJ273" s="20">
        <f>IF(B273="","",ROUND(SUMIFS(Sales!$AG$5:$AG$804,Sales!$C$5:$C$804,A273),2))</f>
        <v>0</v>
      </c>
      <c r="BK273" s="33">
        <f>IF(B273="","",IF(OR(BI273="",BI273=0),"",BJ273/BI273))</f>
        <v>0</v>
      </c>
      <c r="BL273" s="17">
        <f>IF(B273="","",IF(SUMPRODUCT(MAX((Sales!$C$5:$C$804=A273)*Sales!$B$5:$B$804))=0,"",SUMPRODUCT(MAX((Sales!$C$5:$C$804=A273)*Sales!$B$5:$B$804))))</f>
        <v>0</v>
      </c>
      <c r="BM273" s="17">
        <f>IF(B273="","",IF(SUMPRODUCT(MAX(('Price History'!$B$5:$B$304=A273)*'Price History'!$A$5:$A$304))=0,IF(P273="","",P273),SUMPRODUCT(MAX(('Price History'!$B$5:$B$304=A273)*'Price History'!$A$5:$A$304))))</f>
        <v>0</v>
      </c>
      <c r="BN273" s="32">
        <f>IF(B273="","",IF(BM273="","",TodayDate-BM273))</f>
        <v>0</v>
      </c>
      <c r="BO273" s="32">
        <f>IF(B273="","",COUNTIFS($AV$5:$AV$304,"&gt;"&amp;AV273)+COUNTIFS($AV$5:AV273,AV273))</f>
        <v>0</v>
      </c>
      <c r="BP273" s="32">
        <f>IF(B273="","",COUNTIFS($AW$5:$AW$304,"&gt;"&amp;AW273)+COUNTIFS($AW$5:AW273,AW273))</f>
        <v>0</v>
      </c>
      <c r="BQ273" s="32">
        <f>IF(B273="","",COUNTIFS($BI$5:$BI$304,"&gt;"&amp;BI273)+COUNTIFS($BI$5:BI273,BI273))</f>
        <v>0</v>
      </c>
      <c r="BR273" s="32">
        <f>IF(B273="","",COUNTIFS($AY$5:$AY$304,"&gt;"&amp;AY273)+COUNTIFS($AY$5:AY273,AY273))</f>
        <v>0</v>
      </c>
      <c r="BS273" s="43">
        <f>IF(B273="","",IF(AH273=0,"Add - no costs entered yet",IF(AR273="","Check - no price yet",IF(AV273&lt;0,"Loss - every sale costs you money",IF(AND(AZ273&lt;&gt;"",AZ273&lt;MinimumWage),"Below - pays under minimum wage",IF(AW273&lt;MarginWarning,"Low margin - re-price it",IF(AND(AF273&lt;&gt;"",K273&lt;&gt;"",K273+AC273&gt;AF273),"Check - too heavy for that postage band",IF(AND(BN273&lt;&gt;"",BN273&gt;PriceReviewDays),"Due - price has not been reviewed",IF(AND(BG273&lt;&gt;"",BG273&gt;0.5),"Check - well above the market","OK")))))))) )</f>
        <v>0</v>
      </c>
    </row>
    <row r="274" spans="1:71">
      <c r="A274" s="38">
        <f>IF(B274="","",ProductPrefix&amp;TEXT(ROW()-4,"0000"))</f>
        <v>0</v>
      </c>
      <c r="S274" s="38">
        <f>IF(B274="","",IF(C274&lt;&gt;"",C274,UPPER(LEFT(IF(D274="","GEN",D274),3))&amp;"-"&amp;TEXT(ROW()-4,"000")))</f>
        <v>0</v>
      </c>
      <c r="T274" s="20">
        <f>IF(B274="","",ROUND(SUMIFS('Material Usage'!$M$5:$M$904,'Material Usage'!$A$5:$A$904,A274)+SUMIFS(Crochet!$AD$5:$AD$84,Crochet!$A$5:$A$84,A274)+SUMIFS(Jewelry!$AF$5:$AF$84,Jewelry!$A$5:$A$84,A274)+SUMIFS(Candles!$AF$5:$AF$84,Candles!$A$5:$A$84,A274)+SUMIFS(Clothing!$AB$5:$AB$84,Clothing!$A$5:$A$84,A274)+SUMIFS(Woodworking!$AC$5:$AC$84,Woodworking!$A$5:$A$84,A274)+SUMIFS(Digital!$X$5:$X$84,Digital!$A$5:$A$84,A274),2))</f>
        <v>0</v>
      </c>
      <c r="U274" s="20">
        <f>IF(B274="","",ROUND(SUMIFS(Labor!$O$5:$O$304,Labor!$A$5:$A$304,A274)+SUMIFS(Crochet!$AG$5:$AG$84,Crochet!$A$5:$A$84,A274)+SUMIFS(Jewelry!$AI$5:$AI$84,Jewelry!$A$5:$A$84,A274)+SUMIFS(Candles!$AI$5:$AI$84,Candles!$A$5:$A$84,A274)+SUMIFS(Clothing!$AE$5:$AE$84,Clothing!$A$5:$A$84,A274)+SUMIFS(Woodworking!$AF$5:$AF$84,Woodworking!$A$5:$A$84,A274)+SUMIFS(Digital!$Z$5:$Z$84,Digital!$A$5:$A$84,A274),2))</f>
        <v>0</v>
      </c>
      <c r="V274" s="36">
        <f>IF(B274="","",ROUND(SUMIFS(Labor!$P$5:$P$304,Labor!$A$5:$A$304,A274)+SUMIFS(Crochet!$AE$5:$AE$84,Crochet!$A$5:$A$84,A274)+SUMIFS(Jewelry!$AG$5:$AG$84,Jewelry!$A$5:$A$84,A274)+SUMIFS(Candles!$AG$5:$AG$84,Candles!$A$5:$A$84,A274)+SUMIFS(Clothing!$AC$5:$AC$84,Clothing!$A$5:$A$84,A274)+SUMIFS(Woodworking!$AD$5:$AD$84,Woodworking!$A$5:$A$84,A274)+SUMIFS(Digital!$Y$5:$Y$84,Digital!$A$5:$A$84,A274),1))</f>
        <v>0</v>
      </c>
      <c r="W274" s="41">
        <f>IF(B274="","",IFERROR(INDEX(DiffTimeFactors,MATCH(G274,DiffNames,0)),1))</f>
        <v>0</v>
      </c>
      <c r="X274" s="36">
        <f>IF(B274="","",ROUND(V274*W274,1))</f>
        <v>0</v>
      </c>
      <c r="Y274" s="41">
        <f>IF(B274="","",ROUND(X274/60,3))</f>
        <v>0</v>
      </c>
      <c r="Z274" s="20">
        <f>IF(B274="","",ROUND(U274*W274,2))</f>
        <v>0</v>
      </c>
      <c r="AA274" s="20">
        <f>IF(B274="","",ROUND(SUMIFS(Labor!$Q$5:$Q$304,Labor!$A$5:$A$304,A274)+SUMIFS(Crochet!$AH$5:$AH$84,Crochet!$A$5:$A$84,A274)+SUMIFS(Jewelry!$AJ$5:$AJ$84,Jewelry!$A$5:$A$84,A274)+SUMIFS(Candles!$AJ$5:$AJ$84,Candles!$A$5:$A$84,A274)+SUMIFS(Clothing!$AF$5:$AF$84,Clothing!$A$5:$A$84,A274)+SUMIFS(Woodworking!$AH$5:$AH$84,Woodworking!$A$5:$A$84,A274)+SUMIFS(Digital!$AA$5:$AA$84,Digital!$A$5:$A$84,A274),2))</f>
        <v>0</v>
      </c>
      <c r="AB274" s="20">
        <f>IF(B274="","",ROUND(IF(I274="Budget",PackBudget,IF(I274="Standard",PackStandard,IF(I274="Gift",PackGift,IF(I274="Premium",PackPremium,DefaultPackaging)))),2))</f>
        <v>0</v>
      </c>
      <c r="AC274" s="36">
        <f>IF(B274="","",IF(I274="Budget",PackWeightBudget,IF(I274="Standard",PackWeightStandard,IF(I274="Gift",PackWeightGift,IF(I274="Premium",PackWeightPremium,0)))))</f>
        <v>0</v>
      </c>
      <c r="AD274" s="20">
        <f>IF(B274="","",IFERROR(INDEX(Shipping!$M$5:$M$64,MATCH(J274,Shipping!$L$5:$L$64,0)),DefaultShipping))</f>
        <v>0</v>
      </c>
      <c r="AE274" s="20">
        <f>IF(B274="","",IFERROR(INDEX(Shipping!$F$5:$F$64,MATCH(J274,Shipping!$L$5:$L$64,0)),0))</f>
        <v>0</v>
      </c>
      <c r="AF274" s="36">
        <f>IF(B274="","",IFERROR(INDEX(Shipping!$C$5:$C$64,MATCH(J274,Shipping!$L$5:$L$64,0)),""))</f>
        <v>0</v>
      </c>
      <c r="AG274" s="20">
        <f>IF(B274="","",ROUND(MAX(0,AD274-AE274),2))</f>
        <v>0</v>
      </c>
      <c r="AH274" s="20">
        <f>IF(B274="","",ROUND(T274+Z274+AA274+AB274+AG274,2))</f>
        <v>0</v>
      </c>
      <c r="AI274" s="33">
        <f>IF(B274="","",IFERROR(INDEX(Channels!$S$5:$S$18,MATCH(IF(H274="",DefaultChannel,H274),Channels!$A$5:$A$18,0)),0))</f>
        <v>0</v>
      </c>
      <c r="AJ274" s="42">
        <f>IF(B274="","",IFERROR(INDEX(Channels!$O$5:$O$18,MATCH(IF(H274="",DefaultChannel,H274),Channels!$A$5:$A$18,0)),"No"))</f>
        <v>0</v>
      </c>
      <c r="AK274" s="20">
        <f>IF(B274="","",ROUND(IFERROR(INDEX(Channels!$T$5:$T$18,MATCH(IF(H274="",DefaultChannel,H274),Channels!$A$5:$A$18,0)),0)+IF(AJ274="Yes",AE274*AI274,0),4))</f>
        <v>0</v>
      </c>
      <c r="AL274" s="33">
        <f>IF(B274="","",IF(OverheadMethod="Share of revenue",IF(RevenueTargetMonth&lt;=0,0,OverheadMonthly/RevenueTargetMonth),0))</f>
        <v>0</v>
      </c>
      <c r="AM274" s="20">
        <f>IF(B274="","",IF(OverheadMethod="Per hour worked",ROUND(OverheadPerHour*Y274,2),IF(OR(OverheadMethod="Per unit made",OverheadMethod="Per order"),OverheadPerUnit,0)))</f>
        <v>0</v>
      </c>
      <c r="AN274" s="33">
        <f>IF(B274="","",IF(N274&lt;&gt;"",N274,TargetRetailMargin))</f>
        <v>0</v>
      </c>
      <c r="AO274" s="41">
        <f>IF(B274="","",1-AN274-AI274-AL274)</f>
        <v>0</v>
      </c>
      <c r="AP274" s="20">
        <f>IF(B274="","",IF(AO274&lt;=0,"",(AH274+AM274+AK274)/AO274))</f>
        <v>0</v>
      </c>
      <c r="AQ274" s="20">
        <f>IF(B274="","",IF(AP274="","Check the settings",ROUND(IF(RoundingRule="None",AP274,IF(RoundingRule="Nearest 0.99",MAX(0.99,CEILING(AP274,1)-0.01),IF(RoundingRule="Nearest 0.95",MAX(0.95,CEILING(AP274,1)-0.05),IF(RoundingRule="Nearest 0.50",CEILING(AP274,0.5),IF(RoundingRule="Nearest 1",CEILING(AP274,1),IF(RoundingRule="Nearest 5",CEILING(AP274,5),IF(RoundingRule="Up to whole 1",CEILING(AP274,1),IF(RoundingRule="Up to whole 5",CEILING(AP274,5),ROUND(AP274,2))))))))),2)))</f>
        <v>0</v>
      </c>
      <c r="AR274" s="20">
        <f>IF(B274="","",IF(M274&lt;&gt;"",M274,IF(ISNUMBER(AQ274),AQ274,"")))</f>
        <v>0</v>
      </c>
      <c r="AS274" s="20">
        <f>IF(B274="","",IF(AR274="","",ROUND(AM274+AR274*AL274,2)))</f>
        <v>0</v>
      </c>
      <c r="AT274" s="20">
        <f>IF(B274="","",IF(AR274="","",ROUND(AH274+AS274,2)))</f>
        <v>0</v>
      </c>
      <c r="AU274" s="20">
        <f>IF(B274="","",IF(AR274="","",ROUND(AR274*AI274+AK274,2)))</f>
        <v>0</v>
      </c>
      <c r="AV274" s="20">
        <f>IF(B274="","",IF(AR274="","",ROUND(AR274-AT274-AU274,2)))</f>
        <v>0</v>
      </c>
      <c r="AW274" s="33">
        <f>IF(B274="","",IF(OR(AR274="",AR274=0),"",AV274/AR274))</f>
        <v>0</v>
      </c>
      <c r="AX274" s="33">
        <f>IF(B274="","",IF(OR(AT274="",AT274=0),"",AV274/AT274))</f>
        <v>0</v>
      </c>
      <c r="AY274" s="20">
        <f>IF(B274="","",IF(OR(Y274="",Y274=0,AV274=""),"",ROUND(AV274/Y274,2)))</f>
        <v>0</v>
      </c>
      <c r="AZ274" s="20">
        <f>IF(B274="","",IF(OR(Y274="",Y274=0,AV274=""),"",ROUND((AV274+Z274)/Y274,2)))</f>
        <v>0</v>
      </c>
      <c r="BA274" s="20">
        <f>IF(B274="","",IF(1-AI274-AL274&lt;=0,"",ROUND((AH274+AM274+AK274)/(1-AI274-AL274),2)))</f>
        <v>0</v>
      </c>
      <c r="BB274" s="20">
        <f>IF(B274="","",IF(AT274="","",ROUND(AT274*2,2)))</f>
        <v>0</v>
      </c>
      <c r="BC274" s="20">
        <f>IF(B274="","",IF(AR274="","",ROUND(AR274*(1-WholesaleDiscount),2)))</f>
        <v>0</v>
      </c>
      <c r="BD274" s="20">
        <f>IF(B274="","",IF(BC274="","",ROUND(BC274-AH274-AM274,2)))</f>
        <v>0</v>
      </c>
      <c r="BE274" s="33">
        <f>IF(B274="","",IF(OR(BC274="",BC274=0),"",BD274/BC274))</f>
        <v>0</v>
      </c>
      <c r="BF274" s="20">
        <f>IF(B274="","",IFERROR(ROUND(AVERAGEIFS(Competitors!$F$5:$F$154,Competitors!$A$5:$A$154,A274),2),""))</f>
        <v>0</v>
      </c>
      <c r="BG274" s="33">
        <f>IF(B274="","",IF(OR(BF274="",BF274=0,AR274=""),"",AR274/BF274-1))</f>
        <v>0</v>
      </c>
      <c r="BH274" s="32">
        <f>IF(B274="","",SUMIFS(Sales!$D$5:$D$804,Sales!$C$5:$C$804,A274))</f>
        <v>0</v>
      </c>
      <c r="BI274" s="20">
        <f>IF(B274="","",ROUND(SUMIFS(Sales!$V$5:$V$804,Sales!$C$5:$C$804,A274),2))</f>
        <v>0</v>
      </c>
      <c r="BJ274" s="20">
        <f>IF(B274="","",ROUND(SUMIFS(Sales!$AG$5:$AG$804,Sales!$C$5:$C$804,A274),2))</f>
        <v>0</v>
      </c>
      <c r="BK274" s="33">
        <f>IF(B274="","",IF(OR(BI274="",BI274=0),"",BJ274/BI274))</f>
        <v>0</v>
      </c>
      <c r="BL274" s="17">
        <f>IF(B274="","",IF(SUMPRODUCT(MAX((Sales!$C$5:$C$804=A274)*Sales!$B$5:$B$804))=0,"",SUMPRODUCT(MAX((Sales!$C$5:$C$804=A274)*Sales!$B$5:$B$804))))</f>
        <v>0</v>
      </c>
      <c r="BM274" s="17">
        <f>IF(B274="","",IF(SUMPRODUCT(MAX(('Price History'!$B$5:$B$304=A274)*'Price History'!$A$5:$A$304))=0,IF(P274="","",P274),SUMPRODUCT(MAX(('Price History'!$B$5:$B$304=A274)*'Price History'!$A$5:$A$304))))</f>
        <v>0</v>
      </c>
      <c r="BN274" s="32">
        <f>IF(B274="","",IF(BM274="","",TodayDate-BM274))</f>
        <v>0</v>
      </c>
      <c r="BO274" s="32">
        <f>IF(B274="","",COUNTIFS($AV$5:$AV$304,"&gt;"&amp;AV274)+COUNTIFS($AV$5:AV274,AV274))</f>
        <v>0</v>
      </c>
      <c r="BP274" s="32">
        <f>IF(B274="","",COUNTIFS($AW$5:$AW$304,"&gt;"&amp;AW274)+COUNTIFS($AW$5:AW274,AW274))</f>
        <v>0</v>
      </c>
      <c r="BQ274" s="32">
        <f>IF(B274="","",COUNTIFS($BI$5:$BI$304,"&gt;"&amp;BI274)+COUNTIFS($BI$5:BI274,BI274))</f>
        <v>0</v>
      </c>
      <c r="BR274" s="32">
        <f>IF(B274="","",COUNTIFS($AY$5:$AY$304,"&gt;"&amp;AY274)+COUNTIFS($AY$5:AY274,AY274))</f>
        <v>0</v>
      </c>
      <c r="BS274" s="43">
        <f>IF(B274="","",IF(AH274=0,"Add - no costs entered yet",IF(AR274="","Check - no price yet",IF(AV274&lt;0,"Loss - every sale costs you money",IF(AND(AZ274&lt;&gt;"",AZ274&lt;MinimumWage),"Below - pays under minimum wage",IF(AW274&lt;MarginWarning,"Low margin - re-price it",IF(AND(AF274&lt;&gt;"",K274&lt;&gt;"",K274+AC274&gt;AF274),"Check - too heavy for that postage band",IF(AND(BN274&lt;&gt;"",BN274&gt;PriceReviewDays),"Due - price has not been reviewed",IF(AND(BG274&lt;&gt;"",BG274&gt;0.5),"Check - well above the market","OK")))))))) )</f>
        <v>0</v>
      </c>
    </row>
    <row r="275" spans="1:71">
      <c r="A275" s="38">
        <f>IF(B275="","",ProductPrefix&amp;TEXT(ROW()-4,"0000"))</f>
        <v>0</v>
      </c>
      <c r="S275" s="38">
        <f>IF(B275="","",IF(C275&lt;&gt;"",C275,UPPER(LEFT(IF(D275="","GEN",D275),3))&amp;"-"&amp;TEXT(ROW()-4,"000")))</f>
        <v>0</v>
      </c>
      <c r="T275" s="20">
        <f>IF(B275="","",ROUND(SUMIFS('Material Usage'!$M$5:$M$904,'Material Usage'!$A$5:$A$904,A275)+SUMIFS(Crochet!$AD$5:$AD$84,Crochet!$A$5:$A$84,A275)+SUMIFS(Jewelry!$AF$5:$AF$84,Jewelry!$A$5:$A$84,A275)+SUMIFS(Candles!$AF$5:$AF$84,Candles!$A$5:$A$84,A275)+SUMIFS(Clothing!$AB$5:$AB$84,Clothing!$A$5:$A$84,A275)+SUMIFS(Woodworking!$AC$5:$AC$84,Woodworking!$A$5:$A$84,A275)+SUMIFS(Digital!$X$5:$X$84,Digital!$A$5:$A$84,A275),2))</f>
        <v>0</v>
      </c>
      <c r="U275" s="20">
        <f>IF(B275="","",ROUND(SUMIFS(Labor!$O$5:$O$304,Labor!$A$5:$A$304,A275)+SUMIFS(Crochet!$AG$5:$AG$84,Crochet!$A$5:$A$84,A275)+SUMIFS(Jewelry!$AI$5:$AI$84,Jewelry!$A$5:$A$84,A275)+SUMIFS(Candles!$AI$5:$AI$84,Candles!$A$5:$A$84,A275)+SUMIFS(Clothing!$AE$5:$AE$84,Clothing!$A$5:$A$84,A275)+SUMIFS(Woodworking!$AF$5:$AF$84,Woodworking!$A$5:$A$84,A275)+SUMIFS(Digital!$Z$5:$Z$84,Digital!$A$5:$A$84,A275),2))</f>
        <v>0</v>
      </c>
      <c r="V275" s="36">
        <f>IF(B275="","",ROUND(SUMIFS(Labor!$P$5:$P$304,Labor!$A$5:$A$304,A275)+SUMIFS(Crochet!$AE$5:$AE$84,Crochet!$A$5:$A$84,A275)+SUMIFS(Jewelry!$AG$5:$AG$84,Jewelry!$A$5:$A$84,A275)+SUMIFS(Candles!$AG$5:$AG$84,Candles!$A$5:$A$84,A275)+SUMIFS(Clothing!$AC$5:$AC$84,Clothing!$A$5:$A$84,A275)+SUMIFS(Woodworking!$AD$5:$AD$84,Woodworking!$A$5:$A$84,A275)+SUMIFS(Digital!$Y$5:$Y$84,Digital!$A$5:$A$84,A275),1))</f>
        <v>0</v>
      </c>
      <c r="W275" s="41">
        <f>IF(B275="","",IFERROR(INDEX(DiffTimeFactors,MATCH(G275,DiffNames,0)),1))</f>
        <v>0</v>
      </c>
      <c r="X275" s="36">
        <f>IF(B275="","",ROUND(V275*W275,1))</f>
        <v>0</v>
      </c>
      <c r="Y275" s="41">
        <f>IF(B275="","",ROUND(X275/60,3))</f>
        <v>0</v>
      </c>
      <c r="Z275" s="20">
        <f>IF(B275="","",ROUND(U275*W275,2))</f>
        <v>0</v>
      </c>
      <c r="AA275" s="20">
        <f>IF(B275="","",ROUND(SUMIFS(Labor!$Q$5:$Q$304,Labor!$A$5:$A$304,A275)+SUMIFS(Crochet!$AH$5:$AH$84,Crochet!$A$5:$A$84,A275)+SUMIFS(Jewelry!$AJ$5:$AJ$84,Jewelry!$A$5:$A$84,A275)+SUMIFS(Candles!$AJ$5:$AJ$84,Candles!$A$5:$A$84,A275)+SUMIFS(Clothing!$AF$5:$AF$84,Clothing!$A$5:$A$84,A275)+SUMIFS(Woodworking!$AH$5:$AH$84,Woodworking!$A$5:$A$84,A275)+SUMIFS(Digital!$AA$5:$AA$84,Digital!$A$5:$A$84,A275),2))</f>
        <v>0</v>
      </c>
      <c r="AB275" s="20">
        <f>IF(B275="","",ROUND(IF(I275="Budget",PackBudget,IF(I275="Standard",PackStandard,IF(I275="Gift",PackGift,IF(I275="Premium",PackPremium,DefaultPackaging)))),2))</f>
        <v>0</v>
      </c>
      <c r="AC275" s="36">
        <f>IF(B275="","",IF(I275="Budget",PackWeightBudget,IF(I275="Standard",PackWeightStandard,IF(I275="Gift",PackWeightGift,IF(I275="Premium",PackWeightPremium,0)))))</f>
        <v>0</v>
      </c>
      <c r="AD275" s="20">
        <f>IF(B275="","",IFERROR(INDEX(Shipping!$M$5:$M$64,MATCH(J275,Shipping!$L$5:$L$64,0)),DefaultShipping))</f>
        <v>0</v>
      </c>
      <c r="AE275" s="20">
        <f>IF(B275="","",IFERROR(INDEX(Shipping!$F$5:$F$64,MATCH(J275,Shipping!$L$5:$L$64,0)),0))</f>
        <v>0</v>
      </c>
      <c r="AF275" s="36">
        <f>IF(B275="","",IFERROR(INDEX(Shipping!$C$5:$C$64,MATCH(J275,Shipping!$L$5:$L$64,0)),""))</f>
        <v>0</v>
      </c>
      <c r="AG275" s="20">
        <f>IF(B275="","",ROUND(MAX(0,AD275-AE275),2))</f>
        <v>0</v>
      </c>
      <c r="AH275" s="20">
        <f>IF(B275="","",ROUND(T275+Z275+AA275+AB275+AG275,2))</f>
        <v>0</v>
      </c>
      <c r="AI275" s="33">
        <f>IF(B275="","",IFERROR(INDEX(Channels!$S$5:$S$18,MATCH(IF(H275="",DefaultChannel,H275),Channels!$A$5:$A$18,0)),0))</f>
        <v>0</v>
      </c>
      <c r="AJ275" s="42">
        <f>IF(B275="","",IFERROR(INDEX(Channels!$O$5:$O$18,MATCH(IF(H275="",DefaultChannel,H275),Channels!$A$5:$A$18,0)),"No"))</f>
        <v>0</v>
      </c>
      <c r="AK275" s="20">
        <f>IF(B275="","",ROUND(IFERROR(INDEX(Channels!$T$5:$T$18,MATCH(IF(H275="",DefaultChannel,H275),Channels!$A$5:$A$18,0)),0)+IF(AJ275="Yes",AE275*AI275,0),4))</f>
        <v>0</v>
      </c>
      <c r="AL275" s="33">
        <f>IF(B275="","",IF(OverheadMethod="Share of revenue",IF(RevenueTargetMonth&lt;=0,0,OverheadMonthly/RevenueTargetMonth),0))</f>
        <v>0</v>
      </c>
      <c r="AM275" s="20">
        <f>IF(B275="","",IF(OverheadMethod="Per hour worked",ROUND(OverheadPerHour*Y275,2),IF(OR(OverheadMethod="Per unit made",OverheadMethod="Per order"),OverheadPerUnit,0)))</f>
        <v>0</v>
      </c>
      <c r="AN275" s="33">
        <f>IF(B275="","",IF(N275&lt;&gt;"",N275,TargetRetailMargin))</f>
        <v>0</v>
      </c>
      <c r="AO275" s="41">
        <f>IF(B275="","",1-AN275-AI275-AL275)</f>
        <v>0</v>
      </c>
      <c r="AP275" s="20">
        <f>IF(B275="","",IF(AO275&lt;=0,"",(AH275+AM275+AK275)/AO275))</f>
        <v>0</v>
      </c>
      <c r="AQ275" s="20">
        <f>IF(B275="","",IF(AP275="","Check the settings",ROUND(IF(RoundingRule="None",AP275,IF(RoundingRule="Nearest 0.99",MAX(0.99,CEILING(AP275,1)-0.01),IF(RoundingRule="Nearest 0.95",MAX(0.95,CEILING(AP275,1)-0.05),IF(RoundingRule="Nearest 0.50",CEILING(AP275,0.5),IF(RoundingRule="Nearest 1",CEILING(AP275,1),IF(RoundingRule="Nearest 5",CEILING(AP275,5),IF(RoundingRule="Up to whole 1",CEILING(AP275,1),IF(RoundingRule="Up to whole 5",CEILING(AP275,5),ROUND(AP275,2))))))))),2)))</f>
        <v>0</v>
      </c>
      <c r="AR275" s="20">
        <f>IF(B275="","",IF(M275&lt;&gt;"",M275,IF(ISNUMBER(AQ275),AQ275,"")))</f>
        <v>0</v>
      </c>
      <c r="AS275" s="20">
        <f>IF(B275="","",IF(AR275="","",ROUND(AM275+AR275*AL275,2)))</f>
        <v>0</v>
      </c>
      <c r="AT275" s="20">
        <f>IF(B275="","",IF(AR275="","",ROUND(AH275+AS275,2)))</f>
        <v>0</v>
      </c>
      <c r="AU275" s="20">
        <f>IF(B275="","",IF(AR275="","",ROUND(AR275*AI275+AK275,2)))</f>
        <v>0</v>
      </c>
      <c r="AV275" s="20">
        <f>IF(B275="","",IF(AR275="","",ROUND(AR275-AT275-AU275,2)))</f>
        <v>0</v>
      </c>
      <c r="AW275" s="33">
        <f>IF(B275="","",IF(OR(AR275="",AR275=0),"",AV275/AR275))</f>
        <v>0</v>
      </c>
      <c r="AX275" s="33">
        <f>IF(B275="","",IF(OR(AT275="",AT275=0),"",AV275/AT275))</f>
        <v>0</v>
      </c>
      <c r="AY275" s="20">
        <f>IF(B275="","",IF(OR(Y275="",Y275=0,AV275=""),"",ROUND(AV275/Y275,2)))</f>
        <v>0</v>
      </c>
      <c r="AZ275" s="20">
        <f>IF(B275="","",IF(OR(Y275="",Y275=0,AV275=""),"",ROUND((AV275+Z275)/Y275,2)))</f>
        <v>0</v>
      </c>
      <c r="BA275" s="20">
        <f>IF(B275="","",IF(1-AI275-AL275&lt;=0,"",ROUND((AH275+AM275+AK275)/(1-AI275-AL275),2)))</f>
        <v>0</v>
      </c>
      <c r="BB275" s="20">
        <f>IF(B275="","",IF(AT275="","",ROUND(AT275*2,2)))</f>
        <v>0</v>
      </c>
      <c r="BC275" s="20">
        <f>IF(B275="","",IF(AR275="","",ROUND(AR275*(1-WholesaleDiscount),2)))</f>
        <v>0</v>
      </c>
      <c r="BD275" s="20">
        <f>IF(B275="","",IF(BC275="","",ROUND(BC275-AH275-AM275,2)))</f>
        <v>0</v>
      </c>
      <c r="BE275" s="33">
        <f>IF(B275="","",IF(OR(BC275="",BC275=0),"",BD275/BC275))</f>
        <v>0</v>
      </c>
      <c r="BF275" s="20">
        <f>IF(B275="","",IFERROR(ROUND(AVERAGEIFS(Competitors!$F$5:$F$154,Competitors!$A$5:$A$154,A275),2),""))</f>
        <v>0</v>
      </c>
      <c r="BG275" s="33">
        <f>IF(B275="","",IF(OR(BF275="",BF275=0,AR275=""),"",AR275/BF275-1))</f>
        <v>0</v>
      </c>
      <c r="BH275" s="32">
        <f>IF(B275="","",SUMIFS(Sales!$D$5:$D$804,Sales!$C$5:$C$804,A275))</f>
        <v>0</v>
      </c>
      <c r="BI275" s="20">
        <f>IF(B275="","",ROUND(SUMIFS(Sales!$V$5:$V$804,Sales!$C$5:$C$804,A275),2))</f>
        <v>0</v>
      </c>
      <c r="BJ275" s="20">
        <f>IF(B275="","",ROUND(SUMIFS(Sales!$AG$5:$AG$804,Sales!$C$5:$C$804,A275),2))</f>
        <v>0</v>
      </c>
      <c r="BK275" s="33">
        <f>IF(B275="","",IF(OR(BI275="",BI275=0),"",BJ275/BI275))</f>
        <v>0</v>
      </c>
      <c r="BL275" s="17">
        <f>IF(B275="","",IF(SUMPRODUCT(MAX((Sales!$C$5:$C$804=A275)*Sales!$B$5:$B$804))=0,"",SUMPRODUCT(MAX((Sales!$C$5:$C$804=A275)*Sales!$B$5:$B$804))))</f>
        <v>0</v>
      </c>
      <c r="BM275" s="17">
        <f>IF(B275="","",IF(SUMPRODUCT(MAX(('Price History'!$B$5:$B$304=A275)*'Price History'!$A$5:$A$304))=0,IF(P275="","",P275),SUMPRODUCT(MAX(('Price History'!$B$5:$B$304=A275)*'Price History'!$A$5:$A$304))))</f>
        <v>0</v>
      </c>
      <c r="BN275" s="32">
        <f>IF(B275="","",IF(BM275="","",TodayDate-BM275))</f>
        <v>0</v>
      </c>
      <c r="BO275" s="32">
        <f>IF(B275="","",COUNTIFS($AV$5:$AV$304,"&gt;"&amp;AV275)+COUNTIFS($AV$5:AV275,AV275))</f>
        <v>0</v>
      </c>
      <c r="BP275" s="32">
        <f>IF(B275="","",COUNTIFS($AW$5:$AW$304,"&gt;"&amp;AW275)+COUNTIFS($AW$5:AW275,AW275))</f>
        <v>0</v>
      </c>
      <c r="BQ275" s="32">
        <f>IF(B275="","",COUNTIFS($BI$5:$BI$304,"&gt;"&amp;BI275)+COUNTIFS($BI$5:BI275,BI275))</f>
        <v>0</v>
      </c>
      <c r="BR275" s="32">
        <f>IF(B275="","",COUNTIFS($AY$5:$AY$304,"&gt;"&amp;AY275)+COUNTIFS($AY$5:AY275,AY275))</f>
        <v>0</v>
      </c>
      <c r="BS275" s="43">
        <f>IF(B275="","",IF(AH275=0,"Add - no costs entered yet",IF(AR275="","Check - no price yet",IF(AV275&lt;0,"Loss - every sale costs you money",IF(AND(AZ275&lt;&gt;"",AZ275&lt;MinimumWage),"Below - pays under minimum wage",IF(AW275&lt;MarginWarning,"Low margin - re-price it",IF(AND(AF275&lt;&gt;"",K275&lt;&gt;"",K275+AC275&gt;AF275),"Check - too heavy for that postage band",IF(AND(BN275&lt;&gt;"",BN275&gt;PriceReviewDays),"Due - price has not been reviewed",IF(AND(BG275&lt;&gt;"",BG275&gt;0.5),"Check - well above the market","OK")))))))) )</f>
        <v>0</v>
      </c>
    </row>
    <row r="276" spans="1:71">
      <c r="A276" s="38">
        <f>IF(B276="","",ProductPrefix&amp;TEXT(ROW()-4,"0000"))</f>
        <v>0</v>
      </c>
      <c r="S276" s="38">
        <f>IF(B276="","",IF(C276&lt;&gt;"",C276,UPPER(LEFT(IF(D276="","GEN",D276),3))&amp;"-"&amp;TEXT(ROW()-4,"000")))</f>
        <v>0</v>
      </c>
      <c r="T276" s="20">
        <f>IF(B276="","",ROUND(SUMIFS('Material Usage'!$M$5:$M$904,'Material Usage'!$A$5:$A$904,A276)+SUMIFS(Crochet!$AD$5:$AD$84,Crochet!$A$5:$A$84,A276)+SUMIFS(Jewelry!$AF$5:$AF$84,Jewelry!$A$5:$A$84,A276)+SUMIFS(Candles!$AF$5:$AF$84,Candles!$A$5:$A$84,A276)+SUMIFS(Clothing!$AB$5:$AB$84,Clothing!$A$5:$A$84,A276)+SUMIFS(Woodworking!$AC$5:$AC$84,Woodworking!$A$5:$A$84,A276)+SUMIFS(Digital!$X$5:$X$84,Digital!$A$5:$A$84,A276),2))</f>
        <v>0</v>
      </c>
      <c r="U276" s="20">
        <f>IF(B276="","",ROUND(SUMIFS(Labor!$O$5:$O$304,Labor!$A$5:$A$304,A276)+SUMIFS(Crochet!$AG$5:$AG$84,Crochet!$A$5:$A$84,A276)+SUMIFS(Jewelry!$AI$5:$AI$84,Jewelry!$A$5:$A$84,A276)+SUMIFS(Candles!$AI$5:$AI$84,Candles!$A$5:$A$84,A276)+SUMIFS(Clothing!$AE$5:$AE$84,Clothing!$A$5:$A$84,A276)+SUMIFS(Woodworking!$AF$5:$AF$84,Woodworking!$A$5:$A$84,A276)+SUMIFS(Digital!$Z$5:$Z$84,Digital!$A$5:$A$84,A276),2))</f>
        <v>0</v>
      </c>
      <c r="V276" s="36">
        <f>IF(B276="","",ROUND(SUMIFS(Labor!$P$5:$P$304,Labor!$A$5:$A$304,A276)+SUMIFS(Crochet!$AE$5:$AE$84,Crochet!$A$5:$A$84,A276)+SUMIFS(Jewelry!$AG$5:$AG$84,Jewelry!$A$5:$A$84,A276)+SUMIFS(Candles!$AG$5:$AG$84,Candles!$A$5:$A$84,A276)+SUMIFS(Clothing!$AC$5:$AC$84,Clothing!$A$5:$A$84,A276)+SUMIFS(Woodworking!$AD$5:$AD$84,Woodworking!$A$5:$A$84,A276)+SUMIFS(Digital!$Y$5:$Y$84,Digital!$A$5:$A$84,A276),1))</f>
        <v>0</v>
      </c>
      <c r="W276" s="41">
        <f>IF(B276="","",IFERROR(INDEX(DiffTimeFactors,MATCH(G276,DiffNames,0)),1))</f>
        <v>0</v>
      </c>
      <c r="X276" s="36">
        <f>IF(B276="","",ROUND(V276*W276,1))</f>
        <v>0</v>
      </c>
      <c r="Y276" s="41">
        <f>IF(B276="","",ROUND(X276/60,3))</f>
        <v>0</v>
      </c>
      <c r="Z276" s="20">
        <f>IF(B276="","",ROUND(U276*W276,2))</f>
        <v>0</v>
      </c>
      <c r="AA276" s="20">
        <f>IF(B276="","",ROUND(SUMIFS(Labor!$Q$5:$Q$304,Labor!$A$5:$A$304,A276)+SUMIFS(Crochet!$AH$5:$AH$84,Crochet!$A$5:$A$84,A276)+SUMIFS(Jewelry!$AJ$5:$AJ$84,Jewelry!$A$5:$A$84,A276)+SUMIFS(Candles!$AJ$5:$AJ$84,Candles!$A$5:$A$84,A276)+SUMIFS(Clothing!$AF$5:$AF$84,Clothing!$A$5:$A$84,A276)+SUMIFS(Woodworking!$AH$5:$AH$84,Woodworking!$A$5:$A$84,A276)+SUMIFS(Digital!$AA$5:$AA$84,Digital!$A$5:$A$84,A276),2))</f>
        <v>0</v>
      </c>
      <c r="AB276" s="20">
        <f>IF(B276="","",ROUND(IF(I276="Budget",PackBudget,IF(I276="Standard",PackStandard,IF(I276="Gift",PackGift,IF(I276="Premium",PackPremium,DefaultPackaging)))),2))</f>
        <v>0</v>
      </c>
      <c r="AC276" s="36">
        <f>IF(B276="","",IF(I276="Budget",PackWeightBudget,IF(I276="Standard",PackWeightStandard,IF(I276="Gift",PackWeightGift,IF(I276="Premium",PackWeightPremium,0)))))</f>
        <v>0</v>
      </c>
      <c r="AD276" s="20">
        <f>IF(B276="","",IFERROR(INDEX(Shipping!$M$5:$M$64,MATCH(J276,Shipping!$L$5:$L$64,0)),DefaultShipping))</f>
        <v>0</v>
      </c>
      <c r="AE276" s="20">
        <f>IF(B276="","",IFERROR(INDEX(Shipping!$F$5:$F$64,MATCH(J276,Shipping!$L$5:$L$64,0)),0))</f>
        <v>0</v>
      </c>
      <c r="AF276" s="36">
        <f>IF(B276="","",IFERROR(INDEX(Shipping!$C$5:$C$64,MATCH(J276,Shipping!$L$5:$L$64,0)),""))</f>
        <v>0</v>
      </c>
      <c r="AG276" s="20">
        <f>IF(B276="","",ROUND(MAX(0,AD276-AE276),2))</f>
        <v>0</v>
      </c>
      <c r="AH276" s="20">
        <f>IF(B276="","",ROUND(T276+Z276+AA276+AB276+AG276,2))</f>
        <v>0</v>
      </c>
      <c r="AI276" s="33">
        <f>IF(B276="","",IFERROR(INDEX(Channels!$S$5:$S$18,MATCH(IF(H276="",DefaultChannel,H276),Channels!$A$5:$A$18,0)),0))</f>
        <v>0</v>
      </c>
      <c r="AJ276" s="42">
        <f>IF(B276="","",IFERROR(INDEX(Channels!$O$5:$O$18,MATCH(IF(H276="",DefaultChannel,H276),Channels!$A$5:$A$18,0)),"No"))</f>
        <v>0</v>
      </c>
      <c r="AK276" s="20">
        <f>IF(B276="","",ROUND(IFERROR(INDEX(Channels!$T$5:$T$18,MATCH(IF(H276="",DefaultChannel,H276),Channels!$A$5:$A$18,0)),0)+IF(AJ276="Yes",AE276*AI276,0),4))</f>
        <v>0</v>
      </c>
      <c r="AL276" s="33">
        <f>IF(B276="","",IF(OverheadMethod="Share of revenue",IF(RevenueTargetMonth&lt;=0,0,OverheadMonthly/RevenueTargetMonth),0))</f>
        <v>0</v>
      </c>
      <c r="AM276" s="20">
        <f>IF(B276="","",IF(OverheadMethod="Per hour worked",ROUND(OverheadPerHour*Y276,2),IF(OR(OverheadMethod="Per unit made",OverheadMethod="Per order"),OverheadPerUnit,0)))</f>
        <v>0</v>
      </c>
      <c r="AN276" s="33">
        <f>IF(B276="","",IF(N276&lt;&gt;"",N276,TargetRetailMargin))</f>
        <v>0</v>
      </c>
      <c r="AO276" s="41">
        <f>IF(B276="","",1-AN276-AI276-AL276)</f>
        <v>0</v>
      </c>
      <c r="AP276" s="20">
        <f>IF(B276="","",IF(AO276&lt;=0,"",(AH276+AM276+AK276)/AO276))</f>
        <v>0</v>
      </c>
      <c r="AQ276" s="20">
        <f>IF(B276="","",IF(AP276="","Check the settings",ROUND(IF(RoundingRule="None",AP276,IF(RoundingRule="Nearest 0.99",MAX(0.99,CEILING(AP276,1)-0.01),IF(RoundingRule="Nearest 0.95",MAX(0.95,CEILING(AP276,1)-0.05),IF(RoundingRule="Nearest 0.50",CEILING(AP276,0.5),IF(RoundingRule="Nearest 1",CEILING(AP276,1),IF(RoundingRule="Nearest 5",CEILING(AP276,5),IF(RoundingRule="Up to whole 1",CEILING(AP276,1),IF(RoundingRule="Up to whole 5",CEILING(AP276,5),ROUND(AP276,2))))))))),2)))</f>
        <v>0</v>
      </c>
      <c r="AR276" s="20">
        <f>IF(B276="","",IF(M276&lt;&gt;"",M276,IF(ISNUMBER(AQ276),AQ276,"")))</f>
        <v>0</v>
      </c>
      <c r="AS276" s="20">
        <f>IF(B276="","",IF(AR276="","",ROUND(AM276+AR276*AL276,2)))</f>
        <v>0</v>
      </c>
      <c r="AT276" s="20">
        <f>IF(B276="","",IF(AR276="","",ROUND(AH276+AS276,2)))</f>
        <v>0</v>
      </c>
      <c r="AU276" s="20">
        <f>IF(B276="","",IF(AR276="","",ROUND(AR276*AI276+AK276,2)))</f>
        <v>0</v>
      </c>
      <c r="AV276" s="20">
        <f>IF(B276="","",IF(AR276="","",ROUND(AR276-AT276-AU276,2)))</f>
        <v>0</v>
      </c>
      <c r="AW276" s="33">
        <f>IF(B276="","",IF(OR(AR276="",AR276=0),"",AV276/AR276))</f>
        <v>0</v>
      </c>
      <c r="AX276" s="33">
        <f>IF(B276="","",IF(OR(AT276="",AT276=0),"",AV276/AT276))</f>
        <v>0</v>
      </c>
      <c r="AY276" s="20">
        <f>IF(B276="","",IF(OR(Y276="",Y276=0,AV276=""),"",ROUND(AV276/Y276,2)))</f>
        <v>0</v>
      </c>
      <c r="AZ276" s="20">
        <f>IF(B276="","",IF(OR(Y276="",Y276=0,AV276=""),"",ROUND((AV276+Z276)/Y276,2)))</f>
        <v>0</v>
      </c>
      <c r="BA276" s="20">
        <f>IF(B276="","",IF(1-AI276-AL276&lt;=0,"",ROUND((AH276+AM276+AK276)/(1-AI276-AL276),2)))</f>
        <v>0</v>
      </c>
      <c r="BB276" s="20">
        <f>IF(B276="","",IF(AT276="","",ROUND(AT276*2,2)))</f>
        <v>0</v>
      </c>
      <c r="BC276" s="20">
        <f>IF(B276="","",IF(AR276="","",ROUND(AR276*(1-WholesaleDiscount),2)))</f>
        <v>0</v>
      </c>
      <c r="BD276" s="20">
        <f>IF(B276="","",IF(BC276="","",ROUND(BC276-AH276-AM276,2)))</f>
        <v>0</v>
      </c>
      <c r="BE276" s="33">
        <f>IF(B276="","",IF(OR(BC276="",BC276=0),"",BD276/BC276))</f>
        <v>0</v>
      </c>
      <c r="BF276" s="20">
        <f>IF(B276="","",IFERROR(ROUND(AVERAGEIFS(Competitors!$F$5:$F$154,Competitors!$A$5:$A$154,A276),2),""))</f>
        <v>0</v>
      </c>
      <c r="BG276" s="33">
        <f>IF(B276="","",IF(OR(BF276="",BF276=0,AR276=""),"",AR276/BF276-1))</f>
        <v>0</v>
      </c>
      <c r="BH276" s="32">
        <f>IF(B276="","",SUMIFS(Sales!$D$5:$D$804,Sales!$C$5:$C$804,A276))</f>
        <v>0</v>
      </c>
      <c r="BI276" s="20">
        <f>IF(B276="","",ROUND(SUMIFS(Sales!$V$5:$V$804,Sales!$C$5:$C$804,A276),2))</f>
        <v>0</v>
      </c>
      <c r="BJ276" s="20">
        <f>IF(B276="","",ROUND(SUMIFS(Sales!$AG$5:$AG$804,Sales!$C$5:$C$804,A276),2))</f>
        <v>0</v>
      </c>
      <c r="BK276" s="33">
        <f>IF(B276="","",IF(OR(BI276="",BI276=0),"",BJ276/BI276))</f>
        <v>0</v>
      </c>
      <c r="BL276" s="17">
        <f>IF(B276="","",IF(SUMPRODUCT(MAX((Sales!$C$5:$C$804=A276)*Sales!$B$5:$B$804))=0,"",SUMPRODUCT(MAX((Sales!$C$5:$C$804=A276)*Sales!$B$5:$B$804))))</f>
        <v>0</v>
      </c>
      <c r="BM276" s="17">
        <f>IF(B276="","",IF(SUMPRODUCT(MAX(('Price History'!$B$5:$B$304=A276)*'Price History'!$A$5:$A$304))=0,IF(P276="","",P276),SUMPRODUCT(MAX(('Price History'!$B$5:$B$304=A276)*'Price History'!$A$5:$A$304))))</f>
        <v>0</v>
      </c>
      <c r="BN276" s="32">
        <f>IF(B276="","",IF(BM276="","",TodayDate-BM276))</f>
        <v>0</v>
      </c>
      <c r="BO276" s="32">
        <f>IF(B276="","",COUNTIFS($AV$5:$AV$304,"&gt;"&amp;AV276)+COUNTIFS($AV$5:AV276,AV276))</f>
        <v>0</v>
      </c>
      <c r="BP276" s="32">
        <f>IF(B276="","",COUNTIFS($AW$5:$AW$304,"&gt;"&amp;AW276)+COUNTIFS($AW$5:AW276,AW276))</f>
        <v>0</v>
      </c>
      <c r="BQ276" s="32">
        <f>IF(B276="","",COUNTIFS($BI$5:$BI$304,"&gt;"&amp;BI276)+COUNTIFS($BI$5:BI276,BI276))</f>
        <v>0</v>
      </c>
      <c r="BR276" s="32">
        <f>IF(B276="","",COUNTIFS($AY$5:$AY$304,"&gt;"&amp;AY276)+COUNTIFS($AY$5:AY276,AY276))</f>
        <v>0</v>
      </c>
      <c r="BS276" s="43">
        <f>IF(B276="","",IF(AH276=0,"Add - no costs entered yet",IF(AR276="","Check - no price yet",IF(AV276&lt;0,"Loss - every sale costs you money",IF(AND(AZ276&lt;&gt;"",AZ276&lt;MinimumWage),"Below - pays under minimum wage",IF(AW276&lt;MarginWarning,"Low margin - re-price it",IF(AND(AF276&lt;&gt;"",K276&lt;&gt;"",K276+AC276&gt;AF276),"Check - too heavy for that postage band",IF(AND(BN276&lt;&gt;"",BN276&gt;PriceReviewDays),"Due - price has not been reviewed",IF(AND(BG276&lt;&gt;"",BG276&gt;0.5),"Check - well above the market","OK")))))))) )</f>
        <v>0</v>
      </c>
    </row>
    <row r="277" spans="1:71">
      <c r="A277" s="38">
        <f>IF(B277="","",ProductPrefix&amp;TEXT(ROW()-4,"0000"))</f>
        <v>0</v>
      </c>
      <c r="S277" s="38">
        <f>IF(B277="","",IF(C277&lt;&gt;"",C277,UPPER(LEFT(IF(D277="","GEN",D277),3))&amp;"-"&amp;TEXT(ROW()-4,"000")))</f>
        <v>0</v>
      </c>
      <c r="T277" s="20">
        <f>IF(B277="","",ROUND(SUMIFS('Material Usage'!$M$5:$M$904,'Material Usage'!$A$5:$A$904,A277)+SUMIFS(Crochet!$AD$5:$AD$84,Crochet!$A$5:$A$84,A277)+SUMIFS(Jewelry!$AF$5:$AF$84,Jewelry!$A$5:$A$84,A277)+SUMIFS(Candles!$AF$5:$AF$84,Candles!$A$5:$A$84,A277)+SUMIFS(Clothing!$AB$5:$AB$84,Clothing!$A$5:$A$84,A277)+SUMIFS(Woodworking!$AC$5:$AC$84,Woodworking!$A$5:$A$84,A277)+SUMIFS(Digital!$X$5:$X$84,Digital!$A$5:$A$84,A277),2))</f>
        <v>0</v>
      </c>
      <c r="U277" s="20">
        <f>IF(B277="","",ROUND(SUMIFS(Labor!$O$5:$O$304,Labor!$A$5:$A$304,A277)+SUMIFS(Crochet!$AG$5:$AG$84,Crochet!$A$5:$A$84,A277)+SUMIFS(Jewelry!$AI$5:$AI$84,Jewelry!$A$5:$A$84,A277)+SUMIFS(Candles!$AI$5:$AI$84,Candles!$A$5:$A$84,A277)+SUMIFS(Clothing!$AE$5:$AE$84,Clothing!$A$5:$A$84,A277)+SUMIFS(Woodworking!$AF$5:$AF$84,Woodworking!$A$5:$A$84,A277)+SUMIFS(Digital!$Z$5:$Z$84,Digital!$A$5:$A$84,A277),2))</f>
        <v>0</v>
      </c>
      <c r="V277" s="36">
        <f>IF(B277="","",ROUND(SUMIFS(Labor!$P$5:$P$304,Labor!$A$5:$A$304,A277)+SUMIFS(Crochet!$AE$5:$AE$84,Crochet!$A$5:$A$84,A277)+SUMIFS(Jewelry!$AG$5:$AG$84,Jewelry!$A$5:$A$84,A277)+SUMIFS(Candles!$AG$5:$AG$84,Candles!$A$5:$A$84,A277)+SUMIFS(Clothing!$AC$5:$AC$84,Clothing!$A$5:$A$84,A277)+SUMIFS(Woodworking!$AD$5:$AD$84,Woodworking!$A$5:$A$84,A277)+SUMIFS(Digital!$Y$5:$Y$84,Digital!$A$5:$A$84,A277),1))</f>
        <v>0</v>
      </c>
      <c r="W277" s="41">
        <f>IF(B277="","",IFERROR(INDEX(DiffTimeFactors,MATCH(G277,DiffNames,0)),1))</f>
        <v>0</v>
      </c>
      <c r="X277" s="36">
        <f>IF(B277="","",ROUND(V277*W277,1))</f>
        <v>0</v>
      </c>
      <c r="Y277" s="41">
        <f>IF(B277="","",ROUND(X277/60,3))</f>
        <v>0</v>
      </c>
      <c r="Z277" s="20">
        <f>IF(B277="","",ROUND(U277*W277,2))</f>
        <v>0</v>
      </c>
      <c r="AA277" s="20">
        <f>IF(B277="","",ROUND(SUMIFS(Labor!$Q$5:$Q$304,Labor!$A$5:$A$304,A277)+SUMIFS(Crochet!$AH$5:$AH$84,Crochet!$A$5:$A$84,A277)+SUMIFS(Jewelry!$AJ$5:$AJ$84,Jewelry!$A$5:$A$84,A277)+SUMIFS(Candles!$AJ$5:$AJ$84,Candles!$A$5:$A$84,A277)+SUMIFS(Clothing!$AF$5:$AF$84,Clothing!$A$5:$A$84,A277)+SUMIFS(Woodworking!$AH$5:$AH$84,Woodworking!$A$5:$A$84,A277)+SUMIFS(Digital!$AA$5:$AA$84,Digital!$A$5:$A$84,A277),2))</f>
        <v>0</v>
      </c>
      <c r="AB277" s="20">
        <f>IF(B277="","",ROUND(IF(I277="Budget",PackBudget,IF(I277="Standard",PackStandard,IF(I277="Gift",PackGift,IF(I277="Premium",PackPremium,DefaultPackaging)))),2))</f>
        <v>0</v>
      </c>
      <c r="AC277" s="36">
        <f>IF(B277="","",IF(I277="Budget",PackWeightBudget,IF(I277="Standard",PackWeightStandard,IF(I277="Gift",PackWeightGift,IF(I277="Premium",PackWeightPremium,0)))))</f>
        <v>0</v>
      </c>
      <c r="AD277" s="20">
        <f>IF(B277="","",IFERROR(INDEX(Shipping!$M$5:$M$64,MATCH(J277,Shipping!$L$5:$L$64,0)),DefaultShipping))</f>
        <v>0</v>
      </c>
      <c r="AE277" s="20">
        <f>IF(B277="","",IFERROR(INDEX(Shipping!$F$5:$F$64,MATCH(J277,Shipping!$L$5:$L$64,0)),0))</f>
        <v>0</v>
      </c>
      <c r="AF277" s="36">
        <f>IF(B277="","",IFERROR(INDEX(Shipping!$C$5:$C$64,MATCH(J277,Shipping!$L$5:$L$64,0)),""))</f>
        <v>0</v>
      </c>
      <c r="AG277" s="20">
        <f>IF(B277="","",ROUND(MAX(0,AD277-AE277),2))</f>
        <v>0</v>
      </c>
      <c r="AH277" s="20">
        <f>IF(B277="","",ROUND(T277+Z277+AA277+AB277+AG277,2))</f>
        <v>0</v>
      </c>
      <c r="AI277" s="33">
        <f>IF(B277="","",IFERROR(INDEX(Channels!$S$5:$S$18,MATCH(IF(H277="",DefaultChannel,H277),Channels!$A$5:$A$18,0)),0))</f>
        <v>0</v>
      </c>
      <c r="AJ277" s="42">
        <f>IF(B277="","",IFERROR(INDEX(Channels!$O$5:$O$18,MATCH(IF(H277="",DefaultChannel,H277),Channels!$A$5:$A$18,0)),"No"))</f>
        <v>0</v>
      </c>
      <c r="AK277" s="20">
        <f>IF(B277="","",ROUND(IFERROR(INDEX(Channels!$T$5:$T$18,MATCH(IF(H277="",DefaultChannel,H277),Channels!$A$5:$A$18,0)),0)+IF(AJ277="Yes",AE277*AI277,0),4))</f>
        <v>0</v>
      </c>
      <c r="AL277" s="33">
        <f>IF(B277="","",IF(OverheadMethod="Share of revenue",IF(RevenueTargetMonth&lt;=0,0,OverheadMonthly/RevenueTargetMonth),0))</f>
        <v>0</v>
      </c>
      <c r="AM277" s="20">
        <f>IF(B277="","",IF(OverheadMethod="Per hour worked",ROUND(OverheadPerHour*Y277,2),IF(OR(OverheadMethod="Per unit made",OverheadMethod="Per order"),OverheadPerUnit,0)))</f>
        <v>0</v>
      </c>
      <c r="AN277" s="33">
        <f>IF(B277="","",IF(N277&lt;&gt;"",N277,TargetRetailMargin))</f>
        <v>0</v>
      </c>
      <c r="AO277" s="41">
        <f>IF(B277="","",1-AN277-AI277-AL277)</f>
        <v>0</v>
      </c>
      <c r="AP277" s="20">
        <f>IF(B277="","",IF(AO277&lt;=0,"",(AH277+AM277+AK277)/AO277))</f>
        <v>0</v>
      </c>
      <c r="AQ277" s="20">
        <f>IF(B277="","",IF(AP277="","Check the settings",ROUND(IF(RoundingRule="None",AP277,IF(RoundingRule="Nearest 0.99",MAX(0.99,CEILING(AP277,1)-0.01),IF(RoundingRule="Nearest 0.95",MAX(0.95,CEILING(AP277,1)-0.05),IF(RoundingRule="Nearest 0.50",CEILING(AP277,0.5),IF(RoundingRule="Nearest 1",CEILING(AP277,1),IF(RoundingRule="Nearest 5",CEILING(AP277,5),IF(RoundingRule="Up to whole 1",CEILING(AP277,1),IF(RoundingRule="Up to whole 5",CEILING(AP277,5),ROUND(AP277,2))))))))),2)))</f>
        <v>0</v>
      </c>
      <c r="AR277" s="20">
        <f>IF(B277="","",IF(M277&lt;&gt;"",M277,IF(ISNUMBER(AQ277),AQ277,"")))</f>
        <v>0</v>
      </c>
      <c r="AS277" s="20">
        <f>IF(B277="","",IF(AR277="","",ROUND(AM277+AR277*AL277,2)))</f>
        <v>0</v>
      </c>
      <c r="AT277" s="20">
        <f>IF(B277="","",IF(AR277="","",ROUND(AH277+AS277,2)))</f>
        <v>0</v>
      </c>
      <c r="AU277" s="20">
        <f>IF(B277="","",IF(AR277="","",ROUND(AR277*AI277+AK277,2)))</f>
        <v>0</v>
      </c>
      <c r="AV277" s="20">
        <f>IF(B277="","",IF(AR277="","",ROUND(AR277-AT277-AU277,2)))</f>
        <v>0</v>
      </c>
      <c r="AW277" s="33">
        <f>IF(B277="","",IF(OR(AR277="",AR277=0),"",AV277/AR277))</f>
        <v>0</v>
      </c>
      <c r="AX277" s="33">
        <f>IF(B277="","",IF(OR(AT277="",AT277=0),"",AV277/AT277))</f>
        <v>0</v>
      </c>
      <c r="AY277" s="20">
        <f>IF(B277="","",IF(OR(Y277="",Y277=0,AV277=""),"",ROUND(AV277/Y277,2)))</f>
        <v>0</v>
      </c>
      <c r="AZ277" s="20">
        <f>IF(B277="","",IF(OR(Y277="",Y277=0,AV277=""),"",ROUND((AV277+Z277)/Y277,2)))</f>
        <v>0</v>
      </c>
      <c r="BA277" s="20">
        <f>IF(B277="","",IF(1-AI277-AL277&lt;=0,"",ROUND((AH277+AM277+AK277)/(1-AI277-AL277),2)))</f>
        <v>0</v>
      </c>
      <c r="BB277" s="20">
        <f>IF(B277="","",IF(AT277="","",ROUND(AT277*2,2)))</f>
        <v>0</v>
      </c>
      <c r="BC277" s="20">
        <f>IF(B277="","",IF(AR277="","",ROUND(AR277*(1-WholesaleDiscount),2)))</f>
        <v>0</v>
      </c>
      <c r="BD277" s="20">
        <f>IF(B277="","",IF(BC277="","",ROUND(BC277-AH277-AM277,2)))</f>
        <v>0</v>
      </c>
      <c r="BE277" s="33">
        <f>IF(B277="","",IF(OR(BC277="",BC277=0),"",BD277/BC277))</f>
        <v>0</v>
      </c>
      <c r="BF277" s="20">
        <f>IF(B277="","",IFERROR(ROUND(AVERAGEIFS(Competitors!$F$5:$F$154,Competitors!$A$5:$A$154,A277),2),""))</f>
        <v>0</v>
      </c>
      <c r="BG277" s="33">
        <f>IF(B277="","",IF(OR(BF277="",BF277=0,AR277=""),"",AR277/BF277-1))</f>
        <v>0</v>
      </c>
      <c r="BH277" s="32">
        <f>IF(B277="","",SUMIFS(Sales!$D$5:$D$804,Sales!$C$5:$C$804,A277))</f>
        <v>0</v>
      </c>
      <c r="BI277" s="20">
        <f>IF(B277="","",ROUND(SUMIFS(Sales!$V$5:$V$804,Sales!$C$5:$C$804,A277),2))</f>
        <v>0</v>
      </c>
      <c r="BJ277" s="20">
        <f>IF(B277="","",ROUND(SUMIFS(Sales!$AG$5:$AG$804,Sales!$C$5:$C$804,A277),2))</f>
        <v>0</v>
      </c>
      <c r="BK277" s="33">
        <f>IF(B277="","",IF(OR(BI277="",BI277=0),"",BJ277/BI277))</f>
        <v>0</v>
      </c>
      <c r="BL277" s="17">
        <f>IF(B277="","",IF(SUMPRODUCT(MAX((Sales!$C$5:$C$804=A277)*Sales!$B$5:$B$804))=0,"",SUMPRODUCT(MAX((Sales!$C$5:$C$804=A277)*Sales!$B$5:$B$804))))</f>
        <v>0</v>
      </c>
      <c r="BM277" s="17">
        <f>IF(B277="","",IF(SUMPRODUCT(MAX(('Price History'!$B$5:$B$304=A277)*'Price History'!$A$5:$A$304))=0,IF(P277="","",P277),SUMPRODUCT(MAX(('Price History'!$B$5:$B$304=A277)*'Price History'!$A$5:$A$304))))</f>
        <v>0</v>
      </c>
      <c r="BN277" s="32">
        <f>IF(B277="","",IF(BM277="","",TodayDate-BM277))</f>
        <v>0</v>
      </c>
      <c r="BO277" s="32">
        <f>IF(B277="","",COUNTIFS($AV$5:$AV$304,"&gt;"&amp;AV277)+COUNTIFS($AV$5:AV277,AV277))</f>
        <v>0</v>
      </c>
      <c r="BP277" s="32">
        <f>IF(B277="","",COUNTIFS($AW$5:$AW$304,"&gt;"&amp;AW277)+COUNTIFS($AW$5:AW277,AW277))</f>
        <v>0</v>
      </c>
      <c r="BQ277" s="32">
        <f>IF(B277="","",COUNTIFS($BI$5:$BI$304,"&gt;"&amp;BI277)+COUNTIFS($BI$5:BI277,BI277))</f>
        <v>0</v>
      </c>
      <c r="BR277" s="32">
        <f>IF(B277="","",COUNTIFS($AY$5:$AY$304,"&gt;"&amp;AY277)+COUNTIFS($AY$5:AY277,AY277))</f>
        <v>0</v>
      </c>
      <c r="BS277" s="43">
        <f>IF(B277="","",IF(AH277=0,"Add - no costs entered yet",IF(AR277="","Check - no price yet",IF(AV277&lt;0,"Loss - every sale costs you money",IF(AND(AZ277&lt;&gt;"",AZ277&lt;MinimumWage),"Below - pays under minimum wage",IF(AW277&lt;MarginWarning,"Low margin - re-price it",IF(AND(AF277&lt;&gt;"",K277&lt;&gt;"",K277+AC277&gt;AF277),"Check - too heavy for that postage band",IF(AND(BN277&lt;&gt;"",BN277&gt;PriceReviewDays),"Due - price has not been reviewed",IF(AND(BG277&lt;&gt;"",BG277&gt;0.5),"Check - well above the market","OK")))))))) )</f>
        <v>0</v>
      </c>
    </row>
    <row r="278" spans="1:71">
      <c r="A278" s="38">
        <f>IF(B278="","",ProductPrefix&amp;TEXT(ROW()-4,"0000"))</f>
        <v>0</v>
      </c>
      <c r="S278" s="38">
        <f>IF(B278="","",IF(C278&lt;&gt;"",C278,UPPER(LEFT(IF(D278="","GEN",D278),3))&amp;"-"&amp;TEXT(ROW()-4,"000")))</f>
        <v>0</v>
      </c>
      <c r="T278" s="20">
        <f>IF(B278="","",ROUND(SUMIFS('Material Usage'!$M$5:$M$904,'Material Usage'!$A$5:$A$904,A278)+SUMIFS(Crochet!$AD$5:$AD$84,Crochet!$A$5:$A$84,A278)+SUMIFS(Jewelry!$AF$5:$AF$84,Jewelry!$A$5:$A$84,A278)+SUMIFS(Candles!$AF$5:$AF$84,Candles!$A$5:$A$84,A278)+SUMIFS(Clothing!$AB$5:$AB$84,Clothing!$A$5:$A$84,A278)+SUMIFS(Woodworking!$AC$5:$AC$84,Woodworking!$A$5:$A$84,A278)+SUMIFS(Digital!$X$5:$X$84,Digital!$A$5:$A$84,A278),2))</f>
        <v>0</v>
      </c>
      <c r="U278" s="20">
        <f>IF(B278="","",ROUND(SUMIFS(Labor!$O$5:$O$304,Labor!$A$5:$A$304,A278)+SUMIFS(Crochet!$AG$5:$AG$84,Crochet!$A$5:$A$84,A278)+SUMIFS(Jewelry!$AI$5:$AI$84,Jewelry!$A$5:$A$84,A278)+SUMIFS(Candles!$AI$5:$AI$84,Candles!$A$5:$A$84,A278)+SUMIFS(Clothing!$AE$5:$AE$84,Clothing!$A$5:$A$84,A278)+SUMIFS(Woodworking!$AF$5:$AF$84,Woodworking!$A$5:$A$84,A278)+SUMIFS(Digital!$Z$5:$Z$84,Digital!$A$5:$A$84,A278),2))</f>
        <v>0</v>
      </c>
      <c r="V278" s="36">
        <f>IF(B278="","",ROUND(SUMIFS(Labor!$P$5:$P$304,Labor!$A$5:$A$304,A278)+SUMIFS(Crochet!$AE$5:$AE$84,Crochet!$A$5:$A$84,A278)+SUMIFS(Jewelry!$AG$5:$AG$84,Jewelry!$A$5:$A$84,A278)+SUMIFS(Candles!$AG$5:$AG$84,Candles!$A$5:$A$84,A278)+SUMIFS(Clothing!$AC$5:$AC$84,Clothing!$A$5:$A$84,A278)+SUMIFS(Woodworking!$AD$5:$AD$84,Woodworking!$A$5:$A$84,A278)+SUMIFS(Digital!$Y$5:$Y$84,Digital!$A$5:$A$84,A278),1))</f>
        <v>0</v>
      </c>
      <c r="W278" s="41">
        <f>IF(B278="","",IFERROR(INDEX(DiffTimeFactors,MATCH(G278,DiffNames,0)),1))</f>
        <v>0</v>
      </c>
      <c r="X278" s="36">
        <f>IF(B278="","",ROUND(V278*W278,1))</f>
        <v>0</v>
      </c>
      <c r="Y278" s="41">
        <f>IF(B278="","",ROUND(X278/60,3))</f>
        <v>0</v>
      </c>
      <c r="Z278" s="20">
        <f>IF(B278="","",ROUND(U278*W278,2))</f>
        <v>0</v>
      </c>
      <c r="AA278" s="20">
        <f>IF(B278="","",ROUND(SUMIFS(Labor!$Q$5:$Q$304,Labor!$A$5:$A$304,A278)+SUMIFS(Crochet!$AH$5:$AH$84,Crochet!$A$5:$A$84,A278)+SUMIFS(Jewelry!$AJ$5:$AJ$84,Jewelry!$A$5:$A$84,A278)+SUMIFS(Candles!$AJ$5:$AJ$84,Candles!$A$5:$A$84,A278)+SUMIFS(Clothing!$AF$5:$AF$84,Clothing!$A$5:$A$84,A278)+SUMIFS(Woodworking!$AH$5:$AH$84,Woodworking!$A$5:$A$84,A278)+SUMIFS(Digital!$AA$5:$AA$84,Digital!$A$5:$A$84,A278),2))</f>
        <v>0</v>
      </c>
      <c r="AB278" s="20">
        <f>IF(B278="","",ROUND(IF(I278="Budget",PackBudget,IF(I278="Standard",PackStandard,IF(I278="Gift",PackGift,IF(I278="Premium",PackPremium,DefaultPackaging)))),2))</f>
        <v>0</v>
      </c>
      <c r="AC278" s="36">
        <f>IF(B278="","",IF(I278="Budget",PackWeightBudget,IF(I278="Standard",PackWeightStandard,IF(I278="Gift",PackWeightGift,IF(I278="Premium",PackWeightPremium,0)))))</f>
        <v>0</v>
      </c>
      <c r="AD278" s="20">
        <f>IF(B278="","",IFERROR(INDEX(Shipping!$M$5:$M$64,MATCH(J278,Shipping!$L$5:$L$64,0)),DefaultShipping))</f>
        <v>0</v>
      </c>
      <c r="AE278" s="20">
        <f>IF(B278="","",IFERROR(INDEX(Shipping!$F$5:$F$64,MATCH(J278,Shipping!$L$5:$L$64,0)),0))</f>
        <v>0</v>
      </c>
      <c r="AF278" s="36">
        <f>IF(B278="","",IFERROR(INDEX(Shipping!$C$5:$C$64,MATCH(J278,Shipping!$L$5:$L$64,0)),""))</f>
        <v>0</v>
      </c>
      <c r="AG278" s="20">
        <f>IF(B278="","",ROUND(MAX(0,AD278-AE278),2))</f>
        <v>0</v>
      </c>
      <c r="AH278" s="20">
        <f>IF(B278="","",ROUND(T278+Z278+AA278+AB278+AG278,2))</f>
        <v>0</v>
      </c>
      <c r="AI278" s="33">
        <f>IF(B278="","",IFERROR(INDEX(Channels!$S$5:$S$18,MATCH(IF(H278="",DefaultChannel,H278),Channels!$A$5:$A$18,0)),0))</f>
        <v>0</v>
      </c>
      <c r="AJ278" s="42">
        <f>IF(B278="","",IFERROR(INDEX(Channels!$O$5:$O$18,MATCH(IF(H278="",DefaultChannel,H278),Channels!$A$5:$A$18,0)),"No"))</f>
        <v>0</v>
      </c>
      <c r="AK278" s="20">
        <f>IF(B278="","",ROUND(IFERROR(INDEX(Channels!$T$5:$T$18,MATCH(IF(H278="",DefaultChannel,H278),Channels!$A$5:$A$18,0)),0)+IF(AJ278="Yes",AE278*AI278,0),4))</f>
        <v>0</v>
      </c>
      <c r="AL278" s="33">
        <f>IF(B278="","",IF(OverheadMethod="Share of revenue",IF(RevenueTargetMonth&lt;=0,0,OverheadMonthly/RevenueTargetMonth),0))</f>
        <v>0</v>
      </c>
      <c r="AM278" s="20">
        <f>IF(B278="","",IF(OverheadMethod="Per hour worked",ROUND(OverheadPerHour*Y278,2),IF(OR(OverheadMethod="Per unit made",OverheadMethod="Per order"),OverheadPerUnit,0)))</f>
        <v>0</v>
      </c>
      <c r="AN278" s="33">
        <f>IF(B278="","",IF(N278&lt;&gt;"",N278,TargetRetailMargin))</f>
        <v>0</v>
      </c>
      <c r="AO278" s="41">
        <f>IF(B278="","",1-AN278-AI278-AL278)</f>
        <v>0</v>
      </c>
      <c r="AP278" s="20">
        <f>IF(B278="","",IF(AO278&lt;=0,"",(AH278+AM278+AK278)/AO278))</f>
        <v>0</v>
      </c>
      <c r="AQ278" s="20">
        <f>IF(B278="","",IF(AP278="","Check the settings",ROUND(IF(RoundingRule="None",AP278,IF(RoundingRule="Nearest 0.99",MAX(0.99,CEILING(AP278,1)-0.01),IF(RoundingRule="Nearest 0.95",MAX(0.95,CEILING(AP278,1)-0.05),IF(RoundingRule="Nearest 0.50",CEILING(AP278,0.5),IF(RoundingRule="Nearest 1",CEILING(AP278,1),IF(RoundingRule="Nearest 5",CEILING(AP278,5),IF(RoundingRule="Up to whole 1",CEILING(AP278,1),IF(RoundingRule="Up to whole 5",CEILING(AP278,5),ROUND(AP278,2))))))))),2)))</f>
        <v>0</v>
      </c>
      <c r="AR278" s="20">
        <f>IF(B278="","",IF(M278&lt;&gt;"",M278,IF(ISNUMBER(AQ278),AQ278,"")))</f>
        <v>0</v>
      </c>
      <c r="AS278" s="20">
        <f>IF(B278="","",IF(AR278="","",ROUND(AM278+AR278*AL278,2)))</f>
        <v>0</v>
      </c>
      <c r="AT278" s="20">
        <f>IF(B278="","",IF(AR278="","",ROUND(AH278+AS278,2)))</f>
        <v>0</v>
      </c>
      <c r="AU278" s="20">
        <f>IF(B278="","",IF(AR278="","",ROUND(AR278*AI278+AK278,2)))</f>
        <v>0</v>
      </c>
      <c r="AV278" s="20">
        <f>IF(B278="","",IF(AR278="","",ROUND(AR278-AT278-AU278,2)))</f>
        <v>0</v>
      </c>
      <c r="AW278" s="33">
        <f>IF(B278="","",IF(OR(AR278="",AR278=0),"",AV278/AR278))</f>
        <v>0</v>
      </c>
      <c r="AX278" s="33">
        <f>IF(B278="","",IF(OR(AT278="",AT278=0),"",AV278/AT278))</f>
        <v>0</v>
      </c>
      <c r="AY278" s="20">
        <f>IF(B278="","",IF(OR(Y278="",Y278=0,AV278=""),"",ROUND(AV278/Y278,2)))</f>
        <v>0</v>
      </c>
      <c r="AZ278" s="20">
        <f>IF(B278="","",IF(OR(Y278="",Y278=0,AV278=""),"",ROUND((AV278+Z278)/Y278,2)))</f>
        <v>0</v>
      </c>
      <c r="BA278" s="20">
        <f>IF(B278="","",IF(1-AI278-AL278&lt;=0,"",ROUND((AH278+AM278+AK278)/(1-AI278-AL278),2)))</f>
        <v>0</v>
      </c>
      <c r="BB278" s="20">
        <f>IF(B278="","",IF(AT278="","",ROUND(AT278*2,2)))</f>
        <v>0</v>
      </c>
      <c r="BC278" s="20">
        <f>IF(B278="","",IF(AR278="","",ROUND(AR278*(1-WholesaleDiscount),2)))</f>
        <v>0</v>
      </c>
      <c r="BD278" s="20">
        <f>IF(B278="","",IF(BC278="","",ROUND(BC278-AH278-AM278,2)))</f>
        <v>0</v>
      </c>
      <c r="BE278" s="33">
        <f>IF(B278="","",IF(OR(BC278="",BC278=0),"",BD278/BC278))</f>
        <v>0</v>
      </c>
      <c r="BF278" s="20">
        <f>IF(B278="","",IFERROR(ROUND(AVERAGEIFS(Competitors!$F$5:$F$154,Competitors!$A$5:$A$154,A278),2),""))</f>
        <v>0</v>
      </c>
      <c r="BG278" s="33">
        <f>IF(B278="","",IF(OR(BF278="",BF278=0,AR278=""),"",AR278/BF278-1))</f>
        <v>0</v>
      </c>
      <c r="BH278" s="32">
        <f>IF(B278="","",SUMIFS(Sales!$D$5:$D$804,Sales!$C$5:$C$804,A278))</f>
        <v>0</v>
      </c>
      <c r="BI278" s="20">
        <f>IF(B278="","",ROUND(SUMIFS(Sales!$V$5:$V$804,Sales!$C$5:$C$804,A278),2))</f>
        <v>0</v>
      </c>
      <c r="BJ278" s="20">
        <f>IF(B278="","",ROUND(SUMIFS(Sales!$AG$5:$AG$804,Sales!$C$5:$C$804,A278),2))</f>
        <v>0</v>
      </c>
      <c r="BK278" s="33">
        <f>IF(B278="","",IF(OR(BI278="",BI278=0),"",BJ278/BI278))</f>
        <v>0</v>
      </c>
      <c r="BL278" s="17">
        <f>IF(B278="","",IF(SUMPRODUCT(MAX((Sales!$C$5:$C$804=A278)*Sales!$B$5:$B$804))=0,"",SUMPRODUCT(MAX((Sales!$C$5:$C$804=A278)*Sales!$B$5:$B$804))))</f>
        <v>0</v>
      </c>
      <c r="BM278" s="17">
        <f>IF(B278="","",IF(SUMPRODUCT(MAX(('Price History'!$B$5:$B$304=A278)*'Price History'!$A$5:$A$304))=0,IF(P278="","",P278),SUMPRODUCT(MAX(('Price History'!$B$5:$B$304=A278)*'Price History'!$A$5:$A$304))))</f>
        <v>0</v>
      </c>
      <c r="BN278" s="32">
        <f>IF(B278="","",IF(BM278="","",TodayDate-BM278))</f>
        <v>0</v>
      </c>
      <c r="BO278" s="32">
        <f>IF(B278="","",COUNTIFS($AV$5:$AV$304,"&gt;"&amp;AV278)+COUNTIFS($AV$5:AV278,AV278))</f>
        <v>0</v>
      </c>
      <c r="BP278" s="32">
        <f>IF(B278="","",COUNTIFS($AW$5:$AW$304,"&gt;"&amp;AW278)+COUNTIFS($AW$5:AW278,AW278))</f>
        <v>0</v>
      </c>
      <c r="BQ278" s="32">
        <f>IF(B278="","",COUNTIFS($BI$5:$BI$304,"&gt;"&amp;BI278)+COUNTIFS($BI$5:BI278,BI278))</f>
        <v>0</v>
      </c>
      <c r="BR278" s="32">
        <f>IF(B278="","",COUNTIFS($AY$5:$AY$304,"&gt;"&amp;AY278)+COUNTIFS($AY$5:AY278,AY278))</f>
        <v>0</v>
      </c>
      <c r="BS278" s="43">
        <f>IF(B278="","",IF(AH278=0,"Add - no costs entered yet",IF(AR278="","Check - no price yet",IF(AV278&lt;0,"Loss - every sale costs you money",IF(AND(AZ278&lt;&gt;"",AZ278&lt;MinimumWage),"Below - pays under minimum wage",IF(AW278&lt;MarginWarning,"Low margin - re-price it",IF(AND(AF278&lt;&gt;"",K278&lt;&gt;"",K278+AC278&gt;AF278),"Check - too heavy for that postage band",IF(AND(BN278&lt;&gt;"",BN278&gt;PriceReviewDays),"Due - price has not been reviewed",IF(AND(BG278&lt;&gt;"",BG278&gt;0.5),"Check - well above the market","OK")))))))) )</f>
        <v>0</v>
      </c>
    </row>
    <row r="279" spans="1:71">
      <c r="A279" s="38">
        <f>IF(B279="","",ProductPrefix&amp;TEXT(ROW()-4,"0000"))</f>
        <v>0</v>
      </c>
      <c r="S279" s="38">
        <f>IF(B279="","",IF(C279&lt;&gt;"",C279,UPPER(LEFT(IF(D279="","GEN",D279),3))&amp;"-"&amp;TEXT(ROW()-4,"000")))</f>
        <v>0</v>
      </c>
      <c r="T279" s="20">
        <f>IF(B279="","",ROUND(SUMIFS('Material Usage'!$M$5:$M$904,'Material Usage'!$A$5:$A$904,A279)+SUMIFS(Crochet!$AD$5:$AD$84,Crochet!$A$5:$A$84,A279)+SUMIFS(Jewelry!$AF$5:$AF$84,Jewelry!$A$5:$A$84,A279)+SUMIFS(Candles!$AF$5:$AF$84,Candles!$A$5:$A$84,A279)+SUMIFS(Clothing!$AB$5:$AB$84,Clothing!$A$5:$A$84,A279)+SUMIFS(Woodworking!$AC$5:$AC$84,Woodworking!$A$5:$A$84,A279)+SUMIFS(Digital!$X$5:$X$84,Digital!$A$5:$A$84,A279),2))</f>
        <v>0</v>
      </c>
      <c r="U279" s="20">
        <f>IF(B279="","",ROUND(SUMIFS(Labor!$O$5:$O$304,Labor!$A$5:$A$304,A279)+SUMIFS(Crochet!$AG$5:$AG$84,Crochet!$A$5:$A$84,A279)+SUMIFS(Jewelry!$AI$5:$AI$84,Jewelry!$A$5:$A$84,A279)+SUMIFS(Candles!$AI$5:$AI$84,Candles!$A$5:$A$84,A279)+SUMIFS(Clothing!$AE$5:$AE$84,Clothing!$A$5:$A$84,A279)+SUMIFS(Woodworking!$AF$5:$AF$84,Woodworking!$A$5:$A$84,A279)+SUMIFS(Digital!$Z$5:$Z$84,Digital!$A$5:$A$84,A279),2))</f>
        <v>0</v>
      </c>
      <c r="V279" s="36">
        <f>IF(B279="","",ROUND(SUMIFS(Labor!$P$5:$P$304,Labor!$A$5:$A$304,A279)+SUMIFS(Crochet!$AE$5:$AE$84,Crochet!$A$5:$A$84,A279)+SUMIFS(Jewelry!$AG$5:$AG$84,Jewelry!$A$5:$A$84,A279)+SUMIFS(Candles!$AG$5:$AG$84,Candles!$A$5:$A$84,A279)+SUMIFS(Clothing!$AC$5:$AC$84,Clothing!$A$5:$A$84,A279)+SUMIFS(Woodworking!$AD$5:$AD$84,Woodworking!$A$5:$A$84,A279)+SUMIFS(Digital!$Y$5:$Y$84,Digital!$A$5:$A$84,A279),1))</f>
        <v>0</v>
      </c>
      <c r="W279" s="41">
        <f>IF(B279="","",IFERROR(INDEX(DiffTimeFactors,MATCH(G279,DiffNames,0)),1))</f>
        <v>0</v>
      </c>
      <c r="X279" s="36">
        <f>IF(B279="","",ROUND(V279*W279,1))</f>
        <v>0</v>
      </c>
      <c r="Y279" s="41">
        <f>IF(B279="","",ROUND(X279/60,3))</f>
        <v>0</v>
      </c>
      <c r="Z279" s="20">
        <f>IF(B279="","",ROUND(U279*W279,2))</f>
        <v>0</v>
      </c>
      <c r="AA279" s="20">
        <f>IF(B279="","",ROUND(SUMIFS(Labor!$Q$5:$Q$304,Labor!$A$5:$A$304,A279)+SUMIFS(Crochet!$AH$5:$AH$84,Crochet!$A$5:$A$84,A279)+SUMIFS(Jewelry!$AJ$5:$AJ$84,Jewelry!$A$5:$A$84,A279)+SUMIFS(Candles!$AJ$5:$AJ$84,Candles!$A$5:$A$84,A279)+SUMIFS(Clothing!$AF$5:$AF$84,Clothing!$A$5:$A$84,A279)+SUMIFS(Woodworking!$AH$5:$AH$84,Woodworking!$A$5:$A$84,A279)+SUMIFS(Digital!$AA$5:$AA$84,Digital!$A$5:$A$84,A279),2))</f>
        <v>0</v>
      </c>
      <c r="AB279" s="20">
        <f>IF(B279="","",ROUND(IF(I279="Budget",PackBudget,IF(I279="Standard",PackStandard,IF(I279="Gift",PackGift,IF(I279="Premium",PackPremium,DefaultPackaging)))),2))</f>
        <v>0</v>
      </c>
      <c r="AC279" s="36">
        <f>IF(B279="","",IF(I279="Budget",PackWeightBudget,IF(I279="Standard",PackWeightStandard,IF(I279="Gift",PackWeightGift,IF(I279="Premium",PackWeightPremium,0)))))</f>
        <v>0</v>
      </c>
      <c r="AD279" s="20">
        <f>IF(B279="","",IFERROR(INDEX(Shipping!$M$5:$M$64,MATCH(J279,Shipping!$L$5:$L$64,0)),DefaultShipping))</f>
        <v>0</v>
      </c>
      <c r="AE279" s="20">
        <f>IF(B279="","",IFERROR(INDEX(Shipping!$F$5:$F$64,MATCH(J279,Shipping!$L$5:$L$64,0)),0))</f>
        <v>0</v>
      </c>
      <c r="AF279" s="36">
        <f>IF(B279="","",IFERROR(INDEX(Shipping!$C$5:$C$64,MATCH(J279,Shipping!$L$5:$L$64,0)),""))</f>
        <v>0</v>
      </c>
      <c r="AG279" s="20">
        <f>IF(B279="","",ROUND(MAX(0,AD279-AE279),2))</f>
        <v>0</v>
      </c>
      <c r="AH279" s="20">
        <f>IF(B279="","",ROUND(T279+Z279+AA279+AB279+AG279,2))</f>
        <v>0</v>
      </c>
      <c r="AI279" s="33">
        <f>IF(B279="","",IFERROR(INDEX(Channels!$S$5:$S$18,MATCH(IF(H279="",DefaultChannel,H279),Channels!$A$5:$A$18,0)),0))</f>
        <v>0</v>
      </c>
      <c r="AJ279" s="42">
        <f>IF(B279="","",IFERROR(INDEX(Channels!$O$5:$O$18,MATCH(IF(H279="",DefaultChannel,H279),Channels!$A$5:$A$18,0)),"No"))</f>
        <v>0</v>
      </c>
      <c r="AK279" s="20">
        <f>IF(B279="","",ROUND(IFERROR(INDEX(Channels!$T$5:$T$18,MATCH(IF(H279="",DefaultChannel,H279),Channels!$A$5:$A$18,0)),0)+IF(AJ279="Yes",AE279*AI279,0),4))</f>
        <v>0</v>
      </c>
      <c r="AL279" s="33">
        <f>IF(B279="","",IF(OverheadMethod="Share of revenue",IF(RevenueTargetMonth&lt;=0,0,OverheadMonthly/RevenueTargetMonth),0))</f>
        <v>0</v>
      </c>
      <c r="AM279" s="20">
        <f>IF(B279="","",IF(OverheadMethod="Per hour worked",ROUND(OverheadPerHour*Y279,2),IF(OR(OverheadMethod="Per unit made",OverheadMethod="Per order"),OverheadPerUnit,0)))</f>
        <v>0</v>
      </c>
      <c r="AN279" s="33">
        <f>IF(B279="","",IF(N279&lt;&gt;"",N279,TargetRetailMargin))</f>
        <v>0</v>
      </c>
      <c r="AO279" s="41">
        <f>IF(B279="","",1-AN279-AI279-AL279)</f>
        <v>0</v>
      </c>
      <c r="AP279" s="20">
        <f>IF(B279="","",IF(AO279&lt;=0,"",(AH279+AM279+AK279)/AO279))</f>
        <v>0</v>
      </c>
      <c r="AQ279" s="20">
        <f>IF(B279="","",IF(AP279="","Check the settings",ROUND(IF(RoundingRule="None",AP279,IF(RoundingRule="Nearest 0.99",MAX(0.99,CEILING(AP279,1)-0.01),IF(RoundingRule="Nearest 0.95",MAX(0.95,CEILING(AP279,1)-0.05),IF(RoundingRule="Nearest 0.50",CEILING(AP279,0.5),IF(RoundingRule="Nearest 1",CEILING(AP279,1),IF(RoundingRule="Nearest 5",CEILING(AP279,5),IF(RoundingRule="Up to whole 1",CEILING(AP279,1),IF(RoundingRule="Up to whole 5",CEILING(AP279,5),ROUND(AP279,2))))))))),2)))</f>
        <v>0</v>
      </c>
      <c r="AR279" s="20">
        <f>IF(B279="","",IF(M279&lt;&gt;"",M279,IF(ISNUMBER(AQ279),AQ279,"")))</f>
        <v>0</v>
      </c>
      <c r="AS279" s="20">
        <f>IF(B279="","",IF(AR279="","",ROUND(AM279+AR279*AL279,2)))</f>
        <v>0</v>
      </c>
      <c r="AT279" s="20">
        <f>IF(B279="","",IF(AR279="","",ROUND(AH279+AS279,2)))</f>
        <v>0</v>
      </c>
      <c r="AU279" s="20">
        <f>IF(B279="","",IF(AR279="","",ROUND(AR279*AI279+AK279,2)))</f>
        <v>0</v>
      </c>
      <c r="AV279" s="20">
        <f>IF(B279="","",IF(AR279="","",ROUND(AR279-AT279-AU279,2)))</f>
        <v>0</v>
      </c>
      <c r="AW279" s="33">
        <f>IF(B279="","",IF(OR(AR279="",AR279=0),"",AV279/AR279))</f>
        <v>0</v>
      </c>
      <c r="AX279" s="33">
        <f>IF(B279="","",IF(OR(AT279="",AT279=0),"",AV279/AT279))</f>
        <v>0</v>
      </c>
      <c r="AY279" s="20">
        <f>IF(B279="","",IF(OR(Y279="",Y279=0,AV279=""),"",ROUND(AV279/Y279,2)))</f>
        <v>0</v>
      </c>
      <c r="AZ279" s="20">
        <f>IF(B279="","",IF(OR(Y279="",Y279=0,AV279=""),"",ROUND((AV279+Z279)/Y279,2)))</f>
        <v>0</v>
      </c>
      <c r="BA279" s="20">
        <f>IF(B279="","",IF(1-AI279-AL279&lt;=0,"",ROUND((AH279+AM279+AK279)/(1-AI279-AL279),2)))</f>
        <v>0</v>
      </c>
      <c r="BB279" s="20">
        <f>IF(B279="","",IF(AT279="","",ROUND(AT279*2,2)))</f>
        <v>0</v>
      </c>
      <c r="BC279" s="20">
        <f>IF(B279="","",IF(AR279="","",ROUND(AR279*(1-WholesaleDiscount),2)))</f>
        <v>0</v>
      </c>
      <c r="BD279" s="20">
        <f>IF(B279="","",IF(BC279="","",ROUND(BC279-AH279-AM279,2)))</f>
        <v>0</v>
      </c>
      <c r="BE279" s="33">
        <f>IF(B279="","",IF(OR(BC279="",BC279=0),"",BD279/BC279))</f>
        <v>0</v>
      </c>
      <c r="BF279" s="20">
        <f>IF(B279="","",IFERROR(ROUND(AVERAGEIFS(Competitors!$F$5:$F$154,Competitors!$A$5:$A$154,A279),2),""))</f>
        <v>0</v>
      </c>
      <c r="BG279" s="33">
        <f>IF(B279="","",IF(OR(BF279="",BF279=0,AR279=""),"",AR279/BF279-1))</f>
        <v>0</v>
      </c>
      <c r="BH279" s="32">
        <f>IF(B279="","",SUMIFS(Sales!$D$5:$D$804,Sales!$C$5:$C$804,A279))</f>
        <v>0</v>
      </c>
      <c r="BI279" s="20">
        <f>IF(B279="","",ROUND(SUMIFS(Sales!$V$5:$V$804,Sales!$C$5:$C$804,A279),2))</f>
        <v>0</v>
      </c>
      <c r="BJ279" s="20">
        <f>IF(B279="","",ROUND(SUMIFS(Sales!$AG$5:$AG$804,Sales!$C$5:$C$804,A279),2))</f>
        <v>0</v>
      </c>
      <c r="BK279" s="33">
        <f>IF(B279="","",IF(OR(BI279="",BI279=0),"",BJ279/BI279))</f>
        <v>0</v>
      </c>
      <c r="BL279" s="17">
        <f>IF(B279="","",IF(SUMPRODUCT(MAX((Sales!$C$5:$C$804=A279)*Sales!$B$5:$B$804))=0,"",SUMPRODUCT(MAX((Sales!$C$5:$C$804=A279)*Sales!$B$5:$B$804))))</f>
        <v>0</v>
      </c>
      <c r="BM279" s="17">
        <f>IF(B279="","",IF(SUMPRODUCT(MAX(('Price History'!$B$5:$B$304=A279)*'Price History'!$A$5:$A$304))=0,IF(P279="","",P279),SUMPRODUCT(MAX(('Price History'!$B$5:$B$304=A279)*'Price History'!$A$5:$A$304))))</f>
        <v>0</v>
      </c>
      <c r="BN279" s="32">
        <f>IF(B279="","",IF(BM279="","",TodayDate-BM279))</f>
        <v>0</v>
      </c>
      <c r="BO279" s="32">
        <f>IF(B279="","",COUNTIFS($AV$5:$AV$304,"&gt;"&amp;AV279)+COUNTIFS($AV$5:AV279,AV279))</f>
        <v>0</v>
      </c>
      <c r="BP279" s="32">
        <f>IF(B279="","",COUNTIFS($AW$5:$AW$304,"&gt;"&amp;AW279)+COUNTIFS($AW$5:AW279,AW279))</f>
        <v>0</v>
      </c>
      <c r="BQ279" s="32">
        <f>IF(B279="","",COUNTIFS($BI$5:$BI$304,"&gt;"&amp;BI279)+COUNTIFS($BI$5:BI279,BI279))</f>
        <v>0</v>
      </c>
      <c r="BR279" s="32">
        <f>IF(B279="","",COUNTIFS($AY$5:$AY$304,"&gt;"&amp;AY279)+COUNTIFS($AY$5:AY279,AY279))</f>
        <v>0</v>
      </c>
      <c r="BS279" s="43">
        <f>IF(B279="","",IF(AH279=0,"Add - no costs entered yet",IF(AR279="","Check - no price yet",IF(AV279&lt;0,"Loss - every sale costs you money",IF(AND(AZ279&lt;&gt;"",AZ279&lt;MinimumWage),"Below - pays under minimum wage",IF(AW279&lt;MarginWarning,"Low margin - re-price it",IF(AND(AF279&lt;&gt;"",K279&lt;&gt;"",K279+AC279&gt;AF279),"Check - too heavy for that postage band",IF(AND(BN279&lt;&gt;"",BN279&gt;PriceReviewDays),"Due - price has not been reviewed",IF(AND(BG279&lt;&gt;"",BG279&gt;0.5),"Check - well above the market","OK")))))))) )</f>
        <v>0</v>
      </c>
    </row>
    <row r="280" spans="1:71">
      <c r="A280" s="38">
        <f>IF(B280="","",ProductPrefix&amp;TEXT(ROW()-4,"0000"))</f>
        <v>0</v>
      </c>
      <c r="S280" s="38">
        <f>IF(B280="","",IF(C280&lt;&gt;"",C280,UPPER(LEFT(IF(D280="","GEN",D280),3))&amp;"-"&amp;TEXT(ROW()-4,"000")))</f>
        <v>0</v>
      </c>
      <c r="T280" s="20">
        <f>IF(B280="","",ROUND(SUMIFS('Material Usage'!$M$5:$M$904,'Material Usage'!$A$5:$A$904,A280)+SUMIFS(Crochet!$AD$5:$AD$84,Crochet!$A$5:$A$84,A280)+SUMIFS(Jewelry!$AF$5:$AF$84,Jewelry!$A$5:$A$84,A280)+SUMIFS(Candles!$AF$5:$AF$84,Candles!$A$5:$A$84,A280)+SUMIFS(Clothing!$AB$5:$AB$84,Clothing!$A$5:$A$84,A280)+SUMIFS(Woodworking!$AC$5:$AC$84,Woodworking!$A$5:$A$84,A280)+SUMIFS(Digital!$X$5:$X$84,Digital!$A$5:$A$84,A280),2))</f>
        <v>0</v>
      </c>
      <c r="U280" s="20">
        <f>IF(B280="","",ROUND(SUMIFS(Labor!$O$5:$O$304,Labor!$A$5:$A$304,A280)+SUMIFS(Crochet!$AG$5:$AG$84,Crochet!$A$5:$A$84,A280)+SUMIFS(Jewelry!$AI$5:$AI$84,Jewelry!$A$5:$A$84,A280)+SUMIFS(Candles!$AI$5:$AI$84,Candles!$A$5:$A$84,A280)+SUMIFS(Clothing!$AE$5:$AE$84,Clothing!$A$5:$A$84,A280)+SUMIFS(Woodworking!$AF$5:$AF$84,Woodworking!$A$5:$A$84,A280)+SUMIFS(Digital!$Z$5:$Z$84,Digital!$A$5:$A$84,A280),2))</f>
        <v>0</v>
      </c>
      <c r="V280" s="36">
        <f>IF(B280="","",ROUND(SUMIFS(Labor!$P$5:$P$304,Labor!$A$5:$A$304,A280)+SUMIFS(Crochet!$AE$5:$AE$84,Crochet!$A$5:$A$84,A280)+SUMIFS(Jewelry!$AG$5:$AG$84,Jewelry!$A$5:$A$84,A280)+SUMIFS(Candles!$AG$5:$AG$84,Candles!$A$5:$A$84,A280)+SUMIFS(Clothing!$AC$5:$AC$84,Clothing!$A$5:$A$84,A280)+SUMIFS(Woodworking!$AD$5:$AD$84,Woodworking!$A$5:$A$84,A280)+SUMIFS(Digital!$Y$5:$Y$84,Digital!$A$5:$A$84,A280),1))</f>
        <v>0</v>
      </c>
      <c r="W280" s="41">
        <f>IF(B280="","",IFERROR(INDEX(DiffTimeFactors,MATCH(G280,DiffNames,0)),1))</f>
        <v>0</v>
      </c>
      <c r="X280" s="36">
        <f>IF(B280="","",ROUND(V280*W280,1))</f>
        <v>0</v>
      </c>
      <c r="Y280" s="41">
        <f>IF(B280="","",ROUND(X280/60,3))</f>
        <v>0</v>
      </c>
      <c r="Z280" s="20">
        <f>IF(B280="","",ROUND(U280*W280,2))</f>
        <v>0</v>
      </c>
      <c r="AA280" s="20">
        <f>IF(B280="","",ROUND(SUMIFS(Labor!$Q$5:$Q$304,Labor!$A$5:$A$304,A280)+SUMIFS(Crochet!$AH$5:$AH$84,Crochet!$A$5:$A$84,A280)+SUMIFS(Jewelry!$AJ$5:$AJ$84,Jewelry!$A$5:$A$84,A280)+SUMIFS(Candles!$AJ$5:$AJ$84,Candles!$A$5:$A$84,A280)+SUMIFS(Clothing!$AF$5:$AF$84,Clothing!$A$5:$A$84,A280)+SUMIFS(Woodworking!$AH$5:$AH$84,Woodworking!$A$5:$A$84,A280)+SUMIFS(Digital!$AA$5:$AA$84,Digital!$A$5:$A$84,A280),2))</f>
        <v>0</v>
      </c>
      <c r="AB280" s="20">
        <f>IF(B280="","",ROUND(IF(I280="Budget",PackBudget,IF(I280="Standard",PackStandard,IF(I280="Gift",PackGift,IF(I280="Premium",PackPremium,DefaultPackaging)))),2))</f>
        <v>0</v>
      </c>
      <c r="AC280" s="36">
        <f>IF(B280="","",IF(I280="Budget",PackWeightBudget,IF(I280="Standard",PackWeightStandard,IF(I280="Gift",PackWeightGift,IF(I280="Premium",PackWeightPremium,0)))))</f>
        <v>0</v>
      </c>
      <c r="AD280" s="20">
        <f>IF(B280="","",IFERROR(INDEX(Shipping!$M$5:$M$64,MATCH(J280,Shipping!$L$5:$L$64,0)),DefaultShipping))</f>
        <v>0</v>
      </c>
      <c r="AE280" s="20">
        <f>IF(B280="","",IFERROR(INDEX(Shipping!$F$5:$F$64,MATCH(J280,Shipping!$L$5:$L$64,0)),0))</f>
        <v>0</v>
      </c>
      <c r="AF280" s="36">
        <f>IF(B280="","",IFERROR(INDEX(Shipping!$C$5:$C$64,MATCH(J280,Shipping!$L$5:$L$64,0)),""))</f>
        <v>0</v>
      </c>
      <c r="AG280" s="20">
        <f>IF(B280="","",ROUND(MAX(0,AD280-AE280),2))</f>
        <v>0</v>
      </c>
      <c r="AH280" s="20">
        <f>IF(B280="","",ROUND(T280+Z280+AA280+AB280+AG280,2))</f>
        <v>0</v>
      </c>
      <c r="AI280" s="33">
        <f>IF(B280="","",IFERROR(INDEX(Channels!$S$5:$S$18,MATCH(IF(H280="",DefaultChannel,H280),Channels!$A$5:$A$18,0)),0))</f>
        <v>0</v>
      </c>
      <c r="AJ280" s="42">
        <f>IF(B280="","",IFERROR(INDEX(Channels!$O$5:$O$18,MATCH(IF(H280="",DefaultChannel,H280),Channels!$A$5:$A$18,0)),"No"))</f>
        <v>0</v>
      </c>
      <c r="AK280" s="20">
        <f>IF(B280="","",ROUND(IFERROR(INDEX(Channels!$T$5:$T$18,MATCH(IF(H280="",DefaultChannel,H280),Channels!$A$5:$A$18,0)),0)+IF(AJ280="Yes",AE280*AI280,0),4))</f>
        <v>0</v>
      </c>
      <c r="AL280" s="33">
        <f>IF(B280="","",IF(OverheadMethod="Share of revenue",IF(RevenueTargetMonth&lt;=0,0,OverheadMonthly/RevenueTargetMonth),0))</f>
        <v>0</v>
      </c>
      <c r="AM280" s="20">
        <f>IF(B280="","",IF(OverheadMethod="Per hour worked",ROUND(OverheadPerHour*Y280,2),IF(OR(OverheadMethod="Per unit made",OverheadMethod="Per order"),OverheadPerUnit,0)))</f>
        <v>0</v>
      </c>
      <c r="AN280" s="33">
        <f>IF(B280="","",IF(N280&lt;&gt;"",N280,TargetRetailMargin))</f>
        <v>0</v>
      </c>
      <c r="AO280" s="41">
        <f>IF(B280="","",1-AN280-AI280-AL280)</f>
        <v>0</v>
      </c>
      <c r="AP280" s="20">
        <f>IF(B280="","",IF(AO280&lt;=0,"",(AH280+AM280+AK280)/AO280))</f>
        <v>0</v>
      </c>
      <c r="AQ280" s="20">
        <f>IF(B280="","",IF(AP280="","Check the settings",ROUND(IF(RoundingRule="None",AP280,IF(RoundingRule="Nearest 0.99",MAX(0.99,CEILING(AP280,1)-0.01),IF(RoundingRule="Nearest 0.95",MAX(0.95,CEILING(AP280,1)-0.05),IF(RoundingRule="Nearest 0.50",CEILING(AP280,0.5),IF(RoundingRule="Nearest 1",CEILING(AP280,1),IF(RoundingRule="Nearest 5",CEILING(AP280,5),IF(RoundingRule="Up to whole 1",CEILING(AP280,1),IF(RoundingRule="Up to whole 5",CEILING(AP280,5),ROUND(AP280,2))))))))),2)))</f>
        <v>0</v>
      </c>
      <c r="AR280" s="20">
        <f>IF(B280="","",IF(M280&lt;&gt;"",M280,IF(ISNUMBER(AQ280),AQ280,"")))</f>
        <v>0</v>
      </c>
      <c r="AS280" s="20">
        <f>IF(B280="","",IF(AR280="","",ROUND(AM280+AR280*AL280,2)))</f>
        <v>0</v>
      </c>
      <c r="AT280" s="20">
        <f>IF(B280="","",IF(AR280="","",ROUND(AH280+AS280,2)))</f>
        <v>0</v>
      </c>
      <c r="AU280" s="20">
        <f>IF(B280="","",IF(AR280="","",ROUND(AR280*AI280+AK280,2)))</f>
        <v>0</v>
      </c>
      <c r="AV280" s="20">
        <f>IF(B280="","",IF(AR280="","",ROUND(AR280-AT280-AU280,2)))</f>
        <v>0</v>
      </c>
      <c r="AW280" s="33">
        <f>IF(B280="","",IF(OR(AR280="",AR280=0),"",AV280/AR280))</f>
        <v>0</v>
      </c>
      <c r="AX280" s="33">
        <f>IF(B280="","",IF(OR(AT280="",AT280=0),"",AV280/AT280))</f>
        <v>0</v>
      </c>
      <c r="AY280" s="20">
        <f>IF(B280="","",IF(OR(Y280="",Y280=0,AV280=""),"",ROUND(AV280/Y280,2)))</f>
        <v>0</v>
      </c>
      <c r="AZ280" s="20">
        <f>IF(B280="","",IF(OR(Y280="",Y280=0,AV280=""),"",ROUND((AV280+Z280)/Y280,2)))</f>
        <v>0</v>
      </c>
      <c r="BA280" s="20">
        <f>IF(B280="","",IF(1-AI280-AL280&lt;=0,"",ROUND((AH280+AM280+AK280)/(1-AI280-AL280),2)))</f>
        <v>0</v>
      </c>
      <c r="BB280" s="20">
        <f>IF(B280="","",IF(AT280="","",ROUND(AT280*2,2)))</f>
        <v>0</v>
      </c>
      <c r="BC280" s="20">
        <f>IF(B280="","",IF(AR280="","",ROUND(AR280*(1-WholesaleDiscount),2)))</f>
        <v>0</v>
      </c>
      <c r="BD280" s="20">
        <f>IF(B280="","",IF(BC280="","",ROUND(BC280-AH280-AM280,2)))</f>
        <v>0</v>
      </c>
      <c r="BE280" s="33">
        <f>IF(B280="","",IF(OR(BC280="",BC280=0),"",BD280/BC280))</f>
        <v>0</v>
      </c>
      <c r="BF280" s="20">
        <f>IF(B280="","",IFERROR(ROUND(AVERAGEIFS(Competitors!$F$5:$F$154,Competitors!$A$5:$A$154,A280),2),""))</f>
        <v>0</v>
      </c>
      <c r="BG280" s="33">
        <f>IF(B280="","",IF(OR(BF280="",BF280=0,AR280=""),"",AR280/BF280-1))</f>
        <v>0</v>
      </c>
      <c r="BH280" s="32">
        <f>IF(B280="","",SUMIFS(Sales!$D$5:$D$804,Sales!$C$5:$C$804,A280))</f>
        <v>0</v>
      </c>
      <c r="BI280" s="20">
        <f>IF(B280="","",ROUND(SUMIFS(Sales!$V$5:$V$804,Sales!$C$5:$C$804,A280),2))</f>
        <v>0</v>
      </c>
      <c r="BJ280" s="20">
        <f>IF(B280="","",ROUND(SUMIFS(Sales!$AG$5:$AG$804,Sales!$C$5:$C$804,A280),2))</f>
        <v>0</v>
      </c>
      <c r="BK280" s="33">
        <f>IF(B280="","",IF(OR(BI280="",BI280=0),"",BJ280/BI280))</f>
        <v>0</v>
      </c>
      <c r="BL280" s="17">
        <f>IF(B280="","",IF(SUMPRODUCT(MAX((Sales!$C$5:$C$804=A280)*Sales!$B$5:$B$804))=0,"",SUMPRODUCT(MAX((Sales!$C$5:$C$804=A280)*Sales!$B$5:$B$804))))</f>
        <v>0</v>
      </c>
      <c r="BM280" s="17">
        <f>IF(B280="","",IF(SUMPRODUCT(MAX(('Price History'!$B$5:$B$304=A280)*'Price History'!$A$5:$A$304))=0,IF(P280="","",P280),SUMPRODUCT(MAX(('Price History'!$B$5:$B$304=A280)*'Price History'!$A$5:$A$304))))</f>
        <v>0</v>
      </c>
      <c r="BN280" s="32">
        <f>IF(B280="","",IF(BM280="","",TodayDate-BM280))</f>
        <v>0</v>
      </c>
      <c r="BO280" s="32">
        <f>IF(B280="","",COUNTIFS($AV$5:$AV$304,"&gt;"&amp;AV280)+COUNTIFS($AV$5:AV280,AV280))</f>
        <v>0</v>
      </c>
      <c r="BP280" s="32">
        <f>IF(B280="","",COUNTIFS($AW$5:$AW$304,"&gt;"&amp;AW280)+COUNTIFS($AW$5:AW280,AW280))</f>
        <v>0</v>
      </c>
      <c r="BQ280" s="32">
        <f>IF(B280="","",COUNTIFS($BI$5:$BI$304,"&gt;"&amp;BI280)+COUNTIFS($BI$5:BI280,BI280))</f>
        <v>0</v>
      </c>
      <c r="BR280" s="32">
        <f>IF(B280="","",COUNTIFS($AY$5:$AY$304,"&gt;"&amp;AY280)+COUNTIFS($AY$5:AY280,AY280))</f>
        <v>0</v>
      </c>
      <c r="BS280" s="43">
        <f>IF(B280="","",IF(AH280=0,"Add - no costs entered yet",IF(AR280="","Check - no price yet",IF(AV280&lt;0,"Loss - every sale costs you money",IF(AND(AZ280&lt;&gt;"",AZ280&lt;MinimumWage),"Below - pays under minimum wage",IF(AW280&lt;MarginWarning,"Low margin - re-price it",IF(AND(AF280&lt;&gt;"",K280&lt;&gt;"",K280+AC280&gt;AF280),"Check - too heavy for that postage band",IF(AND(BN280&lt;&gt;"",BN280&gt;PriceReviewDays),"Due - price has not been reviewed",IF(AND(BG280&lt;&gt;"",BG280&gt;0.5),"Check - well above the market","OK")))))))) )</f>
        <v>0</v>
      </c>
    </row>
    <row r="281" spans="1:71">
      <c r="A281" s="38">
        <f>IF(B281="","",ProductPrefix&amp;TEXT(ROW()-4,"0000"))</f>
        <v>0</v>
      </c>
      <c r="S281" s="38">
        <f>IF(B281="","",IF(C281&lt;&gt;"",C281,UPPER(LEFT(IF(D281="","GEN",D281),3))&amp;"-"&amp;TEXT(ROW()-4,"000")))</f>
        <v>0</v>
      </c>
      <c r="T281" s="20">
        <f>IF(B281="","",ROUND(SUMIFS('Material Usage'!$M$5:$M$904,'Material Usage'!$A$5:$A$904,A281)+SUMIFS(Crochet!$AD$5:$AD$84,Crochet!$A$5:$A$84,A281)+SUMIFS(Jewelry!$AF$5:$AF$84,Jewelry!$A$5:$A$84,A281)+SUMIFS(Candles!$AF$5:$AF$84,Candles!$A$5:$A$84,A281)+SUMIFS(Clothing!$AB$5:$AB$84,Clothing!$A$5:$A$84,A281)+SUMIFS(Woodworking!$AC$5:$AC$84,Woodworking!$A$5:$A$84,A281)+SUMIFS(Digital!$X$5:$X$84,Digital!$A$5:$A$84,A281),2))</f>
        <v>0</v>
      </c>
      <c r="U281" s="20">
        <f>IF(B281="","",ROUND(SUMIFS(Labor!$O$5:$O$304,Labor!$A$5:$A$304,A281)+SUMIFS(Crochet!$AG$5:$AG$84,Crochet!$A$5:$A$84,A281)+SUMIFS(Jewelry!$AI$5:$AI$84,Jewelry!$A$5:$A$84,A281)+SUMIFS(Candles!$AI$5:$AI$84,Candles!$A$5:$A$84,A281)+SUMIFS(Clothing!$AE$5:$AE$84,Clothing!$A$5:$A$84,A281)+SUMIFS(Woodworking!$AF$5:$AF$84,Woodworking!$A$5:$A$84,A281)+SUMIFS(Digital!$Z$5:$Z$84,Digital!$A$5:$A$84,A281),2))</f>
        <v>0</v>
      </c>
      <c r="V281" s="36">
        <f>IF(B281="","",ROUND(SUMIFS(Labor!$P$5:$P$304,Labor!$A$5:$A$304,A281)+SUMIFS(Crochet!$AE$5:$AE$84,Crochet!$A$5:$A$84,A281)+SUMIFS(Jewelry!$AG$5:$AG$84,Jewelry!$A$5:$A$84,A281)+SUMIFS(Candles!$AG$5:$AG$84,Candles!$A$5:$A$84,A281)+SUMIFS(Clothing!$AC$5:$AC$84,Clothing!$A$5:$A$84,A281)+SUMIFS(Woodworking!$AD$5:$AD$84,Woodworking!$A$5:$A$84,A281)+SUMIFS(Digital!$Y$5:$Y$84,Digital!$A$5:$A$84,A281),1))</f>
        <v>0</v>
      </c>
      <c r="W281" s="41">
        <f>IF(B281="","",IFERROR(INDEX(DiffTimeFactors,MATCH(G281,DiffNames,0)),1))</f>
        <v>0</v>
      </c>
      <c r="X281" s="36">
        <f>IF(B281="","",ROUND(V281*W281,1))</f>
        <v>0</v>
      </c>
      <c r="Y281" s="41">
        <f>IF(B281="","",ROUND(X281/60,3))</f>
        <v>0</v>
      </c>
      <c r="Z281" s="20">
        <f>IF(B281="","",ROUND(U281*W281,2))</f>
        <v>0</v>
      </c>
      <c r="AA281" s="20">
        <f>IF(B281="","",ROUND(SUMIFS(Labor!$Q$5:$Q$304,Labor!$A$5:$A$304,A281)+SUMIFS(Crochet!$AH$5:$AH$84,Crochet!$A$5:$A$84,A281)+SUMIFS(Jewelry!$AJ$5:$AJ$84,Jewelry!$A$5:$A$84,A281)+SUMIFS(Candles!$AJ$5:$AJ$84,Candles!$A$5:$A$84,A281)+SUMIFS(Clothing!$AF$5:$AF$84,Clothing!$A$5:$A$84,A281)+SUMIFS(Woodworking!$AH$5:$AH$84,Woodworking!$A$5:$A$84,A281)+SUMIFS(Digital!$AA$5:$AA$84,Digital!$A$5:$A$84,A281),2))</f>
        <v>0</v>
      </c>
      <c r="AB281" s="20">
        <f>IF(B281="","",ROUND(IF(I281="Budget",PackBudget,IF(I281="Standard",PackStandard,IF(I281="Gift",PackGift,IF(I281="Premium",PackPremium,DefaultPackaging)))),2))</f>
        <v>0</v>
      </c>
      <c r="AC281" s="36">
        <f>IF(B281="","",IF(I281="Budget",PackWeightBudget,IF(I281="Standard",PackWeightStandard,IF(I281="Gift",PackWeightGift,IF(I281="Premium",PackWeightPremium,0)))))</f>
        <v>0</v>
      </c>
      <c r="AD281" s="20">
        <f>IF(B281="","",IFERROR(INDEX(Shipping!$M$5:$M$64,MATCH(J281,Shipping!$L$5:$L$64,0)),DefaultShipping))</f>
        <v>0</v>
      </c>
      <c r="AE281" s="20">
        <f>IF(B281="","",IFERROR(INDEX(Shipping!$F$5:$F$64,MATCH(J281,Shipping!$L$5:$L$64,0)),0))</f>
        <v>0</v>
      </c>
      <c r="AF281" s="36">
        <f>IF(B281="","",IFERROR(INDEX(Shipping!$C$5:$C$64,MATCH(J281,Shipping!$L$5:$L$64,0)),""))</f>
        <v>0</v>
      </c>
      <c r="AG281" s="20">
        <f>IF(B281="","",ROUND(MAX(0,AD281-AE281),2))</f>
        <v>0</v>
      </c>
      <c r="AH281" s="20">
        <f>IF(B281="","",ROUND(T281+Z281+AA281+AB281+AG281,2))</f>
        <v>0</v>
      </c>
      <c r="AI281" s="33">
        <f>IF(B281="","",IFERROR(INDEX(Channels!$S$5:$S$18,MATCH(IF(H281="",DefaultChannel,H281),Channels!$A$5:$A$18,0)),0))</f>
        <v>0</v>
      </c>
      <c r="AJ281" s="42">
        <f>IF(B281="","",IFERROR(INDEX(Channels!$O$5:$O$18,MATCH(IF(H281="",DefaultChannel,H281),Channels!$A$5:$A$18,0)),"No"))</f>
        <v>0</v>
      </c>
      <c r="AK281" s="20">
        <f>IF(B281="","",ROUND(IFERROR(INDEX(Channels!$T$5:$T$18,MATCH(IF(H281="",DefaultChannel,H281),Channels!$A$5:$A$18,0)),0)+IF(AJ281="Yes",AE281*AI281,0),4))</f>
        <v>0</v>
      </c>
      <c r="AL281" s="33">
        <f>IF(B281="","",IF(OverheadMethod="Share of revenue",IF(RevenueTargetMonth&lt;=0,0,OverheadMonthly/RevenueTargetMonth),0))</f>
        <v>0</v>
      </c>
      <c r="AM281" s="20">
        <f>IF(B281="","",IF(OverheadMethod="Per hour worked",ROUND(OverheadPerHour*Y281,2),IF(OR(OverheadMethod="Per unit made",OverheadMethod="Per order"),OverheadPerUnit,0)))</f>
        <v>0</v>
      </c>
      <c r="AN281" s="33">
        <f>IF(B281="","",IF(N281&lt;&gt;"",N281,TargetRetailMargin))</f>
        <v>0</v>
      </c>
      <c r="AO281" s="41">
        <f>IF(B281="","",1-AN281-AI281-AL281)</f>
        <v>0</v>
      </c>
      <c r="AP281" s="20">
        <f>IF(B281="","",IF(AO281&lt;=0,"",(AH281+AM281+AK281)/AO281))</f>
        <v>0</v>
      </c>
      <c r="AQ281" s="20">
        <f>IF(B281="","",IF(AP281="","Check the settings",ROUND(IF(RoundingRule="None",AP281,IF(RoundingRule="Nearest 0.99",MAX(0.99,CEILING(AP281,1)-0.01),IF(RoundingRule="Nearest 0.95",MAX(0.95,CEILING(AP281,1)-0.05),IF(RoundingRule="Nearest 0.50",CEILING(AP281,0.5),IF(RoundingRule="Nearest 1",CEILING(AP281,1),IF(RoundingRule="Nearest 5",CEILING(AP281,5),IF(RoundingRule="Up to whole 1",CEILING(AP281,1),IF(RoundingRule="Up to whole 5",CEILING(AP281,5),ROUND(AP281,2))))))))),2)))</f>
        <v>0</v>
      </c>
      <c r="AR281" s="20">
        <f>IF(B281="","",IF(M281&lt;&gt;"",M281,IF(ISNUMBER(AQ281),AQ281,"")))</f>
        <v>0</v>
      </c>
      <c r="AS281" s="20">
        <f>IF(B281="","",IF(AR281="","",ROUND(AM281+AR281*AL281,2)))</f>
        <v>0</v>
      </c>
      <c r="AT281" s="20">
        <f>IF(B281="","",IF(AR281="","",ROUND(AH281+AS281,2)))</f>
        <v>0</v>
      </c>
      <c r="AU281" s="20">
        <f>IF(B281="","",IF(AR281="","",ROUND(AR281*AI281+AK281,2)))</f>
        <v>0</v>
      </c>
      <c r="AV281" s="20">
        <f>IF(B281="","",IF(AR281="","",ROUND(AR281-AT281-AU281,2)))</f>
        <v>0</v>
      </c>
      <c r="AW281" s="33">
        <f>IF(B281="","",IF(OR(AR281="",AR281=0),"",AV281/AR281))</f>
        <v>0</v>
      </c>
      <c r="AX281" s="33">
        <f>IF(B281="","",IF(OR(AT281="",AT281=0),"",AV281/AT281))</f>
        <v>0</v>
      </c>
      <c r="AY281" s="20">
        <f>IF(B281="","",IF(OR(Y281="",Y281=0,AV281=""),"",ROUND(AV281/Y281,2)))</f>
        <v>0</v>
      </c>
      <c r="AZ281" s="20">
        <f>IF(B281="","",IF(OR(Y281="",Y281=0,AV281=""),"",ROUND((AV281+Z281)/Y281,2)))</f>
        <v>0</v>
      </c>
      <c r="BA281" s="20">
        <f>IF(B281="","",IF(1-AI281-AL281&lt;=0,"",ROUND((AH281+AM281+AK281)/(1-AI281-AL281),2)))</f>
        <v>0</v>
      </c>
      <c r="BB281" s="20">
        <f>IF(B281="","",IF(AT281="","",ROUND(AT281*2,2)))</f>
        <v>0</v>
      </c>
      <c r="BC281" s="20">
        <f>IF(B281="","",IF(AR281="","",ROUND(AR281*(1-WholesaleDiscount),2)))</f>
        <v>0</v>
      </c>
      <c r="BD281" s="20">
        <f>IF(B281="","",IF(BC281="","",ROUND(BC281-AH281-AM281,2)))</f>
        <v>0</v>
      </c>
      <c r="BE281" s="33">
        <f>IF(B281="","",IF(OR(BC281="",BC281=0),"",BD281/BC281))</f>
        <v>0</v>
      </c>
      <c r="BF281" s="20">
        <f>IF(B281="","",IFERROR(ROUND(AVERAGEIFS(Competitors!$F$5:$F$154,Competitors!$A$5:$A$154,A281),2),""))</f>
        <v>0</v>
      </c>
      <c r="BG281" s="33">
        <f>IF(B281="","",IF(OR(BF281="",BF281=0,AR281=""),"",AR281/BF281-1))</f>
        <v>0</v>
      </c>
      <c r="BH281" s="32">
        <f>IF(B281="","",SUMIFS(Sales!$D$5:$D$804,Sales!$C$5:$C$804,A281))</f>
        <v>0</v>
      </c>
      <c r="BI281" s="20">
        <f>IF(B281="","",ROUND(SUMIFS(Sales!$V$5:$V$804,Sales!$C$5:$C$804,A281),2))</f>
        <v>0</v>
      </c>
      <c r="BJ281" s="20">
        <f>IF(B281="","",ROUND(SUMIFS(Sales!$AG$5:$AG$804,Sales!$C$5:$C$804,A281),2))</f>
        <v>0</v>
      </c>
      <c r="BK281" s="33">
        <f>IF(B281="","",IF(OR(BI281="",BI281=0),"",BJ281/BI281))</f>
        <v>0</v>
      </c>
      <c r="BL281" s="17">
        <f>IF(B281="","",IF(SUMPRODUCT(MAX((Sales!$C$5:$C$804=A281)*Sales!$B$5:$B$804))=0,"",SUMPRODUCT(MAX((Sales!$C$5:$C$804=A281)*Sales!$B$5:$B$804))))</f>
        <v>0</v>
      </c>
      <c r="BM281" s="17">
        <f>IF(B281="","",IF(SUMPRODUCT(MAX(('Price History'!$B$5:$B$304=A281)*'Price History'!$A$5:$A$304))=0,IF(P281="","",P281),SUMPRODUCT(MAX(('Price History'!$B$5:$B$304=A281)*'Price History'!$A$5:$A$304))))</f>
        <v>0</v>
      </c>
      <c r="BN281" s="32">
        <f>IF(B281="","",IF(BM281="","",TodayDate-BM281))</f>
        <v>0</v>
      </c>
      <c r="BO281" s="32">
        <f>IF(B281="","",COUNTIFS($AV$5:$AV$304,"&gt;"&amp;AV281)+COUNTIFS($AV$5:AV281,AV281))</f>
        <v>0</v>
      </c>
      <c r="BP281" s="32">
        <f>IF(B281="","",COUNTIFS($AW$5:$AW$304,"&gt;"&amp;AW281)+COUNTIFS($AW$5:AW281,AW281))</f>
        <v>0</v>
      </c>
      <c r="BQ281" s="32">
        <f>IF(B281="","",COUNTIFS($BI$5:$BI$304,"&gt;"&amp;BI281)+COUNTIFS($BI$5:BI281,BI281))</f>
        <v>0</v>
      </c>
      <c r="BR281" s="32">
        <f>IF(B281="","",COUNTIFS($AY$5:$AY$304,"&gt;"&amp;AY281)+COUNTIFS($AY$5:AY281,AY281))</f>
        <v>0</v>
      </c>
      <c r="BS281" s="43">
        <f>IF(B281="","",IF(AH281=0,"Add - no costs entered yet",IF(AR281="","Check - no price yet",IF(AV281&lt;0,"Loss - every sale costs you money",IF(AND(AZ281&lt;&gt;"",AZ281&lt;MinimumWage),"Below - pays under minimum wage",IF(AW281&lt;MarginWarning,"Low margin - re-price it",IF(AND(AF281&lt;&gt;"",K281&lt;&gt;"",K281+AC281&gt;AF281),"Check - too heavy for that postage band",IF(AND(BN281&lt;&gt;"",BN281&gt;PriceReviewDays),"Due - price has not been reviewed",IF(AND(BG281&lt;&gt;"",BG281&gt;0.5),"Check - well above the market","OK")))))))) )</f>
        <v>0</v>
      </c>
    </row>
    <row r="282" spans="1:71">
      <c r="A282" s="38">
        <f>IF(B282="","",ProductPrefix&amp;TEXT(ROW()-4,"0000"))</f>
        <v>0</v>
      </c>
      <c r="S282" s="38">
        <f>IF(B282="","",IF(C282&lt;&gt;"",C282,UPPER(LEFT(IF(D282="","GEN",D282),3))&amp;"-"&amp;TEXT(ROW()-4,"000")))</f>
        <v>0</v>
      </c>
      <c r="T282" s="20">
        <f>IF(B282="","",ROUND(SUMIFS('Material Usage'!$M$5:$M$904,'Material Usage'!$A$5:$A$904,A282)+SUMIFS(Crochet!$AD$5:$AD$84,Crochet!$A$5:$A$84,A282)+SUMIFS(Jewelry!$AF$5:$AF$84,Jewelry!$A$5:$A$84,A282)+SUMIFS(Candles!$AF$5:$AF$84,Candles!$A$5:$A$84,A282)+SUMIFS(Clothing!$AB$5:$AB$84,Clothing!$A$5:$A$84,A282)+SUMIFS(Woodworking!$AC$5:$AC$84,Woodworking!$A$5:$A$84,A282)+SUMIFS(Digital!$X$5:$X$84,Digital!$A$5:$A$84,A282),2))</f>
        <v>0</v>
      </c>
      <c r="U282" s="20">
        <f>IF(B282="","",ROUND(SUMIFS(Labor!$O$5:$O$304,Labor!$A$5:$A$304,A282)+SUMIFS(Crochet!$AG$5:$AG$84,Crochet!$A$5:$A$84,A282)+SUMIFS(Jewelry!$AI$5:$AI$84,Jewelry!$A$5:$A$84,A282)+SUMIFS(Candles!$AI$5:$AI$84,Candles!$A$5:$A$84,A282)+SUMIFS(Clothing!$AE$5:$AE$84,Clothing!$A$5:$A$84,A282)+SUMIFS(Woodworking!$AF$5:$AF$84,Woodworking!$A$5:$A$84,A282)+SUMIFS(Digital!$Z$5:$Z$84,Digital!$A$5:$A$84,A282),2))</f>
        <v>0</v>
      </c>
      <c r="V282" s="36">
        <f>IF(B282="","",ROUND(SUMIFS(Labor!$P$5:$P$304,Labor!$A$5:$A$304,A282)+SUMIFS(Crochet!$AE$5:$AE$84,Crochet!$A$5:$A$84,A282)+SUMIFS(Jewelry!$AG$5:$AG$84,Jewelry!$A$5:$A$84,A282)+SUMIFS(Candles!$AG$5:$AG$84,Candles!$A$5:$A$84,A282)+SUMIFS(Clothing!$AC$5:$AC$84,Clothing!$A$5:$A$84,A282)+SUMIFS(Woodworking!$AD$5:$AD$84,Woodworking!$A$5:$A$84,A282)+SUMIFS(Digital!$Y$5:$Y$84,Digital!$A$5:$A$84,A282),1))</f>
        <v>0</v>
      </c>
      <c r="W282" s="41">
        <f>IF(B282="","",IFERROR(INDEX(DiffTimeFactors,MATCH(G282,DiffNames,0)),1))</f>
        <v>0</v>
      </c>
      <c r="X282" s="36">
        <f>IF(B282="","",ROUND(V282*W282,1))</f>
        <v>0</v>
      </c>
      <c r="Y282" s="41">
        <f>IF(B282="","",ROUND(X282/60,3))</f>
        <v>0</v>
      </c>
      <c r="Z282" s="20">
        <f>IF(B282="","",ROUND(U282*W282,2))</f>
        <v>0</v>
      </c>
      <c r="AA282" s="20">
        <f>IF(B282="","",ROUND(SUMIFS(Labor!$Q$5:$Q$304,Labor!$A$5:$A$304,A282)+SUMIFS(Crochet!$AH$5:$AH$84,Crochet!$A$5:$A$84,A282)+SUMIFS(Jewelry!$AJ$5:$AJ$84,Jewelry!$A$5:$A$84,A282)+SUMIFS(Candles!$AJ$5:$AJ$84,Candles!$A$5:$A$84,A282)+SUMIFS(Clothing!$AF$5:$AF$84,Clothing!$A$5:$A$84,A282)+SUMIFS(Woodworking!$AH$5:$AH$84,Woodworking!$A$5:$A$84,A282)+SUMIFS(Digital!$AA$5:$AA$84,Digital!$A$5:$A$84,A282),2))</f>
        <v>0</v>
      </c>
      <c r="AB282" s="20">
        <f>IF(B282="","",ROUND(IF(I282="Budget",PackBudget,IF(I282="Standard",PackStandard,IF(I282="Gift",PackGift,IF(I282="Premium",PackPremium,DefaultPackaging)))),2))</f>
        <v>0</v>
      </c>
      <c r="AC282" s="36">
        <f>IF(B282="","",IF(I282="Budget",PackWeightBudget,IF(I282="Standard",PackWeightStandard,IF(I282="Gift",PackWeightGift,IF(I282="Premium",PackWeightPremium,0)))))</f>
        <v>0</v>
      </c>
      <c r="AD282" s="20">
        <f>IF(B282="","",IFERROR(INDEX(Shipping!$M$5:$M$64,MATCH(J282,Shipping!$L$5:$L$64,0)),DefaultShipping))</f>
        <v>0</v>
      </c>
      <c r="AE282" s="20">
        <f>IF(B282="","",IFERROR(INDEX(Shipping!$F$5:$F$64,MATCH(J282,Shipping!$L$5:$L$64,0)),0))</f>
        <v>0</v>
      </c>
      <c r="AF282" s="36">
        <f>IF(B282="","",IFERROR(INDEX(Shipping!$C$5:$C$64,MATCH(J282,Shipping!$L$5:$L$64,0)),""))</f>
        <v>0</v>
      </c>
      <c r="AG282" s="20">
        <f>IF(B282="","",ROUND(MAX(0,AD282-AE282),2))</f>
        <v>0</v>
      </c>
      <c r="AH282" s="20">
        <f>IF(B282="","",ROUND(T282+Z282+AA282+AB282+AG282,2))</f>
        <v>0</v>
      </c>
      <c r="AI282" s="33">
        <f>IF(B282="","",IFERROR(INDEX(Channels!$S$5:$S$18,MATCH(IF(H282="",DefaultChannel,H282),Channels!$A$5:$A$18,0)),0))</f>
        <v>0</v>
      </c>
      <c r="AJ282" s="42">
        <f>IF(B282="","",IFERROR(INDEX(Channels!$O$5:$O$18,MATCH(IF(H282="",DefaultChannel,H282),Channels!$A$5:$A$18,0)),"No"))</f>
        <v>0</v>
      </c>
      <c r="AK282" s="20">
        <f>IF(B282="","",ROUND(IFERROR(INDEX(Channels!$T$5:$T$18,MATCH(IF(H282="",DefaultChannel,H282),Channels!$A$5:$A$18,0)),0)+IF(AJ282="Yes",AE282*AI282,0),4))</f>
        <v>0</v>
      </c>
      <c r="AL282" s="33">
        <f>IF(B282="","",IF(OverheadMethod="Share of revenue",IF(RevenueTargetMonth&lt;=0,0,OverheadMonthly/RevenueTargetMonth),0))</f>
        <v>0</v>
      </c>
      <c r="AM282" s="20">
        <f>IF(B282="","",IF(OverheadMethod="Per hour worked",ROUND(OverheadPerHour*Y282,2),IF(OR(OverheadMethod="Per unit made",OverheadMethod="Per order"),OverheadPerUnit,0)))</f>
        <v>0</v>
      </c>
      <c r="AN282" s="33">
        <f>IF(B282="","",IF(N282&lt;&gt;"",N282,TargetRetailMargin))</f>
        <v>0</v>
      </c>
      <c r="AO282" s="41">
        <f>IF(B282="","",1-AN282-AI282-AL282)</f>
        <v>0</v>
      </c>
      <c r="AP282" s="20">
        <f>IF(B282="","",IF(AO282&lt;=0,"",(AH282+AM282+AK282)/AO282))</f>
        <v>0</v>
      </c>
      <c r="AQ282" s="20">
        <f>IF(B282="","",IF(AP282="","Check the settings",ROUND(IF(RoundingRule="None",AP282,IF(RoundingRule="Nearest 0.99",MAX(0.99,CEILING(AP282,1)-0.01),IF(RoundingRule="Nearest 0.95",MAX(0.95,CEILING(AP282,1)-0.05),IF(RoundingRule="Nearest 0.50",CEILING(AP282,0.5),IF(RoundingRule="Nearest 1",CEILING(AP282,1),IF(RoundingRule="Nearest 5",CEILING(AP282,5),IF(RoundingRule="Up to whole 1",CEILING(AP282,1),IF(RoundingRule="Up to whole 5",CEILING(AP282,5),ROUND(AP282,2))))))))),2)))</f>
        <v>0</v>
      </c>
      <c r="AR282" s="20">
        <f>IF(B282="","",IF(M282&lt;&gt;"",M282,IF(ISNUMBER(AQ282),AQ282,"")))</f>
        <v>0</v>
      </c>
      <c r="AS282" s="20">
        <f>IF(B282="","",IF(AR282="","",ROUND(AM282+AR282*AL282,2)))</f>
        <v>0</v>
      </c>
      <c r="AT282" s="20">
        <f>IF(B282="","",IF(AR282="","",ROUND(AH282+AS282,2)))</f>
        <v>0</v>
      </c>
      <c r="AU282" s="20">
        <f>IF(B282="","",IF(AR282="","",ROUND(AR282*AI282+AK282,2)))</f>
        <v>0</v>
      </c>
      <c r="AV282" s="20">
        <f>IF(B282="","",IF(AR282="","",ROUND(AR282-AT282-AU282,2)))</f>
        <v>0</v>
      </c>
      <c r="AW282" s="33">
        <f>IF(B282="","",IF(OR(AR282="",AR282=0),"",AV282/AR282))</f>
        <v>0</v>
      </c>
      <c r="AX282" s="33">
        <f>IF(B282="","",IF(OR(AT282="",AT282=0),"",AV282/AT282))</f>
        <v>0</v>
      </c>
      <c r="AY282" s="20">
        <f>IF(B282="","",IF(OR(Y282="",Y282=0,AV282=""),"",ROUND(AV282/Y282,2)))</f>
        <v>0</v>
      </c>
      <c r="AZ282" s="20">
        <f>IF(B282="","",IF(OR(Y282="",Y282=0,AV282=""),"",ROUND((AV282+Z282)/Y282,2)))</f>
        <v>0</v>
      </c>
      <c r="BA282" s="20">
        <f>IF(B282="","",IF(1-AI282-AL282&lt;=0,"",ROUND((AH282+AM282+AK282)/(1-AI282-AL282),2)))</f>
        <v>0</v>
      </c>
      <c r="BB282" s="20">
        <f>IF(B282="","",IF(AT282="","",ROUND(AT282*2,2)))</f>
        <v>0</v>
      </c>
      <c r="BC282" s="20">
        <f>IF(B282="","",IF(AR282="","",ROUND(AR282*(1-WholesaleDiscount),2)))</f>
        <v>0</v>
      </c>
      <c r="BD282" s="20">
        <f>IF(B282="","",IF(BC282="","",ROUND(BC282-AH282-AM282,2)))</f>
        <v>0</v>
      </c>
      <c r="BE282" s="33">
        <f>IF(B282="","",IF(OR(BC282="",BC282=0),"",BD282/BC282))</f>
        <v>0</v>
      </c>
      <c r="BF282" s="20">
        <f>IF(B282="","",IFERROR(ROUND(AVERAGEIFS(Competitors!$F$5:$F$154,Competitors!$A$5:$A$154,A282),2),""))</f>
        <v>0</v>
      </c>
      <c r="BG282" s="33">
        <f>IF(B282="","",IF(OR(BF282="",BF282=0,AR282=""),"",AR282/BF282-1))</f>
        <v>0</v>
      </c>
      <c r="BH282" s="32">
        <f>IF(B282="","",SUMIFS(Sales!$D$5:$D$804,Sales!$C$5:$C$804,A282))</f>
        <v>0</v>
      </c>
      <c r="BI282" s="20">
        <f>IF(B282="","",ROUND(SUMIFS(Sales!$V$5:$V$804,Sales!$C$5:$C$804,A282),2))</f>
        <v>0</v>
      </c>
      <c r="BJ282" s="20">
        <f>IF(B282="","",ROUND(SUMIFS(Sales!$AG$5:$AG$804,Sales!$C$5:$C$804,A282),2))</f>
        <v>0</v>
      </c>
      <c r="BK282" s="33">
        <f>IF(B282="","",IF(OR(BI282="",BI282=0),"",BJ282/BI282))</f>
        <v>0</v>
      </c>
      <c r="BL282" s="17">
        <f>IF(B282="","",IF(SUMPRODUCT(MAX((Sales!$C$5:$C$804=A282)*Sales!$B$5:$B$804))=0,"",SUMPRODUCT(MAX((Sales!$C$5:$C$804=A282)*Sales!$B$5:$B$804))))</f>
        <v>0</v>
      </c>
      <c r="BM282" s="17">
        <f>IF(B282="","",IF(SUMPRODUCT(MAX(('Price History'!$B$5:$B$304=A282)*'Price History'!$A$5:$A$304))=0,IF(P282="","",P282),SUMPRODUCT(MAX(('Price History'!$B$5:$B$304=A282)*'Price History'!$A$5:$A$304))))</f>
        <v>0</v>
      </c>
      <c r="BN282" s="32">
        <f>IF(B282="","",IF(BM282="","",TodayDate-BM282))</f>
        <v>0</v>
      </c>
      <c r="BO282" s="32">
        <f>IF(B282="","",COUNTIFS($AV$5:$AV$304,"&gt;"&amp;AV282)+COUNTIFS($AV$5:AV282,AV282))</f>
        <v>0</v>
      </c>
      <c r="BP282" s="32">
        <f>IF(B282="","",COUNTIFS($AW$5:$AW$304,"&gt;"&amp;AW282)+COUNTIFS($AW$5:AW282,AW282))</f>
        <v>0</v>
      </c>
      <c r="BQ282" s="32">
        <f>IF(B282="","",COUNTIFS($BI$5:$BI$304,"&gt;"&amp;BI282)+COUNTIFS($BI$5:BI282,BI282))</f>
        <v>0</v>
      </c>
      <c r="BR282" s="32">
        <f>IF(B282="","",COUNTIFS($AY$5:$AY$304,"&gt;"&amp;AY282)+COUNTIFS($AY$5:AY282,AY282))</f>
        <v>0</v>
      </c>
      <c r="BS282" s="43">
        <f>IF(B282="","",IF(AH282=0,"Add - no costs entered yet",IF(AR282="","Check - no price yet",IF(AV282&lt;0,"Loss - every sale costs you money",IF(AND(AZ282&lt;&gt;"",AZ282&lt;MinimumWage),"Below - pays under minimum wage",IF(AW282&lt;MarginWarning,"Low margin - re-price it",IF(AND(AF282&lt;&gt;"",K282&lt;&gt;"",K282+AC282&gt;AF282),"Check - too heavy for that postage band",IF(AND(BN282&lt;&gt;"",BN282&gt;PriceReviewDays),"Due - price has not been reviewed",IF(AND(BG282&lt;&gt;"",BG282&gt;0.5),"Check - well above the market","OK")))))))) )</f>
        <v>0</v>
      </c>
    </row>
    <row r="283" spans="1:71">
      <c r="A283" s="38">
        <f>IF(B283="","",ProductPrefix&amp;TEXT(ROW()-4,"0000"))</f>
        <v>0</v>
      </c>
      <c r="S283" s="38">
        <f>IF(B283="","",IF(C283&lt;&gt;"",C283,UPPER(LEFT(IF(D283="","GEN",D283),3))&amp;"-"&amp;TEXT(ROW()-4,"000")))</f>
        <v>0</v>
      </c>
      <c r="T283" s="20">
        <f>IF(B283="","",ROUND(SUMIFS('Material Usage'!$M$5:$M$904,'Material Usage'!$A$5:$A$904,A283)+SUMIFS(Crochet!$AD$5:$AD$84,Crochet!$A$5:$A$84,A283)+SUMIFS(Jewelry!$AF$5:$AF$84,Jewelry!$A$5:$A$84,A283)+SUMIFS(Candles!$AF$5:$AF$84,Candles!$A$5:$A$84,A283)+SUMIFS(Clothing!$AB$5:$AB$84,Clothing!$A$5:$A$84,A283)+SUMIFS(Woodworking!$AC$5:$AC$84,Woodworking!$A$5:$A$84,A283)+SUMIFS(Digital!$X$5:$X$84,Digital!$A$5:$A$84,A283),2))</f>
        <v>0</v>
      </c>
      <c r="U283" s="20">
        <f>IF(B283="","",ROUND(SUMIFS(Labor!$O$5:$O$304,Labor!$A$5:$A$304,A283)+SUMIFS(Crochet!$AG$5:$AG$84,Crochet!$A$5:$A$84,A283)+SUMIFS(Jewelry!$AI$5:$AI$84,Jewelry!$A$5:$A$84,A283)+SUMIFS(Candles!$AI$5:$AI$84,Candles!$A$5:$A$84,A283)+SUMIFS(Clothing!$AE$5:$AE$84,Clothing!$A$5:$A$84,A283)+SUMIFS(Woodworking!$AF$5:$AF$84,Woodworking!$A$5:$A$84,A283)+SUMIFS(Digital!$Z$5:$Z$84,Digital!$A$5:$A$84,A283),2))</f>
        <v>0</v>
      </c>
      <c r="V283" s="36">
        <f>IF(B283="","",ROUND(SUMIFS(Labor!$P$5:$P$304,Labor!$A$5:$A$304,A283)+SUMIFS(Crochet!$AE$5:$AE$84,Crochet!$A$5:$A$84,A283)+SUMIFS(Jewelry!$AG$5:$AG$84,Jewelry!$A$5:$A$84,A283)+SUMIFS(Candles!$AG$5:$AG$84,Candles!$A$5:$A$84,A283)+SUMIFS(Clothing!$AC$5:$AC$84,Clothing!$A$5:$A$84,A283)+SUMIFS(Woodworking!$AD$5:$AD$84,Woodworking!$A$5:$A$84,A283)+SUMIFS(Digital!$Y$5:$Y$84,Digital!$A$5:$A$84,A283),1))</f>
        <v>0</v>
      </c>
      <c r="W283" s="41">
        <f>IF(B283="","",IFERROR(INDEX(DiffTimeFactors,MATCH(G283,DiffNames,0)),1))</f>
        <v>0</v>
      </c>
      <c r="X283" s="36">
        <f>IF(B283="","",ROUND(V283*W283,1))</f>
        <v>0</v>
      </c>
      <c r="Y283" s="41">
        <f>IF(B283="","",ROUND(X283/60,3))</f>
        <v>0</v>
      </c>
      <c r="Z283" s="20">
        <f>IF(B283="","",ROUND(U283*W283,2))</f>
        <v>0</v>
      </c>
      <c r="AA283" s="20">
        <f>IF(B283="","",ROUND(SUMIFS(Labor!$Q$5:$Q$304,Labor!$A$5:$A$304,A283)+SUMIFS(Crochet!$AH$5:$AH$84,Crochet!$A$5:$A$84,A283)+SUMIFS(Jewelry!$AJ$5:$AJ$84,Jewelry!$A$5:$A$84,A283)+SUMIFS(Candles!$AJ$5:$AJ$84,Candles!$A$5:$A$84,A283)+SUMIFS(Clothing!$AF$5:$AF$84,Clothing!$A$5:$A$84,A283)+SUMIFS(Woodworking!$AH$5:$AH$84,Woodworking!$A$5:$A$84,A283)+SUMIFS(Digital!$AA$5:$AA$84,Digital!$A$5:$A$84,A283),2))</f>
        <v>0</v>
      </c>
      <c r="AB283" s="20">
        <f>IF(B283="","",ROUND(IF(I283="Budget",PackBudget,IF(I283="Standard",PackStandard,IF(I283="Gift",PackGift,IF(I283="Premium",PackPremium,DefaultPackaging)))),2))</f>
        <v>0</v>
      </c>
      <c r="AC283" s="36">
        <f>IF(B283="","",IF(I283="Budget",PackWeightBudget,IF(I283="Standard",PackWeightStandard,IF(I283="Gift",PackWeightGift,IF(I283="Premium",PackWeightPremium,0)))))</f>
        <v>0</v>
      </c>
      <c r="AD283" s="20">
        <f>IF(B283="","",IFERROR(INDEX(Shipping!$M$5:$M$64,MATCH(J283,Shipping!$L$5:$L$64,0)),DefaultShipping))</f>
        <v>0</v>
      </c>
      <c r="AE283" s="20">
        <f>IF(B283="","",IFERROR(INDEX(Shipping!$F$5:$F$64,MATCH(J283,Shipping!$L$5:$L$64,0)),0))</f>
        <v>0</v>
      </c>
      <c r="AF283" s="36">
        <f>IF(B283="","",IFERROR(INDEX(Shipping!$C$5:$C$64,MATCH(J283,Shipping!$L$5:$L$64,0)),""))</f>
        <v>0</v>
      </c>
      <c r="AG283" s="20">
        <f>IF(B283="","",ROUND(MAX(0,AD283-AE283),2))</f>
        <v>0</v>
      </c>
      <c r="AH283" s="20">
        <f>IF(B283="","",ROUND(T283+Z283+AA283+AB283+AG283,2))</f>
        <v>0</v>
      </c>
      <c r="AI283" s="33">
        <f>IF(B283="","",IFERROR(INDEX(Channels!$S$5:$S$18,MATCH(IF(H283="",DefaultChannel,H283),Channels!$A$5:$A$18,0)),0))</f>
        <v>0</v>
      </c>
      <c r="AJ283" s="42">
        <f>IF(B283="","",IFERROR(INDEX(Channels!$O$5:$O$18,MATCH(IF(H283="",DefaultChannel,H283),Channels!$A$5:$A$18,0)),"No"))</f>
        <v>0</v>
      </c>
      <c r="AK283" s="20">
        <f>IF(B283="","",ROUND(IFERROR(INDEX(Channels!$T$5:$T$18,MATCH(IF(H283="",DefaultChannel,H283),Channels!$A$5:$A$18,0)),0)+IF(AJ283="Yes",AE283*AI283,0),4))</f>
        <v>0</v>
      </c>
      <c r="AL283" s="33">
        <f>IF(B283="","",IF(OverheadMethod="Share of revenue",IF(RevenueTargetMonth&lt;=0,0,OverheadMonthly/RevenueTargetMonth),0))</f>
        <v>0</v>
      </c>
      <c r="AM283" s="20">
        <f>IF(B283="","",IF(OverheadMethod="Per hour worked",ROUND(OverheadPerHour*Y283,2),IF(OR(OverheadMethod="Per unit made",OverheadMethod="Per order"),OverheadPerUnit,0)))</f>
        <v>0</v>
      </c>
      <c r="AN283" s="33">
        <f>IF(B283="","",IF(N283&lt;&gt;"",N283,TargetRetailMargin))</f>
        <v>0</v>
      </c>
      <c r="AO283" s="41">
        <f>IF(B283="","",1-AN283-AI283-AL283)</f>
        <v>0</v>
      </c>
      <c r="AP283" s="20">
        <f>IF(B283="","",IF(AO283&lt;=0,"",(AH283+AM283+AK283)/AO283))</f>
        <v>0</v>
      </c>
      <c r="AQ283" s="20">
        <f>IF(B283="","",IF(AP283="","Check the settings",ROUND(IF(RoundingRule="None",AP283,IF(RoundingRule="Nearest 0.99",MAX(0.99,CEILING(AP283,1)-0.01),IF(RoundingRule="Nearest 0.95",MAX(0.95,CEILING(AP283,1)-0.05),IF(RoundingRule="Nearest 0.50",CEILING(AP283,0.5),IF(RoundingRule="Nearest 1",CEILING(AP283,1),IF(RoundingRule="Nearest 5",CEILING(AP283,5),IF(RoundingRule="Up to whole 1",CEILING(AP283,1),IF(RoundingRule="Up to whole 5",CEILING(AP283,5),ROUND(AP283,2))))))))),2)))</f>
        <v>0</v>
      </c>
      <c r="AR283" s="20">
        <f>IF(B283="","",IF(M283&lt;&gt;"",M283,IF(ISNUMBER(AQ283),AQ283,"")))</f>
        <v>0</v>
      </c>
      <c r="AS283" s="20">
        <f>IF(B283="","",IF(AR283="","",ROUND(AM283+AR283*AL283,2)))</f>
        <v>0</v>
      </c>
      <c r="AT283" s="20">
        <f>IF(B283="","",IF(AR283="","",ROUND(AH283+AS283,2)))</f>
        <v>0</v>
      </c>
      <c r="AU283" s="20">
        <f>IF(B283="","",IF(AR283="","",ROUND(AR283*AI283+AK283,2)))</f>
        <v>0</v>
      </c>
      <c r="AV283" s="20">
        <f>IF(B283="","",IF(AR283="","",ROUND(AR283-AT283-AU283,2)))</f>
        <v>0</v>
      </c>
      <c r="AW283" s="33">
        <f>IF(B283="","",IF(OR(AR283="",AR283=0),"",AV283/AR283))</f>
        <v>0</v>
      </c>
      <c r="AX283" s="33">
        <f>IF(B283="","",IF(OR(AT283="",AT283=0),"",AV283/AT283))</f>
        <v>0</v>
      </c>
      <c r="AY283" s="20">
        <f>IF(B283="","",IF(OR(Y283="",Y283=0,AV283=""),"",ROUND(AV283/Y283,2)))</f>
        <v>0</v>
      </c>
      <c r="AZ283" s="20">
        <f>IF(B283="","",IF(OR(Y283="",Y283=0,AV283=""),"",ROUND((AV283+Z283)/Y283,2)))</f>
        <v>0</v>
      </c>
      <c r="BA283" s="20">
        <f>IF(B283="","",IF(1-AI283-AL283&lt;=0,"",ROUND((AH283+AM283+AK283)/(1-AI283-AL283),2)))</f>
        <v>0</v>
      </c>
      <c r="BB283" s="20">
        <f>IF(B283="","",IF(AT283="","",ROUND(AT283*2,2)))</f>
        <v>0</v>
      </c>
      <c r="BC283" s="20">
        <f>IF(B283="","",IF(AR283="","",ROUND(AR283*(1-WholesaleDiscount),2)))</f>
        <v>0</v>
      </c>
      <c r="BD283" s="20">
        <f>IF(B283="","",IF(BC283="","",ROUND(BC283-AH283-AM283,2)))</f>
        <v>0</v>
      </c>
      <c r="BE283" s="33">
        <f>IF(B283="","",IF(OR(BC283="",BC283=0),"",BD283/BC283))</f>
        <v>0</v>
      </c>
      <c r="BF283" s="20">
        <f>IF(B283="","",IFERROR(ROUND(AVERAGEIFS(Competitors!$F$5:$F$154,Competitors!$A$5:$A$154,A283),2),""))</f>
        <v>0</v>
      </c>
      <c r="BG283" s="33">
        <f>IF(B283="","",IF(OR(BF283="",BF283=0,AR283=""),"",AR283/BF283-1))</f>
        <v>0</v>
      </c>
      <c r="BH283" s="32">
        <f>IF(B283="","",SUMIFS(Sales!$D$5:$D$804,Sales!$C$5:$C$804,A283))</f>
        <v>0</v>
      </c>
      <c r="BI283" s="20">
        <f>IF(B283="","",ROUND(SUMIFS(Sales!$V$5:$V$804,Sales!$C$5:$C$804,A283),2))</f>
        <v>0</v>
      </c>
      <c r="BJ283" s="20">
        <f>IF(B283="","",ROUND(SUMIFS(Sales!$AG$5:$AG$804,Sales!$C$5:$C$804,A283),2))</f>
        <v>0</v>
      </c>
      <c r="BK283" s="33">
        <f>IF(B283="","",IF(OR(BI283="",BI283=0),"",BJ283/BI283))</f>
        <v>0</v>
      </c>
      <c r="BL283" s="17">
        <f>IF(B283="","",IF(SUMPRODUCT(MAX((Sales!$C$5:$C$804=A283)*Sales!$B$5:$B$804))=0,"",SUMPRODUCT(MAX((Sales!$C$5:$C$804=A283)*Sales!$B$5:$B$804))))</f>
        <v>0</v>
      </c>
      <c r="BM283" s="17">
        <f>IF(B283="","",IF(SUMPRODUCT(MAX(('Price History'!$B$5:$B$304=A283)*'Price History'!$A$5:$A$304))=0,IF(P283="","",P283),SUMPRODUCT(MAX(('Price History'!$B$5:$B$304=A283)*'Price History'!$A$5:$A$304))))</f>
        <v>0</v>
      </c>
      <c r="BN283" s="32">
        <f>IF(B283="","",IF(BM283="","",TodayDate-BM283))</f>
        <v>0</v>
      </c>
      <c r="BO283" s="32">
        <f>IF(B283="","",COUNTIFS($AV$5:$AV$304,"&gt;"&amp;AV283)+COUNTIFS($AV$5:AV283,AV283))</f>
        <v>0</v>
      </c>
      <c r="BP283" s="32">
        <f>IF(B283="","",COUNTIFS($AW$5:$AW$304,"&gt;"&amp;AW283)+COUNTIFS($AW$5:AW283,AW283))</f>
        <v>0</v>
      </c>
      <c r="BQ283" s="32">
        <f>IF(B283="","",COUNTIFS($BI$5:$BI$304,"&gt;"&amp;BI283)+COUNTIFS($BI$5:BI283,BI283))</f>
        <v>0</v>
      </c>
      <c r="BR283" s="32">
        <f>IF(B283="","",COUNTIFS($AY$5:$AY$304,"&gt;"&amp;AY283)+COUNTIFS($AY$5:AY283,AY283))</f>
        <v>0</v>
      </c>
      <c r="BS283" s="43">
        <f>IF(B283="","",IF(AH283=0,"Add - no costs entered yet",IF(AR283="","Check - no price yet",IF(AV283&lt;0,"Loss - every sale costs you money",IF(AND(AZ283&lt;&gt;"",AZ283&lt;MinimumWage),"Below - pays under minimum wage",IF(AW283&lt;MarginWarning,"Low margin - re-price it",IF(AND(AF283&lt;&gt;"",K283&lt;&gt;"",K283+AC283&gt;AF283),"Check - too heavy for that postage band",IF(AND(BN283&lt;&gt;"",BN283&gt;PriceReviewDays),"Due - price has not been reviewed",IF(AND(BG283&lt;&gt;"",BG283&gt;0.5),"Check - well above the market","OK")))))))) )</f>
        <v>0</v>
      </c>
    </row>
    <row r="284" spans="1:71">
      <c r="A284" s="38">
        <f>IF(B284="","",ProductPrefix&amp;TEXT(ROW()-4,"0000"))</f>
        <v>0</v>
      </c>
      <c r="S284" s="38">
        <f>IF(B284="","",IF(C284&lt;&gt;"",C284,UPPER(LEFT(IF(D284="","GEN",D284),3))&amp;"-"&amp;TEXT(ROW()-4,"000")))</f>
        <v>0</v>
      </c>
      <c r="T284" s="20">
        <f>IF(B284="","",ROUND(SUMIFS('Material Usage'!$M$5:$M$904,'Material Usage'!$A$5:$A$904,A284)+SUMIFS(Crochet!$AD$5:$AD$84,Crochet!$A$5:$A$84,A284)+SUMIFS(Jewelry!$AF$5:$AF$84,Jewelry!$A$5:$A$84,A284)+SUMIFS(Candles!$AF$5:$AF$84,Candles!$A$5:$A$84,A284)+SUMIFS(Clothing!$AB$5:$AB$84,Clothing!$A$5:$A$84,A284)+SUMIFS(Woodworking!$AC$5:$AC$84,Woodworking!$A$5:$A$84,A284)+SUMIFS(Digital!$X$5:$X$84,Digital!$A$5:$A$84,A284),2))</f>
        <v>0</v>
      </c>
      <c r="U284" s="20">
        <f>IF(B284="","",ROUND(SUMIFS(Labor!$O$5:$O$304,Labor!$A$5:$A$304,A284)+SUMIFS(Crochet!$AG$5:$AG$84,Crochet!$A$5:$A$84,A284)+SUMIFS(Jewelry!$AI$5:$AI$84,Jewelry!$A$5:$A$84,A284)+SUMIFS(Candles!$AI$5:$AI$84,Candles!$A$5:$A$84,A284)+SUMIFS(Clothing!$AE$5:$AE$84,Clothing!$A$5:$A$84,A284)+SUMIFS(Woodworking!$AF$5:$AF$84,Woodworking!$A$5:$A$84,A284)+SUMIFS(Digital!$Z$5:$Z$84,Digital!$A$5:$A$84,A284),2))</f>
        <v>0</v>
      </c>
      <c r="V284" s="36">
        <f>IF(B284="","",ROUND(SUMIFS(Labor!$P$5:$P$304,Labor!$A$5:$A$304,A284)+SUMIFS(Crochet!$AE$5:$AE$84,Crochet!$A$5:$A$84,A284)+SUMIFS(Jewelry!$AG$5:$AG$84,Jewelry!$A$5:$A$84,A284)+SUMIFS(Candles!$AG$5:$AG$84,Candles!$A$5:$A$84,A284)+SUMIFS(Clothing!$AC$5:$AC$84,Clothing!$A$5:$A$84,A284)+SUMIFS(Woodworking!$AD$5:$AD$84,Woodworking!$A$5:$A$84,A284)+SUMIFS(Digital!$Y$5:$Y$84,Digital!$A$5:$A$84,A284),1))</f>
        <v>0</v>
      </c>
      <c r="W284" s="41">
        <f>IF(B284="","",IFERROR(INDEX(DiffTimeFactors,MATCH(G284,DiffNames,0)),1))</f>
        <v>0</v>
      </c>
      <c r="X284" s="36">
        <f>IF(B284="","",ROUND(V284*W284,1))</f>
        <v>0</v>
      </c>
      <c r="Y284" s="41">
        <f>IF(B284="","",ROUND(X284/60,3))</f>
        <v>0</v>
      </c>
      <c r="Z284" s="20">
        <f>IF(B284="","",ROUND(U284*W284,2))</f>
        <v>0</v>
      </c>
      <c r="AA284" s="20">
        <f>IF(B284="","",ROUND(SUMIFS(Labor!$Q$5:$Q$304,Labor!$A$5:$A$304,A284)+SUMIFS(Crochet!$AH$5:$AH$84,Crochet!$A$5:$A$84,A284)+SUMIFS(Jewelry!$AJ$5:$AJ$84,Jewelry!$A$5:$A$84,A284)+SUMIFS(Candles!$AJ$5:$AJ$84,Candles!$A$5:$A$84,A284)+SUMIFS(Clothing!$AF$5:$AF$84,Clothing!$A$5:$A$84,A284)+SUMIFS(Woodworking!$AH$5:$AH$84,Woodworking!$A$5:$A$84,A284)+SUMIFS(Digital!$AA$5:$AA$84,Digital!$A$5:$A$84,A284),2))</f>
        <v>0</v>
      </c>
      <c r="AB284" s="20">
        <f>IF(B284="","",ROUND(IF(I284="Budget",PackBudget,IF(I284="Standard",PackStandard,IF(I284="Gift",PackGift,IF(I284="Premium",PackPremium,DefaultPackaging)))),2))</f>
        <v>0</v>
      </c>
      <c r="AC284" s="36">
        <f>IF(B284="","",IF(I284="Budget",PackWeightBudget,IF(I284="Standard",PackWeightStandard,IF(I284="Gift",PackWeightGift,IF(I284="Premium",PackWeightPremium,0)))))</f>
        <v>0</v>
      </c>
      <c r="AD284" s="20">
        <f>IF(B284="","",IFERROR(INDEX(Shipping!$M$5:$M$64,MATCH(J284,Shipping!$L$5:$L$64,0)),DefaultShipping))</f>
        <v>0</v>
      </c>
      <c r="AE284" s="20">
        <f>IF(B284="","",IFERROR(INDEX(Shipping!$F$5:$F$64,MATCH(J284,Shipping!$L$5:$L$64,0)),0))</f>
        <v>0</v>
      </c>
      <c r="AF284" s="36">
        <f>IF(B284="","",IFERROR(INDEX(Shipping!$C$5:$C$64,MATCH(J284,Shipping!$L$5:$L$64,0)),""))</f>
        <v>0</v>
      </c>
      <c r="AG284" s="20">
        <f>IF(B284="","",ROUND(MAX(0,AD284-AE284),2))</f>
        <v>0</v>
      </c>
      <c r="AH284" s="20">
        <f>IF(B284="","",ROUND(T284+Z284+AA284+AB284+AG284,2))</f>
        <v>0</v>
      </c>
      <c r="AI284" s="33">
        <f>IF(B284="","",IFERROR(INDEX(Channels!$S$5:$S$18,MATCH(IF(H284="",DefaultChannel,H284),Channels!$A$5:$A$18,0)),0))</f>
        <v>0</v>
      </c>
      <c r="AJ284" s="42">
        <f>IF(B284="","",IFERROR(INDEX(Channels!$O$5:$O$18,MATCH(IF(H284="",DefaultChannel,H284),Channels!$A$5:$A$18,0)),"No"))</f>
        <v>0</v>
      </c>
      <c r="AK284" s="20">
        <f>IF(B284="","",ROUND(IFERROR(INDEX(Channels!$T$5:$T$18,MATCH(IF(H284="",DefaultChannel,H284),Channels!$A$5:$A$18,0)),0)+IF(AJ284="Yes",AE284*AI284,0),4))</f>
        <v>0</v>
      </c>
      <c r="AL284" s="33">
        <f>IF(B284="","",IF(OverheadMethod="Share of revenue",IF(RevenueTargetMonth&lt;=0,0,OverheadMonthly/RevenueTargetMonth),0))</f>
        <v>0</v>
      </c>
      <c r="AM284" s="20">
        <f>IF(B284="","",IF(OverheadMethod="Per hour worked",ROUND(OverheadPerHour*Y284,2),IF(OR(OverheadMethod="Per unit made",OverheadMethod="Per order"),OverheadPerUnit,0)))</f>
        <v>0</v>
      </c>
      <c r="AN284" s="33">
        <f>IF(B284="","",IF(N284&lt;&gt;"",N284,TargetRetailMargin))</f>
        <v>0</v>
      </c>
      <c r="AO284" s="41">
        <f>IF(B284="","",1-AN284-AI284-AL284)</f>
        <v>0</v>
      </c>
      <c r="AP284" s="20">
        <f>IF(B284="","",IF(AO284&lt;=0,"",(AH284+AM284+AK284)/AO284))</f>
        <v>0</v>
      </c>
      <c r="AQ284" s="20">
        <f>IF(B284="","",IF(AP284="","Check the settings",ROUND(IF(RoundingRule="None",AP284,IF(RoundingRule="Nearest 0.99",MAX(0.99,CEILING(AP284,1)-0.01),IF(RoundingRule="Nearest 0.95",MAX(0.95,CEILING(AP284,1)-0.05),IF(RoundingRule="Nearest 0.50",CEILING(AP284,0.5),IF(RoundingRule="Nearest 1",CEILING(AP284,1),IF(RoundingRule="Nearest 5",CEILING(AP284,5),IF(RoundingRule="Up to whole 1",CEILING(AP284,1),IF(RoundingRule="Up to whole 5",CEILING(AP284,5),ROUND(AP284,2))))))))),2)))</f>
        <v>0</v>
      </c>
      <c r="AR284" s="20">
        <f>IF(B284="","",IF(M284&lt;&gt;"",M284,IF(ISNUMBER(AQ284),AQ284,"")))</f>
        <v>0</v>
      </c>
      <c r="AS284" s="20">
        <f>IF(B284="","",IF(AR284="","",ROUND(AM284+AR284*AL284,2)))</f>
        <v>0</v>
      </c>
      <c r="AT284" s="20">
        <f>IF(B284="","",IF(AR284="","",ROUND(AH284+AS284,2)))</f>
        <v>0</v>
      </c>
      <c r="AU284" s="20">
        <f>IF(B284="","",IF(AR284="","",ROUND(AR284*AI284+AK284,2)))</f>
        <v>0</v>
      </c>
      <c r="AV284" s="20">
        <f>IF(B284="","",IF(AR284="","",ROUND(AR284-AT284-AU284,2)))</f>
        <v>0</v>
      </c>
      <c r="AW284" s="33">
        <f>IF(B284="","",IF(OR(AR284="",AR284=0),"",AV284/AR284))</f>
        <v>0</v>
      </c>
      <c r="AX284" s="33">
        <f>IF(B284="","",IF(OR(AT284="",AT284=0),"",AV284/AT284))</f>
        <v>0</v>
      </c>
      <c r="AY284" s="20">
        <f>IF(B284="","",IF(OR(Y284="",Y284=0,AV284=""),"",ROUND(AV284/Y284,2)))</f>
        <v>0</v>
      </c>
      <c r="AZ284" s="20">
        <f>IF(B284="","",IF(OR(Y284="",Y284=0,AV284=""),"",ROUND((AV284+Z284)/Y284,2)))</f>
        <v>0</v>
      </c>
      <c r="BA284" s="20">
        <f>IF(B284="","",IF(1-AI284-AL284&lt;=0,"",ROUND((AH284+AM284+AK284)/(1-AI284-AL284),2)))</f>
        <v>0</v>
      </c>
      <c r="BB284" s="20">
        <f>IF(B284="","",IF(AT284="","",ROUND(AT284*2,2)))</f>
        <v>0</v>
      </c>
      <c r="BC284" s="20">
        <f>IF(B284="","",IF(AR284="","",ROUND(AR284*(1-WholesaleDiscount),2)))</f>
        <v>0</v>
      </c>
      <c r="BD284" s="20">
        <f>IF(B284="","",IF(BC284="","",ROUND(BC284-AH284-AM284,2)))</f>
        <v>0</v>
      </c>
      <c r="BE284" s="33">
        <f>IF(B284="","",IF(OR(BC284="",BC284=0),"",BD284/BC284))</f>
        <v>0</v>
      </c>
      <c r="BF284" s="20">
        <f>IF(B284="","",IFERROR(ROUND(AVERAGEIFS(Competitors!$F$5:$F$154,Competitors!$A$5:$A$154,A284),2),""))</f>
        <v>0</v>
      </c>
      <c r="BG284" s="33">
        <f>IF(B284="","",IF(OR(BF284="",BF284=0,AR284=""),"",AR284/BF284-1))</f>
        <v>0</v>
      </c>
      <c r="BH284" s="32">
        <f>IF(B284="","",SUMIFS(Sales!$D$5:$D$804,Sales!$C$5:$C$804,A284))</f>
        <v>0</v>
      </c>
      <c r="BI284" s="20">
        <f>IF(B284="","",ROUND(SUMIFS(Sales!$V$5:$V$804,Sales!$C$5:$C$804,A284),2))</f>
        <v>0</v>
      </c>
      <c r="BJ284" s="20">
        <f>IF(B284="","",ROUND(SUMIFS(Sales!$AG$5:$AG$804,Sales!$C$5:$C$804,A284),2))</f>
        <v>0</v>
      </c>
      <c r="BK284" s="33">
        <f>IF(B284="","",IF(OR(BI284="",BI284=0),"",BJ284/BI284))</f>
        <v>0</v>
      </c>
      <c r="BL284" s="17">
        <f>IF(B284="","",IF(SUMPRODUCT(MAX((Sales!$C$5:$C$804=A284)*Sales!$B$5:$B$804))=0,"",SUMPRODUCT(MAX((Sales!$C$5:$C$804=A284)*Sales!$B$5:$B$804))))</f>
        <v>0</v>
      </c>
      <c r="BM284" s="17">
        <f>IF(B284="","",IF(SUMPRODUCT(MAX(('Price History'!$B$5:$B$304=A284)*'Price History'!$A$5:$A$304))=0,IF(P284="","",P284),SUMPRODUCT(MAX(('Price History'!$B$5:$B$304=A284)*'Price History'!$A$5:$A$304))))</f>
        <v>0</v>
      </c>
      <c r="BN284" s="32">
        <f>IF(B284="","",IF(BM284="","",TodayDate-BM284))</f>
        <v>0</v>
      </c>
      <c r="BO284" s="32">
        <f>IF(B284="","",COUNTIFS($AV$5:$AV$304,"&gt;"&amp;AV284)+COUNTIFS($AV$5:AV284,AV284))</f>
        <v>0</v>
      </c>
      <c r="BP284" s="32">
        <f>IF(B284="","",COUNTIFS($AW$5:$AW$304,"&gt;"&amp;AW284)+COUNTIFS($AW$5:AW284,AW284))</f>
        <v>0</v>
      </c>
      <c r="BQ284" s="32">
        <f>IF(B284="","",COUNTIFS($BI$5:$BI$304,"&gt;"&amp;BI284)+COUNTIFS($BI$5:BI284,BI284))</f>
        <v>0</v>
      </c>
      <c r="BR284" s="32">
        <f>IF(B284="","",COUNTIFS($AY$5:$AY$304,"&gt;"&amp;AY284)+COUNTIFS($AY$5:AY284,AY284))</f>
        <v>0</v>
      </c>
      <c r="BS284" s="43">
        <f>IF(B284="","",IF(AH284=0,"Add - no costs entered yet",IF(AR284="","Check - no price yet",IF(AV284&lt;0,"Loss - every sale costs you money",IF(AND(AZ284&lt;&gt;"",AZ284&lt;MinimumWage),"Below - pays under minimum wage",IF(AW284&lt;MarginWarning,"Low margin - re-price it",IF(AND(AF284&lt;&gt;"",K284&lt;&gt;"",K284+AC284&gt;AF284),"Check - too heavy for that postage band",IF(AND(BN284&lt;&gt;"",BN284&gt;PriceReviewDays),"Due - price has not been reviewed",IF(AND(BG284&lt;&gt;"",BG284&gt;0.5),"Check - well above the market","OK")))))))) )</f>
        <v>0</v>
      </c>
    </row>
    <row r="285" spans="1:71">
      <c r="A285" s="38">
        <f>IF(B285="","",ProductPrefix&amp;TEXT(ROW()-4,"0000"))</f>
        <v>0</v>
      </c>
      <c r="S285" s="38">
        <f>IF(B285="","",IF(C285&lt;&gt;"",C285,UPPER(LEFT(IF(D285="","GEN",D285),3))&amp;"-"&amp;TEXT(ROW()-4,"000")))</f>
        <v>0</v>
      </c>
      <c r="T285" s="20">
        <f>IF(B285="","",ROUND(SUMIFS('Material Usage'!$M$5:$M$904,'Material Usage'!$A$5:$A$904,A285)+SUMIFS(Crochet!$AD$5:$AD$84,Crochet!$A$5:$A$84,A285)+SUMIFS(Jewelry!$AF$5:$AF$84,Jewelry!$A$5:$A$84,A285)+SUMIFS(Candles!$AF$5:$AF$84,Candles!$A$5:$A$84,A285)+SUMIFS(Clothing!$AB$5:$AB$84,Clothing!$A$5:$A$84,A285)+SUMIFS(Woodworking!$AC$5:$AC$84,Woodworking!$A$5:$A$84,A285)+SUMIFS(Digital!$X$5:$X$84,Digital!$A$5:$A$84,A285),2))</f>
        <v>0</v>
      </c>
      <c r="U285" s="20">
        <f>IF(B285="","",ROUND(SUMIFS(Labor!$O$5:$O$304,Labor!$A$5:$A$304,A285)+SUMIFS(Crochet!$AG$5:$AG$84,Crochet!$A$5:$A$84,A285)+SUMIFS(Jewelry!$AI$5:$AI$84,Jewelry!$A$5:$A$84,A285)+SUMIFS(Candles!$AI$5:$AI$84,Candles!$A$5:$A$84,A285)+SUMIFS(Clothing!$AE$5:$AE$84,Clothing!$A$5:$A$84,A285)+SUMIFS(Woodworking!$AF$5:$AF$84,Woodworking!$A$5:$A$84,A285)+SUMIFS(Digital!$Z$5:$Z$84,Digital!$A$5:$A$84,A285),2))</f>
        <v>0</v>
      </c>
      <c r="V285" s="36">
        <f>IF(B285="","",ROUND(SUMIFS(Labor!$P$5:$P$304,Labor!$A$5:$A$304,A285)+SUMIFS(Crochet!$AE$5:$AE$84,Crochet!$A$5:$A$84,A285)+SUMIFS(Jewelry!$AG$5:$AG$84,Jewelry!$A$5:$A$84,A285)+SUMIFS(Candles!$AG$5:$AG$84,Candles!$A$5:$A$84,A285)+SUMIFS(Clothing!$AC$5:$AC$84,Clothing!$A$5:$A$84,A285)+SUMIFS(Woodworking!$AD$5:$AD$84,Woodworking!$A$5:$A$84,A285)+SUMIFS(Digital!$Y$5:$Y$84,Digital!$A$5:$A$84,A285),1))</f>
        <v>0</v>
      </c>
      <c r="W285" s="41">
        <f>IF(B285="","",IFERROR(INDEX(DiffTimeFactors,MATCH(G285,DiffNames,0)),1))</f>
        <v>0</v>
      </c>
      <c r="X285" s="36">
        <f>IF(B285="","",ROUND(V285*W285,1))</f>
        <v>0</v>
      </c>
      <c r="Y285" s="41">
        <f>IF(B285="","",ROUND(X285/60,3))</f>
        <v>0</v>
      </c>
      <c r="Z285" s="20">
        <f>IF(B285="","",ROUND(U285*W285,2))</f>
        <v>0</v>
      </c>
      <c r="AA285" s="20">
        <f>IF(B285="","",ROUND(SUMIFS(Labor!$Q$5:$Q$304,Labor!$A$5:$A$304,A285)+SUMIFS(Crochet!$AH$5:$AH$84,Crochet!$A$5:$A$84,A285)+SUMIFS(Jewelry!$AJ$5:$AJ$84,Jewelry!$A$5:$A$84,A285)+SUMIFS(Candles!$AJ$5:$AJ$84,Candles!$A$5:$A$84,A285)+SUMIFS(Clothing!$AF$5:$AF$84,Clothing!$A$5:$A$84,A285)+SUMIFS(Woodworking!$AH$5:$AH$84,Woodworking!$A$5:$A$84,A285)+SUMIFS(Digital!$AA$5:$AA$84,Digital!$A$5:$A$84,A285),2))</f>
        <v>0</v>
      </c>
      <c r="AB285" s="20">
        <f>IF(B285="","",ROUND(IF(I285="Budget",PackBudget,IF(I285="Standard",PackStandard,IF(I285="Gift",PackGift,IF(I285="Premium",PackPremium,DefaultPackaging)))),2))</f>
        <v>0</v>
      </c>
      <c r="AC285" s="36">
        <f>IF(B285="","",IF(I285="Budget",PackWeightBudget,IF(I285="Standard",PackWeightStandard,IF(I285="Gift",PackWeightGift,IF(I285="Premium",PackWeightPremium,0)))))</f>
        <v>0</v>
      </c>
      <c r="AD285" s="20">
        <f>IF(B285="","",IFERROR(INDEX(Shipping!$M$5:$M$64,MATCH(J285,Shipping!$L$5:$L$64,0)),DefaultShipping))</f>
        <v>0</v>
      </c>
      <c r="AE285" s="20">
        <f>IF(B285="","",IFERROR(INDEX(Shipping!$F$5:$F$64,MATCH(J285,Shipping!$L$5:$L$64,0)),0))</f>
        <v>0</v>
      </c>
      <c r="AF285" s="36">
        <f>IF(B285="","",IFERROR(INDEX(Shipping!$C$5:$C$64,MATCH(J285,Shipping!$L$5:$L$64,0)),""))</f>
        <v>0</v>
      </c>
      <c r="AG285" s="20">
        <f>IF(B285="","",ROUND(MAX(0,AD285-AE285),2))</f>
        <v>0</v>
      </c>
      <c r="AH285" s="20">
        <f>IF(B285="","",ROUND(T285+Z285+AA285+AB285+AG285,2))</f>
        <v>0</v>
      </c>
      <c r="AI285" s="33">
        <f>IF(B285="","",IFERROR(INDEX(Channels!$S$5:$S$18,MATCH(IF(H285="",DefaultChannel,H285),Channels!$A$5:$A$18,0)),0))</f>
        <v>0</v>
      </c>
      <c r="AJ285" s="42">
        <f>IF(B285="","",IFERROR(INDEX(Channels!$O$5:$O$18,MATCH(IF(H285="",DefaultChannel,H285),Channels!$A$5:$A$18,0)),"No"))</f>
        <v>0</v>
      </c>
      <c r="AK285" s="20">
        <f>IF(B285="","",ROUND(IFERROR(INDEX(Channels!$T$5:$T$18,MATCH(IF(H285="",DefaultChannel,H285),Channels!$A$5:$A$18,0)),0)+IF(AJ285="Yes",AE285*AI285,0),4))</f>
        <v>0</v>
      </c>
      <c r="AL285" s="33">
        <f>IF(B285="","",IF(OverheadMethod="Share of revenue",IF(RevenueTargetMonth&lt;=0,0,OverheadMonthly/RevenueTargetMonth),0))</f>
        <v>0</v>
      </c>
      <c r="AM285" s="20">
        <f>IF(B285="","",IF(OverheadMethod="Per hour worked",ROUND(OverheadPerHour*Y285,2),IF(OR(OverheadMethod="Per unit made",OverheadMethod="Per order"),OverheadPerUnit,0)))</f>
        <v>0</v>
      </c>
      <c r="AN285" s="33">
        <f>IF(B285="","",IF(N285&lt;&gt;"",N285,TargetRetailMargin))</f>
        <v>0</v>
      </c>
      <c r="AO285" s="41">
        <f>IF(B285="","",1-AN285-AI285-AL285)</f>
        <v>0</v>
      </c>
      <c r="AP285" s="20">
        <f>IF(B285="","",IF(AO285&lt;=0,"",(AH285+AM285+AK285)/AO285))</f>
        <v>0</v>
      </c>
      <c r="AQ285" s="20">
        <f>IF(B285="","",IF(AP285="","Check the settings",ROUND(IF(RoundingRule="None",AP285,IF(RoundingRule="Nearest 0.99",MAX(0.99,CEILING(AP285,1)-0.01),IF(RoundingRule="Nearest 0.95",MAX(0.95,CEILING(AP285,1)-0.05),IF(RoundingRule="Nearest 0.50",CEILING(AP285,0.5),IF(RoundingRule="Nearest 1",CEILING(AP285,1),IF(RoundingRule="Nearest 5",CEILING(AP285,5),IF(RoundingRule="Up to whole 1",CEILING(AP285,1),IF(RoundingRule="Up to whole 5",CEILING(AP285,5),ROUND(AP285,2))))))))),2)))</f>
        <v>0</v>
      </c>
      <c r="AR285" s="20">
        <f>IF(B285="","",IF(M285&lt;&gt;"",M285,IF(ISNUMBER(AQ285),AQ285,"")))</f>
        <v>0</v>
      </c>
      <c r="AS285" s="20">
        <f>IF(B285="","",IF(AR285="","",ROUND(AM285+AR285*AL285,2)))</f>
        <v>0</v>
      </c>
      <c r="AT285" s="20">
        <f>IF(B285="","",IF(AR285="","",ROUND(AH285+AS285,2)))</f>
        <v>0</v>
      </c>
      <c r="AU285" s="20">
        <f>IF(B285="","",IF(AR285="","",ROUND(AR285*AI285+AK285,2)))</f>
        <v>0</v>
      </c>
      <c r="AV285" s="20">
        <f>IF(B285="","",IF(AR285="","",ROUND(AR285-AT285-AU285,2)))</f>
        <v>0</v>
      </c>
      <c r="AW285" s="33">
        <f>IF(B285="","",IF(OR(AR285="",AR285=0),"",AV285/AR285))</f>
        <v>0</v>
      </c>
      <c r="AX285" s="33">
        <f>IF(B285="","",IF(OR(AT285="",AT285=0),"",AV285/AT285))</f>
        <v>0</v>
      </c>
      <c r="AY285" s="20">
        <f>IF(B285="","",IF(OR(Y285="",Y285=0,AV285=""),"",ROUND(AV285/Y285,2)))</f>
        <v>0</v>
      </c>
      <c r="AZ285" s="20">
        <f>IF(B285="","",IF(OR(Y285="",Y285=0,AV285=""),"",ROUND((AV285+Z285)/Y285,2)))</f>
        <v>0</v>
      </c>
      <c r="BA285" s="20">
        <f>IF(B285="","",IF(1-AI285-AL285&lt;=0,"",ROUND((AH285+AM285+AK285)/(1-AI285-AL285),2)))</f>
        <v>0</v>
      </c>
      <c r="BB285" s="20">
        <f>IF(B285="","",IF(AT285="","",ROUND(AT285*2,2)))</f>
        <v>0</v>
      </c>
      <c r="BC285" s="20">
        <f>IF(B285="","",IF(AR285="","",ROUND(AR285*(1-WholesaleDiscount),2)))</f>
        <v>0</v>
      </c>
      <c r="BD285" s="20">
        <f>IF(B285="","",IF(BC285="","",ROUND(BC285-AH285-AM285,2)))</f>
        <v>0</v>
      </c>
      <c r="BE285" s="33">
        <f>IF(B285="","",IF(OR(BC285="",BC285=0),"",BD285/BC285))</f>
        <v>0</v>
      </c>
      <c r="BF285" s="20">
        <f>IF(B285="","",IFERROR(ROUND(AVERAGEIFS(Competitors!$F$5:$F$154,Competitors!$A$5:$A$154,A285),2),""))</f>
        <v>0</v>
      </c>
      <c r="BG285" s="33">
        <f>IF(B285="","",IF(OR(BF285="",BF285=0,AR285=""),"",AR285/BF285-1))</f>
        <v>0</v>
      </c>
      <c r="BH285" s="32">
        <f>IF(B285="","",SUMIFS(Sales!$D$5:$D$804,Sales!$C$5:$C$804,A285))</f>
        <v>0</v>
      </c>
      <c r="BI285" s="20">
        <f>IF(B285="","",ROUND(SUMIFS(Sales!$V$5:$V$804,Sales!$C$5:$C$804,A285),2))</f>
        <v>0</v>
      </c>
      <c r="BJ285" s="20">
        <f>IF(B285="","",ROUND(SUMIFS(Sales!$AG$5:$AG$804,Sales!$C$5:$C$804,A285),2))</f>
        <v>0</v>
      </c>
      <c r="BK285" s="33">
        <f>IF(B285="","",IF(OR(BI285="",BI285=0),"",BJ285/BI285))</f>
        <v>0</v>
      </c>
      <c r="BL285" s="17">
        <f>IF(B285="","",IF(SUMPRODUCT(MAX((Sales!$C$5:$C$804=A285)*Sales!$B$5:$B$804))=0,"",SUMPRODUCT(MAX((Sales!$C$5:$C$804=A285)*Sales!$B$5:$B$804))))</f>
        <v>0</v>
      </c>
      <c r="BM285" s="17">
        <f>IF(B285="","",IF(SUMPRODUCT(MAX(('Price History'!$B$5:$B$304=A285)*'Price History'!$A$5:$A$304))=0,IF(P285="","",P285),SUMPRODUCT(MAX(('Price History'!$B$5:$B$304=A285)*'Price History'!$A$5:$A$304))))</f>
        <v>0</v>
      </c>
      <c r="BN285" s="32">
        <f>IF(B285="","",IF(BM285="","",TodayDate-BM285))</f>
        <v>0</v>
      </c>
      <c r="BO285" s="32">
        <f>IF(B285="","",COUNTIFS($AV$5:$AV$304,"&gt;"&amp;AV285)+COUNTIFS($AV$5:AV285,AV285))</f>
        <v>0</v>
      </c>
      <c r="BP285" s="32">
        <f>IF(B285="","",COUNTIFS($AW$5:$AW$304,"&gt;"&amp;AW285)+COUNTIFS($AW$5:AW285,AW285))</f>
        <v>0</v>
      </c>
      <c r="BQ285" s="32">
        <f>IF(B285="","",COUNTIFS($BI$5:$BI$304,"&gt;"&amp;BI285)+COUNTIFS($BI$5:BI285,BI285))</f>
        <v>0</v>
      </c>
      <c r="BR285" s="32">
        <f>IF(B285="","",COUNTIFS($AY$5:$AY$304,"&gt;"&amp;AY285)+COUNTIFS($AY$5:AY285,AY285))</f>
        <v>0</v>
      </c>
      <c r="BS285" s="43">
        <f>IF(B285="","",IF(AH285=0,"Add - no costs entered yet",IF(AR285="","Check - no price yet",IF(AV285&lt;0,"Loss - every sale costs you money",IF(AND(AZ285&lt;&gt;"",AZ285&lt;MinimumWage),"Below - pays under minimum wage",IF(AW285&lt;MarginWarning,"Low margin - re-price it",IF(AND(AF285&lt;&gt;"",K285&lt;&gt;"",K285+AC285&gt;AF285),"Check - too heavy for that postage band",IF(AND(BN285&lt;&gt;"",BN285&gt;PriceReviewDays),"Due - price has not been reviewed",IF(AND(BG285&lt;&gt;"",BG285&gt;0.5),"Check - well above the market","OK")))))))) )</f>
        <v>0</v>
      </c>
    </row>
    <row r="286" spans="1:71">
      <c r="A286" s="38">
        <f>IF(B286="","",ProductPrefix&amp;TEXT(ROW()-4,"0000"))</f>
        <v>0</v>
      </c>
      <c r="S286" s="38">
        <f>IF(B286="","",IF(C286&lt;&gt;"",C286,UPPER(LEFT(IF(D286="","GEN",D286),3))&amp;"-"&amp;TEXT(ROW()-4,"000")))</f>
        <v>0</v>
      </c>
      <c r="T286" s="20">
        <f>IF(B286="","",ROUND(SUMIFS('Material Usage'!$M$5:$M$904,'Material Usage'!$A$5:$A$904,A286)+SUMIFS(Crochet!$AD$5:$AD$84,Crochet!$A$5:$A$84,A286)+SUMIFS(Jewelry!$AF$5:$AF$84,Jewelry!$A$5:$A$84,A286)+SUMIFS(Candles!$AF$5:$AF$84,Candles!$A$5:$A$84,A286)+SUMIFS(Clothing!$AB$5:$AB$84,Clothing!$A$5:$A$84,A286)+SUMIFS(Woodworking!$AC$5:$AC$84,Woodworking!$A$5:$A$84,A286)+SUMIFS(Digital!$X$5:$X$84,Digital!$A$5:$A$84,A286),2))</f>
        <v>0</v>
      </c>
      <c r="U286" s="20">
        <f>IF(B286="","",ROUND(SUMIFS(Labor!$O$5:$O$304,Labor!$A$5:$A$304,A286)+SUMIFS(Crochet!$AG$5:$AG$84,Crochet!$A$5:$A$84,A286)+SUMIFS(Jewelry!$AI$5:$AI$84,Jewelry!$A$5:$A$84,A286)+SUMIFS(Candles!$AI$5:$AI$84,Candles!$A$5:$A$84,A286)+SUMIFS(Clothing!$AE$5:$AE$84,Clothing!$A$5:$A$84,A286)+SUMIFS(Woodworking!$AF$5:$AF$84,Woodworking!$A$5:$A$84,A286)+SUMIFS(Digital!$Z$5:$Z$84,Digital!$A$5:$A$84,A286),2))</f>
        <v>0</v>
      </c>
      <c r="V286" s="36">
        <f>IF(B286="","",ROUND(SUMIFS(Labor!$P$5:$P$304,Labor!$A$5:$A$304,A286)+SUMIFS(Crochet!$AE$5:$AE$84,Crochet!$A$5:$A$84,A286)+SUMIFS(Jewelry!$AG$5:$AG$84,Jewelry!$A$5:$A$84,A286)+SUMIFS(Candles!$AG$5:$AG$84,Candles!$A$5:$A$84,A286)+SUMIFS(Clothing!$AC$5:$AC$84,Clothing!$A$5:$A$84,A286)+SUMIFS(Woodworking!$AD$5:$AD$84,Woodworking!$A$5:$A$84,A286)+SUMIFS(Digital!$Y$5:$Y$84,Digital!$A$5:$A$84,A286),1))</f>
        <v>0</v>
      </c>
      <c r="W286" s="41">
        <f>IF(B286="","",IFERROR(INDEX(DiffTimeFactors,MATCH(G286,DiffNames,0)),1))</f>
        <v>0</v>
      </c>
      <c r="X286" s="36">
        <f>IF(B286="","",ROUND(V286*W286,1))</f>
        <v>0</v>
      </c>
      <c r="Y286" s="41">
        <f>IF(B286="","",ROUND(X286/60,3))</f>
        <v>0</v>
      </c>
      <c r="Z286" s="20">
        <f>IF(B286="","",ROUND(U286*W286,2))</f>
        <v>0</v>
      </c>
      <c r="AA286" s="20">
        <f>IF(B286="","",ROUND(SUMIFS(Labor!$Q$5:$Q$304,Labor!$A$5:$A$304,A286)+SUMIFS(Crochet!$AH$5:$AH$84,Crochet!$A$5:$A$84,A286)+SUMIFS(Jewelry!$AJ$5:$AJ$84,Jewelry!$A$5:$A$84,A286)+SUMIFS(Candles!$AJ$5:$AJ$84,Candles!$A$5:$A$84,A286)+SUMIFS(Clothing!$AF$5:$AF$84,Clothing!$A$5:$A$84,A286)+SUMIFS(Woodworking!$AH$5:$AH$84,Woodworking!$A$5:$A$84,A286)+SUMIFS(Digital!$AA$5:$AA$84,Digital!$A$5:$A$84,A286),2))</f>
        <v>0</v>
      </c>
      <c r="AB286" s="20">
        <f>IF(B286="","",ROUND(IF(I286="Budget",PackBudget,IF(I286="Standard",PackStandard,IF(I286="Gift",PackGift,IF(I286="Premium",PackPremium,DefaultPackaging)))),2))</f>
        <v>0</v>
      </c>
      <c r="AC286" s="36">
        <f>IF(B286="","",IF(I286="Budget",PackWeightBudget,IF(I286="Standard",PackWeightStandard,IF(I286="Gift",PackWeightGift,IF(I286="Premium",PackWeightPremium,0)))))</f>
        <v>0</v>
      </c>
      <c r="AD286" s="20">
        <f>IF(B286="","",IFERROR(INDEX(Shipping!$M$5:$M$64,MATCH(J286,Shipping!$L$5:$L$64,0)),DefaultShipping))</f>
        <v>0</v>
      </c>
      <c r="AE286" s="20">
        <f>IF(B286="","",IFERROR(INDEX(Shipping!$F$5:$F$64,MATCH(J286,Shipping!$L$5:$L$64,0)),0))</f>
        <v>0</v>
      </c>
      <c r="AF286" s="36">
        <f>IF(B286="","",IFERROR(INDEX(Shipping!$C$5:$C$64,MATCH(J286,Shipping!$L$5:$L$64,0)),""))</f>
        <v>0</v>
      </c>
      <c r="AG286" s="20">
        <f>IF(B286="","",ROUND(MAX(0,AD286-AE286),2))</f>
        <v>0</v>
      </c>
      <c r="AH286" s="20">
        <f>IF(B286="","",ROUND(T286+Z286+AA286+AB286+AG286,2))</f>
        <v>0</v>
      </c>
      <c r="AI286" s="33">
        <f>IF(B286="","",IFERROR(INDEX(Channels!$S$5:$S$18,MATCH(IF(H286="",DefaultChannel,H286),Channels!$A$5:$A$18,0)),0))</f>
        <v>0</v>
      </c>
      <c r="AJ286" s="42">
        <f>IF(B286="","",IFERROR(INDEX(Channels!$O$5:$O$18,MATCH(IF(H286="",DefaultChannel,H286),Channels!$A$5:$A$18,0)),"No"))</f>
        <v>0</v>
      </c>
      <c r="AK286" s="20">
        <f>IF(B286="","",ROUND(IFERROR(INDEX(Channels!$T$5:$T$18,MATCH(IF(H286="",DefaultChannel,H286),Channels!$A$5:$A$18,0)),0)+IF(AJ286="Yes",AE286*AI286,0),4))</f>
        <v>0</v>
      </c>
      <c r="AL286" s="33">
        <f>IF(B286="","",IF(OverheadMethod="Share of revenue",IF(RevenueTargetMonth&lt;=0,0,OverheadMonthly/RevenueTargetMonth),0))</f>
        <v>0</v>
      </c>
      <c r="AM286" s="20">
        <f>IF(B286="","",IF(OverheadMethod="Per hour worked",ROUND(OverheadPerHour*Y286,2),IF(OR(OverheadMethod="Per unit made",OverheadMethod="Per order"),OverheadPerUnit,0)))</f>
        <v>0</v>
      </c>
      <c r="AN286" s="33">
        <f>IF(B286="","",IF(N286&lt;&gt;"",N286,TargetRetailMargin))</f>
        <v>0</v>
      </c>
      <c r="AO286" s="41">
        <f>IF(B286="","",1-AN286-AI286-AL286)</f>
        <v>0</v>
      </c>
      <c r="AP286" s="20">
        <f>IF(B286="","",IF(AO286&lt;=0,"",(AH286+AM286+AK286)/AO286))</f>
        <v>0</v>
      </c>
      <c r="AQ286" s="20">
        <f>IF(B286="","",IF(AP286="","Check the settings",ROUND(IF(RoundingRule="None",AP286,IF(RoundingRule="Nearest 0.99",MAX(0.99,CEILING(AP286,1)-0.01),IF(RoundingRule="Nearest 0.95",MAX(0.95,CEILING(AP286,1)-0.05),IF(RoundingRule="Nearest 0.50",CEILING(AP286,0.5),IF(RoundingRule="Nearest 1",CEILING(AP286,1),IF(RoundingRule="Nearest 5",CEILING(AP286,5),IF(RoundingRule="Up to whole 1",CEILING(AP286,1),IF(RoundingRule="Up to whole 5",CEILING(AP286,5),ROUND(AP286,2))))))))),2)))</f>
        <v>0</v>
      </c>
      <c r="AR286" s="20">
        <f>IF(B286="","",IF(M286&lt;&gt;"",M286,IF(ISNUMBER(AQ286),AQ286,"")))</f>
        <v>0</v>
      </c>
      <c r="AS286" s="20">
        <f>IF(B286="","",IF(AR286="","",ROUND(AM286+AR286*AL286,2)))</f>
        <v>0</v>
      </c>
      <c r="AT286" s="20">
        <f>IF(B286="","",IF(AR286="","",ROUND(AH286+AS286,2)))</f>
        <v>0</v>
      </c>
      <c r="AU286" s="20">
        <f>IF(B286="","",IF(AR286="","",ROUND(AR286*AI286+AK286,2)))</f>
        <v>0</v>
      </c>
      <c r="AV286" s="20">
        <f>IF(B286="","",IF(AR286="","",ROUND(AR286-AT286-AU286,2)))</f>
        <v>0</v>
      </c>
      <c r="AW286" s="33">
        <f>IF(B286="","",IF(OR(AR286="",AR286=0),"",AV286/AR286))</f>
        <v>0</v>
      </c>
      <c r="AX286" s="33">
        <f>IF(B286="","",IF(OR(AT286="",AT286=0),"",AV286/AT286))</f>
        <v>0</v>
      </c>
      <c r="AY286" s="20">
        <f>IF(B286="","",IF(OR(Y286="",Y286=0,AV286=""),"",ROUND(AV286/Y286,2)))</f>
        <v>0</v>
      </c>
      <c r="AZ286" s="20">
        <f>IF(B286="","",IF(OR(Y286="",Y286=0,AV286=""),"",ROUND((AV286+Z286)/Y286,2)))</f>
        <v>0</v>
      </c>
      <c r="BA286" s="20">
        <f>IF(B286="","",IF(1-AI286-AL286&lt;=0,"",ROUND((AH286+AM286+AK286)/(1-AI286-AL286),2)))</f>
        <v>0</v>
      </c>
      <c r="BB286" s="20">
        <f>IF(B286="","",IF(AT286="","",ROUND(AT286*2,2)))</f>
        <v>0</v>
      </c>
      <c r="BC286" s="20">
        <f>IF(B286="","",IF(AR286="","",ROUND(AR286*(1-WholesaleDiscount),2)))</f>
        <v>0</v>
      </c>
      <c r="BD286" s="20">
        <f>IF(B286="","",IF(BC286="","",ROUND(BC286-AH286-AM286,2)))</f>
        <v>0</v>
      </c>
      <c r="BE286" s="33">
        <f>IF(B286="","",IF(OR(BC286="",BC286=0),"",BD286/BC286))</f>
        <v>0</v>
      </c>
      <c r="BF286" s="20">
        <f>IF(B286="","",IFERROR(ROUND(AVERAGEIFS(Competitors!$F$5:$F$154,Competitors!$A$5:$A$154,A286),2),""))</f>
        <v>0</v>
      </c>
      <c r="BG286" s="33">
        <f>IF(B286="","",IF(OR(BF286="",BF286=0,AR286=""),"",AR286/BF286-1))</f>
        <v>0</v>
      </c>
      <c r="BH286" s="32">
        <f>IF(B286="","",SUMIFS(Sales!$D$5:$D$804,Sales!$C$5:$C$804,A286))</f>
        <v>0</v>
      </c>
      <c r="BI286" s="20">
        <f>IF(B286="","",ROUND(SUMIFS(Sales!$V$5:$V$804,Sales!$C$5:$C$804,A286),2))</f>
        <v>0</v>
      </c>
      <c r="BJ286" s="20">
        <f>IF(B286="","",ROUND(SUMIFS(Sales!$AG$5:$AG$804,Sales!$C$5:$C$804,A286),2))</f>
        <v>0</v>
      </c>
      <c r="BK286" s="33">
        <f>IF(B286="","",IF(OR(BI286="",BI286=0),"",BJ286/BI286))</f>
        <v>0</v>
      </c>
      <c r="BL286" s="17">
        <f>IF(B286="","",IF(SUMPRODUCT(MAX((Sales!$C$5:$C$804=A286)*Sales!$B$5:$B$804))=0,"",SUMPRODUCT(MAX((Sales!$C$5:$C$804=A286)*Sales!$B$5:$B$804))))</f>
        <v>0</v>
      </c>
      <c r="BM286" s="17">
        <f>IF(B286="","",IF(SUMPRODUCT(MAX(('Price History'!$B$5:$B$304=A286)*'Price History'!$A$5:$A$304))=0,IF(P286="","",P286),SUMPRODUCT(MAX(('Price History'!$B$5:$B$304=A286)*'Price History'!$A$5:$A$304))))</f>
        <v>0</v>
      </c>
      <c r="BN286" s="32">
        <f>IF(B286="","",IF(BM286="","",TodayDate-BM286))</f>
        <v>0</v>
      </c>
      <c r="BO286" s="32">
        <f>IF(B286="","",COUNTIFS($AV$5:$AV$304,"&gt;"&amp;AV286)+COUNTIFS($AV$5:AV286,AV286))</f>
        <v>0</v>
      </c>
      <c r="BP286" s="32">
        <f>IF(B286="","",COUNTIFS($AW$5:$AW$304,"&gt;"&amp;AW286)+COUNTIFS($AW$5:AW286,AW286))</f>
        <v>0</v>
      </c>
      <c r="BQ286" s="32">
        <f>IF(B286="","",COUNTIFS($BI$5:$BI$304,"&gt;"&amp;BI286)+COUNTIFS($BI$5:BI286,BI286))</f>
        <v>0</v>
      </c>
      <c r="BR286" s="32">
        <f>IF(B286="","",COUNTIFS($AY$5:$AY$304,"&gt;"&amp;AY286)+COUNTIFS($AY$5:AY286,AY286))</f>
        <v>0</v>
      </c>
      <c r="BS286" s="43">
        <f>IF(B286="","",IF(AH286=0,"Add - no costs entered yet",IF(AR286="","Check - no price yet",IF(AV286&lt;0,"Loss - every sale costs you money",IF(AND(AZ286&lt;&gt;"",AZ286&lt;MinimumWage),"Below - pays under minimum wage",IF(AW286&lt;MarginWarning,"Low margin - re-price it",IF(AND(AF286&lt;&gt;"",K286&lt;&gt;"",K286+AC286&gt;AF286),"Check - too heavy for that postage band",IF(AND(BN286&lt;&gt;"",BN286&gt;PriceReviewDays),"Due - price has not been reviewed",IF(AND(BG286&lt;&gt;"",BG286&gt;0.5),"Check - well above the market","OK")))))))) )</f>
        <v>0</v>
      </c>
    </row>
    <row r="287" spans="1:71">
      <c r="A287" s="38">
        <f>IF(B287="","",ProductPrefix&amp;TEXT(ROW()-4,"0000"))</f>
        <v>0</v>
      </c>
      <c r="S287" s="38">
        <f>IF(B287="","",IF(C287&lt;&gt;"",C287,UPPER(LEFT(IF(D287="","GEN",D287),3))&amp;"-"&amp;TEXT(ROW()-4,"000")))</f>
        <v>0</v>
      </c>
      <c r="T287" s="20">
        <f>IF(B287="","",ROUND(SUMIFS('Material Usage'!$M$5:$M$904,'Material Usage'!$A$5:$A$904,A287)+SUMIFS(Crochet!$AD$5:$AD$84,Crochet!$A$5:$A$84,A287)+SUMIFS(Jewelry!$AF$5:$AF$84,Jewelry!$A$5:$A$84,A287)+SUMIFS(Candles!$AF$5:$AF$84,Candles!$A$5:$A$84,A287)+SUMIFS(Clothing!$AB$5:$AB$84,Clothing!$A$5:$A$84,A287)+SUMIFS(Woodworking!$AC$5:$AC$84,Woodworking!$A$5:$A$84,A287)+SUMIFS(Digital!$X$5:$X$84,Digital!$A$5:$A$84,A287),2))</f>
        <v>0</v>
      </c>
      <c r="U287" s="20">
        <f>IF(B287="","",ROUND(SUMIFS(Labor!$O$5:$O$304,Labor!$A$5:$A$304,A287)+SUMIFS(Crochet!$AG$5:$AG$84,Crochet!$A$5:$A$84,A287)+SUMIFS(Jewelry!$AI$5:$AI$84,Jewelry!$A$5:$A$84,A287)+SUMIFS(Candles!$AI$5:$AI$84,Candles!$A$5:$A$84,A287)+SUMIFS(Clothing!$AE$5:$AE$84,Clothing!$A$5:$A$84,A287)+SUMIFS(Woodworking!$AF$5:$AF$84,Woodworking!$A$5:$A$84,A287)+SUMIFS(Digital!$Z$5:$Z$84,Digital!$A$5:$A$84,A287),2))</f>
        <v>0</v>
      </c>
      <c r="V287" s="36">
        <f>IF(B287="","",ROUND(SUMIFS(Labor!$P$5:$P$304,Labor!$A$5:$A$304,A287)+SUMIFS(Crochet!$AE$5:$AE$84,Crochet!$A$5:$A$84,A287)+SUMIFS(Jewelry!$AG$5:$AG$84,Jewelry!$A$5:$A$84,A287)+SUMIFS(Candles!$AG$5:$AG$84,Candles!$A$5:$A$84,A287)+SUMIFS(Clothing!$AC$5:$AC$84,Clothing!$A$5:$A$84,A287)+SUMIFS(Woodworking!$AD$5:$AD$84,Woodworking!$A$5:$A$84,A287)+SUMIFS(Digital!$Y$5:$Y$84,Digital!$A$5:$A$84,A287),1))</f>
        <v>0</v>
      </c>
      <c r="W287" s="41">
        <f>IF(B287="","",IFERROR(INDEX(DiffTimeFactors,MATCH(G287,DiffNames,0)),1))</f>
        <v>0</v>
      </c>
      <c r="X287" s="36">
        <f>IF(B287="","",ROUND(V287*W287,1))</f>
        <v>0</v>
      </c>
      <c r="Y287" s="41">
        <f>IF(B287="","",ROUND(X287/60,3))</f>
        <v>0</v>
      </c>
      <c r="Z287" s="20">
        <f>IF(B287="","",ROUND(U287*W287,2))</f>
        <v>0</v>
      </c>
      <c r="AA287" s="20">
        <f>IF(B287="","",ROUND(SUMIFS(Labor!$Q$5:$Q$304,Labor!$A$5:$A$304,A287)+SUMIFS(Crochet!$AH$5:$AH$84,Crochet!$A$5:$A$84,A287)+SUMIFS(Jewelry!$AJ$5:$AJ$84,Jewelry!$A$5:$A$84,A287)+SUMIFS(Candles!$AJ$5:$AJ$84,Candles!$A$5:$A$84,A287)+SUMIFS(Clothing!$AF$5:$AF$84,Clothing!$A$5:$A$84,A287)+SUMIFS(Woodworking!$AH$5:$AH$84,Woodworking!$A$5:$A$84,A287)+SUMIFS(Digital!$AA$5:$AA$84,Digital!$A$5:$A$84,A287),2))</f>
        <v>0</v>
      </c>
      <c r="AB287" s="20">
        <f>IF(B287="","",ROUND(IF(I287="Budget",PackBudget,IF(I287="Standard",PackStandard,IF(I287="Gift",PackGift,IF(I287="Premium",PackPremium,DefaultPackaging)))),2))</f>
        <v>0</v>
      </c>
      <c r="AC287" s="36">
        <f>IF(B287="","",IF(I287="Budget",PackWeightBudget,IF(I287="Standard",PackWeightStandard,IF(I287="Gift",PackWeightGift,IF(I287="Premium",PackWeightPremium,0)))))</f>
        <v>0</v>
      </c>
      <c r="AD287" s="20">
        <f>IF(B287="","",IFERROR(INDEX(Shipping!$M$5:$M$64,MATCH(J287,Shipping!$L$5:$L$64,0)),DefaultShipping))</f>
        <v>0</v>
      </c>
      <c r="AE287" s="20">
        <f>IF(B287="","",IFERROR(INDEX(Shipping!$F$5:$F$64,MATCH(J287,Shipping!$L$5:$L$64,0)),0))</f>
        <v>0</v>
      </c>
      <c r="AF287" s="36">
        <f>IF(B287="","",IFERROR(INDEX(Shipping!$C$5:$C$64,MATCH(J287,Shipping!$L$5:$L$64,0)),""))</f>
        <v>0</v>
      </c>
      <c r="AG287" s="20">
        <f>IF(B287="","",ROUND(MAX(0,AD287-AE287),2))</f>
        <v>0</v>
      </c>
      <c r="AH287" s="20">
        <f>IF(B287="","",ROUND(T287+Z287+AA287+AB287+AG287,2))</f>
        <v>0</v>
      </c>
      <c r="AI287" s="33">
        <f>IF(B287="","",IFERROR(INDEX(Channels!$S$5:$S$18,MATCH(IF(H287="",DefaultChannel,H287),Channels!$A$5:$A$18,0)),0))</f>
        <v>0</v>
      </c>
      <c r="AJ287" s="42">
        <f>IF(B287="","",IFERROR(INDEX(Channels!$O$5:$O$18,MATCH(IF(H287="",DefaultChannel,H287),Channels!$A$5:$A$18,0)),"No"))</f>
        <v>0</v>
      </c>
      <c r="AK287" s="20">
        <f>IF(B287="","",ROUND(IFERROR(INDEX(Channels!$T$5:$T$18,MATCH(IF(H287="",DefaultChannel,H287),Channels!$A$5:$A$18,0)),0)+IF(AJ287="Yes",AE287*AI287,0),4))</f>
        <v>0</v>
      </c>
      <c r="AL287" s="33">
        <f>IF(B287="","",IF(OverheadMethod="Share of revenue",IF(RevenueTargetMonth&lt;=0,0,OverheadMonthly/RevenueTargetMonth),0))</f>
        <v>0</v>
      </c>
      <c r="AM287" s="20">
        <f>IF(B287="","",IF(OverheadMethod="Per hour worked",ROUND(OverheadPerHour*Y287,2),IF(OR(OverheadMethod="Per unit made",OverheadMethod="Per order"),OverheadPerUnit,0)))</f>
        <v>0</v>
      </c>
      <c r="AN287" s="33">
        <f>IF(B287="","",IF(N287&lt;&gt;"",N287,TargetRetailMargin))</f>
        <v>0</v>
      </c>
      <c r="AO287" s="41">
        <f>IF(B287="","",1-AN287-AI287-AL287)</f>
        <v>0</v>
      </c>
      <c r="AP287" s="20">
        <f>IF(B287="","",IF(AO287&lt;=0,"",(AH287+AM287+AK287)/AO287))</f>
        <v>0</v>
      </c>
      <c r="AQ287" s="20">
        <f>IF(B287="","",IF(AP287="","Check the settings",ROUND(IF(RoundingRule="None",AP287,IF(RoundingRule="Nearest 0.99",MAX(0.99,CEILING(AP287,1)-0.01),IF(RoundingRule="Nearest 0.95",MAX(0.95,CEILING(AP287,1)-0.05),IF(RoundingRule="Nearest 0.50",CEILING(AP287,0.5),IF(RoundingRule="Nearest 1",CEILING(AP287,1),IF(RoundingRule="Nearest 5",CEILING(AP287,5),IF(RoundingRule="Up to whole 1",CEILING(AP287,1),IF(RoundingRule="Up to whole 5",CEILING(AP287,5),ROUND(AP287,2))))))))),2)))</f>
        <v>0</v>
      </c>
      <c r="AR287" s="20">
        <f>IF(B287="","",IF(M287&lt;&gt;"",M287,IF(ISNUMBER(AQ287),AQ287,"")))</f>
        <v>0</v>
      </c>
      <c r="AS287" s="20">
        <f>IF(B287="","",IF(AR287="","",ROUND(AM287+AR287*AL287,2)))</f>
        <v>0</v>
      </c>
      <c r="AT287" s="20">
        <f>IF(B287="","",IF(AR287="","",ROUND(AH287+AS287,2)))</f>
        <v>0</v>
      </c>
      <c r="AU287" s="20">
        <f>IF(B287="","",IF(AR287="","",ROUND(AR287*AI287+AK287,2)))</f>
        <v>0</v>
      </c>
      <c r="AV287" s="20">
        <f>IF(B287="","",IF(AR287="","",ROUND(AR287-AT287-AU287,2)))</f>
        <v>0</v>
      </c>
      <c r="AW287" s="33">
        <f>IF(B287="","",IF(OR(AR287="",AR287=0),"",AV287/AR287))</f>
        <v>0</v>
      </c>
      <c r="AX287" s="33">
        <f>IF(B287="","",IF(OR(AT287="",AT287=0),"",AV287/AT287))</f>
        <v>0</v>
      </c>
      <c r="AY287" s="20">
        <f>IF(B287="","",IF(OR(Y287="",Y287=0,AV287=""),"",ROUND(AV287/Y287,2)))</f>
        <v>0</v>
      </c>
      <c r="AZ287" s="20">
        <f>IF(B287="","",IF(OR(Y287="",Y287=0,AV287=""),"",ROUND((AV287+Z287)/Y287,2)))</f>
        <v>0</v>
      </c>
      <c r="BA287" s="20">
        <f>IF(B287="","",IF(1-AI287-AL287&lt;=0,"",ROUND((AH287+AM287+AK287)/(1-AI287-AL287),2)))</f>
        <v>0</v>
      </c>
      <c r="BB287" s="20">
        <f>IF(B287="","",IF(AT287="","",ROUND(AT287*2,2)))</f>
        <v>0</v>
      </c>
      <c r="BC287" s="20">
        <f>IF(B287="","",IF(AR287="","",ROUND(AR287*(1-WholesaleDiscount),2)))</f>
        <v>0</v>
      </c>
      <c r="BD287" s="20">
        <f>IF(B287="","",IF(BC287="","",ROUND(BC287-AH287-AM287,2)))</f>
        <v>0</v>
      </c>
      <c r="BE287" s="33">
        <f>IF(B287="","",IF(OR(BC287="",BC287=0),"",BD287/BC287))</f>
        <v>0</v>
      </c>
      <c r="BF287" s="20">
        <f>IF(B287="","",IFERROR(ROUND(AVERAGEIFS(Competitors!$F$5:$F$154,Competitors!$A$5:$A$154,A287),2),""))</f>
        <v>0</v>
      </c>
      <c r="BG287" s="33">
        <f>IF(B287="","",IF(OR(BF287="",BF287=0,AR287=""),"",AR287/BF287-1))</f>
        <v>0</v>
      </c>
      <c r="BH287" s="32">
        <f>IF(B287="","",SUMIFS(Sales!$D$5:$D$804,Sales!$C$5:$C$804,A287))</f>
        <v>0</v>
      </c>
      <c r="BI287" s="20">
        <f>IF(B287="","",ROUND(SUMIFS(Sales!$V$5:$V$804,Sales!$C$5:$C$804,A287),2))</f>
        <v>0</v>
      </c>
      <c r="BJ287" s="20">
        <f>IF(B287="","",ROUND(SUMIFS(Sales!$AG$5:$AG$804,Sales!$C$5:$C$804,A287),2))</f>
        <v>0</v>
      </c>
      <c r="BK287" s="33">
        <f>IF(B287="","",IF(OR(BI287="",BI287=0),"",BJ287/BI287))</f>
        <v>0</v>
      </c>
      <c r="BL287" s="17">
        <f>IF(B287="","",IF(SUMPRODUCT(MAX((Sales!$C$5:$C$804=A287)*Sales!$B$5:$B$804))=0,"",SUMPRODUCT(MAX((Sales!$C$5:$C$804=A287)*Sales!$B$5:$B$804))))</f>
        <v>0</v>
      </c>
      <c r="BM287" s="17">
        <f>IF(B287="","",IF(SUMPRODUCT(MAX(('Price History'!$B$5:$B$304=A287)*'Price History'!$A$5:$A$304))=0,IF(P287="","",P287),SUMPRODUCT(MAX(('Price History'!$B$5:$B$304=A287)*'Price History'!$A$5:$A$304))))</f>
        <v>0</v>
      </c>
      <c r="BN287" s="32">
        <f>IF(B287="","",IF(BM287="","",TodayDate-BM287))</f>
        <v>0</v>
      </c>
      <c r="BO287" s="32">
        <f>IF(B287="","",COUNTIFS($AV$5:$AV$304,"&gt;"&amp;AV287)+COUNTIFS($AV$5:AV287,AV287))</f>
        <v>0</v>
      </c>
      <c r="BP287" s="32">
        <f>IF(B287="","",COUNTIFS($AW$5:$AW$304,"&gt;"&amp;AW287)+COUNTIFS($AW$5:AW287,AW287))</f>
        <v>0</v>
      </c>
      <c r="BQ287" s="32">
        <f>IF(B287="","",COUNTIFS($BI$5:$BI$304,"&gt;"&amp;BI287)+COUNTIFS($BI$5:BI287,BI287))</f>
        <v>0</v>
      </c>
      <c r="BR287" s="32">
        <f>IF(B287="","",COUNTIFS($AY$5:$AY$304,"&gt;"&amp;AY287)+COUNTIFS($AY$5:AY287,AY287))</f>
        <v>0</v>
      </c>
      <c r="BS287" s="43">
        <f>IF(B287="","",IF(AH287=0,"Add - no costs entered yet",IF(AR287="","Check - no price yet",IF(AV287&lt;0,"Loss - every sale costs you money",IF(AND(AZ287&lt;&gt;"",AZ287&lt;MinimumWage),"Below - pays under minimum wage",IF(AW287&lt;MarginWarning,"Low margin - re-price it",IF(AND(AF287&lt;&gt;"",K287&lt;&gt;"",K287+AC287&gt;AF287),"Check - too heavy for that postage band",IF(AND(BN287&lt;&gt;"",BN287&gt;PriceReviewDays),"Due - price has not been reviewed",IF(AND(BG287&lt;&gt;"",BG287&gt;0.5),"Check - well above the market","OK")))))))) )</f>
        <v>0</v>
      </c>
    </row>
    <row r="288" spans="1:71">
      <c r="A288" s="38">
        <f>IF(B288="","",ProductPrefix&amp;TEXT(ROW()-4,"0000"))</f>
        <v>0</v>
      </c>
      <c r="S288" s="38">
        <f>IF(B288="","",IF(C288&lt;&gt;"",C288,UPPER(LEFT(IF(D288="","GEN",D288),3))&amp;"-"&amp;TEXT(ROW()-4,"000")))</f>
        <v>0</v>
      </c>
      <c r="T288" s="20">
        <f>IF(B288="","",ROUND(SUMIFS('Material Usage'!$M$5:$M$904,'Material Usage'!$A$5:$A$904,A288)+SUMIFS(Crochet!$AD$5:$AD$84,Crochet!$A$5:$A$84,A288)+SUMIFS(Jewelry!$AF$5:$AF$84,Jewelry!$A$5:$A$84,A288)+SUMIFS(Candles!$AF$5:$AF$84,Candles!$A$5:$A$84,A288)+SUMIFS(Clothing!$AB$5:$AB$84,Clothing!$A$5:$A$84,A288)+SUMIFS(Woodworking!$AC$5:$AC$84,Woodworking!$A$5:$A$84,A288)+SUMIFS(Digital!$X$5:$X$84,Digital!$A$5:$A$84,A288),2))</f>
        <v>0</v>
      </c>
      <c r="U288" s="20">
        <f>IF(B288="","",ROUND(SUMIFS(Labor!$O$5:$O$304,Labor!$A$5:$A$304,A288)+SUMIFS(Crochet!$AG$5:$AG$84,Crochet!$A$5:$A$84,A288)+SUMIFS(Jewelry!$AI$5:$AI$84,Jewelry!$A$5:$A$84,A288)+SUMIFS(Candles!$AI$5:$AI$84,Candles!$A$5:$A$84,A288)+SUMIFS(Clothing!$AE$5:$AE$84,Clothing!$A$5:$A$84,A288)+SUMIFS(Woodworking!$AF$5:$AF$84,Woodworking!$A$5:$A$84,A288)+SUMIFS(Digital!$Z$5:$Z$84,Digital!$A$5:$A$84,A288),2))</f>
        <v>0</v>
      </c>
      <c r="V288" s="36">
        <f>IF(B288="","",ROUND(SUMIFS(Labor!$P$5:$P$304,Labor!$A$5:$A$304,A288)+SUMIFS(Crochet!$AE$5:$AE$84,Crochet!$A$5:$A$84,A288)+SUMIFS(Jewelry!$AG$5:$AG$84,Jewelry!$A$5:$A$84,A288)+SUMIFS(Candles!$AG$5:$AG$84,Candles!$A$5:$A$84,A288)+SUMIFS(Clothing!$AC$5:$AC$84,Clothing!$A$5:$A$84,A288)+SUMIFS(Woodworking!$AD$5:$AD$84,Woodworking!$A$5:$A$84,A288)+SUMIFS(Digital!$Y$5:$Y$84,Digital!$A$5:$A$84,A288),1))</f>
        <v>0</v>
      </c>
      <c r="W288" s="41">
        <f>IF(B288="","",IFERROR(INDEX(DiffTimeFactors,MATCH(G288,DiffNames,0)),1))</f>
        <v>0</v>
      </c>
      <c r="X288" s="36">
        <f>IF(B288="","",ROUND(V288*W288,1))</f>
        <v>0</v>
      </c>
      <c r="Y288" s="41">
        <f>IF(B288="","",ROUND(X288/60,3))</f>
        <v>0</v>
      </c>
      <c r="Z288" s="20">
        <f>IF(B288="","",ROUND(U288*W288,2))</f>
        <v>0</v>
      </c>
      <c r="AA288" s="20">
        <f>IF(B288="","",ROUND(SUMIFS(Labor!$Q$5:$Q$304,Labor!$A$5:$A$304,A288)+SUMIFS(Crochet!$AH$5:$AH$84,Crochet!$A$5:$A$84,A288)+SUMIFS(Jewelry!$AJ$5:$AJ$84,Jewelry!$A$5:$A$84,A288)+SUMIFS(Candles!$AJ$5:$AJ$84,Candles!$A$5:$A$84,A288)+SUMIFS(Clothing!$AF$5:$AF$84,Clothing!$A$5:$A$84,A288)+SUMIFS(Woodworking!$AH$5:$AH$84,Woodworking!$A$5:$A$84,A288)+SUMIFS(Digital!$AA$5:$AA$84,Digital!$A$5:$A$84,A288),2))</f>
        <v>0</v>
      </c>
      <c r="AB288" s="20">
        <f>IF(B288="","",ROUND(IF(I288="Budget",PackBudget,IF(I288="Standard",PackStandard,IF(I288="Gift",PackGift,IF(I288="Premium",PackPremium,DefaultPackaging)))),2))</f>
        <v>0</v>
      </c>
      <c r="AC288" s="36">
        <f>IF(B288="","",IF(I288="Budget",PackWeightBudget,IF(I288="Standard",PackWeightStandard,IF(I288="Gift",PackWeightGift,IF(I288="Premium",PackWeightPremium,0)))))</f>
        <v>0</v>
      </c>
      <c r="AD288" s="20">
        <f>IF(B288="","",IFERROR(INDEX(Shipping!$M$5:$M$64,MATCH(J288,Shipping!$L$5:$L$64,0)),DefaultShipping))</f>
        <v>0</v>
      </c>
      <c r="AE288" s="20">
        <f>IF(B288="","",IFERROR(INDEX(Shipping!$F$5:$F$64,MATCH(J288,Shipping!$L$5:$L$64,0)),0))</f>
        <v>0</v>
      </c>
      <c r="AF288" s="36">
        <f>IF(B288="","",IFERROR(INDEX(Shipping!$C$5:$C$64,MATCH(J288,Shipping!$L$5:$L$64,0)),""))</f>
        <v>0</v>
      </c>
      <c r="AG288" s="20">
        <f>IF(B288="","",ROUND(MAX(0,AD288-AE288),2))</f>
        <v>0</v>
      </c>
      <c r="AH288" s="20">
        <f>IF(B288="","",ROUND(T288+Z288+AA288+AB288+AG288,2))</f>
        <v>0</v>
      </c>
      <c r="AI288" s="33">
        <f>IF(B288="","",IFERROR(INDEX(Channels!$S$5:$S$18,MATCH(IF(H288="",DefaultChannel,H288),Channels!$A$5:$A$18,0)),0))</f>
        <v>0</v>
      </c>
      <c r="AJ288" s="42">
        <f>IF(B288="","",IFERROR(INDEX(Channels!$O$5:$O$18,MATCH(IF(H288="",DefaultChannel,H288),Channels!$A$5:$A$18,0)),"No"))</f>
        <v>0</v>
      </c>
      <c r="AK288" s="20">
        <f>IF(B288="","",ROUND(IFERROR(INDEX(Channels!$T$5:$T$18,MATCH(IF(H288="",DefaultChannel,H288),Channels!$A$5:$A$18,0)),0)+IF(AJ288="Yes",AE288*AI288,0),4))</f>
        <v>0</v>
      </c>
      <c r="AL288" s="33">
        <f>IF(B288="","",IF(OverheadMethod="Share of revenue",IF(RevenueTargetMonth&lt;=0,0,OverheadMonthly/RevenueTargetMonth),0))</f>
        <v>0</v>
      </c>
      <c r="AM288" s="20">
        <f>IF(B288="","",IF(OverheadMethod="Per hour worked",ROUND(OverheadPerHour*Y288,2),IF(OR(OverheadMethod="Per unit made",OverheadMethod="Per order"),OverheadPerUnit,0)))</f>
        <v>0</v>
      </c>
      <c r="AN288" s="33">
        <f>IF(B288="","",IF(N288&lt;&gt;"",N288,TargetRetailMargin))</f>
        <v>0</v>
      </c>
      <c r="AO288" s="41">
        <f>IF(B288="","",1-AN288-AI288-AL288)</f>
        <v>0</v>
      </c>
      <c r="AP288" s="20">
        <f>IF(B288="","",IF(AO288&lt;=0,"",(AH288+AM288+AK288)/AO288))</f>
        <v>0</v>
      </c>
      <c r="AQ288" s="20">
        <f>IF(B288="","",IF(AP288="","Check the settings",ROUND(IF(RoundingRule="None",AP288,IF(RoundingRule="Nearest 0.99",MAX(0.99,CEILING(AP288,1)-0.01),IF(RoundingRule="Nearest 0.95",MAX(0.95,CEILING(AP288,1)-0.05),IF(RoundingRule="Nearest 0.50",CEILING(AP288,0.5),IF(RoundingRule="Nearest 1",CEILING(AP288,1),IF(RoundingRule="Nearest 5",CEILING(AP288,5),IF(RoundingRule="Up to whole 1",CEILING(AP288,1),IF(RoundingRule="Up to whole 5",CEILING(AP288,5),ROUND(AP288,2))))))))),2)))</f>
        <v>0</v>
      </c>
      <c r="AR288" s="20">
        <f>IF(B288="","",IF(M288&lt;&gt;"",M288,IF(ISNUMBER(AQ288),AQ288,"")))</f>
        <v>0</v>
      </c>
      <c r="AS288" s="20">
        <f>IF(B288="","",IF(AR288="","",ROUND(AM288+AR288*AL288,2)))</f>
        <v>0</v>
      </c>
      <c r="AT288" s="20">
        <f>IF(B288="","",IF(AR288="","",ROUND(AH288+AS288,2)))</f>
        <v>0</v>
      </c>
      <c r="AU288" s="20">
        <f>IF(B288="","",IF(AR288="","",ROUND(AR288*AI288+AK288,2)))</f>
        <v>0</v>
      </c>
      <c r="AV288" s="20">
        <f>IF(B288="","",IF(AR288="","",ROUND(AR288-AT288-AU288,2)))</f>
        <v>0</v>
      </c>
      <c r="AW288" s="33">
        <f>IF(B288="","",IF(OR(AR288="",AR288=0),"",AV288/AR288))</f>
        <v>0</v>
      </c>
      <c r="AX288" s="33">
        <f>IF(B288="","",IF(OR(AT288="",AT288=0),"",AV288/AT288))</f>
        <v>0</v>
      </c>
      <c r="AY288" s="20">
        <f>IF(B288="","",IF(OR(Y288="",Y288=0,AV288=""),"",ROUND(AV288/Y288,2)))</f>
        <v>0</v>
      </c>
      <c r="AZ288" s="20">
        <f>IF(B288="","",IF(OR(Y288="",Y288=0,AV288=""),"",ROUND((AV288+Z288)/Y288,2)))</f>
        <v>0</v>
      </c>
      <c r="BA288" s="20">
        <f>IF(B288="","",IF(1-AI288-AL288&lt;=0,"",ROUND((AH288+AM288+AK288)/(1-AI288-AL288),2)))</f>
        <v>0</v>
      </c>
      <c r="BB288" s="20">
        <f>IF(B288="","",IF(AT288="","",ROUND(AT288*2,2)))</f>
        <v>0</v>
      </c>
      <c r="BC288" s="20">
        <f>IF(B288="","",IF(AR288="","",ROUND(AR288*(1-WholesaleDiscount),2)))</f>
        <v>0</v>
      </c>
      <c r="BD288" s="20">
        <f>IF(B288="","",IF(BC288="","",ROUND(BC288-AH288-AM288,2)))</f>
        <v>0</v>
      </c>
      <c r="BE288" s="33">
        <f>IF(B288="","",IF(OR(BC288="",BC288=0),"",BD288/BC288))</f>
        <v>0</v>
      </c>
      <c r="BF288" s="20">
        <f>IF(B288="","",IFERROR(ROUND(AVERAGEIFS(Competitors!$F$5:$F$154,Competitors!$A$5:$A$154,A288),2),""))</f>
        <v>0</v>
      </c>
      <c r="BG288" s="33">
        <f>IF(B288="","",IF(OR(BF288="",BF288=0,AR288=""),"",AR288/BF288-1))</f>
        <v>0</v>
      </c>
      <c r="BH288" s="32">
        <f>IF(B288="","",SUMIFS(Sales!$D$5:$D$804,Sales!$C$5:$C$804,A288))</f>
        <v>0</v>
      </c>
      <c r="BI288" s="20">
        <f>IF(B288="","",ROUND(SUMIFS(Sales!$V$5:$V$804,Sales!$C$5:$C$804,A288),2))</f>
        <v>0</v>
      </c>
      <c r="BJ288" s="20">
        <f>IF(B288="","",ROUND(SUMIFS(Sales!$AG$5:$AG$804,Sales!$C$5:$C$804,A288),2))</f>
        <v>0</v>
      </c>
      <c r="BK288" s="33">
        <f>IF(B288="","",IF(OR(BI288="",BI288=0),"",BJ288/BI288))</f>
        <v>0</v>
      </c>
      <c r="BL288" s="17">
        <f>IF(B288="","",IF(SUMPRODUCT(MAX((Sales!$C$5:$C$804=A288)*Sales!$B$5:$B$804))=0,"",SUMPRODUCT(MAX((Sales!$C$5:$C$804=A288)*Sales!$B$5:$B$804))))</f>
        <v>0</v>
      </c>
      <c r="BM288" s="17">
        <f>IF(B288="","",IF(SUMPRODUCT(MAX(('Price History'!$B$5:$B$304=A288)*'Price History'!$A$5:$A$304))=0,IF(P288="","",P288),SUMPRODUCT(MAX(('Price History'!$B$5:$B$304=A288)*'Price History'!$A$5:$A$304))))</f>
        <v>0</v>
      </c>
      <c r="BN288" s="32">
        <f>IF(B288="","",IF(BM288="","",TodayDate-BM288))</f>
        <v>0</v>
      </c>
      <c r="BO288" s="32">
        <f>IF(B288="","",COUNTIFS($AV$5:$AV$304,"&gt;"&amp;AV288)+COUNTIFS($AV$5:AV288,AV288))</f>
        <v>0</v>
      </c>
      <c r="BP288" s="32">
        <f>IF(B288="","",COUNTIFS($AW$5:$AW$304,"&gt;"&amp;AW288)+COUNTIFS($AW$5:AW288,AW288))</f>
        <v>0</v>
      </c>
      <c r="BQ288" s="32">
        <f>IF(B288="","",COUNTIFS($BI$5:$BI$304,"&gt;"&amp;BI288)+COUNTIFS($BI$5:BI288,BI288))</f>
        <v>0</v>
      </c>
      <c r="BR288" s="32">
        <f>IF(B288="","",COUNTIFS($AY$5:$AY$304,"&gt;"&amp;AY288)+COUNTIFS($AY$5:AY288,AY288))</f>
        <v>0</v>
      </c>
      <c r="BS288" s="43">
        <f>IF(B288="","",IF(AH288=0,"Add - no costs entered yet",IF(AR288="","Check - no price yet",IF(AV288&lt;0,"Loss - every sale costs you money",IF(AND(AZ288&lt;&gt;"",AZ288&lt;MinimumWage),"Below - pays under minimum wage",IF(AW288&lt;MarginWarning,"Low margin - re-price it",IF(AND(AF288&lt;&gt;"",K288&lt;&gt;"",K288+AC288&gt;AF288),"Check - too heavy for that postage band",IF(AND(BN288&lt;&gt;"",BN288&gt;PriceReviewDays),"Due - price has not been reviewed",IF(AND(BG288&lt;&gt;"",BG288&gt;0.5),"Check - well above the market","OK")))))))) )</f>
        <v>0</v>
      </c>
    </row>
    <row r="289" spans="1:71">
      <c r="A289" s="38">
        <f>IF(B289="","",ProductPrefix&amp;TEXT(ROW()-4,"0000"))</f>
        <v>0</v>
      </c>
      <c r="S289" s="38">
        <f>IF(B289="","",IF(C289&lt;&gt;"",C289,UPPER(LEFT(IF(D289="","GEN",D289),3))&amp;"-"&amp;TEXT(ROW()-4,"000")))</f>
        <v>0</v>
      </c>
      <c r="T289" s="20">
        <f>IF(B289="","",ROUND(SUMIFS('Material Usage'!$M$5:$M$904,'Material Usage'!$A$5:$A$904,A289)+SUMIFS(Crochet!$AD$5:$AD$84,Crochet!$A$5:$A$84,A289)+SUMIFS(Jewelry!$AF$5:$AF$84,Jewelry!$A$5:$A$84,A289)+SUMIFS(Candles!$AF$5:$AF$84,Candles!$A$5:$A$84,A289)+SUMIFS(Clothing!$AB$5:$AB$84,Clothing!$A$5:$A$84,A289)+SUMIFS(Woodworking!$AC$5:$AC$84,Woodworking!$A$5:$A$84,A289)+SUMIFS(Digital!$X$5:$X$84,Digital!$A$5:$A$84,A289),2))</f>
        <v>0</v>
      </c>
      <c r="U289" s="20">
        <f>IF(B289="","",ROUND(SUMIFS(Labor!$O$5:$O$304,Labor!$A$5:$A$304,A289)+SUMIFS(Crochet!$AG$5:$AG$84,Crochet!$A$5:$A$84,A289)+SUMIFS(Jewelry!$AI$5:$AI$84,Jewelry!$A$5:$A$84,A289)+SUMIFS(Candles!$AI$5:$AI$84,Candles!$A$5:$A$84,A289)+SUMIFS(Clothing!$AE$5:$AE$84,Clothing!$A$5:$A$84,A289)+SUMIFS(Woodworking!$AF$5:$AF$84,Woodworking!$A$5:$A$84,A289)+SUMIFS(Digital!$Z$5:$Z$84,Digital!$A$5:$A$84,A289),2))</f>
        <v>0</v>
      </c>
      <c r="V289" s="36">
        <f>IF(B289="","",ROUND(SUMIFS(Labor!$P$5:$P$304,Labor!$A$5:$A$304,A289)+SUMIFS(Crochet!$AE$5:$AE$84,Crochet!$A$5:$A$84,A289)+SUMIFS(Jewelry!$AG$5:$AG$84,Jewelry!$A$5:$A$84,A289)+SUMIFS(Candles!$AG$5:$AG$84,Candles!$A$5:$A$84,A289)+SUMIFS(Clothing!$AC$5:$AC$84,Clothing!$A$5:$A$84,A289)+SUMIFS(Woodworking!$AD$5:$AD$84,Woodworking!$A$5:$A$84,A289)+SUMIFS(Digital!$Y$5:$Y$84,Digital!$A$5:$A$84,A289),1))</f>
        <v>0</v>
      </c>
      <c r="W289" s="41">
        <f>IF(B289="","",IFERROR(INDEX(DiffTimeFactors,MATCH(G289,DiffNames,0)),1))</f>
        <v>0</v>
      </c>
      <c r="X289" s="36">
        <f>IF(B289="","",ROUND(V289*W289,1))</f>
        <v>0</v>
      </c>
      <c r="Y289" s="41">
        <f>IF(B289="","",ROUND(X289/60,3))</f>
        <v>0</v>
      </c>
      <c r="Z289" s="20">
        <f>IF(B289="","",ROUND(U289*W289,2))</f>
        <v>0</v>
      </c>
      <c r="AA289" s="20">
        <f>IF(B289="","",ROUND(SUMIFS(Labor!$Q$5:$Q$304,Labor!$A$5:$A$304,A289)+SUMIFS(Crochet!$AH$5:$AH$84,Crochet!$A$5:$A$84,A289)+SUMIFS(Jewelry!$AJ$5:$AJ$84,Jewelry!$A$5:$A$84,A289)+SUMIFS(Candles!$AJ$5:$AJ$84,Candles!$A$5:$A$84,A289)+SUMIFS(Clothing!$AF$5:$AF$84,Clothing!$A$5:$A$84,A289)+SUMIFS(Woodworking!$AH$5:$AH$84,Woodworking!$A$5:$A$84,A289)+SUMIFS(Digital!$AA$5:$AA$84,Digital!$A$5:$A$84,A289),2))</f>
        <v>0</v>
      </c>
      <c r="AB289" s="20">
        <f>IF(B289="","",ROUND(IF(I289="Budget",PackBudget,IF(I289="Standard",PackStandard,IF(I289="Gift",PackGift,IF(I289="Premium",PackPremium,DefaultPackaging)))),2))</f>
        <v>0</v>
      </c>
      <c r="AC289" s="36">
        <f>IF(B289="","",IF(I289="Budget",PackWeightBudget,IF(I289="Standard",PackWeightStandard,IF(I289="Gift",PackWeightGift,IF(I289="Premium",PackWeightPremium,0)))))</f>
        <v>0</v>
      </c>
      <c r="AD289" s="20">
        <f>IF(B289="","",IFERROR(INDEX(Shipping!$M$5:$M$64,MATCH(J289,Shipping!$L$5:$L$64,0)),DefaultShipping))</f>
        <v>0</v>
      </c>
      <c r="AE289" s="20">
        <f>IF(B289="","",IFERROR(INDEX(Shipping!$F$5:$F$64,MATCH(J289,Shipping!$L$5:$L$64,0)),0))</f>
        <v>0</v>
      </c>
      <c r="AF289" s="36">
        <f>IF(B289="","",IFERROR(INDEX(Shipping!$C$5:$C$64,MATCH(J289,Shipping!$L$5:$L$64,0)),""))</f>
        <v>0</v>
      </c>
      <c r="AG289" s="20">
        <f>IF(B289="","",ROUND(MAX(0,AD289-AE289),2))</f>
        <v>0</v>
      </c>
      <c r="AH289" s="20">
        <f>IF(B289="","",ROUND(T289+Z289+AA289+AB289+AG289,2))</f>
        <v>0</v>
      </c>
      <c r="AI289" s="33">
        <f>IF(B289="","",IFERROR(INDEX(Channels!$S$5:$S$18,MATCH(IF(H289="",DefaultChannel,H289),Channels!$A$5:$A$18,0)),0))</f>
        <v>0</v>
      </c>
      <c r="AJ289" s="42">
        <f>IF(B289="","",IFERROR(INDEX(Channels!$O$5:$O$18,MATCH(IF(H289="",DefaultChannel,H289),Channels!$A$5:$A$18,0)),"No"))</f>
        <v>0</v>
      </c>
      <c r="AK289" s="20">
        <f>IF(B289="","",ROUND(IFERROR(INDEX(Channels!$T$5:$T$18,MATCH(IF(H289="",DefaultChannel,H289),Channels!$A$5:$A$18,0)),0)+IF(AJ289="Yes",AE289*AI289,0),4))</f>
        <v>0</v>
      </c>
      <c r="AL289" s="33">
        <f>IF(B289="","",IF(OverheadMethod="Share of revenue",IF(RevenueTargetMonth&lt;=0,0,OverheadMonthly/RevenueTargetMonth),0))</f>
        <v>0</v>
      </c>
      <c r="AM289" s="20">
        <f>IF(B289="","",IF(OverheadMethod="Per hour worked",ROUND(OverheadPerHour*Y289,2),IF(OR(OverheadMethod="Per unit made",OverheadMethod="Per order"),OverheadPerUnit,0)))</f>
        <v>0</v>
      </c>
      <c r="AN289" s="33">
        <f>IF(B289="","",IF(N289&lt;&gt;"",N289,TargetRetailMargin))</f>
        <v>0</v>
      </c>
      <c r="AO289" s="41">
        <f>IF(B289="","",1-AN289-AI289-AL289)</f>
        <v>0</v>
      </c>
      <c r="AP289" s="20">
        <f>IF(B289="","",IF(AO289&lt;=0,"",(AH289+AM289+AK289)/AO289))</f>
        <v>0</v>
      </c>
      <c r="AQ289" s="20">
        <f>IF(B289="","",IF(AP289="","Check the settings",ROUND(IF(RoundingRule="None",AP289,IF(RoundingRule="Nearest 0.99",MAX(0.99,CEILING(AP289,1)-0.01),IF(RoundingRule="Nearest 0.95",MAX(0.95,CEILING(AP289,1)-0.05),IF(RoundingRule="Nearest 0.50",CEILING(AP289,0.5),IF(RoundingRule="Nearest 1",CEILING(AP289,1),IF(RoundingRule="Nearest 5",CEILING(AP289,5),IF(RoundingRule="Up to whole 1",CEILING(AP289,1),IF(RoundingRule="Up to whole 5",CEILING(AP289,5),ROUND(AP289,2))))))))),2)))</f>
        <v>0</v>
      </c>
      <c r="AR289" s="20">
        <f>IF(B289="","",IF(M289&lt;&gt;"",M289,IF(ISNUMBER(AQ289),AQ289,"")))</f>
        <v>0</v>
      </c>
      <c r="AS289" s="20">
        <f>IF(B289="","",IF(AR289="","",ROUND(AM289+AR289*AL289,2)))</f>
        <v>0</v>
      </c>
      <c r="AT289" s="20">
        <f>IF(B289="","",IF(AR289="","",ROUND(AH289+AS289,2)))</f>
        <v>0</v>
      </c>
      <c r="AU289" s="20">
        <f>IF(B289="","",IF(AR289="","",ROUND(AR289*AI289+AK289,2)))</f>
        <v>0</v>
      </c>
      <c r="AV289" s="20">
        <f>IF(B289="","",IF(AR289="","",ROUND(AR289-AT289-AU289,2)))</f>
        <v>0</v>
      </c>
      <c r="AW289" s="33">
        <f>IF(B289="","",IF(OR(AR289="",AR289=0),"",AV289/AR289))</f>
        <v>0</v>
      </c>
      <c r="AX289" s="33">
        <f>IF(B289="","",IF(OR(AT289="",AT289=0),"",AV289/AT289))</f>
        <v>0</v>
      </c>
      <c r="AY289" s="20">
        <f>IF(B289="","",IF(OR(Y289="",Y289=0,AV289=""),"",ROUND(AV289/Y289,2)))</f>
        <v>0</v>
      </c>
      <c r="AZ289" s="20">
        <f>IF(B289="","",IF(OR(Y289="",Y289=0,AV289=""),"",ROUND((AV289+Z289)/Y289,2)))</f>
        <v>0</v>
      </c>
      <c r="BA289" s="20">
        <f>IF(B289="","",IF(1-AI289-AL289&lt;=0,"",ROUND((AH289+AM289+AK289)/(1-AI289-AL289),2)))</f>
        <v>0</v>
      </c>
      <c r="BB289" s="20">
        <f>IF(B289="","",IF(AT289="","",ROUND(AT289*2,2)))</f>
        <v>0</v>
      </c>
      <c r="BC289" s="20">
        <f>IF(B289="","",IF(AR289="","",ROUND(AR289*(1-WholesaleDiscount),2)))</f>
        <v>0</v>
      </c>
      <c r="BD289" s="20">
        <f>IF(B289="","",IF(BC289="","",ROUND(BC289-AH289-AM289,2)))</f>
        <v>0</v>
      </c>
      <c r="BE289" s="33">
        <f>IF(B289="","",IF(OR(BC289="",BC289=0),"",BD289/BC289))</f>
        <v>0</v>
      </c>
      <c r="BF289" s="20">
        <f>IF(B289="","",IFERROR(ROUND(AVERAGEIFS(Competitors!$F$5:$F$154,Competitors!$A$5:$A$154,A289),2),""))</f>
        <v>0</v>
      </c>
      <c r="BG289" s="33">
        <f>IF(B289="","",IF(OR(BF289="",BF289=0,AR289=""),"",AR289/BF289-1))</f>
        <v>0</v>
      </c>
      <c r="BH289" s="32">
        <f>IF(B289="","",SUMIFS(Sales!$D$5:$D$804,Sales!$C$5:$C$804,A289))</f>
        <v>0</v>
      </c>
      <c r="BI289" s="20">
        <f>IF(B289="","",ROUND(SUMIFS(Sales!$V$5:$V$804,Sales!$C$5:$C$804,A289),2))</f>
        <v>0</v>
      </c>
      <c r="BJ289" s="20">
        <f>IF(B289="","",ROUND(SUMIFS(Sales!$AG$5:$AG$804,Sales!$C$5:$C$804,A289),2))</f>
        <v>0</v>
      </c>
      <c r="BK289" s="33">
        <f>IF(B289="","",IF(OR(BI289="",BI289=0),"",BJ289/BI289))</f>
        <v>0</v>
      </c>
      <c r="BL289" s="17">
        <f>IF(B289="","",IF(SUMPRODUCT(MAX((Sales!$C$5:$C$804=A289)*Sales!$B$5:$B$804))=0,"",SUMPRODUCT(MAX((Sales!$C$5:$C$804=A289)*Sales!$B$5:$B$804))))</f>
        <v>0</v>
      </c>
      <c r="BM289" s="17">
        <f>IF(B289="","",IF(SUMPRODUCT(MAX(('Price History'!$B$5:$B$304=A289)*'Price History'!$A$5:$A$304))=0,IF(P289="","",P289),SUMPRODUCT(MAX(('Price History'!$B$5:$B$304=A289)*'Price History'!$A$5:$A$304))))</f>
        <v>0</v>
      </c>
      <c r="BN289" s="32">
        <f>IF(B289="","",IF(BM289="","",TodayDate-BM289))</f>
        <v>0</v>
      </c>
      <c r="BO289" s="32">
        <f>IF(B289="","",COUNTIFS($AV$5:$AV$304,"&gt;"&amp;AV289)+COUNTIFS($AV$5:AV289,AV289))</f>
        <v>0</v>
      </c>
      <c r="BP289" s="32">
        <f>IF(B289="","",COUNTIFS($AW$5:$AW$304,"&gt;"&amp;AW289)+COUNTIFS($AW$5:AW289,AW289))</f>
        <v>0</v>
      </c>
      <c r="BQ289" s="32">
        <f>IF(B289="","",COUNTIFS($BI$5:$BI$304,"&gt;"&amp;BI289)+COUNTIFS($BI$5:BI289,BI289))</f>
        <v>0</v>
      </c>
      <c r="BR289" s="32">
        <f>IF(B289="","",COUNTIFS($AY$5:$AY$304,"&gt;"&amp;AY289)+COUNTIFS($AY$5:AY289,AY289))</f>
        <v>0</v>
      </c>
      <c r="BS289" s="43">
        <f>IF(B289="","",IF(AH289=0,"Add - no costs entered yet",IF(AR289="","Check - no price yet",IF(AV289&lt;0,"Loss - every sale costs you money",IF(AND(AZ289&lt;&gt;"",AZ289&lt;MinimumWage),"Below - pays under minimum wage",IF(AW289&lt;MarginWarning,"Low margin - re-price it",IF(AND(AF289&lt;&gt;"",K289&lt;&gt;"",K289+AC289&gt;AF289),"Check - too heavy for that postage band",IF(AND(BN289&lt;&gt;"",BN289&gt;PriceReviewDays),"Due - price has not been reviewed",IF(AND(BG289&lt;&gt;"",BG289&gt;0.5),"Check - well above the market","OK")))))))) )</f>
        <v>0</v>
      </c>
    </row>
    <row r="290" spans="1:71">
      <c r="A290" s="38">
        <f>IF(B290="","",ProductPrefix&amp;TEXT(ROW()-4,"0000"))</f>
        <v>0</v>
      </c>
      <c r="S290" s="38">
        <f>IF(B290="","",IF(C290&lt;&gt;"",C290,UPPER(LEFT(IF(D290="","GEN",D290),3))&amp;"-"&amp;TEXT(ROW()-4,"000")))</f>
        <v>0</v>
      </c>
      <c r="T290" s="20">
        <f>IF(B290="","",ROUND(SUMIFS('Material Usage'!$M$5:$M$904,'Material Usage'!$A$5:$A$904,A290)+SUMIFS(Crochet!$AD$5:$AD$84,Crochet!$A$5:$A$84,A290)+SUMIFS(Jewelry!$AF$5:$AF$84,Jewelry!$A$5:$A$84,A290)+SUMIFS(Candles!$AF$5:$AF$84,Candles!$A$5:$A$84,A290)+SUMIFS(Clothing!$AB$5:$AB$84,Clothing!$A$5:$A$84,A290)+SUMIFS(Woodworking!$AC$5:$AC$84,Woodworking!$A$5:$A$84,A290)+SUMIFS(Digital!$X$5:$X$84,Digital!$A$5:$A$84,A290),2))</f>
        <v>0</v>
      </c>
      <c r="U290" s="20">
        <f>IF(B290="","",ROUND(SUMIFS(Labor!$O$5:$O$304,Labor!$A$5:$A$304,A290)+SUMIFS(Crochet!$AG$5:$AG$84,Crochet!$A$5:$A$84,A290)+SUMIFS(Jewelry!$AI$5:$AI$84,Jewelry!$A$5:$A$84,A290)+SUMIFS(Candles!$AI$5:$AI$84,Candles!$A$5:$A$84,A290)+SUMIFS(Clothing!$AE$5:$AE$84,Clothing!$A$5:$A$84,A290)+SUMIFS(Woodworking!$AF$5:$AF$84,Woodworking!$A$5:$A$84,A290)+SUMIFS(Digital!$Z$5:$Z$84,Digital!$A$5:$A$84,A290),2))</f>
        <v>0</v>
      </c>
      <c r="V290" s="36">
        <f>IF(B290="","",ROUND(SUMIFS(Labor!$P$5:$P$304,Labor!$A$5:$A$304,A290)+SUMIFS(Crochet!$AE$5:$AE$84,Crochet!$A$5:$A$84,A290)+SUMIFS(Jewelry!$AG$5:$AG$84,Jewelry!$A$5:$A$84,A290)+SUMIFS(Candles!$AG$5:$AG$84,Candles!$A$5:$A$84,A290)+SUMIFS(Clothing!$AC$5:$AC$84,Clothing!$A$5:$A$84,A290)+SUMIFS(Woodworking!$AD$5:$AD$84,Woodworking!$A$5:$A$84,A290)+SUMIFS(Digital!$Y$5:$Y$84,Digital!$A$5:$A$84,A290),1))</f>
        <v>0</v>
      </c>
      <c r="W290" s="41">
        <f>IF(B290="","",IFERROR(INDEX(DiffTimeFactors,MATCH(G290,DiffNames,0)),1))</f>
        <v>0</v>
      </c>
      <c r="X290" s="36">
        <f>IF(B290="","",ROUND(V290*W290,1))</f>
        <v>0</v>
      </c>
      <c r="Y290" s="41">
        <f>IF(B290="","",ROUND(X290/60,3))</f>
        <v>0</v>
      </c>
      <c r="Z290" s="20">
        <f>IF(B290="","",ROUND(U290*W290,2))</f>
        <v>0</v>
      </c>
      <c r="AA290" s="20">
        <f>IF(B290="","",ROUND(SUMIFS(Labor!$Q$5:$Q$304,Labor!$A$5:$A$304,A290)+SUMIFS(Crochet!$AH$5:$AH$84,Crochet!$A$5:$A$84,A290)+SUMIFS(Jewelry!$AJ$5:$AJ$84,Jewelry!$A$5:$A$84,A290)+SUMIFS(Candles!$AJ$5:$AJ$84,Candles!$A$5:$A$84,A290)+SUMIFS(Clothing!$AF$5:$AF$84,Clothing!$A$5:$A$84,A290)+SUMIFS(Woodworking!$AH$5:$AH$84,Woodworking!$A$5:$A$84,A290)+SUMIFS(Digital!$AA$5:$AA$84,Digital!$A$5:$A$84,A290),2))</f>
        <v>0</v>
      </c>
      <c r="AB290" s="20">
        <f>IF(B290="","",ROUND(IF(I290="Budget",PackBudget,IF(I290="Standard",PackStandard,IF(I290="Gift",PackGift,IF(I290="Premium",PackPremium,DefaultPackaging)))),2))</f>
        <v>0</v>
      </c>
      <c r="AC290" s="36">
        <f>IF(B290="","",IF(I290="Budget",PackWeightBudget,IF(I290="Standard",PackWeightStandard,IF(I290="Gift",PackWeightGift,IF(I290="Premium",PackWeightPremium,0)))))</f>
        <v>0</v>
      </c>
      <c r="AD290" s="20">
        <f>IF(B290="","",IFERROR(INDEX(Shipping!$M$5:$M$64,MATCH(J290,Shipping!$L$5:$L$64,0)),DefaultShipping))</f>
        <v>0</v>
      </c>
      <c r="AE290" s="20">
        <f>IF(B290="","",IFERROR(INDEX(Shipping!$F$5:$F$64,MATCH(J290,Shipping!$L$5:$L$64,0)),0))</f>
        <v>0</v>
      </c>
      <c r="AF290" s="36">
        <f>IF(B290="","",IFERROR(INDEX(Shipping!$C$5:$C$64,MATCH(J290,Shipping!$L$5:$L$64,0)),""))</f>
        <v>0</v>
      </c>
      <c r="AG290" s="20">
        <f>IF(B290="","",ROUND(MAX(0,AD290-AE290),2))</f>
        <v>0</v>
      </c>
      <c r="AH290" s="20">
        <f>IF(B290="","",ROUND(T290+Z290+AA290+AB290+AG290,2))</f>
        <v>0</v>
      </c>
      <c r="AI290" s="33">
        <f>IF(B290="","",IFERROR(INDEX(Channels!$S$5:$S$18,MATCH(IF(H290="",DefaultChannel,H290),Channels!$A$5:$A$18,0)),0))</f>
        <v>0</v>
      </c>
      <c r="AJ290" s="42">
        <f>IF(B290="","",IFERROR(INDEX(Channels!$O$5:$O$18,MATCH(IF(H290="",DefaultChannel,H290),Channels!$A$5:$A$18,0)),"No"))</f>
        <v>0</v>
      </c>
      <c r="AK290" s="20">
        <f>IF(B290="","",ROUND(IFERROR(INDEX(Channels!$T$5:$T$18,MATCH(IF(H290="",DefaultChannel,H290),Channels!$A$5:$A$18,0)),0)+IF(AJ290="Yes",AE290*AI290,0),4))</f>
        <v>0</v>
      </c>
      <c r="AL290" s="33">
        <f>IF(B290="","",IF(OverheadMethod="Share of revenue",IF(RevenueTargetMonth&lt;=0,0,OverheadMonthly/RevenueTargetMonth),0))</f>
        <v>0</v>
      </c>
      <c r="AM290" s="20">
        <f>IF(B290="","",IF(OverheadMethod="Per hour worked",ROUND(OverheadPerHour*Y290,2),IF(OR(OverheadMethod="Per unit made",OverheadMethod="Per order"),OverheadPerUnit,0)))</f>
        <v>0</v>
      </c>
      <c r="AN290" s="33">
        <f>IF(B290="","",IF(N290&lt;&gt;"",N290,TargetRetailMargin))</f>
        <v>0</v>
      </c>
      <c r="AO290" s="41">
        <f>IF(B290="","",1-AN290-AI290-AL290)</f>
        <v>0</v>
      </c>
      <c r="AP290" s="20">
        <f>IF(B290="","",IF(AO290&lt;=0,"",(AH290+AM290+AK290)/AO290))</f>
        <v>0</v>
      </c>
      <c r="AQ290" s="20">
        <f>IF(B290="","",IF(AP290="","Check the settings",ROUND(IF(RoundingRule="None",AP290,IF(RoundingRule="Nearest 0.99",MAX(0.99,CEILING(AP290,1)-0.01),IF(RoundingRule="Nearest 0.95",MAX(0.95,CEILING(AP290,1)-0.05),IF(RoundingRule="Nearest 0.50",CEILING(AP290,0.5),IF(RoundingRule="Nearest 1",CEILING(AP290,1),IF(RoundingRule="Nearest 5",CEILING(AP290,5),IF(RoundingRule="Up to whole 1",CEILING(AP290,1),IF(RoundingRule="Up to whole 5",CEILING(AP290,5),ROUND(AP290,2))))))))),2)))</f>
        <v>0</v>
      </c>
      <c r="AR290" s="20">
        <f>IF(B290="","",IF(M290&lt;&gt;"",M290,IF(ISNUMBER(AQ290),AQ290,"")))</f>
        <v>0</v>
      </c>
      <c r="AS290" s="20">
        <f>IF(B290="","",IF(AR290="","",ROUND(AM290+AR290*AL290,2)))</f>
        <v>0</v>
      </c>
      <c r="AT290" s="20">
        <f>IF(B290="","",IF(AR290="","",ROUND(AH290+AS290,2)))</f>
        <v>0</v>
      </c>
      <c r="AU290" s="20">
        <f>IF(B290="","",IF(AR290="","",ROUND(AR290*AI290+AK290,2)))</f>
        <v>0</v>
      </c>
      <c r="AV290" s="20">
        <f>IF(B290="","",IF(AR290="","",ROUND(AR290-AT290-AU290,2)))</f>
        <v>0</v>
      </c>
      <c r="AW290" s="33">
        <f>IF(B290="","",IF(OR(AR290="",AR290=0),"",AV290/AR290))</f>
        <v>0</v>
      </c>
      <c r="AX290" s="33">
        <f>IF(B290="","",IF(OR(AT290="",AT290=0),"",AV290/AT290))</f>
        <v>0</v>
      </c>
      <c r="AY290" s="20">
        <f>IF(B290="","",IF(OR(Y290="",Y290=0,AV290=""),"",ROUND(AV290/Y290,2)))</f>
        <v>0</v>
      </c>
      <c r="AZ290" s="20">
        <f>IF(B290="","",IF(OR(Y290="",Y290=0,AV290=""),"",ROUND((AV290+Z290)/Y290,2)))</f>
        <v>0</v>
      </c>
      <c r="BA290" s="20">
        <f>IF(B290="","",IF(1-AI290-AL290&lt;=0,"",ROUND((AH290+AM290+AK290)/(1-AI290-AL290),2)))</f>
        <v>0</v>
      </c>
      <c r="BB290" s="20">
        <f>IF(B290="","",IF(AT290="","",ROUND(AT290*2,2)))</f>
        <v>0</v>
      </c>
      <c r="BC290" s="20">
        <f>IF(B290="","",IF(AR290="","",ROUND(AR290*(1-WholesaleDiscount),2)))</f>
        <v>0</v>
      </c>
      <c r="BD290" s="20">
        <f>IF(B290="","",IF(BC290="","",ROUND(BC290-AH290-AM290,2)))</f>
        <v>0</v>
      </c>
      <c r="BE290" s="33">
        <f>IF(B290="","",IF(OR(BC290="",BC290=0),"",BD290/BC290))</f>
        <v>0</v>
      </c>
      <c r="BF290" s="20">
        <f>IF(B290="","",IFERROR(ROUND(AVERAGEIFS(Competitors!$F$5:$F$154,Competitors!$A$5:$A$154,A290),2),""))</f>
        <v>0</v>
      </c>
      <c r="BG290" s="33">
        <f>IF(B290="","",IF(OR(BF290="",BF290=0,AR290=""),"",AR290/BF290-1))</f>
        <v>0</v>
      </c>
      <c r="BH290" s="32">
        <f>IF(B290="","",SUMIFS(Sales!$D$5:$D$804,Sales!$C$5:$C$804,A290))</f>
        <v>0</v>
      </c>
      <c r="BI290" s="20">
        <f>IF(B290="","",ROUND(SUMIFS(Sales!$V$5:$V$804,Sales!$C$5:$C$804,A290),2))</f>
        <v>0</v>
      </c>
      <c r="BJ290" s="20">
        <f>IF(B290="","",ROUND(SUMIFS(Sales!$AG$5:$AG$804,Sales!$C$5:$C$804,A290),2))</f>
        <v>0</v>
      </c>
      <c r="BK290" s="33">
        <f>IF(B290="","",IF(OR(BI290="",BI290=0),"",BJ290/BI290))</f>
        <v>0</v>
      </c>
      <c r="BL290" s="17">
        <f>IF(B290="","",IF(SUMPRODUCT(MAX((Sales!$C$5:$C$804=A290)*Sales!$B$5:$B$804))=0,"",SUMPRODUCT(MAX((Sales!$C$5:$C$804=A290)*Sales!$B$5:$B$804))))</f>
        <v>0</v>
      </c>
      <c r="BM290" s="17">
        <f>IF(B290="","",IF(SUMPRODUCT(MAX(('Price History'!$B$5:$B$304=A290)*'Price History'!$A$5:$A$304))=0,IF(P290="","",P290),SUMPRODUCT(MAX(('Price History'!$B$5:$B$304=A290)*'Price History'!$A$5:$A$304))))</f>
        <v>0</v>
      </c>
      <c r="BN290" s="32">
        <f>IF(B290="","",IF(BM290="","",TodayDate-BM290))</f>
        <v>0</v>
      </c>
      <c r="BO290" s="32">
        <f>IF(B290="","",COUNTIFS($AV$5:$AV$304,"&gt;"&amp;AV290)+COUNTIFS($AV$5:AV290,AV290))</f>
        <v>0</v>
      </c>
      <c r="BP290" s="32">
        <f>IF(B290="","",COUNTIFS($AW$5:$AW$304,"&gt;"&amp;AW290)+COUNTIFS($AW$5:AW290,AW290))</f>
        <v>0</v>
      </c>
      <c r="BQ290" s="32">
        <f>IF(B290="","",COUNTIFS($BI$5:$BI$304,"&gt;"&amp;BI290)+COUNTIFS($BI$5:BI290,BI290))</f>
        <v>0</v>
      </c>
      <c r="BR290" s="32">
        <f>IF(B290="","",COUNTIFS($AY$5:$AY$304,"&gt;"&amp;AY290)+COUNTIFS($AY$5:AY290,AY290))</f>
        <v>0</v>
      </c>
      <c r="BS290" s="43">
        <f>IF(B290="","",IF(AH290=0,"Add - no costs entered yet",IF(AR290="","Check - no price yet",IF(AV290&lt;0,"Loss - every sale costs you money",IF(AND(AZ290&lt;&gt;"",AZ290&lt;MinimumWage),"Below - pays under minimum wage",IF(AW290&lt;MarginWarning,"Low margin - re-price it",IF(AND(AF290&lt;&gt;"",K290&lt;&gt;"",K290+AC290&gt;AF290),"Check - too heavy for that postage band",IF(AND(BN290&lt;&gt;"",BN290&gt;PriceReviewDays),"Due - price has not been reviewed",IF(AND(BG290&lt;&gt;"",BG290&gt;0.5),"Check - well above the market","OK")))))))) )</f>
        <v>0</v>
      </c>
    </row>
    <row r="291" spans="1:71">
      <c r="A291" s="38">
        <f>IF(B291="","",ProductPrefix&amp;TEXT(ROW()-4,"0000"))</f>
        <v>0</v>
      </c>
      <c r="S291" s="38">
        <f>IF(B291="","",IF(C291&lt;&gt;"",C291,UPPER(LEFT(IF(D291="","GEN",D291),3))&amp;"-"&amp;TEXT(ROW()-4,"000")))</f>
        <v>0</v>
      </c>
      <c r="T291" s="20">
        <f>IF(B291="","",ROUND(SUMIFS('Material Usage'!$M$5:$M$904,'Material Usage'!$A$5:$A$904,A291)+SUMIFS(Crochet!$AD$5:$AD$84,Crochet!$A$5:$A$84,A291)+SUMIFS(Jewelry!$AF$5:$AF$84,Jewelry!$A$5:$A$84,A291)+SUMIFS(Candles!$AF$5:$AF$84,Candles!$A$5:$A$84,A291)+SUMIFS(Clothing!$AB$5:$AB$84,Clothing!$A$5:$A$84,A291)+SUMIFS(Woodworking!$AC$5:$AC$84,Woodworking!$A$5:$A$84,A291)+SUMIFS(Digital!$X$5:$X$84,Digital!$A$5:$A$84,A291),2))</f>
        <v>0</v>
      </c>
      <c r="U291" s="20">
        <f>IF(B291="","",ROUND(SUMIFS(Labor!$O$5:$O$304,Labor!$A$5:$A$304,A291)+SUMIFS(Crochet!$AG$5:$AG$84,Crochet!$A$5:$A$84,A291)+SUMIFS(Jewelry!$AI$5:$AI$84,Jewelry!$A$5:$A$84,A291)+SUMIFS(Candles!$AI$5:$AI$84,Candles!$A$5:$A$84,A291)+SUMIFS(Clothing!$AE$5:$AE$84,Clothing!$A$5:$A$84,A291)+SUMIFS(Woodworking!$AF$5:$AF$84,Woodworking!$A$5:$A$84,A291)+SUMIFS(Digital!$Z$5:$Z$84,Digital!$A$5:$A$84,A291),2))</f>
        <v>0</v>
      </c>
      <c r="V291" s="36">
        <f>IF(B291="","",ROUND(SUMIFS(Labor!$P$5:$P$304,Labor!$A$5:$A$304,A291)+SUMIFS(Crochet!$AE$5:$AE$84,Crochet!$A$5:$A$84,A291)+SUMIFS(Jewelry!$AG$5:$AG$84,Jewelry!$A$5:$A$84,A291)+SUMIFS(Candles!$AG$5:$AG$84,Candles!$A$5:$A$84,A291)+SUMIFS(Clothing!$AC$5:$AC$84,Clothing!$A$5:$A$84,A291)+SUMIFS(Woodworking!$AD$5:$AD$84,Woodworking!$A$5:$A$84,A291)+SUMIFS(Digital!$Y$5:$Y$84,Digital!$A$5:$A$84,A291),1))</f>
        <v>0</v>
      </c>
      <c r="W291" s="41">
        <f>IF(B291="","",IFERROR(INDEX(DiffTimeFactors,MATCH(G291,DiffNames,0)),1))</f>
        <v>0</v>
      </c>
      <c r="X291" s="36">
        <f>IF(B291="","",ROUND(V291*W291,1))</f>
        <v>0</v>
      </c>
      <c r="Y291" s="41">
        <f>IF(B291="","",ROUND(X291/60,3))</f>
        <v>0</v>
      </c>
      <c r="Z291" s="20">
        <f>IF(B291="","",ROUND(U291*W291,2))</f>
        <v>0</v>
      </c>
      <c r="AA291" s="20">
        <f>IF(B291="","",ROUND(SUMIFS(Labor!$Q$5:$Q$304,Labor!$A$5:$A$304,A291)+SUMIFS(Crochet!$AH$5:$AH$84,Crochet!$A$5:$A$84,A291)+SUMIFS(Jewelry!$AJ$5:$AJ$84,Jewelry!$A$5:$A$84,A291)+SUMIFS(Candles!$AJ$5:$AJ$84,Candles!$A$5:$A$84,A291)+SUMIFS(Clothing!$AF$5:$AF$84,Clothing!$A$5:$A$84,A291)+SUMIFS(Woodworking!$AH$5:$AH$84,Woodworking!$A$5:$A$84,A291)+SUMIFS(Digital!$AA$5:$AA$84,Digital!$A$5:$A$84,A291),2))</f>
        <v>0</v>
      </c>
      <c r="AB291" s="20">
        <f>IF(B291="","",ROUND(IF(I291="Budget",PackBudget,IF(I291="Standard",PackStandard,IF(I291="Gift",PackGift,IF(I291="Premium",PackPremium,DefaultPackaging)))),2))</f>
        <v>0</v>
      </c>
      <c r="AC291" s="36">
        <f>IF(B291="","",IF(I291="Budget",PackWeightBudget,IF(I291="Standard",PackWeightStandard,IF(I291="Gift",PackWeightGift,IF(I291="Premium",PackWeightPremium,0)))))</f>
        <v>0</v>
      </c>
      <c r="AD291" s="20">
        <f>IF(B291="","",IFERROR(INDEX(Shipping!$M$5:$M$64,MATCH(J291,Shipping!$L$5:$L$64,0)),DefaultShipping))</f>
        <v>0</v>
      </c>
      <c r="AE291" s="20">
        <f>IF(B291="","",IFERROR(INDEX(Shipping!$F$5:$F$64,MATCH(J291,Shipping!$L$5:$L$64,0)),0))</f>
        <v>0</v>
      </c>
      <c r="AF291" s="36">
        <f>IF(B291="","",IFERROR(INDEX(Shipping!$C$5:$C$64,MATCH(J291,Shipping!$L$5:$L$64,0)),""))</f>
        <v>0</v>
      </c>
      <c r="AG291" s="20">
        <f>IF(B291="","",ROUND(MAX(0,AD291-AE291),2))</f>
        <v>0</v>
      </c>
      <c r="AH291" s="20">
        <f>IF(B291="","",ROUND(T291+Z291+AA291+AB291+AG291,2))</f>
        <v>0</v>
      </c>
      <c r="AI291" s="33">
        <f>IF(B291="","",IFERROR(INDEX(Channels!$S$5:$S$18,MATCH(IF(H291="",DefaultChannel,H291),Channels!$A$5:$A$18,0)),0))</f>
        <v>0</v>
      </c>
      <c r="AJ291" s="42">
        <f>IF(B291="","",IFERROR(INDEX(Channels!$O$5:$O$18,MATCH(IF(H291="",DefaultChannel,H291),Channels!$A$5:$A$18,0)),"No"))</f>
        <v>0</v>
      </c>
      <c r="AK291" s="20">
        <f>IF(B291="","",ROUND(IFERROR(INDEX(Channels!$T$5:$T$18,MATCH(IF(H291="",DefaultChannel,H291),Channels!$A$5:$A$18,0)),0)+IF(AJ291="Yes",AE291*AI291,0),4))</f>
        <v>0</v>
      </c>
      <c r="AL291" s="33">
        <f>IF(B291="","",IF(OverheadMethod="Share of revenue",IF(RevenueTargetMonth&lt;=0,0,OverheadMonthly/RevenueTargetMonth),0))</f>
        <v>0</v>
      </c>
      <c r="AM291" s="20">
        <f>IF(B291="","",IF(OverheadMethod="Per hour worked",ROUND(OverheadPerHour*Y291,2),IF(OR(OverheadMethod="Per unit made",OverheadMethod="Per order"),OverheadPerUnit,0)))</f>
        <v>0</v>
      </c>
      <c r="AN291" s="33">
        <f>IF(B291="","",IF(N291&lt;&gt;"",N291,TargetRetailMargin))</f>
        <v>0</v>
      </c>
      <c r="AO291" s="41">
        <f>IF(B291="","",1-AN291-AI291-AL291)</f>
        <v>0</v>
      </c>
      <c r="AP291" s="20">
        <f>IF(B291="","",IF(AO291&lt;=0,"",(AH291+AM291+AK291)/AO291))</f>
        <v>0</v>
      </c>
      <c r="AQ291" s="20">
        <f>IF(B291="","",IF(AP291="","Check the settings",ROUND(IF(RoundingRule="None",AP291,IF(RoundingRule="Nearest 0.99",MAX(0.99,CEILING(AP291,1)-0.01),IF(RoundingRule="Nearest 0.95",MAX(0.95,CEILING(AP291,1)-0.05),IF(RoundingRule="Nearest 0.50",CEILING(AP291,0.5),IF(RoundingRule="Nearest 1",CEILING(AP291,1),IF(RoundingRule="Nearest 5",CEILING(AP291,5),IF(RoundingRule="Up to whole 1",CEILING(AP291,1),IF(RoundingRule="Up to whole 5",CEILING(AP291,5),ROUND(AP291,2))))))))),2)))</f>
        <v>0</v>
      </c>
      <c r="AR291" s="20">
        <f>IF(B291="","",IF(M291&lt;&gt;"",M291,IF(ISNUMBER(AQ291),AQ291,"")))</f>
        <v>0</v>
      </c>
      <c r="AS291" s="20">
        <f>IF(B291="","",IF(AR291="","",ROUND(AM291+AR291*AL291,2)))</f>
        <v>0</v>
      </c>
      <c r="AT291" s="20">
        <f>IF(B291="","",IF(AR291="","",ROUND(AH291+AS291,2)))</f>
        <v>0</v>
      </c>
      <c r="AU291" s="20">
        <f>IF(B291="","",IF(AR291="","",ROUND(AR291*AI291+AK291,2)))</f>
        <v>0</v>
      </c>
      <c r="AV291" s="20">
        <f>IF(B291="","",IF(AR291="","",ROUND(AR291-AT291-AU291,2)))</f>
        <v>0</v>
      </c>
      <c r="AW291" s="33">
        <f>IF(B291="","",IF(OR(AR291="",AR291=0),"",AV291/AR291))</f>
        <v>0</v>
      </c>
      <c r="AX291" s="33">
        <f>IF(B291="","",IF(OR(AT291="",AT291=0),"",AV291/AT291))</f>
        <v>0</v>
      </c>
      <c r="AY291" s="20">
        <f>IF(B291="","",IF(OR(Y291="",Y291=0,AV291=""),"",ROUND(AV291/Y291,2)))</f>
        <v>0</v>
      </c>
      <c r="AZ291" s="20">
        <f>IF(B291="","",IF(OR(Y291="",Y291=0,AV291=""),"",ROUND((AV291+Z291)/Y291,2)))</f>
        <v>0</v>
      </c>
      <c r="BA291" s="20">
        <f>IF(B291="","",IF(1-AI291-AL291&lt;=0,"",ROUND((AH291+AM291+AK291)/(1-AI291-AL291),2)))</f>
        <v>0</v>
      </c>
      <c r="BB291" s="20">
        <f>IF(B291="","",IF(AT291="","",ROUND(AT291*2,2)))</f>
        <v>0</v>
      </c>
      <c r="BC291" s="20">
        <f>IF(B291="","",IF(AR291="","",ROUND(AR291*(1-WholesaleDiscount),2)))</f>
        <v>0</v>
      </c>
      <c r="BD291" s="20">
        <f>IF(B291="","",IF(BC291="","",ROUND(BC291-AH291-AM291,2)))</f>
        <v>0</v>
      </c>
      <c r="BE291" s="33">
        <f>IF(B291="","",IF(OR(BC291="",BC291=0),"",BD291/BC291))</f>
        <v>0</v>
      </c>
      <c r="BF291" s="20">
        <f>IF(B291="","",IFERROR(ROUND(AVERAGEIFS(Competitors!$F$5:$F$154,Competitors!$A$5:$A$154,A291),2),""))</f>
        <v>0</v>
      </c>
      <c r="BG291" s="33">
        <f>IF(B291="","",IF(OR(BF291="",BF291=0,AR291=""),"",AR291/BF291-1))</f>
        <v>0</v>
      </c>
      <c r="BH291" s="32">
        <f>IF(B291="","",SUMIFS(Sales!$D$5:$D$804,Sales!$C$5:$C$804,A291))</f>
        <v>0</v>
      </c>
      <c r="BI291" s="20">
        <f>IF(B291="","",ROUND(SUMIFS(Sales!$V$5:$V$804,Sales!$C$5:$C$804,A291),2))</f>
        <v>0</v>
      </c>
      <c r="BJ291" s="20">
        <f>IF(B291="","",ROUND(SUMIFS(Sales!$AG$5:$AG$804,Sales!$C$5:$C$804,A291),2))</f>
        <v>0</v>
      </c>
      <c r="BK291" s="33">
        <f>IF(B291="","",IF(OR(BI291="",BI291=0),"",BJ291/BI291))</f>
        <v>0</v>
      </c>
      <c r="BL291" s="17">
        <f>IF(B291="","",IF(SUMPRODUCT(MAX((Sales!$C$5:$C$804=A291)*Sales!$B$5:$B$804))=0,"",SUMPRODUCT(MAX((Sales!$C$5:$C$804=A291)*Sales!$B$5:$B$804))))</f>
        <v>0</v>
      </c>
      <c r="BM291" s="17">
        <f>IF(B291="","",IF(SUMPRODUCT(MAX(('Price History'!$B$5:$B$304=A291)*'Price History'!$A$5:$A$304))=0,IF(P291="","",P291),SUMPRODUCT(MAX(('Price History'!$B$5:$B$304=A291)*'Price History'!$A$5:$A$304))))</f>
        <v>0</v>
      </c>
      <c r="BN291" s="32">
        <f>IF(B291="","",IF(BM291="","",TodayDate-BM291))</f>
        <v>0</v>
      </c>
      <c r="BO291" s="32">
        <f>IF(B291="","",COUNTIFS($AV$5:$AV$304,"&gt;"&amp;AV291)+COUNTIFS($AV$5:AV291,AV291))</f>
        <v>0</v>
      </c>
      <c r="BP291" s="32">
        <f>IF(B291="","",COUNTIFS($AW$5:$AW$304,"&gt;"&amp;AW291)+COUNTIFS($AW$5:AW291,AW291))</f>
        <v>0</v>
      </c>
      <c r="BQ291" s="32">
        <f>IF(B291="","",COUNTIFS($BI$5:$BI$304,"&gt;"&amp;BI291)+COUNTIFS($BI$5:BI291,BI291))</f>
        <v>0</v>
      </c>
      <c r="BR291" s="32">
        <f>IF(B291="","",COUNTIFS($AY$5:$AY$304,"&gt;"&amp;AY291)+COUNTIFS($AY$5:AY291,AY291))</f>
        <v>0</v>
      </c>
      <c r="BS291" s="43">
        <f>IF(B291="","",IF(AH291=0,"Add - no costs entered yet",IF(AR291="","Check - no price yet",IF(AV291&lt;0,"Loss - every sale costs you money",IF(AND(AZ291&lt;&gt;"",AZ291&lt;MinimumWage),"Below - pays under minimum wage",IF(AW291&lt;MarginWarning,"Low margin - re-price it",IF(AND(AF291&lt;&gt;"",K291&lt;&gt;"",K291+AC291&gt;AF291),"Check - too heavy for that postage band",IF(AND(BN291&lt;&gt;"",BN291&gt;PriceReviewDays),"Due - price has not been reviewed",IF(AND(BG291&lt;&gt;"",BG291&gt;0.5),"Check - well above the market","OK")))))))) )</f>
        <v>0</v>
      </c>
    </row>
    <row r="292" spans="1:71">
      <c r="A292" s="38">
        <f>IF(B292="","",ProductPrefix&amp;TEXT(ROW()-4,"0000"))</f>
        <v>0</v>
      </c>
      <c r="S292" s="38">
        <f>IF(B292="","",IF(C292&lt;&gt;"",C292,UPPER(LEFT(IF(D292="","GEN",D292),3))&amp;"-"&amp;TEXT(ROW()-4,"000")))</f>
        <v>0</v>
      </c>
      <c r="T292" s="20">
        <f>IF(B292="","",ROUND(SUMIFS('Material Usage'!$M$5:$M$904,'Material Usage'!$A$5:$A$904,A292)+SUMIFS(Crochet!$AD$5:$AD$84,Crochet!$A$5:$A$84,A292)+SUMIFS(Jewelry!$AF$5:$AF$84,Jewelry!$A$5:$A$84,A292)+SUMIFS(Candles!$AF$5:$AF$84,Candles!$A$5:$A$84,A292)+SUMIFS(Clothing!$AB$5:$AB$84,Clothing!$A$5:$A$84,A292)+SUMIFS(Woodworking!$AC$5:$AC$84,Woodworking!$A$5:$A$84,A292)+SUMIFS(Digital!$X$5:$X$84,Digital!$A$5:$A$84,A292),2))</f>
        <v>0</v>
      </c>
      <c r="U292" s="20">
        <f>IF(B292="","",ROUND(SUMIFS(Labor!$O$5:$O$304,Labor!$A$5:$A$304,A292)+SUMIFS(Crochet!$AG$5:$AG$84,Crochet!$A$5:$A$84,A292)+SUMIFS(Jewelry!$AI$5:$AI$84,Jewelry!$A$5:$A$84,A292)+SUMIFS(Candles!$AI$5:$AI$84,Candles!$A$5:$A$84,A292)+SUMIFS(Clothing!$AE$5:$AE$84,Clothing!$A$5:$A$84,A292)+SUMIFS(Woodworking!$AF$5:$AF$84,Woodworking!$A$5:$A$84,A292)+SUMIFS(Digital!$Z$5:$Z$84,Digital!$A$5:$A$84,A292),2))</f>
        <v>0</v>
      </c>
      <c r="V292" s="36">
        <f>IF(B292="","",ROUND(SUMIFS(Labor!$P$5:$P$304,Labor!$A$5:$A$304,A292)+SUMIFS(Crochet!$AE$5:$AE$84,Crochet!$A$5:$A$84,A292)+SUMIFS(Jewelry!$AG$5:$AG$84,Jewelry!$A$5:$A$84,A292)+SUMIFS(Candles!$AG$5:$AG$84,Candles!$A$5:$A$84,A292)+SUMIFS(Clothing!$AC$5:$AC$84,Clothing!$A$5:$A$84,A292)+SUMIFS(Woodworking!$AD$5:$AD$84,Woodworking!$A$5:$A$84,A292)+SUMIFS(Digital!$Y$5:$Y$84,Digital!$A$5:$A$84,A292),1))</f>
        <v>0</v>
      </c>
      <c r="W292" s="41">
        <f>IF(B292="","",IFERROR(INDEX(DiffTimeFactors,MATCH(G292,DiffNames,0)),1))</f>
        <v>0</v>
      </c>
      <c r="X292" s="36">
        <f>IF(B292="","",ROUND(V292*W292,1))</f>
        <v>0</v>
      </c>
      <c r="Y292" s="41">
        <f>IF(B292="","",ROUND(X292/60,3))</f>
        <v>0</v>
      </c>
      <c r="Z292" s="20">
        <f>IF(B292="","",ROUND(U292*W292,2))</f>
        <v>0</v>
      </c>
      <c r="AA292" s="20">
        <f>IF(B292="","",ROUND(SUMIFS(Labor!$Q$5:$Q$304,Labor!$A$5:$A$304,A292)+SUMIFS(Crochet!$AH$5:$AH$84,Crochet!$A$5:$A$84,A292)+SUMIFS(Jewelry!$AJ$5:$AJ$84,Jewelry!$A$5:$A$84,A292)+SUMIFS(Candles!$AJ$5:$AJ$84,Candles!$A$5:$A$84,A292)+SUMIFS(Clothing!$AF$5:$AF$84,Clothing!$A$5:$A$84,A292)+SUMIFS(Woodworking!$AH$5:$AH$84,Woodworking!$A$5:$A$84,A292)+SUMIFS(Digital!$AA$5:$AA$84,Digital!$A$5:$A$84,A292),2))</f>
        <v>0</v>
      </c>
      <c r="AB292" s="20">
        <f>IF(B292="","",ROUND(IF(I292="Budget",PackBudget,IF(I292="Standard",PackStandard,IF(I292="Gift",PackGift,IF(I292="Premium",PackPremium,DefaultPackaging)))),2))</f>
        <v>0</v>
      </c>
      <c r="AC292" s="36">
        <f>IF(B292="","",IF(I292="Budget",PackWeightBudget,IF(I292="Standard",PackWeightStandard,IF(I292="Gift",PackWeightGift,IF(I292="Premium",PackWeightPremium,0)))))</f>
        <v>0</v>
      </c>
      <c r="AD292" s="20">
        <f>IF(B292="","",IFERROR(INDEX(Shipping!$M$5:$M$64,MATCH(J292,Shipping!$L$5:$L$64,0)),DefaultShipping))</f>
        <v>0</v>
      </c>
      <c r="AE292" s="20">
        <f>IF(B292="","",IFERROR(INDEX(Shipping!$F$5:$F$64,MATCH(J292,Shipping!$L$5:$L$64,0)),0))</f>
        <v>0</v>
      </c>
      <c r="AF292" s="36">
        <f>IF(B292="","",IFERROR(INDEX(Shipping!$C$5:$C$64,MATCH(J292,Shipping!$L$5:$L$64,0)),""))</f>
        <v>0</v>
      </c>
      <c r="AG292" s="20">
        <f>IF(B292="","",ROUND(MAX(0,AD292-AE292),2))</f>
        <v>0</v>
      </c>
      <c r="AH292" s="20">
        <f>IF(B292="","",ROUND(T292+Z292+AA292+AB292+AG292,2))</f>
        <v>0</v>
      </c>
      <c r="AI292" s="33">
        <f>IF(B292="","",IFERROR(INDEX(Channels!$S$5:$S$18,MATCH(IF(H292="",DefaultChannel,H292),Channels!$A$5:$A$18,0)),0))</f>
        <v>0</v>
      </c>
      <c r="AJ292" s="42">
        <f>IF(B292="","",IFERROR(INDEX(Channels!$O$5:$O$18,MATCH(IF(H292="",DefaultChannel,H292),Channels!$A$5:$A$18,0)),"No"))</f>
        <v>0</v>
      </c>
      <c r="AK292" s="20">
        <f>IF(B292="","",ROUND(IFERROR(INDEX(Channels!$T$5:$T$18,MATCH(IF(H292="",DefaultChannel,H292),Channels!$A$5:$A$18,0)),0)+IF(AJ292="Yes",AE292*AI292,0),4))</f>
        <v>0</v>
      </c>
      <c r="AL292" s="33">
        <f>IF(B292="","",IF(OverheadMethod="Share of revenue",IF(RevenueTargetMonth&lt;=0,0,OverheadMonthly/RevenueTargetMonth),0))</f>
        <v>0</v>
      </c>
      <c r="AM292" s="20">
        <f>IF(B292="","",IF(OverheadMethod="Per hour worked",ROUND(OverheadPerHour*Y292,2),IF(OR(OverheadMethod="Per unit made",OverheadMethod="Per order"),OverheadPerUnit,0)))</f>
        <v>0</v>
      </c>
      <c r="AN292" s="33">
        <f>IF(B292="","",IF(N292&lt;&gt;"",N292,TargetRetailMargin))</f>
        <v>0</v>
      </c>
      <c r="AO292" s="41">
        <f>IF(B292="","",1-AN292-AI292-AL292)</f>
        <v>0</v>
      </c>
      <c r="AP292" s="20">
        <f>IF(B292="","",IF(AO292&lt;=0,"",(AH292+AM292+AK292)/AO292))</f>
        <v>0</v>
      </c>
      <c r="AQ292" s="20">
        <f>IF(B292="","",IF(AP292="","Check the settings",ROUND(IF(RoundingRule="None",AP292,IF(RoundingRule="Nearest 0.99",MAX(0.99,CEILING(AP292,1)-0.01),IF(RoundingRule="Nearest 0.95",MAX(0.95,CEILING(AP292,1)-0.05),IF(RoundingRule="Nearest 0.50",CEILING(AP292,0.5),IF(RoundingRule="Nearest 1",CEILING(AP292,1),IF(RoundingRule="Nearest 5",CEILING(AP292,5),IF(RoundingRule="Up to whole 1",CEILING(AP292,1),IF(RoundingRule="Up to whole 5",CEILING(AP292,5),ROUND(AP292,2))))))))),2)))</f>
        <v>0</v>
      </c>
      <c r="AR292" s="20">
        <f>IF(B292="","",IF(M292&lt;&gt;"",M292,IF(ISNUMBER(AQ292),AQ292,"")))</f>
        <v>0</v>
      </c>
      <c r="AS292" s="20">
        <f>IF(B292="","",IF(AR292="","",ROUND(AM292+AR292*AL292,2)))</f>
        <v>0</v>
      </c>
      <c r="AT292" s="20">
        <f>IF(B292="","",IF(AR292="","",ROUND(AH292+AS292,2)))</f>
        <v>0</v>
      </c>
      <c r="AU292" s="20">
        <f>IF(B292="","",IF(AR292="","",ROUND(AR292*AI292+AK292,2)))</f>
        <v>0</v>
      </c>
      <c r="AV292" s="20">
        <f>IF(B292="","",IF(AR292="","",ROUND(AR292-AT292-AU292,2)))</f>
        <v>0</v>
      </c>
      <c r="AW292" s="33">
        <f>IF(B292="","",IF(OR(AR292="",AR292=0),"",AV292/AR292))</f>
        <v>0</v>
      </c>
      <c r="AX292" s="33">
        <f>IF(B292="","",IF(OR(AT292="",AT292=0),"",AV292/AT292))</f>
        <v>0</v>
      </c>
      <c r="AY292" s="20">
        <f>IF(B292="","",IF(OR(Y292="",Y292=0,AV292=""),"",ROUND(AV292/Y292,2)))</f>
        <v>0</v>
      </c>
      <c r="AZ292" s="20">
        <f>IF(B292="","",IF(OR(Y292="",Y292=0,AV292=""),"",ROUND((AV292+Z292)/Y292,2)))</f>
        <v>0</v>
      </c>
      <c r="BA292" s="20">
        <f>IF(B292="","",IF(1-AI292-AL292&lt;=0,"",ROUND((AH292+AM292+AK292)/(1-AI292-AL292),2)))</f>
        <v>0</v>
      </c>
      <c r="BB292" s="20">
        <f>IF(B292="","",IF(AT292="","",ROUND(AT292*2,2)))</f>
        <v>0</v>
      </c>
      <c r="BC292" s="20">
        <f>IF(B292="","",IF(AR292="","",ROUND(AR292*(1-WholesaleDiscount),2)))</f>
        <v>0</v>
      </c>
      <c r="BD292" s="20">
        <f>IF(B292="","",IF(BC292="","",ROUND(BC292-AH292-AM292,2)))</f>
        <v>0</v>
      </c>
      <c r="BE292" s="33">
        <f>IF(B292="","",IF(OR(BC292="",BC292=0),"",BD292/BC292))</f>
        <v>0</v>
      </c>
      <c r="BF292" s="20">
        <f>IF(B292="","",IFERROR(ROUND(AVERAGEIFS(Competitors!$F$5:$F$154,Competitors!$A$5:$A$154,A292),2),""))</f>
        <v>0</v>
      </c>
      <c r="BG292" s="33">
        <f>IF(B292="","",IF(OR(BF292="",BF292=0,AR292=""),"",AR292/BF292-1))</f>
        <v>0</v>
      </c>
      <c r="BH292" s="32">
        <f>IF(B292="","",SUMIFS(Sales!$D$5:$D$804,Sales!$C$5:$C$804,A292))</f>
        <v>0</v>
      </c>
      <c r="BI292" s="20">
        <f>IF(B292="","",ROUND(SUMIFS(Sales!$V$5:$V$804,Sales!$C$5:$C$804,A292),2))</f>
        <v>0</v>
      </c>
      <c r="BJ292" s="20">
        <f>IF(B292="","",ROUND(SUMIFS(Sales!$AG$5:$AG$804,Sales!$C$5:$C$804,A292),2))</f>
        <v>0</v>
      </c>
      <c r="BK292" s="33">
        <f>IF(B292="","",IF(OR(BI292="",BI292=0),"",BJ292/BI292))</f>
        <v>0</v>
      </c>
      <c r="BL292" s="17">
        <f>IF(B292="","",IF(SUMPRODUCT(MAX((Sales!$C$5:$C$804=A292)*Sales!$B$5:$B$804))=0,"",SUMPRODUCT(MAX((Sales!$C$5:$C$804=A292)*Sales!$B$5:$B$804))))</f>
        <v>0</v>
      </c>
      <c r="BM292" s="17">
        <f>IF(B292="","",IF(SUMPRODUCT(MAX(('Price History'!$B$5:$B$304=A292)*'Price History'!$A$5:$A$304))=0,IF(P292="","",P292),SUMPRODUCT(MAX(('Price History'!$B$5:$B$304=A292)*'Price History'!$A$5:$A$304))))</f>
        <v>0</v>
      </c>
      <c r="BN292" s="32">
        <f>IF(B292="","",IF(BM292="","",TodayDate-BM292))</f>
        <v>0</v>
      </c>
      <c r="BO292" s="32">
        <f>IF(B292="","",COUNTIFS($AV$5:$AV$304,"&gt;"&amp;AV292)+COUNTIFS($AV$5:AV292,AV292))</f>
        <v>0</v>
      </c>
      <c r="BP292" s="32">
        <f>IF(B292="","",COUNTIFS($AW$5:$AW$304,"&gt;"&amp;AW292)+COUNTIFS($AW$5:AW292,AW292))</f>
        <v>0</v>
      </c>
      <c r="BQ292" s="32">
        <f>IF(B292="","",COUNTIFS($BI$5:$BI$304,"&gt;"&amp;BI292)+COUNTIFS($BI$5:BI292,BI292))</f>
        <v>0</v>
      </c>
      <c r="BR292" s="32">
        <f>IF(B292="","",COUNTIFS($AY$5:$AY$304,"&gt;"&amp;AY292)+COUNTIFS($AY$5:AY292,AY292))</f>
        <v>0</v>
      </c>
      <c r="BS292" s="43">
        <f>IF(B292="","",IF(AH292=0,"Add - no costs entered yet",IF(AR292="","Check - no price yet",IF(AV292&lt;0,"Loss - every sale costs you money",IF(AND(AZ292&lt;&gt;"",AZ292&lt;MinimumWage),"Below - pays under minimum wage",IF(AW292&lt;MarginWarning,"Low margin - re-price it",IF(AND(AF292&lt;&gt;"",K292&lt;&gt;"",K292+AC292&gt;AF292),"Check - too heavy for that postage band",IF(AND(BN292&lt;&gt;"",BN292&gt;PriceReviewDays),"Due - price has not been reviewed",IF(AND(BG292&lt;&gt;"",BG292&gt;0.5),"Check - well above the market","OK")))))))) )</f>
        <v>0</v>
      </c>
    </row>
    <row r="293" spans="1:71">
      <c r="A293" s="38">
        <f>IF(B293="","",ProductPrefix&amp;TEXT(ROW()-4,"0000"))</f>
        <v>0</v>
      </c>
      <c r="S293" s="38">
        <f>IF(B293="","",IF(C293&lt;&gt;"",C293,UPPER(LEFT(IF(D293="","GEN",D293),3))&amp;"-"&amp;TEXT(ROW()-4,"000")))</f>
        <v>0</v>
      </c>
      <c r="T293" s="20">
        <f>IF(B293="","",ROUND(SUMIFS('Material Usage'!$M$5:$M$904,'Material Usage'!$A$5:$A$904,A293)+SUMIFS(Crochet!$AD$5:$AD$84,Crochet!$A$5:$A$84,A293)+SUMIFS(Jewelry!$AF$5:$AF$84,Jewelry!$A$5:$A$84,A293)+SUMIFS(Candles!$AF$5:$AF$84,Candles!$A$5:$A$84,A293)+SUMIFS(Clothing!$AB$5:$AB$84,Clothing!$A$5:$A$84,A293)+SUMIFS(Woodworking!$AC$5:$AC$84,Woodworking!$A$5:$A$84,A293)+SUMIFS(Digital!$X$5:$X$84,Digital!$A$5:$A$84,A293),2))</f>
        <v>0</v>
      </c>
      <c r="U293" s="20">
        <f>IF(B293="","",ROUND(SUMIFS(Labor!$O$5:$O$304,Labor!$A$5:$A$304,A293)+SUMIFS(Crochet!$AG$5:$AG$84,Crochet!$A$5:$A$84,A293)+SUMIFS(Jewelry!$AI$5:$AI$84,Jewelry!$A$5:$A$84,A293)+SUMIFS(Candles!$AI$5:$AI$84,Candles!$A$5:$A$84,A293)+SUMIFS(Clothing!$AE$5:$AE$84,Clothing!$A$5:$A$84,A293)+SUMIFS(Woodworking!$AF$5:$AF$84,Woodworking!$A$5:$A$84,A293)+SUMIFS(Digital!$Z$5:$Z$84,Digital!$A$5:$A$84,A293),2))</f>
        <v>0</v>
      </c>
      <c r="V293" s="36">
        <f>IF(B293="","",ROUND(SUMIFS(Labor!$P$5:$P$304,Labor!$A$5:$A$304,A293)+SUMIFS(Crochet!$AE$5:$AE$84,Crochet!$A$5:$A$84,A293)+SUMIFS(Jewelry!$AG$5:$AG$84,Jewelry!$A$5:$A$84,A293)+SUMIFS(Candles!$AG$5:$AG$84,Candles!$A$5:$A$84,A293)+SUMIFS(Clothing!$AC$5:$AC$84,Clothing!$A$5:$A$84,A293)+SUMIFS(Woodworking!$AD$5:$AD$84,Woodworking!$A$5:$A$84,A293)+SUMIFS(Digital!$Y$5:$Y$84,Digital!$A$5:$A$84,A293),1))</f>
        <v>0</v>
      </c>
      <c r="W293" s="41">
        <f>IF(B293="","",IFERROR(INDEX(DiffTimeFactors,MATCH(G293,DiffNames,0)),1))</f>
        <v>0</v>
      </c>
      <c r="X293" s="36">
        <f>IF(B293="","",ROUND(V293*W293,1))</f>
        <v>0</v>
      </c>
      <c r="Y293" s="41">
        <f>IF(B293="","",ROUND(X293/60,3))</f>
        <v>0</v>
      </c>
      <c r="Z293" s="20">
        <f>IF(B293="","",ROUND(U293*W293,2))</f>
        <v>0</v>
      </c>
      <c r="AA293" s="20">
        <f>IF(B293="","",ROUND(SUMIFS(Labor!$Q$5:$Q$304,Labor!$A$5:$A$304,A293)+SUMIFS(Crochet!$AH$5:$AH$84,Crochet!$A$5:$A$84,A293)+SUMIFS(Jewelry!$AJ$5:$AJ$84,Jewelry!$A$5:$A$84,A293)+SUMIFS(Candles!$AJ$5:$AJ$84,Candles!$A$5:$A$84,A293)+SUMIFS(Clothing!$AF$5:$AF$84,Clothing!$A$5:$A$84,A293)+SUMIFS(Woodworking!$AH$5:$AH$84,Woodworking!$A$5:$A$84,A293)+SUMIFS(Digital!$AA$5:$AA$84,Digital!$A$5:$A$84,A293),2))</f>
        <v>0</v>
      </c>
      <c r="AB293" s="20">
        <f>IF(B293="","",ROUND(IF(I293="Budget",PackBudget,IF(I293="Standard",PackStandard,IF(I293="Gift",PackGift,IF(I293="Premium",PackPremium,DefaultPackaging)))),2))</f>
        <v>0</v>
      </c>
      <c r="AC293" s="36">
        <f>IF(B293="","",IF(I293="Budget",PackWeightBudget,IF(I293="Standard",PackWeightStandard,IF(I293="Gift",PackWeightGift,IF(I293="Premium",PackWeightPremium,0)))))</f>
        <v>0</v>
      </c>
      <c r="AD293" s="20">
        <f>IF(B293="","",IFERROR(INDEX(Shipping!$M$5:$M$64,MATCH(J293,Shipping!$L$5:$L$64,0)),DefaultShipping))</f>
        <v>0</v>
      </c>
      <c r="AE293" s="20">
        <f>IF(B293="","",IFERROR(INDEX(Shipping!$F$5:$F$64,MATCH(J293,Shipping!$L$5:$L$64,0)),0))</f>
        <v>0</v>
      </c>
      <c r="AF293" s="36">
        <f>IF(B293="","",IFERROR(INDEX(Shipping!$C$5:$C$64,MATCH(J293,Shipping!$L$5:$L$64,0)),""))</f>
        <v>0</v>
      </c>
      <c r="AG293" s="20">
        <f>IF(B293="","",ROUND(MAX(0,AD293-AE293),2))</f>
        <v>0</v>
      </c>
      <c r="AH293" s="20">
        <f>IF(B293="","",ROUND(T293+Z293+AA293+AB293+AG293,2))</f>
        <v>0</v>
      </c>
      <c r="AI293" s="33">
        <f>IF(B293="","",IFERROR(INDEX(Channels!$S$5:$S$18,MATCH(IF(H293="",DefaultChannel,H293),Channels!$A$5:$A$18,0)),0))</f>
        <v>0</v>
      </c>
      <c r="AJ293" s="42">
        <f>IF(B293="","",IFERROR(INDEX(Channels!$O$5:$O$18,MATCH(IF(H293="",DefaultChannel,H293),Channels!$A$5:$A$18,0)),"No"))</f>
        <v>0</v>
      </c>
      <c r="AK293" s="20">
        <f>IF(B293="","",ROUND(IFERROR(INDEX(Channels!$T$5:$T$18,MATCH(IF(H293="",DefaultChannel,H293),Channels!$A$5:$A$18,0)),0)+IF(AJ293="Yes",AE293*AI293,0),4))</f>
        <v>0</v>
      </c>
      <c r="AL293" s="33">
        <f>IF(B293="","",IF(OverheadMethod="Share of revenue",IF(RevenueTargetMonth&lt;=0,0,OverheadMonthly/RevenueTargetMonth),0))</f>
        <v>0</v>
      </c>
      <c r="AM293" s="20">
        <f>IF(B293="","",IF(OverheadMethod="Per hour worked",ROUND(OverheadPerHour*Y293,2),IF(OR(OverheadMethod="Per unit made",OverheadMethod="Per order"),OverheadPerUnit,0)))</f>
        <v>0</v>
      </c>
      <c r="AN293" s="33">
        <f>IF(B293="","",IF(N293&lt;&gt;"",N293,TargetRetailMargin))</f>
        <v>0</v>
      </c>
      <c r="AO293" s="41">
        <f>IF(B293="","",1-AN293-AI293-AL293)</f>
        <v>0</v>
      </c>
      <c r="AP293" s="20">
        <f>IF(B293="","",IF(AO293&lt;=0,"",(AH293+AM293+AK293)/AO293))</f>
        <v>0</v>
      </c>
      <c r="AQ293" s="20">
        <f>IF(B293="","",IF(AP293="","Check the settings",ROUND(IF(RoundingRule="None",AP293,IF(RoundingRule="Nearest 0.99",MAX(0.99,CEILING(AP293,1)-0.01),IF(RoundingRule="Nearest 0.95",MAX(0.95,CEILING(AP293,1)-0.05),IF(RoundingRule="Nearest 0.50",CEILING(AP293,0.5),IF(RoundingRule="Nearest 1",CEILING(AP293,1),IF(RoundingRule="Nearest 5",CEILING(AP293,5),IF(RoundingRule="Up to whole 1",CEILING(AP293,1),IF(RoundingRule="Up to whole 5",CEILING(AP293,5),ROUND(AP293,2))))))))),2)))</f>
        <v>0</v>
      </c>
      <c r="AR293" s="20">
        <f>IF(B293="","",IF(M293&lt;&gt;"",M293,IF(ISNUMBER(AQ293),AQ293,"")))</f>
        <v>0</v>
      </c>
      <c r="AS293" s="20">
        <f>IF(B293="","",IF(AR293="","",ROUND(AM293+AR293*AL293,2)))</f>
        <v>0</v>
      </c>
      <c r="AT293" s="20">
        <f>IF(B293="","",IF(AR293="","",ROUND(AH293+AS293,2)))</f>
        <v>0</v>
      </c>
      <c r="AU293" s="20">
        <f>IF(B293="","",IF(AR293="","",ROUND(AR293*AI293+AK293,2)))</f>
        <v>0</v>
      </c>
      <c r="AV293" s="20">
        <f>IF(B293="","",IF(AR293="","",ROUND(AR293-AT293-AU293,2)))</f>
        <v>0</v>
      </c>
      <c r="AW293" s="33">
        <f>IF(B293="","",IF(OR(AR293="",AR293=0),"",AV293/AR293))</f>
        <v>0</v>
      </c>
      <c r="AX293" s="33">
        <f>IF(B293="","",IF(OR(AT293="",AT293=0),"",AV293/AT293))</f>
        <v>0</v>
      </c>
      <c r="AY293" s="20">
        <f>IF(B293="","",IF(OR(Y293="",Y293=0,AV293=""),"",ROUND(AV293/Y293,2)))</f>
        <v>0</v>
      </c>
      <c r="AZ293" s="20">
        <f>IF(B293="","",IF(OR(Y293="",Y293=0,AV293=""),"",ROUND((AV293+Z293)/Y293,2)))</f>
        <v>0</v>
      </c>
      <c r="BA293" s="20">
        <f>IF(B293="","",IF(1-AI293-AL293&lt;=0,"",ROUND((AH293+AM293+AK293)/(1-AI293-AL293),2)))</f>
        <v>0</v>
      </c>
      <c r="BB293" s="20">
        <f>IF(B293="","",IF(AT293="","",ROUND(AT293*2,2)))</f>
        <v>0</v>
      </c>
      <c r="BC293" s="20">
        <f>IF(B293="","",IF(AR293="","",ROUND(AR293*(1-WholesaleDiscount),2)))</f>
        <v>0</v>
      </c>
      <c r="BD293" s="20">
        <f>IF(B293="","",IF(BC293="","",ROUND(BC293-AH293-AM293,2)))</f>
        <v>0</v>
      </c>
      <c r="BE293" s="33">
        <f>IF(B293="","",IF(OR(BC293="",BC293=0),"",BD293/BC293))</f>
        <v>0</v>
      </c>
      <c r="BF293" s="20">
        <f>IF(B293="","",IFERROR(ROUND(AVERAGEIFS(Competitors!$F$5:$F$154,Competitors!$A$5:$A$154,A293),2),""))</f>
        <v>0</v>
      </c>
      <c r="BG293" s="33">
        <f>IF(B293="","",IF(OR(BF293="",BF293=0,AR293=""),"",AR293/BF293-1))</f>
        <v>0</v>
      </c>
      <c r="BH293" s="32">
        <f>IF(B293="","",SUMIFS(Sales!$D$5:$D$804,Sales!$C$5:$C$804,A293))</f>
        <v>0</v>
      </c>
      <c r="BI293" s="20">
        <f>IF(B293="","",ROUND(SUMIFS(Sales!$V$5:$V$804,Sales!$C$5:$C$804,A293),2))</f>
        <v>0</v>
      </c>
      <c r="BJ293" s="20">
        <f>IF(B293="","",ROUND(SUMIFS(Sales!$AG$5:$AG$804,Sales!$C$5:$C$804,A293),2))</f>
        <v>0</v>
      </c>
      <c r="BK293" s="33">
        <f>IF(B293="","",IF(OR(BI293="",BI293=0),"",BJ293/BI293))</f>
        <v>0</v>
      </c>
      <c r="BL293" s="17">
        <f>IF(B293="","",IF(SUMPRODUCT(MAX((Sales!$C$5:$C$804=A293)*Sales!$B$5:$B$804))=0,"",SUMPRODUCT(MAX((Sales!$C$5:$C$804=A293)*Sales!$B$5:$B$804))))</f>
        <v>0</v>
      </c>
      <c r="BM293" s="17">
        <f>IF(B293="","",IF(SUMPRODUCT(MAX(('Price History'!$B$5:$B$304=A293)*'Price History'!$A$5:$A$304))=0,IF(P293="","",P293),SUMPRODUCT(MAX(('Price History'!$B$5:$B$304=A293)*'Price History'!$A$5:$A$304))))</f>
        <v>0</v>
      </c>
      <c r="BN293" s="32">
        <f>IF(B293="","",IF(BM293="","",TodayDate-BM293))</f>
        <v>0</v>
      </c>
      <c r="BO293" s="32">
        <f>IF(B293="","",COUNTIFS($AV$5:$AV$304,"&gt;"&amp;AV293)+COUNTIFS($AV$5:AV293,AV293))</f>
        <v>0</v>
      </c>
      <c r="BP293" s="32">
        <f>IF(B293="","",COUNTIFS($AW$5:$AW$304,"&gt;"&amp;AW293)+COUNTIFS($AW$5:AW293,AW293))</f>
        <v>0</v>
      </c>
      <c r="BQ293" s="32">
        <f>IF(B293="","",COUNTIFS($BI$5:$BI$304,"&gt;"&amp;BI293)+COUNTIFS($BI$5:BI293,BI293))</f>
        <v>0</v>
      </c>
      <c r="BR293" s="32">
        <f>IF(B293="","",COUNTIFS($AY$5:$AY$304,"&gt;"&amp;AY293)+COUNTIFS($AY$5:AY293,AY293))</f>
        <v>0</v>
      </c>
      <c r="BS293" s="43">
        <f>IF(B293="","",IF(AH293=0,"Add - no costs entered yet",IF(AR293="","Check - no price yet",IF(AV293&lt;0,"Loss - every sale costs you money",IF(AND(AZ293&lt;&gt;"",AZ293&lt;MinimumWage),"Below - pays under minimum wage",IF(AW293&lt;MarginWarning,"Low margin - re-price it",IF(AND(AF293&lt;&gt;"",K293&lt;&gt;"",K293+AC293&gt;AF293),"Check - too heavy for that postage band",IF(AND(BN293&lt;&gt;"",BN293&gt;PriceReviewDays),"Due - price has not been reviewed",IF(AND(BG293&lt;&gt;"",BG293&gt;0.5),"Check - well above the market","OK")))))))) )</f>
        <v>0</v>
      </c>
    </row>
    <row r="294" spans="1:71">
      <c r="A294" s="38">
        <f>IF(B294="","",ProductPrefix&amp;TEXT(ROW()-4,"0000"))</f>
        <v>0</v>
      </c>
      <c r="S294" s="38">
        <f>IF(B294="","",IF(C294&lt;&gt;"",C294,UPPER(LEFT(IF(D294="","GEN",D294),3))&amp;"-"&amp;TEXT(ROW()-4,"000")))</f>
        <v>0</v>
      </c>
      <c r="T294" s="20">
        <f>IF(B294="","",ROUND(SUMIFS('Material Usage'!$M$5:$M$904,'Material Usage'!$A$5:$A$904,A294)+SUMIFS(Crochet!$AD$5:$AD$84,Crochet!$A$5:$A$84,A294)+SUMIFS(Jewelry!$AF$5:$AF$84,Jewelry!$A$5:$A$84,A294)+SUMIFS(Candles!$AF$5:$AF$84,Candles!$A$5:$A$84,A294)+SUMIFS(Clothing!$AB$5:$AB$84,Clothing!$A$5:$A$84,A294)+SUMIFS(Woodworking!$AC$5:$AC$84,Woodworking!$A$5:$A$84,A294)+SUMIFS(Digital!$X$5:$X$84,Digital!$A$5:$A$84,A294),2))</f>
        <v>0</v>
      </c>
      <c r="U294" s="20">
        <f>IF(B294="","",ROUND(SUMIFS(Labor!$O$5:$O$304,Labor!$A$5:$A$304,A294)+SUMIFS(Crochet!$AG$5:$AG$84,Crochet!$A$5:$A$84,A294)+SUMIFS(Jewelry!$AI$5:$AI$84,Jewelry!$A$5:$A$84,A294)+SUMIFS(Candles!$AI$5:$AI$84,Candles!$A$5:$A$84,A294)+SUMIFS(Clothing!$AE$5:$AE$84,Clothing!$A$5:$A$84,A294)+SUMIFS(Woodworking!$AF$5:$AF$84,Woodworking!$A$5:$A$84,A294)+SUMIFS(Digital!$Z$5:$Z$84,Digital!$A$5:$A$84,A294),2))</f>
        <v>0</v>
      </c>
      <c r="V294" s="36">
        <f>IF(B294="","",ROUND(SUMIFS(Labor!$P$5:$P$304,Labor!$A$5:$A$304,A294)+SUMIFS(Crochet!$AE$5:$AE$84,Crochet!$A$5:$A$84,A294)+SUMIFS(Jewelry!$AG$5:$AG$84,Jewelry!$A$5:$A$84,A294)+SUMIFS(Candles!$AG$5:$AG$84,Candles!$A$5:$A$84,A294)+SUMIFS(Clothing!$AC$5:$AC$84,Clothing!$A$5:$A$84,A294)+SUMIFS(Woodworking!$AD$5:$AD$84,Woodworking!$A$5:$A$84,A294)+SUMIFS(Digital!$Y$5:$Y$84,Digital!$A$5:$A$84,A294),1))</f>
        <v>0</v>
      </c>
      <c r="W294" s="41">
        <f>IF(B294="","",IFERROR(INDEX(DiffTimeFactors,MATCH(G294,DiffNames,0)),1))</f>
        <v>0</v>
      </c>
      <c r="X294" s="36">
        <f>IF(B294="","",ROUND(V294*W294,1))</f>
        <v>0</v>
      </c>
      <c r="Y294" s="41">
        <f>IF(B294="","",ROUND(X294/60,3))</f>
        <v>0</v>
      </c>
      <c r="Z294" s="20">
        <f>IF(B294="","",ROUND(U294*W294,2))</f>
        <v>0</v>
      </c>
      <c r="AA294" s="20">
        <f>IF(B294="","",ROUND(SUMIFS(Labor!$Q$5:$Q$304,Labor!$A$5:$A$304,A294)+SUMIFS(Crochet!$AH$5:$AH$84,Crochet!$A$5:$A$84,A294)+SUMIFS(Jewelry!$AJ$5:$AJ$84,Jewelry!$A$5:$A$84,A294)+SUMIFS(Candles!$AJ$5:$AJ$84,Candles!$A$5:$A$84,A294)+SUMIFS(Clothing!$AF$5:$AF$84,Clothing!$A$5:$A$84,A294)+SUMIFS(Woodworking!$AH$5:$AH$84,Woodworking!$A$5:$A$84,A294)+SUMIFS(Digital!$AA$5:$AA$84,Digital!$A$5:$A$84,A294),2))</f>
        <v>0</v>
      </c>
      <c r="AB294" s="20">
        <f>IF(B294="","",ROUND(IF(I294="Budget",PackBudget,IF(I294="Standard",PackStandard,IF(I294="Gift",PackGift,IF(I294="Premium",PackPremium,DefaultPackaging)))),2))</f>
        <v>0</v>
      </c>
      <c r="AC294" s="36">
        <f>IF(B294="","",IF(I294="Budget",PackWeightBudget,IF(I294="Standard",PackWeightStandard,IF(I294="Gift",PackWeightGift,IF(I294="Premium",PackWeightPremium,0)))))</f>
        <v>0</v>
      </c>
      <c r="AD294" s="20">
        <f>IF(B294="","",IFERROR(INDEX(Shipping!$M$5:$M$64,MATCH(J294,Shipping!$L$5:$L$64,0)),DefaultShipping))</f>
        <v>0</v>
      </c>
      <c r="AE294" s="20">
        <f>IF(B294="","",IFERROR(INDEX(Shipping!$F$5:$F$64,MATCH(J294,Shipping!$L$5:$L$64,0)),0))</f>
        <v>0</v>
      </c>
      <c r="AF294" s="36">
        <f>IF(B294="","",IFERROR(INDEX(Shipping!$C$5:$C$64,MATCH(J294,Shipping!$L$5:$L$64,0)),""))</f>
        <v>0</v>
      </c>
      <c r="AG294" s="20">
        <f>IF(B294="","",ROUND(MAX(0,AD294-AE294),2))</f>
        <v>0</v>
      </c>
      <c r="AH294" s="20">
        <f>IF(B294="","",ROUND(T294+Z294+AA294+AB294+AG294,2))</f>
        <v>0</v>
      </c>
      <c r="AI294" s="33">
        <f>IF(B294="","",IFERROR(INDEX(Channels!$S$5:$S$18,MATCH(IF(H294="",DefaultChannel,H294),Channels!$A$5:$A$18,0)),0))</f>
        <v>0</v>
      </c>
      <c r="AJ294" s="42">
        <f>IF(B294="","",IFERROR(INDEX(Channels!$O$5:$O$18,MATCH(IF(H294="",DefaultChannel,H294),Channels!$A$5:$A$18,0)),"No"))</f>
        <v>0</v>
      </c>
      <c r="AK294" s="20">
        <f>IF(B294="","",ROUND(IFERROR(INDEX(Channels!$T$5:$T$18,MATCH(IF(H294="",DefaultChannel,H294),Channels!$A$5:$A$18,0)),0)+IF(AJ294="Yes",AE294*AI294,0),4))</f>
        <v>0</v>
      </c>
      <c r="AL294" s="33">
        <f>IF(B294="","",IF(OverheadMethod="Share of revenue",IF(RevenueTargetMonth&lt;=0,0,OverheadMonthly/RevenueTargetMonth),0))</f>
        <v>0</v>
      </c>
      <c r="AM294" s="20">
        <f>IF(B294="","",IF(OverheadMethod="Per hour worked",ROUND(OverheadPerHour*Y294,2),IF(OR(OverheadMethod="Per unit made",OverheadMethod="Per order"),OverheadPerUnit,0)))</f>
        <v>0</v>
      </c>
      <c r="AN294" s="33">
        <f>IF(B294="","",IF(N294&lt;&gt;"",N294,TargetRetailMargin))</f>
        <v>0</v>
      </c>
      <c r="AO294" s="41">
        <f>IF(B294="","",1-AN294-AI294-AL294)</f>
        <v>0</v>
      </c>
      <c r="AP294" s="20">
        <f>IF(B294="","",IF(AO294&lt;=0,"",(AH294+AM294+AK294)/AO294))</f>
        <v>0</v>
      </c>
      <c r="AQ294" s="20">
        <f>IF(B294="","",IF(AP294="","Check the settings",ROUND(IF(RoundingRule="None",AP294,IF(RoundingRule="Nearest 0.99",MAX(0.99,CEILING(AP294,1)-0.01),IF(RoundingRule="Nearest 0.95",MAX(0.95,CEILING(AP294,1)-0.05),IF(RoundingRule="Nearest 0.50",CEILING(AP294,0.5),IF(RoundingRule="Nearest 1",CEILING(AP294,1),IF(RoundingRule="Nearest 5",CEILING(AP294,5),IF(RoundingRule="Up to whole 1",CEILING(AP294,1),IF(RoundingRule="Up to whole 5",CEILING(AP294,5),ROUND(AP294,2))))))))),2)))</f>
        <v>0</v>
      </c>
      <c r="AR294" s="20">
        <f>IF(B294="","",IF(M294&lt;&gt;"",M294,IF(ISNUMBER(AQ294),AQ294,"")))</f>
        <v>0</v>
      </c>
      <c r="AS294" s="20">
        <f>IF(B294="","",IF(AR294="","",ROUND(AM294+AR294*AL294,2)))</f>
        <v>0</v>
      </c>
      <c r="AT294" s="20">
        <f>IF(B294="","",IF(AR294="","",ROUND(AH294+AS294,2)))</f>
        <v>0</v>
      </c>
      <c r="AU294" s="20">
        <f>IF(B294="","",IF(AR294="","",ROUND(AR294*AI294+AK294,2)))</f>
        <v>0</v>
      </c>
      <c r="AV294" s="20">
        <f>IF(B294="","",IF(AR294="","",ROUND(AR294-AT294-AU294,2)))</f>
        <v>0</v>
      </c>
      <c r="AW294" s="33">
        <f>IF(B294="","",IF(OR(AR294="",AR294=0),"",AV294/AR294))</f>
        <v>0</v>
      </c>
      <c r="AX294" s="33">
        <f>IF(B294="","",IF(OR(AT294="",AT294=0),"",AV294/AT294))</f>
        <v>0</v>
      </c>
      <c r="AY294" s="20">
        <f>IF(B294="","",IF(OR(Y294="",Y294=0,AV294=""),"",ROUND(AV294/Y294,2)))</f>
        <v>0</v>
      </c>
      <c r="AZ294" s="20">
        <f>IF(B294="","",IF(OR(Y294="",Y294=0,AV294=""),"",ROUND((AV294+Z294)/Y294,2)))</f>
        <v>0</v>
      </c>
      <c r="BA294" s="20">
        <f>IF(B294="","",IF(1-AI294-AL294&lt;=0,"",ROUND((AH294+AM294+AK294)/(1-AI294-AL294),2)))</f>
        <v>0</v>
      </c>
      <c r="BB294" s="20">
        <f>IF(B294="","",IF(AT294="","",ROUND(AT294*2,2)))</f>
        <v>0</v>
      </c>
      <c r="BC294" s="20">
        <f>IF(B294="","",IF(AR294="","",ROUND(AR294*(1-WholesaleDiscount),2)))</f>
        <v>0</v>
      </c>
      <c r="BD294" s="20">
        <f>IF(B294="","",IF(BC294="","",ROUND(BC294-AH294-AM294,2)))</f>
        <v>0</v>
      </c>
      <c r="BE294" s="33">
        <f>IF(B294="","",IF(OR(BC294="",BC294=0),"",BD294/BC294))</f>
        <v>0</v>
      </c>
      <c r="BF294" s="20">
        <f>IF(B294="","",IFERROR(ROUND(AVERAGEIFS(Competitors!$F$5:$F$154,Competitors!$A$5:$A$154,A294),2),""))</f>
        <v>0</v>
      </c>
      <c r="BG294" s="33">
        <f>IF(B294="","",IF(OR(BF294="",BF294=0,AR294=""),"",AR294/BF294-1))</f>
        <v>0</v>
      </c>
      <c r="BH294" s="32">
        <f>IF(B294="","",SUMIFS(Sales!$D$5:$D$804,Sales!$C$5:$C$804,A294))</f>
        <v>0</v>
      </c>
      <c r="BI294" s="20">
        <f>IF(B294="","",ROUND(SUMIFS(Sales!$V$5:$V$804,Sales!$C$5:$C$804,A294),2))</f>
        <v>0</v>
      </c>
      <c r="BJ294" s="20">
        <f>IF(B294="","",ROUND(SUMIFS(Sales!$AG$5:$AG$804,Sales!$C$5:$C$804,A294),2))</f>
        <v>0</v>
      </c>
      <c r="BK294" s="33">
        <f>IF(B294="","",IF(OR(BI294="",BI294=0),"",BJ294/BI294))</f>
        <v>0</v>
      </c>
      <c r="BL294" s="17">
        <f>IF(B294="","",IF(SUMPRODUCT(MAX((Sales!$C$5:$C$804=A294)*Sales!$B$5:$B$804))=0,"",SUMPRODUCT(MAX((Sales!$C$5:$C$804=A294)*Sales!$B$5:$B$804))))</f>
        <v>0</v>
      </c>
      <c r="BM294" s="17">
        <f>IF(B294="","",IF(SUMPRODUCT(MAX(('Price History'!$B$5:$B$304=A294)*'Price History'!$A$5:$A$304))=0,IF(P294="","",P294),SUMPRODUCT(MAX(('Price History'!$B$5:$B$304=A294)*'Price History'!$A$5:$A$304))))</f>
        <v>0</v>
      </c>
      <c r="BN294" s="32">
        <f>IF(B294="","",IF(BM294="","",TodayDate-BM294))</f>
        <v>0</v>
      </c>
      <c r="BO294" s="32">
        <f>IF(B294="","",COUNTIFS($AV$5:$AV$304,"&gt;"&amp;AV294)+COUNTIFS($AV$5:AV294,AV294))</f>
        <v>0</v>
      </c>
      <c r="BP294" s="32">
        <f>IF(B294="","",COUNTIFS($AW$5:$AW$304,"&gt;"&amp;AW294)+COUNTIFS($AW$5:AW294,AW294))</f>
        <v>0</v>
      </c>
      <c r="BQ294" s="32">
        <f>IF(B294="","",COUNTIFS($BI$5:$BI$304,"&gt;"&amp;BI294)+COUNTIFS($BI$5:BI294,BI294))</f>
        <v>0</v>
      </c>
      <c r="BR294" s="32">
        <f>IF(B294="","",COUNTIFS($AY$5:$AY$304,"&gt;"&amp;AY294)+COUNTIFS($AY$5:AY294,AY294))</f>
        <v>0</v>
      </c>
      <c r="BS294" s="43">
        <f>IF(B294="","",IF(AH294=0,"Add - no costs entered yet",IF(AR294="","Check - no price yet",IF(AV294&lt;0,"Loss - every sale costs you money",IF(AND(AZ294&lt;&gt;"",AZ294&lt;MinimumWage),"Below - pays under minimum wage",IF(AW294&lt;MarginWarning,"Low margin - re-price it",IF(AND(AF294&lt;&gt;"",K294&lt;&gt;"",K294+AC294&gt;AF294),"Check - too heavy for that postage band",IF(AND(BN294&lt;&gt;"",BN294&gt;PriceReviewDays),"Due - price has not been reviewed",IF(AND(BG294&lt;&gt;"",BG294&gt;0.5),"Check - well above the market","OK")))))))) )</f>
        <v>0</v>
      </c>
    </row>
    <row r="295" spans="1:71">
      <c r="A295" s="38">
        <f>IF(B295="","",ProductPrefix&amp;TEXT(ROW()-4,"0000"))</f>
        <v>0</v>
      </c>
      <c r="S295" s="38">
        <f>IF(B295="","",IF(C295&lt;&gt;"",C295,UPPER(LEFT(IF(D295="","GEN",D295),3))&amp;"-"&amp;TEXT(ROW()-4,"000")))</f>
        <v>0</v>
      </c>
      <c r="T295" s="20">
        <f>IF(B295="","",ROUND(SUMIFS('Material Usage'!$M$5:$M$904,'Material Usage'!$A$5:$A$904,A295)+SUMIFS(Crochet!$AD$5:$AD$84,Crochet!$A$5:$A$84,A295)+SUMIFS(Jewelry!$AF$5:$AF$84,Jewelry!$A$5:$A$84,A295)+SUMIFS(Candles!$AF$5:$AF$84,Candles!$A$5:$A$84,A295)+SUMIFS(Clothing!$AB$5:$AB$84,Clothing!$A$5:$A$84,A295)+SUMIFS(Woodworking!$AC$5:$AC$84,Woodworking!$A$5:$A$84,A295)+SUMIFS(Digital!$X$5:$X$84,Digital!$A$5:$A$84,A295),2))</f>
        <v>0</v>
      </c>
      <c r="U295" s="20">
        <f>IF(B295="","",ROUND(SUMIFS(Labor!$O$5:$O$304,Labor!$A$5:$A$304,A295)+SUMIFS(Crochet!$AG$5:$AG$84,Crochet!$A$5:$A$84,A295)+SUMIFS(Jewelry!$AI$5:$AI$84,Jewelry!$A$5:$A$84,A295)+SUMIFS(Candles!$AI$5:$AI$84,Candles!$A$5:$A$84,A295)+SUMIFS(Clothing!$AE$5:$AE$84,Clothing!$A$5:$A$84,A295)+SUMIFS(Woodworking!$AF$5:$AF$84,Woodworking!$A$5:$A$84,A295)+SUMIFS(Digital!$Z$5:$Z$84,Digital!$A$5:$A$84,A295),2))</f>
        <v>0</v>
      </c>
      <c r="V295" s="36">
        <f>IF(B295="","",ROUND(SUMIFS(Labor!$P$5:$P$304,Labor!$A$5:$A$304,A295)+SUMIFS(Crochet!$AE$5:$AE$84,Crochet!$A$5:$A$84,A295)+SUMIFS(Jewelry!$AG$5:$AG$84,Jewelry!$A$5:$A$84,A295)+SUMIFS(Candles!$AG$5:$AG$84,Candles!$A$5:$A$84,A295)+SUMIFS(Clothing!$AC$5:$AC$84,Clothing!$A$5:$A$84,A295)+SUMIFS(Woodworking!$AD$5:$AD$84,Woodworking!$A$5:$A$84,A295)+SUMIFS(Digital!$Y$5:$Y$84,Digital!$A$5:$A$84,A295),1))</f>
        <v>0</v>
      </c>
      <c r="W295" s="41">
        <f>IF(B295="","",IFERROR(INDEX(DiffTimeFactors,MATCH(G295,DiffNames,0)),1))</f>
        <v>0</v>
      </c>
      <c r="X295" s="36">
        <f>IF(B295="","",ROUND(V295*W295,1))</f>
        <v>0</v>
      </c>
      <c r="Y295" s="41">
        <f>IF(B295="","",ROUND(X295/60,3))</f>
        <v>0</v>
      </c>
      <c r="Z295" s="20">
        <f>IF(B295="","",ROUND(U295*W295,2))</f>
        <v>0</v>
      </c>
      <c r="AA295" s="20">
        <f>IF(B295="","",ROUND(SUMIFS(Labor!$Q$5:$Q$304,Labor!$A$5:$A$304,A295)+SUMIFS(Crochet!$AH$5:$AH$84,Crochet!$A$5:$A$84,A295)+SUMIFS(Jewelry!$AJ$5:$AJ$84,Jewelry!$A$5:$A$84,A295)+SUMIFS(Candles!$AJ$5:$AJ$84,Candles!$A$5:$A$84,A295)+SUMIFS(Clothing!$AF$5:$AF$84,Clothing!$A$5:$A$84,A295)+SUMIFS(Woodworking!$AH$5:$AH$84,Woodworking!$A$5:$A$84,A295)+SUMIFS(Digital!$AA$5:$AA$84,Digital!$A$5:$A$84,A295),2))</f>
        <v>0</v>
      </c>
      <c r="AB295" s="20">
        <f>IF(B295="","",ROUND(IF(I295="Budget",PackBudget,IF(I295="Standard",PackStandard,IF(I295="Gift",PackGift,IF(I295="Premium",PackPremium,DefaultPackaging)))),2))</f>
        <v>0</v>
      </c>
      <c r="AC295" s="36">
        <f>IF(B295="","",IF(I295="Budget",PackWeightBudget,IF(I295="Standard",PackWeightStandard,IF(I295="Gift",PackWeightGift,IF(I295="Premium",PackWeightPremium,0)))))</f>
        <v>0</v>
      </c>
      <c r="AD295" s="20">
        <f>IF(B295="","",IFERROR(INDEX(Shipping!$M$5:$M$64,MATCH(J295,Shipping!$L$5:$L$64,0)),DefaultShipping))</f>
        <v>0</v>
      </c>
      <c r="AE295" s="20">
        <f>IF(B295="","",IFERROR(INDEX(Shipping!$F$5:$F$64,MATCH(J295,Shipping!$L$5:$L$64,0)),0))</f>
        <v>0</v>
      </c>
      <c r="AF295" s="36">
        <f>IF(B295="","",IFERROR(INDEX(Shipping!$C$5:$C$64,MATCH(J295,Shipping!$L$5:$L$64,0)),""))</f>
        <v>0</v>
      </c>
      <c r="AG295" s="20">
        <f>IF(B295="","",ROUND(MAX(0,AD295-AE295),2))</f>
        <v>0</v>
      </c>
      <c r="AH295" s="20">
        <f>IF(B295="","",ROUND(T295+Z295+AA295+AB295+AG295,2))</f>
        <v>0</v>
      </c>
      <c r="AI295" s="33">
        <f>IF(B295="","",IFERROR(INDEX(Channels!$S$5:$S$18,MATCH(IF(H295="",DefaultChannel,H295),Channels!$A$5:$A$18,0)),0))</f>
        <v>0</v>
      </c>
      <c r="AJ295" s="42">
        <f>IF(B295="","",IFERROR(INDEX(Channels!$O$5:$O$18,MATCH(IF(H295="",DefaultChannel,H295),Channels!$A$5:$A$18,0)),"No"))</f>
        <v>0</v>
      </c>
      <c r="AK295" s="20">
        <f>IF(B295="","",ROUND(IFERROR(INDEX(Channels!$T$5:$T$18,MATCH(IF(H295="",DefaultChannel,H295),Channels!$A$5:$A$18,0)),0)+IF(AJ295="Yes",AE295*AI295,0),4))</f>
        <v>0</v>
      </c>
      <c r="AL295" s="33">
        <f>IF(B295="","",IF(OverheadMethod="Share of revenue",IF(RevenueTargetMonth&lt;=0,0,OverheadMonthly/RevenueTargetMonth),0))</f>
        <v>0</v>
      </c>
      <c r="AM295" s="20">
        <f>IF(B295="","",IF(OverheadMethod="Per hour worked",ROUND(OverheadPerHour*Y295,2),IF(OR(OverheadMethod="Per unit made",OverheadMethod="Per order"),OverheadPerUnit,0)))</f>
        <v>0</v>
      </c>
      <c r="AN295" s="33">
        <f>IF(B295="","",IF(N295&lt;&gt;"",N295,TargetRetailMargin))</f>
        <v>0</v>
      </c>
      <c r="AO295" s="41">
        <f>IF(B295="","",1-AN295-AI295-AL295)</f>
        <v>0</v>
      </c>
      <c r="AP295" s="20">
        <f>IF(B295="","",IF(AO295&lt;=0,"",(AH295+AM295+AK295)/AO295))</f>
        <v>0</v>
      </c>
      <c r="AQ295" s="20">
        <f>IF(B295="","",IF(AP295="","Check the settings",ROUND(IF(RoundingRule="None",AP295,IF(RoundingRule="Nearest 0.99",MAX(0.99,CEILING(AP295,1)-0.01),IF(RoundingRule="Nearest 0.95",MAX(0.95,CEILING(AP295,1)-0.05),IF(RoundingRule="Nearest 0.50",CEILING(AP295,0.5),IF(RoundingRule="Nearest 1",CEILING(AP295,1),IF(RoundingRule="Nearest 5",CEILING(AP295,5),IF(RoundingRule="Up to whole 1",CEILING(AP295,1),IF(RoundingRule="Up to whole 5",CEILING(AP295,5),ROUND(AP295,2))))))))),2)))</f>
        <v>0</v>
      </c>
      <c r="AR295" s="20">
        <f>IF(B295="","",IF(M295&lt;&gt;"",M295,IF(ISNUMBER(AQ295),AQ295,"")))</f>
        <v>0</v>
      </c>
      <c r="AS295" s="20">
        <f>IF(B295="","",IF(AR295="","",ROUND(AM295+AR295*AL295,2)))</f>
        <v>0</v>
      </c>
      <c r="AT295" s="20">
        <f>IF(B295="","",IF(AR295="","",ROUND(AH295+AS295,2)))</f>
        <v>0</v>
      </c>
      <c r="AU295" s="20">
        <f>IF(B295="","",IF(AR295="","",ROUND(AR295*AI295+AK295,2)))</f>
        <v>0</v>
      </c>
      <c r="AV295" s="20">
        <f>IF(B295="","",IF(AR295="","",ROUND(AR295-AT295-AU295,2)))</f>
        <v>0</v>
      </c>
      <c r="AW295" s="33">
        <f>IF(B295="","",IF(OR(AR295="",AR295=0),"",AV295/AR295))</f>
        <v>0</v>
      </c>
      <c r="AX295" s="33">
        <f>IF(B295="","",IF(OR(AT295="",AT295=0),"",AV295/AT295))</f>
        <v>0</v>
      </c>
      <c r="AY295" s="20">
        <f>IF(B295="","",IF(OR(Y295="",Y295=0,AV295=""),"",ROUND(AV295/Y295,2)))</f>
        <v>0</v>
      </c>
      <c r="AZ295" s="20">
        <f>IF(B295="","",IF(OR(Y295="",Y295=0,AV295=""),"",ROUND((AV295+Z295)/Y295,2)))</f>
        <v>0</v>
      </c>
      <c r="BA295" s="20">
        <f>IF(B295="","",IF(1-AI295-AL295&lt;=0,"",ROUND((AH295+AM295+AK295)/(1-AI295-AL295),2)))</f>
        <v>0</v>
      </c>
      <c r="BB295" s="20">
        <f>IF(B295="","",IF(AT295="","",ROUND(AT295*2,2)))</f>
        <v>0</v>
      </c>
      <c r="BC295" s="20">
        <f>IF(B295="","",IF(AR295="","",ROUND(AR295*(1-WholesaleDiscount),2)))</f>
        <v>0</v>
      </c>
      <c r="BD295" s="20">
        <f>IF(B295="","",IF(BC295="","",ROUND(BC295-AH295-AM295,2)))</f>
        <v>0</v>
      </c>
      <c r="BE295" s="33">
        <f>IF(B295="","",IF(OR(BC295="",BC295=0),"",BD295/BC295))</f>
        <v>0</v>
      </c>
      <c r="BF295" s="20">
        <f>IF(B295="","",IFERROR(ROUND(AVERAGEIFS(Competitors!$F$5:$F$154,Competitors!$A$5:$A$154,A295),2),""))</f>
        <v>0</v>
      </c>
      <c r="BG295" s="33">
        <f>IF(B295="","",IF(OR(BF295="",BF295=0,AR295=""),"",AR295/BF295-1))</f>
        <v>0</v>
      </c>
      <c r="BH295" s="32">
        <f>IF(B295="","",SUMIFS(Sales!$D$5:$D$804,Sales!$C$5:$C$804,A295))</f>
        <v>0</v>
      </c>
      <c r="BI295" s="20">
        <f>IF(B295="","",ROUND(SUMIFS(Sales!$V$5:$V$804,Sales!$C$5:$C$804,A295),2))</f>
        <v>0</v>
      </c>
      <c r="BJ295" s="20">
        <f>IF(B295="","",ROUND(SUMIFS(Sales!$AG$5:$AG$804,Sales!$C$5:$C$804,A295),2))</f>
        <v>0</v>
      </c>
      <c r="BK295" s="33">
        <f>IF(B295="","",IF(OR(BI295="",BI295=0),"",BJ295/BI295))</f>
        <v>0</v>
      </c>
      <c r="BL295" s="17">
        <f>IF(B295="","",IF(SUMPRODUCT(MAX((Sales!$C$5:$C$804=A295)*Sales!$B$5:$B$804))=0,"",SUMPRODUCT(MAX((Sales!$C$5:$C$804=A295)*Sales!$B$5:$B$804))))</f>
        <v>0</v>
      </c>
      <c r="BM295" s="17">
        <f>IF(B295="","",IF(SUMPRODUCT(MAX(('Price History'!$B$5:$B$304=A295)*'Price History'!$A$5:$A$304))=0,IF(P295="","",P295),SUMPRODUCT(MAX(('Price History'!$B$5:$B$304=A295)*'Price History'!$A$5:$A$304))))</f>
        <v>0</v>
      </c>
      <c r="BN295" s="32">
        <f>IF(B295="","",IF(BM295="","",TodayDate-BM295))</f>
        <v>0</v>
      </c>
      <c r="BO295" s="32">
        <f>IF(B295="","",COUNTIFS($AV$5:$AV$304,"&gt;"&amp;AV295)+COUNTIFS($AV$5:AV295,AV295))</f>
        <v>0</v>
      </c>
      <c r="BP295" s="32">
        <f>IF(B295="","",COUNTIFS($AW$5:$AW$304,"&gt;"&amp;AW295)+COUNTIFS($AW$5:AW295,AW295))</f>
        <v>0</v>
      </c>
      <c r="BQ295" s="32">
        <f>IF(B295="","",COUNTIFS($BI$5:$BI$304,"&gt;"&amp;BI295)+COUNTIFS($BI$5:BI295,BI295))</f>
        <v>0</v>
      </c>
      <c r="BR295" s="32">
        <f>IF(B295="","",COUNTIFS($AY$5:$AY$304,"&gt;"&amp;AY295)+COUNTIFS($AY$5:AY295,AY295))</f>
        <v>0</v>
      </c>
      <c r="BS295" s="43">
        <f>IF(B295="","",IF(AH295=0,"Add - no costs entered yet",IF(AR295="","Check - no price yet",IF(AV295&lt;0,"Loss - every sale costs you money",IF(AND(AZ295&lt;&gt;"",AZ295&lt;MinimumWage),"Below - pays under minimum wage",IF(AW295&lt;MarginWarning,"Low margin - re-price it",IF(AND(AF295&lt;&gt;"",K295&lt;&gt;"",K295+AC295&gt;AF295),"Check - too heavy for that postage band",IF(AND(BN295&lt;&gt;"",BN295&gt;PriceReviewDays),"Due - price has not been reviewed",IF(AND(BG295&lt;&gt;"",BG295&gt;0.5),"Check - well above the market","OK")))))))) )</f>
        <v>0</v>
      </c>
    </row>
    <row r="296" spans="1:71">
      <c r="A296" s="38">
        <f>IF(B296="","",ProductPrefix&amp;TEXT(ROW()-4,"0000"))</f>
        <v>0</v>
      </c>
      <c r="S296" s="38">
        <f>IF(B296="","",IF(C296&lt;&gt;"",C296,UPPER(LEFT(IF(D296="","GEN",D296),3))&amp;"-"&amp;TEXT(ROW()-4,"000")))</f>
        <v>0</v>
      </c>
      <c r="T296" s="20">
        <f>IF(B296="","",ROUND(SUMIFS('Material Usage'!$M$5:$M$904,'Material Usage'!$A$5:$A$904,A296)+SUMIFS(Crochet!$AD$5:$AD$84,Crochet!$A$5:$A$84,A296)+SUMIFS(Jewelry!$AF$5:$AF$84,Jewelry!$A$5:$A$84,A296)+SUMIFS(Candles!$AF$5:$AF$84,Candles!$A$5:$A$84,A296)+SUMIFS(Clothing!$AB$5:$AB$84,Clothing!$A$5:$A$84,A296)+SUMIFS(Woodworking!$AC$5:$AC$84,Woodworking!$A$5:$A$84,A296)+SUMIFS(Digital!$X$5:$X$84,Digital!$A$5:$A$84,A296),2))</f>
        <v>0</v>
      </c>
      <c r="U296" s="20">
        <f>IF(B296="","",ROUND(SUMIFS(Labor!$O$5:$O$304,Labor!$A$5:$A$304,A296)+SUMIFS(Crochet!$AG$5:$AG$84,Crochet!$A$5:$A$84,A296)+SUMIFS(Jewelry!$AI$5:$AI$84,Jewelry!$A$5:$A$84,A296)+SUMIFS(Candles!$AI$5:$AI$84,Candles!$A$5:$A$84,A296)+SUMIFS(Clothing!$AE$5:$AE$84,Clothing!$A$5:$A$84,A296)+SUMIFS(Woodworking!$AF$5:$AF$84,Woodworking!$A$5:$A$84,A296)+SUMIFS(Digital!$Z$5:$Z$84,Digital!$A$5:$A$84,A296),2))</f>
        <v>0</v>
      </c>
      <c r="V296" s="36">
        <f>IF(B296="","",ROUND(SUMIFS(Labor!$P$5:$P$304,Labor!$A$5:$A$304,A296)+SUMIFS(Crochet!$AE$5:$AE$84,Crochet!$A$5:$A$84,A296)+SUMIFS(Jewelry!$AG$5:$AG$84,Jewelry!$A$5:$A$84,A296)+SUMIFS(Candles!$AG$5:$AG$84,Candles!$A$5:$A$84,A296)+SUMIFS(Clothing!$AC$5:$AC$84,Clothing!$A$5:$A$84,A296)+SUMIFS(Woodworking!$AD$5:$AD$84,Woodworking!$A$5:$A$84,A296)+SUMIFS(Digital!$Y$5:$Y$84,Digital!$A$5:$A$84,A296),1))</f>
        <v>0</v>
      </c>
      <c r="W296" s="41">
        <f>IF(B296="","",IFERROR(INDEX(DiffTimeFactors,MATCH(G296,DiffNames,0)),1))</f>
        <v>0</v>
      </c>
      <c r="X296" s="36">
        <f>IF(B296="","",ROUND(V296*W296,1))</f>
        <v>0</v>
      </c>
      <c r="Y296" s="41">
        <f>IF(B296="","",ROUND(X296/60,3))</f>
        <v>0</v>
      </c>
      <c r="Z296" s="20">
        <f>IF(B296="","",ROUND(U296*W296,2))</f>
        <v>0</v>
      </c>
      <c r="AA296" s="20">
        <f>IF(B296="","",ROUND(SUMIFS(Labor!$Q$5:$Q$304,Labor!$A$5:$A$304,A296)+SUMIFS(Crochet!$AH$5:$AH$84,Crochet!$A$5:$A$84,A296)+SUMIFS(Jewelry!$AJ$5:$AJ$84,Jewelry!$A$5:$A$84,A296)+SUMIFS(Candles!$AJ$5:$AJ$84,Candles!$A$5:$A$84,A296)+SUMIFS(Clothing!$AF$5:$AF$84,Clothing!$A$5:$A$84,A296)+SUMIFS(Woodworking!$AH$5:$AH$84,Woodworking!$A$5:$A$84,A296)+SUMIFS(Digital!$AA$5:$AA$84,Digital!$A$5:$A$84,A296),2))</f>
        <v>0</v>
      </c>
      <c r="AB296" s="20">
        <f>IF(B296="","",ROUND(IF(I296="Budget",PackBudget,IF(I296="Standard",PackStandard,IF(I296="Gift",PackGift,IF(I296="Premium",PackPremium,DefaultPackaging)))),2))</f>
        <v>0</v>
      </c>
      <c r="AC296" s="36">
        <f>IF(B296="","",IF(I296="Budget",PackWeightBudget,IF(I296="Standard",PackWeightStandard,IF(I296="Gift",PackWeightGift,IF(I296="Premium",PackWeightPremium,0)))))</f>
        <v>0</v>
      </c>
      <c r="AD296" s="20">
        <f>IF(B296="","",IFERROR(INDEX(Shipping!$M$5:$M$64,MATCH(J296,Shipping!$L$5:$L$64,0)),DefaultShipping))</f>
        <v>0</v>
      </c>
      <c r="AE296" s="20">
        <f>IF(B296="","",IFERROR(INDEX(Shipping!$F$5:$F$64,MATCH(J296,Shipping!$L$5:$L$64,0)),0))</f>
        <v>0</v>
      </c>
      <c r="AF296" s="36">
        <f>IF(B296="","",IFERROR(INDEX(Shipping!$C$5:$C$64,MATCH(J296,Shipping!$L$5:$L$64,0)),""))</f>
        <v>0</v>
      </c>
      <c r="AG296" s="20">
        <f>IF(B296="","",ROUND(MAX(0,AD296-AE296),2))</f>
        <v>0</v>
      </c>
      <c r="AH296" s="20">
        <f>IF(B296="","",ROUND(T296+Z296+AA296+AB296+AG296,2))</f>
        <v>0</v>
      </c>
      <c r="AI296" s="33">
        <f>IF(B296="","",IFERROR(INDEX(Channels!$S$5:$S$18,MATCH(IF(H296="",DefaultChannel,H296),Channels!$A$5:$A$18,0)),0))</f>
        <v>0</v>
      </c>
      <c r="AJ296" s="42">
        <f>IF(B296="","",IFERROR(INDEX(Channels!$O$5:$O$18,MATCH(IF(H296="",DefaultChannel,H296),Channels!$A$5:$A$18,0)),"No"))</f>
        <v>0</v>
      </c>
      <c r="AK296" s="20">
        <f>IF(B296="","",ROUND(IFERROR(INDEX(Channels!$T$5:$T$18,MATCH(IF(H296="",DefaultChannel,H296),Channels!$A$5:$A$18,0)),0)+IF(AJ296="Yes",AE296*AI296,0),4))</f>
        <v>0</v>
      </c>
      <c r="AL296" s="33">
        <f>IF(B296="","",IF(OverheadMethod="Share of revenue",IF(RevenueTargetMonth&lt;=0,0,OverheadMonthly/RevenueTargetMonth),0))</f>
        <v>0</v>
      </c>
      <c r="AM296" s="20">
        <f>IF(B296="","",IF(OverheadMethod="Per hour worked",ROUND(OverheadPerHour*Y296,2),IF(OR(OverheadMethod="Per unit made",OverheadMethod="Per order"),OverheadPerUnit,0)))</f>
        <v>0</v>
      </c>
      <c r="AN296" s="33">
        <f>IF(B296="","",IF(N296&lt;&gt;"",N296,TargetRetailMargin))</f>
        <v>0</v>
      </c>
      <c r="AO296" s="41">
        <f>IF(B296="","",1-AN296-AI296-AL296)</f>
        <v>0</v>
      </c>
      <c r="AP296" s="20">
        <f>IF(B296="","",IF(AO296&lt;=0,"",(AH296+AM296+AK296)/AO296))</f>
        <v>0</v>
      </c>
      <c r="AQ296" s="20">
        <f>IF(B296="","",IF(AP296="","Check the settings",ROUND(IF(RoundingRule="None",AP296,IF(RoundingRule="Nearest 0.99",MAX(0.99,CEILING(AP296,1)-0.01),IF(RoundingRule="Nearest 0.95",MAX(0.95,CEILING(AP296,1)-0.05),IF(RoundingRule="Nearest 0.50",CEILING(AP296,0.5),IF(RoundingRule="Nearest 1",CEILING(AP296,1),IF(RoundingRule="Nearest 5",CEILING(AP296,5),IF(RoundingRule="Up to whole 1",CEILING(AP296,1),IF(RoundingRule="Up to whole 5",CEILING(AP296,5),ROUND(AP296,2))))))))),2)))</f>
        <v>0</v>
      </c>
      <c r="AR296" s="20">
        <f>IF(B296="","",IF(M296&lt;&gt;"",M296,IF(ISNUMBER(AQ296),AQ296,"")))</f>
        <v>0</v>
      </c>
      <c r="AS296" s="20">
        <f>IF(B296="","",IF(AR296="","",ROUND(AM296+AR296*AL296,2)))</f>
        <v>0</v>
      </c>
      <c r="AT296" s="20">
        <f>IF(B296="","",IF(AR296="","",ROUND(AH296+AS296,2)))</f>
        <v>0</v>
      </c>
      <c r="AU296" s="20">
        <f>IF(B296="","",IF(AR296="","",ROUND(AR296*AI296+AK296,2)))</f>
        <v>0</v>
      </c>
      <c r="AV296" s="20">
        <f>IF(B296="","",IF(AR296="","",ROUND(AR296-AT296-AU296,2)))</f>
        <v>0</v>
      </c>
      <c r="AW296" s="33">
        <f>IF(B296="","",IF(OR(AR296="",AR296=0),"",AV296/AR296))</f>
        <v>0</v>
      </c>
      <c r="AX296" s="33">
        <f>IF(B296="","",IF(OR(AT296="",AT296=0),"",AV296/AT296))</f>
        <v>0</v>
      </c>
      <c r="AY296" s="20">
        <f>IF(B296="","",IF(OR(Y296="",Y296=0,AV296=""),"",ROUND(AV296/Y296,2)))</f>
        <v>0</v>
      </c>
      <c r="AZ296" s="20">
        <f>IF(B296="","",IF(OR(Y296="",Y296=0,AV296=""),"",ROUND((AV296+Z296)/Y296,2)))</f>
        <v>0</v>
      </c>
      <c r="BA296" s="20">
        <f>IF(B296="","",IF(1-AI296-AL296&lt;=0,"",ROUND((AH296+AM296+AK296)/(1-AI296-AL296),2)))</f>
        <v>0</v>
      </c>
      <c r="BB296" s="20">
        <f>IF(B296="","",IF(AT296="","",ROUND(AT296*2,2)))</f>
        <v>0</v>
      </c>
      <c r="BC296" s="20">
        <f>IF(B296="","",IF(AR296="","",ROUND(AR296*(1-WholesaleDiscount),2)))</f>
        <v>0</v>
      </c>
      <c r="BD296" s="20">
        <f>IF(B296="","",IF(BC296="","",ROUND(BC296-AH296-AM296,2)))</f>
        <v>0</v>
      </c>
      <c r="BE296" s="33">
        <f>IF(B296="","",IF(OR(BC296="",BC296=0),"",BD296/BC296))</f>
        <v>0</v>
      </c>
      <c r="BF296" s="20">
        <f>IF(B296="","",IFERROR(ROUND(AVERAGEIFS(Competitors!$F$5:$F$154,Competitors!$A$5:$A$154,A296),2),""))</f>
        <v>0</v>
      </c>
      <c r="BG296" s="33">
        <f>IF(B296="","",IF(OR(BF296="",BF296=0,AR296=""),"",AR296/BF296-1))</f>
        <v>0</v>
      </c>
      <c r="BH296" s="32">
        <f>IF(B296="","",SUMIFS(Sales!$D$5:$D$804,Sales!$C$5:$C$804,A296))</f>
        <v>0</v>
      </c>
      <c r="BI296" s="20">
        <f>IF(B296="","",ROUND(SUMIFS(Sales!$V$5:$V$804,Sales!$C$5:$C$804,A296),2))</f>
        <v>0</v>
      </c>
      <c r="BJ296" s="20">
        <f>IF(B296="","",ROUND(SUMIFS(Sales!$AG$5:$AG$804,Sales!$C$5:$C$804,A296),2))</f>
        <v>0</v>
      </c>
      <c r="BK296" s="33">
        <f>IF(B296="","",IF(OR(BI296="",BI296=0),"",BJ296/BI296))</f>
        <v>0</v>
      </c>
      <c r="BL296" s="17">
        <f>IF(B296="","",IF(SUMPRODUCT(MAX((Sales!$C$5:$C$804=A296)*Sales!$B$5:$B$804))=0,"",SUMPRODUCT(MAX((Sales!$C$5:$C$804=A296)*Sales!$B$5:$B$804))))</f>
        <v>0</v>
      </c>
      <c r="BM296" s="17">
        <f>IF(B296="","",IF(SUMPRODUCT(MAX(('Price History'!$B$5:$B$304=A296)*'Price History'!$A$5:$A$304))=0,IF(P296="","",P296),SUMPRODUCT(MAX(('Price History'!$B$5:$B$304=A296)*'Price History'!$A$5:$A$304))))</f>
        <v>0</v>
      </c>
      <c r="BN296" s="32">
        <f>IF(B296="","",IF(BM296="","",TodayDate-BM296))</f>
        <v>0</v>
      </c>
      <c r="BO296" s="32">
        <f>IF(B296="","",COUNTIFS($AV$5:$AV$304,"&gt;"&amp;AV296)+COUNTIFS($AV$5:AV296,AV296))</f>
        <v>0</v>
      </c>
      <c r="BP296" s="32">
        <f>IF(B296="","",COUNTIFS($AW$5:$AW$304,"&gt;"&amp;AW296)+COUNTIFS($AW$5:AW296,AW296))</f>
        <v>0</v>
      </c>
      <c r="BQ296" s="32">
        <f>IF(B296="","",COUNTIFS($BI$5:$BI$304,"&gt;"&amp;BI296)+COUNTIFS($BI$5:BI296,BI296))</f>
        <v>0</v>
      </c>
      <c r="BR296" s="32">
        <f>IF(B296="","",COUNTIFS($AY$5:$AY$304,"&gt;"&amp;AY296)+COUNTIFS($AY$5:AY296,AY296))</f>
        <v>0</v>
      </c>
      <c r="BS296" s="43">
        <f>IF(B296="","",IF(AH296=0,"Add - no costs entered yet",IF(AR296="","Check - no price yet",IF(AV296&lt;0,"Loss - every sale costs you money",IF(AND(AZ296&lt;&gt;"",AZ296&lt;MinimumWage),"Below - pays under minimum wage",IF(AW296&lt;MarginWarning,"Low margin - re-price it",IF(AND(AF296&lt;&gt;"",K296&lt;&gt;"",K296+AC296&gt;AF296),"Check - too heavy for that postage band",IF(AND(BN296&lt;&gt;"",BN296&gt;PriceReviewDays),"Due - price has not been reviewed",IF(AND(BG296&lt;&gt;"",BG296&gt;0.5),"Check - well above the market","OK")))))))) )</f>
        <v>0</v>
      </c>
    </row>
    <row r="297" spans="1:71">
      <c r="A297" s="38">
        <f>IF(B297="","",ProductPrefix&amp;TEXT(ROW()-4,"0000"))</f>
        <v>0</v>
      </c>
      <c r="S297" s="38">
        <f>IF(B297="","",IF(C297&lt;&gt;"",C297,UPPER(LEFT(IF(D297="","GEN",D297),3))&amp;"-"&amp;TEXT(ROW()-4,"000")))</f>
        <v>0</v>
      </c>
      <c r="T297" s="20">
        <f>IF(B297="","",ROUND(SUMIFS('Material Usage'!$M$5:$M$904,'Material Usage'!$A$5:$A$904,A297)+SUMIFS(Crochet!$AD$5:$AD$84,Crochet!$A$5:$A$84,A297)+SUMIFS(Jewelry!$AF$5:$AF$84,Jewelry!$A$5:$A$84,A297)+SUMIFS(Candles!$AF$5:$AF$84,Candles!$A$5:$A$84,A297)+SUMIFS(Clothing!$AB$5:$AB$84,Clothing!$A$5:$A$84,A297)+SUMIFS(Woodworking!$AC$5:$AC$84,Woodworking!$A$5:$A$84,A297)+SUMIFS(Digital!$X$5:$X$84,Digital!$A$5:$A$84,A297),2))</f>
        <v>0</v>
      </c>
      <c r="U297" s="20">
        <f>IF(B297="","",ROUND(SUMIFS(Labor!$O$5:$O$304,Labor!$A$5:$A$304,A297)+SUMIFS(Crochet!$AG$5:$AG$84,Crochet!$A$5:$A$84,A297)+SUMIFS(Jewelry!$AI$5:$AI$84,Jewelry!$A$5:$A$84,A297)+SUMIFS(Candles!$AI$5:$AI$84,Candles!$A$5:$A$84,A297)+SUMIFS(Clothing!$AE$5:$AE$84,Clothing!$A$5:$A$84,A297)+SUMIFS(Woodworking!$AF$5:$AF$84,Woodworking!$A$5:$A$84,A297)+SUMIFS(Digital!$Z$5:$Z$84,Digital!$A$5:$A$84,A297),2))</f>
        <v>0</v>
      </c>
      <c r="V297" s="36">
        <f>IF(B297="","",ROUND(SUMIFS(Labor!$P$5:$P$304,Labor!$A$5:$A$304,A297)+SUMIFS(Crochet!$AE$5:$AE$84,Crochet!$A$5:$A$84,A297)+SUMIFS(Jewelry!$AG$5:$AG$84,Jewelry!$A$5:$A$84,A297)+SUMIFS(Candles!$AG$5:$AG$84,Candles!$A$5:$A$84,A297)+SUMIFS(Clothing!$AC$5:$AC$84,Clothing!$A$5:$A$84,A297)+SUMIFS(Woodworking!$AD$5:$AD$84,Woodworking!$A$5:$A$84,A297)+SUMIFS(Digital!$Y$5:$Y$84,Digital!$A$5:$A$84,A297),1))</f>
        <v>0</v>
      </c>
      <c r="W297" s="41">
        <f>IF(B297="","",IFERROR(INDEX(DiffTimeFactors,MATCH(G297,DiffNames,0)),1))</f>
        <v>0</v>
      </c>
      <c r="X297" s="36">
        <f>IF(B297="","",ROUND(V297*W297,1))</f>
        <v>0</v>
      </c>
      <c r="Y297" s="41">
        <f>IF(B297="","",ROUND(X297/60,3))</f>
        <v>0</v>
      </c>
      <c r="Z297" s="20">
        <f>IF(B297="","",ROUND(U297*W297,2))</f>
        <v>0</v>
      </c>
      <c r="AA297" s="20">
        <f>IF(B297="","",ROUND(SUMIFS(Labor!$Q$5:$Q$304,Labor!$A$5:$A$304,A297)+SUMIFS(Crochet!$AH$5:$AH$84,Crochet!$A$5:$A$84,A297)+SUMIFS(Jewelry!$AJ$5:$AJ$84,Jewelry!$A$5:$A$84,A297)+SUMIFS(Candles!$AJ$5:$AJ$84,Candles!$A$5:$A$84,A297)+SUMIFS(Clothing!$AF$5:$AF$84,Clothing!$A$5:$A$84,A297)+SUMIFS(Woodworking!$AH$5:$AH$84,Woodworking!$A$5:$A$84,A297)+SUMIFS(Digital!$AA$5:$AA$84,Digital!$A$5:$A$84,A297),2))</f>
        <v>0</v>
      </c>
      <c r="AB297" s="20">
        <f>IF(B297="","",ROUND(IF(I297="Budget",PackBudget,IF(I297="Standard",PackStandard,IF(I297="Gift",PackGift,IF(I297="Premium",PackPremium,DefaultPackaging)))),2))</f>
        <v>0</v>
      </c>
      <c r="AC297" s="36">
        <f>IF(B297="","",IF(I297="Budget",PackWeightBudget,IF(I297="Standard",PackWeightStandard,IF(I297="Gift",PackWeightGift,IF(I297="Premium",PackWeightPremium,0)))))</f>
        <v>0</v>
      </c>
      <c r="AD297" s="20">
        <f>IF(B297="","",IFERROR(INDEX(Shipping!$M$5:$M$64,MATCH(J297,Shipping!$L$5:$L$64,0)),DefaultShipping))</f>
        <v>0</v>
      </c>
      <c r="AE297" s="20">
        <f>IF(B297="","",IFERROR(INDEX(Shipping!$F$5:$F$64,MATCH(J297,Shipping!$L$5:$L$64,0)),0))</f>
        <v>0</v>
      </c>
      <c r="AF297" s="36">
        <f>IF(B297="","",IFERROR(INDEX(Shipping!$C$5:$C$64,MATCH(J297,Shipping!$L$5:$L$64,0)),""))</f>
        <v>0</v>
      </c>
      <c r="AG297" s="20">
        <f>IF(B297="","",ROUND(MAX(0,AD297-AE297),2))</f>
        <v>0</v>
      </c>
      <c r="AH297" s="20">
        <f>IF(B297="","",ROUND(T297+Z297+AA297+AB297+AG297,2))</f>
        <v>0</v>
      </c>
      <c r="AI297" s="33">
        <f>IF(B297="","",IFERROR(INDEX(Channels!$S$5:$S$18,MATCH(IF(H297="",DefaultChannel,H297),Channels!$A$5:$A$18,0)),0))</f>
        <v>0</v>
      </c>
      <c r="AJ297" s="42">
        <f>IF(B297="","",IFERROR(INDEX(Channels!$O$5:$O$18,MATCH(IF(H297="",DefaultChannel,H297),Channels!$A$5:$A$18,0)),"No"))</f>
        <v>0</v>
      </c>
      <c r="AK297" s="20">
        <f>IF(B297="","",ROUND(IFERROR(INDEX(Channels!$T$5:$T$18,MATCH(IF(H297="",DefaultChannel,H297),Channels!$A$5:$A$18,0)),0)+IF(AJ297="Yes",AE297*AI297,0),4))</f>
        <v>0</v>
      </c>
      <c r="AL297" s="33">
        <f>IF(B297="","",IF(OverheadMethod="Share of revenue",IF(RevenueTargetMonth&lt;=0,0,OverheadMonthly/RevenueTargetMonth),0))</f>
        <v>0</v>
      </c>
      <c r="AM297" s="20">
        <f>IF(B297="","",IF(OverheadMethod="Per hour worked",ROUND(OverheadPerHour*Y297,2),IF(OR(OverheadMethod="Per unit made",OverheadMethod="Per order"),OverheadPerUnit,0)))</f>
        <v>0</v>
      </c>
      <c r="AN297" s="33">
        <f>IF(B297="","",IF(N297&lt;&gt;"",N297,TargetRetailMargin))</f>
        <v>0</v>
      </c>
      <c r="AO297" s="41">
        <f>IF(B297="","",1-AN297-AI297-AL297)</f>
        <v>0</v>
      </c>
      <c r="AP297" s="20">
        <f>IF(B297="","",IF(AO297&lt;=0,"",(AH297+AM297+AK297)/AO297))</f>
        <v>0</v>
      </c>
      <c r="AQ297" s="20">
        <f>IF(B297="","",IF(AP297="","Check the settings",ROUND(IF(RoundingRule="None",AP297,IF(RoundingRule="Nearest 0.99",MAX(0.99,CEILING(AP297,1)-0.01),IF(RoundingRule="Nearest 0.95",MAX(0.95,CEILING(AP297,1)-0.05),IF(RoundingRule="Nearest 0.50",CEILING(AP297,0.5),IF(RoundingRule="Nearest 1",CEILING(AP297,1),IF(RoundingRule="Nearest 5",CEILING(AP297,5),IF(RoundingRule="Up to whole 1",CEILING(AP297,1),IF(RoundingRule="Up to whole 5",CEILING(AP297,5),ROUND(AP297,2))))))))),2)))</f>
        <v>0</v>
      </c>
      <c r="AR297" s="20">
        <f>IF(B297="","",IF(M297&lt;&gt;"",M297,IF(ISNUMBER(AQ297),AQ297,"")))</f>
        <v>0</v>
      </c>
      <c r="AS297" s="20">
        <f>IF(B297="","",IF(AR297="","",ROUND(AM297+AR297*AL297,2)))</f>
        <v>0</v>
      </c>
      <c r="AT297" s="20">
        <f>IF(B297="","",IF(AR297="","",ROUND(AH297+AS297,2)))</f>
        <v>0</v>
      </c>
      <c r="AU297" s="20">
        <f>IF(B297="","",IF(AR297="","",ROUND(AR297*AI297+AK297,2)))</f>
        <v>0</v>
      </c>
      <c r="AV297" s="20">
        <f>IF(B297="","",IF(AR297="","",ROUND(AR297-AT297-AU297,2)))</f>
        <v>0</v>
      </c>
      <c r="AW297" s="33">
        <f>IF(B297="","",IF(OR(AR297="",AR297=0),"",AV297/AR297))</f>
        <v>0</v>
      </c>
      <c r="AX297" s="33">
        <f>IF(B297="","",IF(OR(AT297="",AT297=0),"",AV297/AT297))</f>
        <v>0</v>
      </c>
      <c r="AY297" s="20">
        <f>IF(B297="","",IF(OR(Y297="",Y297=0,AV297=""),"",ROUND(AV297/Y297,2)))</f>
        <v>0</v>
      </c>
      <c r="AZ297" s="20">
        <f>IF(B297="","",IF(OR(Y297="",Y297=0,AV297=""),"",ROUND((AV297+Z297)/Y297,2)))</f>
        <v>0</v>
      </c>
      <c r="BA297" s="20">
        <f>IF(B297="","",IF(1-AI297-AL297&lt;=0,"",ROUND((AH297+AM297+AK297)/(1-AI297-AL297),2)))</f>
        <v>0</v>
      </c>
      <c r="BB297" s="20">
        <f>IF(B297="","",IF(AT297="","",ROUND(AT297*2,2)))</f>
        <v>0</v>
      </c>
      <c r="BC297" s="20">
        <f>IF(B297="","",IF(AR297="","",ROUND(AR297*(1-WholesaleDiscount),2)))</f>
        <v>0</v>
      </c>
      <c r="BD297" s="20">
        <f>IF(B297="","",IF(BC297="","",ROUND(BC297-AH297-AM297,2)))</f>
        <v>0</v>
      </c>
      <c r="BE297" s="33">
        <f>IF(B297="","",IF(OR(BC297="",BC297=0),"",BD297/BC297))</f>
        <v>0</v>
      </c>
      <c r="BF297" s="20">
        <f>IF(B297="","",IFERROR(ROUND(AVERAGEIFS(Competitors!$F$5:$F$154,Competitors!$A$5:$A$154,A297),2),""))</f>
        <v>0</v>
      </c>
      <c r="BG297" s="33">
        <f>IF(B297="","",IF(OR(BF297="",BF297=0,AR297=""),"",AR297/BF297-1))</f>
        <v>0</v>
      </c>
      <c r="BH297" s="32">
        <f>IF(B297="","",SUMIFS(Sales!$D$5:$D$804,Sales!$C$5:$C$804,A297))</f>
        <v>0</v>
      </c>
      <c r="BI297" s="20">
        <f>IF(B297="","",ROUND(SUMIFS(Sales!$V$5:$V$804,Sales!$C$5:$C$804,A297),2))</f>
        <v>0</v>
      </c>
      <c r="BJ297" s="20">
        <f>IF(B297="","",ROUND(SUMIFS(Sales!$AG$5:$AG$804,Sales!$C$5:$C$804,A297),2))</f>
        <v>0</v>
      </c>
      <c r="BK297" s="33">
        <f>IF(B297="","",IF(OR(BI297="",BI297=0),"",BJ297/BI297))</f>
        <v>0</v>
      </c>
      <c r="BL297" s="17">
        <f>IF(B297="","",IF(SUMPRODUCT(MAX((Sales!$C$5:$C$804=A297)*Sales!$B$5:$B$804))=0,"",SUMPRODUCT(MAX((Sales!$C$5:$C$804=A297)*Sales!$B$5:$B$804))))</f>
        <v>0</v>
      </c>
      <c r="BM297" s="17">
        <f>IF(B297="","",IF(SUMPRODUCT(MAX(('Price History'!$B$5:$B$304=A297)*'Price History'!$A$5:$A$304))=0,IF(P297="","",P297),SUMPRODUCT(MAX(('Price History'!$B$5:$B$304=A297)*'Price History'!$A$5:$A$304))))</f>
        <v>0</v>
      </c>
      <c r="BN297" s="32">
        <f>IF(B297="","",IF(BM297="","",TodayDate-BM297))</f>
        <v>0</v>
      </c>
      <c r="BO297" s="32">
        <f>IF(B297="","",COUNTIFS($AV$5:$AV$304,"&gt;"&amp;AV297)+COUNTIFS($AV$5:AV297,AV297))</f>
        <v>0</v>
      </c>
      <c r="BP297" s="32">
        <f>IF(B297="","",COUNTIFS($AW$5:$AW$304,"&gt;"&amp;AW297)+COUNTIFS($AW$5:AW297,AW297))</f>
        <v>0</v>
      </c>
      <c r="BQ297" s="32">
        <f>IF(B297="","",COUNTIFS($BI$5:$BI$304,"&gt;"&amp;BI297)+COUNTIFS($BI$5:BI297,BI297))</f>
        <v>0</v>
      </c>
      <c r="BR297" s="32">
        <f>IF(B297="","",COUNTIFS($AY$5:$AY$304,"&gt;"&amp;AY297)+COUNTIFS($AY$5:AY297,AY297))</f>
        <v>0</v>
      </c>
      <c r="BS297" s="43">
        <f>IF(B297="","",IF(AH297=0,"Add - no costs entered yet",IF(AR297="","Check - no price yet",IF(AV297&lt;0,"Loss - every sale costs you money",IF(AND(AZ297&lt;&gt;"",AZ297&lt;MinimumWage),"Below - pays under minimum wage",IF(AW297&lt;MarginWarning,"Low margin - re-price it",IF(AND(AF297&lt;&gt;"",K297&lt;&gt;"",K297+AC297&gt;AF297),"Check - too heavy for that postage band",IF(AND(BN297&lt;&gt;"",BN297&gt;PriceReviewDays),"Due - price has not been reviewed",IF(AND(BG297&lt;&gt;"",BG297&gt;0.5),"Check - well above the market","OK")))))))) )</f>
        <v>0</v>
      </c>
    </row>
    <row r="298" spans="1:71">
      <c r="A298" s="38">
        <f>IF(B298="","",ProductPrefix&amp;TEXT(ROW()-4,"0000"))</f>
        <v>0</v>
      </c>
      <c r="S298" s="38">
        <f>IF(B298="","",IF(C298&lt;&gt;"",C298,UPPER(LEFT(IF(D298="","GEN",D298),3))&amp;"-"&amp;TEXT(ROW()-4,"000")))</f>
        <v>0</v>
      </c>
      <c r="T298" s="20">
        <f>IF(B298="","",ROUND(SUMIFS('Material Usage'!$M$5:$M$904,'Material Usage'!$A$5:$A$904,A298)+SUMIFS(Crochet!$AD$5:$AD$84,Crochet!$A$5:$A$84,A298)+SUMIFS(Jewelry!$AF$5:$AF$84,Jewelry!$A$5:$A$84,A298)+SUMIFS(Candles!$AF$5:$AF$84,Candles!$A$5:$A$84,A298)+SUMIFS(Clothing!$AB$5:$AB$84,Clothing!$A$5:$A$84,A298)+SUMIFS(Woodworking!$AC$5:$AC$84,Woodworking!$A$5:$A$84,A298)+SUMIFS(Digital!$X$5:$X$84,Digital!$A$5:$A$84,A298),2))</f>
        <v>0</v>
      </c>
      <c r="U298" s="20">
        <f>IF(B298="","",ROUND(SUMIFS(Labor!$O$5:$O$304,Labor!$A$5:$A$304,A298)+SUMIFS(Crochet!$AG$5:$AG$84,Crochet!$A$5:$A$84,A298)+SUMIFS(Jewelry!$AI$5:$AI$84,Jewelry!$A$5:$A$84,A298)+SUMIFS(Candles!$AI$5:$AI$84,Candles!$A$5:$A$84,A298)+SUMIFS(Clothing!$AE$5:$AE$84,Clothing!$A$5:$A$84,A298)+SUMIFS(Woodworking!$AF$5:$AF$84,Woodworking!$A$5:$A$84,A298)+SUMIFS(Digital!$Z$5:$Z$84,Digital!$A$5:$A$84,A298),2))</f>
        <v>0</v>
      </c>
      <c r="V298" s="36">
        <f>IF(B298="","",ROUND(SUMIFS(Labor!$P$5:$P$304,Labor!$A$5:$A$304,A298)+SUMIFS(Crochet!$AE$5:$AE$84,Crochet!$A$5:$A$84,A298)+SUMIFS(Jewelry!$AG$5:$AG$84,Jewelry!$A$5:$A$84,A298)+SUMIFS(Candles!$AG$5:$AG$84,Candles!$A$5:$A$84,A298)+SUMIFS(Clothing!$AC$5:$AC$84,Clothing!$A$5:$A$84,A298)+SUMIFS(Woodworking!$AD$5:$AD$84,Woodworking!$A$5:$A$84,A298)+SUMIFS(Digital!$Y$5:$Y$84,Digital!$A$5:$A$84,A298),1))</f>
        <v>0</v>
      </c>
      <c r="W298" s="41">
        <f>IF(B298="","",IFERROR(INDEX(DiffTimeFactors,MATCH(G298,DiffNames,0)),1))</f>
        <v>0</v>
      </c>
      <c r="X298" s="36">
        <f>IF(B298="","",ROUND(V298*W298,1))</f>
        <v>0</v>
      </c>
      <c r="Y298" s="41">
        <f>IF(B298="","",ROUND(X298/60,3))</f>
        <v>0</v>
      </c>
      <c r="Z298" s="20">
        <f>IF(B298="","",ROUND(U298*W298,2))</f>
        <v>0</v>
      </c>
      <c r="AA298" s="20">
        <f>IF(B298="","",ROUND(SUMIFS(Labor!$Q$5:$Q$304,Labor!$A$5:$A$304,A298)+SUMIFS(Crochet!$AH$5:$AH$84,Crochet!$A$5:$A$84,A298)+SUMIFS(Jewelry!$AJ$5:$AJ$84,Jewelry!$A$5:$A$84,A298)+SUMIFS(Candles!$AJ$5:$AJ$84,Candles!$A$5:$A$84,A298)+SUMIFS(Clothing!$AF$5:$AF$84,Clothing!$A$5:$A$84,A298)+SUMIFS(Woodworking!$AH$5:$AH$84,Woodworking!$A$5:$A$84,A298)+SUMIFS(Digital!$AA$5:$AA$84,Digital!$A$5:$A$84,A298),2))</f>
        <v>0</v>
      </c>
      <c r="AB298" s="20">
        <f>IF(B298="","",ROUND(IF(I298="Budget",PackBudget,IF(I298="Standard",PackStandard,IF(I298="Gift",PackGift,IF(I298="Premium",PackPremium,DefaultPackaging)))),2))</f>
        <v>0</v>
      </c>
      <c r="AC298" s="36">
        <f>IF(B298="","",IF(I298="Budget",PackWeightBudget,IF(I298="Standard",PackWeightStandard,IF(I298="Gift",PackWeightGift,IF(I298="Premium",PackWeightPremium,0)))))</f>
        <v>0</v>
      </c>
      <c r="AD298" s="20">
        <f>IF(B298="","",IFERROR(INDEX(Shipping!$M$5:$M$64,MATCH(J298,Shipping!$L$5:$L$64,0)),DefaultShipping))</f>
        <v>0</v>
      </c>
      <c r="AE298" s="20">
        <f>IF(B298="","",IFERROR(INDEX(Shipping!$F$5:$F$64,MATCH(J298,Shipping!$L$5:$L$64,0)),0))</f>
        <v>0</v>
      </c>
      <c r="AF298" s="36">
        <f>IF(B298="","",IFERROR(INDEX(Shipping!$C$5:$C$64,MATCH(J298,Shipping!$L$5:$L$64,0)),""))</f>
        <v>0</v>
      </c>
      <c r="AG298" s="20">
        <f>IF(B298="","",ROUND(MAX(0,AD298-AE298),2))</f>
        <v>0</v>
      </c>
      <c r="AH298" s="20">
        <f>IF(B298="","",ROUND(T298+Z298+AA298+AB298+AG298,2))</f>
        <v>0</v>
      </c>
      <c r="AI298" s="33">
        <f>IF(B298="","",IFERROR(INDEX(Channels!$S$5:$S$18,MATCH(IF(H298="",DefaultChannel,H298),Channels!$A$5:$A$18,0)),0))</f>
        <v>0</v>
      </c>
      <c r="AJ298" s="42">
        <f>IF(B298="","",IFERROR(INDEX(Channels!$O$5:$O$18,MATCH(IF(H298="",DefaultChannel,H298),Channels!$A$5:$A$18,0)),"No"))</f>
        <v>0</v>
      </c>
      <c r="AK298" s="20">
        <f>IF(B298="","",ROUND(IFERROR(INDEX(Channels!$T$5:$T$18,MATCH(IF(H298="",DefaultChannel,H298),Channels!$A$5:$A$18,0)),0)+IF(AJ298="Yes",AE298*AI298,0),4))</f>
        <v>0</v>
      </c>
      <c r="AL298" s="33">
        <f>IF(B298="","",IF(OverheadMethod="Share of revenue",IF(RevenueTargetMonth&lt;=0,0,OverheadMonthly/RevenueTargetMonth),0))</f>
        <v>0</v>
      </c>
      <c r="AM298" s="20">
        <f>IF(B298="","",IF(OverheadMethod="Per hour worked",ROUND(OverheadPerHour*Y298,2),IF(OR(OverheadMethod="Per unit made",OverheadMethod="Per order"),OverheadPerUnit,0)))</f>
        <v>0</v>
      </c>
      <c r="AN298" s="33">
        <f>IF(B298="","",IF(N298&lt;&gt;"",N298,TargetRetailMargin))</f>
        <v>0</v>
      </c>
      <c r="AO298" s="41">
        <f>IF(B298="","",1-AN298-AI298-AL298)</f>
        <v>0</v>
      </c>
      <c r="AP298" s="20">
        <f>IF(B298="","",IF(AO298&lt;=0,"",(AH298+AM298+AK298)/AO298))</f>
        <v>0</v>
      </c>
      <c r="AQ298" s="20">
        <f>IF(B298="","",IF(AP298="","Check the settings",ROUND(IF(RoundingRule="None",AP298,IF(RoundingRule="Nearest 0.99",MAX(0.99,CEILING(AP298,1)-0.01),IF(RoundingRule="Nearest 0.95",MAX(0.95,CEILING(AP298,1)-0.05),IF(RoundingRule="Nearest 0.50",CEILING(AP298,0.5),IF(RoundingRule="Nearest 1",CEILING(AP298,1),IF(RoundingRule="Nearest 5",CEILING(AP298,5),IF(RoundingRule="Up to whole 1",CEILING(AP298,1),IF(RoundingRule="Up to whole 5",CEILING(AP298,5),ROUND(AP298,2))))))))),2)))</f>
        <v>0</v>
      </c>
      <c r="AR298" s="20">
        <f>IF(B298="","",IF(M298&lt;&gt;"",M298,IF(ISNUMBER(AQ298),AQ298,"")))</f>
        <v>0</v>
      </c>
      <c r="AS298" s="20">
        <f>IF(B298="","",IF(AR298="","",ROUND(AM298+AR298*AL298,2)))</f>
        <v>0</v>
      </c>
      <c r="AT298" s="20">
        <f>IF(B298="","",IF(AR298="","",ROUND(AH298+AS298,2)))</f>
        <v>0</v>
      </c>
      <c r="AU298" s="20">
        <f>IF(B298="","",IF(AR298="","",ROUND(AR298*AI298+AK298,2)))</f>
        <v>0</v>
      </c>
      <c r="AV298" s="20">
        <f>IF(B298="","",IF(AR298="","",ROUND(AR298-AT298-AU298,2)))</f>
        <v>0</v>
      </c>
      <c r="AW298" s="33">
        <f>IF(B298="","",IF(OR(AR298="",AR298=0),"",AV298/AR298))</f>
        <v>0</v>
      </c>
      <c r="AX298" s="33">
        <f>IF(B298="","",IF(OR(AT298="",AT298=0),"",AV298/AT298))</f>
        <v>0</v>
      </c>
      <c r="AY298" s="20">
        <f>IF(B298="","",IF(OR(Y298="",Y298=0,AV298=""),"",ROUND(AV298/Y298,2)))</f>
        <v>0</v>
      </c>
      <c r="AZ298" s="20">
        <f>IF(B298="","",IF(OR(Y298="",Y298=0,AV298=""),"",ROUND((AV298+Z298)/Y298,2)))</f>
        <v>0</v>
      </c>
      <c r="BA298" s="20">
        <f>IF(B298="","",IF(1-AI298-AL298&lt;=0,"",ROUND((AH298+AM298+AK298)/(1-AI298-AL298),2)))</f>
        <v>0</v>
      </c>
      <c r="BB298" s="20">
        <f>IF(B298="","",IF(AT298="","",ROUND(AT298*2,2)))</f>
        <v>0</v>
      </c>
      <c r="BC298" s="20">
        <f>IF(B298="","",IF(AR298="","",ROUND(AR298*(1-WholesaleDiscount),2)))</f>
        <v>0</v>
      </c>
      <c r="BD298" s="20">
        <f>IF(B298="","",IF(BC298="","",ROUND(BC298-AH298-AM298,2)))</f>
        <v>0</v>
      </c>
      <c r="BE298" s="33">
        <f>IF(B298="","",IF(OR(BC298="",BC298=0),"",BD298/BC298))</f>
        <v>0</v>
      </c>
      <c r="BF298" s="20">
        <f>IF(B298="","",IFERROR(ROUND(AVERAGEIFS(Competitors!$F$5:$F$154,Competitors!$A$5:$A$154,A298),2),""))</f>
        <v>0</v>
      </c>
      <c r="BG298" s="33">
        <f>IF(B298="","",IF(OR(BF298="",BF298=0,AR298=""),"",AR298/BF298-1))</f>
        <v>0</v>
      </c>
      <c r="BH298" s="32">
        <f>IF(B298="","",SUMIFS(Sales!$D$5:$D$804,Sales!$C$5:$C$804,A298))</f>
        <v>0</v>
      </c>
      <c r="BI298" s="20">
        <f>IF(B298="","",ROUND(SUMIFS(Sales!$V$5:$V$804,Sales!$C$5:$C$804,A298),2))</f>
        <v>0</v>
      </c>
      <c r="BJ298" s="20">
        <f>IF(B298="","",ROUND(SUMIFS(Sales!$AG$5:$AG$804,Sales!$C$5:$C$804,A298),2))</f>
        <v>0</v>
      </c>
      <c r="BK298" s="33">
        <f>IF(B298="","",IF(OR(BI298="",BI298=0),"",BJ298/BI298))</f>
        <v>0</v>
      </c>
      <c r="BL298" s="17">
        <f>IF(B298="","",IF(SUMPRODUCT(MAX((Sales!$C$5:$C$804=A298)*Sales!$B$5:$B$804))=0,"",SUMPRODUCT(MAX((Sales!$C$5:$C$804=A298)*Sales!$B$5:$B$804))))</f>
        <v>0</v>
      </c>
      <c r="BM298" s="17">
        <f>IF(B298="","",IF(SUMPRODUCT(MAX(('Price History'!$B$5:$B$304=A298)*'Price History'!$A$5:$A$304))=0,IF(P298="","",P298),SUMPRODUCT(MAX(('Price History'!$B$5:$B$304=A298)*'Price History'!$A$5:$A$304))))</f>
        <v>0</v>
      </c>
      <c r="BN298" s="32">
        <f>IF(B298="","",IF(BM298="","",TodayDate-BM298))</f>
        <v>0</v>
      </c>
      <c r="BO298" s="32">
        <f>IF(B298="","",COUNTIFS($AV$5:$AV$304,"&gt;"&amp;AV298)+COUNTIFS($AV$5:AV298,AV298))</f>
        <v>0</v>
      </c>
      <c r="BP298" s="32">
        <f>IF(B298="","",COUNTIFS($AW$5:$AW$304,"&gt;"&amp;AW298)+COUNTIFS($AW$5:AW298,AW298))</f>
        <v>0</v>
      </c>
      <c r="BQ298" s="32">
        <f>IF(B298="","",COUNTIFS($BI$5:$BI$304,"&gt;"&amp;BI298)+COUNTIFS($BI$5:BI298,BI298))</f>
        <v>0</v>
      </c>
      <c r="BR298" s="32">
        <f>IF(B298="","",COUNTIFS($AY$5:$AY$304,"&gt;"&amp;AY298)+COUNTIFS($AY$5:AY298,AY298))</f>
        <v>0</v>
      </c>
      <c r="BS298" s="43">
        <f>IF(B298="","",IF(AH298=0,"Add - no costs entered yet",IF(AR298="","Check - no price yet",IF(AV298&lt;0,"Loss - every sale costs you money",IF(AND(AZ298&lt;&gt;"",AZ298&lt;MinimumWage),"Below - pays under minimum wage",IF(AW298&lt;MarginWarning,"Low margin - re-price it",IF(AND(AF298&lt;&gt;"",K298&lt;&gt;"",K298+AC298&gt;AF298),"Check - too heavy for that postage band",IF(AND(BN298&lt;&gt;"",BN298&gt;PriceReviewDays),"Due - price has not been reviewed",IF(AND(BG298&lt;&gt;"",BG298&gt;0.5),"Check - well above the market","OK")))))))) )</f>
        <v>0</v>
      </c>
    </row>
    <row r="299" spans="1:71">
      <c r="A299" s="38">
        <f>IF(B299="","",ProductPrefix&amp;TEXT(ROW()-4,"0000"))</f>
        <v>0</v>
      </c>
      <c r="S299" s="38">
        <f>IF(B299="","",IF(C299&lt;&gt;"",C299,UPPER(LEFT(IF(D299="","GEN",D299),3))&amp;"-"&amp;TEXT(ROW()-4,"000")))</f>
        <v>0</v>
      </c>
      <c r="T299" s="20">
        <f>IF(B299="","",ROUND(SUMIFS('Material Usage'!$M$5:$M$904,'Material Usage'!$A$5:$A$904,A299)+SUMIFS(Crochet!$AD$5:$AD$84,Crochet!$A$5:$A$84,A299)+SUMIFS(Jewelry!$AF$5:$AF$84,Jewelry!$A$5:$A$84,A299)+SUMIFS(Candles!$AF$5:$AF$84,Candles!$A$5:$A$84,A299)+SUMIFS(Clothing!$AB$5:$AB$84,Clothing!$A$5:$A$84,A299)+SUMIFS(Woodworking!$AC$5:$AC$84,Woodworking!$A$5:$A$84,A299)+SUMIFS(Digital!$X$5:$X$84,Digital!$A$5:$A$84,A299),2))</f>
        <v>0</v>
      </c>
      <c r="U299" s="20">
        <f>IF(B299="","",ROUND(SUMIFS(Labor!$O$5:$O$304,Labor!$A$5:$A$304,A299)+SUMIFS(Crochet!$AG$5:$AG$84,Crochet!$A$5:$A$84,A299)+SUMIFS(Jewelry!$AI$5:$AI$84,Jewelry!$A$5:$A$84,A299)+SUMIFS(Candles!$AI$5:$AI$84,Candles!$A$5:$A$84,A299)+SUMIFS(Clothing!$AE$5:$AE$84,Clothing!$A$5:$A$84,A299)+SUMIFS(Woodworking!$AF$5:$AF$84,Woodworking!$A$5:$A$84,A299)+SUMIFS(Digital!$Z$5:$Z$84,Digital!$A$5:$A$84,A299),2))</f>
        <v>0</v>
      </c>
      <c r="V299" s="36">
        <f>IF(B299="","",ROUND(SUMIFS(Labor!$P$5:$P$304,Labor!$A$5:$A$304,A299)+SUMIFS(Crochet!$AE$5:$AE$84,Crochet!$A$5:$A$84,A299)+SUMIFS(Jewelry!$AG$5:$AG$84,Jewelry!$A$5:$A$84,A299)+SUMIFS(Candles!$AG$5:$AG$84,Candles!$A$5:$A$84,A299)+SUMIFS(Clothing!$AC$5:$AC$84,Clothing!$A$5:$A$84,A299)+SUMIFS(Woodworking!$AD$5:$AD$84,Woodworking!$A$5:$A$84,A299)+SUMIFS(Digital!$Y$5:$Y$84,Digital!$A$5:$A$84,A299),1))</f>
        <v>0</v>
      </c>
      <c r="W299" s="41">
        <f>IF(B299="","",IFERROR(INDEX(DiffTimeFactors,MATCH(G299,DiffNames,0)),1))</f>
        <v>0</v>
      </c>
      <c r="X299" s="36">
        <f>IF(B299="","",ROUND(V299*W299,1))</f>
        <v>0</v>
      </c>
      <c r="Y299" s="41">
        <f>IF(B299="","",ROUND(X299/60,3))</f>
        <v>0</v>
      </c>
      <c r="Z299" s="20">
        <f>IF(B299="","",ROUND(U299*W299,2))</f>
        <v>0</v>
      </c>
      <c r="AA299" s="20">
        <f>IF(B299="","",ROUND(SUMIFS(Labor!$Q$5:$Q$304,Labor!$A$5:$A$304,A299)+SUMIFS(Crochet!$AH$5:$AH$84,Crochet!$A$5:$A$84,A299)+SUMIFS(Jewelry!$AJ$5:$AJ$84,Jewelry!$A$5:$A$84,A299)+SUMIFS(Candles!$AJ$5:$AJ$84,Candles!$A$5:$A$84,A299)+SUMIFS(Clothing!$AF$5:$AF$84,Clothing!$A$5:$A$84,A299)+SUMIFS(Woodworking!$AH$5:$AH$84,Woodworking!$A$5:$A$84,A299)+SUMIFS(Digital!$AA$5:$AA$84,Digital!$A$5:$A$84,A299),2))</f>
        <v>0</v>
      </c>
      <c r="AB299" s="20">
        <f>IF(B299="","",ROUND(IF(I299="Budget",PackBudget,IF(I299="Standard",PackStandard,IF(I299="Gift",PackGift,IF(I299="Premium",PackPremium,DefaultPackaging)))),2))</f>
        <v>0</v>
      </c>
      <c r="AC299" s="36">
        <f>IF(B299="","",IF(I299="Budget",PackWeightBudget,IF(I299="Standard",PackWeightStandard,IF(I299="Gift",PackWeightGift,IF(I299="Premium",PackWeightPremium,0)))))</f>
        <v>0</v>
      </c>
      <c r="AD299" s="20">
        <f>IF(B299="","",IFERROR(INDEX(Shipping!$M$5:$M$64,MATCH(J299,Shipping!$L$5:$L$64,0)),DefaultShipping))</f>
        <v>0</v>
      </c>
      <c r="AE299" s="20">
        <f>IF(B299="","",IFERROR(INDEX(Shipping!$F$5:$F$64,MATCH(J299,Shipping!$L$5:$L$64,0)),0))</f>
        <v>0</v>
      </c>
      <c r="AF299" s="36">
        <f>IF(B299="","",IFERROR(INDEX(Shipping!$C$5:$C$64,MATCH(J299,Shipping!$L$5:$L$64,0)),""))</f>
        <v>0</v>
      </c>
      <c r="AG299" s="20">
        <f>IF(B299="","",ROUND(MAX(0,AD299-AE299),2))</f>
        <v>0</v>
      </c>
      <c r="AH299" s="20">
        <f>IF(B299="","",ROUND(T299+Z299+AA299+AB299+AG299,2))</f>
        <v>0</v>
      </c>
      <c r="AI299" s="33">
        <f>IF(B299="","",IFERROR(INDEX(Channels!$S$5:$S$18,MATCH(IF(H299="",DefaultChannel,H299),Channels!$A$5:$A$18,0)),0))</f>
        <v>0</v>
      </c>
      <c r="AJ299" s="42">
        <f>IF(B299="","",IFERROR(INDEX(Channels!$O$5:$O$18,MATCH(IF(H299="",DefaultChannel,H299),Channels!$A$5:$A$18,0)),"No"))</f>
        <v>0</v>
      </c>
      <c r="AK299" s="20">
        <f>IF(B299="","",ROUND(IFERROR(INDEX(Channels!$T$5:$T$18,MATCH(IF(H299="",DefaultChannel,H299),Channels!$A$5:$A$18,0)),0)+IF(AJ299="Yes",AE299*AI299,0),4))</f>
        <v>0</v>
      </c>
      <c r="AL299" s="33">
        <f>IF(B299="","",IF(OverheadMethod="Share of revenue",IF(RevenueTargetMonth&lt;=0,0,OverheadMonthly/RevenueTargetMonth),0))</f>
        <v>0</v>
      </c>
      <c r="AM299" s="20">
        <f>IF(B299="","",IF(OverheadMethod="Per hour worked",ROUND(OverheadPerHour*Y299,2),IF(OR(OverheadMethod="Per unit made",OverheadMethod="Per order"),OverheadPerUnit,0)))</f>
        <v>0</v>
      </c>
      <c r="AN299" s="33">
        <f>IF(B299="","",IF(N299&lt;&gt;"",N299,TargetRetailMargin))</f>
        <v>0</v>
      </c>
      <c r="AO299" s="41">
        <f>IF(B299="","",1-AN299-AI299-AL299)</f>
        <v>0</v>
      </c>
      <c r="AP299" s="20">
        <f>IF(B299="","",IF(AO299&lt;=0,"",(AH299+AM299+AK299)/AO299))</f>
        <v>0</v>
      </c>
      <c r="AQ299" s="20">
        <f>IF(B299="","",IF(AP299="","Check the settings",ROUND(IF(RoundingRule="None",AP299,IF(RoundingRule="Nearest 0.99",MAX(0.99,CEILING(AP299,1)-0.01),IF(RoundingRule="Nearest 0.95",MAX(0.95,CEILING(AP299,1)-0.05),IF(RoundingRule="Nearest 0.50",CEILING(AP299,0.5),IF(RoundingRule="Nearest 1",CEILING(AP299,1),IF(RoundingRule="Nearest 5",CEILING(AP299,5),IF(RoundingRule="Up to whole 1",CEILING(AP299,1),IF(RoundingRule="Up to whole 5",CEILING(AP299,5),ROUND(AP299,2))))))))),2)))</f>
        <v>0</v>
      </c>
      <c r="AR299" s="20">
        <f>IF(B299="","",IF(M299&lt;&gt;"",M299,IF(ISNUMBER(AQ299),AQ299,"")))</f>
        <v>0</v>
      </c>
      <c r="AS299" s="20">
        <f>IF(B299="","",IF(AR299="","",ROUND(AM299+AR299*AL299,2)))</f>
        <v>0</v>
      </c>
      <c r="AT299" s="20">
        <f>IF(B299="","",IF(AR299="","",ROUND(AH299+AS299,2)))</f>
        <v>0</v>
      </c>
      <c r="AU299" s="20">
        <f>IF(B299="","",IF(AR299="","",ROUND(AR299*AI299+AK299,2)))</f>
        <v>0</v>
      </c>
      <c r="AV299" s="20">
        <f>IF(B299="","",IF(AR299="","",ROUND(AR299-AT299-AU299,2)))</f>
        <v>0</v>
      </c>
      <c r="AW299" s="33">
        <f>IF(B299="","",IF(OR(AR299="",AR299=0),"",AV299/AR299))</f>
        <v>0</v>
      </c>
      <c r="AX299" s="33">
        <f>IF(B299="","",IF(OR(AT299="",AT299=0),"",AV299/AT299))</f>
        <v>0</v>
      </c>
      <c r="AY299" s="20">
        <f>IF(B299="","",IF(OR(Y299="",Y299=0,AV299=""),"",ROUND(AV299/Y299,2)))</f>
        <v>0</v>
      </c>
      <c r="AZ299" s="20">
        <f>IF(B299="","",IF(OR(Y299="",Y299=0,AV299=""),"",ROUND((AV299+Z299)/Y299,2)))</f>
        <v>0</v>
      </c>
      <c r="BA299" s="20">
        <f>IF(B299="","",IF(1-AI299-AL299&lt;=0,"",ROUND((AH299+AM299+AK299)/(1-AI299-AL299),2)))</f>
        <v>0</v>
      </c>
      <c r="BB299" s="20">
        <f>IF(B299="","",IF(AT299="","",ROUND(AT299*2,2)))</f>
        <v>0</v>
      </c>
      <c r="BC299" s="20">
        <f>IF(B299="","",IF(AR299="","",ROUND(AR299*(1-WholesaleDiscount),2)))</f>
        <v>0</v>
      </c>
      <c r="BD299" s="20">
        <f>IF(B299="","",IF(BC299="","",ROUND(BC299-AH299-AM299,2)))</f>
        <v>0</v>
      </c>
      <c r="BE299" s="33">
        <f>IF(B299="","",IF(OR(BC299="",BC299=0),"",BD299/BC299))</f>
        <v>0</v>
      </c>
      <c r="BF299" s="20">
        <f>IF(B299="","",IFERROR(ROUND(AVERAGEIFS(Competitors!$F$5:$F$154,Competitors!$A$5:$A$154,A299),2),""))</f>
        <v>0</v>
      </c>
      <c r="BG299" s="33">
        <f>IF(B299="","",IF(OR(BF299="",BF299=0,AR299=""),"",AR299/BF299-1))</f>
        <v>0</v>
      </c>
      <c r="BH299" s="32">
        <f>IF(B299="","",SUMIFS(Sales!$D$5:$D$804,Sales!$C$5:$C$804,A299))</f>
        <v>0</v>
      </c>
      <c r="BI299" s="20">
        <f>IF(B299="","",ROUND(SUMIFS(Sales!$V$5:$V$804,Sales!$C$5:$C$804,A299),2))</f>
        <v>0</v>
      </c>
      <c r="BJ299" s="20">
        <f>IF(B299="","",ROUND(SUMIFS(Sales!$AG$5:$AG$804,Sales!$C$5:$C$804,A299),2))</f>
        <v>0</v>
      </c>
      <c r="BK299" s="33">
        <f>IF(B299="","",IF(OR(BI299="",BI299=0),"",BJ299/BI299))</f>
        <v>0</v>
      </c>
      <c r="BL299" s="17">
        <f>IF(B299="","",IF(SUMPRODUCT(MAX((Sales!$C$5:$C$804=A299)*Sales!$B$5:$B$804))=0,"",SUMPRODUCT(MAX((Sales!$C$5:$C$804=A299)*Sales!$B$5:$B$804))))</f>
        <v>0</v>
      </c>
      <c r="BM299" s="17">
        <f>IF(B299="","",IF(SUMPRODUCT(MAX(('Price History'!$B$5:$B$304=A299)*'Price History'!$A$5:$A$304))=0,IF(P299="","",P299),SUMPRODUCT(MAX(('Price History'!$B$5:$B$304=A299)*'Price History'!$A$5:$A$304))))</f>
        <v>0</v>
      </c>
      <c r="BN299" s="32">
        <f>IF(B299="","",IF(BM299="","",TodayDate-BM299))</f>
        <v>0</v>
      </c>
      <c r="BO299" s="32">
        <f>IF(B299="","",COUNTIFS($AV$5:$AV$304,"&gt;"&amp;AV299)+COUNTIFS($AV$5:AV299,AV299))</f>
        <v>0</v>
      </c>
      <c r="BP299" s="32">
        <f>IF(B299="","",COUNTIFS($AW$5:$AW$304,"&gt;"&amp;AW299)+COUNTIFS($AW$5:AW299,AW299))</f>
        <v>0</v>
      </c>
      <c r="BQ299" s="32">
        <f>IF(B299="","",COUNTIFS($BI$5:$BI$304,"&gt;"&amp;BI299)+COUNTIFS($BI$5:BI299,BI299))</f>
        <v>0</v>
      </c>
      <c r="BR299" s="32">
        <f>IF(B299="","",COUNTIFS($AY$5:$AY$304,"&gt;"&amp;AY299)+COUNTIFS($AY$5:AY299,AY299))</f>
        <v>0</v>
      </c>
      <c r="BS299" s="43">
        <f>IF(B299="","",IF(AH299=0,"Add - no costs entered yet",IF(AR299="","Check - no price yet",IF(AV299&lt;0,"Loss - every sale costs you money",IF(AND(AZ299&lt;&gt;"",AZ299&lt;MinimumWage),"Below - pays under minimum wage",IF(AW299&lt;MarginWarning,"Low margin - re-price it",IF(AND(AF299&lt;&gt;"",K299&lt;&gt;"",K299+AC299&gt;AF299),"Check - too heavy for that postage band",IF(AND(BN299&lt;&gt;"",BN299&gt;PriceReviewDays),"Due - price has not been reviewed",IF(AND(BG299&lt;&gt;"",BG299&gt;0.5),"Check - well above the market","OK")))))))) )</f>
        <v>0</v>
      </c>
    </row>
    <row r="300" spans="1:71">
      <c r="A300" s="38">
        <f>IF(B300="","",ProductPrefix&amp;TEXT(ROW()-4,"0000"))</f>
        <v>0</v>
      </c>
      <c r="S300" s="38">
        <f>IF(B300="","",IF(C300&lt;&gt;"",C300,UPPER(LEFT(IF(D300="","GEN",D300),3))&amp;"-"&amp;TEXT(ROW()-4,"000")))</f>
        <v>0</v>
      </c>
      <c r="T300" s="20">
        <f>IF(B300="","",ROUND(SUMIFS('Material Usage'!$M$5:$M$904,'Material Usage'!$A$5:$A$904,A300)+SUMIFS(Crochet!$AD$5:$AD$84,Crochet!$A$5:$A$84,A300)+SUMIFS(Jewelry!$AF$5:$AF$84,Jewelry!$A$5:$A$84,A300)+SUMIFS(Candles!$AF$5:$AF$84,Candles!$A$5:$A$84,A300)+SUMIFS(Clothing!$AB$5:$AB$84,Clothing!$A$5:$A$84,A300)+SUMIFS(Woodworking!$AC$5:$AC$84,Woodworking!$A$5:$A$84,A300)+SUMIFS(Digital!$X$5:$X$84,Digital!$A$5:$A$84,A300),2))</f>
        <v>0</v>
      </c>
      <c r="U300" s="20">
        <f>IF(B300="","",ROUND(SUMIFS(Labor!$O$5:$O$304,Labor!$A$5:$A$304,A300)+SUMIFS(Crochet!$AG$5:$AG$84,Crochet!$A$5:$A$84,A300)+SUMIFS(Jewelry!$AI$5:$AI$84,Jewelry!$A$5:$A$84,A300)+SUMIFS(Candles!$AI$5:$AI$84,Candles!$A$5:$A$84,A300)+SUMIFS(Clothing!$AE$5:$AE$84,Clothing!$A$5:$A$84,A300)+SUMIFS(Woodworking!$AF$5:$AF$84,Woodworking!$A$5:$A$84,A300)+SUMIFS(Digital!$Z$5:$Z$84,Digital!$A$5:$A$84,A300),2))</f>
        <v>0</v>
      </c>
      <c r="V300" s="36">
        <f>IF(B300="","",ROUND(SUMIFS(Labor!$P$5:$P$304,Labor!$A$5:$A$304,A300)+SUMIFS(Crochet!$AE$5:$AE$84,Crochet!$A$5:$A$84,A300)+SUMIFS(Jewelry!$AG$5:$AG$84,Jewelry!$A$5:$A$84,A300)+SUMIFS(Candles!$AG$5:$AG$84,Candles!$A$5:$A$84,A300)+SUMIFS(Clothing!$AC$5:$AC$84,Clothing!$A$5:$A$84,A300)+SUMIFS(Woodworking!$AD$5:$AD$84,Woodworking!$A$5:$A$84,A300)+SUMIFS(Digital!$Y$5:$Y$84,Digital!$A$5:$A$84,A300),1))</f>
        <v>0</v>
      </c>
      <c r="W300" s="41">
        <f>IF(B300="","",IFERROR(INDEX(DiffTimeFactors,MATCH(G300,DiffNames,0)),1))</f>
        <v>0</v>
      </c>
      <c r="X300" s="36">
        <f>IF(B300="","",ROUND(V300*W300,1))</f>
        <v>0</v>
      </c>
      <c r="Y300" s="41">
        <f>IF(B300="","",ROUND(X300/60,3))</f>
        <v>0</v>
      </c>
      <c r="Z300" s="20">
        <f>IF(B300="","",ROUND(U300*W300,2))</f>
        <v>0</v>
      </c>
      <c r="AA300" s="20">
        <f>IF(B300="","",ROUND(SUMIFS(Labor!$Q$5:$Q$304,Labor!$A$5:$A$304,A300)+SUMIFS(Crochet!$AH$5:$AH$84,Crochet!$A$5:$A$84,A300)+SUMIFS(Jewelry!$AJ$5:$AJ$84,Jewelry!$A$5:$A$84,A300)+SUMIFS(Candles!$AJ$5:$AJ$84,Candles!$A$5:$A$84,A300)+SUMIFS(Clothing!$AF$5:$AF$84,Clothing!$A$5:$A$84,A300)+SUMIFS(Woodworking!$AH$5:$AH$84,Woodworking!$A$5:$A$84,A300)+SUMIFS(Digital!$AA$5:$AA$84,Digital!$A$5:$A$84,A300),2))</f>
        <v>0</v>
      </c>
      <c r="AB300" s="20">
        <f>IF(B300="","",ROUND(IF(I300="Budget",PackBudget,IF(I300="Standard",PackStandard,IF(I300="Gift",PackGift,IF(I300="Premium",PackPremium,DefaultPackaging)))),2))</f>
        <v>0</v>
      </c>
      <c r="AC300" s="36">
        <f>IF(B300="","",IF(I300="Budget",PackWeightBudget,IF(I300="Standard",PackWeightStandard,IF(I300="Gift",PackWeightGift,IF(I300="Premium",PackWeightPremium,0)))))</f>
        <v>0</v>
      </c>
      <c r="AD300" s="20">
        <f>IF(B300="","",IFERROR(INDEX(Shipping!$M$5:$M$64,MATCH(J300,Shipping!$L$5:$L$64,0)),DefaultShipping))</f>
        <v>0</v>
      </c>
      <c r="AE300" s="20">
        <f>IF(B300="","",IFERROR(INDEX(Shipping!$F$5:$F$64,MATCH(J300,Shipping!$L$5:$L$64,0)),0))</f>
        <v>0</v>
      </c>
      <c r="AF300" s="36">
        <f>IF(B300="","",IFERROR(INDEX(Shipping!$C$5:$C$64,MATCH(J300,Shipping!$L$5:$L$64,0)),""))</f>
        <v>0</v>
      </c>
      <c r="AG300" s="20">
        <f>IF(B300="","",ROUND(MAX(0,AD300-AE300),2))</f>
        <v>0</v>
      </c>
      <c r="AH300" s="20">
        <f>IF(B300="","",ROUND(T300+Z300+AA300+AB300+AG300,2))</f>
        <v>0</v>
      </c>
      <c r="AI300" s="33">
        <f>IF(B300="","",IFERROR(INDEX(Channels!$S$5:$S$18,MATCH(IF(H300="",DefaultChannel,H300),Channels!$A$5:$A$18,0)),0))</f>
        <v>0</v>
      </c>
      <c r="AJ300" s="42">
        <f>IF(B300="","",IFERROR(INDEX(Channels!$O$5:$O$18,MATCH(IF(H300="",DefaultChannel,H300),Channels!$A$5:$A$18,0)),"No"))</f>
        <v>0</v>
      </c>
      <c r="AK300" s="20">
        <f>IF(B300="","",ROUND(IFERROR(INDEX(Channels!$T$5:$T$18,MATCH(IF(H300="",DefaultChannel,H300),Channels!$A$5:$A$18,0)),0)+IF(AJ300="Yes",AE300*AI300,0),4))</f>
        <v>0</v>
      </c>
      <c r="AL300" s="33">
        <f>IF(B300="","",IF(OverheadMethod="Share of revenue",IF(RevenueTargetMonth&lt;=0,0,OverheadMonthly/RevenueTargetMonth),0))</f>
        <v>0</v>
      </c>
      <c r="AM300" s="20">
        <f>IF(B300="","",IF(OverheadMethod="Per hour worked",ROUND(OverheadPerHour*Y300,2),IF(OR(OverheadMethod="Per unit made",OverheadMethod="Per order"),OverheadPerUnit,0)))</f>
        <v>0</v>
      </c>
      <c r="AN300" s="33">
        <f>IF(B300="","",IF(N300&lt;&gt;"",N300,TargetRetailMargin))</f>
        <v>0</v>
      </c>
      <c r="AO300" s="41">
        <f>IF(B300="","",1-AN300-AI300-AL300)</f>
        <v>0</v>
      </c>
      <c r="AP300" s="20">
        <f>IF(B300="","",IF(AO300&lt;=0,"",(AH300+AM300+AK300)/AO300))</f>
        <v>0</v>
      </c>
      <c r="AQ300" s="20">
        <f>IF(B300="","",IF(AP300="","Check the settings",ROUND(IF(RoundingRule="None",AP300,IF(RoundingRule="Nearest 0.99",MAX(0.99,CEILING(AP300,1)-0.01),IF(RoundingRule="Nearest 0.95",MAX(0.95,CEILING(AP300,1)-0.05),IF(RoundingRule="Nearest 0.50",CEILING(AP300,0.5),IF(RoundingRule="Nearest 1",CEILING(AP300,1),IF(RoundingRule="Nearest 5",CEILING(AP300,5),IF(RoundingRule="Up to whole 1",CEILING(AP300,1),IF(RoundingRule="Up to whole 5",CEILING(AP300,5),ROUND(AP300,2))))))))),2)))</f>
        <v>0</v>
      </c>
      <c r="AR300" s="20">
        <f>IF(B300="","",IF(M300&lt;&gt;"",M300,IF(ISNUMBER(AQ300),AQ300,"")))</f>
        <v>0</v>
      </c>
      <c r="AS300" s="20">
        <f>IF(B300="","",IF(AR300="","",ROUND(AM300+AR300*AL300,2)))</f>
        <v>0</v>
      </c>
      <c r="AT300" s="20">
        <f>IF(B300="","",IF(AR300="","",ROUND(AH300+AS300,2)))</f>
        <v>0</v>
      </c>
      <c r="AU300" s="20">
        <f>IF(B300="","",IF(AR300="","",ROUND(AR300*AI300+AK300,2)))</f>
        <v>0</v>
      </c>
      <c r="AV300" s="20">
        <f>IF(B300="","",IF(AR300="","",ROUND(AR300-AT300-AU300,2)))</f>
        <v>0</v>
      </c>
      <c r="AW300" s="33">
        <f>IF(B300="","",IF(OR(AR300="",AR300=0),"",AV300/AR300))</f>
        <v>0</v>
      </c>
      <c r="AX300" s="33">
        <f>IF(B300="","",IF(OR(AT300="",AT300=0),"",AV300/AT300))</f>
        <v>0</v>
      </c>
      <c r="AY300" s="20">
        <f>IF(B300="","",IF(OR(Y300="",Y300=0,AV300=""),"",ROUND(AV300/Y300,2)))</f>
        <v>0</v>
      </c>
      <c r="AZ300" s="20">
        <f>IF(B300="","",IF(OR(Y300="",Y300=0,AV300=""),"",ROUND((AV300+Z300)/Y300,2)))</f>
        <v>0</v>
      </c>
      <c r="BA300" s="20">
        <f>IF(B300="","",IF(1-AI300-AL300&lt;=0,"",ROUND((AH300+AM300+AK300)/(1-AI300-AL300),2)))</f>
        <v>0</v>
      </c>
      <c r="BB300" s="20">
        <f>IF(B300="","",IF(AT300="","",ROUND(AT300*2,2)))</f>
        <v>0</v>
      </c>
      <c r="BC300" s="20">
        <f>IF(B300="","",IF(AR300="","",ROUND(AR300*(1-WholesaleDiscount),2)))</f>
        <v>0</v>
      </c>
      <c r="BD300" s="20">
        <f>IF(B300="","",IF(BC300="","",ROUND(BC300-AH300-AM300,2)))</f>
        <v>0</v>
      </c>
      <c r="BE300" s="33">
        <f>IF(B300="","",IF(OR(BC300="",BC300=0),"",BD300/BC300))</f>
        <v>0</v>
      </c>
      <c r="BF300" s="20">
        <f>IF(B300="","",IFERROR(ROUND(AVERAGEIFS(Competitors!$F$5:$F$154,Competitors!$A$5:$A$154,A300),2),""))</f>
        <v>0</v>
      </c>
      <c r="BG300" s="33">
        <f>IF(B300="","",IF(OR(BF300="",BF300=0,AR300=""),"",AR300/BF300-1))</f>
        <v>0</v>
      </c>
      <c r="BH300" s="32">
        <f>IF(B300="","",SUMIFS(Sales!$D$5:$D$804,Sales!$C$5:$C$804,A300))</f>
        <v>0</v>
      </c>
      <c r="BI300" s="20">
        <f>IF(B300="","",ROUND(SUMIFS(Sales!$V$5:$V$804,Sales!$C$5:$C$804,A300),2))</f>
        <v>0</v>
      </c>
      <c r="BJ300" s="20">
        <f>IF(B300="","",ROUND(SUMIFS(Sales!$AG$5:$AG$804,Sales!$C$5:$C$804,A300),2))</f>
        <v>0</v>
      </c>
      <c r="BK300" s="33">
        <f>IF(B300="","",IF(OR(BI300="",BI300=0),"",BJ300/BI300))</f>
        <v>0</v>
      </c>
      <c r="BL300" s="17">
        <f>IF(B300="","",IF(SUMPRODUCT(MAX((Sales!$C$5:$C$804=A300)*Sales!$B$5:$B$804))=0,"",SUMPRODUCT(MAX((Sales!$C$5:$C$804=A300)*Sales!$B$5:$B$804))))</f>
        <v>0</v>
      </c>
      <c r="BM300" s="17">
        <f>IF(B300="","",IF(SUMPRODUCT(MAX(('Price History'!$B$5:$B$304=A300)*'Price History'!$A$5:$A$304))=0,IF(P300="","",P300),SUMPRODUCT(MAX(('Price History'!$B$5:$B$304=A300)*'Price History'!$A$5:$A$304))))</f>
        <v>0</v>
      </c>
      <c r="BN300" s="32">
        <f>IF(B300="","",IF(BM300="","",TodayDate-BM300))</f>
        <v>0</v>
      </c>
      <c r="BO300" s="32">
        <f>IF(B300="","",COUNTIFS($AV$5:$AV$304,"&gt;"&amp;AV300)+COUNTIFS($AV$5:AV300,AV300))</f>
        <v>0</v>
      </c>
      <c r="BP300" s="32">
        <f>IF(B300="","",COUNTIFS($AW$5:$AW$304,"&gt;"&amp;AW300)+COUNTIFS($AW$5:AW300,AW300))</f>
        <v>0</v>
      </c>
      <c r="BQ300" s="32">
        <f>IF(B300="","",COUNTIFS($BI$5:$BI$304,"&gt;"&amp;BI300)+COUNTIFS($BI$5:BI300,BI300))</f>
        <v>0</v>
      </c>
      <c r="BR300" s="32">
        <f>IF(B300="","",COUNTIFS($AY$5:$AY$304,"&gt;"&amp;AY300)+COUNTIFS($AY$5:AY300,AY300))</f>
        <v>0</v>
      </c>
      <c r="BS300" s="43">
        <f>IF(B300="","",IF(AH300=0,"Add - no costs entered yet",IF(AR300="","Check - no price yet",IF(AV300&lt;0,"Loss - every sale costs you money",IF(AND(AZ300&lt;&gt;"",AZ300&lt;MinimumWage),"Below - pays under minimum wage",IF(AW300&lt;MarginWarning,"Low margin - re-price it",IF(AND(AF300&lt;&gt;"",K300&lt;&gt;"",K300+AC300&gt;AF300),"Check - too heavy for that postage band",IF(AND(BN300&lt;&gt;"",BN300&gt;PriceReviewDays),"Due - price has not been reviewed",IF(AND(BG300&lt;&gt;"",BG300&gt;0.5),"Check - well above the market","OK")))))))) )</f>
        <v>0</v>
      </c>
    </row>
    <row r="301" spans="1:71">
      <c r="A301" s="38">
        <f>IF(B301="","",ProductPrefix&amp;TEXT(ROW()-4,"0000"))</f>
        <v>0</v>
      </c>
      <c r="S301" s="38">
        <f>IF(B301="","",IF(C301&lt;&gt;"",C301,UPPER(LEFT(IF(D301="","GEN",D301),3))&amp;"-"&amp;TEXT(ROW()-4,"000")))</f>
        <v>0</v>
      </c>
      <c r="T301" s="20">
        <f>IF(B301="","",ROUND(SUMIFS('Material Usage'!$M$5:$M$904,'Material Usage'!$A$5:$A$904,A301)+SUMIFS(Crochet!$AD$5:$AD$84,Crochet!$A$5:$A$84,A301)+SUMIFS(Jewelry!$AF$5:$AF$84,Jewelry!$A$5:$A$84,A301)+SUMIFS(Candles!$AF$5:$AF$84,Candles!$A$5:$A$84,A301)+SUMIFS(Clothing!$AB$5:$AB$84,Clothing!$A$5:$A$84,A301)+SUMIFS(Woodworking!$AC$5:$AC$84,Woodworking!$A$5:$A$84,A301)+SUMIFS(Digital!$X$5:$X$84,Digital!$A$5:$A$84,A301),2))</f>
        <v>0</v>
      </c>
      <c r="U301" s="20">
        <f>IF(B301="","",ROUND(SUMIFS(Labor!$O$5:$O$304,Labor!$A$5:$A$304,A301)+SUMIFS(Crochet!$AG$5:$AG$84,Crochet!$A$5:$A$84,A301)+SUMIFS(Jewelry!$AI$5:$AI$84,Jewelry!$A$5:$A$84,A301)+SUMIFS(Candles!$AI$5:$AI$84,Candles!$A$5:$A$84,A301)+SUMIFS(Clothing!$AE$5:$AE$84,Clothing!$A$5:$A$84,A301)+SUMIFS(Woodworking!$AF$5:$AF$84,Woodworking!$A$5:$A$84,A301)+SUMIFS(Digital!$Z$5:$Z$84,Digital!$A$5:$A$84,A301),2))</f>
        <v>0</v>
      </c>
      <c r="V301" s="36">
        <f>IF(B301="","",ROUND(SUMIFS(Labor!$P$5:$P$304,Labor!$A$5:$A$304,A301)+SUMIFS(Crochet!$AE$5:$AE$84,Crochet!$A$5:$A$84,A301)+SUMIFS(Jewelry!$AG$5:$AG$84,Jewelry!$A$5:$A$84,A301)+SUMIFS(Candles!$AG$5:$AG$84,Candles!$A$5:$A$84,A301)+SUMIFS(Clothing!$AC$5:$AC$84,Clothing!$A$5:$A$84,A301)+SUMIFS(Woodworking!$AD$5:$AD$84,Woodworking!$A$5:$A$84,A301)+SUMIFS(Digital!$Y$5:$Y$84,Digital!$A$5:$A$84,A301),1))</f>
        <v>0</v>
      </c>
      <c r="W301" s="41">
        <f>IF(B301="","",IFERROR(INDEX(DiffTimeFactors,MATCH(G301,DiffNames,0)),1))</f>
        <v>0</v>
      </c>
      <c r="X301" s="36">
        <f>IF(B301="","",ROUND(V301*W301,1))</f>
        <v>0</v>
      </c>
      <c r="Y301" s="41">
        <f>IF(B301="","",ROUND(X301/60,3))</f>
        <v>0</v>
      </c>
      <c r="Z301" s="20">
        <f>IF(B301="","",ROUND(U301*W301,2))</f>
        <v>0</v>
      </c>
      <c r="AA301" s="20">
        <f>IF(B301="","",ROUND(SUMIFS(Labor!$Q$5:$Q$304,Labor!$A$5:$A$304,A301)+SUMIFS(Crochet!$AH$5:$AH$84,Crochet!$A$5:$A$84,A301)+SUMIFS(Jewelry!$AJ$5:$AJ$84,Jewelry!$A$5:$A$84,A301)+SUMIFS(Candles!$AJ$5:$AJ$84,Candles!$A$5:$A$84,A301)+SUMIFS(Clothing!$AF$5:$AF$84,Clothing!$A$5:$A$84,A301)+SUMIFS(Woodworking!$AH$5:$AH$84,Woodworking!$A$5:$A$84,A301)+SUMIFS(Digital!$AA$5:$AA$84,Digital!$A$5:$A$84,A301),2))</f>
        <v>0</v>
      </c>
      <c r="AB301" s="20">
        <f>IF(B301="","",ROUND(IF(I301="Budget",PackBudget,IF(I301="Standard",PackStandard,IF(I301="Gift",PackGift,IF(I301="Premium",PackPremium,DefaultPackaging)))),2))</f>
        <v>0</v>
      </c>
      <c r="AC301" s="36">
        <f>IF(B301="","",IF(I301="Budget",PackWeightBudget,IF(I301="Standard",PackWeightStandard,IF(I301="Gift",PackWeightGift,IF(I301="Premium",PackWeightPremium,0)))))</f>
        <v>0</v>
      </c>
      <c r="AD301" s="20">
        <f>IF(B301="","",IFERROR(INDEX(Shipping!$M$5:$M$64,MATCH(J301,Shipping!$L$5:$L$64,0)),DefaultShipping))</f>
        <v>0</v>
      </c>
      <c r="AE301" s="20">
        <f>IF(B301="","",IFERROR(INDEX(Shipping!$F$5:$F$64,MATCH(J301,Shipping!$L$5:$L$64,0)),0))</f>
        <v>0</v>
      </c>
      <c r="AF301" s="36">
        <f>IF(B301="","",IFERROR(INDEX(Shipping!$C$5:$C$64,MATCH(J301,Shipping!$L$5:$L$64,0)),""))</f>
        <v>0</v>
      </c>
      <c r="AG301" s="20">
        <f>IF(B301="","",ROUND(MAX(0,AD301-AE301),2))</f>
        <v>0</v>
      </c>
      <c r="AH301" s="20">
        <f>IF(B301="","",ROUND(T301+Z301+AA301+AB301+AG301,2))</f>
        <v>0</v>
      </c>
      <c r="AI301" s="33">
        <f>IF(B301="","",IFERROR(INDEX(Channels!$S$5:$S$18,MATCH(IF(H301="",DefaultChannel,H301),Channels!$A$5:$A$18,0)),0))</f>
        <v>0</v>
      </c>
      <c r="AJ301" s="42">
        <f>IF(B301="","",IFERROR(INDEX(Channels!$O$5:$O$18,MATCH(IF(H301="",DefaultChannel,H301),Channels!$A$5:$A$18,0)),"No"))</f>
        <v>0</v>
      </c>
      <c r="AK301" s="20">
        <f>IF(B301="","",ROUND(IFERROR(INDEX(Channels!$T$5:$T$18,MATCH(IF(H301="",DefaultChannel,H301),Channels!$A$5:$A$18,0)),0)+IF(AJ301="Yes",AE301*AI301,0),4))</f>
        <v>0</v>
      </c>
      <c r="AL301" s="33">
        <f>IF(B301="","",IF(OverheadMethod="Share of revenue",IF(RevenueTargetMonth&lt;=0,0,OverheadMonthly/RevenueTargetMonth),0))</f>
        <v>0</v>
      </c>
      <c r="AM301" s="20">
        <f>IF(B301="","",IF(OverheadMethod="Per hour worked",ROUND(OverheadPerHour*Y301,2),IF(OR(OverheadMethod="Per unit made",OverheadMethod="Per order"),OverheadPerUnit,0)))</f>
        <v>0</v>
      </c>
      <c r="AN301" s="33">
        <f>IF(B301="","",IF(N301&lt;&gt;"",N301,TargetRetailMargin))</f>
        <v>0</v>
      </c>
      <c r="AO301" s="41">
        <f>IF(B301="","",1-AN301-AI301-AL301)</f>
        <v>0</v>
      </c>
      <c r="AP301" s="20">
        <f>IF(B301="","",IF(AO301&lt;=0,"",(AH301+AM301+AK301)/AO301))</f>
        <v>0</v>
      </c>
      <c r="AQ301" s="20">
        <f>IF(B301="","",IF(AP301="","Check the settings",ROUND(IF(RoundingRule="None",AP301,IF(RoundingRule="Nearest 0.99",MAX(0.99,CEILING(AP301,1)-0.01),IF(RoundingRule="Nearest 0.95",MAX(0.95,CEILING(AP301,1)-0.05),IF(RoundingRule="Nearest 0.50",CEILING(AP301,0.5),IF(RoundingRule="Nearest 1",CEILING(AP301,1),IF(RoundingRule="Nearest 5",CEILING(AP301,5),IF(RoundingRule="Up to whole 1",CEILING(AP301,1),IF(RoundingRule="Up to whole 5",CEILING(AP301,5),ROUND(AP301,2))))))))),2)))</f>
        <v>0</v>
      </c>
      <c r="AR301" s="20">
        <f>IF(B301="","",IF(M301&lt;&gt;"",M301,IF(ISNUMBER(AQ301),AQ301,"")))</f>
        <v>0</v>
      </c>
      <c r="AS301" s="20">
        <f>IF(B301="","",IF(AR301="","",ROUND(AM301+AR301*AL301,2)))</f>
        <v>0</v>
      </c>
      <c r="AT301" s="20">
        <f>IF(B301="","",IF(AR301="","",ROUND(AH301+AS301,2)))</f>
        <v>0</v>
      </c>
      <c r="AU301" s="20">
        <f>IF(B301="","",IF(AR301="","",ROUND(AR301*AI301+AK301,2)))</f>
        <v>0</v>
      </c>
      <c r="AV301" s="20">
        <f>IF(B301="","",IF(AR301="","",ROUND(AR301-AT301-AU301,2)))</f>
        <v>0</v>
      </c>
      <c r="AW301" s="33">
        <f>IF(B301="","",IF(OR(AR301="",AR301=0),"",AV301/AR301))</f>
        <v>0</v>
      </c>
      <c r="AX301" s="33">
        <f>IF(B301="","",IF(OR(AT301="",AT301=0),"",AV301/AT301))</f>
        <v>0</v>
      </c>
      <c r="AY301" s="20">
        <f>IF(B301="","",IF(OR(Y301="",Y301=0,AV301=""),"",ROUND(AV301/Y301,2)))</f>
        <v>0</v>
      </c>
      <c r="AZ301" s="20">
        <f>IF(B301="","",IF(OR(Y301="",Y301=0,AV301=""),"",ROUND((AV301+Z301)/Y301,2)))</f>
        <v>0</v>
      </c>
      <c r="BA301" s="20">
        <f>IF(B301="","",IF(1-AI301-AL301&lt;=0,"",ROUND((AH301+AM301+AK301)/(1-AI301-AL301),2)))</f>
        <v>0</v>
      </c>
      <c r="BB301" s="20">
        <f>IF(B301="","",IF(AT301="","",ROUND(AT301*2,2)))</f>
        <v>0</v>
      </c>
      <c r="BC301" s="20">
        <f>IF(B301="","",IF(AR301="","",ROUND(AR301*(1-WholesaleDiscount),2)))</f>
        <v>0</v>
      </c>
      <c r="BD301" s="20">
        <f>IF(B301="","",IF(BC301="","",ROUND(BC301-AH301-AM301,2)))</f>
        <v>0</v>
      </c>
      <c r="BE301" s="33">
        <f>IF(B301="","",IF(OR(BC301="",BC301=0),"",BD301/BC301))</f>
        <v>0</v>
      </c>
      <c r="BF301" s="20">
        <f>IF(B301="","",IFERROR(ROUND(AVERAGEIFS(Competitors!$F$5:$F$154,Competitors!$A$5:$A$154,A301),2),""))</f>
        <v>0</v>
      </c>
      <c r="BG301" s="33">
        <f>IF(B301="","",IF(OR(BF301="",BF301=0,AR301=""),"",AR301/BF301-1))</f>
        <v>0</v>
      </c>
      <c r="BH301" s="32">
        <f>IF(B301="","",SUMIFS(Sales!$D$5:$D$804,Sales!$C$5:$C$804,A301))</f>
        <v>0</v>
      </c>
      <c r="BI301" s="20">
        <f>IF(B301="","",ROUND(SUMIFS(Sales!$V$5:$V$804,Sales!$C$5:$C$804,A301),2))</f>
        <v>0</v>
      </c>
      <c r="BJ301" s="20">
        <f>IF(B301="","",ROUND(SUMIFS(Sales!$AG$5:$AG$804,Sales!$C$5:$C$804,A301),2))</f>
        <v>0</v>
      </c>
      <c r="BK301" s="33">
        <f>IF(B301="","",IF(OR(BI301="",BI301=0),"",BJ301/BI301))</f>
        <v>0</v>
      </c>
      <c r="BL301" s="17">
        <f>IF(B301="","",IF(SUMPRODUCT(MAX((Sales!$C$5:$C$804=A301)*Sales!$B$5:$B$804))=0,"",SUMPRODUCT(MAX((Sales!$C$5:$C$804=A301)*Sales!$B$5:$B$804))))</f>
        <v>0</v>
      </c>
      <c r="BM301" s="17">
        <f>IF(B301="","",IF(SUMPRODUCT(MAX(('Price History'!$B$5:$B$304=A301)*'Price History'!$A$5:$A$304))=0,IF(P301="","",P301),SUMPRODUCT(MAX(('Price History'!$B$5:$B$304=A301)*'Price History'!$A$5:$A$304))))</f>
        <v>0</v>
      </c>
      <c r="BN301" s="32">
        <f>IF(B301="","",IF(BM301="","",TodayDate-BM301))</f>
        <v>0</v>
      </c>
      <c r="BO301" s="32">
        <f>IF(B301="","",COUNTIFS($AV$5:$AV$304,"&gt;"&amp;AV301)+COUNTIFS($AV$5:AV301,AV301))</f>
        <v>0</v>
      </c>
      <c r="BP301" s="32">
        <f>IF(B301="","",COUNTIFS($AW$5:$AW$304,"&gt;"&amp;AW301)+COUNTIFS($AW$5:AW301,AW301))</f>
        <v>0</v>
      </c>
      <c r="BQ301" s="32">
        <f>IF(B301="","",COUNTIFS($BI$5:$BI$304,"&gt;"&amp;BI301)+COUNTIFS($BI$5:BI301,BI301))</f>
        <v>0</v>
      </c>
      <c r="BR301" s="32">
        <f>IF(B301="","",COUNTIFS($AY$5:$AY$304,"&gt;"&amp;AY301)+COUNTIFS($AY$5:AY301,AY301))</f>
        <v>0</v>
      </c>
      <c r="BS301" s="43">
        <f>IF(B301="","",IF(AH301=0,"Add - no costs entered yet",IF(AR301="","Check - no price yet",IF(AV301&lt;0,"Loss - every sale costs you money",IF(AND(AZ301&lt;&gt;"",AZ301&lt;MinimumWage),"Below - pays under minimum wage",IF(AW301&lt;MarginWarning,"Low margin - re-price it",IF(AND(AF301&lt;&gt;"",K301&lt;&gt;"",K301+AC301&gt;AF301),"Check - too heavy for that postage band",IF(AND(BN301&lt;&gt;"",BN301&gt;PriceReviewDays),"Due - price has not been reviewed",IF(AND(BG301&lt;&gt;"",BG301&gt;0.5),"Check - well above the market","OK")))))))) )</f>
        <v>0</v>
      </c>
    </row>
    <row r="302" spans="1:71">
      <c r="A302" s="38">
        <f>IF(B302="","",ProductPrefix&amp;TEXT(ROW()-4,"0000"))</f>
        <v>0</v>
      </c>
      <c r="S302" s="38">
        <f>IF(B302="","",IF(C302&lt;&gt;"",C302,UPPER(LEFT(IF(D302="","GEN",D302),3))&amp;"-"&amp;TEXT(ROW()-4,"000")))</f>
        <v>0</v>
      </c>
      <c r="T302" s="20">
        <f>IF(B302="","",ROUND(SUMIFS('Material Usage'!$M$5:$M$904,'Material Usage'!$A$5:$A$904,A302)+SUMIFS(Crochet!$AD$5:$AD$84,Crochet!$A$5:$A$84,A302)+SUMIFS(Jewelry!$AF$5:$AF$84,Jewelry!$A$5:$A$84,A302)+SUMIFS(Candles!$AF$5:$AF$84,Candles!$A$5:$A$84,A302)+SUMIFS(Clothing!$AB$5:$AB$84,Clothing!$A$5:$A$84,A302)+SUMIFS(Woodworking!$AC$5:$AC$84,Woodworking!$A$5:$A$84,A302)+SUMIFS(Digital!$X$5:$X$84,Digital!$A$5:$A$84,A302),2))</f>
        <v>0</v>
      </c>
      <c r="U302" s="20">
        <f>IF(B302="","",ROUND(SUMIFS(Labor!$O$5:$O$304,Labor!$A$5:$A$304,A302)+SUMIFS(Crochet!$AG$5:$AG$84,Crochet!$A$5:$A$84,A302)+SUMIFS(Jewelry!$AI$5:$AI$84,Jewelry!$A$5:$A$84,A302)+SUMIFS(Candles!$AI$5:$AI$84,Candles!$A$5:$A$84,A302)+SUMIFS(Clothing!$AE$5:$AE$84,Clothing!$A$5:$A$84,A302)+SUMIFS(Woodworking!$AF$5:$AF$84,Woodworking!$A$5:$A$84,A302)+SUMIFS(Digital!$Z$5:$Z$84,Digital!$A$5:$A$84,A302),2))</f>
        <v>0</v>
      </c>
      <c r="V302" s="36">
        <f>IF(B302="","",ROUND(SUMIFS(Labor!$P$5:$P$304,Labor!$A$5:$A$304,A302)+SUMIFS(Crochet!$AE$5:$AE$84,Crochet!$A$5:$A$84,A302)+SUMIFS(Jewelry!$AG$5:$AG$84,Jewelry!$A$5:$A$84,A302)+SUMIFS(Candles!$AG$5:$AG$84,Candles!$A$5:$A$84,A302)+SUMIFS(Clothing!$AC$5:$AC$84,Clothing!$A$5:$A$84,A302)+SUMIFS(Woodworking!$AD$5:$AD$84,Woodworking!$A$5:$A$84,A302)+SUMIFS(Digital!$Y$5:$Y$84,Digital!$A$5:$A$84,A302),1))</f>
        <v>0</v>
      </c>
      <c r="W302" s="41">
        <f>IF(B302="","",IFERROR(INDEX(DiffTimeFactors,MATCH(G302,DiffNames,0)),1))</f>
        <v>0</v>
      </c>
      <c r="X302" s="36">
        <f>IF(B302="","",ROUND(V302*W302,1))</f>
        <v>0</v>
      </c>
      <c r="Y302" s="41">
        <f>IF(B302="","",ROUND(X302/60,3))</f>
        <v>0</v>
      </c>
      <c r="Z302" s="20">
        <f>IF(B302="","",ROUND(U302*W302,2))</f>
        <v>0</v>
      </c>
      <c r="AA302" s="20">
        <f>IF(B302="","",ROUND(SUMIFS(Labor!$Q$5:$Q$304,Labor!$A$5:$A$304,A302)+SUMIFS(Crochet!$AH$5:$AH$84,Crochet!$A$5:$A$84,A302)+SUMIFS(Jewelry!$AJ$5:$AJ$84,Jewelry!$A$5:$A$84,A302)+SUMIFS(Candles!$AJ$5:$AJ$84,Candles!$A$5:$A$84,A302)+SUMIFS(Clothing!$AF$5:$AF$84,Clothing!$A$5:$A$84,A302)+SUMIFS(Woodworking!$AH$5:$AH$84,Woodworking!$A$5:$A$84,A302)+SUMIFS(Digital!$AA$5:$AA$84,Digital!$A$5:$A$84,A302),2))</f>
        <v>0</v>
      </c>
      <c r="AB302" s="20">
        <f>IF(B302="","",ROUND(IF(I302="Budget",PackBudget,IF(I302="Standard",PackStandard,IF(I302="Gift",PackGift,IF(I302="Premium",PackPremium,DefaultPackaging)))),2))</f>
        <v>0</v>
      </c>
      <c r="AC302" s="36">
        <f>IF(B302="","",IF(I302="Budget",PackWeightBudget,IF(I302="Standard",PackWeightStandard,IF(I302="Gift",PackWeightGift,IF(I302="Premium",PackWeightPremium,0)))))</f>
        <v>0</v>
      </c>
      <c r="AD302" s="20">
        <f>IF(B302="","",IFERROR(INDEX(Shipping!$M$5:$M$64,MATCH(J302,Shipping!$L$5:$L$64,0)),DefaultShipping))</f>
        <v>0</v>
      </c>
      <c r="AE302" s="20">
        <f>IF(B302="","",IFERROR(INDEX(Shipping!$F$5:$F$64,MATCH(J302,Shipping!$L$5:$L$64,0)),0))</f>
        <v>0</v>
      </c>
      <c r="AF302" s="36">
        <f>IF(B302="","",IFERROR(INDEX(Shipping!$C$5:$C$64,MATCH(J302,Shipping!$L$5:$L$64,0)),""))</f>
        <v>0</v>
      </c>
      <c r="AG302" s="20">
        <f>IF(B302="","",ROUND(MAX(0,AD302-AE302),2))</f>
        <v>0</v>
      </c>
      <c r="AH302" s="20">
        <f>IF(B302="","",ROUND(T302+Z302+AA302+AB302+AG302,2))</f>
        <v>0</v>
      </c>
      <c r="AI302" s="33">
        <f>IF(B302="","",IFERROR(INDEX(Channels!$S$5:$S$18,MATCH(IF(H302="",DefaultChannel,H302),Channels!$A$5:$A$18,0)),0))</f>
        <v>0</v>
      </c>
      <c r="AJ302" s="42">
        <f>IF(B302="","",IFERROR(INDEX(Channels!$O$5:$O$18,MATCH(IF(H302="",DefaultChannel,H302),Channels!$A$5:$A$18,0)),"No"))</f>
        <v>0</v>
      </c>
      <c r="AK302" s="20">
        <f>IF(B302="","",ROUND(IFERROR(INDEX(Channels!$T$5:$T$18,MATCH(IF(H302="",DefaultChannel,H302),Channels!$A$5:$A$18,0)),0)+IF(AJ302="Yes",AE302*AI302,0),4))</f>
        <v>0</v>
      </c>
      <c r="AL302" s="33">
        <f>IF(B302="","",IF(OverheadMethod="Share of revenue",IF(RevenueTargetMonth&lt;=0,0,OverheadMonthly/RevenueTargetMonth),0))</f>
        <v>0</v>
      </c>
      <c r="AM302" s="20">
        <f>IF(B302="","",IF(OverheadMethod="Per hour worked",ROUND(OverheadPerHour*Y302,2),IF(OR(OverheadMethod="Per unit made",OverheadMethod="Per order"),OverheadPerUnit,0)))</f>
        <v>0</v>
      </c>
      <c r="AN302" s="33">
        <f>IF(B302="","",IF(N302&lt;&gt;"",N302,TargetRetailMargin))</f>
        <v>0</v>
      </c>
      <c r="AO302" s="41">
        <f>IF(B302="","",1-AN302-AI302-AL302)</f>
        <v>0</v>
      </c>
      <c r="AP302" s="20">
        <f>IF(B302="","",IF(AO302&lt;=0,"",(AH302+AM302+AK302)/AO302))</f>
        <v>0</v>
      </c>
      <c r="AQ302" s="20">
        <f>IF(B302="","",IF(AP302="","Check the settings",ROUND(IF(RoundingRule="None",AP302,IF(RoundingRule="Nearest 0.99",MAX(0.99,CEILING(AP302,1)-0.01),IF(RoundingRule="Nearest 0.95",MAX(0.95,CEILING(AP302,1)-0.05),IF(RoundingRule="Nearest 0.50",CEILING(AP302,0.5),IF(RoundingRule="Nearest 1",CEILING(AP302,1),IF(RoundingRule="Nearest 5",CEILING(AP302,5),IF(RoundingRule="Up to whole 1",CEILING(AP302,1),IF(RoundingRule="Up to whole 5",CEILING(AP302,5),ROUND(AP302,2))))))))),2)))</f>
        <v>0</v>
      </c>
      <c r="AR302" s="20">
        <f>IF(B302="","",IF(M302&lt;&gt;"",M302,IF(ISNUMBER(AQ302),AQ302,"")))</f>
        <v>0</v>
      </c>
      <c r="AS302" s="20">
        <f>IF(B302="","",IF(AR302="","",ROUND(AM302+AR302*AL302,2)))</f>
        <v>0</v>
      </c>
      <c r="AT302" s="20">
        <f>IF(B302="","",IF(AR302="","",ROUND(AH302+AS302,2)))</f>
        <v>0</v>
      </c>
      <c r="AU302" s="20">
        <f>IF(B302="","",IF(AR302="","",ROUND(AR302*AI302+AK302,2)))</f>
        <v>0</v>
      </c>
      <c r="AV302" s="20">
        <f>IF(B302="","",IF(AR302="","",ROUND(AR302-AT302-AU302,2)))</f>
        <v>0</v>
      </c>
      <c r="AW302" s="33">
        <f>IF(B302="","",IF(OR(AR302="",AR302=0),"",AV302/AR302))</f>
        <v>0</v>
      </c>
      <c r="AX302" s="33">
        <f>IF(B302="","",IF(OR(AT302="",AT302=0),"",AV302/AT302))</f>
        <v>0</v>
      </c>
      <c r="AY302" s="20">
        <f>IF(B302="","",IF(OR(Y302="",Y302=0,AV302=""),"",ROUND(AV302/Y302,2)))</f>
        <v>0</v>
      </c>
      <c r="AZ302" s="20">
        <f>IF(B302="","",IF(OR(Y302="",Y302=0,AV302=""),"",ROUND((AV302+Z302)/Y302,2)))</f>
        <v>0</v>
      </c>
      <c r="BA302" s="20">
        <f>IF(B302="","",IF(1-AI302-AL302&lt;=0,"",ROUND((AH302+AM302+AK302)/(1-AI302-AL302),2)))</f>
        <v>0</v>
      </c>
      <c r="BB302" s="20">
        <f>IF(B302="","",IF(AT302="","",ROUND(AT302*2,2)))</f>
        <v>0</v>
      </c>
      <c r="BC302" s="20">
        <f>IF(B302="","",IF(AR302="","",ROUND(AR302*(1-WholesaleDiscount),2)))</f>
        <v>0</v>
      </c>
      <c r="BD302" s="20">
        <f>IF(B302="","",IF(BC302="","",ROUND(BC302-AH302-AM302,2)))</f>
        <v>0</v>
      </c>
      <c r="BE302" s="33">
        <f>IF(B302="","",IF(OR(BC302="",BC302=0),"",BD302/BC302))</f>
        <v>0</v>
      </c>
      <c r="BF302" s="20">
        <f>IF(B302="","",IFERROR(ROUND(AVERAGEIFS(Competitors!$F$5:$F$154,Competitors!$A$5:$A$154,A302),2),""))</f>
        <v>0</v>
      </c>
      <c r="BG302" s="33">
        <f>IF(B302="","",IF(OR(BF302="",BF302=0,AR302=""),"",AR302/BF302-1))</f>
        <v>0</v>
      </c>
      <c r="BH302" s="32">
        <f>IF(B302="","",SUMIFS(Sales!$D$5:$D$804,Sales!$C$5:$C$804,A302))</f>
        <v>0</v>
      </c>
      <c r="BI302" s="20">
        <f>IF(B302="","",ROUND(SUMIFS(Sales!$V$5:$V$804,Sales!$C$5:$C$804,A302),2))</f>
        <v>0</v>
      </c>
      <c r="BJ302" s="20">
        <f>IF(B302="","",ROUND(SUMIFS(Sales!$AG$5:$AG$804,Sales!$C$5:$C$804,A302),2))</f>
        <v>0</v>
      </c>
      <c r="BK302" s="33">
        <f>IF(B302="","",IF(OR(BI302="",BI302=0),"",BJ302/BI302))</f>
        <v>0</v>
      </c>
      <c r="BL302" s="17">
        <f>IF(B302="","",IF(SUMPRODUCT(MAX((Sales!$C$5:$C$804=A302)*Sales!$B$5:$B$804))=0,"",SUMPRODUCT(MAX((Sales!$C$5:$C$804=A302)*Sales!$B$5:$B$804))))</f>
        <v>0</v>
      </c>
      <c r="BM302" s="17">
        <f>IF(B302="","",IF(SUMPRODUCT(MAX(('Price History'!$B$5:$B$304=A302)*'Price History'!$A$5:$A$304))=0,IF(P302="","",P302),SUMPRODUCT(MAX(('Price History'!$B$5:$B$304=A302)*'Price History'!$A$5:$A$304))))</f>
        <v>0</v>
      </c>
      <c r="BN302" s="32">
        <f>IF(B302="","",IF(BM302="","",TodayDate-BM302))</f>
        <v>0</v>
      </c>
      <c r="BO302" s="32">
        <f>IF(B302="","",COUNTIFS($AV$5:$AV$304,"&gt;"&amp;AV302)+COUNTIFS($AV$5:AV302,AV302))</f>
        <v>0</v>
      </c>
      <c r="BP302" s="32">
        <f>IF(B302="","",COUNTIFS($AW$5:$AW$304,"&gt;"&amp;AW302)+COUNTIFS($AW$5:AW302,AW302))</f>
        <v>0</v>
      </c>
      <c r="BQ302" s="32">
        <f>IF(B302="","",COUNTIFS($BI$5:$BI$304,"&gt;"&amp;BI302)+COUNTIFS($BI$5:BI302,BI302))</f>
        <v>0</v>
      </c>
      <c r="BR302" s="32">
        <f>IF(B302="","",COUNTIFS($AY$5:$AY$304,"&gt;"&amp;AY302)+COUNTIFS($AY$5:AY302,AY302))</f>
        <v>0</v>
      </c>
      <c r="BS302" s="43">
        <f>IF(B302="","",IF(AH302=0,"Add - no costs entered yet",IF(AR302="","Check - no price yet",IF(AV302&lt;0,"Loss - every sale costs you money",IF(AND(AZ302&lt;&gt;"",AZ302&lt;MinimumWage),"Below - pays under minimum wage",IF(AW302&lt;MarginWarning,"Low margin - re-price it",IF(AND(AF302&lt;&gt;"",K302&lt;&gt;"",K302+AC302&gt;AF302),"Check - too heavy for that postage band",IF(AND(BN302&lt;&gt;"",BN302&gt;PriceReviewDays),"Due - price has not been reviewed",IF(AND(BG302&lt;&gt;"",BG302&gt;0.5),"Check - well above the market","OK")))))))) )</f>
        <v>0</v>
      </c>
    </row>
    <row r="303" spans="1:71">
      <c r="A303" s="38">
        <f>IF(B303="","",ProductPrefix&amp;TEXT(ROW()-4,"0000"))</f>
        <v>0</v>
      </c>
      <c r="S303" s="38">
        <f>IF(B303="","",IF(C303&lt;&gt;"",C303,UPPER(LEFT(IF(D303="","GEN",D303),3))&amp;"-"&amp;TEXT(ROW()-4,"000")))</f>
        <v>0</v>
      </c>
      <c r="T303" s="20">
        <f>IF(B303="","",ROUND(SUMIFS('Material Usage'!$M$5:$M$904,'Material Usage'!$A$5:$A$904,A303)+SUMIFS(Crochet!$AD$5:$AD$84,Crochet!$A$5:$A$84,A303)+SUMIFS(Jewelry!$AF$5:$AF$84,Jewelry!$A$5:$A$84,A303)+SUMIFS(Candles!$AF$5:$AF$84,Candles!$A$5:$A$84,A303)+SUMIFS(Clothing!$AB$5:$AB$84,Clothing!$A$5:$A$84,A303)+SUMIFS(Woodworking!$AC$5:$AC$84,Woodworking!$A$5:$A$84,A303)+SUMIFS(Digital!$X$5:$X$84,Digital!$A$5:$A$84,A303),2))</f>
        <v>0</v>
      </c>
      <c r="U303" s="20">
        <f>IF(B303="","",ROUND(SUMIFS(Labor!$O$5:$O$304,Labor!$A$5:$A$304,A303)+SUMIFS(Crochet!$AG$5:$AG$84,Crochet!$A$5:$A$84,A303)+SUMIFS(Jewelry!$AI$5:$AI$84,Jewelry!$A$5:$A$84,A303)+SUMIFS(Candles!$AI$5:$AI$84,Candles!$A$5:$A$84,A303)+SUMIFS(Clothing!$AE$5:$AE$84,Clothing!$A$5:$A$84,A303)+SUMIFS(Woodworking!$AF$5:$AF$84,Woodworking!$A$5:$A$84,A303)+SUMIFS(Digital!$Z$5:$Z$84,Digital!$A$5:$A$84,A303),2))</f>
        <v>0</v>
      </c>
      <c r="V303" s="36">
        <f>IF(B303="","",ROUND(SUMIFS(Labor!$P$5:$P$304,Labor!$A$5:$A$304,A303)+SUMIFS(Crochet!$AE$5:$AE$84,Crochet!$A$5:$A$84,A303)+SUMIFS(Jewelry!$AG$5:$AG$84,Jewelry!$A$5:$A$84,A303)+SUMIFS(Candles!$AG$5:$AG$84,Candles!$A$5:$A$84,A303)+SUMIFS(Clothing!$AC$5:$AC$84,Clothing!$A$5:$A$84,A303)+SUMIFS(Woodworking!$AD$5:$AD$84,Woodworking!$A$5:$A$84,A303)+SUMIFS(Digital!$Y$5:$Y$84,Digital!$A$5:$A$84,A303),1))</f>
        <v>0</v>
      </c>
      <c r="W303" s="41">
        <f>IF(B303="","",IFERROR(INDEX(DiffTimeFactors,MATCH(G303,DiffNames,0)),1))</f>
        <v>0</v>
      </c>
      <c r="X303" s="36">
        <f>IF(B303="","",ROUND(V303*W303,1))</f>
        <v>0</v>
      </c>
      <c r="Y303" s="41">
        <f>IF(B303="","",ROUND(X303/60,3))</f>
        <v>0</v>
      </c>
      <c r="Z303" s="20">
        <f>IF(B303="","",ROUND(U303*W303,2))</f>
        <v>0</v>
      </c>
      <c r="AA303" s="20">
        <f>IF(B303="","",ROUND(SUMIFS(Labor!$Q$5:$Q$304,Labor!$A$5:$A$304,A303)+SUMIFS(Crochet!$AH$5:$AH$84,Crochet!$A$5:$A$84,A303)+SUMIFS(Jewelry!$AJ$5:$AJ$84,Jewelry!$A$5:$A$84,A303)+SUMIFS(Candles!$AJ$5:$AJ$84,Candles!$A$5:$A$84,A303)+SUMIFS(Clothing!$AF$5:$AF$84,Clothing!$A$5:$A$84,A303)+SUMIFS(Woodworking!$AH$5:$AH$84,Woodworking!$A$5:$A$84,A303)+SUMIFS(Digital!$AA$5:$AA$84,Digital!$A$5:$A$84,A303),2))</f>
        <v>0</v>
      </c>
      <c r="AB303" s="20">
        <f>IF(B303="","",ROUND(IF(I303="Budget",PackBudget,IF(I303="Standard",PackStandard,IF(I303="Gift",PackGift,IF(I303="Premium",PackPremium,DefaultPackaging)))),2))</f>
        <v>0</v>
      </c>
      <c r="AC303" s="36">
        <f>IF(B303="","",IF(I303="Budget",PackWeightBudget,IF(I303="Standard",PackWeightStandard,IF(I303="Gift",PackWeightGift,IF(I303="Premium",PackWeightPremium,0)))))</f>
        <v>0</v>
      </c>
      <c r="AD303" s="20">
        <f>IF(B303="","",IFERROR(INDEX(Shipping!$M$5:$M$64,MATCH(J303,Shipping!$L$5:$L$64,0)),DefaultShipping))</f>
        <v>0</v>
      </c>
      <c r="AE303" s="20">
        <f>IF(B303="","",IFERROR(INDEX(Shipping!$F$5:$F$64,MATCH(J303,Shipping!$L$5:$L$64,0)),0))</f>
        <v>0</v>
      </c>
      <c r="AF303" s="36">
        <f>IF(B303="","",IFERROR(INDEX(Shipping!$C$5:$C$64,MATCH(J303,Shipping!$L$5:$L$64,0)),""))</f>
        <v>0</v>
      </c>
      <c r="AG303" s="20">
        <f>IF(B303="","",ROUND(MAX(0,AD303-AE303),2))</f>
        <v>0</v>
      </c>
      <c r="AH303" s="20">
        <f>IF(B303="","",ROUND(T303+Z303+AA303+AB303+AG303,2))</f>
        <v>0</v>
      </c>
      <c r="AI303" s="33">
        <f>IF(B303="","",IFERROR(INDEX(Channels!$S$5:$S$18,MATCH(IF(H303="",DefaultChannel,H303),Channels!$A$5:$A$18,0)),0))</f>
        <v>0</v>
      </c>
      <c r="AJ303" s="42">
        <f>IF(B303="","",IFERROR(INDEX(Channels!$O$5:$O$18,MATCH(IF(H303="",DefaultChannel,H303),Channels!$A$5:$A$18,0)),"No"))</f>
        <v>0</v>
      </c>
      <c r="AK303" s="20">
        <f>IF(B303="","",ROUND(IFERROR(INDEX(Channels!$T$5:$T$18,MATCH(IF(H303="",DefaultChannel,H303),Channels!$A$5:$A$18,0)),0)+IF(AJ303="Yes",AE303*AI303,0),4))</f>
        <v>0</v>
      </c>
      <c r="AL303" s="33">
        <f>IF(B303="","",IF(OverheadMethod="Share of revenue",IF(RevenueTargetMonth&lt;=0,0,OverheadMonthly/RevenueTargetMonth),0))</f>
        <v>0</v>
      </c>
      <c r="AM303" s="20">
        <f>IF(B303="","",IF(OverheadMethod="Per hour worked",ROUND(OverheadPerHour*Y303,2),IF(OR(OverheadMethod="Per unit made",OverheadMethod="Per order"),OverheadPerUnit,0)))</f>
        <v>0</v>
      </c>
      <c r="AN303" s="33">
        <f>IF(B303="","",IF(N303&lt;&gt;"",N303,TargetRetailMargin))</f>
        <v>0</v>
      </c>
      <c r="AO303" s="41">
        <f>IF(B303="","",1-AN303-AI303-AL303)</f>
        <v>0</v>
      </c>
      <c r="AP303" s="20">
        <f>IF(B303="","",IF(AO303&lt;=0,"",(AH303+AM303+AK303)/AO303))</f>
        <v>0</v>
      </c>
      <c r="AQ303" s="20">
        <f>IF(B303="","",IF(AP303="","Check the settings",ROUND(IF(RoundingRule="None",AP303,IF(RoundingRule="Nearest 0.99",MAX(0.99,CEILING(AP303,1)-0.01),IF(RoundingRule="Nearest 0.95",MAX(0.95,CEILING(AP303,1)-0.05),IF(RoundingRule="Nearest 0.50",CEILING(AP303,0.5),IF(RoundingRule="Nearest 1",CEILING(AP303,1),IF(RoundingRule="Nearest 5",CEILING(AP303,5),IF(RoundingRule="Up to whole 1",CEILING(AP303,1),IF(RoundingRule="Up to whole 5",CEILING(AP303,5),ROUND(AP303,2))))))))),2)))</f>
        <v>0</v>
      </c>
      <c r="AR303" s="20">
        <f>IF(B303="","",IF(M303&lt;&gt;"",M303,IF(ISNUMBER(AQ303),AQ303,"")))</f>
        <v>0</v>
      </c>
      <c r="AS303" s="20">
        <f>IF(B303="","",IF(AR303="","",ROUND(AM303+AR303*AL303,2)))</f>
        <v>0</v>
      </c>
      <c r="AT303" s="20">
        <f>IF(B303="","",IF(AR303="","",ROUND(AH303+AS303,2)))</f>
        <v>0</v>
      </c>
      <c r="AU303" s="20">
        <f>IF(B303="","",IF(AR303="","",ROUND(AR303*AI303+AK303,2)))</f>
        <v>0</v>
      </c>
      <c r="AV303" s="20">
        <f>IF(B303="","",IF(AR303="","",ROUND(AR303-AT303-AU303,2)))</f>
        <v>0</v>
      </c>
      <c r="AW303" s="33">
        <f>IF(B303="","",IF(OR(AR303="",AR303=0),"",AV303/AR303))</f>
        <v>0</v>
      </c>
      <c r="AX303" s="33">
        <f>IF(B303="","",IF(OR(AT303="",AT303=0),"",AV303/AT303))</f>
        <v>0</v>
      </c>
      <c r="AY303" s="20">
        <f>IF(B303="","",IF(OR(Y303="",Y303=0,AV303=""),"",ROUND(AV303/Y303,2)))</f>
        <v>0</v>
      </c>
      <c r="AZ303" s="20">
        <f>IF(B303="","",IF(OR(Y303="",Y303=0,AV303=""),"",ROUND((AV303+Z303)/Y303,2)))</f>
        <v>0</v>
      </c>
      <c r="BA303" s="20">
        <f>IF(B303="","",IF(1-AI303-AL303&lt;=0,"",ROUND((AH303+AM303+AK303)/(1-AI303-AL303),2)))</f>
        <v>0</v>
      </c>
      <c r="BB303" s="20">
        <f>IF(B303="","",IF(AT303="","",ROUND(AT303*2,2)))</f>
        <v>0</v>
      </c>
      <c r="BC303" s="20">
        <f>IF(B303="","",IF(AR303="","",ROUND(AR303*(1-WholesaleDiscount),2)))</f>
        <v>0</v>
      </c>
      <c r="BD303" s="20">
        <f>IF(B303="","",IF(BC303="","",ROUND(BC303-AH303-AM303,2)))</f>
        <v>0</v>
      </c>
      <c r="BE303" s="33">
        <f>IF(B303="","",IF(OR(BC303="",BC303=0),"",BD303/BC303))</f>
        <v>0</v>
      </c>
      <c r="BF303" s="20">
        <f>IF(B303="","",IFERROR(ROUND(AVERAGEIFS(Competitors!$F$5:$F$154,Competitors!$A$5:$A$154,A303),2),""))</f>
        <v>0</v>
      </c>
      <c r="BG303" s="33">
        <f>IF(B303="","",IF(OR(BF303="",BF303=0,AR303=""),"",AR303/BF303-1))</f>
        <v>0</v>
      </c>
      <c r="BH303" s="32">
        <f>IF(B303="","",SUMIFS(Sales!$D$5:$D$804,Sales!$C$5:$C$804,A303))</f>
        <v>0</v>
      </c>
      <c r="BI303" s="20">
        <f>IF(B303="","",ROUND(SUMIFS(Sales!$V$5:$V$804,Sales!$C$5:$C$804,A303),2))</f>
        <v>0</v>
      </c>
      <c r="BJ303" s="20">
        <f>IF(B303="","",ROUND(SUMIFS(Sales!$AG$5:$AG$804,Sales!$C$5:$C$804,A303),2))</f>
        <v>0</v>
      </c>
      <c r="BK303" s="33">
        <f>IF(B303="","",IF(OR(BI303="",BI303=0),"",BJ303/BI303))</f>
        <v>0</v>
      </c>
      <c r="BL303" s="17">
        <f>IF(B303="","",IF(SUMPRODUCT(MAX((Sales!$C$5:$C$804=A303)*Sales!$B$5:$B$804))=0,"",SUMPRODUCT(MAX((Sales!$C$5:$C$804=A303)*Sales!$B$5:$B$804))))</f>
        <v>0</v>
      </c>
      <c r="BM303" s="17">
        <f>IF(B303="","",IF(SUMPRODUCT(MAX(('Price History'!$B$5:$B$304=A303)*'Price History'!$A$5:$A$304))=0,IF(P303="","",P303),SUMPRODUCT(MAX(('Price History'!$B$5:$B$304=A303)*'Price History'!$A$5:$A$304))))</f>
        <v>0</v>
      </c>
      <c r="BN303" s="32">
        <f>IF(B303="","",IF(BM303="","",TodayDate-BM303))</f>
        <v>0</v>
      </c>
      <c r="BO303" s="32">
        <f>IF(B303="","",COUNTIFS($AV$5:$AV$304,"&gt;"&amp;AV303)+COUNTIFS($AV$5:AV303,AV303))</f>
        <v>0</v>
      </c>
      <c r="BP303" s="32">
        <f>IF(B303="","",COUNTIFS($AW$5:$AW$304,"&gt;"&amp;AW303)+COUNTIFS($AW$5:AW303,AW303))</f>
        <v>0</v>
      </c>
      <c r="BQ303" s="32">
        <f>IF(B303="","",COUNTIFS($BI$5:$BI$304,"&gt;"&amp;BI303)+COUNTIFS($BI$5:BI303,BI303))</f>
        <v>0</v>
      </c>
      <c r="BR303" s="32">
        <f>IF(B303="","",COUNTIFS($AY$5:$AY$304,"&gt;"&amp;AY303)+COUNTIFS($AY$5:AY303,AY303))</f>
        <v>0</v>
      </c>
      <c r="BS303" s="43">
        <f>IF(B303="","",IF(AH303=0,"Add - no costs entered yet",IF(AR303="","Check - no price yet",IF(AV303&lt;0,"Loss - every sale costs you money",IF(AND(AZ303&lt;&gt;"",AZ303&lt;MinimumWage),"Below - pays under minimum wage",IF(AW303&lt;MarginWarning,"Low margin - re-price it",IF(AND(AF303&lt;&gt;"",K303&lt;&gt;"",K303+AC303&gt;AF303),"Check - too heavy for that postage band",IF(AND(BN303&lt;&gt;"",BN303&gt;PriceReviewDays),"Due - price has not been reviewed",IF(AND(BG303&lt;&gt;"",BG303&gt;0.5),"Check - well above the market","OK")))))))) )</f>
        <v>0</v>
      </c>
    </row>
    <row r="304" spans="1:71">
      <c r="A304" s="38">
        <f>IF(B304="","",ProductPrefix&amp;TEXT(ROW()-4,"0000"))</f>
        <v>0</v>
      </c>
      <c r="S304" s="38">
        <f>IF(B304="","",IF(C304&lt;&gt;"",C304,UPPER(LEFT(IF(D304="","GEN",D304),3))&amp;"-"&amp;TEXT(ROW()-4,"000")))</f>
        <v>0</v>
      </c>
      <c r="T304" s="20">
        <f>IF(B304="","",ROUND(SUMIFS('Material Usage'!$M$5:$M$904,'Material Usage'!$A$5:$A$904,A304)+SUMIFS(Crochet!$AD$5:$AD$84,Crochet!$A$5:$A$84,A304)+SUMIFS(Jewelry!$AF$5:$AF$84,Jewelry!$A$5:$A$84,A304)+SUMIFS(Candles!$AF$5:$AF$84,Candles!$A$5:$A$84,A304)+SUMIFS(Clothing!$AB$5:$AB$84,Clothing!$A$5:$A$84,A304)+SUMIFS(Woodworking!$AC$5:$AC$84,Woodworking!$A$5:$A$84,A304)+SUMIFS(Digital!$X$5:$X$84,Digital!$A$5:$A$84,A304),2))</f>
        <v>0</v>
      </c>
      <c r="U304" s="20">
        <f>IF(B304="","",ROUND(SUMIFS(Labor!$O$5:$O$304,Labor!$A$5:$A$304,A304)+SUMIFS(Crochet!$AG$5:$AG$84,Crochet!$A$5:$A$84,A304)+SUMIFS(Jewelry!$AI$5:$AI$84,Jewelry!$A$5:$A$84,A304)+SUMIFS(Candles!$AI$5:$AI$84,Candles!$A$5:$A$84,A304)+SUMIFS(Clothing!$AE$5:$AE$84,Clothing!$A$5:$A$84,A304)+SUMIFS(Woodworking!$AF$5:$AF$84,Woodworking!$A$5:$A$84,A304)+SUMIFS(Digital!$Z$5:$Z$84,Digital!$A$5:$A$84,A304),2))</f>
        <v>0</v>
      </c>
      <c r="V304" s="36">
        <f>IF(B304="","",ROUND(SUMIFS(Labor!$P$5:$P$304,Labor!$A$5:$A$304,A304)+SUMIFS(Crochet!$AE$5:$AE$84,Crochet!$A$5:$A$84,A304)+SUMIFS(Jewelry!$AG$5:$AG$84,Jewelry!$A$5:$A$84,A304)+SUMIFS(Candles!$AG$5:$AG$84,Candles!$A$5:$A$84,A304)+SUMIFS(Clothing!$AC$5:$AC$84,Clothing!$A$5:$A$84,A304)+SUMIFS(Woodworking!$AD$5:$AD$84,Woodworking!$A$5:$A$84,A304)+SUMIFS(Digital!$Y$5:$Y$84,Digital!$A$5:$A$84,A304),1))</f>
        <v>0</v>
      </c>
      <c r="W304" s="41">
        <f>IF(B304="","",IFERROR(INDEX(DiffTimeFactors,MATCH(G304,DiffNames,0)),1))</f>
        <v>0</v>
      </c>
      <c r="X304" s="36">
        <f>IF(B304="","",ROUND(V304*W304,1))</f>
        <v>0</v>
      </c>
      <c r="Y304" s="41">
        <f>IF(B304="","",ROUND(X304/60,3))</f>
        <v>0</v>
      </c>
      <c r="Z304" s="20">
        <f>IF(B304="","",ROUND(U304*W304,2))</f>
        <v>0</v>
      </c>
      <c r="AA304" s="20">
        <f>IF(B304="","",ROUND(SUMIFS(Labor!$Q$5:$Q$304,Labor!$A$5:$A$304,A304)+SUMIFS(Crochet!$AH$5:$AH$84,Crochet!$A$5:$A$84,A304)+SUMIFS(Jewelry!$AJ$5:$AJ$84,Jewelry!$A$5:$A$84,A304)+SUMIFS(Candles!$AJ$5:$AJ$84,Candles!$A$5:$A$84,A304)+SUMIFS(Clothing!$AF$5:$AF$84,Clothing!$A$5:$A$84,A304)+SUMIFS(Woodworking!$AH$5:$AH$84,Woodworking!$A$5:$A$84,A304)+SUMIFS(Digital!$AA$5:$AA$84,Digital!$A$5:$A$84,A304),2))</f>
        <v>0</v>
      </c>
      <c r="AB304" s="20">
        <f>IF(B304="","",ROUND(IF(I304="Budget",PackBudget,IF(I304="Standard",PackStandard,IF(I304="Gift",PackGift,IF(I304="Premium",PackPremium,DefaultPackaging)))),2))</f>
        <v>0</v>
      </c>
      <c r="AC304" s="36">
        <f>IF(B304="","",IF(I304="Budget",PackWeightBudget,IF(I304="Standard",PackWeightStandard,IF(I304="Gift",PackWeightGift,IF(I304="Premium",PackWeightPremium,0)))))</f>
        <v>0</v>
      </c>
      <c r="AD304" s="20">
        <f>IF(B304="","",IFERROR(INDEX(Shipping!$M$5:$M$64,MATCH(J304,Shipping!$L$5:$L$64,0)),DefaultShipping))</f>
        <v>0</v>
      </c>
      <c r="AE304" s="20">
        <f>IF(B304="","",IFERROR(INDEX(Shipping!$F$5:$F$64,MATCH(J304,Shipping!$L$5:$L$64,0)),0))</f>
        <v>0</v>
      </c>
      <c r="AF304" s="36">
        <f>IF(B304="","",IFERROR(INDEX(Shipping!$C$5:$C$64,MATCH(J304,Shipping!$L$5:$L$64,0)),""))</f>
        <v>0</v>
      </c>
      <c r="AG304" s="20">
        <f>IF(B304="","",ROUND(MAX(0,AD304-AE304),2))</f>
        <v>0</v>
      </c>
      <c r="AH304" s="20">
        <f>IF(B304="","",ROUND(T304+Z304+AA304+AB304+AG304,2))</f>
        <v>0</v>
      </c>
      <c r="AI304" s="33">
        <f>IF(B304="","",IFERROR(INDEX(Channels!$S$5:$S$18,MATCH(IF(H304="",DefaultChannel,H304),Channels!$A$5:$A$18,0)),0))</f>
        <v>0</v>
      </c>
      <c r="AJ304" s="42">
        <f>IF(B304="","",IFERROR(INDEX(Channels!$O$5:$O$18,MATCH(IF(H304="",DefaultChannel,H304),Channels!$A$5:$A$18,0)),"No"))</f>
        <v>0</v>
      </c>
      <c r="AK304" s="20">
        <f>IF(B304="","",ROUND(IFERROR(INDEX(Channels!$T$5:$T$18,MATCH(IF(H304="",DefaultChannel,H304),Channels!$A$5:$A$18,0)),0)+IF(AJ304="Yes",AE304*AI304,0),4))</f>
        <v>0</v>
      </c>
      <c r="AL304" s="33">
        <f>IF(B304="","",IF(OverheadMethod="Share of revenue",IF(RevenueTargetMonth&lt;=0,0,OverheadMonthly/RevenueTargetMonth),0))</f>
        <v>0</v>
      </c>
      <c r="AM304" s="20">
        <f>IF(B304="","",IF(OverheadMethod="Per hour worked",ROUND(OverheadPerHour*Y304,2),IF(OR(OverheadMethod="Per unit made",OverheadMethod="Per order"),OverheadPerUnit,0)))</f>
        <v>0</v>
      </c>
      <c r="AN304" s="33">
        <f>IF(B304="","",IF(N304&lt;&gt;"",N304,TargetRetailMargin))</f>
        <v>0</v>
      </c>
      <c r="AO304" s="41">
        <f>IF(B304="","",1-AN304-AI304-AL304)</f>
        <v>0</v>
      </c>
      <c r="AP304" s="20">
        <f>IF(B304="","",IF(AO304&lt;=0,"",(AH304+AM304+AK304)/AO304))</f>
        <v>0</v>
      </c>
      <c r="AQ304" s="20">
        <f>IF(B304="","",IF(AP304="","Check the settings",ROUND(IF(RoundingRule="None",AP304,IF(RoundingRule="Nearest 0.99",MAX(0.99,CEILING(AP304,1)-0.01),IF(RoundingRule="Nearest 0.95",MAX(0.95,CEILING(AP304,1)-0.05),IF(RoundingRule="Nearest 0.50",CEILING(AP304,0.5),IF(RoundingRule="Nearest 1",CEILING(AP304,1),IF(RoundingRule="Nearest 5",CEILING(AP304,5),IF(RoundingRule="Up to whole 1",CEILING(AP304,1),IF(RoundingRule="Up to whole 5",CEILING(AP304,5),ROUND(AP304,2))))))))),2)))</f>
        <v>0</v>
      </c>
      <c r="AR304" s="20">
        <f>IF(B304="","",IF(M304&lt;&gt;"",M304,IF(ISNUMBER(AQ304),AQ304,"")))</f>
        <v>0</v>
      </c>
      <c r="AS304" s="20">
        <f>IF(B304="","",IF(AR304="","",ROUND(AM304+AR304*AL304,2)))</f>
        <v>0</v>
      </c>
      <c r="AT304" s="20">
        <f>IF(B304="","",IF(AR304="","",ROUND(AH304+AS304,2)))</f>
        <v>0</v>
      </c>
      <c r="AU304" s="20">
        <f>IF(B304="","",IF(AR304="","",ROUND(AR304*AI304+AK304,2)))</f>
        <v>0</v>
      </c>
      <c r="AV304" s="20">
        <f>IF(B304="","",IF(AR304="","",ROUND(AR304-AT304-AU304,2)))</f>
        <v>0</v>
      </c>
      <c r="AW304" s="33">
        <f>IF(B304="","",IF(OR(AR304="",AR304=0),"",AV304/AR304))</f>
        <v>0</v>
      </c>
      <c r="AX304" s="33">
        <f>IF(B304="","",IF(OR(AT304="",AT304=0),"",AV304/AT304))</f>
        <v>0</v>
      </c>
      <c r="AY304" s="20">
        <f>IF(B304="","",IF(OR(Y304="",Y304=0,AV304=""),"",ROUND(AV304/Y304,2)))</f>
        <v>0</v>
      </c>
      <c r="AZ304" s="20">
        <f>IF(B304="","",IF(OR(Y304="",Y304=0,AV304=""),"",ROUND((AV304+Z304)/Y304,2)))</f>
        <v>0</v>
      </c>
      <c r="BA304" s="20">
        <f>IF(B304="","",IF(1-AI304-AL304&lt;=0,"",ROUND((AH304+AM304+AK304)/(1-AI304-AL304),2)))</f>
        <v>0</v>
      </c>
      <c r="BB304" s="20">
        <f>IF(B304="","",IF(AT304="","",ROUND(AT304*2,2)))</f>
        <v>0</v>
      </c>
      <c r="BC304" s="20">
        <f>IF(B304="","",IF(AR304="","",ROUND(AR304*(1-WholesaleDiscount),2)))</f>
        <v>0</v>
      </c>
      <c r="BD304" s="20">
        <f>IF(B304="","",IF(BC304="","",ROUND(BC304-AH304-AM304,2)))</f>
        <v>0</v>
      </c>
      <c r="BE304" s="33">
        <f>IF(B304="","",IF(OR(BC304="",BC304=0),"",BD304/BC304))</f>
        <v>0</v>
      </c>
      <c r="BF304" s="20">
        <f>IF(B304="","",IFERROR(ROUND(AVERAGEIFS(Competitors!$F$5:$F$154,Competitors!$A$5:$A$154,A304),2),""))</f>
        <v>0</v>
      </c>
      <c r="BG304" s="33">
        <f>IF(B304="","",IF(OR(BF304="",BF304=0,AR304=""),"",AR304/BF304-1))</f>
        <v>0</v>
      </c>
      <c r="BH304" s="32">
        <f>IF(B304="","",SUMIFS(Sales!$D$5:$D$804,Sales!$C$5:$C$804,A304))</f>
        <v>0</v>
      </c>
      <c r="BI304" s="20">
        <f>IF(B304="","",ROUND(SUMIFS(Sales!$V$5:$V$804,Sales!$C$5:$C$804,A304),2))</f>
        <v>0</v>
      </c>
      <c r="BJ304" s="20">
        <f>IF(B304="","",ROUND(SUMIFS(Sales!$AG$5:$AG$804,Sales!$C$5:$C$804,A304),2))</f>
        <v>0</v>
      </c>
      <c r="BK304" s="33">
        <f>IF(B304="","",IF(OR(BI304="",BI304=0),"",BJ304/BI304))</f>
        <v>0</v>
      </c>
      <c r="BL304" s="17">
        <f>IF(B304="","",IF(SUMPRODUCT(MAX((Sales!$C$5:$C$804=A304)*Sales!$B$5:$B$804))=0,"",SUMPRODUCT(MAX((Sales!$C$5:$C$804=A304)*Sales!$B$5:$B$804))))</f>
        <v>0</v>
      </c>
      <c r="BM304" s="17">
        <f>IF(B304="","",IF(SUMPRODUCT(MAX(('Price History'!$B$5:$B$304=A304)*'Price History'!$A$5:$A$304))=0,IF(P304="","",P304),SUMPRODUCT(MAX(('Price History'!$B$5:$B$304=A304)*'Price History'!$A$5:$A$304))))</f>
        <v>0</v>
      </c>
      <c r="BN304" s="32">
        <f>IF(B304="","",IF(BM304="","",TodayDate-BM304))</f>
        <v>0</v>
      </c>
      <c r="BO304" s="32">
        <f>IF(B304="","",COUNTIFS($AV$5:$AV$304,"&gt;"&amp;AV304)+COUNTIFS($AV$5:AV304,AV304))</f>
        <v>0</v>
      </c>
      <c r="BP304" s="32">
        <f>IF(B304="","",COUNTIFS($AW$5:$AW$304,"&gt;"&amp;AW304)+COUNTIFS($AW$5:AW304,AW304))</f>
        <v>0</v>
      </c>
      <c r="BQ304" s="32">
        <f>IF(B304="","",COUNTIFS($BI$5:$BI$304,"&gt;"&amp;BI304)+COUNTIFS($BI$5:BI304,BI304))</f>
        <v>0</v>
      </c>
      <c r="BR304" s="32">
        <f>IF(B304="","",COUNTIFS($AY$5:$AY$304,"&gt;"&amp;AY304)+COUNTIFS($AY$5:AY304,AY304))</f>
        <v>0</v>
      </c>
      <c r="BS304" s="43">
        <f>IF(B304="","",IF(AH304=0,"Add - no costs entered yet",IF(AR304="","Check - no price yet",IF(AV304&lt;0,"Loss - every sale costs you money",IF(AND(AZ304&lt;&gt;"",AZ304&lt;MinimumWage),"Below - pays under minimum wage",IF(AW304&lt;MarginWarning,"Low margin - re-price it",IF(AND(AF304&lt;&gt;"",K304&lt;&gt;"",K304+AC304&gt;AF304),"Check - too heavy for that postage band",IF(AND(BN304&lt;&gt;"",BN304&gt;PriceReviewDays),"Due - price has not been reviewed",IF(AND(BG304&lt;&gt;"",BG304&gt;0.5),"Check - well above the market","OK")))))))) )</f>
        <v>0</v>
      </c>
    </row>
    <row r="306" spans="1:71" ht="20" customHeight="1">
      <c r="A306" s="7" t="s">
        <v>560</v>
      </c>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row>
    <row r="307" spans="1:71" ht="26" customHeight="1">
      <c r="A307" s="8" t="s">
        <v>26</v>
      </c>
      <c r="B307" s="9" t="s">
        <v>513</v>
      </c>
      <c r="C307" s="9" t="s">
        <v>431</v>
      </c>
      <c r="D307" s="9" t="s">
        <v>430</v>
      </c>
      <c r="E307" s="9" t="s">
        <v>374</v>
      </c>
      <c r="F307" s="9" t="s">
        <v>561</v>
      </c>
      <c r="G307" s="9" t="s">
        <v>562</v>
      </c>
      <c r="H307" s="9" t="s">
        <v>563</v>
      </c>
      <c r="I307" s="9" t="s">
        <v>564</v>
      </c>
    </row>
    <row r="308" spans="1:71">
      <c r="A308" s="32">
        <f>COUNTIF(Products!$B$5:$B$304,"&lt;&gt;")</f>
        <v>0</v>
      </c>
      <c r="B308" s="32">
        <f>COUNTIFS(Products!$E$5:$E$304,"Active")+COUNTIFS(Products!$E$5:$E$304,"Made to order")</f>
        <v>0</v>
      </c>
      <c r="C308" s="20">
        <f>IFERROR(ROUND(AVERAGE(Products!$AR$5:$AR$304),2),"")</f>
        <v>0</v>
      </c>
      <c r="D308" s="20">
        <f>IFERROR(ROUND(AVERAGE(Products!$AT$5:$AT$304),2),"")</f>
        <v>0</v>
      </c>
      <c r="E308" s="33">
        <f>IFERROR(AVERAGE(Products!$AW$5:$AW$304),"")</f>
        <v>0</v>
      </c>
      <c r="F308" s="32">
        <f>COUNTIFS(Products!$AV$5:$AV$304,"&lt;0")</f>
        <v>0</v>
      </c>
      <c r="G308" s="32">
        <f>COUNTIFS(Products!$AW$5:$AW$304,"&lt;"&amp;MarginWarning)</f>
        <v>0</v>
      </c>
      <c r="H308" s="32">
        <f>COUNTIFS(Products!$AZ$5:$AZ$304,"&lt;"&amp;MinimumWage,Products!$B$5:$B$304,"&lt;&gt;")</f>
        <v>0</v>
      </c>
      <c r="I308" s="20">
        <f>IFERROR(ROUND(AVERAGE(Products!$AY$5:$AY$304),2),"")</f>
        <v>0</v>
      </c>
    </row>
  </sheetData>
  <sheetProtection password="EC7C" sheet="1" objects="1" scenarios="1" formatCells="0" formatColumns="0" formatRows="0" insertRows="0" insertHyperlinks="0" deleteRows="0" autoFilter="0"/>
  <autoFilter ref="A4:BS304"/>
  <mergeCells count="14">
    <mergeCell ref="A1:BP1"/>
    <mergeCell ref="BQ1:BS1"/>
    <mergeCell ref="A2:BS2"/>
    <mergeCell ref="A3:B3"/>
    <mergeCell ref="C3:D3"/>
    <mergeCell ref="E3:F3"/>
    <mergeCell ref="G3:H3"/>
    <mergeCell ref="I3:J3"/>
    <mergeCell ref="K3:L3"/>
    <mergeCell ref="M3:N3"/>
    <mergeCell ref="O3:P3"/>
    <mergeCell ref="Q3:R3"/>
    <mergeCell ref="S3:BS3"/>
    <mergeCell ref="A306:BS306"/>
  </mergeCells>
  <conditionalFormatting sqref="AV5:AV304">
    <cfRule type="cellIs" dxfId="5" priority="47" operator="lessThan">
      <formula>0</formula>
    </cfRule>
    <cfRule type="cellIs" dxfId="1" priority="48" operator="greaterThan">
      <formula>0</formula>
    </cfRule>
  </conditionalFormatting>
  <conditionalFormatting sqref="AW5:AW304">
    <cfRule type="cellIs" dxfId="2" priority="49" operator="lessThan">
      <formula>0</formula>
    </cfRule>
    <cfRule type="cellIs" dxfId="0" priority="50" operator="lessThan">
      <formula>MarginWarning</formula>
    </cfRule>
    <cfRule type="cellIs" dxfId="1" priority="51" operator="greaterThanOrEqual">
      <formula>MarginWarning</formula>
    </cfRule>
  </conditionalFormatting>
  <conditionalFormatting sqref="AY5:AY304">
    <cfRule type="cellIs" dxfId="2" priority="52" operator="lessThan">
      <formula>0</formula>
    </cfRule>
  </conditionalFormatting>
  <conditionalFormatting sqref="AZ5:AZ304">
    <cfRule type="cellIs" dxfId="2" priority="53" operator="lessThan">
      <formula>MinimumWage</formula>
    </cfRule>
  </conditionalFormatting>
  <conditionalFormatting sqref="BD5:BD304">
    <cfRule type="cellIs" dxfId="5" priority="54" operator="lessThan">
      <formula>0</formula>
    </cfRule>
    <cfRule type="cellIs" dxfId="1" priority="55" operator="greaterThan">
      <formula>0</formula>
    </cfRule>
  </conditionalFormatting>
  <conditionalFormatting sqref="BE5:BE304">
    <cfRule type="cellIs" dxfId="2" priority="56" operator="lessThan">
      <formula>0</formula>
    </cfRule>
    <cfRule type="cellIs" dxfId="0" priority="57" operator="lessThan">
      <formula>TargetWholesaleMargin</formula>
    </cfRule>
    <cfRule type="cellIs" dxfId="1" priority="58" operator="greaterThanOrEqual">
      <formula>TargetWholesaleMargin</formula>
    </cfRule>
  </conditionalFormatting>
  <conditionalFormatting sqref="BJ5:BJ304">
    <cfRule type="cellIs" dxfId="5" priority="59" operator="lessThan">
      <formula>0</formula>
    </cfRule>
    <cfRule type="cellIs" dxfId="1" priority="60" operator="greaterThan">
      <formula>0</formula>
    </cfRule>
  </conditionalFormatting>
  <conditionalFormatting sqref="BN5:BN304">
    <cfRule type="cellIs" dxfId="0" priority="61" operator="greaterThan">
      <formula>PriceReviewDays</formula>
    </cfRule>
  </conditionalFormatting>
  <conditionalFormatting sqref="BS5:BS304">
    <cfRule type="beginsWith" dxfId="1" priority="62" operator="beginsWith" text="OK">
      <formula>LEFT(BS5,2)="OK"</formula>
    </cfRule>
    <cfRule type="containsText" dxfId="2" priority="63" operator="containsText" text="Overdue">
      <formula>NOT(ISERROR(SEARCH("Overdue",BS5)))</formula>
    </cfRule>
    <cfRule type="containsText" dxfId="2" priority="64" operator="containsText" text="Late">
      <formula>NOT(ISERROR(SEARCH("Late",BS5)))</formula>
    </cfRule>
    <cfRule type="containsText" dxfId="2" priority="65" operator="containsText" text="Missing">
      <formula>NOT(ISERROR(SEARCH("Missing",BS5)))</formula>
    </cfRule>
    <cfRule type="containsText" dxfId="2" priority="66" operator="containsText" text="Conflict">
      <formula>NOT(ISERROR(SEARCH("Conflict",BS5)))</formula>
    </cfRule>
    <cfRule type="containsText" dxfId="2" priority="67" operator="containsText" text="Clash">
      <formula>NOT(ISERROR(SEARCH("Clash",BS5)))</formula>
    </cfRule>
    <cfRule type="containsText" dxfId="2" priority="68" operator="containsText" text="Expired">
      <formula>NOT(ISERROR(SEARCH("Expired",BS5)))</formula>
    </cfRule>
    <cfRule type="containsText" dxfId="2" priority="69" operator="containsText" text="Duplicate">
      <formula>NOT(ISERROR(SEARCH("Duplicate",BS5)))</formula>
    </cfRule>
    <cfRule type="containsText" dxfId="2" priority="70" operator="containsText" text="Unpaid">
      <formula>NOT(ISERROR(SEARCH("Unpaid",BS5)))</formula>
    </cfRule>
    <cfRule type="containsText" dxfId="2" priority="71" operator="containsText" text="Loss">
      <formula>NOT(ISERROR(SEARCH("Loss",BS5)))</formula>
    </cfRule>
    <cfRule type="containsText" dxfId="2" priority="72" operator="containsText" text="Below">
      <formula>NOT(ISERROR(SEARCH("Below",BS5)))</formula>
    </cfRule>
    <cfRule type="containsText" dxfId="0" priority="73" operator="containsText" text="Action">
      <formula>NOT(ISERROR(SEARCH("Action",BS5)))</formula>
    </cfRule>
    <cfRule type="containsText" dxfId="0" priority="74" operator="containsText" text="Due">
      <formula>NOT(ISERROR(SEARCH("Due",BS5)))</formula>
    </cfRule>
    <cfRule type="containsText" dxfId="0" priority="75" operator="containsText" text="Check">
      <formula>NOT(ISERROR(SEARCH("Check",BS5)))</formula>
    </cfRule>
    <cfRule type="containsText" dxfId="0" priority="76" operator="containsText" text="Chase">
      <formula>NOT(ISERROR(SEARCH("Chase",BS5)))</formula>
    </cfRule>
    <cfRule type="containsText" dxfId="0" priority="77" operator="containsText" text="Assign">
      <formula>NOT(ISERROR(SEARCH("Assign",BS5)))</formula>
    </cfRule>
    <cfRule type="containsText" dxfId="0" priority="78" operator="containsText" text="Confirm">
      <formula>NOT(ISERROR(SEARCH("Confirm",BS5)))</formula>
    </cfRule>
    <cfRule type="containsText" dxfId="0" priority="79" operator="containsText" text="Order">
      <formula>NOT(ISERROR(SEARCH("Order",BS5)))</formula>
    </cfRule>
    <cfRule type="containsText" dxfId="3" priority="80" operator="containsText" text="Today">
      <formula>NOT(ISERROR(SEARCH("Today",BS5)))</formula>
    </cfRule>
    <cfRule type="containsText" dxfId="3" priority="81" operator="containsText" text="Upcoming">
      <formula>NOT(ISERROR(SEARCH("Upcoming",BS5)))</formula>
    </cfRule>
    <cfRule type="containsText" dxfId="3" priority="82" operator="containsText" text="Tomorrow">
      <formula>NOT(ISERROR(SEARCH("Tomorrow",BS5)))</formula>
    </cfRule>
  </conditionalFormatting>
  <conditionalFormatting sqref="E5:E304">
    <cfRule type="containsText" dxfId="1" priority="1" operator="containsText" text="Completed">
      <formula>NOT(ISERROR(SEARCH("Completed",E5)))</formula>
    </cfRule>
    <cfRule type="containsText" dxfId="1" priority="2" operator="containsText" text="Complete">
      <formula>NOT(ISERROR(SEARCH("Complete",E5)))</formula>
    </cfRule>
    <cfRule type="containsText" dxfId="1" priority="3" operator="containsText" text="Done">
      <formula>NOT(ISERROR(SEARCH("Done",E5)))</formula>
    </cfRule>
    <cfRule type="containsText" dxfId="1" priority="4" operator="containsText" text="Paid">
      <formula>NOT(ISERROR(SEARCH("Paid",E5)))</formula>
    </cfRule>
    <cfRule type="containsText" dxfId="1" priority="5" operator="containsText" text="Accepted">
      <formula>NOT(ISERROR(SEARCH("Accepted",E5)))</formula>
    </cfRule>
    <cfRule type="containsText" dxfId="1" priority="6" operator="containsText" text="Won">
      <formula>NOT(ISERROR(SEARCH("Won",E5)))</formula>
    </cfRule>
    <cfRule type="containsText" dxfId="1" priority="7" operator="containsText" text="Active">
      <formula>NOT(ISERROR(SEARCH("Active",E5)))</formula>
    </cfRule>
    <cfRule type="containsText" dxfId="1" priority="8" operator="containsText" text="In stock">
      <formula>NOT(ISERROR(SEARCH("In stock",E5)))</formula>
    </cfRule>
    <cfRule type="containsText" dxfId="1" priority="9" operator="containsText" text="Resolved">
      <formula>NOT(ISERROR(SEARCH("Resolved",E5)))</formula>
    </cfRule>
    <cfRule type="containsText" dxfId="1" priority="10" operator="containsText" text="Signed">
      <formula>NOT(ISERROR(SEARCH("Signed",E5)))</formula>
    </cfRule>
    <cfRule type="containsText" dxfId="1" priority="11" operator="containsText" text="Yes">
      <formula>NOT(ISERROR(SEARCH("Yes",E5)))</formula>
    </cfRule>
    <cfRule type="containsText" dxfId="3" priority="12" operator="containsText" text="Booked">
      <formula>NOT(ISERROR(SEARCH("Booked",E5)))</formula>
    </cfRule>
    <cfRule type="containsText" dxfId="3" priority="13" operator="containsText" text="Confirmed">
      <formula>NOT(ISERROR(SEARCH("Confirmed",E5)))</formula>
    </cfRule>
    <cfRule type="containsText" dxfId="3" priority="14" operator="containsText" text="Scheduled">
      <formula>NOT(ISERROR(SEARCH("Scheduled",E5)))</formula>
    </cfRule>
    <cfRule type="containsText" dxfId="3" priority="15" operator="containsText" text="In progress">
      <formula>NOT(ISERROR(SEARCH("In progress",E5)))</formula>
    </cfRule>
    <cfRule type="containsText" dxfId="3" priority="16" operator="containsText" text="Sent">
      <formula>NOT(ISERROR(SEARCH("Sent",E5)))</formula>
    </cfRule>
    <cfRule type="containsText" dxfId="3" priority="17" operator="containsText" text="Invoiced">
      <formula>NOT(ISERROR(SEARCH("Invoiced",E5)))</formula>
    </cfRule>
    <cfRule type="containsText" dxfId="3" priority="18" operator="containsText" text="Quoted">
      <formula>NOT(ISERROR(SEARCH("Quoted",E5)))</formula>
    </cfRule>
    <cfRule type="containsText" dxfId="3" priority="19" operator="containsText" text="Prospect">
      <formula>NOT(ISERROR(SEARCH("Prospect",E5)))</formula>
    </cfRule>
    <cfRule type="containsText" dxfId="0" priority="20" operator="containsText" text="Draft">
      <formula>NOT(ISERROR(SEARCH("Draft",E5)))</formula>
    </cfRule>
    <cfRule type="containsText" dxfId="0" priority="21" operator="containsText" text="Enquiry">
      <formula>NOT(ISERROR(SEARCH("Enquiry",E5)))</formula>
    </cfRule>
    <cfRule type="containsText" dxfId="0" priority="22" operator="containsText" text="Pending">
      <formula>NOT(ISERROR(SEARCH("Pending",E5)))</formula>
    </cfRule>
    <cfRule type="containsText" dxfId="0" priority="23" operator="containsText" text="Part paid">
      <formula>NOT(ISERROR(SEARCH("Part paid",E5)))</formula>
    </cfRule>
    <cfRule type="containsText" dxfId="0" priority="24" operator="containsText" text="Followed up">
      <formula>NOT(ISERROR(SEARCH("Followed up",E5)))</formula>
    </cfRule>
    <cfRule type="containsText" dxfId="0" priority="25" operator="containsText" text="Low stock">
      <formula>NOT(ISERROR(SEARCH("Low stock",E5)))</formula>
    </cfRule>
    <cfRule type="containsText" dxfId="0" priority="26" operator="containsText" text="Due soon">
      <formula>NOT(ISERROR(SEARCH("Due soon",E5)))</formula>
    </cfRule>
    <cfRule type="containsText" dxfId="0" priority="27" operator="containsText" text="On hold">
      <formula>NOT(ISERROR(SEARCH("On hold",E5)))</formula>
    </cfRule>
    <cfRule type="containsText" dxfId="0" priority="28" operator="containsText" text="Unassigned">
      <formula>NOT(ISERROR(SEARCH("Unassigned",E5)))</formula>
    </cfRule>
    <cfRule type="containsText" dxfId="2" priority="29" operator="containsText" text="Overdue">
      <formula>NOT(ISERROR(SEARCH("Overdue",E5)))</formula>
    </cfRule>
    <cfRule type="containsText" dxfId="2" priority="30" operator="containsText" text="Cancelled">
      <formula>NOT(ISERROR(SEARCH("Cancelled",E5)))</formula>
    </cfRule>
    <cfRule type="containsText" dxfId="2" priority="31" operator="containsText" text="Declined">
      <formula>NOT(ISERROR(SEARCH("Declined",E5)))</formula>
    </cfRule>
    <cfRule type="containsText" dxfId="2" priority="32" operator="containsText" text="Lost">
      <formula>NOT(ISERROR(SEARCH("Lost",E5)))</formula>
    </cfRule>
    <cfRule type="containsText" dxfId="2" priority="33" operator="containsText" text="No access">
      <formula>NOT(ISERROR(SEARCH("No access",E5)))</formula>
    </cfRule>
    <cfRule type="containsText" dxfId="2" priority="34" operator="containsText" text="Out of stock">
      <formula>NOT(ISERROR(SEARCH("Out of stock",E5)))</formula>
    </cfRule>
    <cfRule type="containsText" dxfId="2" priority="35" operator="containsText" text="Written off">
      <formula>NOT(ISERROR(SEARCH("Written off",E5)))</formula>
    </cfRule>
    <cfRule type="containsText" dxfId="2" priority="36" operator="containsText" text="Expired">
      <formula>NOT(ISERROR(SEARCH("Expired",E5)))</formula>
    </cfRule>
    <cfRule type="containsText" dxfId="4" priority="37" operator="containsText" text="Discontinued">
      <formula>NOT(ISERROR(SEARCH("Discontinued",E5)))</formula>
    </cfRule>
    <cfRule type="containsText" dxfId="4" priority="38" operator="containsText" text="Idea">
      <formula>NOT(ISERROR(SEARCH("Idea",E5)))</formula>
    </cfRule>
    <cfRule type="containsText" dxfId="0" priority="39" operator="containsText" text="Prototype">
      <formula>NOT(ISERROR(SEARCH("Prototype",E5)))</formula>
    </cfRule>
    <cfRule type="containsText" dxfId="3" priority="40" operator="containsText" text="Made to order">
      <formula>NOT(ISERROR(SEARCH("Made to order",E5)))</formula>
    </cfRule>
    <cfRule type="containsText" dxfId="3" priority="41" operator="containsText" text="Seasonal">
      <formula>NOT(ISERROR(SEARCH("Seasonal",E5)))</formula>
    </cfRule>
    <cfRule type="containsText" dxfId="0" priority="42" operator="containsText" text="Review">
      <formula>NOT(ISERROR(SEARCH("Review",E5)))</formula>
    </cfRule>
    <cfRule type="containsText" dxfId="0" priority="43" operator="containsText" text="Raise price">
      <formula>NOT(ISERROR(SEARCH("Raise price",E5)))</formula>
    </cfRule>
    <cfRule type="containsText" dxfId="4" priority="44" operator="containsText" text="Inactive">
      <formula>NOT(ISERROR(SEARCH("Inactive",E5)))</formula>
    </cfRule>
    <cfRule type="containsText" dxfId="4" priority="45" operator="containsText" text="Archived">
      <formula>NOT(ISERROR(SEARCH("Archived",E5)))</formula>
    </cfRule>
    <cfRule type="containsText" dxfId="4" priority="46" operator="containsText" text="Not needed">
      <formula>NOT(ISERROR(SEARCH("Not needed",E5)))</formula>
    </cfRule>
  </conditionalFormatting>
  <dataValidations count="13">
    <dataValidation type="list" allowBlank="1" showInputMessage="1" showErrorMessage="1" sqref="D5:D304">
      <formula1>CategoryList</formula1>
    </dataValidation>
    <dataValidation type="list" allowBlank="1" showInputMessage="1" showErrorMessage="1" sqref="E5:E304">
      <formula1>StatusList</formula1>
    </dataValidation>
    <dataValidation type="list" allowBlank="1" showInputMessage="1" showErrorMessage="1" sqref="F5:F304">
      <formula1>SeasonList</formula1>
    </dataValidation>
    <dataValidation type="list" allowBlank="1" showInputMessage="1" showErrorMessage="1" promptTitle="Difficulty" prompt="Feeds the time factor on the Lists tab, which stretches your estimated minutes." sqref="G5:G304">
      <formula1>DifficultyList</formula1>
    </dataValidation>
    <dataValidation type="list" allowBlank="1" showInputMessage="1" showErrorMessage="1" promptTitle="Main channel" prompt="Which fee schedule this product is priced for. Change it and watch the suggested price move." sqref="H5:H304">
      <formula1>ChannelList</formula1>
    </dataValidation>
    <dataValidation type="list" allowBlank="1" showInputMessage="1" showErrorMessage="1" promptTitle="Packaging" prompt="Picks up the cost and the weight of that profile from the Packaging tab." sqref="I5:I304">
      <formula1>PackProfileList</formula1>
    </dataValidation>
    <dataValidation type="list" allowBlank="1" showInputMessage="1" showErrorMessage="1" promptTitle="Shipping option" prompt="From the Shipping rate card. Only the part you absorb becomes a cost of this product." sqref="J5:J304">
      <formula1>ShipOptions</formula1>
    </dataValidation>
    <dataValidation type="decimal" allowBlank="1" showInputMessage="1" showErrorMessage="1" errorTitle="Check the value" error="Enter a number between 0 and 1000000." promptTitle="Item weight (g)" prompt="The finished piece, before packaging. The workbook warns you when item plus packaging goes over the weight band you chose." sqref="K5:K304">
      <formula1>0</formula1>
      <formula2>1000000</formula2>
    </dataValidation>
    <dataValidation type="whole" allowBlank="1" showInputMessage="1" showErrorMessage="1" errorTitle="Check the value" error="Enter a number between 0 and 100000." sqref="L5:L304">
      <formula1>0</formula1>
      <formula2>100000</formula2>
    </dataValidation>
    <dataValidation type="decimal" allowBlank="1" showInputMessage="1" showErrorMessage="1" errorTitle="Check the value" error="Enter a number between 0 and 1000000." promptTitle="Your price" prompt="What you actually charge. Leave it blank to use the suggested price." sqref="M5:M304">
      <formula1>0</formula1>
      <formula2>1000000</formula2>
    </dataValidation>
    <dataValidation type="decimal" allowBlank="1" showInputMessage="1" showErrorMessage="1" errorTitle="Check the value" error="Enter a number between 0 and 0.95." promptTitle="Target margin" prompt="Per product override. Blank uses the target on the Settings tab." sqref="N5:N304">
      <formula1>0</formula1>
      <formula2>0.95</formula2>
    </dataValidation>
    <dataValidation type="whole" allowBlank="1" showInputMessage="1" showErrorMessage="1" errorTitle="Check the value" error="Enter a number between 0 and 1000000." promptTitle="Made so far" prompt="Lifetime units made, for your own reference - the sales figures come from the Sales tab." sqref="O5:O304">
      <formula1>0</formula1>
      <formula2>1000000</formula2>
    </dataValidation>
    <dataValidation type="date" allowBlank="1" showInputMessage="1" showErrorMessage="1" errorTitle="Check the date" error="Enter a real date between 2000 and 2100." sqref="P5:P304">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&amp;L&amp;"Calibri,Bold"&amp;12&amp;C&amp;"Calibri,Bold"&amp;11Products&amp;R&amp;"Calibri,Italic"&amp;9Handmade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5.xml><?xml version="1.0" encoding="utf-8"?>
<worksheet xmlns="http://schemas.openxmlformats.org/spreadsheetml/2006/main" xmlns:r="http://schemas.openxmlformats.org/officeDocument/2006/relationships">
  <sheetPr>
    <tabColor rgb="FFB5704F"/>
    <pageSetUpPr fitToPage="1"/>
  </sheetPr>
  <dimension ref="A1:AG25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26.7109375" style="15" customWidth="1"/>
    <col min="3" max="3" width="18.7109375" style="15" customWidth="1"/>
    <col min="4" max="4" width="20.7109375" style="15" customWidth="1"/>
    <col min="5" max="5" width="18.7109375" style="15" customWidth="1"/>
    <col min="6" max="6" width="14.7109375" style="15" customWidth="1"/>
    <col min="7" max="7" width="12.7109375" style="21" customWidth="1"/>
    <col min="8" max="8" width="11.7109375" style="15" customWidth="1"/>
    <col min="9" max="9" width="11.7109375" style="18" customWidth="1"/>
    <col min="10" max="10" width="12.7109375" style="18" customWidth="1"/>
    <col min="11" max="11" width="11.7109375" style="19" customWidth="1"/>
    <col min="12" max="12" width="11.7109375" style="19" customWidth="1"/>
    <col min="13" max="13" width="11.7109375" style="21" customWidth="1"/>
    <col min="14" max="14" width="10.7109375" style="21" customWidth="1"/>
    <col min="15" max="15" width="12.7109375" style="18" customWidth="1"/>
    <col min="16" max="16" width="11.7109375" style="22" customWidth="1"/>
    <col min="17" max="17" width="26.7109375" style="40" customWidth="1"/>
    <col min="18" max="18" width="12.7109375" style="20" customWidth="1"/>
    <col min="19" max="19" width="11.7109375" style="45" customWidth="1"/>
    <col min="20" max="20" width="10.7109375" style="13" hidden="1" customWidth="1"/>
    <col min="21" max="21" width="9.7109375" style="41" hidden="1" customWidth="1"/>
    <col min="22" max="22" width="13.7109375" style="45" customWidth="1"/>
    <col min="23" max="23" width="9.7109375" style="33" hidden="1" customWidth="1"/>
    <col min="24" max="24" width="13.7109375" style="45" customWidth="1"/>
    <col min="25" max="25" width="11.7109375" style="20" customWidth="1"/>
    <col min="26" max="26" width="9.7109375" style="32" customWidth="1"/>
    <col min="27" max="27" width="12.7109375" style="36" customWidth="1"/>
    <col min="28" max="28" width="12.7109375" style="20" customWidth="1"/>
    <col min="29" max="29" width="9.7109375" style="32" customWidth="1"/>
    <col min="30" max="30" width="10.7109375" style="33" customWidth="1"/>
    <col min="31" max="31" width="12.7109375" style="43" customWidth="1"/>
    <col min="32" max="32" width="9.7109375" style="32" hidden="1" customWidth="1"/>
    <col min="33" max="33" width="28.7109375" style="43" customWidth="1"/>
    <col min="1" max="1" width="17.7109375" customWidth="1"/>
    <col min="2" max="2" width="12.7109375" customWidth="1"/>
    <col min="3" max="3" width="16.7109375" customWidth="1"/>
    <col min="4" max="4" width="18.7109375" customWidth="1"/>
    <col min="5" max="5" width="19.7109375" customWidth="1"/>
    <col min="6" max="6" width="22.7109375" customWidth="1"/>
    <col min="7" max="7" width="20.7109375" customWidth="1"/>
  </cols>
  <sheetData>
    <row r="1" spans="1:33" ht="34" customHeight="1">
      <c r="A1" s="2" t="s">
        <v>565</v>
      </c>
      <c r="B1" s="2"/>
      <c r="C1" s="2"/>
      <c r="D1" s="2"/>
      <c r="E1" s="2"/>
      <c r="F1" s="2"/>
      <c r="G1" s="2"/>
      <c r="H1" s="2"/>
      <c r="I1" s="2"/>
      <c r="J1" s="2"/>
      <c r="K1" s="2"/>
      <c r="L1" s="2"/>
      <c r="M1" s="2"/>
      <c r="N1" s="2"/>
      <c r="O1" s="2"/>
      <c r="P1" s="2"/>
      <c r="Q1" s="2"/>
      <c r="R1" s="2"/>
      <c r="S1" s="2"/>
      <c r="T1" s="2"/>
      <c r="U1" s="2"/>
      <c r="V1" s="2"/>
      <c r="W1" s="2"/>
      <c r="X1" s="2"/>
      <c r="Y1" s="2"/>
      <c r="Z1" s="2"/>
      <c r="AA1" s="2"/>
      <c r="AB1" s="2"/>
      <c r="AC1" s="2"/>
      <c r="AD1" s="2"/>
      <c r="AE1" s="3" t="s">
        <v>1</v>
      </c>
      <c r="AF1" s="3"/>
      <c r="AG1" s="3"/>
    </row>
    <row r="2" spans="1:33" ht="18" customHeight="1">
      <c r="A2" s="4" t="s">
        <v>566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567</v>
      </c>
      <c r="T3" s="44"/>
      <c r="U3" s="44"/>
      <c r="V3" s="44"/>
      <c r="W3" s="44"/>
      <c r="X3" s="44"/>
      <c r="Y3" s="44"/>
      <c r="Z3" s="44"/>
      <c r="AA3" s="44"/>
      <c r="AB3" s="44"/>
      <c r="AC3" s="44"/>
      <c r="AD3" s="44"/>
      <c r="AE3" s="44"/>
      <c r="AF3" s="44"/>
      <c r="AG3" s="44"/>
    </row>
    <row r="4" spans="1:33" ht="30" customHeight="1">
      <c r="A4" s="8" t="s">
        <v>451</v>
      </c>
      <c r="B4" s="8" t="s">
        <v>568</v>
      </c>
      <c r="C4" s="9" t="s">
        <v>569</v>
      </c>
      <c r="D4" s="9" t="s">
        <v>570</v>
      </c>
      <c r="E4" s="9" t="s">
        <v>571</v>
      </c>
      <c r="F4" s="9" t="s">
        <v>572</v>
      </c>
      <c r="G4" s="9" t="s">
        <v>573</v>
      </c>
      <c r="H4" s="9" t="s">
        <v>574</v>
      </c>
      <c r="I4" s="9" t="s">
        <v>575</v>
      </c>
      <c r="J4" s="9" t="s">
        <v>576</v>
      </c>
      <c r="K4" s="9" t="s">
        <v>577</v>
      </c>
      <c r="L4" s="9" t="s">
        <v>578</v>
      </c>
      <c r="M4" s="9" t="s">
        <v>579</v>
      </c>
      <c r="N4" s="9" t="s">
        <v>580</v>
      </c>
      <c r="O4" s="9" t="s">
        <v>581</v>
      </c>
      <c r="P4" s="9" t="s">
        <v>582</v>
      </c>
      <c r="Q4" s="9" t="s">
        <v>466</v>
      </c>
      <c r="R4" s="9" t="s">
        <v>583</v>
      </c>
      <c r="S4" s="9" t="s">
        <v>584</v>
      </c>
      <c r="T4" s="9" t="s">
        <v>585</v>
      </c>
      <c r="U4" s="9" t="s">
        <v>586</v>
      </c>
      <c r="V4" s="9" t="s">
        <v>587</v>
      </c>
      <c r="W4" s="9" t="s">
        <v>588</v>
      </c>
      <c r="X4" s="9" t="s">
        <v>589</v>
      </c>
      <c r="Y4" s="9" t="s">
        <v>590</v>
      </c>
      <c r="Z4" s="9" t="s">
        <v>591</v>
      </c>
      <c r="AA4" s="9" t="s">
        <v>592</v>
      </c>
      <c r="AB4" s="9" t="s">
        <v>593</v>
      </c>
      <c r="AC4" s="9" t="s">
        <v>594</v>
      </c>
      <c r="AD4" s="9" t="s">
        <v>595</v>
      </c>
      <c r="AE4" s="9" t="s">
        <v>596</v>
      </c>
      <c r="AF4" s="9" t="s">
        <v>597</v>
      </c>
      <c r="AG4" s="9" t="s">
        <v>510</v>
      </c>
    </row>
    <row r="5" spans="1:33">
      <c r="A5" s="38">
        <f>IF(B5="","",MaterialPrefix&amp;TEXT(ROW()-4,"0000"))</f>
        <v>0</v>
      </c>
      <c r="B5" s="15" t="s">
        <v>598</v>
      </c>
      <c r="C5" s="15" t="s">
        <v>599</v>
      </c>
      <c r="D5" s="15" t="s">
        <v>600</v>
      </c>
      <c r="E5" s="15" t="s">
        <v>601</v>
      </c>
      <c r="F5" s="15" t="s">
        <v>602</v>
      </c>
      <c r="G5" s="21">
        <v>100</v>
      </c>
      <c r="H5" s="15" t="s">
        <v>603</v>
      </c>
      <c r="I5" s="18">
        <v>9.4</v>
      </c>
      <c r="J5" s="18">
        <v>0</v>
      </c>
      <c r="K5" s="19">
        <v>0</v>
      </c>
      <c r="L5" s="19">
        <v>0.04</v>
      </c>
      <c r="M5" s="21">
        <v>1850</v>
      </c>
      <c r="N5" s="21">
        <v>600</v>
      </c>
      <c r="O5" s="18">
        <v>8.6</v>
      </c>
      <c r="P5" s="22">
        <v>46293</v>
      </c>
      <c r="Q5" s="40" t="s">
        <v>604</v>
      </c>
      <c r="R5" s="20">
        <f>IF(B5="","",IF(I5="","",ROUND(I5*(1-IF(K5="",0,K5))+IF(J5="",0,J5),2)))</f>
        <v>0</v>
      </c>
      <c r="S5" s="45">
        <f>IF(B5="","",IF(OR(R5="",G5="",G5=0),"",ROUND(R5/G5,4)))</f>
        <v>0</v>
      </c>
      <c r="T5" s="13">
        <f>IF(B5="","",IFERROR(INDEX(UnitBases,MATCH(H5,UnitNames,0)),""))</f>
        <v>0</v>
      </c>
      <c r="U5" s="41">
        <f>IF(B5="","",IFERROR(INDEX(UnitFactors,MATCH(H5,UnitNames,0)),""))</f>
        <v>0</v>
      </c>
      <c r="V5" s="45">
        <f>IF(B5="","",IF(OR(S5="",U5="",U5=0),"",ROUND(S5/U5,4)))</f>
        <v>0</v>
      </c>
      <c r="W5" s="33">
        <f>IF(B5="","",IF(L5="",DefaultWaste,L5))</f>
        <v>0</v>
      </c>
      <c r="X5" s="45">
        <f>IF(B5="","",IF(S5="","",ROUND(S5*(1+W5),4)))</f>
        <v>0</v>
      </c>
      <c r="Y5" s="20">
        <f>IF(B5="","",IF(OR(M5="",S5=""),"",ROUND(M5*S5,2)))</f>
        <v>0</v>
      </c>
      <c r="Z5" s="32">
        <f>IF(B5="","",COUNTIFS('Material Usage'!$C$5:$C$904,A5))</f>
        <v>0</v>
      </c>
      <c r="AA5" s="36">
        <f>IF(B5="","",SUMIFS('Material Usage'!$K$5:$K$904,'Material Usage'!$C$5:$C$904,A5))</f>
        <v>0</v>
      </c>
      <c r="AB5" s="20">
        <f>IF(B5="","",ROUND(SUMIFS('Material Usage'!$M$5:$M$904,'Material Usage'!$C$5:$C$904,A5),2))</f>
        <v>0</v>
      </c>
      <c r="AC5" s="32">
        <f>IF(B5="","",IF(OR(M5="",AA5="",AA5&lt;=0),"",ROUNDDOWN(M5/AA5,0)))</f>
        <v>0</v>
      </c>
      <c r="AD5" s="33">
        <f>IF(B5="","",IF(OR(O5="",O5=0,I5=""),"",(I5-O5)/O5))</f>
        <v>0</v>
      </c>
      <c r="AE5" s="43">
        <f>IF(B5="","",IF(M5="","Not tracked",IF(M5&lt;=0,"Out of stock",IF(AND(N5&lt;&gt;"",M5&lt;=N5),"Low stock","In stock"))))</f>
        <v>0</v>
      </c>
      <c r="AF5" s="32">
        <f>IF(B5="","",COUNTIFS($AB$5:$AB$254,"&gt;"&amp;AB5)+COUNTIFS($AB$5:AB5,AB5))</f>
        <v>0</v>
      </c>
      <c r="AG5" s="43">
        <f>IF(B5="","",IF(I5="","Add - no price yet",IF(OR(G5="",G5=0),"Add - how much is in a pack?",IF(AE5="Out of stock","Order - none left",IF(AE5="Low stock","Order - running low",IF(AND(AD5&lt;&gt;"",AD5&gt;0.075),"Check - price jumped, re-price the products",IF(AND(P5&lt;&gt;"",TodayDate-P5&gt;365),"Check - price is over a year old","OK")))))))</f>
        <v>0</v>
      </c>
    </row>
    <row r="6" spans="1:33">
      <c r="A6" s="38">
        <f>IF(B6="","",MaterialPrefix&amp;TEXT(ROW()-4,"0000"))</f>
        <v>0</v>
      </c>
      <c r="B6" s="15" t="s">
        <v>605</v>
      </c>
      <c r="C6" s="15" t="s">
        <v>599</v>
      </c>
      <c r="D6" s="15" t="s">
        <v>600</v>
      </c>
      <c r="E6" s="15" t="s">
        <v>601</v>
      </c>
      <c r="F6" s="15" t="s">
        <v>606</v>
      </c>
      <c r="G6" s="21">
        <v>100</v>
      </c>
      <c r="H6" s="15" t="s">
        <v>603</v>
      </c>
      <c r="I6" s="18">
        <v>9.4</v>
      </c>
      <c r="J6" s="18">
        <v>0</v>
      </c>
      <c r="K6" s="19">
        <v>0</v>
      </c>
      <c r="L6" s="19">
        <v>0.04</v>
      </c>
      <c r="M6" s="21">
        <v>700</v>
      </c>
      <c r="N6" s="21">
        <v>600</v>
      </c>
      <c r="O6" s="18">
        <v>8.6</v>
      </c>
      <c r="P6" s="22">
        <v>46293</v>
      </c>
      <c r="R6" s="20">
        <f>IF(B6="","",IF(I6="","",ROUND(I6*(1-IF(K6="",0,K6))+IF(J6="",0,J6),2)))</f>
        <v>0</v>
      </c>
      <c r="S6" s="45">
        <f>IF(B6="","",IF(OR(R6="",G6="",G6=0),"",ROUND(R6/G6,4)))</f>
        <v>0</v>
      </c>
      <c r="T6" s="13">
        <f>IF(B6="","",IFERROR(INDEX(UnitBases,MATCH(H6,UnitNames,0)),""))</f>
        <v>0</v>
      </c>
      <c r="U6" s="41">
        <f>IF(B6="","",IFERROR(INDEX(UnitFactors,MATCH(H6,UnitNames,0)),""))</f>
        <v>0</v>
      </c>
      <c r="V6" s="45">
        <f>IF(B6="","",IF(OR(S6="",U6="",U6=0),"",ROUND(S6/U6,4)))</f>
        <v>0</v>
      </c>
      <c r="W6" s="33">
        <f>IF(B6="","",IF(L6="",DefaultWaste,L6))</f>
        <v>0</v>
      </c>
      <c r="X6" s="45">
        <f>IF(B6="","",IF(S6="","",ROUND(S6*(1+W6),4)))</f>
        <v>0</v>
      </c>
      <c r="Y6" s="20">
        <f>IF(B6="","",IF(OR(M6="",S6=""),"",ROUND(M6*S6,2)))</f>
        <v>0</v>
      </c>
      <c r="Z6" s="32">
        <f>IF(B6="","",COUNTIFS('Material Usage'!$C$5:$C$904,A6))</f>
        <v>0</v>
      </c>
      <c r="AA6" s="36">
        <f>IF(B6="","",SUMIFS('Material Usage'!$K$5:$K$904,'Material Usage'!$C$5:$C$904,A6))</f>
        <v>0</v>
      </c>
      <c r="AB6" s="20">
        <f>IF(B6="","",ROUND(SUMIFS('Material Usage'!$M$5:$M$904,'Material Usage'!$C$5:$C$904,A6),2))</f>
        <v>0</v>
      </c>
      <c r="AC6" s="32">
        <f>IF(B6="","",IF(OR(M6="",AA6="",AA6&lt;=0),"",ROUNDDOWN(M6/AA6,0)))</f>
        <v>0</v>
      </c>
      <c r="AD6" s="33">
        <f>IF(B6="","",IF(OR(O6="",O6=0,I6=""),"",(I6-O6)/O6))</f>
        <v>0</v>
      </c>
      <c r="AE6" s="43">
        <f>IF(B6="","",IF(M6="","Not tracked",IF(M6&lt;=0,"Out of stock",IF(AND(N6&lt;&gt;"",M6&lt;=N6),"Low stock","In stock"))))</f>
        <v>0</v>
      </c>
      <c r="AF6" s="32">
        <f>IF(B6="","",COUNTIFS($AB$5:$AB$254,"&gt;"&amp;AB6)+COUNTIFS($AB$5:AB6,AB6))</f>
        <v>0</v>
      </c>
      <c r="AG6" s="43">
        <f>IF(B6="","",IF(I6="","Add - no price yet",IF(OR(G6="",G6=0),"Add - how much is in a pack?",IF(AE6="Out of stock","Order - none left",IF(AE6="Low stock","Order - running low",IF(AND(AD6&lt;&gt;"",AD6&gt;0.075),"Check - price jumped, re-price the products",IF(AND(P6&lt;&gt;"",TodayDate-P6&gt;365),"Check - price is over a year old","OK")))))))</f>
        <v>0</v>
      </c>
    </row>
    <row r="7" spans="1:33">
      <c r="A7" s="38">
        <f>IF(B7="","",MaterialPrefix&amp;TEXT(ROW()-4,"0000"))</f>
        <v>0</v>
      </c>
      <c r="B7" s="15" t="s">
        <v>607</v>
      </c>
      <c r="C7" s="15" t="s">
        <v>599</v>
      </c>
      <c r="D7" s="15" t="s">
        <v>608</v>
      </c>
      <c r="E7" s="15" t="s">
        <v>609</v>
      </c>
      <c r="F7" s="15" t="s">
        <v>610</v>
      </c>
      <c r="G7" s="21">
        <v>250</v>
      </c>
      <c r="H7" s="15" t="s">
        <v>603</v>
      </c>
      <c r="I7" s="18">
        <v>12.8</v>
      </c>
      <c r="J7" s="18">
        <v>0</v>
      </c>
      <c r="K7" s="19">
        <v>0.05</v>
      </c>
      <c r="L7" s="19">
        <v>0.03</v>
      </c>
      <c r="M7" s="21">
        <v>1100</v>
      </c>
      <c r="N7" s="21">
        <v>500</v>
      </c>
      <c r="O7" s="18">
        <v>12.8</v>
      </c>
      <c r="P7" s="22">
        <v>46221</v>
      </c>
      <c r="Q7" s="40" t="s">
        <v>611</v>
      </c>
      <c r="R7" s="20">
        <f>IF(B7="","",IF(I7="","",ROUND(I7*(1-IF(K7="",0,K7))+IF(J7="",0,J7),2)))</f>
        <v>0</v>
      </c>
      <c r="S7" s="45">
        <f>IF(B7="","",IF(OR(R7="",G7="",G7=0),"",ROUND(R7/G7,4)))</f>
        <v>0</v>
      </c>
      <c r="T7" s="13">
        <f>IF(B7="","",IFERROR(INDEX(UnitBases,MATCH(H7,UnitNames,0)),""))</f>
        <v>0</v>
      </c>
      <c r="U7" s="41">
        <f>IF(B7="","",IFERROR(INDEX(UnitFactors,MATCH(H7,UnitNames,0)),""))</f>
        <v>0</v>
      </c>
      <c r="V7" s="45">
        <f>IF(B7="","",IF(OR(S7="",U7="",U7=0),"",ROUND(S7/U7,4)))</f>
        <v>0</v>
      </c>
      <c r="W7" s="33">
        <f>IF(B7="","",IF(L7="",DefaultWaste,L7))</f>
        <v>0</v>
      </c>
      <c r="X7" s="45">
        <f>IF(B7="","",IF(S7="","",ROUND(S7*(1+W7),4)))</f>
        <v>0</v>
      </c>
      <c r="Y7" s="20">
        <f>IF(B7="","",IF(OR(M7="",S7=""),"",ROUND(M7*S7,2)))</f>
        <v>0</v>
      </c>
      <c r="Z7" s="32">
        <f>IF(B7="","",COUNTIFS('Material Usage'!$C$5:$C$904,A7))</f>
        <v>0</v>
      </c>
      <c r="AA7" s="36">
        <f>IF(B7="","",SUMIFS('Material Usage'!$K$5:$K$904,'Material Usage'!$C$5:$C$904,A7))</f>
        <v>0</v>
      </c>
      <c r="AB7" s="20">
        <f>IF(B7="","",ROUND(SUMIFS('Material Usage'!$M$5:$M$904,'Material Usage'!$C$5:$C$904,A7),2))</f>
        <v>0</v>
      </c>
      <c r="AC7" s="32">
        <f>IF(B7="","",IF(OR(M7="",AA7="",AA7&lt;=0),"",ROUNDDOWN(M7/AA7,0)))</f>
        <v>0</v>
      </c>
      <c r="AD7" s="33">
        <f>IF(B7="","",IF(OR(O7="",O7=0,I7=""),"",(I7-O7)/O7))</f>
        <v>0</v>
      </c>
      <c r="AE7" s="43">
        <f>IF(B7="","",IF(M7="","Not tracked",IF(M7&lt;=0,"Out of stock",IF(AND(N7&lt;&gt;"",M7&lt;=N7),"Low stock","In stock"))))</f>
        <v>0</v>
      </c>
      <c r="AF7" s="32">
        <f>IF(B7="","",COUNTIFS($AB$5:$AB$254,"&gt;"&amp;AB7)+COUNTIFS($AB$5:AB7,AB7))</f>
        <v>0</v>
      </c>
      <c r="AG7" s="43">
        <f>IF(B7="","",IF(I7="","Add - no price yet",IF(OR(G7="",G7=0),"Add - how much is in a pack?",IF(AE7="Out of stock","Order - none left",IF(AE7="Low stock","Order - running low",IF(AND(AD7&lt;&gt;"",AD7&gt;0.075),"Check - price jumped, re-price the products",IF(AND(P7&lt;&gt;"",TodayDate-P7&gt;365),"Check - price is over a year old","OK")))))))</f>
        <v>0</v>
      </c>
    </row>
    <row r="8" spans="1:33">
      <c r="A8" s="38">
        <f>IF(B8="","",MaterialPrefix&amp;TEXT(ROW()-4,"0000"))</f>
        <v>0</v>
      </c>
      <c r="B8" s="15" t="s">
        <v>612</v>
      </c>
      <c r="C8" s="15" t="s">
        <v>599</v>
      </c>
      <c r="D8" s="15" t="s">
        <v>613</v>
      </c>
      <c r="E8" s="15" t="s">
        <v>601</v>
      </c>
      <c r="F8" s="15" t="s">
        <v>614</v>
      </c>
      <c r="G8" s="21">
        <v>50</v>
      </c>
      <c r="H8" s="15" t="s">
        <v>603</v>
      </c>
      <c r="I8" s="18">
        <v>3.2</v>
      </c>
      <c r="J8" s="18">
        <v>0</v>
      </c>
      <c r="L8" s="19">
        <v>0.08</v>
      </c>
      <c r="M8" s="21">
        <v>640</v>
      </c>
      <c r="N8" s="21">
        <v>300</v>
      </c>
      <c r="O8" s="18">
        <v>3.05</v>
      </c>
      <c r="P8" s="22">
        <v>46255</v>
      </c>
      <c r="Q8" s="40" t="s">
        <v>615</v>
      </c>
      <c r="R8" s="20">
        <f>IF(B8="","",IF(I8="","",ROUND(I8*(1-IF(K8="",0,K8))+IF(J8="",0,J8),2)))</f>
        <v>0</v>
      </c>
      <c r="S8" s="45">
        <f>IF(B8="","",IF(OR(R8="",G8="",G8=0),"",ROUND(R8/G8,4)))</f>
        <v>0</v>
      </c>
      <c r="T8" s="13">
        <f>IF(B8="","",IFERROR(INDEX(UnitBases,MATCH(H8,UnitNames,0)),""))</f>
        <v>0</v>
      </c>
      <c r="U8" s="41">
        <f>IF(B8="","",IFERROR(INDEX(UnitFactors,MATCH(H8,UnitNames,0)),""))</f>
        <v>0</v>
      </c>
      <c r="V8" s="45">
        <f>IF(B8="","",IF(OR(S8="",U8="",U8=0),"",ROUND(S8/U8,4)))</f>
        <v>0</v>
      </c>
      <c r="W8" s="33">
        <f>IF(B8="","",IF(L8="",DefaultWaste,L8))</f>
        <v>0</v>
      </c>
      <c r="X8" s="45">
        <f>IF(B8="","",IF(S8="","",ROUND(S8*(1+W8),4)))</f>
        <v>0</v>
      </c>
      <c r="Y8" s="20">
        <f>IF(B8="","",IF(OR(M8="",S8=""),"",ROUND(M8*S8,2)))</f>
        <v>0</v>
      </c>
      <c r="Z8" s="32">
        <f>IF(B8="","",COUNTIFS('Material Usage'!$C$5:$C$904,A8))</f>
        <v>0</v>
      </c>
      <c r="AA8" s="36">
        <f>IF(B8="","",SUMIFS('Material Usage'!$K$5:$K$904,'Material Usage'!$C$5:$C$904,A8))</f>
        <v>0</v>
      </c>
      <c r="AB8" s="20">
        <f>IF(B8="","",ROUND(SUMIFS('Material Usage'!$M$5:$M$904,'Material Usage'!$C$5:$C$904,A8),2))</f>
        <v>0</v>
      </c>
      <c r="AC8" s="32">
        <f>IF(B8="","",IF(OR(M8="",AA8="",AA8&lt;=0),"",ROUNDDOWN(M8/AA8,0)))</f>
        <v>0</v>
      </c>
      <c r="AD8" s="33">
        <f>IF(B8="","",IF(OR(O8="",O8=0,I8=""),"",(I8-O8)/O8))</f>
        <v>0</v>
      </c>
      <c r="AE8" s="43">
        <f>IF(B8="","",IF(M8="","Not tracked",IF(M8&lt;=0,"Out of stock",IF(AND(N8&lt;&gt;"",M8&lt;=N8),"Low stock","In stock"))))</f>
        <v>0</v>
      </c>
      <c r="AF8" s="32">
        <f>IF(B8="","",COUNTIFS($AB$5:$AB$254,"&gt;"&amp;AB8)+COUNTIFS($AB$5:AB8,AB8))</f>
        <v>0</v>
      </c>
      <c r="AG8" s="43">
        <f>IF(B8="","",IF(I8="","Add - no price yet",IF(OR(G8="",G8=0),"Add - how much is in a pack?",IF(AE8="Out of stock","Order - none left",IF(AE8="Low stock","Order - running low",IF(AND(AD8&lt;&gt;"",AD8&gt;0.075),"Check - price jumped, re-price the products",IF(AND(P8&lt;&gt;"",TodayDate-P8&gt;365),"Check - price is over a year old","OK")))))))</f>
        <v>0</v>
      </c>
    </row>
    <row r="9" spans="1:33">
      <c r="A9" s="38">
        <f>IF(B9="","",MaterialPrefix&amp;TEXT(ROW()-4,"0000"))</f>
        <v>0</v>
      </c>
      <c r="B9" s="15" t="s">
        <v>616</v>
      </c>
      <c r="C9" s="15" t="s">
        <v>617</v>
      </c>
      <c r="D9" s="15" t="s">
        <v>618</v>
      </c>
      <c r="E9" s="15" t="s">
        <v>619</v>
      </c>
      <c r="F9" s="15" t="s">
        <v>620</v>
      </c>
      <c r="G9" s="21">
        <v>500</v>
      </c>
      <c r="H9" s="15" t="s">
        <v>603</v>
      </c>
      <c r="I9" s="18">
        <v>8.9</v>
      </c>
      <c r="J9" s="18">
        <v>0</v>
      </c>
      <c r="L9" s="19">
        <v>0.02</v>
      </c>
      <c r="M9" s="21">
        <v>1400</v>
      </c>
      <c r="N9" s="21">
        <v>500</v>
      </c>
      <c r="O9" s="18">
        <v>8.9</v>
      </c>
      <c r="P9" s="22">
        <v>46197</v>
      </c>
      <c r="R9" s="20">
        <f>IF(B9="","",IF(I9="","",ROUND(I9*(1-IF(K9="",0,K9))+IF(J9="",0,J9),2)))</f>
        <v>0</v>
      </c>
      <c r="S9" s="45">
        <f>IF(B9="","",IF(OR(R9="",G9="",G9=0),"",ROUND(R9/G9,4)))</f>
        <v>0</v>
      </c>
      <c r="T9" s="13">
        <f>IF(B9="","",IFERROR(INDEX(UnitBases,MATCH(H9,UnitNames,0)),""))</f>
        <v>0</v>
      </c>
      <c r="U9" s="41">
        <f>IF(B9="","",IFERROR(INDEX(UnitFactors,MATCH(H9,UnitNames,0)),""))</f>
        <v>0</v>
      </c>
      <c r="V9" s="45">
        <f>IF(B9="","",IF(OR(S9="",U9="",U9=0),"",ROUND(S9/U9,4)))</f>
        <v>0</v>
      </c>
      <c r="W9" s="33">
        <f>IF(B9="","",IF(L9="",DefaultWaste,L9))</f>
        <v>0</v>
      </c>
      <c r="X9" s="45">
        <f>IF(B9="","",IF(S9="","",ROUND(S9*(1+W9),4)))</f>
        <v>0</v>
      </c>
      <c r="Y9" s="20">
        <f>IF(B9="","",IF(OR(M9="",S9=""),"",ROUND(M9*S9,2)))</f>
        <v>0</v>
      </c>
      <c r="Z9" s="32">
        <f>IF(B9="","",COUNTIFS('Material Usage'!$C$5:$C$904,A9))</f>
        <v>0</v>
      </c>
      <c r="AA9" s="36">
        <f>IF(B9="","",SUMIFS('Material Usage'!$K$5:$K$904,'Material Usage'!$C$5:$C$904,A9))</f>
        <v>0</v>
      </c>
      <c r="AB9" s="20">
        <f>IF(B9="","",ROUND(SUMIFS('Material Usage'!$M$5:$M$904,'Material Usage'!$C$5:$C$904,A9),2))</f>
        <v>0</v>
      </c>
      <c r="AC9" s="32">
        <f>IF(B9="","",IF(OR(M9="",AA9="",AA9&lt;=0),"",ROUNDDOWN(M9/AA9,0)))</f>
        <v>0</v>
      </c>
      <c r="AD9" s="33">
        <f>IF(B9="","",IF(OR(O9="",O9=0,I9=""),"",(I9-O9)/O9))</f>
        <v>0</v>
      </c>
      <c r="AE9" s="43">
        <f>IF(B9="","",IF(M9="","Not tracked",IF(M9&lt;=0,"Out of stock",IF(AND(N9&lt;&gt;"",M9&lt;=N9),"Low stock","In stock"))))</f>
        <v>0</v>
      </c>
      <c r="AF9" s="32">
        <f>IF(B9="","",COUNTIFS($AB$5:$AB$254,"&gt;"&amp;AB9)+COUNTIFS($AB$5:AB9,AB9))</f>
        <v>0</v>
      </c>
      <c r="AG9" s="43">
        <f>IF(B9="","",IF(I9="","Add - no price yet",IF(OR(G9="",G9=0),"Add - how much is in a pack?",IF(AE9="Out of stock","Order - none left",IF(AE9="Low stock","Order - running low",IF(AND(AD9&lt;&gt;"",AD9&gt;0.075),"Check - price jumped, re-price the products",IF(AND(P9&lt;&gt;"",TodayDate-P9&gt;365),"Check - price is over a year old","OK")))))))</f>
        <v>0</v>
      </c>
    </row>
    <row r="10" spans="1:33">
      <c r="A10" s="38">
        <f>IF(B10="","",MaterialPrefix&amp;TEXT(ROW()-4,"0000"))</f>
        <v>0</v>
      </c>
      <c r="B10" s="15" t="s">
        <v>621</v>
      </c>
      <c r="C10" s="15" t="s">
        <v>622</v>
      </c>
      <c r="D10" s="15" t="s">
        <v>623</v>
      </c>
      <c r="E10" s="15" t="s">
        <v>619</v>
      </c>
      <c r="F10" s="15" t="s">
        <v>624</v>
      </c>
      <c r="G10" s="21">
        <v>20</v>
      </c>
      <c r="H10" s="15" t="s">
        <v>625</v>
      </c>
      <c r="I10" s="18">
        <v>4.6</v>
      </c>
      <c r="J10" s="18">
        <v>0</v>
      </c>
      <c r="L10" s="19">
        <v>0</v>
      </c>
      <c r="M10" s="21">
        <v>34</v>
      </c>
      <c r="N10" s="21">
        <v>10</v>
      </c>
      <c r="O10" s="18">
        <v>4.6</v>
      </c>
      <c r="P10" s="22">
        <v>46197</v>
      </c>
      <c r="R10" s="20">
        <f>IF(B10="","",IF(I10="","",ROUND(I10*(1-IF(K10="",0,K10))+IF(J10="",0,J10),2)))</f>
        <v>0</v>
      </c>
      <c r="S10" s="45">
        <f>IF(B10="","",IF(OR(R10="",G10="",G10=0),"",ROUND(R10/G10,4)))</f>
        <v>0</v>
      </c>
      <c r="T10" s="13">
        <f>IF(B10="","",IFERROR(INDEX(UnitBases,MATCH(H10,UnitNames,0)),""))</f>
        <v>0</v>
      </c>
      <c r="U10" s="41">
        <f>IF(B10="","",IFERROR(INDEX(UnitFactors,MATCH(H10,UnitNames,0)),""))</f>
        <v>0</v>
      </c>
      <c r="V10" s="45">
        <f>IF(B10="","",IF(OR(S10="",U10="",U10=0),"",ROUND(S10/U10,4)))</f>
        <v>0</v>
      </c>
      <c r="W10" s="33">
        <f>IF(B10="","",IF(L10="",DefaultWaste,L10))</f>
        <v>0</v>
      </c>
      <c r="X10" s="45">
        <f>IF(B10="","",IF(S10="","",ROUND(S10*(1+W10),4)))</f>
        <v>0</v>
      </c>
      <c r="Y10" s="20">
        <f>IF(B10="","",IF(OR(M10="",S10=""),"",ROUND(M10*S10,2)))</f>
        <v>0</v>
      </c>
      <c r="Z10" s="32">
        <f>IF(B10="","",COUNTIFS('Material Usage'!$C$5:$C$904,A10))</f>
        <v>0</v>
      </c>
      <c r="AA10" s="36">
        <f>IF(B10="","",SUMIFS('Material Usage'!$K$5:$K$904,'Material Usage'!$C$5:$C$904,A10))</f>
        <v>0</v>
      </c>
      <c r="AB10" s="20">
        <f>IF(B10="","",ROUND(SUMIFS('Material Usage'!$M$5:$M$904,'Material Usage'!$C$5:$C$904,A10),2))</f>
        <v>0</v>
      </c>
      <c r="AC10" s="32">
        <f>IF(B10="","",IF(OR(M10="",AA10="",AA10&lt;=0),"",ROUNDDOWN(M10/AA10,0)))</f>
        <v>0</v>
      </c>
      <c r="AD10" s="33">
        <f>IF(B10="","",IF(OR(O10="",O10=0,I10=""),"",(I10-O10)/O10))</f>
        <v>0</v>
      </c>
      <c r="AE10" s="43">
        <f>IF(B10="","",IF(M10="","Not tracked",IF(M10&lt;=0,"Out of stock",IF(AND(N10&lt;&gt;"",M10&lt;=N10),"Low stock","In stock"))))</f>
        <v>0</v>
      </c>
      <c r="AF10" s="32">
        <f>IF(B10="","",COUNTIFS($AB$5:$AB$254,"&gt;"&amp;AB10)+COUNTIFS($AB$5:AB10,AB10))</f>
        <v>0</v>
      </c>
      <c r="AG10" s="43">
        <f>IF(B10="","",IF(I10="","Add - no price yet",IF(OR(G10="",G10=0),"Add - how much is in a pack?",IF(AE10="Out of stock","Order - none left",IF(AE10="Low stock","Order - running low",IF(AND(AD10&lt;&gt;"",AD10&gt;0.075),"Check - price jumped, re-price the products",IF(AND(P10&lt;&gt;"",TodayDate-P10&gt;365),"Check - price is over a year old","OK")))))))</f>
        <v>0</v>
      </c>
    </row>
    <row r="11" spans="1:33">
      <c r="A11" s="38">
        <f>IF(B11="","",MaterialPrefix&amp;TEXT(ROW()-4,"0000"))</f>
        <v>0</v>
      </c>
      <c r="B11" s="15" t="s">
        <v>626</v>
      </c>
      <c r="C11" s="15" t="s">
        <v>627</v>
      </c>
      <c r="D11" s="15" t="s">
        <v>628</v>
      </c>
      <c r="E11" s="15" t="s">
        <v>629</v>
      </c>
      <c r="F11" s="15" t="s">
        <v>630</v>
      </c>
      <c r="G11" s="21">
        <v>30</v>
      </c>
      <c r="H11" s="15" t="s">
        <v>603</v>
      </c>
      <c r="I11" s="18">
        <v>42</v>
      </c>
      <c r="J11" s="18">
        <v>4.5</v>
      </c>
      <c r="K11" s="19">
        <v>0</v>
      </c>
      <c r="L11" s="19">
        <v>0.06</v>
      </c>
      <c r="M11" s="21">
        <v>74</v>
      </c>
      <c r="N11" s="21">
        <v>30</v>
      </c>
      <c r="O11" s="18">
        <v>36</v>
      </c>
      <c r="P11" s="22">
        <v>46299</v>
      </c>
      <c r="Q11" s="40" t="s">
        <v>631</v>
      </c>
      <c r="R11" s="20">
        <f>IF(B11="","",IF(I11="","",ROUND(I11*(1-IF(K11="",0,K11))+IF(J11="",0,J11),2)))</f>
        <v>0</v>
      </c>
      <c r="S11" s="45">
        <f>IF(B11="","",IF(OR(R11="",G11="",G11=0),"",ROUND(R11/G11,4)))</f>
        <v>0</v>
      </c>
      <c r="T11" s="13">
        <f>IF(B11="","",IFERROR(INDEX(UnitBases,MATCH(H11,UnitNames,0)),""))</f>
        <v>0</v>
      </c>
      <c r="U11" s="41">
        <f>IF(B11="","",IFERROR(INDEX(UnitFactors,MATCH(H11,UnitNames,0)),""))</f>
        <v>0</v>
      </c>
      <c r="V11" s="45">
        <f>IF(B11="","",IF(OR(S11="",U11="",U11=0),"",ROUND(S11/U11,4)))</f>
        <v>0</v>
      </c>
      <c r="W11" s="33">
        <f>IF(B11="","",IF(L11="",DefaultWaste,L11))</f>
        <v>0</v>
      </c>
      <c r="X11" s="45">
        <f>IF(B11="","",IF(S11="","",ROUND(S11*(1+W11),4)))</f>
        <v>0</v>
      </c>
      <c r="Y11" s="20">
        <f>IF(B11="","",IF(OR(M11="",S11=""),"",ROUND(M11*S11,2)))</f>
        <v>0</v>
      </c>
      <c r="Z11" s="32">
        <f>IF(B11="","",COUNTIFS('Material Usage'!$C$5:$C$904,A11))</f>
        <v>0</v>
      </c>
      <c r="AA11" s="36">
        <f>IF(B11="","",SUMIFS('Material Usage'!$K$5:$K$904,'Material Usage'!$C$5:$C$904,A11))</f>
        <v>0</v>
      </c>
      <c r="AB11" s="20">
        <f>IF(B11="","",ROUND(SUMIFS('Material Usage'!$M$5:$M$904,'Material Usage'!$C$5:$C$904,A11),2))</f>
        <v>0</v>
      </c>
      <c r="AC11" s="32">
        <f>IF(B11="","",IF(OR(M11="",AA11="",AA11&lt;=0),"",ROUNDDOWN(M11/AA11,0)))</f>
        <v>0</v>
      </c>
      <c r="AD11" s="33">
        <f>IF(B11="","",IF(OR(O11="",O11=0,I11=""),"",(I11-O11)/O11))</f>
        <v>0</v>
      </c>
      <c r="AE11" s="43">
        <f>IF(B11="","",IF(M11="","Not tracked",IF(M11&lt;=0,"Out of stock",IF(AND(N11&lt;&gt;"",M11&lt;=N11),"Low stock","In stock"))))</f>
        <v>0</v>
      </c>
      <c r="AF11" s="32">
        <f>IF(B11="","",COUNTIFS($AB$5:$AB$254,"&gt;"&amp;AB11)+COUNTIFS($AB$5:AB11,AB11))</f>
        <v>0</v>
      </c>
      <c r="AG11" s="43">
        <f>IF(B11="","",IF(I11="","Add - no price yet",IF(OR(G11="",G11=0),"Add - how much is in a pack?",IF(AE11="Out of stock","Order - none left",IF(AE11="Low stock","Order - running low",IF(AND(AD11&lt;&gt;"",AD11&gt;0.075),"Check - price jumped, re-price the products",IF(AND(P11&lt;&gt;"",TodayDate-P11&gt;365),"Check - price is over a year old","OK")))))))</f>
        <v>0</v>
      </c>
    </row>
    <row r="12" spans="1:33">
      <c r="A12" s="38">
        <f>IF(B12="","",MaterialPrefix&amp;TEXT(ROW()-4,"0000"))</f>
        <v>0</v>
      </c>
      <c r="B12" s="15" t="s">
        <v>632</v>
      </c>
      <c r="C12" s="15" t="s">
        <v>627</v>
      </c>
      <c r="D12" s="15" t="s">
        <v>633</v>
      </c>
      <c r="E12" s="15" t="s">
        <v>629</v>
      </c>
      <c r="F12" s="15" t="s">
        <v>634</v>
      </c>
      <c r="G12" s="21">
        <v>100</v>
      </c>
      <c r="H12" s="15" t="s">
        <v>635</v>
      </c>
      <c r="I12" s="18">
        <v>14</v>
      </c>
      <c r="J12" s="18">
        <v>0</v>
      </c>
      <c r="L12" s="19">
        <v>0.05</v>
      </c>
      <c r="M12" s="21">
        <v>420</v>
      </c>
      <c r="N12" s="21">
        <v>150</v>
      </c>
      <c r="O12" s="18">
        <v>12.4</v>
      </c>
      <c r="P12" s="22">
        <v>46299</v>
      </c>
      <c r="R12" s="20">
        <f>IF(B12="","",IF(I12="","",ROUND(I12*(1-IF(K12="",0,K12))+IF(J12="",0,J12),2)))</f>
        <v>0</v>
      </c>
      <c r="S12" s="45">
        <f>IF(B12="","",IF(OR(R12="",G12="",G12=0),"",ROUND(R12/G12,4)))</f>
        <v>0</v>
      </c>
      <c r="T12" s="13">
        <f>IF(B12="","",IFERROR(INDEX(UnitBases,MATCH(H12,UnitNames,0)),""))</f>
        <v>0</v>
      </c>
      <c r="U12" s="41">
        <f>IF(B12="","",IFERROR(INDEX(UnitFactors,MATCH(H12,UnitNames,0)),""))</f>
        <v>0</v>
      </c>
      <c r="V12" s="45">
        <f>IF(B12="","",IF(OR(S12="",U12="",U12=0),"",ROUND(S12/U12,4)))</f>
        <v>0</v>
      </c>
      <c r="W12" s="33">
        <f>IF(B12="","",IF(L12="",DefaultWaste,L12))</f>
        <v>0</v>
      </c>
      <c r="X12" s="45">
        <f>IF(B12="","",IF(S12="","",ROUND(S12*(1+W12),4)))</f>
        <v>0</v>
      </c>
      <c r="Y12" s="20">
        <f>IF(B12="","",IF(OR(M12="",S12=""),"",ROUND(M12*S12,2)))</f>
        <v>0</v>
      </c>
      <c r="Z12" s="32">
        <f>IF(B12="","",COUNTIFS('Material Usage'!$C$5:$C$904,A12))</f>
        <v>0</v>
      </c>
      <c r="AA12" s="36">
        <f>IF(B12="","",SUMIFS('Material Usage'!$K$5:$K$904,'Material Usage'!$C$5:$C$904,A12))</f>
        <v>0</v>
      </c>
      <c r="AB12" s="20">
        <f>IF(B12="","",ROUND(SUMIFS('Material Usage'!$M$5:$M$904,'Material Usage'!$C$5:$C$904,A12),2))</f>
        <v>0</v>
      </c>
      <c r="AC12" s="32">
        <f>IF(B12="","",IF(OR(M12="",AA12="",AA12&lt;=0),"",ROUNDDOWN(M12/AA12,0)))</f>
        <v>0</v>
      </c>
      <c r="AD12" s="33">
        <f>IF(B12="","",IF(OR(O12="",O12=0,I12=""),"",(I12-O12)/O12))</f>
        <v>0</v>
      </c>
      <c r="AE12" s="43">
        <f>IF(B12="","",IF(M12="","Not tracked",IF(M12&lt;=0,"Out of stock",IF(AND(N12&lt;&gt;"",M12&lt;=N12),"Low stock","In stock"))))</f>
        <v>0</v>
      </c>
      <c r="AF12" s="32">
        <f>IF(B12="","",COUNTIFS($AB$5:$AB$254,"&gt;"&amp;AB12)+COUNTIFS($AB$5:AB12,AB12))</f>
        <v>0</v>
      </c>
      <c r="AG12" s="43">
        <f>IF(B12="","",IF(I12="","Add - no price yet",IF(OR(G12="",G12=0),"Add - how much is in a pack?",IF(AE12="Out of stock","Order - none left",IF(AE12="Low stock","Order - running low",IF(AND(AD12&lt;&gt;"",AD12&gt;0.075),"Check - price jumped, re-price the products",IF(AND(P12&lt;&gt;"",TodayDate-P12&gt;365),"Check - price is over a year old","OK")))))))</f>
        <v>0</v>
      </c>
    </row>
    <row r="13" spans="1:33">
      <c r="A13" s="38">
        <f>IF(B13="","",MaterialPrefix&amp;TEXT(ROW()-4,"0000"))</f>
        <v>0</v>
      </c>
      <c r="B13" s="15" t="s">
        <v>636</v>
      </c>
      <c r="C13" s="15" t="s">
        <v>637</v>
      </c>
      <c r="D13" s="15" t="s">
        <v>638</v>
      </c>
      <c r="E13" s="15" t="s">
        <v>639</v>
      </c>
      <c r="F13" s="15" t="s">
        <v>640</v>
      </c>
      <c r="G13" s="21">
        <v>10</v>
      </c>
      <c r="H13" s="15" t="s">
        <v>641</v>
      </c>
      <c r="I13" s="18">
        <v>18</v>
      </c>
      <c r="J13" s="18">
        <v>3.2</v>
      </c>
      <c r="L13" s="19">
        <v>0.05</v>
      </c>
      <c r="M13" s="21">
        <v>22</v>
      </c>
      <c r="N13" s="21">
        <v>10</v>
      </c>
      <c r="O13" s="18">
        <v>18</v>
      </c>
      <c r="P13" s="22">
        <v>46262</v>
      </c>
      <c r="R13" s="20">
        <f>IF(B13="","",IF(I13="","",ROUND(I13*(1-IF(K13="",0,K13))+IF(J13="",0,J13),2)))</f>
        <v>0</v>
      </c>
      <c r="S13" s="45">
        <f>IF(B13="","",IF(OR(R13="",G13="",G13=0),"",ROUND(R13/G13,4)))</f>
        <v>0</v>
      </c>
      <c r="T13" s="13">
        <f>IF(B13="","",IFERROR(INDEX(UnitBases,MATCH(H13,UnitNames,0)),""))</f>
        <v>0</v>
      </c>
      <c r="U13" s="41">
        <f>IF(B13="","",IFERROR(INDEX(UnitFactors,MATCH(H13,UnitNames,0)),""))</f>
        <v>0</v>
      </c>
      <c r="V13" s="45">
        <f>IF(B13="","",IF(OR(S13="",U13="",U13=0),"",ROUND(S13/U13,4)))</f>
        <v>0</v>
      </c>
      <c r="W13" s="33">
        <f>IF(B13="","",IF(L13="",DefaultWaste,L13))</f>
        <v>0</v>
      </c>
      <c r="X13" s="45">
        <f>IF(B13="","",IF(S13="","",ROUND(S13*(1+W13),4)))</f>
        <v>0</v>
      </c>
      <c r="Y13" s="20">
        <f>IF(B13="","",IF(OR(M13="",S13=""),"",ROUND(M13*S13,2)))</f>
        <v>0</v>
      </c>
      <c r="Z13" s="32">
        <f>IF(B13="","",COUNTIFS('Material Usage'!$C$5:$C$904,A13))</f>
        <v>0</v>
      </c>
      <c r="AA13" s="36">
        <f>IF(B13="","",SUMIFS('Material Usage'!$K$5:$K$904,'Material Usage'!$C$5:$C$904,A13))</f>
        <v>0</v>
      </c>
      <c r="AB13" s="20">
        <f>IF(B13="","",ROUND(SUMIFS('Material Usage'!$M$5:$M$904,'Material Usage'!$C$5:$C$904,A13),2))</f>
        <v>0</v>
      </c>
      <c r="AC13" s="32">
        <f>IF(B13="","",IF(OR(M13="",AA13="",AA13&lt;=0),"",ROUNDDOWN(M13/AA13,0)))</f>
        <v>0</v>
      </c>
      <c r="AD13" s="33">
        <f>IF(B13="","",IF(OR(O13="",O13=0,I13=""),"",(I13-O13)/O13))</f>
        <v>0</v>
      </c>
      <c r="AE13" s="43">
        <f>IF(B13="","",IF(M13="","Not tracked",IF(M13&lt;=0,"Out of stock",IF(AND(N13&lt;&gt;"",M13&lt;=N13),"Low stock","In stock"))))</f>
        <v>0</v>
      </c>
      <c r="AF13" s="32">
        <f>IF(B13="","",COUNTIFS($AB$5:$AB$254,"&gt;"&amp;AB13)+COUNTIFS($AB$5:AB13,AB13))</f>
        <v>0</v>
      </c>
      <c r="AG13" s="43">
        <f>IF(B13="","",IF(I13="","Add - no price yet",IF(OR(G13="",G13=0),"Add - how much is in a pack?",IF(AE13="Out of stock","Order - none left",IF(AE13="Low stock","Order - running low",IF(AND(AD13&lt;&gt;"",AD13&gt;0.075),"Check - price jumped, re-price the products",IF(AND(P13&lt;&gt;"",TodayDate-P13&gt;365),"Check - price is over a year old","OK")))))))</f>
        <v>0</v>
      </c>
    </row>
    <row r="14" spans="1:33">
      <c r="A14" s="38">
        <f>IF(B14="","",MaterialPrefix&amp;TEXT(ROW()-4,"0000"))</f>
        <v>0</v>
      </c>
      <c r="B14" s="15" t="s">
        <v>642</v>
      </c>
      <c r="C14" s="15" t="s">
        <v>643</v>
      </c>
      <c r="D14" s="15" t="s">
        <v>644</v>
      </c>
      <c r="E14" s="15" t="s">
        <v>629</v>
      </c>
      <c r="F14" s="15" t="s">
        <v>645</v>
      </c>
      <c r="G14" s="21">
        <v>50</v>
      </c>
      <c r="H14" s="15" t="s">
        <v>641</v>
      </c>
      <c r="I14" s="18">
        <v>9.5</v>
      </c>
      <c r="J14" s="18">
        <v>0</v>
      </c>
      <c r="L14" s="19">
        <v>0.02</v>
      </c>
      <c r="M14" s="21">
        <v>180</v>
      </c>
      <c r="N14" s="21">
        <v>60</v>
      </c>
      <c r="O14" s="18">
        <v>8.9</v>
      </c>
      <c r="P14" s="22">
        <v>46299</v>
      </c>
      <c r="R14" s="20">
        <f>IF(B14="","",IF(I14="","",ROUND(I14*(1-IF(K14="",0,K14))+IF(J14="",0,J14),2)))</f>
        <v>0</v>
      </c>
      <c r="S14" s="45">
        <f>IF(B14="","",IF(OR(R14="",G14="",G14=0),"",ROUND(R14/G14,4)))</f>
        <v>0</v>
      </c>
      <c r="T14" s="13">
        <f>IF(B14="","",IFERROR(INDEX(UnitBases,MATCH(H14,UnitNames,0)),""))</f>
        <v>0</v>
      </c>
      <c r="U14" s="41">
        <f>IF(B14="","",IFERROR(INDEX(UnitFactors,MATCH(H14,UnitNames,0)),""))</f>
        <v>0</v>
      </c>
      <c r="V14" s="45">
        <f>IF(B14="","",IF(OR(S14="",U14="",U14=0),"",ROUND(S14/U14,4)))</f>
        <v>0</v>
      </c>
      <c r="W14" s="33">
        <f>IF(B14="","",IF(L14="",DefaultWaste,L14))</f>
        <v>0</v>
      </c>
      <c r="X14" s="45">
        <f>IF(B14="","",IF(S14="","",ROUND(S14*(1+W14),4)))</f>
        <v>0</v>
      </c>
      <c r="Y14" s="20">
        <f>IF(B14="","",IF(OR(M14="",S14=""),"",ROUND(M14*S14,2)))</f>
        <v>0</v>
      </c>
      <c r="Z14" s="32">
        <f>IF(B14="","",COUNTIFS('Material Usage'!$C$5:$C$904,A14))</f>
        <v>0</v>
      </c>
      <c r="AA14" s="36">
        <f>IF(B14="","",SUMIFS('Material Usage'!$K$5:$K$904,'Material Usage'!$C$5:$C$904,A14))</f>
        <v>0</v>
      </c>
      <c r="AB14" s="20">
        <f>IF(B14="","",ROUND(SUMIFS('Material Usage'!$M$5:$M$904,'Material Usage'!$C$5:$C$904,A14),2))</f>
        <v>0</v>
      </c>
      <c r="AC14" s="32">
        <f>IF(B14="","",IF(OR(M14="",AA14="",AA14&lt;=0),"",ROUNDDOWN(M14/AA14,0)))</f>
        <v>0</v>
      </c>
      <c r="AD14" s="33">
        <f>IF(B14="","",IF(OR(O14="",O14=0,I14=""),"",(I14-O14)/O14))</f>
        <v>0</v>
      </c>
      <c r="AE14" s="43">
        <f>IF(B14="","",IF(M14="","Not tracked",IF(M14&lt;=0,"Out of stock",IF(AND(N14&lt;&gt;"",M14&lt;=N14),"Low stock","In stock"))))</f>
        <v>0</v>
      </c>
      <c r="AF14" s="32">
        <f>IF(B14="","",COUNTIFS($AB$5:$AB$254,"&gt;"&amp;AB14)+COUNTIFS($AB$5:AB14,AB14))</f>
        <v>0</v>
      </c>
      <c r="AG14" s="43">
        <f>IF(B14="","",IF(I14="","Add - no price yet",IF(OR(G14="",G14=0),"Add - how much is in a pack?",IF(AE14="Out of stock","Order - none left",IF(AE14="Low stock","Order - running low",IF(AND(AD14&lt;&gt;"",AD14&gt;0.075),"Check - price jumped, re-price the products",IF(AND(P14&lt;&gt;"",TodayDate-P14&gt;365),"Check - price is over a year old","OK")))))))</f>
        <v>0</v>
      </c>
    </row>
    <row r="15" spans="1:33">
      <c r="A15" s="38">
        <f>IF(B15="","",MaterialPrefix&amp;TEXT(ROW()-4,"0000"))</f>
        <v>0</v>
      </c>
      <c r="B15" s="15" t="s">
        <v>646</v>
      </c>
      <c r="C15" s="15" t="s">
        <v>647</v>
      </c>
      <c r="D15" s="15" t="s">
        <v>648</v>
      </c>
      <c r="E15" s="15" t="s">
        <v>649</v>
      </c>
      <c r="F15" s="15" t="s">
        <v>650</v>
      </c>
      <c r="G15" s="21">
        <v>5</v>
      </c>
      <c r="H15" s="15" t="s">
        <v>651</v>
      </c>
      <c r="I15" s="18">
        <v>38</v>
      </c>
      <c r="J15" s="18">
        <v>6</v>
      </c>
      <c r="K15" s="19">
        <v>0</v>
      </c>
      <c r="L15" s="19">
        <v>0.03</v>
      </c>
      <c r="M15" s="21">
        <v>11</v>
      </c>
      <c r="N15" s="21">
        <v>4</v>
      </c>
      <c r="O15" s="18">
        <v>34.5</v>
      </c>
      <c r="P15" s="22">
        <v>46286</v>
      </c>
      <c r="Q15" s="40" t="s">
        <v>652</v>
      </c>
      <c r="R15" s="20">
        <f>IF(B15="","",IF(I15="","",ROUND(I15*(1-IF(K15="",0,K15))+IF(J15="",0,J15),2)))</f>
        <v>0</v>
      </c>
      <c r="S15" s="45">
        <f>IF(B15="","",IF(OR(R15="",G15="",G15=0),"",ROUND(R15/G15,4)))</f>
        <v>0</v>
      </c>
      <c r="T15" s="13">
        <f>IF(B15="","",IFERROR(INDEX(UnitBases,MATCH(H15,UnitNames,0)),""))</f>
        <v>0</v>
      </c>
      <c r="U15" s="41">
        <f>IF(B15="","",IFERROR(INDEX(UnitFactors,MATCH(H15,UnitNames,0)),""))</f>
        <v>0</v>
      </c>
      <c r="V15" s="45">
        <f>IF(B15="","",IF(OR(S15="",U15="",U15=0),"",ROUND(S15/U15,4)))</f>
        <v>0</v>
      </c>
      <c r="W15" s="33">
        <f>IF(B15="","",IF(L15="",DefaultWaste,L15))</f>
        <v>0</v>
      </c>
      <c r="X15" s="45">
        <f>IF(B15="","",IF(S15="","",ROUND(S15*(1+W15),4)))</f>
        <v>0</v>
      </c>
      <c r="Y15" s="20">
        <f>IF(B15="","",IF(OR(M15="",S15=""),"",ROUND(M15*S15,2)))</f>
        <v>0</v>
      </c>
      <c r="Z15" s="32">
        <f>IF(B15="","",COUNTIFS('Material Usage'!$C$5:$C$904,A15))</f>
        <v>0</v>
      </c>
      <c r="AA15" s="36">
        <f>IF(B15="","",SUMIFS('Material Usage'!$K$5:$K$904,'Material Usage'!$C$5:$C$904,A15))</f>
        <v>0</v>
      </c>
      <c r="AB15" s="20">
        <f>IF(B15="","",ROUND(SUMIFS('Material Usage'!$M$5:$M$904,'Material Usage'!$C$5:$C$904,A15),2))</f>
        <v>0</v>
      </c>
      <c r="AC15" s="32">
        <f>IF(B15="","",IF(OR(M15="",AA15="",AA15&lt;=0),"",ROUNDDOWN(M15/AA15,0)))</f>
        <v>0</v>
      </c>
      <c r="AD15" s="33">
        <f>IF(B15="","",IF(OR(O15="",O15=0,I15=""),"",(I15-O15)/O15))</f>
        <v>0</v>
      </c>
      <c r="AE15" s="43">
        <f>IF(B15="","",IF(M15="","Not tracked",IF(M15&lt;=0,"Out of stock",IF(AND(N15&lt;&gt;"",M15&lt;=N15),"Low stock","In stock"))))</f>
        <v>0</v>
      </c>
      <c r="AF15" s="32">
        <f>IF(B15="","",COUNTIFS($AB$5:$AB$254,"&gt;"&amp;AB15)+COUNTIFS($AB$5:AB15,AB15))</f>
        <v>0</v>
      </c>
      <c r="AG15" s="43">
        <f>IF(B15="","",IF(I15="","Add - no price yet",IF(OR(G15="",G15=0),"Add - how much is in a pack?",IF(AE15="Out of stock","Order - none left",IF(AE15="Low stock","Order - running low",IF(AND(AD15&lt;&gt;"",AD15&gt;0.075),"Check - price jumped, re-price the products",IF(AND(P15&lt;&gt;"",TodayDate-P15&gt;365),"Check - price is over a year old","OK")))))))</f>
        <v>0</v>
      </c>
    </row>
    <row r="16" spans="1:33">
      <c r="A16" s="38">
        <f>IF(B16="","",MaterialPrefix&amp;TEXT(ROW()-4,"0000"))</f>
        <v>0</v>
      </c>
      <c r="B16" s="15" t="s">
        <v>653</v>
      </c>
      <c r="C16" s="15" t="s">
        <v>654</v>
      </c>
      <c r="D16" s="15" t="s">
        <v>655</v>
      </c>
      <c r="E16" s="15" t="s">
        <v>649</v>
      </c>
      <c r="F16" s="15" t="s">
        <v>656</v>
      </c>
      <c r="G16" s="21">
        <v>500</v>
      </c>
      <c r="H16" s="15" t="s">
        <v>657</v>
      </c>
      <c r="I16" s="18">
        <v>42</v>
      </c>
      <c r="J16" s="18">
        <v>0</v>
      </c>
      <c r="L16" s="19">
        <v>0.02</v>
      </c>
      <c r="M16" s="21">
        <v>720</v>
      </c>
      <c r="N16" s="21">
        <v>250</v>
      </c>
      <c r="O16" s="18">
        <v>39</v>
      </c>
      <c r="P16" s="22">
        <v>46286</v>
      </c>
      <c r="R16" s="20">
        <f>IF(B16="","",IF(I16="","",ROUND(I16*(1-IF(K16="",0,K16))+IF(J16="",0,J16),2)))</f>
        <v>0</v>
      </c>
      <c r="S16" s="45">
        <f>IF(B16="","",IF(OR(R16="",G16="",G16=0),"",ROUND(R16/G16,4)))</f>
        <v>0</v>
      </c>
      <c r="T16" s="13">
        <f>IF(B16="","",IFERROR(INDEX(UnitBases,MATCH(H16,UnitNames,0)),""))</f>
        <v>0</v>
      </c>
      <c r="U16" s="41">
        <f>IF(B16="","",IFERROR(INDEX(UnitFactors,MATCH(H16,UnitNames,0)),""))</f>
        <v>0</v>
      </c>
      <c r="V16" s="45">
        <f>IF(B16="","",IF(OR(S16="",U16="",U16=0),"",ROUND(S16/U16,4)))</f>
        <v>0</v>
      </c>
      <c r="W16" s="33">
        <f>IF(B16="","",IF(L16="",DefaultWaste,L16))</f>
        <v>0</v>
      </c>
      <c r="X16" s="45">
        <f>IF(B16="","",IF(S16="","",ROUND(S16*(1+W16),4)))</f>
        <v>0</v>
      </c>
      <c r="Y16" s="20">
        <f>IF(B16="","",IF(OR(M16="",S16=""),"",ROUND(M16*S16,2)))</f>
        <v>0</v>
      </c>
      <c r="Z16" s="32">
        <f>IF(B16="","",COUNTIFS('Material Usage'!$C$5:$C$904,A16))</f>
        <v>0</v>
      </c>
      <c r="AA16" s="36">
        <f>IF(B16="","",SUMIFS('Material Usage'!$K$5:$K$904,'Material Usage'!$C$5:$C$904,A16))</f>
        <v>0</v>
      </c>
      <c r="AB16" s="20">
        <f>IF(B16="","",ROUND(SUMIFS('Material Usage'!$M$5:$M$904,'Material Usage'!$C$5:$C$904,A16),2))</f>
        <v>0</v>
      </c>
      <c r="AC16" s="32">
        <f>IF(B16="","",IF(OR(M16="",AA16="",AA16&lt;=0),"",ROUNDDOWN(M16/AA16,0)))</f>
        <v>0</v>
      </c>
      <c r="AD16" s="33">
        <f>IF(B16="","",IF(OR(O16="",O16=0,I16=""),"",(I16-O16)/O16))</f>
        <v>0</v>
      </c>
      <c r="AE16" s="43">
        <f>IF(B16="","",IF(M16="","Not tracked",IF(M16&lt;=0,"Out of stock",IF(AND(N16&lt;&gt;"",M16&lt;=N16),"Low stock","In stock"))))</f>
        <v>0</v>
      </c>
      <c r="AF16" s="32">
        <f>IF(B16="","",COUNTIFS($AB$5:$AB$254,"&gt;"&amp;AB16)+COUNTIFS($AB$5:AB16,AB16))</f>
        <v>0</v>
      </c>
      <c r="AG16" s="43">
        <f>IF(B16="","",IF(I16="","Add - no price yet",IF(OR(G16="",G16=0),"Add - how much is in a pack?",IF(AE16="Out of stock","Order - none left",IF(AE16="Low stock","Order - running low",IF(AND(AD16&lt;&gt;"",AD16&gt;0.075),"Check - price jumped, re-price the products",IF(AND(P16&lt;&gt;"",TodayDate-P16&gt;365),"Check - price is over a year old","OK")))))))</f>
        <v>0</v>
      </c>
    </row>
    <row r="17" spans="1:33">
      <c r="A17" s="38">
        <f>IF(B17="","",MaterialPrefix&amp;TEXT(ROW()-4,"0000"))</f>
        <v>0</v>
      </c>
      <c r="B17" s="15" t="s">
        <v>658</v>
      </c>
      <c r="C17" s="15" t="s">
        <v>654</v>
      </c>
      <c r="D17" s="15" t="s">
        <v>659</v>
      </c>
      <c r="E17" s="15" t="s">
        <v>649</v>
      </c>
      <c r="F17" s="15" t="s">
        <v>660</v>
      </c>
      <c r="G17" s="21">
        <v>250</v>
      </c>
      <c r="H17" s="15" t="s">
        <v>657</v>
      </c>
      <c r="I17" s="18">
        <v>26</v>
      </c>
      <c r="J17" s="18">
        <v>0</v>
      </c>
      <c r="L17" s="19">
        <v>0.02</v>
      </c>
      <c r="M17" s="21">
        <v>180</v>
      </c>
      <c r="N17" s="21">
        <v>100</v>
      </c>
      <c r="O17" s="18">
        <v>26</v>
      </c>
      <c r="P17" s="22">
        <v>46286</v>
      </c>
      <c r="R17" s="20">
        <f>IF(B17="","",IF(I17="","",ROUND(I17*(1-IF(K17="",0,K17))+IF(J17="",0,J17),2)))</f>
        <v>0</v>
      </c>
      <c r="S17" s="45">
        <f>IF(B17="","",IF(OR(R17="",G17="",G17=0),"",ROUND(R17/G17,4)))</f>
        <v>0</v>
      </c>
      <c r="T17" s="13">
        <f>IF(B17="","",IFERROR(INDEX(UnitBases,MATCH(H17,UnitNames,0)),""))</f>
        <v>0</v>
      </c>
      <c r="U17" s="41">
        <f>IF(B17="","",IFERROR(INDEX(UnitFactors,MATCH(H17,UnitNames,0)),""))</f>
        <v>0</v>
      </c>
      <c r="V17" s="45">
        <f>IF(B17="","",IF(OR(S17="",U17="",U17=0),"",ROUND(S17/U17,4)))</f>
        <v>0</v>
      </c>
      <c r="W17" s="33">
        <f>IF(B17="","",IF(L17="",DefaultWaste,L17))</f>
        <v>0</v>
      </c>
      <c r="X17" s="45">
        <f>IF(B17="","",IF(S17="","",ROUND(S17*(1+W17),4)))</f>
        <v>0</v>
      </c>
      <c r="Y17" s="20">
        <f>IF(B17="","",IF(OR(M17="",S17=""),"",ROUND(M17*S17,2)))</f>
        <v>0</v>
      </c>
      <c r="Z17" s="32">
        <f>IF(B17="","",COUNTIFS('Material Usage'!$C$5:$C$904,A17))</f>
        <v>0</v>
      </c>
      <c r="AA17" s="36">
        <f>IF(B17="","",SUMIFS('Material Usage'!$K$5:$K$904,'Material Usage'!$C$5:$C$904,A17))</f>
        <v>0</v>
      </c>
      <c r="AB17" s="20">
        <f>IF(B17="","",ROUND(SUMIFS('Material Usage'!$M$5:$M$904,'Material Usage'!$C$5:$C$904,A17),2))</f>
        <v>0</v>
      </c>
      <c r="AC17" s="32">
        <f>IF(B17="","",IF(OR(M17="",AA17="",AA17&lt;=0),"",ROUNDDOWN(M17/AA17,0)))</f>
        <v>0</v>
      </c>
      <c r="AD17" s="33">
        <f>IF(B17="","",IF(OR(O17="",O17=0,I17=""),"",(I17-O17)/O17))</f>
        <v>0</v>
      </c>
      <c r="AE17" s="43">
        <f>IF(B17="","",IF(M17="","Not tracked",IF(M17&lt;=0,"Out of stock",IF(AND(N17&lt;&gt;"",M17&lt;=N17),"Low stock","In stock"))))</f>
        <v>0</v>
      </c>
      <c r="AF17" s="32">
        <f>IF(B17="","",COUNTIFS($AB$5:$AB$254,"&gt;"&amp;AB17)+COUNTIFS($AB$5:AB17,AB17))</f>
        <v>0</v>
      </c>
      <c r="AG17" s="43">
        <f>IF(B17="","",IF(I17="","Add - no price yet",IF(OR(G17="",G17=0),"Add - how much is in a pack?",IF(AE17="Out of stock","Order - none left",IF(AE17="Low stock","Order - running low",IF(AND(AD17&lt;&gt;"",AD17&gt;0.075),"Check - price jumped, re-price the products",IF(AND(P17&lt;&gt;"",TodayDate-P17&gt;365),"Check - price is over a year old","OK")))))))</f>
        <v>0</v>
      </c>
    </row>
    <row r="18" spans="1:33">
      <c r="A18" s="38">
        <f>IF(B18="","",MaterialPrefix&amp;TEXT(ROW()-4,"0000"))</f>
        <v>0</v>
      </c>
      <c r="B18" s="15" t="s">
        <v>661</v>
      </c>
      <c r="C18" s="15" t="s">
        <v>662</v>
      </c>
      <c r="D18" s="15" t="s">
        <v>663</v>
      </c>
      <c r="E18" s="15" t="s">
        <v>649</v>
      </c>
      <c r="F18" s="15" t="s">
        <v>664</v>
      </c>
      <c r="G18" s="21">
        <v>100</v>
      </c>
      <c r="H18" s="15" t="s">
        <v>641</v>
      </c>
      <c r="I18" s="18">
        <v>12</v>
      </c>
      <c r="J18" s="18">
        <v>0</v>
      </c>
      <c r="L18" s="19">
        <v>0.02</v>
      </c>
      <c r="M18" s="21">
        <v>260</v>
      </c>
      <c r="N18" s="21">
        <v>100</v>
      </c>
      <c r="O18" s="18">
        <v>12</v>
      </c>
      <c r="P18" s="22">
        <v>46286</v>
      </c>
      <c r="R18" s="20">
        <f>IF(B18="","",IF(I18="","",ROUND(I18*(1-IF(K18="",0,K18))+IF(J18="",0,J18),2)))</f>
        <v>0</v>
      </c>
      <c r="S18" s="45">
        <f>IF(B18="","",IF(OR(R18="",G18="",G18=0),"",ROUND(R18/G18,4)))</f>
        <v>0</v>
      </c>
      <c r="T18" s="13">
        <f>IF(B18="","",IFERROR(INDEX(UnitBases,MATCH(H18,UnitNames,0)),""))</f>
        <v>0</v>
      </c>
      <c r="U18" s="41">
        <f>IF(B18="","",IFERROR(INDEX(UnitFactors,MATCH(H18,UnitNames,0)),""))</f>
        <v>0</v>
      </c>
      <c r="V18" s="45">
        <f>IF(B18="","",IF(OR(S18="",U18="",U18=0),"",ROUND(S18/U18,4)))</f>
        <v>0</v>
      </c>
      <c r="W18" s="33">
        <f>IF(B18="","",IF(L18="",DefaultWaste,L18))</f>
        <v>0</v>
      </c>
      <c r="X18" s="45">
        <f>IF(B18="","",IF(S18="","",ROUND(S18*(1+W18),4)))</f>
        <v>0</v>
      </c>
      <c r="Y18" s="20">
        <f>IF(B18="","",IF(OR(M18="",S18=""),"",ROUND(M18*S18,2)))</f>
        <v>0</v>
      </c>
      <c r="Z18" s="32">
        <f>IF(B18="","",COUNTIFS('Material Usage'!$C$5:$C$904,A18))</f>
        <v>0</v>
      </c>
      <c r="AA18" s="36">
        <f>IF(B18="","",SUMIFS('Material Usage'!$K$5:$K$904,'Material Usage'!$C$5:$C$904,A18))</f>
        <v>0</v>
      </c>
      <c r="AB18" s="20">
        <f>IF(B18="","",ROUND(SUMIFS('Material Usage'!$M$5:$M$904,'Material Usage'!$C$5:$C$904,A18),2))</f>
        <v>0</v>
      </c>
      <c r="AC18" s="32">
        <f>IF(B18="","",IF(OR(M18="",AA18="",AA18&lt;=0),"",ROUNDDOWN(M18/AA18,0)))</f>
        <v>0</v>
      </c>
      <c r="AD18" s="33">
        <f>IF(B18="","",IF(OR(O18="",O18=0,I18=""),"",(I18-O18)/O18))</f>
        <v>0</v>
      </c>
      <c r="AE18" s="43">
        <f>IF(B18="","",IF(M18="","Not tracked",IF(M18&lt;=0,"Out of stock",IF(AND(N18&lt;&gt;"",M18&lt;=N18),"Low stock","In stock"))))</f>
        <v>0</v>
      </c>
      <c r="AF18" s="32">
        <f>IF(B18="","",COUNTIFS($AB$5:$AB$254,"&gt;"&amp;AB18)+COUNTIFS($AB$5:AB18,AB18))</f>
        <v>0</v>
      </c>
      <c r="AG18" s="43">
        <f>IF(B18="","",IF(I18="","Add - no price yet",IF(OR(G18="",G18=0),"Add - how much is in a pack?",IF(AE18="Out of stock","Order - none left",IF(AE18="Low stock","Order - running low",IF(AND(AD18&lt;&gt;"",AD18&gt;0.075),"Check - price jumped, re-price the products",IF(AND(P18&lt;&gt;"",TodayDate-P18&gt;365),"Check - price is over a year old","OK")))))))</f>
        <v>0</v>
      </c>
    </row>
    <row r="19" spans="1:33">
      <c r="A19" s="38">
        <f>IF(B19="","",MaterialPrefix&amp;TEXT(ROW()-4,"0000"))</f>
        <v>0</v>
      </c>
      <c r="B19" s="15" t="s">
        <v>665</v>
      </c>
      <c r="C19" s="15" t="s">
        <v>666</v>
      </c>
      <c r="D19" s="15" t="s">
        <v>667</v>
      </c>
      <c r="E19" s="15" t="s">
        <v>668</v>
      </c>
      <c r="F19" s="15" t="s">
        <v>669</v>
      </c>
      <c r="G19" s="21">
        <v>24</v>
      </c>
      <c r="H19" s="15" t="s">
        <v>641</v>
      </c>
      <c r="I19" s="18">
        <v>33.6</v>
      </c>
      <c r="J19" s="18">
        <v>8.4</v>
      </c>
      <c r="L19" s="19">
        <v>0.02</v>
      </c>
      <c r="M19" s="21">
        <v>46</v>
      </c>
      <c r="N19" s="21">
        <v>24</v>
      </c>
      <c r="O19" s="18">
        <v>31.2</v>
      </c>
      <c r="P19" s="22">
        <v>46277</v>
      </c>
      <c r="Q19" s="40" t="s">
        <v>670</v>
      </c>
      <c r="R19" s="20">
        <f>IF(B19="","",IF(I19="","",ROUND(I19*(1-IF(K19="",0,K19))+IF(J19="",0,J19),2)))</f>
        <v>0</v>
      </c>
      <c r="S19" s="45">
        <f>IF(B19="","",IF(OR(R19="",G19="",G19=0),"",ROUND(R19/G19,4)))</f>
        <v>0</v>
      </c>
      <c r="T19" s="13">
        <f>IF(B19="","",IFERROR(INDEX(UnitBases,MATCH(H19,UnitNames,0)),""))</f>
        <v>0</v>
      </c>
      <c r="U19" s="41">
        <f>IF(B19="","",IFERROR(INDEX(UnitFactors,MATCH(H19,UnitNames,0)),""))</f>
        <v>0</v>
      </c>
      <c r="V19" s="45">
        <f>IF(B19="","",IF(OR(S19="",U19="",U19=0),"",ROUND(S19/U19,4)))</f>
        <v>0</v>
      </c>
      <c r="W19" s="33">
        <f>IF(B19="","",IF(L19="",DefaultWaste,L19))</f>
        <v>0</v>
      </c>
      <c r="X19" s="45">
        <f>IF(B19="","",IF(S19="","",ROUND(S19*(1+W19),4)))</f>
        <v>0</v>
      </c>
      <c r="Y19" s="20">
        <f>IF(B19="","",IF(OR(M19="",S19=""),"",ROUND(M19*S19,2)))</f>
        <v>0</v>
      </c>
      <c r="Z19" s="32">
        <f>IF(B19="","",COUNTIFS('Material Usage'!$C$5:$C$904,A19))</f>
        <v>0</v>
      </c>
      <c r="AA19" s="36">
        <f>IF(B19="","",SUMIFS('Material Usage'!$K$5:$K$904,'Material Usage'!$C$5:$C$904,A19))</f>
        <v>0</v>
      </c>
      <c r="AB19" s="20">
        <f>IF(B19="","",ROUND(SUMIFS('Material Usage'!$M$5:$M$904,'Material Usage'!$C$5:$C$904,A19),2))</f>
        <v>0</v>
      </c>
      <c r="AC19" s="32">
        <f>IF(B19="","",IF(OR(M19="",AA19="",AA19&lt;=0),"",ROUNDDOWN(M19/AA19,0)))</f>
        <v>0</v>
      </c>
      <c r="AD19" s="33">
        <f>IF(B19="","",IF(OR(O19="",O19=0,I19=""),"",(I19-O19)/O19))</f>
        <v>0</v>
      </c>
      <c r="AE19" s="43">
        <f>IF(B19="","",IF(M19="","Not tracked",IF(M19&lt;=0,"Out of stock",IF(AND(N19&lt;&gt;"",M19&lt;=N19),"Low stock","In stock"))))</f>
        <v>0</v>
      </c>
      <c r="AF19" s="32">
        <f>IF(B19="","",COUNTIFS($AB$5:$AB$254,"&gt;"&amp;AB19)+COUNTIFS($AB$5:AB19,AB19))</f>
        <v>0</v>
      </c>
      <c r="AG19" s="43">
        <f>IF(B19="","",IF(I19="","Add - no price yet",IF(OR(G19="",G19=0),"Add - how much is in a pack?",IF(AE19="Out of stock","Order - none left",IF(AE19="Low stock","Order - running low",IF(AND(AD19&lt;&gt;"",AD19&gt;0.075),"Check - price jumped, re-price the products",IF(AND(P19&lt;&gt;"",TodayDate-P19&gt;365),"Check - price is over a year old","OK")))))))</f>
        <v>0</v>
      </c>
    </row>
    <row r="20" spans="1:33">
      <c r="A20" s="38">
        <f>IF(B20="","",MaterialPrefix&amp;TEXT(ROW()-4,"0000"))</f>
        <v>0</v>
      </c>
      <c r="B20" s="15" t="s">
        <v>671</v>
      </c>
      <c r="C20" s="15" t="s">
        <v>666</v>
      </c>
      <c r="D20" s="15" t="s">
        <v>672</v>
      </c>
      <c r="E20" s="15" t="s">
        <v>668</v>
      </c>
      <c r="F20" s="15" t="s">
        <v>673</v>
      </c>
      <c r="G20" s="21">
        <v>48</v>
      </c>
      <c r="H20" s="15" t="s">
        <v>641</v>
      </c>
      <c r="I20" s="18">
        <v>38.4</v>
      </c>
      <c r="J20" s="18">
        <v>0</v>
      </c>
      <c r="L20" s="19">
        <v>0.01</v>
      </c>
      <c r="M20" s="21">
        <v>96</v>
      </c>
      <c r="N20" s="21">
        <v>48</v>
      </c>
      <c r="O20" s="18">
        <v>38.4</v>
      </c>
      <c r="P20" s="22">
        <v>46277</v>
      </c>
      <c r="R20" s="20">
        <f>IF(B20="","",IF(I20="","",ROUND(I20*(1-IF(K20="",0,K20))+IF(J20="",0,J20),2)))</f>
        <v>0</v>
      </c>
      <c r="S20" s="45">
        <f>IF(B20="","",IF(OR(R20="",G20="",G20=0),"",ROUND(R20/G20,4)))</f>
        <v>0</v>
      </c>
      <c r="T20" s="13">
        <f>IF(B20="","",IFERROR(INDEX(UnitBases,MATCH(H20,UnitNames,0)),""))</f>
        <v>0</v>
      </c>
      <c r="U20" s="41">
        <f>IF(B20="","",IFERROR(INDEX(UnitFactors,MATCH(H20,UnitNames,0)),""))</f>
        <v>0</v>
      </c>
      <c r="V20" s="45">
        <f>IF(B20="","",IF(OR(S20="",U20="",U20=0),"",ROUND(S20/U20,4)))</f>
        <v>0</v>
      </c>
      <c r="W20" s="33">
        <f>IF(B20="","",IF(L20="",DefaultWaste,L20))</f>
        <v>0</v>
      </c>
      <c r="X20" s="45">
        <f>IF(B20="","",IF(S20="","",ROUND(S20*(1+W20),4)))</f>
        <v>0</v>
      </c>
      <c r="Y20" s="20">
        <f>IF(B20="","",IF(OR(M20="",S20=""),"",ROUND(M20*S20,2)))</f>
        <v>0</v>
      </c>
      <c r="Z20" s="32">
        <f>IF(B20="","",COUNTIFS('Material Usage'!$C$5:$C$904,A20))</f>
        <v>0</v>
      </c>
      <c r="AA20" s="36">
        <f>IF(B20="","",SUMIFS('Material Usage'!$K$5:$K$904,'Material Usage'!$C$5:$C$904,A20))</f>
        <v>0</v>
      </c>
      <c r="AB20" s="20">
        <f>IF(B20="","",ROUND(SUMIFS('Material Usage'!$M$5:$M$904,'Material Usage'!$C$5:$C$904,A20),2))</f>
        <v>0</v>
      </c>
      <c r="AC20" s="32">
        <f>IF(B20="","",IF(OR(M20="",AA20="",AA20&lt;=0),"",ROUNDDOWN(M20/AA20,0)))</f>
        <v>0</v>
      </c>
      <c r="AD20" s="33">
        <f>IF(B20="","",IF(OR(O20="",O20=0,I20=""),"",(I20-O20)/O20))</f>
        <v>0</v>
      </c>
      <c r="AE20" s="43">
        <f>IF(B20="","",IF(M20="","Not tracked",IF(M20&lt;=0,"Out of stock",IF(AND(N20&lt;&gt;"",M20&lt;=N20),"Low stock","In stock"))))</f>
        <v>0</v>
      </c>
      <c r="AF20" s="32">
        <f>IF(B20="","",COUNTIFS($AB$5:$AB$254,"&gt;"&amp;AB20)+COUNTIFS($AB$5:AB20,AB20))</f>
        <v>0</v>
      </c>
      <c r="AG20" s="43">
        <f>IF(B20="","",IF(I20="","Add - no price yet",IF(OR(G20="",G20=0),"Add - how much is in a pack?",IF(AE20="Out of stock","Order - none left",IF(AE20="Low stock","Order - running low",IF(AND(AD20&lt;&gt;"",AD20&gt;0.075),"Check - price jumped, re-price the products",IF(AND(P20&lt;&gt;"",TodayDate-P20&gt;365),"Check - price is over a year old","OK")))))))</f>
        <v>0</v>
      </c>
    </row>
    <row r="21" spans="1:33">
      <c r="A21" s="38">
        <f>IF(B21="","",MaterialPrefix&amp;TEXT(ROW()-4,"0000"))</f>
        <v>0</v>
      </c>
      <c r="B21" s="15" t="s">
        <v>674</v>
      </c>
      <c r="C21" s="15" t="s">
        <v>675</v>
      </c>
      <c r="D21" s="15" t="s">
        <v>676</v>
      </c>
      <c r="E21" s="15" t="s">
        <v>677</v>
      </c>
      <c r="F21" s="15" t="s">
        <v>678</v>
      </c>
      <c r="G21" s="21">
        <v>300</v>
      </c>
      <c r="H21" s="15" t="s">
        <v>635</v>
      </c>
      <c r="I21" s="18">
        <v>54</v>
      </c>
      <c r="J21" s="18">
        <v>0</v>
      </c>
      <c r="L21" s="19">
        <v>0.12</v>
      </c>
      <c r="M21" s="21">
        <v>640</v>
      </c>
      <c r="N21" s="21">
        <v>200</v>
      </c>
      <c r="O21" s="18">
        <v>49.5</v>
      </c>
      <c r="P21" s="22">
        <v>46290</v>
      </c>
      <c r="Q21" s="40" t="s">
        <v>679</v>
      </c>
      <c r="R21" s="20">
        <f>IF(B21="","",IF(I21="","",ROUND(I21*(1-IF(K21="",0,K21))+IF(J21="",0,J21),2)))</f>
        <v>0</v>
      </c>
      <c r="S21" s="45">
        <f>IF(B21="","",IF(OR(R21="",G21="",G21=0),"",ROUND(R21/G21,4)))</f>
        <v>0</v>
      </c>
      <c r="T21" s="13">
        <f>IF(B21="","",IFERROR(INDEX(UnitBases,MATCH(H21,UnitNames,0)),""))</f>
        <v>0</v>
      </c>
      <c r="U21" s="41">
        <f>IF(B21="","",IFERROR(INDEX(UnitFactors,MATCH(H21,UnitNames,0)),""))</f>
        <v>0</v>
      </c>
      <c r="V21" s="45">
        <f>IF(B21="","",IF(OR(S21="",U21="",U21=0),"",ROUND(S21/U21,4)))</f>
        <v>0</v>
      </c>
      <c r="W21" s="33">
        <f>IF(B21="","",IF(L21="",DefaultWaste,L21))</f>
        <v>0</v>
      </c>
      <c r="X21" s="45">
        <f>IF(B21="","",IF(S21="","",ROUND(S21*(1+W21),4)))</f>
        <v>0</v>
      </c>
      <c r="Y21" s="20">
        <f>IF(B21="","",IF(OR(M21="",S21=""),"",ROUND(M21*S21,2)))</f>
        <v>0</v>
      </c>
      <c r="Z21" s="32">
        <f>IF(B21="","",COUNTIFS('Material Usage'!$C$5:$C$904,A21))</f>
        <v>0</v>
      </c>
      <c r="AA21" s="36">
        <f>IF(B21="","",SUMIFS('Material Usage'!$K$5:$K$904,'Material Usage'!$C$5:$C$904,A21))</f>
        <v>0</v>
      </c>
      <c r="AB21" s="20">
        <f>IF(B21="","",ROUND(SUMIFS('Material Usage'!$M$5:$M$904,'Material Usage'!$C$5:$C$904,A21),2))</f>
        <v>0</v>
      </c>
      <c r="AC21" s="32">
        <f>IF(B21="","",IF(OR(M21="",AA21="",AA21&lt;=0),"",ROUNDDOWN(M21/AA21,0)))</f>
        <v>0</v>
      </c>
      <c r="AD21" s="33">
        <f>IF(B21="","",IF(OR(O21="",O21=0,I21=""),"",(I21-O21)/O21))</f>
        <v>0</v>
      </c>
      <c r="AE21" s="43">
        <f>IF(B21="","",IF(M21="","Not tracked",IF(M21&lt;=0,"Out of stock",IF(AND(N21&lt;&gt;"",M21&lt;=N21),"Low stock","In stock"))))</f>
        <v>0</v>
      </c>
      <c r="AF21" s="32">
        <f>IF(B21="","",COUNTIFS($AB$5:$AB$254,"&gt;"&amp;AB21)+COUNTIFS($AB$5:AB21,AB21))</f>
        <v>0</v>
      </c>
      <c r="AG21" s="43">
        <f>IF(B21="","",IF(I21="","Add - no price yet",IF(OR(G21="",G21=0),"Add - how much is in a pack?",IF(AE21="Out of stock","Order - none left",IF(AE21="Low stock","Order - running low",IF(AND(AD21&lt;&gt;"",AD21&gt;0.075),"Check - price jumped, re-price the products",IF(AND(P21&lt;&gt;"",TodayDate-P21&gt;365),"Check - price is over a year old","OK")))))))</f>
        <v>0</v>
      </c>
    </row>
    <row r="22" spans="1:33">
      <c r="A22" s="38">
        <f>IF(B22="","",MaterialPrefix&amp;TEXT(ROW()-4,"0000"))</f>
        <v>0</v>
      </c>
      <c r="B22" s="15" t="s">
        <v>680</v>
      </c>
      <c r="C22" s="15" t="s">
        <v>675</v>
      </c>
      <c r="D22" s="15" t="s">
        <v>681</v>
      </c>
      <c r="E22" s="15" t="s">
        <v>677</v>
      </c>
      <c r="F22" s="15" t="s">
        <v>682</v>
      </c>
      <c r="G22" s="21">
        <v>500</v>
      </c>
      <c r="H22" s="15" t="s">
        <v>635</v>
      </c>
      <c r="I22" s="18">
        <v>32</v>
      </c>
      <c r="J22" s="18">
        <v>0</v>
      </c>
      <c r="L22" s="19">
        <v>0.1</v>
      </c>
      <c r="M22" s="21">
        <v>380</v>
      </c>
      <c r="N22" s="21">
        <v>150</v>
      </c>
      <c r="O22" s="18">
        <v>32</v>
      </c>
      <c r="P22" s="22">
        <v>46290</v>
      </c>
      <c r="R22" s="20">
        <f>IF(B22="","",IF(I22="","",ROUND(I22*(1-IF(K22="",0,K22))+IF(J22="",0,J22),2)))</f>
        <v>0</v>
      </c>
      <c r="S22" s="45">
        <f>IF(B22="","",IF(OR(R22="",G22="",G22=0),"",ROUND(R22/G22,4)))</f>
        <v>0</v>
      </c>
      <c r="T22" s="13">
        <f>IF(B22="","",IFERROR(INDEX(UnitBases,MATCH(H22,UnitNames,0)),""))</f>
        <v>0</v>
      </c>
      <c r="U22" s="41">
        <f>IF(B22="","",IFERROR(INDEX(UnitFactors,MATCH(H22,UnitNames,0)),""))</f>
        <v>0</v>
      </c>
      <c r="V22" s="45">
        <f>IF(B22="","",IF(OR(S22="",U22="",U22=0),"",ROUND(S22/U22,4)))</f>
        <v>0</v>
      </c>
      <c r="W22" s="33">
        <f>IF(B22="","",IF(L22="",DefaultWaste,L22))</f>
        <v>0</v>
      </c>
      <c r="X22" s="45">
        <f>IF(B22="","",IF(S22="","",ROUND(S22*(1+W22),4)))</f>
        <v>0</v>
      </c>
      <c r="Y22" s="20">
        <f>IF(B22="","",IF(OR(M22="",S22=""),"",ROUND(M22*S22,2)))</f>
        <v>0</v>
      </c>
      <c r="Z22" s="32">
        <f>IF(B22="","",COUNTIFS('Material Usage'!$C$5:$C$904,A22))</f>
        <v>0</v>
      </c>
      <c r="AA22" s="36">
        <f>IF(B22="","",SUMIFS('Material Usage'!$K$5:$K$904,'Material Usage'!$C$5:$C$904,A22))</f>
        <v>0</v>
      </c>
      <c r="AB22" s="20">
        <f>IF(B22="","",ROUND(SUMIFS('Material Usage'!$M$5:$M$904,'Material Usage'!$C$5:$C$904,A22),2))</f>
        <v>0</v>
      </c>
      <c r="AC22" s="32">
        <f>IF(B22="","",IF(OR(M22="",AA22="",AA22&lt;=0),"",ROUNDDOWN(M22/AA22,0)))</f>
        <v>0</v>
      </c>
      <c r="AD22" s="33">
        <f>IF(B22="","",IF(OR(O22="",O22=0,I22=""),"",(I22-O22)/O22))</f>
        <v>0</v>
      </c>
      <c r="AE22" s="43">
        <f>IF(B22="","",IF(M22="","Not tracked",IF(M22&lt;=0,"Out of stock",IF(AND(N22&lt;&gt;"",M22&lt;=N22),"Low stock","In stock"))))</f>
        <v>0</v>
      </c>
      <c r="AF22" s="32">
        <f>IF(B22="","",COUNTIFS($AB$5:$AB$254,"&gt;"&amp;AB22)+COUNTIFS($AB$5:AB22,AB22))</f>
        <v>0</v>
      </c>
      <c r="AG22" s="43">
        <f>IF(B22="","",IF(I22="","Add - no price yet",IF(OR(G22="",G22=0),"Add - how much is in a pack?",IF(AE22="Out of stock","Order - none left",IF(AE22="Low stock","Order - running low",IF(AND(AD22&lt;&gt;"",AD22&gt;0.075),"Check - price jumped, re-price the products",IF(AND(P22&lt;&gt;"",TodayDate-P22&gt;365),"Check - price is over a year old","OK")))))))</f>
        <v>0</v>
      </c>
    </row>
    <row r="23" spans="1:33">
      <c r="A23" s="38">
        <f>IF(B23="","",MaterialPrefix&amp;TEXT(ROW()-4,"0000"))</f>
        <v>0</v>
      </c>
      <c r="B23" s="15" t="s">
        <v>683</v>
      </c>
      <c r="C23" s="15" t="s">
        <v>684</v>
      </c>
      <c r="D23" s="15" t="s">
        <v>685</v>
      </c>
      <c r="E23" s="15" t="s">
        <v>686</v>
      </c>
      <c r="F23" s="15" t="s">
        <v>687</v>
      </c>
      <c r="G23" s="21">
        <v>10</v>
      </c>
      <c r="H23" s="15" t="s">
        <v>641</v>
      </c>
      <c r="I23" s="18">
        <v>16</v>
      </c>
      <c r="J23" s="18">
        <v>0</v>
      </c>
      <c r="L23" s="19">
        <v>0</v>
      </c>
      <c r="M23" s="21">
        <v>18</v>
      </c>
      <c r="N23" s="21">
        <v>10</v>
      </c>
      <c r="O23" s="18">
        <v>14.8</v>
      </c>
      <c r="P23" s="22">
        <v>46270</v>
      </c>
      <c r="R23" s="20">
        <f>IF(B23="","",IF(I23="","",ROUND(I23*(1-IF(K23="",0,K23))+IF(J23="",0,J23),2)))</f>
        <v>0</v>
      </c>
      <c r="S23" s="45">
        <f>IF(B23="","",IF(OR(R23="",G23="",G23=0),"",ROUND(R23/G23,4)))</f>
        <v>0</v>
      </c>
      <c r="T23" s="13">
        <f>IF(B23="","",IFERROR(INDEX(UnitBases,MATCH(H23,UnitNames,0)),""))</f>
        <v>0</v>
      </c>
      <c r="U23" s="41">
        <f>IF(B23="","",IFERROR(INDEX(UnitFactors,MATCH(H23,UnitNames,0)),""))</f>
        <v>0</v>
      </c>
      <c r="V23" s="45">
        <f>IF(B23="","",IF(OR(S23="",U23="",U23=0),"",ROUND(S23/U23,4)))</f>
        <v>0</v>
      </c>
      <c r="W23" s="33">
        <f>IF(B23="","",IF(L23="",DefaultWaste,L23))</f>
        <v>0</v>
      </c>
      <c r="X23" s="45">
        <f>IF(B23="","",IF(S23="","",ROUND(S23*(1+W23),4)))</f>
        <v>0</v>
      </c>
      <c r="Y23" s="20">
        <f>IF(B23="","",IF(OR(M23="",S23=""),"",ROUND(M23*S23,2)))</f>
        <v>0</v>
      </c>
      <c r="Z23" s="32">
        <f>IF(B23="","",COUNTIFS('Material Usage'!$C$5:$C$904,A23))</f>
        <v>0</v>
      </c>
      <c r="AA23" s="36">
        <f>IF(B23="","",SUMIFS('Material Usage'!$K$5:$K$904,'Material Usage'!$C$5:$C$904,A23))</f>
        <v>0</v>
      </c>
      <c r="AB23" s="20">
        <f>IF(B23="","",ROUND(SUMIFS('Material Usage'!$M$5:$M$904,'Material Usage'!$C$5:$C$904,A23),2))</f>
        <v>0</v>
      </c>
      <c r="AC23" s="32">
        <f>IF(B23="","",IF(OR(M23="",AA23="",AA23&lt;=0),"",ROUNDDOWN(M23/AA23,0)))</f>
        <v>0</v>
      </c>
      <c r="AD23" s="33">
        <f>IF(B23="","",IF(OR(O23="",O23=0,I23=""),"",(I23-O23)/O23))</f>
        <v>0</v>
      </c>
      <c r="AE23" s="43">
        <f>IF(B23="","",IF(M23="","Not tracked",IF(M23&lt;=0,"Out of stock",IF(AND(N23&lt;&gt;"",M23&lt;=N23),"Low stock","In stock"))))</f>
        <v>0</v>
      </c>
      <c r="AF23" s="32">
        <f>IF(B23="","",COUNTIFS($AB$5:$AB$254,"&gt;"&amp;AB23)+COUNTIFS($AB$5:AB23,AB23))</f>
        <v>0</v>
      </c>
      <c r="AG23" s="43">
        <f>IF(B23="","",IF(I23="","Add - no price yet",IF(OR(G23="",G23=0),"Add - how much is in a pack?",IF(AE23="Out of stock","Order - none left",IF(AE23="Low stock","Order - running low",IF(AND(AD23&lt;&gt;"",AD23&gt;0.075),"Check - price jumped, re-price the products",IF(AND(P23&lt;&gt;"",TodayDate-P23&gt;365),"Check - price is over a year old","OK")))))))</f>
        <v>0</v>
      </c>
    </row>
    <row r="24" spans="1:33">
      <c r="A24" s="38">
        <f>IF(B24="","",MaterialPrefix&amp;TEXT(ROW()-4,"0000"))</f>
        <v>0</v>
      </c>
      <c r="B24" s="15" t="s">
        <v>688</v>
      </c>
      <c r="C24" s="15" t="s">
        <v>689</v>
      </c>
      <c r="D24" s="15" t="s">
        <v>663</v>
      </c>
      <c r="E24" s="15" t="s">
        <v>690</v>
      </c>
      <c r="F24" s="15" t="s">
        <v>691</v>
      </c>
      <c r="G24" s="21">
        <v>100</v>
      </c>
      <c r="H24" s="15" t="s">
        <v>641</v>
      </c>
      <c r="I24" s="18">
        <v>24</v>
      </c>
      <c r="J24" s="18">
        <v>0</v>
      </c>
      <c r="L24" s="19">
        <v>0.01</v>
      </c>
      <c r="M24" s="21">
        <v>210</v>
      </c>
      <c r="N24" s="21">
        <v>50</v>
      </c>
      <c r="O24" s="18">
        <v>24</v>
      </c>
      <c r="P24" s="22">
        <v>46167</v>
      </c>
      <c r="R24" s="20">
        <f>IF(B24="","",IF(I24="","",ROUND(I24*(1-IF(K24="",0,K24))+IF(J24="",0,J24),2)))</f>
        <v>0</v>
      </c>
      <c r="S24" s="45">
        <f>IF(B24="","",IF(OR(R24="",G24="",G24=0),"",ROUND(R24/G24,4)))</f>
        <v>0</v>
      </c>
      <c r="T24" s="13">
        <f>IF(B24="","",IFERROR(INDEX(UnitBases,MATCH(H24,UnitNames,0)),""))</f>
        <v>0</v>
      </c>
      <c r="U24" s="41">
        <f>IF(B24="","",IFERROR(INDEX(UnitFactors,MATCH(H24,UnitNames,0)),""))</f>
        <v>0</v>
      </c>
      <c r="V24" s="45">
        <f>IF(B24="","",IF(OR(S24="",U24="",U24=0),"",ROUND(S24/U24,4)))</f>
        <v>0</v>
      </c>
      <c r="W24" s="33">
        <f>IF(B24="","",IF(L24="",DefaultWaste,L24))</f>
        <v>0</v>
      </c>
      <c r="X24" s="45">
        <f>IF(B24="","",IF(S24="","",ROUND(S24*(1+W24),4)))</f>
        <v>0</v>
      </c>
      <c r="Y24" s="20">
        <f>IF(B24="","",IF(OR(M24="",S24=""),"",ROUND(M24*S24,2)))</f>
        <v>0</v>
      </c>
      <c r="Z24" s="32">
        <f>IF(B24="","",COUNTIFS('Material Usage'!$C$5:$C$904,A24))</f>
        <v>0</v>
      </c>
      <c r="AA24" s="36">
        <f>IF(B24="","",SUMIFS('Material Usage'!$K$5:$K$904,'Material Usage'!$C$5:$C$904,A24))</f>
        <v>0</v>
      </c>
      <c r="AB24" s="20">
        <f>IF(B24="","",ROUND(SUMIFS('Material Usage'!$M$5:$M$904,'Material Usage'!$C$5:$C$904,A24),2))</f>
        <v>0</v>
      </c>
      <c r="AC24" s="32">
        <f>IF(B24="","",IF(OR(M24="",AA24="",AA24&lt;=0),"",ROUNDDOWN(M24/AA24,0)))</f>
        <v>0</v>
      </c>
      <c r="AD24" s="33">
        <f>IF(B24="","",IF(OR(O24="",O24=0,I24=""),"",(I24-O24)/O24))</f>
        <v>0</v>
      </c>
      <c r="AE24" s="43">
        <f>IF(B24="","",IF(M24="","Not tracked",IF(M24&lt;=0,"Out of stock",IF(AND(N24&lt;&gt;"",M24&lt;=N24),"Low stock","In stock"))))</f>
        <v>0</v>
      </c>
      <c r="AF24" s="32">
        <f>IF(B24="","",COUNTIFS($AB$5:$AB$254,"&gt;"&amp;AB24)+COUNTIFS($AB$5:AB24,AB24))</f>
        <v>0</v>
      </c>
      <c r="AG24" s="43">
        <f>IF(B24="","",IF(I24="","Add - no price yet",IF(OR(G24="",G24=0),"Add - how much is in a pack?",IF(AE24="Out of stock","Order - none left",IF(AE24="Low stock","Order - running low",IF(AND(AD24&lt;&gt;"",AD24&gt;0.075),"Check - price jumped, re-price the products",IF(AND(P24&lt;&gt;"",TodayDate-P24&gt;365),"Check - price is over a year old","OK")))))))</f>
        <v>0</v>
      </c>
    </row>
    <row r="25" spans="1:33">
      <c r="A25" s="38">
        <f>IF(B25="","",MaterialPrefix&amp;TEXT(ROW()-4,"0000"))</f>
        <v>0</v>
      </c>
      <c r="B25" s="15" t="s">
        <v>692</v>
      </c>
      <c r="C25" s="15" t="s">
        <v>693</v>
      </c>
      <c r="D25" s="15" t="s">
        <v>694</v>
      </c>
      <c r="E25" s="15" t="s">
        <v>695</v>
      </c>
      <c r="F25" s="15" t="s">
        <v>696</v>
      </c>
      <c r="G25" s="21">
        <v>180</v>
      </c>
      <c r="H25" s="15" t="s">
        <v>635</v>
      </c>
      <c r="I25" s="18">
        <v>76</v>
      </c>
      <c r="J25" s="18">
        <v>0</v>
      </c>
      <c r="L25" s="19">
        <v>0.25</v>
      </c>
      <c r="M25" s="21">
        <v>240</v>
      </c>
      <c r="N25" s="21">
        <v>180</v>
      </c>
      <c r="O25" s="18">
        <v>68</v>
      </c>
      <c r="P25" s="22">
        <v>46296</v>
      </c>
      <c r="Q25" s="40" t="s">
        <v>697</v>
      </c>
      <c r="R25" s="20">
        <f>IF(B25="","",IF(I25="","",ROUND(I25*(1-IF(K25="",0,K25))+IF(J25="",0,J25),2)))</f>
        <v>0</v>
      </c>
      <c r="S25" s="45">
        <f>IF(B25="","",IF(OR(R25="",G25="",G25=0),"",ROUND(R25/G25,4)))</f>
        <v>0</v>
      </c>
      <c r="T25" s="13">
        <f>IF(B25="","",IFERROR(INDEX(UnitBases,MATCH(H25,UnitNames,0)),""))</f>
        <v>0</v>
      </c>
      <c r="U25" s="41">
        <f>IF(B25="","",IFERROR(INDEX(UnitFactors,MATCH(H25,UnitNames,0)),""))</f>
        <v>0</v>
      </c>
      <c r="V25" s="45">
        <f>IF(B25="","",IF(OR(S25="",U25="",U25=0),"",ROUND(S25/U25,4)))</f>
        <v>0</v>
      </c>
      <c r="W25" s="33">
        <f>IF(B25="","",IF(L25="",DefaultWaste,L25))</f>
        <v>0</v>
      </c>
      <c r="X25" s="45">
        <f>IF(B25="","",IF(S25="","",ROUND(S25*(1+W25),4)))</f>
        <v>0</v>
      </c>
      <c r="Y25" s="20">
        <f>IF(B25="","",IF(OR(M25="",S25=""),"",ROUND(M25*S25,2)))</f>
        <v>0</v>
      </c>
      <c r="Z25" s="32">
        <f>IF(B25="","",COUNTIFS('Material Usage'!$C$5:$C$904,A25))</f>
        <v>0</v>
      </c>
      <c r="AA25" s="36">
        <f>IF(B25="","",SUMIFS('Material Usage'!$K$5:$K$904,'Material Usage'!$C$5:$C$904,A25))</f>
        <v>0</v>
      </c>
      <c r="AB25" s="20">
        <f>IF(B25="","",ROUND(SUMIFS('Material Usage'!$M$5:$M$904,'Material Usage'!$C$5:$C$904,A25),2))</f>
        <v>0</v>
      </c>
      <c r="AC25" s="32">
        <f>IF(B25="","",IF(OR(M25="",AA25="",AA25&lt;=0),"",ROUNDDOWN(M25/AA25,0)))</f>
        <v>0</v>
      </c>
      <c r="AD25" s="33">
        <f>IF(B25="","",IF(OR(O25="",O25=0,I25=""),"",(I25-O25)/O25))</f>
        <v>0</v>
      </c>
      <c r="AE25" s="43">
        <f>IF(B25="","",IF(M25="","Not tracked",IF(M25&lt;=0,"Out of stock",IF(AND(N25&lt;&gt;"",M25&lt;=N25),"Low stock","In stock"))))</f>
        <v>0</v>
      </c>
      <c r="AF25" s="32">
        <f>IF(B25="","",COUNTIFS($AB$5:$AB$254,"&gt;"&amp;AB25)+COUNTIFS($AB$5:AB25,AB25))</f>
        <v>0</v>
      </c>
      <c r="AG25" s="43">
        <f>IF(B25="","",IF(I25="","Add - no price yet",IF(OR(G25="",G25=0),"Add - how much is in a pack?",IF(AE25="Out of stock","Order - none left",IF(AE25="Low stock","Order - running low",IF(AND(AD25&lt;&gt;"",AD25&gt;0.075),"Check - price jumped, re-price the products",IF(AND(P25&lt;&gt;"",TodayDate-P25&gt;365),"Check - price is over a year old","OK")))))))</f>
        <v>0</v>
      </c>
    </row>
    <row r="26" spans="1:33">
      <c r="A26" s="38">
        <f>IF(B26="","",MaterialPrefix&amp;TEXT(ROW()-4,"0000"))</f>
        <v>0</v>
      </c>
      <c r="B26" s="15" t="s">
        <v>698</v>
      </c>
      <c r="C26" s="15" t="s">
        <v>693</v>
      </c>
      <c r="D26" s="15" t="s">
        <v>699</v>
      </c>
      <c r="E26" s="15" t="s">
        <v>695</v>
      </c>
      <c r="F26" s="15" t="s">
        <v>700</v>
      </c>
      <c r="G26" s="21">
        <v>240</v>
      </c>
      <c r="H26" s="15" t="s">
        <v>635</v>
      </c>
      <c r="I26" s="18">
        <v>68</v>
      </c>
      <c r="J26" s="18">
        <v>0</v>
      </c>
      <c r="L26" s="19">
        <v>0.22</v>
      </c>
      <c r="M26" s="21">
        <v>180</v>
      </c>
      <c r="N26" s="21">
        <v>120</v>
      </c>
      <c r="O26" s="18">
        <v>61</v>
      </c>
      <c r="P26" s="22">
        <v>46296</v>
      </c>
      <c r="R26" s="20">
        <f>IF(B26="","",IF(I26="","",ROUND(I26*(1-IF(K26="",0,K26))+IF(J26="",0,J26),2)))</f>
        <v>0</v>
      </c>
      <c r="S26" s="45">
        <f>IF(B26="","",IF(OR(R26="",G26="",G26=0),"",ROUND(R26/G26,4)))</f>
        <v>0</v>
      </c>
      <c r="T26" s="13">
        <f>IF(B26="","",IFERROR(INDEX(UnitBases,MATCH(H26,UnitNames,0)),""))</f>
        <v>0</v>
      </c>
      <c r="U26" s="41">
        <f>IF(B26="","",IFERROR(INDEX(UnitFactors,MATCH(H26,UnitNames,0)),""))</f>
        <v>0</v>
      </c>
      <c r="V26" s="45">
        <f>IF(B26="","",IF(OR(S26="",U26="",U26=0),"",ROUND(S26/U26,4)))</f>
        <v>0</v>
      </c>
      <c r="W26" s="33">
        <f>IF(B26="","",IF(L26="",DefaultWaste,L26))</f>
        <v>0</v>
      </c>
      <c r="X26" s="45">
        <f>IF(B26="","",IF(S26="","",ROUND(S26*(1+W26),4)))</f>
        <v>0</v>
      </c>
      <c r="Y26" s="20">
        <f>IF(B26="","",IF(OR(M26="",S26=""),"",ROUND(M26*S26,2)))</f>
        <v>0</v>
      </c>
      <c r="Z26" s="32">
        <f>IF(B26="","",COUNTIFS('Material Usage'!$C$5:$C$904,A26))</f>
        <v>0</v>
      </c>
      <c r="AA26" s="36">
        <f>IF(B26="","",SUMIFS('Material Usage'!$K$5:$K$904,'Material Usage'!$C$5:$C$904,A26))</f>
        <v>0</v>
      </c>
      <c r="AB26" s="20">
        <f>IF(B26="","",ROUND(SUMIFS('Material Usage'!$M$5:$M$904,'Material Usage'!$C$5:$C$904,A26),2))</f>
        <v>0</v>
      </c>
      <c r="AC26" s="32">
        <f>IF(B26="","",IF(OR(M26="",AA26="",AA26&lt;=0),"",ROUNDDOWN(M26/AA26,0)))</f>
        <v>0</v>
      </c>
      <c r="AD26" s="33">
        <f>IF(B26="","",IF(OR(O26="",O26=0,I26=""),"",(I26-O26)/O26))</f>
        <v>0</v>
      </c>
      <c r="AE26" s="43">
        <f>IF(B26="","",IF(M26="","Not tracked",IF(M26&lt;=0,"Out of stock",IF(AND(N26&lt;&gt;"",M26&lt;=N26),"Low stock","In stock"))))</f>
        <v>0</v>
      </c>
      <c r="AF26" s="32">
        <f>IF(B26="","",COUNTIFS($AB$5:$AB$254,"&gt;"&amp;AB26)+COUNTIFS($AB$5:AB26,AB26))</f>
        <v>0</v>
      </c>
      <c r="AG26" s="43">
        <f>IF(B26="","",IF(I26="","Add - no price yet",IF(OR(G26="",G26=0),"Add - how much is in a pack?",IF(AE26="Out of stock","Order - none left",IF(AE26="Low stock","Order - running low",IF(AND(AD26&lt;&gt;"",AD26&gt;0.075),"Check - price jumped, re-price the products",IF(AND(P26&lt;&gt;"",TodayDate-P26&gt;365),"Check - price is over a year old","OK")))))))</f>
        <v>0</v>
      </c>
    </row>
    <row r="27" spans="1:33">
      <c r="A27" s="38">
        <f>IF(B27="","",MaterialPrefix&amp;TEXT(ROW()-4,"0000"))</f>
        <v>0</v>
      </c>
      <c r="B27" s="15" t="s">
        <v>701</v>
      </c>
      <c r="C27" s="15" t="s">
        <v>702</v>
      </c>
      <c r="D27" s="15" t="s">
        <v>703</v>
      </c>
      <c r="E27" s="15" t="s">
        <v>695</v>
      </c>
      <c r="F27" s="15" t="s">
        <v>704</v>
      </c>
      <c r="G27" s="21">
        <v>500</v>
      </c>
      <c r="H27" s="15" t="s">
        <v>657</v>
      </c>
      <c r="I27" s="18">
        <v>32</v>
      </c>
      <c r="J27" s="18">
        <v>0</v>
      </c>
      <c r="L27" s="19">
        <v>0.05</v>
      </c>
      <c r="M27" s="21">
        <v>310</v>
      </c>
      <c r="N27" s="21">
        <v>150</v>
      </c>
      <c r="O27" s="18">
        <v>32</v>
      </c>
      <c r="P27" s="22">
        <v>46296</v>
      </c>
      <c r="R27" s="20">
        <f>IF(B27="","",IF(I27="","",ROUND(I27*(1-IF(K27="",0,K27))+IF(J27="",0,J27),2)))</f>
        <v>0</v>
      </c>
      <c r="S27" s="45">
        <f>IF(B27="","",IF(OR(R27="",G27="",G27=0),"",ROUND(R27/G27,4)))</f>
        <v>0</v>
      </c>
      <c r="T27" s="13">
        <f>IF(B27="","",IFERROR(INDEX(UnitBases,MATCH(H27,UnitNames,0)),""))</f>
        <v>0</v>
      </c>
      <c r="U27" s="41">
        <f>IF(B27="","",IFERROR(INDEX(UnitFactors,MATCH(H27,UnitNames,0)),""))</f>
        <v>0</v>
      </c>
      <c r="V27" s="45">
        <f>IF(B27="","",IF(OR(S27="",U27="",U27=0),"",ROUND(S27/U27,4)))</f>
        <v>0</v>
      </c>
      <c r="W27" s="33">
        <f>IF(B27="","",IF(L27="",DefaultWaste,L27))</f>
        <v>0</v>
      </c>
      <c r="X27" s="45">
        <f>IF(B27="","",IF(S27="","",ROUND(S27*(1+W27),4)))</f>
        <v>0</v>
      </c>
      <c r="Y27" s="20">
        <f>IF(B27="","",IF(OR(M27="",S27=""),"",ROUND(M27*S27,2)))</f>
        <v>0</v>
      </c>
      <c r="Z27" s="32">
        <f>IF(B27="","",COUNTIFS('Material Usage'!$C$5:$C$904,A27))</f>
        <v>0</v>
      </c>
      <c r="AA27" s="36">
        <f>IF(B27="","",SUMIFS('Material Usage'!$K$5:$K$904,'Material Usage'!$C$5:$C$904,A27))</f>
        <v>0</v>
      </c>
      <c r="AB27" s="20">
        <f>IF(B27="","",ROUND(SUMIFS('Material Usage'!$M$5:$M$904,'Material Usage'!$C$5:$C$904,A27),2))</f>
        <v>0</v>
      </c>
      <c r="AC27" s="32">
        <f>IF(B27="","",IF(OR(M27="",AA27="",AA27&lt;=0),"",ROUNDDOWN(M27/AA27,0)))</f>
        <v>0</v>
      </c>
      <c r="AD27" s="33">
        <f>IF(B27="","",IF(OR(O27="",O27=0,I27=""),"",(I27-O27)/O27))</f>
        <v>0</v>
      </c>
      <c r="AE27" s="43">
        <f>IF(B27="","",IF(M27="","Not tracked",IF(M27&lt;=0,"Out of stock",IF(AND(N27&lt;&gt;"",M27&lt;=N27),"Low stock","In stock"))))</f>
        <v>0</v>
      </c>
      <c r="AF27" s="32">
        <f>IF(B27="","",COUNTIFS($AB$5:$AB$254,"&gt;"&amp;AB27)+COUNTIFS($AB$5:AB27,AB27))</f>
        <v>0</v>
      </c>
      <c r="AG27" s="43">
        <f>IF(B27="","",IF(I27="","Add - no price yet",IF(OR(G27="",G27=0),"Add - how much is in a pack?",IF(AE27="Out of stock","Order - none left",IF(AE27="Low stock","Order - running low",IF(AND(AD27&lt;&gt;"",AD27&gt;0.075),"Check - price jumped, re-price the products",IF(AND(P27&lt;&gt;"",TodayDate-P27&gt;365),"Check - price is over a year old","OK")))))))</f>
        <v>0</v>
      </c>
    </row>
    <row r="28" spans="1:33">
      <c r="A28" s="38">
        <f>IF(B28="","",MaterialPrefix&amp;TEXT(ROW()-4,"0000"))</f>
        <v>0</v>
      </c>
      <c r="B28" s="15" t="s">
        <v>705</v>
      </c>
      <c r="C28" s="15" t="s">
        <v>706</v>
      </c>
      <c r="D28" s="15" t="s">
        <v>707</v>
      </c>
      <c r="E28" s="15" t="s">
        <v>695</v>
      </c>
      <c r="F28" s="15" t="s">
        <v>708</v>
      </c>
      <c r="G28" s="21">
        <v>25</v>
      </c>
      <c r="H28" s="15" t="s">
        <v>641</v>
      </c>
      <c r="I28" s="18">
        <v>18.5</v>
      </c>
      <c r="J28" s="18">
        <v>0</v>
      </c>
      <c r="L28" s="19">
        <v>0</v>
      </c>
      <c r="M28" s="21">
        <v>14</v>
      </c>
      <c r="N28" s="21">
        <v>10</v>
      </c>
      <c r="O28" s="18">
        <v>18.5</v>
      </c>
      <c r="P28" s="22">
        <v>46247</v>
      </c>
      <c r="R28" s="20">
        <f>IF(B28="","",IF(I28="","",ROUND(I28*(1-IF(K28="",0,K28))+IF(J28="",0,J28),2)))</f>
        <v>0</v>
      </c>
      <c r="S28" s="45">
        <f>IF(B28="","",IF(OR(R28="",G28="",G28=0),"",ROUND(R28/G28,4)))</f>
        <v>0</v>
      </c>
      <c r="T28" s="13">
        <f>IF(B28="","",IFERROR(INDEX(UnitBases,MATCH(H28,UnitNames,0)),""))</f>
        <v>0</v>
      </c>
      <c r="U28" s="41">
        <f>IF(B28="","",IFERROR(INDEX(UnitFactors,MATCH(H28,UnitNames,0)),""))</f>
        <v>0</v>
      </c>
      <c r="V28" s="45">
        <f>IF(B28="","",IF(OR(S28="",U28="",U28=0),"",ROUND(S28/U28,4)))</f>
        <v>0</v>
      </c>
      <c r="W28" s="33">
        <f>IF(B28="","",IF(L28="",DefaultWaste,L28))</f>
        <v>0</v>
      </c>
      <c r="X28" s="45">
        <f>IF(B28="","",IF(S28="","",ROUND(S28*(1+W28),4)))</f>
        <v>0</v>
      </c>
      <c r="Y28" s="20">
        <f>IF(B28="","",IF(OR(M28="",S28=""),"",ROUND(M28*S28,2)))</f>
        <v>0</v>
      </c>
      <c r="Z28" s="32">
        <f>IF(B28="","",COUNTIFS('Material Usage'!$C$5:$C$904,A28))</f>
        <v>0</v>
      </c>
      <c r="AA28" s="36">
        <f>IF(B28="","",SUMIFS('Material Usage'!$K$5:$K$904,'Material Usage'!$C$5:$C$904,A28))</f>
        <v>0</v>
      </c>
      <c r="AB28" s="20">
        <f>IF(B28="","",ROUND(SUMIFS('Material Usage'!$M$5:$M$904,'Material Usage'!$C$5:$C$904,A28),2))</f>
        <v>0</v>
      </c>
      <c r="AC28" s="32">
        <f>IF(B28="","",IF(OR(M28="",AA28="",AA28&lt;=0),"",ROUNDDOWN(M28/AA28,0)))</f>
        <v>0</v>
      </c>
      <c r="AD28" s="33">
        <f>IF(B28="","",IF(OR(O28="",O28=0,I28=""),"",(I28-O28)/O28))</f>
        <v>0</v>
      </c>
      <c r="AE28" s="43">
        <f>IF(B28="","",IF(M28="","Not tracked",IF(M28&lt;=0,"Out of stock",IF(AND(N28&lt;&gt;"",M28&lt;=N28),"Low stock","In stock"))))</f>
        <v>0</v>
      </c>
      <c r="AF28" s="32">
        <f>IF(B28="","",COUNTIFS($AB$5:$AB$254,"&gt;"&amp;AB28)+COUNTIFS($AB$5:AB28,AB28))</f>
        <v>0</v>
      </c>
      <c r="AG28" s="43">
        <f>IF(B28="","",IF(I28="","Add - no price yet",IF(OR(G28="",G28=0),"Add - how much is in a pack?",IF(AE28="Out of stock","Order - none left",IF(AE28="Low stock","Order - running low",IF(AND(AD28&lt;&gt;"",AD28&gt;0.075),"Check - price jumped, re-price the products",IF(AND(P28&lt;&gt;"",TodayDate-P28&gt;365),"Check - price is over a year old","OK")))))))</f>
        <v>0</v>
      </c>
    </row>
    <row r="29" spans="1:33">
      <c r="A29" s="38">
        <f>IF(B29="","",MaterialPrefix&amp;TEXT(ROW()-4,"0000"))</f>
        <v>0</v>
      </c>
      <c r="R29" s="20">
        <f>IF(B29="","",IF(I29="","",ROUND(I29*(1-IF(K29="",0,K29))+IF(J29="",0,J29),2)))</f>
        <v>0</v>
      </c>
      <c r="S29" s="45">
        <f>IF(B29="","",IF(OR(R29="",G29="",G29=0),"",ROUND(R29/G29,4)))</f>
        <v>0</v>
      </c>
      <c r="T29" s="13">
        <f>IF(B29="","",IFERROR(INDEX(UnitBases,MATCH(H29,UnitNames,0)),""))</f>
        <v>0</v>
      </c>
      <c r="U29" s="41">
        <f>IF(B29="","",IFERROR(INDEX(UnitFactors,MATCH(H29,UnitNames,0)),""))</f>
        <v>0</v>
      </c>
      <c r="V29" s="45">
        <f>IF(B29="","",IF(OR(S29="",U29="",U29=0),"",ROUND(S29/U29,4)))</f>
        <v>0</v>
      </c>
      <c r="W29" s="33">
        <f>IF(B29="","",IF(L29="",DefaultWaste,L29))</f>
        <v>0</v>
      </c>
      <c r="X29" s="45">
        <f>IF(B29="","",IF(S29="","",ROUND(S29*(1+W29),4)))</f>
        <v>0</v>
      </c>
      <c r="Y29" s="20">
        <f>IF(B29="","",IF(OR(M29="",S29=""),"",ROUND(M29*S29,2)))</f>
        <v>0</v>
      </c>
      <c r="Z29" s="32">
        <f>IF(B29="","",COUNTIFS('Material Usage'!$C$5:$C$904,A29))</f>
        <v>0</v>
      </c>
      <c r="AA29" s="36">
        <f>IF(B29="","",SUMIFS('Material Usage'!$K$5:$K$904,'Material Usage'!$C$5:$C$904,A29))</f>
        <v>0</v>
      </c>
      <c r="AB29" s="20">
        <f>IF(B29="","",ROUND(SUMIFS('Material Usage'!$M$5:$M$904,'Material Usage'!$C$5:$C$904,A29),2))</f>
        <v>0</v>
      </c>
      <c r="AC29" s="32">
        <f>IF(B29="","",IF(OR(M29="",AA29="",AA29&lt;=0),"",ROUNDDOWN(M29/AA29,0)))</f>
        <v>0</v>
      </c>
      <c r="AD29" s="33">
        <f>IF(B29="","",IF(OR(O29="",O29=0,I29=""),"",(I29-O29)/O29))</f>
        <v>0</v>
      </c>
      <c r="AE29" s="43">
        <f>IF(B29="","",IF(M29="","Not tracked",IF(M29&lt;=0,"Out of stock",IF(AND(N29&lt;&gt;"",M29&lt;=N29),"Low stock","In stock"))))</f>
        <v>0</v>
      </c>
      <c r="AF29" s="32">
        <f>IF(B29="","",COUNTIFS($AB$5:$AB$254,"&gt;"&amp;AB29)+COUNTIFS($AB$5:AB29,AB29))</f>
        <v>0</v>
      </c>
      <c r="AG29" s="43">
        <f>IF(B29="","",IF(I29="","Add - no price yet",IF(OR(G29="",G29=0),"Add - how much is in a pack?",IF(AE29="Out of stock","Order - none left",IF(AE29="Low stock","Order - running low",IF(AND(AD29&lt;&gt;"",AD29&gt;0.075),"Check - price jumped, re-price the products",IF(AND(P29&lt;&gt;"",TodayDate-P29&gt;365),"Check - price is over a year old","OK")))))))</f>
        <v>0</v>
      </c>
    </row>
    <row r="30" spans="1:33">
      <c r="A30" s="38">
        <f>IF(B30="","",MaterialPrefix&amp;TEXT(ROW()-4,"0000"))</f>
        <v>0</v>
      </c>
      <c r="R30" s="20">
        <f>IF(B30="","",IF(I30="","",ROUND(I30*(1-IF(K30="",0,K30))+IF(J30="",0,J30),2)))</f>
        <v>0</v>
      </c>
      <c r="S30" s="45">
        <f>IF(B30="","",IF(OR(R30="",G30="",G30=0),"",ROUND(R30/G30,4)))</f>
        <v>0</v>
      </c>
      <c r="T30" s="13">
        <f>IF(B30="","",IFERROR(INDEX(UnitBases,MATCH(H30,UnitNames,0)),""))</f>
        <v>0</v>
      </c>
      <c r="U30" s="41">
        <f>IF(B30="","",IFERROR(INDEX(UnitFactors,MATCH(H30,UnitNames,0)),""))</f>
        <v>0</v>
      </c>
      <c r="V30" s="45">
        <f>IF(B30="","",IF(OR(S30="",U30="",U30=0),"",ROUND(S30/U30,4)))</f>
        <v>0</v>
      </c>
      <c r="W30" s="33">
        <f>IF(B30="","",IF(L30="",DefaultWaste,L30))</f>
        <v>0</v>
      </c>
      <c r="X30" s="45">
        <f>IF(B30="","",IF(S30="","",ROUND(S30*(1+W30),4)))</f>
        <v>0</v>
      </c>
      <c r="Y30" s="20">
        <f>IF(B30="","",IF(OR(M30="",S30=""),"",ROUND(M30*S30,2)))</f>
        <v>0</v>
      </c>
      <c r="Z30" s="32">
        <f>IF(B30="","",COUNTIFS('Material Usage'!$C$5:$C$904,A30))</f>
        <v>0</v>
      </c>
      <c r="AA30" s="36">
        <f>IF(B30="","",SUMIFS('Material Usage'!$K$5:$K$904,'Material Usage'!$C$5:$C$904,A30))</f>
        <v>0</v>
      </c>
      <c r="AB30" s="20">
        <f>IF(B30="","",ROUND(SUMIFS('Material Usage'!$M$5:$M$904,'Material Usage'!$C$5:$C$904,A30),2))</f>
        <v>0</v>
      </c>
      <c r="AC30" s="32">
        <f>IF(B30="","",IF(OR(M30="",AA30="",AA30&lt;=0),"",ROUNDDOWN(M30/AA30,0)))</f>
        <v>0</v>
      </c>
      <c r="AD30" s="33">
        <f>IF(B30="","",IF(OR(O30="",O30=0,I30=""),"",(I30-O30)/O30))</f>
        <v>0</v>
      </c>
      <c r="AE30" s="43">
        <f>IF(B30="","",IF(M30="","Not tracked",IF(M30&lt;=0,"Out of stock",IF(AND(N30&lt;&gt;"",M30&lt;=N30),"Low stock","In stock"))))</f>
        <v>0</v>
      </c>
      <c r="AF30" s="32">
        <f>IF(B30="","",COUNTIFS($AB$5:$AB$254,"&gt;"&amp;AB30)+COUNTIFS($AB$5:AB30,AB30))</f>
        <v>0</v>
      </c>
      <c r="AG30" s="43">
        <f>IF(B30="","",IF(I30="","Add - no price yet",IF(OR(G30="",G30=0),"Add - how much is in a pack?",IF(AE30="Out of stock","Order - none left",IF(AE30="Low stock","Order - running low",IF(AND(AD30&lt;&gt;"",AD30&gt;0.075),"Check - price jumped, re-price the products",IF(AND(P30&lt;&gt;"",TodayDate-P30&gt;365),"Check - price is over a year old","OK")))))))</f>
        <v>0</v>
      </c>
    </row>
    <row r="31" spans="1:33">
      <c r="A31" s="38">
        <f>IF(B31="","",MaterialPrefix&amp;TEXT(ROW()-4,"0000"))</f>
        <v>0</v>
      </c>
      <c r="R31" s="20">
        <f>IF(B31="","",IF(I31="","",ROUND(I31*(1-IF(K31="",0,K31))+IF(J31="",0,J31),2)))</f>
        <v>0</v>
      </c>
      <c r="S31" s="45">
        <f>IF(B31="","",IF(OR(R31="",G31="",G31=0),"",ROUND(R31/G31,4)))</f>
        <v>0</v>
      </c>
      <c r="T31" s="13">
        <f>IF(B31="","",IFERROR(INDEX(UnitBases,MATCH(H31,UnitNames,0)),""))</f>
        <v>0</v>
      </c>
      <c r="U31" s="41">
        <f>IF(B31="","",IFERROR(INDEX(UnitFactors,MATCH(H31,UnitNames,0)),""))</f>
        <v>0</v>
      </c>
      <c r="V31" s="45">
        <f>IF(B31="","",IF(OR(S31="",U31="",U31=0),"",ROUND(S31/U31,4)))</f>
        <v>0</v>
      </c>
      <c r="W31" s="33">
        <f>IF(B31="","",IF(L31="",DefaultWaste,L31))</f>
        <v>0</v>
      </c>
      <c r="X31" s="45">
        <f>IF(B31="","",IF(S31="","",ROUND(S31*(1+W31),4)))</f>
        <v>0</v>
      </c>
      <c r="Y31" s="20">
        <f>IF(B31="","",IF(OR(M31="",S31=""),"",ROUND(M31*S31,2)))</f>
        <v>0</v>
      </c>
      <c r="Z31" s="32">
        <f>IF(B31="","",COUNTIFS('Material Usage'!$C$5:$C$904,A31))</f>
        <v>0</v>
      </c>
      <c r="AA31" s="36">
        <f>IF(B31="","",SUMIFS('Material Usage'!$K$5:$K$904,'Material Usage'!$C$5:$C$904,A31))</f>
        <v>0</v>
      </c>
      <c r="AB31" s="20">
        <f>IF(B31="","",ROUND(SUMIFS('Material Usage'!$M$5:$M$904,'Material Usage'!$C$5:$C$904,A31),2))</f>
        <v>0</v>
      </c>
      <c r="AC31" s="32">
        <f>IF(B31="","",IF(OR(M31="",AA31="",AA31&lt;=0),"",ROUNDDOWN(M31/AA31,0)))</f>
        <v>0</v>
      </c>
      <c r="AD31" s="33">
        <f>IF(B31="","",IF(OR(O31="",O31=0,I31=""),"",(I31-O31)/O31))</f>
        <v>0</v>
      </c>
      <c r="AE31" s="43">
        <f>IF(B31="","",IF(M31="","Not tracked",IF(M31&lt;=0,"Out of stock",IF(AND(N31&lt;&gt;"",M31&lt;=N31),"Low stock","In stock"))))</f>
        <v>0</v>
      </c>
      <c r="AF31" s="32">
        <f>IF(B31="","",COUNTIFS($AB$5:$AB$254,"&gt;"&amp;AB31)+COUNTIFS($AB$5:AB31,AB31))</f>
        <v>0</v>
      </c>
      <c r="AG31" s="43">
        <f>IF(B31="","",IF(I31="","Add - no price yet",IF(OR(G31="",G31=0),"Add - how much is in a pack?",IF(AE31="Out of stock","Order - none left",IF(AE31="Low stock","Order - running low",IF(AND(AD31&lt;&gt;"",AD31&gt;0.075),"Check - price jumped, re-price the products",IF(AND(P31&lt;&gt;"",TodayDate-P31&gt;365),"Check - price is over a year old","OK")))))))</f>
        <v>0</v>
      </c>
    </row>
    <row r="32" spans="1:33">
      <c r="A32" s="38">
        <f>IF(B32="","",MaterialPrefix&amp;TEXT(ROW()-4,"0000"))</f>
        <v>0</v>
      </c>
      <c r="R32" s="20">
        <f>IF(B32="","",IF(I32="","",ROUND(I32*(1-IF(K32="",0,K32))+IF(J32="",0,J32),2)))</f>
        <v>0</v>
      </c>
      <c r="S32" s="45">
        <f>IF(B32="","",IF(OR(R32="",G32="",G32=0),"",ROUND(R32/G32,4)))</f>
        <v>0</v>
      </c>
      <c r="T32" s="13">
        <f>IF(B32="","",IFERROR(INDEX(UnitBases,MATCH(H32,UnitNames,0)),""))</f>
        <v>0</v>
      </c>
      <c r="U32" s="41">
        <f>IF(B32="","",IFERROR(INDEX(UnitFactors,MATCH(H32,UnitNames,0)),""))</f>
        <v>0</v>
      </c>
      <c r="V32" s="45">
        <f>IF(B32="","",IF(OR(S32="",U32="",U32=0),"",ROUND(S32/U32,4)))</f>
        <v>0</v>
      </c>
      <c r="W32" s="33">
        <f>IF(B32="","",IF(L32="",DefaultWaste,L32))</f>
        <v>0</v>
      </c>
      <c r="X32" s="45">
        <f>IF(B32="","",IF(S32="","",ROUND(S32*(1+W32),4)))</f>
        <v>0</v>
      </c>
      <c r="Y32" s="20">
        <f>IF(B32="","",IF(OR(M32="",S32=""),"",ROUND(M32*S32,2)))</f>
        <v>0</v>
      </c>
      <c r="Z32" s="32">
        <f>IF(B32="","",COUNTIFS('Material Usage'!$C$5:$C$904,A32))</f>
        <v>0</v>
      </c>
      <c r="AA32" s="36">
        <f>IF(B32="","",SUMIFS('Material Usage'!$K$5:$K$904,'Material Usage'!$C$5:$C$904,A32))</f>
        <v>0</v>
      </c>
      <c r="AB32" s="20">
        <f>IF(B32="","",ROUND(SUMIFS('Material Usage'!$M$5:$M$904,'Material Usage'!$C$5:$C$904,A32),2))</f>
        <v>0</v>
      </c>
      <c r="AC32" s="32">
        <f>IF(B32="","",IF(OR(M32="",AA32="",AA32&lt;=0),"",ROUNDDOWN(M32/AA32,0)))</f>
        <v>0</v>
      </c>
      <c r="AD32" s="33">
        <f>IF(B32="","",IF(OR(O32="",O32=0,I32=""),"",(I32-O32)/O32))</f>
        <v>0</v>
      </c>
      <c r="AE32" s="43">
        <f>IF(B32="","",IF(M32="","Not tracked",IF(M32&lt;=0,"Out of stock",IF(AND(N32&lt;&gt;"",M32&lt;=N32),"Low stock","In stock"))))</f>
        <v>0</v>
      </c>
      <c r="AF32" s="32">
        <f>IF(B32="","",COUNTIFS($AB$5:$AB$254,"&gt;"&amp;AB32)+COUNTIFS($AB$5:AB32,AB32))</f>
        <v>0</v>
      </c>
      <c r="AG32" s="43">
        <f>IF(B32="","",IF(I32="","Add - no price yet",IF(OR(G32="",G32=0),"Add - how much is in a pack?",IF(AE32="Out of stock","Order - none left",IF(AE32="Low stock","Order - running low",IF(AND(AD32&lt;&gt;"",AD32&gt;0.075),"Check - price jumped, re-price the products",IF(AND(P32&lt;&gt;"",TodayDate-P32&gt;365),"Check - price is over a year old","OK")))))))</f>
        <v>0</v>
      </c>
    </row>
    <row r="33" spans="1:33">
      <c r="A33" s="38">
        <f>IF(B33="","",MaterialPrefix&amp;TEXT(ROW()-4,"0000"))</f>
        <v>0</v>
      </c>
      <c r="R33" s="20">
        <f>IF(B33="","",IF(I33="","",ROUND(I33*(1-IF(K33="",0,K33))+IF(J33="",0,J33),2)))</f>
        <v>0</v>
      </c>
      <c r="S33" s="45">
        <f>IF(B33="","",IF(OR(R33="",G33="",G33=0),"",ROUND(R33/G33,4)))</f>
        <v>0</v>
      </c>
      <c r="T33" s="13">
        <f>IF(B33="","",IFERROR(INDEX(UnitBases,MATCH(H33,UnitNames,0)),""))</f>
        <v>0</v>
      </c>
      <c r="U33" s="41">
        <f>IF(B33="","",IFERROR(INDEX(UnitFactors,MATCH(H33,UnitNames,0)),""))</f>
        <v>0</v>
      </c>
      <c r="V33" s="45">
        <f>IF(B33="","",IF(OR(S33="",U33="",U33=0),"",ROUND(S33/U33,4)))</f>
        <v>0</v>
      </c>
      <c r="W33" s="33">
        <f>IF(B33="","",IF(L33="",DefaultWaste,L33))</f>
        <v>0</v>
      </c>
      <c r="X33" s="45">
        <f>IF(B33="","",IF(S33="","",ROUND(S33*(1+W33),4)))</f>
        <v>0</v>
      </c>
      <c r="Y33" s="20">
        <f>IF(B33="","",IF(OR(M33="",S33=""),"",ROUND(M33*S33,2)))</f>
        <v>0</v>
      </c>
      <c r="Z33" s="32">
        <f>IF(B33="","",COUNTIFS('Material Usage'!$C$5:$C$904,A33))</f>
        <v>0</v>
      </c>
      <c r="AA33" s="36">
        <f>IF(B33="","",SUMIFS('Material Usage'!$K$5:$K$904,'Material Usage'!$C$5:$C$904,A33))</f>
        <v>0</v>
      </c>
      <c r="AB33" s="20">
        <f>IF(B33="","",ROUND(SUMIFS('Material Usage'!$M$5:$M$904,'Material Usage'!$C$5:$C$904,A33),2))</f>
        <v>0</v>
      </c>
      <c r="AC33" s="32">
        <f>IF(B33="","",IF(OR(M33="",AA33="",AA33&lt;=0),"",ROUNDDOWN(M33/AA33,0)))</f>
        <v>0</v>
      </c>
      <c r="AD33" s="33">
        <f>IF(B33="","",IF(OR(O33="",O33=0,I33=""),"",(I33-O33)/O33))</f>
        <v>0</v>
      </c>
      <c r="AE33" s="43">
        <f>IF(B33="","",IF(M33="","Not tracked",IF(M33&lt;=0,"Out of stock",IF(AND(N33&lt;&gt;"",M33&lt;=N33),"Low stock","In stock"))))</f>
        <v>0</v>
      </c>
      <c r="AF33" s="32">
        <f>IF(B33="","",COUNTIFS($AB$5:$AB$254,"&gt;"&amp;AB33)+COUNTIFS($AB$5:AB33,AB33))</f>
        <v>0</v>
      </c>
      <c r="AG33" s="43">
        <f>IF(B33="","",IF(I33="","Add - no price yet",IF(OR(G33="",G33=0),"Add - how much is in a pack?",IF(AE33="Out of stock","Order - none left",IF(AE33="Low stock","Order - running low",IF(AND(AD33&lt;&gt;"",AD33&gt;0.075),"Check - price jumped, re-price the products",IF(AND(P33&lt;&gt;"",TodayDate-P33&gt;365),"Check - price is over a year old","OK")))))))</f>
        <v>0</v>
      </c>
    </row>
    <row r="34" spans="1:33">
      <c r="A34" s="38">
        <f>IF(B34="","",MaterialPrefix&amp;TEXT(ROW()-4,"0000"))</f>
        <v>0</v>
      </c>
      <c r="R34" s="20">
        <f>IF(B34="","",IF(I34="","",ROUND(I34*(1-IF(K34="",0,K34))+IF(J34="",0,J34),2)))</f>
        <v>0</v>
      </c>
      <c r="S34" s="45">
        <f>IF(B34="","",IF(OR(R34="",G34="",G34=0),"",ROUND(R34/G34,4)))</f>
        <v>0</v>
      </c>
      <c r="T34" s="13">
        <f>IF(B34="","",IFERROR(INDEX(UnitBases,MATCH(H34,UnitNames,0)),""))</f>
        <v>0</v>
      </c>
      <c r="U34" s="41">
        <f>IF(B34="","",IFERROR(INDEX(UnitFactors,MATCH(H34,UnitNames,0)),""))</f>
        <v>0</v>
      </c>
      <c r="V34" s="45">
        <f>IF(B34="","",IF(OR(S34="",U34="",U34=0),"",ROUND(S34/U34,4)))</f>
        <v>0</v>
      </c>
      <c r="W34" s="33">
        <f>IF(B34="","",IF(L34="",DefaultWaste,L34))</f>
        <v>0</v>
      </c>
      <c r="X34" s="45">
        <f>IF(B34="","",IF(S34="","",ROUND(S34*(1+W34),4)))</f>
        <v>0</v>
      </c>
      <c r="Y34" s="20">
        <f>IF(B34="","",IF(OR(M34="",S34=""),"",ROUND(M34*S34,2)))</f>
        <v>0</v>
      </c>
      <c r="Z34" s="32">
        <f>IF(B34="","",COUNTIFS('Material Usage'!$C$5:$C$904,A34))</f>
        <v>0</v>
      </c>
      <c r="AA34" s="36">
        <f>IF(B34="","",SUMIFS('Material Usage'!$K$5:$K$904,'Material Usage'!$C$5:$C$904,A34))</f>
        <v>0</v>
      </c>
      <c r="AB34" s="20">
        <f>IF(B34="","",ROUND(SUMIFS('Material Usage'!$M$5:$M$904,'Material Usage'!$C$5:$C$904,A34),2))</f>
        <v>0</v>
      </c>
      <c r="AC34" s="32">
        <f>IF(B34="","",IF(OR(M34="",AA34="",AA34&lt;=0),"",ROUNDDOWN(M34/AA34,0)))</f>
        <v>0</v>
      </c>
      <c r="AD34" s="33">
        <f>IF(B34="","",IF(OR(O34="",O34=0,I34=""),"",(I34-O34)/O34))</f>
        <v>0</v>
      </c>
      <c r="AE34" s="43">
        <f>IF(B34="","",IF(M34="","Not tracked",IF(M34&lt;=0,"Out of stock",IF(AND(N34&lt;&gt;"",M34&lt;=N34),"Low stock","In stock"))))</f>
        <v>0</v>
      </c>
      <c r="AF34" s="32">
        <f>IF(B34="","",COUNTIFS($AB$5:$AB$254,"&gt;"&amp;AB34)+COUNTIFS($AB$5:AB34,AB34))</f>
        <v>0</v>
      </c>
      <c r="AG34" s="43">
        <f>IF(B34="","",IF(I34="","Add - no price yet",IF(OR(G34="",G34=0),"Add - how much is in a pack?",IF(AE34="Out of stock","Order - none left",IF(AE34="Low stock","Order - running low",IF(AND(AD34&lt;&gt;"",AD34&gt;0.075),"Check - price jumped, re-price the products",IF(AND(P34&lt;&gt;"",TodayDate-P34&gt;365),"Check - price is over a year old","OK")))))))</f>
        <v>0</v>
      </c>
    </row>
    <row r="35" spans="1:33">
      <c r="A35" s="38">
        <f>IF(B35="","",MaterialPrefix&amp;TEXT(ROW()-4,"0000"))</f>
        <v>0</v>
      </c>
      <c r="R35" s="20">
        <f>IF(B35="","",IF(I35="","",ROUND(I35*(1-IF(K35="",0,K35))+IF(J35="",0,J35),2)))</f>
        <v>0</v>
      </c>
      <c r="S35" s="45">
        <f>IF(B35="","",IF(OR(R35="",G35="",G35=0),"",ROUND(R35/G35,4)))</f>
        <v>0</v>
      </c>
      <c r="T35" s="13">
        <f>IF(B35="","",IFERROR(INDEX(UnitBases,MATCH(H35,UnitNames,0)),""))</f>
        <v>0</v>
      </c>
      <c r="U35" s="41">
        <f>IF(B35="","",IFERROR(INDEX(UnitFactors,MATCH(H35,UnitNames,0)),""))</f>
        <v>0</v>
      </c>
      <c r="V35" s="45">
        <f>IF(B35="","",IF(OR(S35="",U35="",U35=0),"",ROUND(S35/U35,4)))</f>
        <v>0</v>
      </c>
      <c r="W35" s="33">
        <f>IF(B35="","",IF(L35="",DefaultWaste,L35))</f>
        <v>0</v>
      </c>
      <c r="X35" s="45">
        <f>IF(B35="","",IF(S35="","",ROUND(S35*(1+W35),4)))</f>
        <v>0</v>
      </c>
      <c r="Y35" s="20">
        <f>IF(B35="","",IF(OR(M35="",S35=""),"",ROUND(M35*S35,2)))</f>
        <v>0</v>
      </c>
      <c r="Z35" s="32">
        <f>IF(B35="","",COUNTIFS('Material Usage'!$C$5:$C$904,A35))</f>
        <v>0</v>
      </c>
      <c r="AA35" s="36">
        <f>IF(B35="","",SUMIFS('Material Usage'!$K$5:$K$904,'Material Usage'!$C$5:$C$904,A35))</f>
        <v>0</v>
      </c>
      <c r="AB35" s="20">
        <f>IF(B35="","",ROUND(SUMIFS('Material Usage'!$M$5:$M$904,'Material Usage'!$C$5:$C$904,A35),2))</f>
        <v>0</v>
      </c>
      <c r="AC35" s="32">
        <f>IF(B35="","",IF(OR(M35="",AA35="",AA35&lt;=0),"",ROUNDDOWN(M35/AA35,0)))</f>
        <v>0</v>
      </c>
      <c r="AD35" s="33">
        <f>IF(B35="","",IF(OR(O35="",O35=0,I35=""),"",(I35-O35)/O35))</f>
        <v>0</v>
      </c>
      <c r="AE35" s="43">
        <f>IF(B35="","",IF(M35="","Not tracked",IF(M35&lt;=0,"Out of stock",IF(AND(N35&lt;&gt;"",M35&lt;=N35),"Low stock","In stock"))))</f>
        <v>0</v>
      </c>
      <c r="AF35" s="32">
        <f>IF(B35="","",COUNTIFS($AB$5:$AB$254,"&gt;"&amp;AB35)+COUNTIFS($AB$5:AB35,AB35))</f>
        <v>0</v>
      </c>
      <c r="AG35" s="43">
        <f>IF(B35="","",IF(I35="","Add - no price yet",IF(OR(G35="",G35=0),"Add - how much is in a pack?",IF(AE35="Out of stock","Order - none left",IF(AE35="Low stock","Order - running low",IF(AND(AD35&lt;&gt;"",AD35&gt;0.075),"Check - price jumped, re-price the products",IF(AND(P35&lt;&gt;"",TodayDate-P35&gt;365),"Check - price is over a year old","OK")))))))</f>
        <v>0</v>
      </c>
    </row>
    <row r="36" spans="1:33">
      <c r="A36" s="38">
        <f>IF(B36="","",MaterialPrefix&amp;TEXT(ROW()-4,"0000"))</f>
        <v>0</v>
      </c>
      <c r="R36" s="20">
        <f>IF(B36="","",IF(I36="","",ROUND(I36*(1-IF(K36="",0,K36))+IF(J36="",0,J36),2)))</f>
        <v>0</v>
      </c>
      <c r="S36" s="45">
        <f>IF(B36="","",IF(OR(R36="",G36="",G36=0),"",ROUND(R36/G36,4)))</f>
        <v>0</v>
      </c>
      <c r="T36" s="13">
        <f>IF(B36="","",IFERROR(INDEX(UnitBases,MATCH(H36,UnitNames,0)),""))</f>
        <v>0</v>
      </c>
      <c r="U36" s="41">
        <f>IF(B36="","",IFERROR(INDEX(UnitFactors,MATCH(H36,UnitNames,0)),""))</f>
        <v>0</v>
      </c>
      <c r="V36" s="45">
        <f>IF(B36="","",IF(OR(S36="",U36="",U36=0),"",ROUND(S36/U36,4)))</f>
        <v>0</v>
      </c>
      <c r="W36" s="33">
        <f>IF(B36="","",IF(L36="",DefaultWaste,L36))</f>
        <v>0</v>
      </c>
      <c r="X36" s="45">
        <f>IF(B36="","",IF(S36="","",ROUND(S36*(1+W36),4)))</f>
        <v>0</v>
      </c>
      <c r="Y36" s="20">
        <f>IF(B36="","",IF(OR(M36="",S36=""),"",ROUND(M36*S36,2)))</f>
        <v>0</v>
      </c>
      <c r="Z36" s="32">
        <f>IF(B36="","",COUNTIFS('Material Usage'!$C$5:$C$904,A36))</f>
        <v>0</v>
      </c>
      <c r="AA36" s="36">
        <f>IF(B36="","",SUMIFS('Material Usage'!$K$5:$K$904,'Material Usage'!$C$5:$C$904,A36))</f>
        <v>0</v>
      </c>
      <c r="AB36" s="20">
        <f>IF(B36="","",ROUND(SUMIFS('Material Usage'!$M$5:$M$904,'Material Usage'!$C$5:$C$904,A36),2))</f>
        <v>0</v>
      </c>
      <c r="AC36" s="32">
        <f>IF(B36="","",IF(OR(M36="",AA36="",AA36&lt;=0),"",ROUNDDOWN(M36/AA36,0)))</f>
        <v>0</v>
      </c>
      <c r="AD36" s="33">
        <f>IF(B36="","",IF(OR(O36="",O36=0,I36=""),"",(I36-O36)/O36))</f>
        <v>0</v>
      </c>
      <c r="AE36" s="43">
        <f>IF(B36="","",IF(M36="","Not tracked",IF(M36&lt;=0,"Out of stock",IF(AND(N36&lt;&gt;"",M36&lt;=N36),"Low stock","In stock"))))</f>
        <v>0</v>
      </c>
      <c r="AF36" s="32">
        <f>IF(B36="","",COUNTIFS($AB$5:$AB$254,"&gt;"&amp;AB36)+COUNTIFS($AB$5:AB36,AB36))</f>
        <v>0</v>
      </c>
      <c r="AG36" s="43">
        <f>IF(B36="","",IF(I36="","Add - no price yet",IF(OR(G36="",G36=0),"Add - how much is in a pack?",IF(AE36="Out of stock","Order - none left",IF(AE36="Low stock","Order - running low",IF(AND(AD36&lt;&gt;"",AD36&gt;0.075),"Check - price jumped, re-price the products",IF(AND(P36&lt;&gt;"",TodayDate-P36&gt;365),"Check - price is over a year old","OK")))))))</f>
        <v>0</v>
      </c>
    </row>
    <row r="37" spans="1:33">
      <c r="A37" s="38">
        <f>IF(B37="","",MaterialPrefix&amp;TEXT(ROW()-4,"0000"))</f>
        <v>0</v>
      </c>
      <c r="R37" s="20">
        <f>IF(B37="","",IF(I37="","",ROUND(I37*(1-IF(K37="",0,K37))+IF(J37="",0,J37),2)))</f>
        <v>0</v>
      </c>
      <c r="S37" s="45">
        <f>IF(B37="","",IF(OR(R37="",G37="",G37=0),"",ROUND(R37/G37,4)))</f>
        <v>0</v>
      </c>
      <c r="T37" s="13">
        <f>IF(B37="","",IFERROR(INDEX(UnitBases,MATCH(H37,UnitNames,0)),""))</f>
        <v>0</v>
      </c>
      <c r="U37" s="41">
        <f>IF(B37="","",IFERROR(INDEX(UnitFactors,MATCH(H37,UnitNames,0)),""))</f>
        <v>0</v>
      </c>
      <c r="V37" s="45">
        <f>IF(B37="","",IF(OR(S37="",U37="",U37=0),"",ROUND(S37/U37,4)))</f>
        <v>0</v>
      </c>
      <c r="W37" s="33">
        <f>IF(B37="","",IF(L37="",DefaultWaste,L37))</f>
        <v>0</v>
      </c>
      <c r="X37" s="45">
        <f>IF(B37="","",IF(S37="","",ROUND(S37*(1+W37),4)))</f>
        <v>0</v>
      </c>
      <c r="Y37" s="20">
        <f>IF(B37="","",IF(OR(M37="",S37=""),"",ROUND(M37*S37,2)))</f>
        <v>0</v>
      </c>
      <c r="Z37" s="32">
        <f>IF(B37="","",COUNTIFS('Material Usage'!$C$5:$C$904,A37))</f>
        <v>0</v>
      </c>
      <c r="AA37" s="36">
        <f>IF(B37="","",SUMIFS('Material Usage'!$K$5:$K$904,'Material Usage'!$C$5:$C$904,A37))</f>
        <v>0</v>
      </c>
      <c r="AB37" s="20">
        <f>IF(B37="","",ROUND(SUMIFS('Material Usage'!$M$5:$M$904,'Material Usage'!$C$5:$C$904,A37),2))</f>
        <v>0</v>
      </c>
      <c r="AC37" s="32">
        <f>IF(B37="","",IF(OR(M37="",AA37="",AA37&lt;=0),"",ROUNDDOWN(M37/AA37,0)))</f>
        <v>0</v>
      </c>
      <c r="AD37" s="33">
        <f>IF(B37="","",IF(OR(O37="",O37=0,I37=""),"",(I37-O37)/O37))</f>
        <v>0</v>
      </c>
      <c r="AE37" s="43">
        <f>IF(B37="","",IF(M37="","Not tracked",IF(M37&lt;=0,"Out of stock",IF(AND(N37&lt;&gt;"",M37&lt;=N37),"Low stock","In stock"))))</f>
        <v>0</v>
      </c>
      <c r="AF37" s="32">
        <f>IF(B37="","",COUNTIFS($AB$5:$AB$254,"&gt;"&amp;AB37)+COUNTIFS($AB$5:AB37,AB37))</f>
        <v>0</v>
      </c>
      <c r="AG37" s="43">
        <f>IF(B37="","",IF(I37="","Add - no price yet",IF(OR(G37="",G37=0),"Add - how much is in a pack?",IF(AE37="Out of stock","Order - none left",IF(AE37="Low stock","Order - running low",IF(AND(AD37&lt;&gt;"",AD37&gt;0.075),"Check - price jumped, re-price the products",IF(AND(P37&lt;&gt;"",TodayDate-P37&gt;365),"Check - price is over a year old","OK")))))))</f>
        <v>0</v>
      </c>
    </row>
    <row r="38" spans="1:33">
      <c r="A38" s="38">
        <f>IF(B38="","",MaterialPrefix&amp;TEXT(ROW()-4,"0000"))</f>
        <v>0</v>
      </c>
      <c r="R38" s="20">
        <f>IF(B38="","",IF(I38="","",ROUND(I38*(1-IF(K38="",0,K38))+IF(J38="",0,J38),2)))</f>
        <v>0</v>
      </c>
      <c r="S38" s="45">
        <f>IF(B38="","",IF(OR(R38="",G38="",G38=0),"",ROUND(R38/G38,4)))</f>
        <v>0</v>
      </c>
      <c r="T38" s="13">
        <f>IF(B38="","",IFERROR(INDEX(UnitBases,MATCH(H38,UnitNames,0)),""))</f>
        <v>0</v>
      </c>
      <c r="U38" s="41">
        <f>IF(B38="","",IFERROR(INDEX(UnitFactors,MATCH(H38,UnitNames,0)),""))</f>
        <v>0</v>
      </c>
      <c r="V38" s="45">
        <f>IF(B38="","",IF(OR(S38="",U38="",U38=0),"",ROUND(S38/U38,4)))</f>
        <v>0</v>
      </c>
      <c r="W38" s="33">
        <f>IF(B38="","",IF(L38="",DefaultWaste,L38))</f>
        <v>0</v>
      </c>
      <c r="X38" s="45">
        <f>IF(B38="","",IF(S38="","",ROUND(S38*(1+W38),4)))</f>
        <v>0</v>
      </c>
      <c r="Y38" s="20">
        <f>IF(B38="","",IF(OR(M38="",S38=""),"",ROUND(M38*S38,2)))</f>
        <v>0</v>
      </c>
      <c r="Z38" s="32">
        <f>IF(B38="","",COUNTIFS('Material Usage'!$C$5:$C$904,A38))</f>
        <v>0</v>
      </c>
      <c r="AA38" s="36">
        <f>IF(B38="","",SUMIFS('Material Usage'!$K$5:$K$904,'Material Usage'!$C$5:$C$904,A38))</f>
        <v>0</v>
      </c>
      <c r="AB38" s="20">
        <f>IF(B38="","",ROUND(SUMIFS('Material Usage'!$M$5:$M$904,'Material Usage'!$C$5:$C$904,A38),2))</f>
        <v>0</v>
      </c>
      <c r="AC38" s="32">
        <f>IF(B38="","",IF(OR(M38="",AA38="",AA38&lt;=0),"",ROUNDDOWN(M38/AA38,0)))</f>
        <v>0</v>
      </c>
      <c r="AD38" s="33">
        <f>IF(B38="","",IF(OR(O38="",O38=0,I38=""),"",(I38-O38)/O38))</f>
        <v>0</v>
      </c>
      <c r="AE38" s="43">
        <f>IF(B38="","",IF(M38="","Not tracked",IF(M38&lt;=0,"Out of stock",IF(AND(N38&lt;&gt;"",M38&lt;=N38),"Low stock","In stock"))))</f>
        <v>0</v>
      </c>
      <c r="AF38" s="32">
        <f>IF(B38="","",COUNTIFS($AB$5:$AB$254,"&gt;"&amp;AB38)+COUNTIFS($AB$5:AB38,AB38))</f>
        <v>0</v>
      </c>
      <c r="AG38" s="43">
        <f>IF(B38="","",IF(I38="","Add - no price yet",IF(OR(G38="",G38=0),"Add - how much is in a pack?",IF(AE38="Out of stock","Order - none left",IF(AE38="Low stock","Order - running low",IF(AND(AD38&lt;&gt;"",AD38&gt;0.075),"Check - price jumped, re-price the products",IF(AND(P38&lt;&gt;"",TodayDate-P38&gt;365),"Check - price is over a year old","OK")))))))</f>
        <v>0</v>
      </c>
    </row>
    <row r="39" spans="1:33">
      <c r="A39" s="38">
        <f>IF(B39="","",MaterialPrefix&amp;TEXT(ROW()-4,"0000"))</f>
        <v>0</v>
      </c>
      <c r="R39" s="20">
        <f>IF(B39="","",IF(I39="","",ROUND(I39*(1-IF(K39="",0,K39))+IF(J39="",0,J39),2)))</f>
        <v>0</v>
      </c>
      <c r="S39" s="45">
        <f>IF(B39="","",IF(OR(R39="",G39="",G39=0),"",ROUND(R39/G39,4)))</f>
        <v>0</v>
      </c>
      <c r="T39" s="13">
        <f>IF(B39="","",IFERROR(INDEX(UnitBases,MATCH(H39,UnitNames,0)),""))</f>
        <v>0</v>
      </c>
      <c r="U39" s="41">
        <f>IF(B39="","",IFERROR(INDEX(UnitFactors,MATCH(H39,UnitNames,0)),""))</f>
        <v>0</v>
      </c>
      <c r="V39" s="45">
        <f>IF(B39="","",IF(OR(S39="",U39="",U39=0),"",ROUND(S39/U39,4)))</f>
        <v>0</v>
      </c>
      <c r="W39" s="33">
        <f>IF(B39="","",IF(L39="",DefaultWaste,L39))</f>
        <v>0</v>
      </c>
      <c r="X39" s="45">
        <f>IF(B39="","",IF(S39="","",ROUND(S39*(1+W39),4)))</f>
        <v>0</v>
      </c>
      <c r="Y39" s="20">
        <f>IF(B39="","",IF(OR(M39="",S39=""),"",ROUND(M39*S39,2)))</f>
        <v>0</v>
      </c>
      <c r="Z39" s="32">
        <f>IF(B39="","",COUNTIFS('Material Usage'!$C$5:$C$904,A39))</f>
        <v>0</v>
      </c>
      <c r="AA39" s="36">
        <f>IF(B39="","",SUMIFS('Material Usage'!$K$5:$K$904,'Material Usage'!$C$5:$C$904,A39))</f>
        <v>0</v>
      </c>
      <c r="AB39" s="20">
        <f>IF(B39="","",ROUND(SUMIFS('Material Usage'!$M$5:$M$904,'Material Usage'!$C$5:$C$904,A39),2))</f>
        <v>0</v>
      </c>
      <c r="AC39" s="32">
        <f>IF(B39="","",IF(OR(M39="",AA39="",AA39&lt;=0),"",ROUNDDOWN(M39/AA39,0)))</f>
        <v>0</v>
      </c>
      <c r="AD39" s="33">
        <f>IF(B39="","",IF(OR(O39="",O39=0,I39=""),"",(I39-O39)/O39))</f>
        <v>0</v>
      </c>
      <c r="AE39" s="43">
        <f>IF(B39="","",IF(M39="","Not tracked",IF(M39&lt;=0,"Out of stock",IF(AND(N39&lt;&gt;"",M39&lt;=N39),"Low stock","In stock"))))</f>
        <v>0</v>
      </c>
      <c r="AF39" s="32">
        <f>IF(B39="","",COUNTIFS($AB$5:$AB$254,"&gt;"&amp;AB39)+COUNTIFS($AB$5:AB39,AB39))</f>
        <v>0</v>
      </c>
      <c r="AG39" s="43">
        <f>IF(B39="","",IF(I39="","Add - no price yet",IF(OR(G39="",G39=0),"Add - how much is in a pack?",IF(AE39="Out of stock","Order - none left",IF(AE39="Low stock","Order - running low",IF(AND(AD39&lt;&gt;"",AD39&gt;0.075),"Check - price jumped, re-price the products",IF(AND(P39&lt;&gt;"",TodayDate-P39&gt;365),"Check - price is over a year old","OK")))))))</f>
        <v>0</v>
      </c>
    </row>
    <row r="40" spans="1:33">
      <c r="A40" s="38">
        <f>IF(B40="","",MaterialPrefix&amp;TEXT(ROW()-4,"0000"))</f>
        <v>0</v>
      </c>
      <c r="R40" s="20">
        <f>IF(B40="","",IF(I40="","",ROUND(I40*(1-IF(K40="",0,K40))+IF(J40="",0,J40),2)))</f>
        <v>0</v>
      </c>
      <c r="S40" s="45">
        <f>IF(B40="","",IF(OR(R40="",G40="",G40=0),"",ROUND(R40/G40,4)))</f>
        <v>0</v>
      </c>
      <c r="T40" s="13">
        <f>IF(B40="","",IFERROR(INDEX(UnitBases,MATCH(H40,UnitNames,0)),""))</f>
        <v>0</v>
      </c>
      <c r="U40" s="41">
        <f>IF(B40="","",IFERROR(INDEX(UnitFactors,MATCH(H40,UnitNames,0)),""))</f>
        <v>0</v>
      </c>
      <c r="V40" s="45">
        <f>IF(B40="","",IF(OR(S40="",U40="",U40=0),"",ROUND(S40/U40,4)))</f>
        <v>0</v>
      </c>
      <c r="W40" s="33">
        <f>IF(B40="","",IF(L40="",DefaultWaste,L40))</f>
        <v>0</v>
      </c>
      <c r="X40" s="45">
        <f>IF(B40="","",IF(S40="","",ROUND(S40*(1+W40),4)))</f>
        <v>0</v>
      </c>
      <c r="Y40" s="20">
        <f>IF(B40="","",IF(OR(M40="",S40=""),"",ROUND(M40*S40,2)))</f>
        <v>0</v>
      </c>
      <c r="Z40" s="32">
        <f>IF(B40="","",COUNTIFS('Material Usage'!$C$5:$C$904,A40))</f>
        <v>0</v>
      </c>
      <c r="AA40" s="36">
        <f>IF(B40="","",SUMIFS('Material Usage'!$K$5:$K$904,'Material Usage'!$C$5:$C$904,A40))</f>
        <v>0</v>
      </c>
      <c r="AB40" s="20">
        <f>IF(B40="","",ROUND(SUMIFS('Material Usage'!$M$5:$M$904,'Material Usage'!$C$5:$C$904,A40),2))</f>
        <v>0</v>
      </c>
      <c r="AC40" s="32">
        <f>IF(B40="","",IF(OR(M40="",AA40="",AA40&lt;=0),"",ROUNDDOWN(M40/AA40,0)))</f>
        <v>0</v>
      </c>
      <c r="AD40" s="33">
        <f>IF(B40="","",IF(OR(O40="",O40=0,I40=""),"",(I40-O40)/O40))</f>
        <v>0</v>
      </c>
      <c r="AE40" s="43">
        <f>IF(B40="","",IF(M40="","Not tracked",IF(M40&lt;=0,"Out of stock",IF(AND(N40&lt;&gt;"",M40&lt;=N40),"Low stock","In stock"))))</f>
        <v>0</v>
      </c>
      <c r="AF40" s="32">
        <f>IF(B40="","",COUNTIFS($AB$5:$AB$254,"&gt;"&amp;AB40)+COUNTIFS($AB$5:AB40,AB40))</f>
        <v>0</v>
      </c>
      <c r="AG40" s="43">
        <f>IF(B40="","",IF(I40="","Add - no price yet",IF(OR(G40="",G40=0),"Add - how much is in a pack?",IF(AE40="Out of stock","Order - none left",IF(AE40="Low stock","Order - running low",IF(AND(AD40&lt;&gt;"",AD40&gt;0.075),"Check - price jumped, re-price the products",IF(AND(P40&lt;&gt;"",TodayDate-P40&gt;365),"Check - price is over a year old","OK")))))))</f>
        <v>0</v>
      </c>
    </row>
    <row r="41" spans="1:33">
      <c r="A41" s="38">
        <f>IF(B41="","",MaterialPrefix&amp;TEXT(ROW()-4,"0000"))</f>
        <v>0</v>
      </c>
      <c r="R41" s="20">
        <f>IF(B41="","",IF(I41="","",ROUND(I41*(1-IF(K41="",0,K41))+IF(J41="",0,J41),2)))</f>
        <v>0</v>
      </c>
      <c r="S41" s="45">
        <f>IF(B41="","",IF(OR(R41="",G41="",G41=0),"",ROUND(R41/G41,4)))</f>
        <v>0</v>
      </c>
      <c r="T41" s="13">
        <f>IF(B41="","",IFERROR(INDEX(UnitBases,MATCH(H41,UnitNames,0)),""))</f>
        <v>0</v>
      </c>
      <c r="U41" s="41">
        <f>IF(B41="","",IFERROR(INDEX(UnitFactors,MATCH(H41,UnitNames,0)),""))</f>
        <v>0</v>
      </c>
      <c r="V41" s="45">
        <f>IF(B41="","",IF(OR(S41="",U41="",U41=0),"",ROUND(S41/U41,4)))</f>
        <v>0</v>
      </c>
      <c r="W41" s="33">
        <f>IF(B41="","",IF(L41="",DefaultWaste,L41))</f>
        <v>0</v>
      </c>
      <c r="X41" s="45">
        <f>IF(B41="","",IF(S41="","",ROUND(S41*(1+W41),4)))</f>
        <v>0</v>
      </c>
      <c r="Y41" s="20">
        <f>IF(B41="","",IF(OR(M41="",S41=""),"",ROUND(M41*S41,2)))</f>
        <v>0</v>
      </c>
      <c r="Z41" s="32">
        <f>IF(B41="","",COUNTIFS('Material Usage'!$C$5:$C$904,A41))</f>
        <v>0</v>
      </c>
      <c r="AA41" s="36">
        <f>IF(B41="","",SUMIFS('Material Usage'!$K$5:$K$904,'Material Usage'!$C$5:$C$904,A41))</f>
        <v>0</v>
      </c>
      <c r="AB41" s="20">
        <f>IF(B41="","",ROUND(SUMIFS('Material Usage'!$M$5:$M$904,'Material Usage'!$C$5:$C$904,A41),2))</f>
        <v>0</v>
      </c>
      <c r="AC41" s="32">
        <f>IF(B41="","",IF(OR(M41="",AA41="",AA41&lt;=0),"",ROUNDDOWN(M41/AA41,0)))</f>
        <v>0</v>
      </c>
      <c r="AD41" s="33">
        <f>IF(B41="","",IF(OR(O41="",O41=0,I41=""),"",(I41-O41)/O41))</f>
        <v>0</v>
      </c>
      <c r="AE41" s="43">
        <f>IF(B41="","",IF(M41="","Not tracked",IF(M41&lt;=0,"Out of stock",IF(AND(N41&lt;&gt;"",M41&lt;=N41),"Low stock","In stock"))))</f>
        <v>0</v>
      </c>
      <c r="AF41" s="32">
        <f>IF(B41="","",COUNTIFS($AB$5:$AB$254,"&gt;"&amp;AB41)+COUNTIFS($AB$5:AB41,AB41))</f>
        <v>0</v>
      </c>
      <c r="AG41" s="43">
        <f>IF(B41="","",IF(I41="","Add - no price yet",IF(OR(G41="",G41=0),"Add - how much is in a pack?",IF(AE41="Out of stock","Order - none left",IF(AE41="Low stock","Order - running low",IF(AND(AD41&lt;&gt;"",AD41&gt;0.075),"Check - price jumped, re-price the products",IF(AND(P41&lt;&gt;"",TodayDate-P41&gt;365),"Check - price is over a year old","OK")))))))</f>
        <v>0</v>
      </c>
    </row>
    <row r="42" spans="1:33">
      <c r="A42" s="38">
        <f>IF(B42="","",MaterialPrefix&amp;TEXT(ROW()-4,"0000"))</f>
        <v>0</v>
      </c>
      <c r="R42" s="20">
        <f>IF(B42="","",IF(I42="","",ROUND(I42*(1-IF(K42="",0,K42))+IF(J42="",0,J42),2)))</f>
        <v>0</v>
      </c>
      <c r="S42" s="45">
        <f>IF(B42="","",IF(OR(R42="",G42="",G42=0),"",ROUND(R42/G42,4)))</f>
        <v>0</v>
      </c>
      <c r="T42" s="13">
        <f>IF(B42="","",IFERROR(INDEX(UnitBases,MATCH(H42,UnitNames,0)),""))</f>
        <v>0</v>
      </c>
      <c r="U42" s="41">
        <f>IF(B42="","",IFERROR(INDEX(UnitFactors,MATCH(H42,UnitNames,0)),""))</f>
        <v>0</v>
      </c>
      <c r="V42" s="45">
        <f>IF(B42="","",IF(OR(S42="",U42="",U42=0),"",ROUND(S42/U42,4)))</f>
        <v>0</v>
      </c>
      <c r="W42" s="33">
        <f>IF(B42="","",IF(L42="",DefaultWaste,L42))</f>
        <v>0</v>
      </c>
      <c r="X42" s="45">
        <f>IF(B42="","",IF(S42="","",ROUND(S42*(1+W42),4)))</f>
        <v>0</v>
      </c>
      <c r="Y42" s="20">
        <f>IF(B42="","",IF(OR(M42="",S42=""),"",ROUND(M42*S42,2)))</f>
        <v>0</v>
      </c>
      <c r="Z42" s="32">
        <f>IF(B42="","",COUNTIFS('Material Usage'!$C$5:$C$904,A42))</f>
        <v>0</v>
      </c>
      <c r="AA42" s="36">
        <f>IF(B42="","",SUMIFS('Material Usage'!$K$5:$K$904,'Material Usage'!$C$5:$C$904,A42))</f>
        <v>0</v>
      </c>
      <c r="AB42" s="20">
        <f>IF(B42="","",ROUND(SUMIFS('Material Usage'!$M$5:$M$904,'Material Usage'!$C$5:$C$904,A42),2))</f>
        <v>0</v>
      </c>
      <c r="AC42" s="32">
        <f>IF(B42="","",IF(OR(M42="",AA42="",AA42&lt;=0),"",ROUNDDOWN(M42/AA42,0)))</f>
        <v>0</v>
      </c>
      <c r="AD42" s="33">
        <f>IF(B42="","",IF(OR(O42="",O42=0,I42=""),"",(I42-O42)/O42))</f>
        <v>0</v>
      </c>
      <c r="AE42" s="43">
        <f>IF(B42="","",IF(M42="","Not tracked",IF(M42&lt;=0,"Out of stock",IF(AND(N42&lt;&gt;"",M42&lt;=N42),"Low stock","In stock"))))</f>
        <v>0</v>
      </c>
      <c r="AF42" s="32">
        <f>IF(B42="","",COUNTIFS($AB$5:$AB$254,"&gt;"&amp;AB42)+COUNTIFS($AB$5:AB42,AB42))</f>
        <v>0</v>
      </c>
      <c r="AG42" s="43">
        <f>IF(B42="","",IF(I42="","Add - no price yet",IF(OR(G42="",G42=0),"Add - how much is in a pack?",IF(AE42="Out of stock","Order - none left",IF(AE42="Low stock","Order - running low",IF(AND(AD42&lt;&gt;"",AD42&gt;0.075),"Check - price jumped, re-price the products",IF(AND(P42&lt;&gt;"",TodayDate-P42&gt;365),"Check - price is over a year old","OK")))))))</f>
        <v>0</v>
      </c>
    </row>
    <row r="43" spans="1:33">
      <c r="A43" s="38">
        <f>IF(B43="","",MaterialPrefix&amp;TEXT(ROW()-4,"0000"))</f>
        <v>0</v>
      </c>
      <c r="R43" s="20">
        <f>IF(B43="","",IF(I43="","",ROUND(I43*(1-IF(K43="",0,K43))+IF(J43="",0,J43),2)))</f>
        <v>0</v>
      </c>
      <c r="S43" s="45">
        <f>IF(B43="","",IF(OR(R43="",G43="",G43=0),"",ROUND(R43/G43,4)))</f>
        <v>0</v>
      </c>
      <c r="T43" s="13">
        <f>IF(B43="","",IFERROR(INDEX(UnitBases,MATCH(H43,UnitNames,0)),""))</f>
        <v>0</v>
      </c>
      <c r="U43" s="41">
        <f>IF(B43="","",IFERROR(INDEX(UnitFactors,MATCH(H43,UnitNames,0)),""))</f>
        <v>0</v>
      </c>
      <c r="V43" s="45">
        <f>IF(B43="","",IF(OR(S43="",U43="",U43=0),"",ROUND(S43/U43,4)))</f>
        <v>0</v>
      </c>
      <c r="W43" s="33">
        <f>IF(B43="","",IF(L43="",DefaultWaste,L43))</f>
        <v>0</v>
      </c>
      <c r="X43" s="45">
        <f>IF(B43="","",IF(S43="","",ROUND(S43*(1+W43),4)))</f>
        <v>0</v>
      </c>
      <c r="Y43" s="20">
        <f>IF(B43="","",IF(OR(M43="",S43=""),"",ROUND(M43*S43,2)))</f>
        <v>0</v>
      </c>
      <c r="Z43" s="32">
        <f>IF(B43="","",COUNTIFS('Material Usage'!$C$5:$C$904,A43))</f>
        <v>0</v>
      </c>
      <c r="AA43" s="36">
        <f>IF(B43="","",SUMIFS('Material Usage'!$K$5:$K$904,'Material Usage'!$C$5:$C$904,A43))</f>
        <v>0</v>
      </c>
      <c r="AB43" s="20">
        <f>IF(B43="","",ROUND(SUMIFS('Material Usage'!$M$5:$M$904,'Material Usage'!$C$5:$C$904,A43),2))</f>
        <v>0</v>
      </c>
      <c r="AC43" s="32">
        <f>IF(B43="","",IF(OR(M43="",AA43="",AA43&lt;=0),"",ROUNDDOWN(M43/AA43,0)))</f>
        <v>0</v>
      </c>
      <c r="AD43" s="33">
        <f>IF(B43="","",IF(OR(O43="",O43=0,I43=""),"",(I43-O43)/O43))</f>
        <v>0</v>
      </c>
      <c r="AE43" s="43">
        <f>IF(B43="","",IF(M43="","Not tracked",IF(M43&lt;=0,"Out of stock",IF(AND(N43&lt;&gt;"",M43&lt;=N43),"Low stock","In stock"))))</f>
        <v>0</v>
      </c>
      <c r="AF43" s="32">
        <f>IF(B43="","",COUNTIFS($AB$5:$AB$254,"&gt;"&amp;AB43)+COUNTIFS($AB$5:AB43,AB43))</f>
        <v>0</v>
      </c>
      <c r="AG43" s="43">
        <f>IF(B43="","",IF(I43="","Add - no price yet",IF(OR(G43="",G43=0),"Add - how much is in a pack?",IF(AE43="Out of stock","Order - none left",IF(AE43="Low stock","Order - running low",IF(AND(AD43&lt;&gt;"",AD43&gt;0.075),"Check - price jumped, re-price the products",IF(AND(P43&lt;&gt;"",TodayDate-P43&gt;365),"Check - price is over a year old","OK")))))))</f>
        <v>0</v>
      </c>
    </row>
    <row r="44" spans="1:33">
      <c r="A44" s="38">
        <f>IF(B44="","",MaterialPrefix&amp;TEXT(ROW()-4,"0000"))</f>
        <v>0</v>
      </c>
      <c r="R44" s="20">
        <f>IF(B44="","",IF(I44="","",ROUND(I44*(1-IF(K44="",0,K44))+IF(J44="",0,J44),2)))</f>
        <v>0</v>
      </c>
      <c r="S44" s="45">
        <f>IF(B44="","",IF(OR(R44="",G44="",G44=0),"",ROUND(R44/G44,4)))</f>
        <v>0</v>
      </c>
      <c r="T44" s="13">
        <f>IF(B44="","",IFERROR(INDEX(UnitBases,MATCH(H44,UnitNames,0)),""))</f>
        <v>0</v>
      </c>
      <c r="U44" s="41">
        <f>IF(B44="","",IFERROR(INDEX(UnitFactors,MATCH(H44,UnitNames,0)),""))</f>
        <v>0</v>
      </c>
      <c r="V44" s="45">
        <f>IF(B44="","",IF(OR(S44="",U44="",U44=0),"",ROUND(S44/U44,4)))</f>
        <v>0</v>
      </c>
      <c r="W44" s="33">
        <f>IF(B44="","",IF(L44="",DefaultWaste,L44))</f>
        <v>0</v>
      </c>
      <c r="X44" s="45">
        <f>IF(B44="","",IF(S44="","",ROUND(S44*(1+W44),4)))</f>
        <v>0</v>
      </c>
      <c r="Y44" s="20">
        <f>IF(B44="","",IF(OR(M44="",S44=""),"",ROUND(M44*S44,2)))</f>
        <v>0</v>
      </c>
      <c r="Z44" s="32">
        <f>IF(B44="","",COUNTIFS('Material Usage'!$C$5:$C$904,A44))</f>
        <v>0</v>
      </c>
      <c r="AA44" s="36">
        <f>IF(B44="","",SUMIFS('Material Usage'!$K$5:$K$904,'Material Usage'!$C$5:$C$904,A44))</f>
        <v>0</v>
      </c>
      <c r="AB44" s="20">
        <f>IF(B44="","",ROUND(SUMIFS('Material Usage'!$M$5:$M$904,'Material Usage'!$C$5:$C$904,A44),2))</f>
        <v>0</v>
      </c>
      <c r="AC44" s="32">
        <f>IF(B44="","",IF(OR(M44="",AA44="",AA44&lt;=0),"",ROUNDDOWN(M44/AA44,0)))</f>
        <v>0</v>
      </c>
      <c r="AD44" s="33">
        <f>IF(B44="","",IF(OR(O44="",O44=0,I44=""),"",(I44-O44)/O44))</f>
        <v>0</v>
      </c>
      <c r="AE44" s="43">
        <f>IF(B44="","",IF(M44="","Not tracked",IF(M44&lt;=0,"Out of stock",IF(AND(N44&lt;&gt;"",M44&lt;=N44),"Low stock","In stock"))))</f>
        <v>0</v>
      </c>
      <c r="AF44" s="32">
        <f>IF(B44="","",COUNTIFS($AB$5:$AB$254,"&gt;"&amp;AB44)+COUNTIFS($AB$5:AB44,AB44))</f>
        <v>0</v>
      </c>
      <c r="AG44" s="43">
        <f>IF(B44="","",IF(I44="","Add - no price yet",IF(OR(G44="",G44=0),"Add - how much is in a pack?",IF(AE44="Out of stock","Order - none left",IF(AE44="Low stock","Order - running low",IF(AND(AD44&lt;&gt;"",AD44&gt;0.075),"Check - price jumped, re-price the products",IF(AND(P44&lt;&gt;"",TodayDate-P44&gt;365),"Check - price is over a year old","OK")))))))</f>
        <v>0</v>
      </c>
    </row>
    <row r="45" spans="1:33">
      <c r="A45" s="38">
        <f>IF(B45="","",MaterialPrefix&amp;TEXT(ROW()-4,"0000"))</f>
        <v>0</v>
      </c>
      <c r="R45" s="20">
        <f>IF(B45="","",IF(I45="","",ROUND(I45*(1-IF(K45="",0,K45))+IF(J45="",0,J45),2)))</f>
        <v>0</v>
      </c>
      <c r="S45" s="45">
        <f>IF(B45="","",IF(OR(R45="",G45="",G45=0),"",ROUND(R45/G45,4)))</f>
        <v>0</v>
      </c>
      <c r="T45" s="13">
        <f>IF(B45="","",IFERROR(INDEX(UnitBases,MATCH(H45,UnitNames,0)),""))</f>
        <v>0</v>
      </c>
      <c r="U45" s="41">
        <f>IF(B45="","",IFERROR(INDEX(UnitFactors,MATCH(H45,UnitNames,0)),""))</f>
        <v>0</v>
      </c>
      <c r="V45" s="45">
        <f>IF(B45="","",IF(OR(S45="",U45="",U45=0),"",ROUND(S45/U45,4)))</f>
        <v>0</v>
      </c>
      <c r="W45" s="33">
        <f>IF(B45="","",IF(L45="",DefaultWaste,L45))</f>
        <v>0</v>
      </c>
      <c r="X45" s="45">
        <f>IF(B45="","",IF(S45="","",ROUND(S45*(1+W45),4)))</f>
        <v>0</v>
      </c>
      <c r="Y45" s="20">
        <f>IF(B45="","",IF(OR(M45="",S45=""),"",ROUND(M45*S45,2)))</f>
        <v>0</v>
      </c>
      <c r="Z45" s="32">
        <f>IF(B45="","",COUNTIFS('Material Usage'!$C$5:$C$904,A45))</f>
        <v>0</v>
      </c>
      <c r="AA45" s="36">
        <f>IF(B45="","",SUMIFS('Material Usage'!$K$5:$K$904,'Material Usage'!$C$5:$C$904,A45))</f>
        <v>0</v>
      </c>
      <c r="AB45" s="20">
        <f>IF(B45="","",ROUND(SUMIFS('Material Usage'!$M$5:$M$904,'Material Usage'!$C$5:$C$904,A45),2))</f>
        <v>0</v>
      </c>
      <c r="AC45" s="32">
        <f>IF(B45="","",IF(OR(M45="",AA45="",AA45&lt;=0),"",ROUNDDOWN(M45/AA45,0)))</f>
        <v>0</v>
      </c>
      <c r="AD45" s="33">
        <f>IF(B45="","",IF(OR(O45="",O45=0,I45=""),"",(I45-O45)/O45))</f>
        <v>0</v>
      </c>
      <c r="AE45" s="43">
        <f>IF(B45="","",IF(M45="","Not tracked",IF(M45&lt;=0,"Out of stock",IF(AND(N45&lt;&gt;"",M45&lt;=N45),"Low stock","In stock"))))</f>
        <v>0</v>
      </c>
      <c r="AF45" s="32">
        <f>IF(B45="","",COUNTIFS($AB$5:$AB$254,"&gt;"&amp;AB45)+COUNTIFS($AB$5:AB45,AB45))</f>
        <v>0</v>
      </c>
      <c r="AG45" s="43">
        <f>IF(B45="","",IF(I45="","Add - no price yet",IF(OR(G45="",G45=0),"Add - how much is in a pack?",IF(AE45="Out of stock","Order - none left",IF(AE45="Low stock","Order - running low",IF(AND(AD45&lt;&gt;"",AD45&gt;0.075),"Check - price jumped, re-price the products",IF(AND(P45&lt;&gt;"",TodayDate-P45&gt;365),"Check - price is over a year old","OK")))))))</f>
        <v>0</v>
      </c>
    </row>
    <row r="46" spans="1:33">
      <c r="A46" s="38">
        <f>IF(B46="","",MaterialPrefix&amp;TEXT(ROW()-4,"0000"))</f>
        <v>0</v>
      </c>
      <c r="R46" s="20">
        <f>IF(B46="","",IF(I46="","",ROUND(I46*(1-IF(K46="",0,K46))+IF(J46="",0,J46),2)))</f>
        <v>0</v>
      </c>
      <c r="S46" s="45">
        <f>IF(B46="","",IF(OR(R46="",G46="",G46=0),"",ROUND(R46/G46,4)))</f>
        <v>0</v>
      </c>
      <c r="T46" s="13">
        <f>IF(B46="","",IFERROR(INDEX(UnitBases,MATCH(H46,UnitNames,0)),""))</f>
        <v>0</v>
      </c>
      <c r="U46" s="41">
        <f>IF(B46="","",IFERROR(INDEX(UnitFactors,MATCH(H46,UnitNames,0)),""))</f>
        <v>0</v>
      </c>
      <c r="V46" s="45">
        <f>IF(B46="","",IF(OR(S46="",U46="",U46=0),"",ROUND(S46/U46,4)))</f>
        <v>0</v>
      </c>
      <c r="W46" s="33">
        <f>IF(B46="","",IF(L46="",DefaultWaste,L46))</f>
        <v>0</v>
      </c>
      <c r="X46" s="45">
        <f>IF(B46="","",IF(S46="","",ROUND(S46*(1+W46),4)))</f>
        <v>0</v>
      </c>
      <c r="Y46" s="20">
        <f>IF(B46="","",IF(OR(M46="",S46=""),"",ROUND(M46*S46,2)))</f>
        <v>0</v>
      </c>
      <c r="Z46" s="32">
        <f>IF(B46="","",COUNTIFS('Material Usage'!$C$5:$C$904,A46))</f>
        <v>0</v>
      </c>
      <c r="AA46" s="36">
        <f>IF(B46="","",SUMIFS('Material Usage'!$K$5:$K$904,'Material Usage'!$C$5:$C$904,A46))</f>
        <v>0</v>
      </c>
      <c r="AB46" s="20">
        <f>IF(B46="","",ROUND(SUMIFS('Material Usage'!$M$5:$M$904,'Material Usage'!$C$5:$C$904,A46),2))</f>
        <v>0</v>
      </c>
      <c r="AC46" s="32">
        <f>IF(B46="","",IF(OR(M46="",AA46="",AA46&lt;=0),"",ROUNDDOWN(M46/AA46,0)))</f>
        <v>0</v>
      </c>
      <c r="AD46" s="33">
        <f>IF(B46="","",IF(OR(O46="",O46=0,I46=""),"",(I46-O46)/O46))</f>
        <v>0</v>
      </c>
      <c r="AE46" s="43">
        <f>IF(B46="","",IF(M46="","Not tracked",IF(M46&lt;=0,"Out of stock",IF(AND(N46&lt;&gt;"",M46&lt;=N46),"Low stock","In stock"))))</f>
        <v>0</v>
      </c>
      <c r="AF46" s="32">
        <f>IF(B46="","",COUNTIFS($AB$5:$AB$254,"&gt;"&amp;AB46)+COUNTIFS($AB$5:AB46,AB46))</f>
        <v>0</v>
      </c>
      <c r="AG46" s="43">
        <f>IF(B46="","",IF(I46="","Add - no price yet",IF(OR(G46="",G46=0),"Add - how much is in a pack?",IF(AE46="Out of stock","Order - none left",IF(AE46="Low stock","Order - running low",IF(AND(AD46&lt;&gt;"",AD46&gt;0.075),"Check - price jumped, re-price the products",IF(AND(P46&lt;&gt;"",TodayDate-P46&gt;365),"Check - price is over a year old","OK")))))))</f>
        <v>0</v>
      </c>
    </row>
    <row r="47" spans="1:33">
      <c r="A47" s="38">
        <f>IF(B47="","",MaterialPrefix&amp;TEXT(ROW()-4,"0000"))</f>
        <v>0</v>
      </c>
      <c r="R47" s="20">
        <f>IF(B47="","",IF(I47="","",ROUND(I47*(1-IF(K47="",0,K47))+IF(J47="",0,J47),2)))</f>
        <v>0</v>
      </c>
      <c r="S47" s="45">
        <f>IF(B47="","",IF(OR(R47="",G47="",G47=0),"",ROUND(R47/G47,4)))</f>
        <v>0</v>
      </c>
      <c r="T47" s="13">
        <f>IF(B47="","",IFERROR(INDEX(UnitBases,MATCH(H47,UnitNames,0)),""))</f>
        <v>0</v>
      </c>
      <c r="U47" s="41">
        <f>IF(B47="","",IFERROR(INDEX(UnitFactors,MATCH(H47,UnitNames,0)),""))</f>
        <v>0</v>
      </c>
      <c r="V47" s="45">
        <f>IF(B47="","",IF(OR(S47="",U47="",U47=0),"",ROUND(S47/U47,4)))</f>
        <v>0</v>
      </c>
      <c r="W47" s="33">
        <f>IF(B47="","",IF(L47="",DefaultWaste,L47))</f>
        <v>0</v>
      </c>
      <c r="X47" s="45">
        <f>IF(B47="","",IF(S47="","",ROUND(S47*(1+W47),4)))</f>
        <v>0</v>
      </c>
      <c r="Y47" s="20">
        <f>IF(B47="","",IF(OR(M47="",S47=""),"",ROUND(M47*S47,2)))</f>
        <v>0</v>
      </c>
      <c r="Z47" s="32">
        <f>IF(B47="","",COUNTIFS('Material Usage'!$C$5:$C$904,A47))</f>
        <v>0</v>
      </c>
      <c r="AA47" s="36">
        <f>IF(B47="","",SUMIFS('Material Usage'!$K$5:$K$904,'Material Usage'!$C$5:$C$904,A47))</f>
        <v>0</v>
      </c>
      <c r="AB47" s="20">
        <f>IF(B47="","",ROUND(SUMIFS('Material Usage'!$M$5:$M$904,'Material Usage'!$C$5:$C$904,A47),2))</f>
        <v>0</v>
      </c>
      <c r="AC47" s="32">
        <f>IF(B47="","",IF(OR(M47="",AA47="",AA47&lt;=0),"",ROUNDDOWN(M47/AA47,0)))</f>
        <v>0</v>
      </c>
      <c r="AD47" s="33">
        <f>IF(B47="","",IF(OR(O47="",O47=0,I47=""),"",(I47-O47)/O47))</f>
        <v>0</v>
      </c>
      <c r="AE47" s="43">
        <f>IF(B47="","",IF(M47="","Not tracked",IF(M47&lt;=0,"Out of stock",IF(AND(N47&lt;&gt;"",M47&lt;=N47),"Low stock","In stock"))))</f>
        <v>0</v>
      </c>
      <c r="AF47" s="32">
        <f>IF(B47="","",COUNTIFS($AB$5:$AB$254,"&gt;"&amp;AB47)+COUNTIFS($AB$5:AB47,AB47))</f>
        <v>0</v>
      </c>
      <c r="AG47" s="43">
        <f>IF(B47="","",IF(I47="","Add - no price yet",IF(OR(G47="",G47=0),"Add - how much is in a pack?",IF(AE47="Out of stock","Order - none left",IF(AE47="Low stock","Order - running low",IF(AND(AD47&lt;&gt;"",AD47&gt;0.075),"Check - price jumped, re-price the products",IF(AND(P47&lt;&gt;"",TodayDate-P47&gt;365),"Check - price is over a year old","OK")))))))</f>
        <v>0</v>
      </c>
    </row>
    <row r="48" spans="1:33">
      <c r="A48" s="38">
        <f>IF(B48="","",MaterialPrefix&amp;TEXT(ROW()-4,"0000"))</f>
        <v>0</v>
      </c>
      <c r="R48" s="20">
        <f>IF(B48="","",IF(I48="","",ROUND(I48*(1-IF(K48="",0,K48))+IF(J48="",0,J48),2)))</f>
        <v>0</v>
      </c>
      <c r="S48" s="45">
        <f>IF(B48="","",IF(OR(R48="",G48="",G48=0),"",ROUND(R48/G48,4)))</f>
        <v>0</v>
      </c>
      <c r="T48" s="13">
        <f>IF(B48="","",IFERROR(INDEX(UnitBases,MATCH(H48,UnitNames,0)),""))</f>
        <v>0</v>
      </c>
      <c r="U48" s="41">
        <f>IF(B48="","",IFERROR(INDEX(UnitFactors,MATCH(H48,UnitNames,0)),""))</f>
        <v>0</v>
      </c>
      <c r="V48" s="45">
        <f>IF(B48="","",IF(OR(S48="",U48="",U48=0),"",ROUND(S48/U48,4)))</f>
        <v>0</v>
      </c>
      <c r="W48" s="33">
        <f>IF(B48="","",IF(L48="",DefaultWaste,L48))</f>
        <v>0</v>
      </c>
      <c r="X48" s="45">
        <f>IF(B48="","",IF(S48="","",ROUND(S48*(1+W48),4)))</f>
        <v>0</v>
      </c>
      <c r="Y48" s="20">
        <f>IF(B48="","",IF(OR(M48="",S48=""),"",ROUND(M48*S48,2)))</f>
        <v>0</v>
      </c>
      <c r="Z48" s="32">
        <f>IF(B48="","",COUNTIFS('Material Usage'!$C$5:$C$904,A48))</f>
        <v>0</v>
      </c>
      <c r="AA48" s="36">
        <f>IF(B48="","",SUMIFS('Material Usage'!$K$5:$K$904,'Material Usage'!$C$5:$C$904,A48))</f>
        <v>0</v>
      </c>
      <c r="AB48" s="20">
        <f>IF(B48="","",ROUND(SUMIFS('Material Usage'!$M$5:$M$904,'Material Usage'!$C$5:$C$904,A48),2))</f>
        <v>0</v>
      </c>
      <c r="AC48" s="32">
        <f>IF(B48="","",IF(OR(M48="",AA48="",AA48&lt;=0),"",ROUNDDOWN(M48/AA48,0)))</f>
        <v>0</v>
      </c>
      <c r="AD48" s="33">
        <f>IF(B48="","",IF(OR(O48="",O48=0,I48=""),"",(I48-O48)/O48))</f>
        <v>0</v>
      </c>
      <c r="AE48" s="43">
        <f>IF(B48="","",IF(M48="","Not tracked",IF(M48&lt;=0,"Out of stock",IF(AND(N48&lt;&gt;"",M48&lt;=N48),"Low stock","In stock"))))</f>
        <v>0</v>
      </c>
      <c r="AF48" s="32">
        <f>IF(B48="","",COUNTIFS($AB$5:$AB$254,"&gt;"&amp;AB48)+COUNTIFS($AB$5:AB48,AB48))</f>
        <v>0</v>
      </c>
      <c r="AG48" s="43">
        <f>IF(B48="","",IF(I48="","Add - no price yet",IF(OR(G48="",G48=0),"Add - how much is in a pack?",IF(AE48="Out of stock","Order - none left",IF(AE48="Low stock","Order - running low",IF(AND(AD48&lt;&gt;"",AD48&gt;0.075),"Check - price jumped, re-price the products",IF(AND(P48&lt;&gt;"",TodayDate-P48&gt;365),"Check - price is over a year old","OK")))))))</f>
        <v>0</v>
      </c>
    </row>
    <row r="49" spans="1:33">
      <c r="A49" s="38">
        <f>IF(B49="","",MaterialPrefix&amp;TEXT(ROW()-4,"0000"))</f>
        <v>0</v>
      </c>
      <c r="R49" s="20">
        <f>IF(B49="","",IF(I49="","",ROUND(I49*(1-IF(K49="",0,K49))+IF(J49="",0,J49),2)))</f>
        <v>0</v>
      </c>
      <c r="S49" s="45">
        <f>IF(B49="","",IF(OR(R49="",G49="",G49=0),"",ROUND(R49/G49,4)))</f>
        <v>0</v>
      </c>
      <c r="T49" s="13">
        <f>IF(B49="","",IFERROR(INDEX(UnitBases,MATCH(H49,UnitNames,0)),""))</f>
        <v>0</v>
      </c>
      <c r="U49" s="41">
        <f>IF(B49="","",IFERROR(INDEX(UnitFactors,MATCH(H49,UnitNames,0)),""))</f>
        <v>0</v>
      </c>
      <c r="V49" s="45">
        <f>IF(B49="","",IF(OR(S49="",U49="",U49=0),"",ROUND(S49/U49,4)))</f>
        <v>0</v>
      </c>
      <c r="W49" s="33">
        <f>IF(B49="","",IF(L49="",DefaultWaste,L49))</f>
        <v>0</v>
      </c>
      <c r="X49" s="45">
        <f>IF(B49="","",IF(S49="","",ROUND(S49*(1+W49),4)))</f>
        <v>0</v>
      </c>
      <c r="Y49" s="20">
        <f>IF(B49="","",IF(OR(M49="",S49=""),"",ROUND(M49*S49,2)))</f>
        <v>0</v>
      </c>
      <c r="Z49" s="32">
        <f>IF(B49="","",COUNTIFS('Material Usage'!$C$5:$C$904,A49))</f>
        <v>0</v>
      </c>
      <c r="AA49" s="36">
        <f>IF(B49="","",SUMIFS('Material Usage'!$K$5:$K$904,'Material Usage'!$C$5:$C$904,A49))</f>
        <v>0</v>
      </c>
      <c r="AB49" s="20">
        <f>IF(B49="","",ROUND(SUMIFS('Material Usage'!$M$5:$M$904,'Material Usage'!$C$5:$C$904,A49),2))</f>
        <v>0</v>
      </c>
      <c r="AC49" s="32">
        <f>IF(B49="","",IF(OR(M49="",AA49="",AA49&lt;=0),"",ROUNDDOWN(M49/AA49,0)))</f>
        <v>0</v>
      </c>
      <c r="AD49" s="33">
        <f>IF(B49="","",IF(OR(O49="",O49=0,I49=""),"",(I49-O49)/O49))</f>
        <v>0</v>
      </c>
      <c r="AE49" s="43">
        <f>IF(B49="","",IF(M49="","Not tracked",IF(M49&lt;=0,"Out of stock",IF(AND(N49&lt;&gt;"",M49&lt;=N49),"Low stock","In stock"))))</f>
        <v>0</v>
      </c>
      <c r="AF49" s="32">
        <f>IF(B49="","",COUNTIFS($AB$5:$AB$254,"&gt;"&amp;AB49)+COUNTIFS($AB$5:AB49,AB49))</f>
        <v>0</v>
      </c>
      <c r="AG49" s="43">
        <f>IF(B49="","",IF(I49="","Add - no price yet",IF(OR(G49="",G49=0),"Add - how much is in a pack?",IF(AE49="Out of stock","Order - none left",IF(AE49="Low stock","Order - running low",IF(AND(AD49&lt;&gt;"",AD49&gt;0.075),"Check - price jumped, re-price the products",IF(AND(P49&lt;&gt;"",TodayDate-P49&gt;365),"Check - price is over a year old","OK")))))))</f>
        <v>0</v>
      </c>
    </row>
    <row r="50" spans="1:33">
      <c r="A50" s="38">
        <f>IF(B50="","",MaterialPrefix&amp;TEXT(ROW()-4,"0000"))</f>
        <v>0</v>
      </c>
      <c r="R50" s="20">
        <f>IF(B50="","",IF(I50="","",ROUND(I50*(1-IF(K50="",0,K50))+IF(J50="",0,J50),2)))</f>
        <v>0</v>
      </c>
      <c r="S50" s="45">
        <f>IF(B50="","",IF(OR(R50="",G50="",G50=0),"",ROUND(R50/G50,4)))</f>
        <v>0</v>
      </c>
      <c r="T50" s="13">
        <f>IF(B50="","",IFERROR(INDEX(UnitBases,MATCH(H50,UnitNames,0)),""))</f>
        <v>0</v>
      </c>
      <c r="U50" s="41">
        <f>IF(B50="","",IFERROR(INDEX(UnitFactors,MATCH(H50,UnitNames,0)),""))</f>
        <v>0</v>
      </c>
      <c r="V50" s="45">
        <f>IF(B50="","",IF(OR(S50="",U50="",U50=0),"",ROUND(S50/U50,4)))</f>
        <v>0</v>
      </c>
      <c r="W50" s="33">
        <f>IF(B50="","",IF(L50="",DefaultWaste,L50))</f>
        <v>0</v>
      </c>
      <c r="X50" s="45">
        <f>IF(B50="","",IF(S50="","",ROUND(S50*(1+W50),4)))</f>
        <v>0</v>
      </c>
      <c r="Y50" s="20">
        <f>IF(B50="","",IF(OR(M50="",S50=""),"",ROUND(M50*S50,2)))</f>
        <v>0</v>
      </c>
      <c r="Z50" s="32">
        <f>IF(B50="","",COUNTIFS('Material Usage'!$C$5:$C$904,A50))</f>
        <v>0</v>
      </c>
      <c r="AA50" s="36">
        <f>IF(B50="","",SUMIFS('Material Usage'!$K$5:$K$904,'Material Usage'!$C$5:$C$904,A50))</f>
        <v>0</v>
      </c>
      <c r="AB50" s="20">
        <f>IF(B50="","",ROUND(SUMIFS('Material Usage'!$M$5:$M$904,'Material Usage'!$C$5:$C$904,A50),2))</f>
        <v>0</v>
      </c>
      <c r="AC50" s="32">
        <f>IF(B50="","",IF(OR(M50="",AA50="",AA50&lt;=0),"",ROUNDDOWN(M50/AA50,0)))</f>
        <v>0</v>
      </c>
      <c r="AD50" s="33">
        <f>IF(B50="","",IF(OR(O50="",O50=0,I50=""),"",(I50-O50)/O50))</f>
        <v>0</v>
      </c>
      <c r="AE50" s="43">
        <f>IF(B50="","",IF(M50="","Not tracked",IF(M50&lt;=0,"Out of stock",IF(AND(N50&lt;&gt;"",M50&lt;=N50),"Low stock","In stock"))))</f>
        <v>0</v>
      </c>
      <c r="AF50" s="32">
        <f>IF(B50="","",COUNTIFS($AB$5:$AB$254,"&gt;"&amp;AB50)+COUNTIFS($AB$5:AB50,AB50))</f>
        <v>0</v>
      </c>
      <c r="AG50" s="43">
        <f>IF(B50="","",IF(I50="","Add - no price yet",IF(OR(G50="",G50=0),"Add - how much is in a pack?",IF(AE50="Out of stock","Order - none left",IF(AE50="Low stock","Order - running low",IF(AND(AD50&lt;&gt;"",AD50&gt;0.075),"Check - price jumped, re-price the products",IF(AND(P50&lt;&gt;"",TodayDate-P50&gt;365),"Check - price is over a year old","OK")))))))</f>
        <v>0</v>
      </c>
    </row>
    <row r="51" spans="1:33">
      <c r="A51" s="38">
        <f>IF(B51="","",MaterialPrefix&amp;TEXT(ROW()-4,"0000"))</f>
        <v>0</v>
      </c>
      <c r="R51" s="20">
        <f>IF(B51="","",IF(I51="","",ROUND(I51*(1-IF(K51="",0,K51))+IF(J51="",0,J51),2)))</f>
        <v>0</v>
      </c>
      <c r="S51" s="45">
        <f>IF(B51="","",IF(OR(R51="",G51="",G51=0),"",ROUND(R51/G51,4)))</f>
        <v>0</v>
      </c>
      <c r="T51" s="13">
        <f>IF(B51="","",IFERROR(INDEX(UnitBases,MATCH(H51,UnitNames,0)),""))</f>
        <v>0</v>
      </c>
      <c r="U51" s="41">
        <f>IF(B51="","",IFERROR(INDEX(UnitFactors,MATCH(H51,UnitNames,0)),""))</f>
        <v>0</v>
      </c>
      <c r="V51" s="45">
        <f>IF(B51="","",IF(OR(S51="",U51="",U51=0),"",ROUND(S51/U51,4)))</f>
        <v>0</v>
      </c>
      <c r="W51" s="33">
        <f>IF(B51="","",IF(L51="",DefaultWaste,L51))</f>
        <v>0</v>
      </c>
      <c r="X51" s="45">
        <f>IF(B51="","",IF(S51="","",ROUND(S51*(1+W51),4)))</f>
        <v>0</v>
      </c>
      <c r="Y51" s="20">
        <f>IF(B51="","",IF(OR(M51="",S51=""),"",ROUND(M51*S51,2)))</f>
        <v>0</v>
      </c>
      <c r="Z51" s="32">
        <f>IF(B51="","",COUNTIFS('Material Usage'!$C$5:$C$904,A51))</f>
        <v>0</v>
      </c>
      <c r="AA51" s="36">
        <f>IF(B51="","",SUMIFS('Material Usage'!$K$5:$K$904,'Material Usage'!$C$5:$C$904,A51))</f>
        <v>0</v>
      </c>
      <c r="AB51" s="20">
        <f>IF(B51="","",ROUND(SUMIFS('Material Usage'!$M$5:$M$904,'Material Usage'!$C$5:$C$904,A51),2))</f>
        <v>0</v>
      </c>
      <c r="AC51" s="32">
        <f>IF(B51="","",IF(OR(M51="",AA51="",AA51&lt;=0),"",ROUNDDOWN(M51/AA51,0)))</f>
        <v>0</v>
      </c>
      <c r="AD51" s="33">
        <f>IF(B51="","",IF(OR(O51="",O51=0,I51=""),"",(I51-O51)/O51))</f>
        <v>0</v>
      </c>
      <c r="AE51" s="43">
        <f>IF(B51="","",IF(M51="","Not tracked",IF(M51&lt;=0,"Out of stock",IF(AND(N51&lt;&gt;"",M51&lt;=N51),"Low stock","In stock"))))</f>
        <v>0</v>
      </c>
      <c r="AF51" s="32">
        <f>IF(B51="","",COUNTIFS($AB$5:$AB$254,"&gt;"&amp;AB51)+COUNTIFS($AB$5:AB51,AB51))</f>
        <v>0</v>
      </c>
      <c r="AG51" s="43">
        <f>IF(B51="","",IF(I51="","Add - no price yet",IF(OR(G51="",G51=0),"Add - how much is in a pack?",IF(AE51="Out of stock","Order - none left",IF(AE51="Low stock","Order - running low",IF(AND(AD51&lt;&gt;"",AD51&gt;0.075),"Check - price jumped, re-price the products",IF(AND(P51&lt;&gt;"",TodayDate-P51&gt;365),"Check - price is over a year old","OK")))))))</f>
        <v>0</v>
      </c>
    </row>
    <row r="52" spans="1:33">
      <c r="A52" s="38">
        <f>IF(B52="","",MaterialPrefix&amp;TEXT(ROW()-4,"0000"))</f>
        <v>0</v>
      </c>
      <c r="R52" s="20">
        <f>IF(B52="","",IF(I52="","",ROUND(I52*(1-IF(K52="",0,K52))+IF(J52="",0,J52),2)))</f>
        <v>0</v>
      </c>
      <c r="S52" s="45">
        <f>IF(B52="","",IF(OR(R52="",G52="",G52=0),"",ROUND(R52/G52,4)))</f>
        <v>0</v>
      </c>
      <c r="T52" s="13">
        <f>IF(B52="","",IFERROR(INDEX(UnitBases,MATCH(H52,UnitNames,0)),""))</f>
        <v>0</v>
      </c>
      <c r="U52" s="41">
        <f>IF(B52="","",IFERROR(INDEX(UnitFactors,MATCH(H52,UnitNames,0)),""))</f>
        <v>0</v>
      </c>
      <c r="V52" s="45">
        <f>IF(B52="","",IF(OR(S52="",U52="",U52=0),"",ROUND(S52/U52,4)))</f>
        <v>0</v>
      </c>
      <c r="W52" s="33">
        <f>IF(B52="","",IF(L52="",DefaultWaste,L52))</f>
        <v>0</v>
      </c>
      <c r="X52" s="45">
        <f>IF(B52="","",IF(S52="","",ROUND(S52*(1+W52),4)))</f>
        <v>0</v>
      </c>
      <c r="Y52" s="20">
        <f>IF(B52="","",IF(OR(M52="",S52=""),"",ROUND(M52*S52,2)))</f>
        <v>0</v>
      </c>
      <c r="Z52" s="32">
        <f>IF(B52="","",COUNTIFS('Material Usage'!$C$5:$C$904,A52))</f>
        <v>0</v>
      </c>
      <c r="AA52" s="36">
        <f>IF(B52="","",SUMIFS('Material Usage'!$K$5:$K$904,'Material Usage'!$C$5:$C$904,A52))</f>
        <v>0</v>
      </c>
      <c r="AB52" s="20">
        <f>IF(B52="","",ROUND(SUMIFS('Material Usage'!$M$5:$M$904,'Material Usage'!$C$5:$C$904,A52),2))</f>
        <v>0</v>
      </c>
      <c r="AC52" s="32">
        <f>IF(B52="","",IF(OR(M52="",AA52="",AA52&lt;=0),"",ROUNDDOWN(M52/AA52,0)))</f>
        <v>0</v>
      </c>
      <c r="AD52" s="33">
        <f>IF(B52="","",IF(OR(O52="",O52=0,I52=""),"",(I52-O52)/O52))</f>
        <v>0</v>
      </c>
      <c r="AE52" s="43">
        <f>IF(B52="","",IF(M52="","Not tracked",IF(M52&lt;=0,"Out of stock",IF(AND(N52&lt;&gt;"",M52&lt;=N52),"Low stock","In stock"))))</f>
        <v>0</v>
      </c>
      <c r="AF52" s="32">
        <f>IF(B52="","",COUNTIFS($AB$5:$AB$254,"&gt;"&amp;AB52)+COUNTIFS($AB$5:AB52,AB52))</f>
        <v>0</v>
      </c>
      <c r="AG52" s="43">
        <f>IF(B52="","",IF(I52="","Add - no price yet",IF(OR(G52="",G52=0),"Add - how much is in a pack?",IF(AE52="Out of stock","Order - none left",IF(AE52="Low stock","Order - running low",IF(AND(AD52&lt;&gt;"",AD52&gt;0.075),"Check - price jumped, re-price the products",IF(AND(P52&lt;&gt;"",TodayDate-P52&gt;365),"Check - price is over a year old","OK")))))))</f>
        <v>0</v>
      </c>
    </row>
    <row r="53" spans="1:33">
      <c r="A53" s="38">
        <f>IF(B53="","",MaterialPrefix&amp;TEXT(ROW()-4,"0000"))</f>
        <v>0</v>
      </c>
      <c r="R53" s="20">
        <f>IF(B53="","",IF(I53="","",ROUND(I53*(1-IF(K53="",0,K53))+IF(J53="",0,J53),2)))</f>
        <v>0</v>
      </c>
      <c r="S53" s="45">
        <f>IF(B53="","",IF(OR(R53="",G53="",G53=0),"",ROUND(R53/G53,4)))</f>
        <v>0</v>
      </c>
      <c r="T53" s="13">
        <f>IF(B53="","",IFERROR(INDEX(UnitBases,MATCH(H53,UnitNames,0)),""))</f>
        <v>0</v>
      </c>
      <c r="U53" s="41">
        <f>IF(B53="","",IFERROR(INDEX(UnitFactors,MATCH(H53,UnitNames,0)),""))</f>
        <v>0</v>
      </c>
      <c r="V53" s="45">
        <f>IF(B53="","",IF(OR(S53="",U53="",U53=0),"",ROUND(S53/U53,4)))</f>
        <v>0</v>
      </c>
      <c r="W53" s="33">
        <f>IF(B53="","",IF(L53="",DefaultWaste,L53))</f>
        <v>0</v>
      </c>
      <c r="X53" s="45">
        <f>IF(B53="","",IF(S53="","",ROUND(S53*(1+W53),4)))</f>
        <v>0</v>
      </c>
      <c r="Y53" s="20">
        <f>IF(B53="","",IF(OR(M53="",S53=""),"",ROUND(M53*S53,2)))</f>
        <v>0</v>
      </c>
      <c r="Z53" s="32">
        <f>IF(B53="","",COUNTIFS('Material Usage'!$C$5:$C$904,A53))</f>
        <v>0</v>
      </c>
      <c r="AA53" s="36">
        <f>IF(B53="","",SUMIFS('Material Usage'!$K$5:$K$904,'Material Usage'!$C$5:$C$904,A53))</f>
        <v>0</v>
      </c>
      <c r="AB53" s="20">
        <f>IF(B53="","",ROUND(SUMIFS('Material Usage'!$M$5:$M$904,'Material Usage'!$C$5:$C$904,A53),2))</f>
        <v>0</v>
      </c>
      <c r="AC53" s="32">
        <f>IF(B53="","",IF(OR(M53="",AA53="",AA53&lt;=0),"",ROUNDDOWN(M53/AA53,0)))</f>
        <v>0</v>
      </c>
      <c r="AD53" s="33">
        <f>IF(B53="","",IF(OR(O53="",O53=0,I53=""),"",(I53-O53)/O53))</f>
        <v>0</v>
      </c>
      <c r="AE53" s="43">
        <f>IF(B53="","",IF(M53="","Not tracked",IF(M53&lt;=0,"Out of stock",IF(AND(N53&lt;&gt;"",M53&lt;=N53),"Low stock","In stock"))))</f>
        <v>0</v>
      </c>
      <c r="AF53" s="32">
        <f>IF(B53="","",COUNTIFS($AB$5:$AB$254,"&gt;"&amp;AB53)+COUNTIFS($AB$5:AB53,AB53))</f>
        <v>0</v>
      </c>
      <c r="AG53" s="43">
        <f>IF(B53="","",IF(I53="","Add - no price yet",IF(OR(G53="",G53=0),"Add - how much is in a pack?",IF(AE53="Out of stock","Order - none left",IF(AE53="Low stock","Order - running low",IF(AND(AD53&lt;&gt;"",AD53&gt;0.075),"Check - price jumped, re-price the products",IF(AND(P53&lt;&gt;"",TodayDate-P53&gt;365),"Check - price is over a year old","OK")))))))</f>
        <v>0</v>
      </c>
    </row>
    <row r="54" spans="1:33">
      <c r="A54" s="38">
        <f>IF(B54="","",MaterialPrefix&amp;TEXT(ROW()-4,"0000"))</f>
        <v>0</v>
      </c>
      <c r="R54" s="20">
        <f>IF(B54="","",IF(I54="","",ROUND(I54*(1-IF(K54="",0,K54))+IF(J54="",0,J54),2)))</f>
        <v>0</v>
      </c>
      <c r="S54" s="45">
        <f>IF(B54="","",IF(OR(R54="",G54="",G54=0),"",ROUND(R54/G54,4)))</f>
        <v>0</v>
      </c>
      <c r="T54" s="13">
        <f>IF(B54="","",IFERROR(INDEX(UnitBases,MATCH(H54,UnitNames,0)),""))</f>
        <v>0</v>
      </c>
      <c r="U54" s="41">
        <f>IF(B54="","",IFERROR(INDEX(UnitFactors,MATCH(H54,UnitNames,0)),""))</f>
        <v>0</v>
      </c>
      <c r="V54" s="45">
        <f>IF(B54="","",IF(OR(S54="",U54="",U54=0),"",ROUND(S54/U54,4)))</f>
        <v>0</v>
      </c>
      <c r="W54" s="33">
        <f>IF(B54="","",IF(L54="",DefaultWaste,L54))</f>
        <v>0</v>
      </c>
      <c r="X54" s="45">
        <f>IF(B54="","",IF(S54="","",ROUND(S54*(1+W54),4)))</f>
        <v>0</v>
      </c>
      <c r="Y54" s="20">
        <f>IF(B54="","",IF(OR(M54="",S54=""),"",ROUND(M54*S54,2)))</f>
        <v>0</v>
      </c>
      <c r="Z54" s="32">
        <f>IF(B54="","",COUNTIFS('Material Usage'!$C$5:$C$904,A54))</f>
        <v>0</v>
      </c>
      <c r="AA54" s="36">
        <f>IF(B54="","",SUMIFS('Material Usage'!$K$5:$K$904,'Material Usage'!$C$5:$C$904,A54))</f>
        <v>0</v>
      </c>
      <c r="AB54" s="20">
        <f>IF(B54="","",ROUND(SUMIFS('Material Usage'!$M$5:$M$904,'Material Usage'!$C$5:$C$904,A54),2))</f>
        <v>0</v>
      </c>
      <c r="AC54" s="32">
        <f>IF(B54="","",IF(OR(M54="",AA54="",AA54&lt;=0),"",ROUNDDOWN(M54/AA54,0)))</f>
        <v>0</v>
      </c>
      <c r="AD54" s="33">
        <f>IF(B54="","",IF(OR(O54="",O54=0,I54=""),"",(I54-O54)/O54))</f>
        <v>0</v>
      </c>
      <c r="AE54" s="43">
        <f>IF(B54="","",IF(M54="","Not tracked",IF(M54&lt;=0,"Out of stock",IF(AND(N54&lt;&gt;"",M54&lt;=N54),"Low stock","In stock"))))</f>
        <v>0</v>
      </c>
      <c r="AF54" s="32">
        <f>IF(B54="","",COUNTIFS($AB$5:$AB$254,"&gt;"&amp;AB54)+COUNTIFS($AB$5:AB54,AB54))</f>
        <v>0</v>
      </c>
      <c r="AG54" s="43">
        <f>IF(B54="","",IF(I54="","Add - no price yet",IF(OR(G54="",G54=0),"Add - how much is in a pack?",IF(AE54="Out of stock","Order - none left",IF(AE54="Low stock","Order - running low",IF(AND(AD54&lt;&gt;"",AD54&gt;0.075),"Check - price jumped, re-price the products",IF(AND(P54&lt;&gt;"",TodayDate-P54&gt;365),"Check - price is over a year old","OK")))))))</f>
        <v>0</v>
      </c>
    </row>
    <row r="55" spans="1:33">
      <c r="A55" s="38">
        <f>IF(B55="","",MaterialPrefix&amp;TEXT(ROW()-4,"0000"))</f>
        <v>0</v>
      </c>
      <c r="R55" s="20">
        <f>IF(B55="","",IF(I55="","",ROUND(I55*(1-IF(K55="",0,K55))+IF(J55="",0,J55),2)))</f>
        <v>0</v>
      </c>
      <c r="S55" s="45">
        <f>IF(B55="","",IF(OR(R55="",G55="",G55=0),"",ROUND(R55/G55,4)))</f>
        <v>0</v>
      </c>
      <c r="T55" s="13">
        <f>IF(B55="","",IFERROR(INDEX(UnitBases,MATCH(H55,UnitNames,0)),""))</f>
        <v>0</v>
      </c>
      <c r="U55" s="41">
        <f>IF(B55="","",IFERROR(INDEX(UnitFactors,MATCH(H55,UnitNames,0)),""))</f>
        <v>0</v>
      </c>
      <c r="V55" s="45">
        <f>IF(B55="","",IF(OR(S55="",U55="",U55=0),"",ROUND(S55/U55,4)))</f>
        <v>0</v>
      </c>
      <c r="W55" s="33">
        <f>IF(B55="","",IF(L55="",DefaultWaste,L55))</f>
        <v>0</v>
      </c>
      <c r="X55" s="45">
        <f>IF(B55="","",IF(S55="","",ROUND(S55*(1+W55),4)))</f>
        <v>0</v>
      </c>
      <c r="Y55" s="20">
        <f>IF(B55="","",IF(OR(M55="",S55=""),"",ROUND(M55*S55,2)))</f>
        <v>0</v>
      </c>
      <c r="Z55" s="32">
        <f>IF(B55="","",COUNTIFS('Material Usage'!$C$5:$C$904,A55))</f>
        <v>0</v>
      </c>
      <c r="AA55" s="36">
        <f>IF(B55="","",SUMIFS('Material Usage'!$K$5:$K$904,'Material Usage'!$C$5:$C$904,A55))</f>
        <v>0</v>
      </c>
      <c r="AB55" s="20">
        <f>IF(B55="","",ROUND(SUMIFS('Material Usage'!$M$5:$M$904,'Material Usage'!$C$5:$C$904,A55),2))</f>
        <v>0</v>
      </c>
      <c r="AC55" s="32">
        <f>IF(B55="","",IF(OR(M55="",AA55="",AA55&lt;=0),"",ROUNDDOWN(M55/AA55,0)))</f>
        <v>0</v>
      </c>
      <c r="AD55" s="33">
        <f>IF(B55="","",IF(OR(O55="",O55=0,I55=""),"",(I55-O55)/O55))</f>
        <v>0</v>
      </c>
      <c r="AE55" s="43">
        <f>IF(B55="","",IF(M55="","Not tracked",IF(M55&lt;=0,"Out of stock",IF(AND(N55&lt;&gt;"",M55&lt;=N55),"Low stock","In stock"))))</f>
        <v>0</v>
      </c>
      <c r="AF55" s="32">
        <f>IF(B55="","",COUNTIFS($AB$5:$AB$254,"&gt;"&amp;AB55)+COUNTIFS($AB$5:AB55,AB55))</f>
        <v>0</v>
      </c>
      <c r="AG55" s="43">
        <f>IF(B55="","",IF(I55="","Add - no price yet",IF(OR(G55="",G55=0),"Add - how much is in a pack?",IF(AE55="Out of stock","Order - none left",IF(AE55="Low stock","Order - running low",IF(AND(AD55&lt;&gt;"",AD55&gt;0.075),"Check - price jumped, re-price the products",IF(AND(P55&lt;&gt;"",TodayDate-P55&gt;365),"Check - price is over a year old","OK")))))))</f>
        <v>0</v>
      </c>
    </row>
    <row r="56" spans="1:33">
      <c r="A56" s="38">
        <f>IF(B56="","",MaterialPrefix&amp;TEXT(ROW()-4,"0000"))</f>
        <v>0</v>
      </c>
      <c r="R56" s="20">
        <f>IF(B56="","",IF(I56="","",ROUND(I56*(1-IF(K56="",0,K56))+IF(J56="",0,J56),2)))</f>
        <v>0</v>
      </c>
      <c r="S56" s="45">
        <f>IF(B56="","",IF(OR(R56="",G56="",G56=0),"",ROUND(R56/G56,4)))</f>
        <v>0</v>
      </c>
      <c r="T56" s="13">
        <f>IF(B56="","",IFERROR(INDEX(UnitBases,MATCH(H56,UnitNames,0)),""))</f>
        <v>0</v>
      </c>
      <c r="U56" s="41">
        <f>IF(B56="","",IFERROR(INDEX(UnitFactors,MATCH(H56,UnitNames,0)),""))</f>
        <v>0</v>
      </c>
      <c r="V56" s="45">
        <f>IF(B56="","",IF(OR(S56="",U56="",U56=0),"",ROUND(S56/U56,4)))</f>
        <v>0</v>
      </c>
      <c r="W56" s="33">
        <f>IF(B56="","",IF(L56="",DefaultWaste,L56))</f>
        <v>0</v>
      </c>
      <c r="X56" s="45">
        <f>IF(B56="","",IF(S56="","",ROUND(S56*(1+W56),4)))</f>
        <v>0</v>
      </c>
      <c r="Y56" s="20">
        <f>IF(B56="","",IF(OR(M56="",S56=""),"",ROUND(M56*S56,2)))</f>
        <v>0</v>
      </c>
      <c r="Z56" s="32">
        <f>IF(B56="","",COUNTIFS('Material Usage'!$C$5:$C$904,A56))</f>
        <v>0</v>
      </c>
      <c r="AA56" s="36">
        <f>IF(B56="","",SUMIFS('Material Usage'!$K$5:$K$904,'Material Usage'!$C$5:$C$904,A56))</f>
        <v>0</v>
      </c>
      <c r="AB56" s="20">
        <f>IF(B56="","",ROUND(SUMIFS('Material Usage'!$M$5:$M$904,'Material Usage'!$C$5:$C$904,A56),2))</f>
        <v>0</v>
      </c>
      <c r="AC56" s="32">
        <f>IF(B56="","",IF(OR(M56="",AA56="",AA56&lt;=0),"",ROUNDDOWN(M56/AA56,0)))</f>
        <v>0</v>
      </c>
      <c r="AD56" s="33">
        <f>IF(B56="","",IF(OR(O56="",O56=0,I56=""),"",(I56-O56)/O56))</f>
        <v>0</v>
      </c>
      <c r="AE56" s="43">
        <f>IF(B56="","",IF(M56="","Not tracked",IF(M56&lt;=0,"Out of stock",IF(AND(N56&lt;&gt;"",M56&lt;=N56),"Low stock","In stock"))))</f>
        <v>0</v>
      </c>
      <c r="AF56" s="32">
        <f>IF(B56="","",COUNTIFS($AB$5:$AB$254,"&gt;"&amp;AB56)+COUNTIFS($AB$5:AB56,AB56))</f>
        <v>0</v>
      </c>
      <c r="AG56" s="43">
        <f>IF(B56="","",IF(I56="","Add - no price yet",IF(OR(G56="",G56=0),"Add - how much is in a pack?",IF(AE56="Out of stock","Order - none left",IF(AE56="Low stock","Order - running low",IF(AND(AD56&lt;&gt;"",AD56&gt;0.075),"Check - price jumped, re-price the products",IF(AND(P56&lt;&gt;"",TodayDate-P56&gt;365),"Check - price is over a year old","OK")))))))</f>
        <v>0</v>
      </c>
    </row>
    <row r="57" spans="1:33">
      <c r="A57" s="38">
        <f>IF(B57="","",MaterialPrefix&amp;TEXT(ROW()-4,"0000"))</f>
        <v>0</v>
      </c>
      <c r="R57" s="20">
        <f>IF(B57="","",IF(I57="","",ROUND(I57*(1-IF(K57="",0,K57))+IF(J57="",0,J57),2)))</f>
        <v>0</v>
      </c>
      <c r="S57" s="45">
        <f>IF(B57="","",IF(OR(R57="",G57="",G57=0),"",ROUND(R57/G57,4)))</f>
        <v>0</v>
      </c>
      <c r="T57" s="13">
        <f>IF(B57="","",IFERROR(INDEX(UnitBases,MATCH(H57,UnitNames,0)),""))</f>
        <v>0</v>
      </c>
      <c r="U57" s="41">
        <f>IF(B57="","",IFERROR(INDEX(UnitFactors,MATCH(H57,UnitNames,0)),""))</f>
        <v>0</v>
      </c>
      <c r="V57" s="45">
        <f>IF(B57="","",IF(OR(S57="",U57="",U57=0),"",ROUND(S57/U57,4)))</f>
        <v>0</v>
      </c>
      <c r="W57" s="33">
        <f>IF(B57="","",IF(L57="",DefaultWaste,L57))</f>
        <v>0</v>
      </c>
      <c r="X57" s="45">
        <f>IF(B57="","",IF(S57="","",ROUND(S57*(1+W57),4)))</f>
        <v>0</v>
      </c>
      <c r="Y57" s="20">
        <f>IF(B57="","",IF(OR(M57="",S57=""),"",ROUND(M57*S57,2)))</f>
        <v>0</v>
      </c>
      <c r="Z57" s="32">
        <f>IF(B57="","",COUNTIFS('Material Usage'!$C$5:$C$904,A57))</f>
        <v>0</v>
      </c>
      <c r="AA57" s="36">
        <f>IF(B57="","",SUMIFS('Material Usage'!$K$5:$K$904,'Material Usage'!$C$5:$C$904,A57))</f>
        <v>0</v>
      </c>
      <c r="AB57" s="20">
        <f>IF(B57="","",ROUND(SUMIFS('Material Usage'!$M$5:$M$904,'Material Usage'!$C$5:$C$904,A57),2))</f>
        <v>0</v>
      </c>
      <c r="AC57" s="32">
        <f>IF(B57="","",IF(OR(M57="",AA57="",AA57&lt;=0),"",ROUNDDOWN(M57/AA57,0)))</f>
        <v>0</v>
      </c>
      <c r="AD57" s="33">
        <f>IF(B57="","",IF(OR(O57="",O57=0,I57=""),"",(I57-O57)/O57))</f>
        <v>0</v>
      </c>
      <c r="AE57" s="43">
        <f>IF(B57="","",IF(M57="","Not tracked",IF(M57&lt;=0,"Out of stock",IF(AND(N57&lt;&gt;"",M57&lt;=N57),"Low stock","In stock"))))</f>
        <v>0</v>
      </c>
      <c r="AF57" s="32">
        <f>IF(B57="","",COUNTIFS($AB$5:$AB$254,"&gt;"&amp;AB57)+COUNTIFS($AB$5:AB57,AB57))</f>
        <v>0</v>
      </c>
      <c r="AG57" s="43">
        <f>IF(B57="","",IF(I57="","Add - no price yet",IF(OR(G57="",G57=0),"Add - how much is in a pack?",IF(AE57="Out of stock","Order - none left",IF(AE57="Low stock","Order - running low",IF(AND(AD57&lt;&gt;"",AD57&gt;0.075),"Check - price jumped, re-price the products",IF(AND(P57&lt;&gt;"",TodayDate-P57&gt;365),"Check - price is over a year old","OK")))))))</f>
        <v>0</v>
      </c>
    </row>
    <row r="58" spans="1:33">
      <c r="A58" s="38">
        <f>IF(B58="","",MaterialPrefix&amp;TEXT(ROW()-4,"0000"))</f>
        <v>0</v>
      </c>
      <c r="R58" s="20">
        <f>IF(B58="","",IF(I58="","",ROUND(I58*(1-IF(K58="",0,K58))+IF(J58="",0,J58),2)))</f>
        <v>0</v>
      </c>
      <c r="S58" s="45">
        <f>IF(B58="","",IF(OR(R58="",G58="",G58=0),"",ROUND(R58/G58,4)))</f>
        <v>0</v>
      </c>
      <c r="T58" s="13">
        <f>IF(B58="","",IFERROR(INDEX(UnitBases,MATCH(H58,UnitNames,0)),""))</f>
        <v>0</v>
      </c>
      <c r="U58" s="41">
        <f>IF(B58="","",IFERROR(INDEX(UnitFactors,MATCH(H58,UnitNames,0)),""))</f>
        <v>0</v>
      </c>
      <c r="V58" s="45">
        <f>IF(B58="","",IF(OR(S58="",U58="",U58=0),"",ROUND(S58/U58,4)))</f>
        <v>0</v>
      </c>
      <c r="W58" s="33">
        <f>IF(B58="","",IF(L58="",DefaultWaste,L58))</f>
        <v>0</v>
      </c>
      <c r="X58" s="45">
        <f>IF(B58="","",IF(S58="","",ROUND(S58*(1+W58),4)))</f>
        <v>0</v>
      </c>
      <c r="Y58" s="20">
        <f>IF(B58="","",IF(OR(M58="",S58=""),"",ROUND(M58*S58,2)))</f>
        <v>0</v>
      </c>
      <c r="Z58" s="32">
        <f>IF(B58="","",COUNTIFS('Material Usage'!$C$5:$C$904,A58))</f>
        <v>0</v>
      </c>
      <c r="AA58" s="36">
        <f>IF(B58="","",SUMIFS('Material Usage'!$K$5:$K$904,'Material Usage'!$C$5:$C$904,A58))</f>
        <v>0</v>
      </c>
      <c r="AB58" s="20">
        <f>IF(B58="","",ROUND(SUMIFS('Material Usage'!$M$5:$M$904,'Material Usage'!$C$5:$C$904,A58),2))</f>
        <v>0</v>
      </c>
      <c r="AC58" s="32">
        <f>IF(B58="","",IF(OR(M58="",AA58="",AA58&lt;=0),"",ROUNDDOWN(M58/AA58,0)))</f>
        <v>0</v>
      </c>
      <c r="AD58" s="33">
        <f>IF(B58="","",IF(OR(O58="",O58=0,I58=""),"",(I58-O58)/O58))</f>
        <v>0</v>
      </c>
      <c r="AE58" s="43">
        <f>IF(B58="","",IF(M58="","Not tracked",IF(M58&lt;=0,"Out of stock",IF(AND(N58&lt;&gt;"",M58&lt;=N58),"Low stock","In stock"))))</f>
        <v>0</v>
      </c>
      <c r="AF58" s="32">
        <f>IF(B58="","",COUNTIFS($AB$5:$AB$254,"&gt;"&amp;AB58)+COUNTIFS($AB$5:AB58,AB58))</f>
        <v>0</v>
      </c>
      <c r="AG58" s="43">
        <f>IF(B58="","",IF(I58="","Add - no price yet",IF(OR(G58="",G58=0),"Add - how much is in a pack?",IF(AE58="Out of stock","Order - none left",IF(AE58="Low stock","Order - running low",IF(AND(AD58&lt;&gt;"",AD58&gt;0.075),"Check - price jumped, re-price the products",IF(AND(P58&lt;&gt;"",TodayDate-P58&gt;365),"Check - price is over a year old","OK")))))))</f>
        <v>0</v>
      </c>
    </row>
    <row r="59" spans="1:33">
      <c r="A59" s="38">
        <f>IF(B59="","",MaterialPrefix&amp;TEXT(ROW()-4,"0000"))</f>
        <v>0</v>
      </c>
      <c r="R59" s="20">
        <f>IF(B59="","",IF(I59="","",ROUND(I59*(1-IF(K59="",0,K59))+IF(J59="",0,J59),2)))</f>
        <v>0</v>
      </c>
      <c r="S59" s="45">
        <f>IF(B59="","",IF(OR(R59="",G59="",G59=0),"",ROUND(R59/G59,4)))</f>
        <v>0</v>
      </c>
      <c r="T59" s="13">
        <f>IF(B59="","",IFERROR(INDEX(UnitBases,MATCH(H59,UnitNames,0)),""))</f>
        <v>0</v>
      </c>
      <c r="U59" s="41">
        <f>IF(B59="","",IFERROR(INDEX(UnitFactors,MATCH(H59,UnitNames,0)),""))</f>
        <v>0</v>
      </c>
      <c r="V59" s="45">
        <f>IF(B59="","",IF(OR(S59="",U59="",U59=0),"",ROUND(S59/U59,4)))</f>
        <v>0</v>
      </c>
      <c r="W59" s="33">
        <f>IF(B59="","",IF(L59="",DefaultWaste,L59))</f>
        <v>0</v>
      </c>
      <c r="X59" s="45">
        <f>IF(B59="","",IF(S59="","",ROUND(S59*(1+W59),4)))</f>
        <v>0</v>
      </c>
      <c r="Y59" s="20">
        <f>IF(B59="","",IF(OR(M59="",S59=""),"",ROUND(M59*S59,2)))</f>
        <v>0</v>
      </c>
      <c r="Z59" s="32">
        <f>IF(B59="","",COUNTIFS('Material Usage'!$C$5:$C$904,A59))</f>
        <v>0</v>
      </c>
      <c r="AA59" s="36">
        <f>IF(B59="","",SUMIFS('Material Usage'!$K$5:$K$904,'Material Usage'!$C$5:$C$904,A59))</f>
        <v>0</v>
      </c>
      <c r="AB59" s="20">
        <f>IF(B59="","",ROUND(SUMIFS('Material Usage'!$M$5:$M$904,'Material Usage'!$C$5:$C$904,A59),2))</f>
        <v>0</v>
      </c>
      <c r="AC59" s="32">
        <f>IF(B59="","",IF(OR(M59="",AA59="",AA59&lt;=0),"",ROUNDDOWN(M59/AA59,0)))</f>
        <v>0</v>
      </c>
      <c r="AD59" s="33">
        <f>IF(B59="","",IF(OR(O59="",O59=0,I59=""),"",(I59-O59)/O59))</f>
        <v>0</v>
      </c>
      <c r="AE59" s="43">
        <f>IF(B59="","",IF(M59="","Not tracked",IF(M59&lt;=0,"Out of stock",IF(AND(N59&lt;&gt;"",M59&lt;=N59),"Low stock","In stock"))))</f>
        <v>0</v>
      </c>
      <c r="AF59" s="32">
        <f>IF(B59="","",COUNTIFS($AB$5:$AB$254,"&gt;"&amp;AB59)+COUNTIFS($AB$5:AB59,AB59))</f>
        <v>0</v>
      </c>
      <c r="AG59" s="43">
        <f>IF(B59="","",IF(I59="","Add - no price yet",IF(OR(G59="",G59=0),"Add - how much is in a pack?",IF(AE59="Out of stock","Order - none left",IF(AE59="Low stock","Order - running low",IF(AND(AD59&lt;&gt;"",AD59&gt;0.075),"Check - price jumped, re-price the products",IF(AND(P59&lt;&gt;"",TodayDate-P59&gt;365),"Check - price is over a year old","OK")))))))</f>
        <v>0</v>
      </c>
    </row>
    <row r="60" spans="1:33">
      <c r="A60" s="38">
        <f>IF(B60="","",MaterialPrefix&amp;TEXT(ROW()-4,"0000"))</f>
        <v>0</v>
      </c>
      <c r="R60" s="20">
        <f>IF(B60="","",IF(I60="","",ROUND(I60*(1-IF(K60="",0,K60))+IF(J60="",0,J60),2)))</f>
        <v>0</v>
      </c>
      <c r="S60" s="45">
        <f>IF(B60="","",IF(OR(R60="",G60="",G60=0),"",ROUND(R60/G60,4)))</f>
        <v>0</v>
      </c>
      <c r="T60" s="13">
        <f>IF(B60="","",IFERROR(INDEX(UnitBases,MATCH(H60,UnitNames,0)),""))</f>
        <v>0</v>
      </c>
      <c r="U60" s="41">
        <f>IF(B60="","",IFERROR(INDEX(UnitFactors,MATCH(H60,UnitNames,0)),""))</f>
        <v>0</v>
      </c>
      <c r="V60" s="45">
        <f>IF(B60="","",IF(OR(S60="",U60="",U60=0),"",ROUND(S60/U60,4)))</f>
        <v>0</v>
      </c>
      <c r="W60" s="33">
        <f>IF(B60="","",IF(L60="",DefaultWaste,L60))</f>
        <v>0</v>
      </c>
      <c r="X60" s="45">
        <f>IF(B60="","",IF(S60="","",ROUND(S60*(1+W60),4)))</f>
        <v>0</v>
      </c>
      <c r="Y60" s="20">
        <f>IF(B60="","",IF(OR(M60="",S60=""),"",ROUND(M60*S60,2)))</f>
        <v>0</v>
      </c>
      <c r="Z60" s="32">
        <f>IF(B60="","",COUNTIFS('Material Usage'!$C$5:$C$904,A60))</f>
        <v>0</v>
      </c>
      <c r="AA60" s="36">
        <f>IF(B60="","",SUMIFS('Material Usage'!$K$5:$K$904,'Material Usage'!$C$5:$C$904,A60))</f>
        <v>0</v>
      </c>
      <c r="AB60" s="20">
        <f>IF(B60="","",ROUND(SUMIFS('Material Usage'!$M$5:$M$904,'Material Usage'!$C$5:$C$904,A60),2))</f>
        <v>0</v>
      </c>
      <c r="AC60" s="32">
        <f>IF(B60="","",IF(OR(M60="",AA60="",AA60&lt;=0),"",ROUNDDOWN(M60/AA60,0)))</f>
        <v>0</v>
      </c>
      <c r="AD60" s="33">
        <f>IF(B60="","",IF(OR(O60="",O60=0,I60=""),"",(I60-O60)/O60))</f>
        <v>0</v>
      </c>
      <c r="AE60" s="43">
        <f>IF(B60="","",IF(M60="","Not tracked",IF(M60&lt;=0,"Out of stock",IF(AND(N60&lt;&gt;"",M60&lt;=N60),"Low stock","In stock"))))</f>
        <v>0</v>
      </c>
      <c r="AF60" s="32">
        <f>IF(B60="","",COUNTIFS($AB$5:$AB$254,"&gt;"&amp;AB60)+COUNTIFS($AB$5:AB60,AB60))</f>
        <v>0</v>
      </c>
      <c r="AG60" s="43">
        <f>IF(B60="","",IF(I60="","Add - no price yet",IF(OR(G60="",G60=0),"Add - how much is in a pack?",IF(AE60="Out of stock","Order - none left",IF(AE60="Low stock","Order - running low",IF(AND(AD60&lt;&gt;"",AD60&gt;0.075),"Check - price jumped, re-price the products",IF(AND(P60&lt;&gt;"",TodayDate-P60&gt;365),"Check - price is over a year old","OK")))))))</f>
        <v>0</v>
      </c>
    </row>
    <row r="61" spans="1:33">
      <c r="A61" s="38">
        <f>IF(B61="","",MaterialPrefix&amp;TEXT(ROW()-4,"0000"))</f>
        <v>0</v>
      </c>
      <c r="R61" s="20">
        <f>IF(B61="","",IF(I61="","",ROUND(I61*(1-IF(K61="",0,K61))+IF(J61="",0,J61),2)))</f>
        <v>0</v>
      </c>
      <c r="S61" s="45">
        <f>IF(B61="","",IF(OR(R61="",G61="",G61=0),"",ROUND(R61/G61,4)))</f>
        <v>0</v>
      </c>
      <c r="T61" s="13">
        <f>IF(B61="","",IFERROR(INDEX(UnitBases,MATCH(H61,UnitNames,0)),""))</f>
        <v>0</v>
      </c>
      <c r="U61" s="41">
        <f>IF(B61="","",IFERROR(INDEX(UnitFactors,MATCH(H61,UnitNames,0)),""))</f>
        <v>0</v>
      </c>
      <c r="V61" s="45">
        <f>IF(B61="","",IF(OR(S61="",U61="",U61=0),"",ROUND(S61/U61,4)))</f>
        <v>0</v>
      </c>
      <c r="W61" s="33">
        <f>IF(B61="","",IF(L61="",DefaultWaste,L61))</f>
        <v>0</v>
      </c>
      <c r="X61" s="45">
        <f>IF(B61="","",IF(S61="","",ROUND(S61*(1+W61),4)))</f>
        <v>0</v>
      </c>
      <c r="Y61" s="20">
        <f>IF(B61="","",IF(OR(M61="",S61=""),"",ROUND(M61*S61,2)))</f>
        <v>0</v>
      </c>
      <c r="Z61" s="32">
        <f>IF(B61="","",COUNTIFS('Material Usage'!$C$5:$C$904,A61))</f>
        <v>0</v>
      </c>
      <c r="AA61" s="36">
        <f>IF(B61="","",SUMIFS('Material Usage'!$K$5:$K$904,'Material Usage'!$C$5:$C$904,A61))</f>
        <v>0</v>
      </c>
      <c r="AB61" s="20">
        <f>IF(B61="","",ROUND(SUMIFS('Material Usage'!$M$5:$M$904,'Material Usage'!$C$5:$C$904,A61),2))</f>
        <v>0</v>
      </c>
      <c r="AC61" s="32">
        <f>IF(B61="","",IF(OR(M61="",AA61="",AA61&lt;=0),"",ROUNDDOWN(M61/AA61,0)))</f>
        <v>0</v>
      </c>
      <c r="AD61" s="33">
        <f>IF(B61="","",IF(OR(O61="",O61=0,I61=""),"",(I61-O61)/O61))</f>
        <v>0</v>
      </c>
      <c r="AE61" s="43">
        <f>IF(B61="","",IF(M61="","Not tracked",IF(M61&lt;=0,"Out of stock",IF(AND(N61&lt;&gt;"",M61&lt;=N61),"Low stock","In stock"))))</f>
        <v>0</v>
      </c>
      <c r="AF61" s="32">
        <f>IF(B61="","",COUNTIFS($AB$5:$AB$254,"&gt;"&amp;AB61)+COUNTIFS($AB$5:AB61,AB61))</f>
        <v>0</v>
      </c>
      <c r="AG61" s="43">
        <f>IF(B61="","",IF(I61="","Add - no price yet",IF(OR(G61="",G61=0),"Add - how much is in a pack?",IF(AE61="Out of stock","Order - none left",IF(AE61="Low stock","Order - running low",IF(AND(AD61&lt;&gt;"",AD61&gt;0.075),"Check - price jumped, re-price the products",IF(AND(P61&lt;&gt;"",TodayDate-P61&gt;365),"Check - price is over a year old","OK")))))))</f>
        <v>0</v>
      </c>
    </row>
    <row r="62" spans="1:33">
      <c r="A62" s="38">
        <f>IF(B62="","",MaterialPrefix&amp;TEXT(ROW()-4,"0000"))</f>
        <v>0</v>
      </c>
      <c r="R62" s="20">
        <f>IF(B62="","",IF(I62="","",ROUND(I62*(1-IF(K62="",0,K62))+IF(J62="",0,J62),2)))</f>
        <v>0</v>
      </c>
      <c r="S62" s="45">
        <f>IF(B62="","",IF(OR(R62="",G62="",G62=0),"",ROUND(R62/G62,4)))</f>
        <v>0</v>
      </c>
      <c r="T62" s="13">
        <f>IF(B62="","",IFERROR(INDEX(UnitBases,MATCH(H62,UnitNames,0)),""))</f>
        <v>0</v>
      </c>
      <c r="U62" s="41">
        <f>IF(B62="","",IFERROR(INDEX(UnitFactors,MATCH(H62,UnitNames,0)),""))</f>
        <v>0</v>
      </c>
      <c r="V62" s="45">
        <f>IF(B62="","",IF(OR(S62="",U62="",U62=0),"",ROUND(S62/U62,4)))</f>
        <v>0</v>
      </c>
      <c r="W62" s="33">
        <f>IF(B62="","",IF(L62="",DefaultWaste,L62))</f>
        <v>0</v>
      </c>
      <c r="X62" s="45">
        <f>IF(B62="","",IF(S62="","",ROUND(S62*(1+W62),4)))</f>
        <v>0</v>
      </c>
      <c r="Y62" s="20">
        <f>IF(B62="","",IF(OR(M62="",S62=""),"",ROUND(M62*S62,2)))</f>
        <v>0</v>
      </c>
      <c r="Z62" s="32">
        <f>IF(B62="","",COUNTIFS('Material Usage'!$C$5:$C$904,A62))</f>
        <v>0</v>
      </c>
      <c r="AA62" s="36">
        <f>IF(B62="","",SUMIFS('Material Usage'!$K$5:$K$904,'Material Usage'!$C$5:$C$904,A62))</f>
        <v>0</v>
      </c>
      <c r="AB62" s="20">
        <f>IF(B62="","",ROUND(SUMIFS('Material Usage'!$M$5:$M$904,'Material Usage'!$C$5:$C$904,A62),2))</f>
        <v>0</v>
      </c>
      <c r="AC62" s="32">
        <f>IF(B62="","",IF(OR(M62="",AA62="",AA62&lt;=0),"",ROUNDDOWN(M62/AA62,0)))</f>
        <v>0</v>
      </c>
      <c r="AD62" s="33">
        <f>IF(B62="","",IF(OR(O62="",O62=0,I62=""),"",(I62-O62)/O62))</f>
        <v>0</v>
      </c>
      <c r="AE62" s="43">
        <f>IF(B62="","",IF(M62="","Not tracked",IF(M62&lt;=0,"Out of stock",IF(AND(N62&lt;&gt;"",M62&lt;=N62),"Low stock","In stock"))))</f>
        <v>0</v>
      </c>
      <c r="AF62" s="32">
        <f>IF(B62="","",COUNTIFS($AB$5:$AB$254,"&gt;"&amp;AB62)+COUNTIFS($AB$5:AB62,AB62))</f>
        <v>0</v>
      </c>
      <c r="AG62" s="43">
        <f>IF(B62="","",IF(I62="","Add - no price yet",IF(OR(G62="",G62=0),"Add - how much is in a pack?",IF(AE62="Out of stock","Order - none left",IF(AE62="Low stock","Order - running low",IF(AND(AD62&lt;&gt;"",AD62&gt;0.075),"Check - price jumped, re-price the products",IF(AND(P62&lt;&gt;"",TodayDate-P62&gt;365),"Check - price is over a year old","OK")))))))</f>
        <v>0</v>
      </c>
    </row>
    <row r="63" spans="1:33">
      <c r="A63" s="38">
        <f>IF(B63="","",MaterialPrefix&amp;TEXT(ROW()-4,"0000"))</f>
        <v>0</v>
      </c>
      <c r="R63" s="20">
        <f>IF(B63="","",IF(I63="","",ROUND(I63*(1-IF(K63="",0,K63))+IF(J63="",0,J63),2)))</f>
        <v>0</v>
      </c>
      <c r="S63" s="45">
        <f>IF(B63="","",IF(OR(R63="",G63="",G63=0),"",ROUND(R63/G63,4)))</f>
        <v>0</v>
      </c>
      <c r="T63" s="13">
        <f>IF(B63="","",IFERROR(INDEX(UnitBases,MATCH(H63,UnitNames,0)),""))</f>
        <v>0</v>
      </c>
      <c r="U63" s="41">
        <f>IF(B63="","",IFERROR(INDEX(UnitFactors,MATCH(H63,UnitNames,0)),""))</f>
        <v>0</v>
      </c>
      <c r="V63" s="45">
        <f>IF(B63="","",IF(OR(S63="",U63="",U63=0),"",ROUND(S63/U63,4)))</f>
        <v>0</v>
      </c>
      <c r="W63" s="33">
        <f>IF(B63="","",IF(L63="",DefaultWaste,L63))</f>
        <v>0</v>
      </c>
      <c r="X63" s="45">
        <f>IF(B63="","",IF(S63="","",ROUND(S63*(1+W63),4)))</f>
        <v>0</v>
      </c>
      <c r="Y63" s="20">
        <f>IF(B63="","",IF(OR(M63="",S63=""),"",ROUND(M63*S63,2)))</f>
        <v>0</v>
      </c>
      <c r="Z63" s="32">
        <f>IF(B63="","",COUNTIFS('Material Usage'!$C$5:$C$904,A63))</f>
        <v>0</v>
      </c>
      <c r="AA63" s="36">
        <f>IF(B63="","",SUMIFS('Material Usage'!$K$5:$K$904,'Material Usage'!$C$5:$C$904,A63))</f>
        <v>0</v>
      </c>
      <c r="AB63" s="20">
        <f>IF(B63="","",ROUND(SUMIFS('Material Usage'!$M$5:$M$904,'Material Usage'!$C$5:$C$904,A63),2))</f>
        <v>0</v>
      </c>
      <c r="AC63" s="32">
        <f>IF(B63="","",IF(OR(M63="",AA63="",AA63&lt;=0),"",ROUNDDOWN(M63/AA63,0)))</f>
        <v>0</v>
      </c>
      <c r="AD63" s="33">
        <f>IF(B63="","",IF(OR(O63="",O63=0,I63=""),"",(I63-O63)/O63))</f>
        <v>0</v>
      </c>
      <c r="AE63" s="43">
        <f>IF(B63="","",IF(M63="","Not tracked",IF(M63&lt;=0,"Out of stock",IF(AND(N63&lt;&gt;"",M63&lt;=N63),"Low stock","In stock"))))</f>
        <v>0</v>
      </c>
      <c r="AF63" s="32">
        <f>IF(B63="","",COUNTIFS($AB$5:$AB$254,"&gt;"&amp;AB63)+COUNTIFS($AB$5:AB63,AB63))</f>
        <v>0</v>
      </c>
      <c r="AG63" s="43">
        <f>IF(B63="","",IF(I63="","Add - no price yet",IF(OR(G63="",G63=0),"Add - how much is in a pack?",IF(AE63="Out of stock","Order - none left",IF(AE63="Low stock","Order - running low",IF(AND(AD63&lt;&gt;"",AD63&gt;0.075),"Check - price jumped, re-price the products",IF(AND(P63&lt;&gt;"",TodayDate-P63&gt;365),"Check - price is over a year old","OK")))))))</f>
        <v>0</v>
      </c>
    </row>
    <row r="64" spans="1:33">
      <c r="A64" s="38">
        <f>IF(B64="","",MaterialPrefix&amp;TEXT(ROW()-4,"0000"))</f>
        <v>0</v>
      </c>
      <c r="R64" s="20">
        <f>IF(B64="","",IF(I64="","",ROUND(I64*(1-IF(K64="",0,K64))+IF(J64="",0,J64),2)))</f>
        <v>0</v>
      </c>
      <c r="S64" s="45">
        <f>IF(B64="","",IF(OR(R64="",G64="",G64=0),"",ROUND(R64/G64,4)))</f>
        <v>0</v>
      </c>
      <c r="T64" s="13">
        <f>IF(B64="","",IFERROR(INDEX(UnitBases,MATCH(H64,UnitNames,0)),""))</f>
        <v>0</v>
      </c>
      <c r="U64" s="41">
        <f>IF(B64="","",IFERROR(INDEX(UnitFactors,MATCH(H64,UnitNames,0)),""))</f>
        <v>0</v>
      </c>
      <c r="V64" s="45">
        <f>IF(B64="","",IF(OR(S64="",U64="",U64=0),"",ROUND(S64/U64,4)))</f>
        <v>0</v>
      </c>
      <c r="W64" s="33">
        <f>IF(B64="","",IF(L64="",DefaultWaste,L64))</f>
        <v>0</v>
      </c>
      <c r="X64" s="45">
        <f>IF(B64="","",IF(S64="","",ROUND(S64*(1+W64),4)))</f>
        <v>0</v>
      </c>
      <c r="Y64" s="20">
        <f>IF(B64="","",IF(OR(M64="",S64=""),"",ROUND(M64*S64,2)))</f>
        <v>0</v>
      </c>
      <c r="Z64" s="32">
        <f>IF(B64="","",COUNTIFS('Material Usage'!$C$5:$C$904,A64))</f>
        <v>0</v>
      </c>
      <c r="AA64" s="36">
        <f>IF(B64="","",SUMIFS('Material Usage'!$K$5:$K$904,'Material Usage'!$C$5:$C$904,A64))</f>
        <v>0</v>
      </c>
      <c r="AB64" s="20">
        <f>IF(B64="","",ROUND(SUMIFS('Material Usage'!$M$5:$M$904,'Material Usage'!$C$5:$C$904,A64),2))</f>
        <v>0</v>
      </c>
      <c r="AC64" s="32">
        <f>IF(B64="","",IF(OR(M64="",AA64="",AA64&lt;=0),"",ROUNDDOWN(M64/AA64,0)))</f>
        <v>0</v>
      </c>
      <c r="AD64" s="33">
        <f>IF(B64="","",IF(OR(O64="",O64=0,I64=""),"",(I64-O64)/O64))</f>
        <v>0</v>
      </c>
      <c r="AE64" s="43">
        <f>IF(B64="","",IF(M64="","Not tracked",IF(M64&lt;=0,"Out of stock",IF(AND(N64&lt;&gt;"",M64&lt;=N64),"Low stock","In stock"))))</f>
        <v>0</v>
      </c>
      <c r="AF64" s="32">
        <f>IF(B64="","",COUNTIFS($AB$5:$AB$254,"&gt;"&amp;AB64)+COUNTIFS($AB$5:AB64,AB64))</f>
        <v>0</v>
      </c>
      <c r="AG64" s="43">
        <f>IF(B64="","",IF(I64="","Add - no price yet",IF(OR(G64="",G64=0),"Add - how much is in a pack?",IF(AE64="Out of stock","Order - none left",IF(AE64="Low stock","Order - running low",IF(AND(AD64&lt;&gt;"",AD64&gt;0.075),"Check - price jumped, re-price the products",IF(AND(P64&lt;&gt;"",TodayDate-P64&gt;365),"Check - price is over a year old","OK")))))))</f>
        <v>0</v>
      </c>
    </row>
    <row r="65" spans="1:33">
      <c r="A65" s="38">
        <f>IF(B65="","",MaterialPrefix&amp;TEXT(ROW()-4,"0000"))</f>
        <v>0</v>
      </c>
      <c r="R65" s="20">
        <f>IF(B65="","",IF(I65="","",ROUND(I65*(1-IF(K65="",0,K65))+IF(J65="",0,J65),2)))</f>
        <v>0</v>
      </c>
      <c r="S65" s="45">
        <f>IF(B65="","",IF(OR(R65="",G65="",G65=0),"",ROUND(R65/G65,4)))</f>
        <v>0</v>
      </c>
      <c r="T65" s="13">
        <f>IF(B65="","",IFERROR(INDEX(UnitBases,MATCH(H65,UnitNames,0)),""))</f>
        <v>0</v>
      </c>
      <c r="U65" s="41">
        <f>IF(B65="","",IFERROR(INDEX(UnitFactors,MATCH(H65,UnitNames,0)),""))</f>
        <v>0</v>
      </c>
      <c r="V65" s="45">
        <f>IF(B65="","",IF(OR(S65="",U65="",U65=0),"",ROUND(S65/U65,4)))</f>
        <v>0</v>
      </c>
      <c r="W65" s="33">
        <f>IF(B65="","",IF(L65="",DefaultWaste,L65))</f>
        <v>0</v>
      </c>
      <c r="X65" s="45">
        <f>IF(B65="","",IF(S65="","",ROUND(S65*(1+W65),4)))</f>
        <v>0</v>
      </c>
      <c r="Y65" s="20">
        <f>IF(B65="","",IF(OR(M65="",S65=""),"",ROUND(M65*S65,2)))</f>
        <v>0</v>
      </c>
      <c r="Z65" s="32">
        <f>IF(B65="","",COUNTIFS('Material Usage'!$C$5:$C$904,A65))</f>
        <v>0</v>
      </c>
      <c r="AA65" s="36">
        <f>IF(B65="","",SUMIFS('Material Usage'!$K$5:$K$904,'Material Usage'!$C$5:$C$904,A65))</f>
        <v>0</v>
      </c>
      <c r="AB65" s="20">
        <f>IF(B65="","",ROUND(SUMIFS('Material Usage'!$M$5:$M$904,'Material Usage'!$C$5:$C$904,A65),2))</f>
        <v>0</v>
      </c>
      <c r="AC65" s="32">
        <f>IF(B65="","",IF(OR(M65="",AA65="",AA65&lt;=0),"",ROUNDDOWN(M65/AA65,0)))</f>
        <v>0</v>
      </c>
      <c r="AD65" s="33">
        <f>IF(B65="","",IF(OR(O65="",O65=0,I65=""),"",(I65-O65)/O65))</f>
        <v>0</v>
      </c>
      <c r="AE65" s="43">
        <f>IF(B65="","",IF(M65="","Not tracked",IF(M65&lt;=0,"Out of stock",IF(AND(N65&lt;&gt;"",M65&lt;=N65),"Low stock","In stock"))))</f>
        <v>0</v>
      </c>
      <c r="AF65" s="32">
        <f>IF(B65="","",COUNTIFS($AB$5:$AB$254,"&gt;"&amp;AB65)+COUNTIFS($AB$5:AB65,AB65))</f>
        <v>0</v>
      </c>
      <c r="AG65" s="43">
        <f>IF(B65="","",IF(I65="","Add - no price yet",IF(OR(G65="",G65=0),"Add - how much is in a pack?",IF(AE65="Out of stock","Order - none left",IF(AE65="Low stock","Order - running low",IF(AND(AD65&lt;&gt;"",AD65&gt;0.075),"Check - price jumped, re-price the products",IF(AND(P65&lt;&gt;"",TodayDate-P65&gt;365),"Check - price is over a year old","OK")))))))</f>
        <v>0</v>
      </c>
    </row>
    <row r="66" spans="1:33">
      <c r="A66" s="38">
        <f>IF(B66="","",MaterialPrefix&amp;TEXT(ROW()-4,"0000"))</f>
        <v>0</v>
      </c>
      <c r="R66" s="20">
        <f>IF(B66="","",IF(I66="","",ROUND(I66*(1-IF(K66="",0,K66))+IF(J66="",0,J66),2)))</f>
        <v>0</v>
      </c>
      <c r="S66" s="45">
        <f>IF(B66="","",IF(OR(R66="",G66="",G66=0),"",ROUND(R66/G66,4)))</f>
        <v>0</v>
      </c>
      <c r="T66" s="13">
        <f>IF(B66="","",IFERROR(INDEX(UnitBases,MATCH(H66,UnitNames,0)),""))</f>
        <v>0</v>
      </c>
      <c r="U66" s="41">
        <f>IF(B66="","",IFERROR(INDEX(UnitFactors,MATCH(H66,UnitNames,0)),""))</f>
        <v>0</v>
      </c>
      <c r="V66" s="45">
        <f>IF(B66="","",IF(OR(S66="",U66="",U66=0),"",ROUND(S66/U66,4)))</f>
        <v>0</v>
      </c>
      <c r="W66" s="33">
        <f>IF(B66="","",IF(L66="",DefaultWaste,L66))</f>
        <v>0</v>
      </c>
      <c r="X66" s="45">
        <f>IF(B66="","",IF(S66="","",ROUND(S66*(1+W66),4)))</f>
        <v>0</v>
      </c>
      <c r="Y66" s="20">
        <f>IF(B66="","",IF(OR(M66="",S66=""),"",ROUND(M66*S66,2)))</f>
        <v>0</v>
      </c>
      <c r="Z66" s="32">
        <f>IF(B66="","",COUNTIFS('Material Usage'!$C$5:$C$904,A66))</f>
        <v>0</v>
      </c>
      <c r="AA66" s="36">
        <f>IF(B66="","",SUMIFS('Material Usage'!$K$5:$K$904,'Material Usage'!$C$5:$C$904,A66))</f>
        <v>0</v>
      </c>
      <c r="AB66" s="20">
        <f>IF(B66="","",ROUND(SUMIFS('Material Usage'!$M$5:$M$904,'Material Usage'!$C$5:$C$904,A66),2))</f>
        <v>0</v>
      </c>
      <c r="AC66" s="32">
        <f>IF(B66="","",IF(OR(M66="",AA66="",AA66&lt;=0),"",ROUNDDOWN(M66/AA66,0)))</f>
        <v>0</v>
      </c>
      <c r="AD66" s="33">
        <f>IF(B66="","",IF(OR(O66="",O66=0,I66=""),"",(I66-O66)/O66))</f>
        <v>0</v>
      </c>
      <c r="AE66" s="43">
        <f>IF(B66="","",IF(M66="","Not tracked",IF(M66&lt;=0,"Out of stock",IF(AND(N66&lt;&gt;"",M66&lt;=N66),"Low stock","In stock"))))</f>
        <v>0</v>
      </c>
      <c r="AF66" s="32">
        <f>IF(B66="","",COUNTIFS($AB$5:$AB$254,"&gt;"&amp;AB66)+COUNTIFS($AB$5:AB66,AB66))</f>
        <v>0</v>
      </c>
      <c r="AG66" s="43">
        <f>IF(B66="","",IF(I66="","Add - no price yet",IF(OR(G66="",G66=0),"Add - how much is in a pack?",IF(AE66="Out of stock","Order - none left",IF(AE66="Low stock","Order - running low",IF(AND(AD66&lt;&gt;"",AD66&gt;0.075),"Check - price jumped, re-price the products",IF(AND(P66&lt;&gt;"",TodayDate-P66&gt;365),"Check - price is over a year old","OK")))))))</f>
        <v>0</v>
      </c>
    </row>
    <row r="67" spans="1:33">
      <c r="A67" s="38">
        <f>IF(B67="","",MaterialPrefix&amp;TEXT(ROW()-4,"0000"))</f>
        <v>0</v>
      </c>
      <c r="R67" s="20">
        <f>IF(B67="","",IF(I67="","",ROUND(I67*(1-IF(K67="",0,K67))+IF(J67="",0,J67),2)))</f>
        <v>0</v>
      </c>
      <c r="S67" s="45">
        <f>IF(B67="","",IF(OR(R67="",G67="",G67=0),"",ROUND(R67/G67,4)))</f>
        <v>0</v>
      </c>
      <c r="T67" s="13">
        <f>IF(B67="","",IFERROR(INDEX(UnitBases,MATCH(H67,UnitNames,0)),""))</f>
        <v>0</v>
      </c>
      <c r="U67" s="41">
        <f>IF(B67="","",IFERROR(INDEX(UnitFactors,MATCH(H67,UnitNames,0)),""))</f>
        <v>0</v>
      </c>
      <c r="V67" s="45">
        <f>IF(B67="","",IF(OR(S67="",U67="",U67=0),"",ROUND(S67/U67,4)))</f>
        <v>0</v>
      </c>
      <c r="W67" s="33">
        <f>IF(B67="","",IF(L67="",DefaultWaste,L67))</f>
        <v>0</v>
      </c>
      <c r="X67" s="45">
        <f>IF(B67="","",IF(S67="","",ROUND(S67*(1+W67),4)))</f>
        <v>0</v>
      </c>
      <c r="Y67" s="20">
        <f>IF(B67="","",IF(OR(M67="",S67=""),"",ROUND(M67*S67,2)))</f>
        <v>0</v>
      </c>
      <c r="Z67" s="32">
        <f>IF(B67="","",COUNTIFS('Material Usage'!$C$5:$C$904,A67))</f>
        <v>0</v>
      </c>
      <c r="AA67" s="36">
        <f>IF(B67="","",SUMIFS('Material Usage'!$K$5:$K$904,'Material Usage'!$C$5:$C$904,A67))</f>
        <v>0</v>
      </c>
      <c r="AB67" s="20">
        <f>IF(B67="","",ROUND(SUMIFS('Material Usage'!$M$5:$M$904,'Material Usage'!$C$5:$C$904,A67),2))</f>
        <v>0</v>
      </c>
      <c r="AC67" s="32">
        <f>IF(B67="","",IF(OR(M67="",AA67="",AA67&lt;=0),"",ROUNDDOWN(M67/AA67,0)))</f>
        <v>0</v>
      </c>
      <c r="AD67" s="33">
        <f>IF(B67="","",IF(OR(O67="",O67=0,I67=""),"",(I67-O67)/O67))</f>
        <v>0</v>
      </c>
      <c r="AE67" s="43">
        <f>IF(B67="","",IF(M67="","Not tracked",IF(M67&lt;=0,"Out of stock",IF(AND(N67&lt;&gt;"",M67&lt;=N67),"Low stock","In stock"))))</f>
        <v>0</v>
      </c>
      <c r="AF67" s="32">
        <f>IF(B67="","",COUNTIFS($AB$5:$AB$254,"&gt;"&amp;AB67)+COUNTIFS($AB$5:AB67,AB67))</f>
        <v>0</v>
      </c>
      <c r="AG67" s="43">
        <f>IF(B67="","",IF(I67="","Add - no price yet",IF(OR(G67="",G67=0),"Add - how much is in a pack?",IF(AE67="Out of stock","Order - none left",IF(AE67="Low stock","Order - running low",IF(AND(AD67&lt;&gt;"",AD67&gt;0.075),"Check - price jumped, re-price the products",IF(AND(P67&lt;&gt;"",TodayDate-P67&gt;365),"Check - price is over a year old","OK")))))))</f>
        <v>0</v>
      </c>
    </row>
    <row r="68" spans="1:33">
      <c r="A68" s="38">
        <f>IF(B68="","",MaterialPrefix&amp;TEXT(ROW()-4,"0000"))</f>
        <v>0</v>
      </c>
      <c r="R68" s="20">
        <f>IF(B68="","",IF(I68="","",ROUND(I68*(1-IF(K68="",0,K68))+IF(J68="",0,J68),2)))</f>
        <v>0</v>
      </c>
      <c r="S68" s="45">
        <f>IF(B68="","",IF(OR(R68="",G68="",G68=0),"",ROUND(R68/G68,4)))</f>
        <v>0</v>
      </c>
      <c r="T68" s="13">
        <f>IF(B68="","",IFERROR(INDEX(UnitBases,MATCH(H68,UnitNames,0)),""))</f>
        <v>0</v>
      </c>
      <c r="U68" s="41">
        <f>IF(B68="","",IFERROR(INDEX(UnitFactors,MATCH(H68,UnitNames,0)),""))</f>
        <v>0</v>
      </c>
      <c r="V68" s="45">
        <f>IF(B68="","",IF(OR(S68="",U68="",U68=0),"",ROUND(S68/U68,4)))</f>
        <v>0</v>
      </c>
      <c r="W68" s="33">
        <f>IF(B68="","",IF(L68="",DefaultWaste,L68))</f>
        <v>0</v>
      </c>
      <c r="X68" s="45">
        <f>IF(B68="","",IF(S68="","",ROUND(S68*(1+W68),4)))</f>
        <v>0</v>
      </c>
      <c r="Y68" s="20">
        <f>IF(B68="","",IF(OR(M68="",S68=""),"",ROUND(M68*S68,2)))</f>
        <v>0</v>
      </c>
      <c r="Z68" s="32">
        <f>IF(B68="","",COUNTIFS('Material Usage'!$C$5:$C$904,A68))</f>
        <v>0</v>
      </c>
      <c r="AA68" s="36">
        <f>IF(B68="","",SUMIFS('Material Usage'!$K$5:$K$904,'Material Usage'!$C$5:$C$904,A68))</f>
        <v>0</v>
      </c>
      <c r="AB68" s="20">
        <f>IF(B68="","",ROUND(SUMIFS('Material Usage'!$M$5:$M$904,'Material Usage'!$C$5:$C$904,A68),2))</f>
        <v>0</v>
      </c>
      <c r="AC68" s="32">
        <f>IF(B68="","",IF(OR(M68="",AA68="",AA68&lt;=0),"",ROUNDDOWN(M68/AA68,0)))</f>
        <v>0</v>
      </c>
      <c r="AD68" s="33">
        <f>IF(B68="","",IF(OR(O68="",O68=0,I68=""),"",(I68-O68)/O68))</f>
        <v>0</v>
      </c>
      <c r="AE68" s="43">
        <f>IF(B68="","",IF(M68="","Not tracked",IF(M68&lt;=0,"Out of stock",IF(AND(N68&lt;&gt;"",M68&lt;=N68),"Low stock","In stock"))))</f>
        <v>0</v>
      </c>
      <c r="AF68" s="32">
        <f>IF(B68="","",COUNTIFS($AB$5:$AB$254,"&gt;"&amp;AB68)+COUNTIFS($AB$5:AB68,AB68))</f>
        <v>0</v>
      </c>
      <c r="AG68" s="43">
        <f>IF(B68="","",IF(I68="","Add - no price yet",IF(OR(G68="",G68=0),"Add - how much is in a pack?",IF(AE68="Out of stock","Order - none left",IF(AE68="Low stock","Order - running low",IF(AND(AD68&lt;&gt;"",AD68&gt;0.075),"Check - price jumped, re-price the products",IF(AND(P68&lt;&gt;"",TodayDate-P68&gt;365),"Check - price is over a year old","OK")))))))</f>
        <v>0</v>
      </c>
    </row>
    <row r="69" spans="1:33">
      <c r="A69" s="38">
        <f>IF(B69="","",MaterialPrefix&amp;TEXT(ROW()-4,"0000"))</f>
        <v>0</v>
      </c>
      <c r="R69" s="20">
        <f>IF(B69="","",IF(I69="","",ROUND(I69*(1-IF(K69="",0,K69))+IF(J69="",0,J69),2)))</f>
        <v>0</v>
      </c>
      <c r="S69" s="45">
        <f>IF(B69="","",IF(OR(R69="",G69="",G69=0),"",ROUND(R69/G69,4)))</f>
        <v>0</v>
      </c>
      <c r="T69" s="13">
        <f>IF(B69="","",IFERROR(INDEX(UnitBases,MATCH(H69,UnitNames,0)),""))</f>
        <v>0</v>
      </c>
      <c r="U69" s="41">
        <f>IF(B69="","",IFERROR(INDEX(UnitFactors,MATCH(H69,UnitNames,0)),""))</f>
        <v>0</v>
      </c>
      <c r="V69" s="45">
        <f>IF(B69="","",IF(OR(S69="",U69="",U69=0),"",ROUND(S69/U69,4)))</f>
        <v>0</v>
      </c>
      <c r="W69" s="33">
        <f>IF(B69="","",IF(L69="",DefaultWaste,L69))</f>
        <v>0</v>
      </c>
      <c r="X69" s="45">
        <f>IF(B69="","",IF(S69="","",ROUND(S69*(1+W69),4)))</f>
        <v>0</v>
      </c>
      <c r="Y69" s="20">
        <f>IF(B69="","",IF(OR(M69="",S69=""),"",ROUND(M69*S69,2)))</f>
        <v>0</v>
      </c>
      <c r="Z69" s="32">
        <f>IF(B69="","",COUNTIFS('Material Usage'!$C$5:$C$904,A69))</f>
        <v>0</v>
      </c>
      <c r="AA69" s="36">
        <f>IF(B69="","",SUMIFS('Material Usage'!$K$5:$K$904,'Material Usage'!$C$5:$C$904,A69))</f>
        <v>0</v>
      </c>
      <c r="AB69" s="20">
        <f>IF(B69="","",ROUND(SUMIFS('Material Usage'!$M$5:$M$904,'Material Usage'!$C$5:$C$904,A69),2))</f>
        <v>0</v>
      </c>
      <c r="AC69" s="32">
        <f>IF(B69="","",IF(OR(M69="",AA69="",AA69&lt;=0),"",ROUNDDOWN(M69/AA69,0)))</f>
        <v>0</v>
      </c>
      <c r="AD69" s="33">
        <f>IF(B69="","",IF(OR(O69="",O69=0,I69=""),"",(I69-O69)/O69))</f>
        <v>0</v>
      </c>
      <c r="AE69" s="43">
        <f>IF(B69="","",IF(M69="","Not tracked",IF(M69&lt;=0,"Out of stock",IF(AND(N69&lt;&gt;"",M69&lt;=N69),"Low stock","In stock"))))</f>
        <v>0</v>
      </c>
      <c r="AF69" s="32">
        <f>IF(B69="","",COUNTIFS($AB$5:$AB$254,"&gt;"&amp;AB69)+COUNTIFS($AB$5:AB69,AB69))</f>
        <v>0</v>
      </c>
      <c r="AG69" s="43">
        <f>IF(B69="","",IF(I69="","Add - no price yet",IF(OR(G69="",G69=0),"Add - how much is in a pack?",IF(AE69="Out of stock","Order - none left",IF(AE69="Low stock","Order - running low",IF(AND(AD69&lt;&gt;"",AD69&gt;0.075),"Check - price jumped, re-price the products",IF(AND(P69&lt;&gt;"",TodayDate-P69&gt;365),"Check - price is over a year old","OK")))))))</f>
        <v>0</v>
      </c>
    </row>
    <row r="70" spans="1:33">
      <c r="A70" s="38">
        <f>IF(B70="","",MaterialPrefix&amp;TEXT(ROW()-4,"0000"))</f>
        <v>0</v>
      </c>
      <c r="R70" s="20">
        <f>IF(B70="","",IF(I70="","",ROUND(I70*(1-IF(K70="",0,K70))+IF(J70="",0,J70),2)))</f>
        <v>0</v>
      </c>
      <c r="S70" s="45">
        <f>IF(B70="","",IF(OR(R70="",G70="",G70=0),"",ROUND(R70/G70,4)))</f>
        <v>0</v>
      </c>
      <c r="T70" s="13">
        <f>IF(B70="","",IFERROR(INDEX(UnitBases,MATCH(H70,UnitNames,0)),""))</f>
        <v>0</v>
      </c>
      <c r="U70" s="41">
        <f>IF(B70="","",IFERROR(INDEX(UnitFactors,MATCH(H70,UnitNames,0)),""))</f>
        <v>0</v>
      </c>
      <c r="V70" s="45">
        <f>IF(B70="","",IF(OR(S70="",U70="",U70=0),"",ROUND(S70/U70,4)))</f>
        <v>0</v>
      </c>
      <c r="W70" s="33">
        <f>IF(B70="","",IF(L70="",DefaultWaste,L70))</f>
        <v>0</v>
      </c>
      <c r="X70" s="45">
        <f>IF(B70="","",IF(S70="","",ROUND(S70*(1+W70),4)))</f>
        <v>0</v>
      </c>
      <c r="Y70" s="20">
        <f>IF(B70="","",IF(OR(M70="",S70=""),"",ROUND(M70*S70,2)))</f>
        <v>0</v>
      </c>
      <c r="Z70" s="32">
        <f>IF(B70="","",COUNTIFS('Material Usage'!$C$5:$C$904,A70))</f>
        <v>0</v>
      </c>
      <c r="AA70" s="36">
        <f>IF(B70="","",SUMIFS('Material Usage'!$K$5:$K$904,'Material Usage'!$C$5:$C$904,A70))</f>
        <v>0</v>
      </c>
      <c r="AB70" s="20">
        <f>IF(B70="","",ROUND(SUMIFS('Material Usage'!$M$5:$M$904,'Material Usage'!$C$5:$C$904,A70),2))</f>
        <v>0</v>
      </c>
      <c r="AC70" s="32">
        <f>IF(B70="","",IF(OR(M70="",AA70="",AA70&lt;=0),"",ROUNDDOWN(M70/AA70,0)))</f>
        <v>0</v>
      </c>
      <c r="AD70" s="33">
        <f>IF(B70="","",IF(OR(O70="",O70=0,I70=""),"",(I70-O70)/O70))</f>
        <v>0</v>
      </c>
      <c r="AE70" s="43">
        <f>IF(B70="","",IF(M70="","Not tracked",IF(M70&lt;=0,"Out of stock",IF(AND(N70&lt;&gt;"",M70&lt;=N70),"Low stock","In stock"))))</f>
        <v>0</v>
      </c>
      <c r="AF70" s="32">
        <f>IF(B70="","",COUNTIFS($AB$5:$AB$254,"&gt;"&amp;AB70)+COUNTIFS($AB$5:AB70,AB70))</f>
        <v>0</v>
      </c>
      <c r="AG70" s="43">
        <f>IF(B70="","",IF(I70="","Add - no price yet",IF(OR(G70="",G70=0),"Add - how much is in a pack?",IF(AE70="Out of stock","Order - none left",IF(AE70="Low stock","Order - running low",IF(AND(AD70&lt;&gt;"",AD70&gt;0.075),"Check - price jumped, re-price the products",IF(AND(P70&lt;&gt;"",TodayDate-P70&gt;365),"Check - price is over a year old","OK")))))))</f>
        <v>0</v>
      </c>
    </row>
    <row r="71" spans="1:33">
      <c r="A71" s="38">
        <f>IF(B71="","",MaterialPrefix&amp;TEXT(ROW()-4,"0000"))</f>
        <v>0</v>
      </c>
      <c r="R71" s="20">
        <f>IF(B71="","",IF(I71="","",ROUND(I71*(1-IF(K71="",0,K71))+IF(J71="",0,J71),2)))</f>
        <v>0</v>
      </c>
      <c r="S71" s="45">
        <f>IF(B71="","",IF(OR(R71="",G71="",G71=0),"",ROUND(R71/G71,4)))</f>
        <v>0</v>
      </c>
      <c r="T71" s="13">
        <f>IF(B71="","",IFERROR(INDEX(UnitBases,MATCH(H71,UnitNames,0)),""))</f>
        <v>0</v>
      </c>
      <c r="U71" s="41">
        <f>IF(B71="","",IFERROR(INDEX(UnitFactors,MATCH(H71,UnitNames,0)),""))</f>
        <v>0</v>
      </c>
      <c r="V71" s="45">
        <f>IF(B71="","",IF(OR(S71="",U71="",U71=0),"",ROUND(S71/U71,4)))</f>
        <v>0</v>
      </c>
      <c r="W71" s="33">
        <f>IF(B71="","",IF(L71="",DefaultWaste,L71))</f>
        <v>0</v>
      </c>
      <c r="X71" s="45">
        <f>IF(B71="","",IF(S71="","",ROUND(S71*(1+W71),4)))</f>
        <v>0</v>
      </c>
      <c r="Y71" s="20">
        <f>IF(B71="","",IF(OR(M71="",S71=""),"",ROUND(M71*S71,2)))</f>
        <v>0</v>
      </c>
      <c r="Z71" s="32">
        <f>IF(B71="","",COUNTIFS('Material Usage'!$C$5:$C$904,A71))</f>
        <v>0</v>
      </c>
      <c r="AA71" s="36">
        <f>IF(B71="","",SUMIFS('Material Usage'!$K$5:$K$904,'Material Usage'!$C$5:$C$904,A71))</f>
        <v>0</v>
      </c>
      <c r="AB71" s="20">
        <f>IF(B71="","",ROUND(SUMIFS('Material Usage'!$M$5:$M$904,'Material Usage'!$C$5:$C$904,A71),2))</f>
        <v>0</v>
      </c>
      <c r="AC71" s="32">
        <f>IF(B71="","",IF(OR(M71="",AA71="",AA71&lt;=0),"",ROUNDDOWN(M71/AA71,0)))</f>
        <v>0</v>
      </c>
      <c r="AD71" s="33">
        <f>IF(B71="","",IF(OR(O71="",O71=0,I71=""),"",(I71-O71)/O71))</f>
        <v>0</v>
      </c>
      <c r="AE71" s="43">
        <f>IF(B71="","",IF(M71="","Not tracked",IF(M71&lt;=0,"Out of stock",IF(AND(N71&lt;&gt;"",M71&lt;=N71),"Low stock","In stock"))))</f>
        <v>0</v>
      </c>
      <c r="AF71" s="32">
        <f>IF(B71="","",COUNTIFS($AB$5:$AB$254,"&gt;"&amp;AB71)+COUNTIFS($AB$5:AB71,AB71))</f>
        <v>0</v>
      </c>
      <c r="AG71" s="43">
        <f>IF(B71="","",IF(I71="","Add - no price yet",IF(OR(G71="",G71=0),"Add - how much is in a pack?",IF(AE71="Out of stock","Order - none left",IF(AE71="Low stock","Order - running low",IF(AND(AD71&lt;&gt;"",AD71&gt;0.075),"Check - price jumped, re-price the products",IF(AND(P71&lt;&gt;"",TodayDate-P71&gt;365),"Check - price is over a year old","OK")))))))</f>
        <v>0</v>
      </c>
    </row>
    <row r="72" spans="1:33">
      <c r="A72" s="38">
        <f>IF(B72="","",MaterialPrefix&amp;TEXT(ROW()-4,"0000"))</f>
        <v>0</v>
      </c>
      <c r="R72" s="20">
        <f>IF(B72="","",IF(I72="","",ROUND(I72*(1-IF(K72="",0,K72))+IF(J72="",0,J72),2)))</f>
        <v>0</v>
      </c>
      <c r="S72" s="45">
        <f>IF(B72="","",IF(OR(R72="",G72="",G72=0),"",ROUND(R72/G72,4)))</f>
        <v>0</v>
      </c>
      <c r="T72" s="13">
        <f>IF(B72="","",IFERROR(INDEX(UnitBases,MATCH(H72,UnitNames,0)),""))</f>
        <v>0</v>
      </c>
      <c r="U72" s="41">
        <f>IF(B72="","",IFERROR(INDEX(UnitFactors,MATCH(H72,UnitNames,0)),""))</f>
        <v>0</v>
      </c>
      <c r="V72" s="45">
        <f>IF(B72="","",IF(OR(S72="",U72="",U72=0),"",ROUND(S72/U72,4)))</f>
        <v>0</v>
      </c>
      <c r="W72" s="33">
        <f>IF(B72="","",IF(L72="",DefaultWaste,L72))</f>
        <v>0</v>
      </c>
      <c r="X72" s="45">
        <f>IF(B72="","",IF(S72="","",ROUND(S72*(1+W72),4)))</f>
        <v>0</v>
      </c>
      <c r="Y72" s="20">
        <f>IF(B72="","",IF(OR(M72="",S72=""),"",ROUND(M72*S72,2)))</f>
        <v>0</v>
      </c>
      <c r="Z72" s="32">
        <f>IF(B72="","",COUNTIFS('Material Usage'!$C$5:$C$904,A72))</f>
        <v>0</v>
      </c>
      <c r="AA72" s="36">
        <f>IF(B72="","",SUMIFS('Material Usage'!$K$5:$K$904,'Material Usage'!$C$5:$C$904,A72))</f>
        <v>0</v>
      </c>
      <c r="AB72" s="20">
        <f>IF(B72="","",ROUND(SUMIFS('Material Usage'!$M$5:$M$904,'Material Usage'!$C$5:$C$904,A72),2))</f>
        <v>0</v>
      </c>
      <c r="AC72" s="32">
        <f>IF(B72="","",IF(OR(M72="",AA72="",AA72&lt;=0),"",ROUNDDOWN(M72/AA72,0)))</f>
        <v>0</v>
      </c>
      <c r="AD72" s="33">
        <f>IF(B72="","",IF(OR(O72="",O72=0,I72=""),"",(I72-O72)/O72))</f>
        <v>0</v>
      </c>
      <c r="AE72" s="43">
        <f>IF(B72="","",IF(M72="","Not tracked",IF(M72&lt;=0,"Out of stock",IF(AND(N72&lt;&gt;"",M72&lt;=N72),"Low stock","In stock"))))</f>
        <v>0</v>
      </c>
      <c r="AF72" s="32">
        <f>IF(B72="","",COUNTIFS($AB$5:$AB$254,"&gt;"&amp;AB72)+COUNTIFS($AB$5:AB72,AB72))</f>
        <v>0</v>
      </c>
      <c r="AG72" s="43">
        <f>IF(B72="","",IF(I72="","Add - no price yet",IF(OR(G72="",G72=0),"Add - how much is in a pack?",IF(AE72="Out of stock","Order - none left",IF(AE72="Low stock","Order - running low",IF(AND(AD72&lt;&gt;"",AD72&gt;0.075),"Check - price jumped, re-price the products",IF(AND(P72&lt;&gt;"",TodayDate-P72&gt;365),"Check - price is over a year old","OK")))))))</f>
        <v>0</v>
      </c>
    </row>
    <row r="73" spans="1:33">
      <c r="A73" s="38">
        <f>IF(B73="","",MaterialPrefix&amp;TEXT(ROW()-4,"0000"))</f>
        <v>0</v>
      </c>
      <c r="R73" s="20">
        <f>IF(B73="","",IF(I73="","",ROUND(I73*(1-IF(K73="",0,K73))+IF(J73="",0,J73),2)))</f>
        <v>0</v>
      </c>
      <c r="S73" s="45">
        <f>IF(B73="","",IF(OR(R73="",G73="",G73=0),"",ROUND(R73/G73,4)))</f>
        <v>0</v>
      </c>
      <c r="T73" s="13">
        <f>IF(B73="","",IFERROR(INDEX(UnitBases,MATCH(H73,UnitNames,0)),""))</f>
        <v>0</v>
      </c>
      <c r="U73" s="41">
        <f>IF(B73="","",IFERROR(INDEX(UnitFactors,MATCH(H73,UnitNames,0)),""))</f>
        <v>0</v>
      </c>
      <c r="V73" s="45">
        <f>IF(B73="","",IF(OR(S73="",U73="",U73=0),"",ROUND(S73/U73,4)))</f>
        <v>0</v>
      </c>
      <c r="W73" s="33">
        <f>IF(B73="","",IF(L73="",DefaultWaste,L73))</f>
        <v>0</v>
      </c>
      <c r="X73" s="45">
        <f>IF(B73="","",IF(S73="","",ROUND(S73*(1+W73),4)))</f>
        <v>0</v>
      </c>
      <c r="Y73" s="20">
        <f>IF(B73="","",IF(OR(M73="",S73=""),"",ROUND(M73*S73,2)))</f>
        <v>0</v>
      </c>
      <c r="Z73" s="32">
        <f>IF(B73="","",COUNTIFS('Material Usage'!$C$5:$C$904,A73))</f>
        <v>0</v>
      </c>
      <c r="AA73" s="36">
        <f>IF(B73="","",SUMIFS('Material Usage'!$K$5:$K$904,'Material Usage'!$C$5:$C$904,A73))</f>
        <v>0</v>
      </c>
      <c r="AB73" s="20">
        <f>IF(B73="","",ROUND(SUMIFS('Material Usage'!$M$5:$M$904,'Material Usage'!$C$5:$C$904,A73),2))</f>
        <v>0</v>
      </c>
      <c r="AC73" s="32">
        <f>IF(B73="","",IF(OR(M73="",AA73="",AA73&lt;=0),"",ROUNDDOWN(M73/AA73,0)))</f>
        <v>0</v>
      </c>
      <c r="AD73" s="33">
        <f>IF(B73="","",IF(OR(O73="",O73=0,I73=""),"",(I73-O73)/O73))</f>
        <v>0</v>
      </c>
      <c r="AE73" s="43">
        <f>IF(B73="","",IF(M73="","Not tracked",IF(M73&lt;=0,"Out of stock",IF(AND(N73&lt;&gt;"",M73&lt;=N73),"Low stock","In stock"))))</f>
        <v>0</v>
      </c>
      <c r="AF73" s="32">
        <f>IF(B73="","",COUNTIFS($AB$5:$AB$254,"&gt;"&amp;AB73)+COUNTIFS($AB$5:AB73,AB73))</f>
        <v>0</v>
      </c>
      <c r="AG73" s="43">
        <f>IF(B73="","",IF(I73="","Add - no price yet",IF(OR(G73="",G73=0),"Add - how much is in a pack?",IF(AE73="Out of stock","Order - none left",IF(AE73="Low stock","Order - running low",IF(AND(AD73&lt;&gt;"",AD73&gt;0.075),"Check - price jumped, re-price the products",IF(AND(P73&lt;&gt;"",TodayDate-P73&gt;365),"Check - price is over a year old","OK")))))))</f>
        <v>0</v>
      </c>
    </row>
    <row r="74" spans="1:33">
      <c r="A74" s="38">
        <f>IF(B74="","",MaterialPrefix&amp;TEXT(ROW()-4,"0000"))</f>
        <v>0</v>
      </c>
      <c r="R74" s="20">
        <f>IF(B74="","",IF(I74="","",ROUND(I74*(1-IF(K74="",0,K74))+IF(J74="",0,J74),2)))</f>
        <v>0</v>
      </c>
      <c r="S74" s="45">
        <f>IF(B74="","",IF(OR(R74="",G74="",G74=0),"",ROUND(R74/G74,4)))</f>
        <v>0</v>
      </c>
      <c r="T74" s="13">
        <f>IF(B74="","",IFERROR(INDEX(UnitBases,MATCH(H74,UnitNames,0)),""))</f>
        <v>0</v>
      </c>
      <c r="U74" s="41">
        <f>IF(B74="","",IFERROR(INDEX(UnitFactors,MATCH(H74,UnitNames,0)),""))</f>
        <v>0</v>
      </c>
      <c r="V74" s="45">
        <f>IF(B74="","",IF(OR(S74="",U74="",U74=0),"",ROUND(S74/U74,4)))</f>
        <v>0</v>
      </c>
      <c r="W74" s="33">
        <f>IF(B74="","",IF(L74="",DefaultWaste,L74))</f>
        <v>0</v>
      </c>
      <c r="X74" s="45">
        <f>IF(B74="","",IF(S74="","",ROUND(S74*(1+W74),4)))</f>
        <v>0</v>
      </c>
      <c r="Y74" s="20">
        <f>IF(B74="","",IF(OR(M74="",S74=""),"",ROUND(M74*S74,2)))</f>
        <v>0</v>
      </c>
      <c r="Z74" s="32">
        <f>IF(B74="","",COUNTIFS('Material Usage'!$C$5:$C$904,A74))</f>
        <v>0</v>
      </c>
      <c r="AA74" s="36">
        <f>IF(B74="","",SUMIFS('Material Usage'!$K$5:$K$904,'Material Usage'!$C$5:$C$904,A74))</f>
        <v>0</v>
      </c>
      <c r="AB74" s="20">
        <f>IF(B74="","",ROUND(SUMIFS('Material Usage'!$M$5:$M$904,'Material Usage'!$C$5:$C$904,A74),2))</f>
        <v>0</v>
      </c>
      <c r="AC74" s="32">
        <f>IF(B74="","",IF(OR(M74="",AA74="",AA74&lt;=0),"",ROUNDDOWN(M74/AA74,0)))</f>
        <v>0</v>
      </c>
      <c r="AD74" s="33">
        <f>IF(B74="","",IF(OR(O74="",O74=0,I74=""),"",(I74-O74)/O74))</f>
        <v>0</v>
      </c>
      <c r="AE74" s="43">
        <f>IF(B74="","",IF(M74="","Not tracked",IF(M74&lt;=0,"Out of stock",IF(AND(N74&lt;&gt;"",M74&lt;=N74),"Low stock","In stock"))))</f>
        <v>0</v>
      </c>
      <c r="AF74" s="32">
        <f>IF(B74="","",COUNTIFS($AB$5:$AB$254,"&gt;"&amp;AB74)+COUNTIFS($AB$5:AB74,AB74))</f>
        <v>0</v>
      </c>
      <c r="AG74" s="43">
        <f>IF(B74="","",IF(I74="","Add - no price yet",IF(OR(G74="",G74=0),"Add - how much is in a pack?",IF(AE74="Out of stock","Order - none left",IF(AE74="Low stock","Order - running low",IF(AND(AD74&lt;&gt;"",AD74&gt;0.075),"Check - price jumped, re-price the products",IF(AND(P74&lt;&gt;"",TodayDate-P74&gt;365),"Check - price is over a year old","OK")))))))</f>
        <v>0</v>
      </c>
    </row>
    <row r="75" spans="1:33">
      <c r="A75" s="38">
        <f>IF(B75="","",MaterialPrefix&amp;TEXT(ROW()-4,"0000"))</f>
        <v>0</v>
      </c>
      <c r="R75" s="20">
        <f>IF(B75="","",IF(I75="","",ROUND(I75*(1-IF(K75="",0,K75))+IF(J75="",0,J75),2)))</f>
        <v>0</v>
      </c>
      <c r="S75" s="45">
        <f>IF(B75="","",IF(OR(R75="",G75="",G75=0),"",ROUND(R75/G75,4)))</f>
        <v>0</v>
      </c>
      <c r="T75" s="13">
        <f>IF(B75="","",IFERROR(INDEX(UnitBases,MATCH(H75,UnitNames,0)),""))</f>
        <v>0</v>
      </c>
      <c r="U75" s="41">
        <f>IF(B75="","",IFERROR(INDEX(UnitFactors,MATCH(H75,UnitNames,0)),""))</f>
        <v>0</v>
      </c>
      <c r="V75" s="45">
        <f>IF(B75="","",IF(OR(S75="",U75="",U75=0),"",ROUND(S75/U75,4)))</f>
        <v>0</v>
      </c>
      <c r="W75" s="33">
        <f>IF(B75="","",IF(L75="",DefaultWaste,L75))</f>
        <v>0</v>
      </c>
      <c r="X75" s="45">
        <f>IF(B75="","",IF(S75="","",ROUND(S75*(1+W75),4)))</f>
        <v>0</v>
      </c>
      <c r="Y75" s="20">
        <f>IF(B75="","",IF(OR(M75="",S75=""),"",ROUND(M75*S75,2)))</f>
        <v>0</v>
      </c>
      <c r="Z75" s="32">
        <f>IF(B75="","",COUNTIFS('Material Usage'!$C$5:$C$904,A75))</f>
        <v>0</v>
      </c>
      <c r="AA75" s="36">
        <f>IF(B75="","",SUMIFS('Material Usage'!$K$5:$K$904,'Material Usage'!$C$5:$C$904,A75))</f>
        <v>0</v>
      </c>
      <c r="AB75" s="20">
        <f>IF(B75="","",ROUND(SUMIFS('Material Usage'!$M$5:$M$904,'Material Usage'!$C$5:$C$904,A75),2))</f>
        <v>0</v>
      </c>
      <c r="AC75" s="32">
        <f>IF(B75="","",IF(OR(M75="",AA75="",AA75&lt;=0),"",ROUNDDOWN(M75/AA75,0)))</f>
        <v>0</v>
      </c>
      <c r="AD75" s="33">
        <f>IF(B75="","",IF(OR(O75="",O75=0,I75=""),"",(I75-O75)/O75))</f>
        <v>0</v>
      </c>
      <c r="AE75" s="43">
        <f>IF(B75="","",IF(M75="","Not tracked",IF(M75&lt;=0,"Out of stock",IF(AND(N75&lt;&gt;"",M75&lt;=N75),"Low stock","In stock"))))</f>
        <v>0</v>
      </c>
      <c r="AF75" s="32">
        <f>IF(B75="","",COUNTIFS($AB$5:$AB$254,"&gt;"&amp;AB75)+COUNTIFS($AB$5:AB75,AB75))</f>
        <v>0</v>
      </c>
      <c r="AG75" s="43">
        <f>IF(B75="","",IF(I75="","Add - no price yet",IF(OR(G75="",G75=0),"Add - how much is in a pack?",IF(AE75="Out of stock","Order - none left",IF(AE75="Low stock","Order - running low",IF(AND(AD75&lt;&gt;"",AD75&gt;0.075),"Check - price jumped, re-price the products",IF(AND(P75&lt;&gt;"",TodayDate-P75&gt;365),"Check - price is over a year old","OK")))))))</f>
        <v>0</v>
      </c>
    </row>
    <row r="76" spans="1:33">
      <c r="A76" s="38">
        <f>IF(B76="","",MaterialPrefix&amp;TEXT(ROW()-4,"0000"))</f>
        <v>0</v>
      </c>
      <c r="R76" s="20">
        <f>IF(B76="","",IF(I76="","",ROUND(I76*(1-IF(K76="",0,K76))+IF(J76="",0,J76),2)))</f>
        <v>0</v>
      </c>
      <c r="S76" s="45">
        <f>IF(B76="","",IF(OR(R76="",G76="",G76=0),"",ROUND(R76/G76,4)))</f>
        <v>0</v>
      </c>
      <c r="T76" s="13">
        <f>IF(B76="","",IFERROR(INDEX(UnitBases,MATCH(H76,UnitNames,0)),""))</f>
        <v>0</v>
      </c>
      <c r="U76" s="41">
        <f>IF(B76="","",IFERROR(INDEX(UnitFactors,MATCH(H76,UnitNames,0)),""))</f>
        <v>0</v>
      </c>
      <c r="V76" s="45">
        <f>IF(B76="","",IF(OR(S76="",U76="",U76=0),"",ROUND(S76/U76,4)))</f>
        <v>0</v>
      </c>
      <c r="W76" s="33">
        <f>IF(B76="","",IF(L76="",DefaultWaste,L76))</f>
        <v>0</v>
      </c>
      <c r="X76" s="45">
        <f>IF(B76="","",IF(S76="","",ROUND(S76*(1+W76),4)))</f>
        <v>0</v>
      </c>
      <c r="Y76" s="20">
        <f>IF(B76="","",IF(OR(M76="",S76=""),"",ROUND(M76*S76,2)))</f>
        <v>0</v>
      </c>
      <c r="Z76" s="32">
        <f>IF(B76="","",COUNTIFS('Material Usage'!$C$5:$C$904,A76))</f>
        <v>0</v>
      </c>
      <c r="AA76" s="36">
        <f>IF(B76="","",SUMIFS('Material Usage'!$K$5:$K$904,'Material Usage'!$C$5:$C$904,A76))</f>
        <v>0</v>
      </c>
      <c r="AB76" s="20">
        <f>IF(B76="","",ROUND(SUMIFS('Material Usage'!$M$5:$M$904,'Material Usage'!$C$5:$C$904,A76),2))</f>
        <v>0</v>
      </c>
      <c r="AC76" s="32">
        <f>IF(B76="","",IF(OR(M76="",AA76="",AA76&lt;=0),"",ROUNDDOWN(M76/AA76,0)))</f>
        <v>0</v>
      </c>
      <c r="AD76" s="33">
        <f>IF(B76="","",IF(OR(O76="",O76=0,I76=""),"",(I76-O76)/O76))</f>
        <v>0</v>
      </c>
      <c r="AE76" s="43">
        <f>IF(B76="","",IF(M76="","Not tracked",IF(M76&lt;=0,"Out of stock",IF(AND(N76&lt;&gt;"",M76&lt;=N76),"Low stock","In stock"))))</f>
        <v>0</v>
      </c>
      <c r="AF76" s="32">
        <f>IF(B76="","",COUNTIFS($AB$5:$AB$254,"&gt;"&amp;AB76)+COUNTIFS($AB$5:AB76,AB76))</f>
        <v>0</v>
      </c>
      <c r="AG76" s="43">
        <f>IF(B76="","",IF(I76="","Add - no price yet",IF(OR(G76="",G76=0),"Add - how much is in a pack?",IF(AE76="Out of stock","Order - none left",IF(AE76="Low stock","Order - running low",IF(AND(AD76&lt;&gt;"",AD76&gt;0.075),"Check - price jumped, re-price the products",IF(AND(P76&lt;&gt;"",TodayDate-P76&gt;365),"Check - price is over a year old","OK")))))))</f>
        <v>0</v>
      </c>
    </row>
    <row r="77" spans="1:33">
      <c r="A77" s="38">
        <f>IF(B77="","",MaterialPrefix&amp;TEXT(ROW()-4,"0000"))</f>
        <v>0</v>
      </c>
      <c r="R77" s="20">
        <f>IF(B77="","",IF(I77="","",ROUND(I77*(1-IF(K77="",0,K77))+IF(J77="",0,J77),2)))</f>
        <v>0</v>
      </c>
      <c r="S77" s="45">
        <f>IF(B77="","",IF(OR(R77="",G77="",G77=0),"",ROUND(R77/G77,4)))</f>
        <v>0</v>
      </c>
      <c r="T77" s="13">
        <f>IF(B77="","",IFERROR(INDEX(UnitBases,MATCH(H77,UnitNames,0)),""))</f>
        <v>0</v>
      </c>
      <c r="U77" s="41">
        <f>IF(B77="","",IFERROR(INDEX(UnitFactors,MATCH(H77,UnitNames,0)),""))</f>
        <v>0</v>
      </c>
      <c r="V77" s="45">
        <f>IF(B77="","",IF(OR(S77="",U77="",U77=0),"",ROUND(S77/U77,4)))</f>
        <v>0</v>
      </c>
      <c r="W77" s="33">
        <f>IF(B77="","",IF(L77="",DefaultWaste,L77))</f>
        <v>0</v>
      </c>
      <c r="X77" s="45">
        <f>IF(B77="","",IF(S77="","",ROUND(S77*(1+W77),4)))</f>
        <v>0</v>
      </c>
      <c r="Y77" s="20">
        <f>IF(B77="","",IF(OR(M77="",S77=""),"",ROUND(M77*S77,2)))</f>
        <v>0</v>
      </c>
      <c r="Z77" s="32">
        <f>IF(B77="","",COUNTIFS('Material Usage'!$C$5:$C$904,A77))</f>
        <v>0</v>
      </c>
      <c r="AA77" s="36">
        <f>IF(B77="","",SUMIFS('Material Usage'!$K$5:$K$904,'Material Usage'!$C$5:$C$904,A77))</f>
        <v>0</v>
      </c>
      <c r="AB77" s="20">
        <f>IF(B77="","",ROUND(SUMIFS('Material Usage'!$M$5:$M$904,'Material Usage'!$C$5:$C$904,A77),2))</f>
        <v>0</v>
      </c>
      <c r="AC77" s="32">
        <f>IF(B77="","",IF(OR(M77="",AA77="",AA77&lt;=0),"",ROUNDDOWN(M77/AA77,0)))</f>
        <v>0</v>
      </c>
      <c r="AD77" s="33">
        <f>IF(B77="","",IF(OR(O77="",O77=0,I77=""),"",(I77-O77)/O77))</f>
        <v>0</v>
      </c>
      <c r="AE77" s="43">
        <f>IF(B77="","",IF(M77="","Not tracked",IF(M77&lt;=0,"Out of stock",IF(AND(N77&lt;&gt;"",M77&lt;=N77),"Low stock","In stock"))))</f>
        <v>0</v>
      </c>
      <c r="AF77" s="32">
        <f>IF(B77="","",COUNTIFS($AB$5:$AB$254,"&gt;"&amp;AB77)+COUNTIFS($AB$5:AB77,AB77))</f>
        <v>0</v>
      </c>
      <c r="AG77" s="43">
        <f>IF(B77="","",IF(I77="","Add - no price yet",IF(OR(G77="",G77=0),"Add - how much is in a pack?",IF(AE77="Out of stock","Order - none left",IF(AE77="Low stock","Order - running low",IF(AND(AD77&lt;&gt;"",AD77&gt;0.075),"Check - price jumped, re-price the products",IF(AND(P77&lt;&gt;"",TodayDate-P77&gt;365),"Check - price is over a year old","OK")))))))</f>
        <v>0</v>
      </c>
    </row>
    <row r="78" spans="1:33">
      <c r="A78" s="38">
        <f>IF(B78="","",MaterialPrefix&amp;TEXT(ROW()-4,"0000"))</f>
        <v>0</v>
      </c>
      <c r="R78" s="20">
        <f>IF(B78="","",IF(I78="","",ROUND(I78*(1-IF(K78="",0,K78))+IF(J78="",0,J78),2)))</f>
        <v>0</v>
      </c>
      <c r="S78" s="45">
        <f>IF(B78="","",IF(OR(R78="",G78="",G78=0),"",ROUND(R78/G78,4)))</f>
        <v>0</v>
      </c>
      <c r="T78" s="13">
        <f>IF(B78="","",IFERROR(INDEX(UnitBases,MATCH(H78,UnitNames,0)),""))</f>
        <v>0</v>
      </c>
      <c r="U78" s="41">
        <f>IF(B78="","",IFERROR(INDEX(UnitFactors,MATCH(H78,UnitNames,0)),""))</f>
        <v>0</v>
      </c>
      <c r="V78" s="45">
        <f>IF(B78="","",IF(OR(S78="",U78="",U78=0),"",ROUND(S78/U78,4)))</f>
        <v>0</v>
      </c>
      <c r="W78" s="33">
        <f>IF(B78="","",IF(L78="",DefaultWaste,L78))</f>
        <v>0</v>
      </c>
      <c r="X78" s="45">
        <f>IF(B78="","",IF(S78="","",ROUND(S78*(1+W78),4)))</f>
        <v>0</v>
      </c>
      <c r="Y78" s="20">
        <f>IF(B78="","",IF(OR(M78="",S78=""),"",ROUND(M78*S78,2)))</f>
        <v>0</v>
      </c>
      <c r="Z78" s="32">
        <f>IF(B78="","",COUNTIFS('Material Usage'!$C$5:$C$904,A78))</f>
        <v>0</v>
      </c>
      <c r="AA78" s="36">
        <f>IF(B78="","",SUMIFS('Material Usage'!$K$5:$K$904,'Material Usage'!$C$5:$C$904,A78))</f>
        <v>0</v>
      </c>
      <c r="AB78" s="20">
        <f>IF(B78="","",ROUND(SUMIFS('Material Usage'!$M$5:$M$904,'Material Usage'!$C$5:$C$904,A78),2))</f>
        <v>0</v>
      </c>
      <c r="AC78" s="32">
        <f>IF(B78="","",IF(OR(M78="",AA78="",AA78&lt;=0),"",ROUNDDOWN(M78/AA78,0)))</f>
        <v>0</v>
      </c>
      <c r="AD78" s="33">
        <f>IF(B78="","",IF(OR(O78="",O78=0,I78=""),"",(I78-O78)/O78))</f>
        <v>0</v>
      </c>
      <c r="AE78" s="43">
        <f>IF(B78="","",IF(M78="","Not tracked",IF(M78&lt;=0,"Out of stock",IF(AND(N78&lt;&gt;"",M78&lt;=N78),"Low stock","In stock"))))</f>
        <v>0</v>
      </c>
      <c r="AF78" s="32">
        <f>IF(B78="","",COUNTIFS($AB$5:$AB$254,"&gt;"&amp;AB78)+COUNTIFS($AB$5:AB78,AB78))</f>
        <v>0</v>
      </c>
      <c r="AG78" s="43">
        <f>IF(B78="","",IF(I78="","Add - no price yet",IF(OR(G78="",G78=0),"Add - how much is in a pack?",IF(AE78="Out of stock","Order - none left",IF(AE78="Low stock","Order - running low",IF(AND(AD78&lt;&gt;"",AD78&gt;0.075),"Check - price jumped, re-price the products",IF(AND(P78&lt;&gt;"",TodayDate-P78&gt;365),"Check - price is over a year old","OK")))))))</f>
        <v>0</v>
      </c>
    </row>
    <row r="79" spans="1:33">
      <c r="A79" s="38">
        <f>IF(B79="","",MaterialPrefix&amp;TEXT(ROW()-4,"0000"))</f>
        <v>0</v>
      </c>
      <c r="R79" s="20">
        <f>IF(B79="","",IF(I79="","",ROUND(I79*(1-IF(K79="",0,K79))+IF(J79="",0,J79),2)))</f>
        <v>0</v>
      </c>
      <c r="S79" s="45">
        <f>IF(B79="","",IF(OR(R79="",G79="",G79=0),"",ROUND(R79/G79,4)))</f>
        <v>0</v>
      </c>
      <c r="T79" s="13">
        <f>IF(B79="","",IFERROR(INDEX(UnitBases,MATCH(H79,UnitNames,0)),""))</f>
        <v>0</v>
      </c>
      <c r="U79" s="41">
        <f>IF(B79="","",IFERROR(INDEX(UnitFactors,MATCH(H79,UnitNames,0)),""))</f>
        <v>0</v>
      </c>
      <c r="V79" s="45">
        <f>IF(B79="","",IF(OR(S79="",U79="",U79=0),"",ROUND(S79/U79,4)))</f>
        <v>0</v>
      </c>
      <c r="W79" s="33">
        <f>IF(B79="","",IF(L79="",DefaultWaste,L79))</f>
        <v>0</v>
      </c>
      <c r="X79" s="45">
        <f>IF(B79="","",IF(S79="","",ROUND(S79*(1+W79),4)))</f>
        <v>0</v>
      </c>
      <c r="Y79" s="20">
        <f>IF(B79="","",IF(OR(M79="",S79=""),"",ROUND(M79*S79,2)))</f>
        <v>0</v>
      </c>
      <c r="Z79" s="32">
        <f>IF(B79="","",COUNTIFS('Material Usage'!$C$5:$C$904,A79))</f>
        <v>0</v>
      </c>
      <c r="AA79" s="36">
        <f>IF(B79="","",SUMIFS('Material Usage'!$K$5:$K$904,'Material Usage'!$C$5:$C$904,A79))</f>
        <v>0</v>
      </c>
      <c r="AB79" s="20">
        <f>IF(B79="","",ROUND(SUMIFS('Material Usage'!$M$5:$M$904,'Material Usage'!$C$5:$C$904,A79),2))</f>
        <v>0</v>
      </c>
      <c r="AC79" s="32">
        <f>IF(B79="","",IF(OR(M79="",AA79="",AA79&lt;=0),"",ROUNDDOWN(M79/AA79,0)))</f>
        <v>0</v>
      </c>
      <c r="AD79" s="33">
        <f>IF(B79="","",IF(OR(O79="",O79=0,I79=""),"",(I79-O79)/O79))</f>
        <v>0</v>
      </c>
      <c r="AE79" s="43">
        <f>IF(B79="","",IF(M79="","Not tracked",IF(M79&lt;=0,"Out of stock",IF(AND(N79&lt;&gt;"",M79&lt;=N79),"Low stock","In stock"))))</f>
        <v>0</v>
      </c>
      <c r="AF79" s="32">
        <f>IF(B79="","",COUNTIFS($AB$5:$AB$254,"&gt;"&amp;AB79)+COUNTIFS($AB$5:AB79,AB79))</f>
        <v>0</v>
      </c>
      <c r="AG79" s="43">
        <f>IF(B79="","",IF(I79="","Add - no price yet",IF(OR(G79="",G79=0),"Add - how much is in a pack?",IF(AE79="Out of stock","Order - none left",IF(AE79="Low stock","Order - running low",IF(AND(AD79&lt;&gt;"",AD79&gt;0.075),"Check - price jumped, re-price the products",IF(AND(P79&lt;&gt;"",TodayDate-P79&gt;365),"Check - price is over a year old","OK")))))))</f>
        <v>0</v>
      </c>
    </row>
    <row r="80" spans="1:33">
      <c r="A80" s="38">
        <f>IF(B80="","",MaterialPrefix&amp;TEXT(ROW()-4,"0000"))</f>
        <v>0</v>
      </c>
      <c r="R80" s="20">
        <f>IF(B80="","",IF(I80="","",ROUND(I80*(1-IF(K80="",0,K80))+IF(J80="",0,J80),2)))</f>
        <v>0</v>
      </c>
      <c r="S80" s="45">
        <f>IF(B80="","",IF(OR(R80="",G80="",G80=0),"",ROUND(R80/G80,4)))</f>
        <v>0</v>
      </c>
      <c r="T80" s="13">
        <f>IF(B80="","",IFERROR(INDEX(UnitBases,MATCH(H80,UnitNames,0)),""))</f>
        <v>0</v>
      </c>
      <c r="U80" s="41">
        <f>IF(B80="","",IFERROR(INDEX(UnitFactors,MATCH(H80,UnitNames,0)),""))</f>
        <v>0</v>
      </c>
      <c r="V80" s="45">
        <f>IF(B80="","",IF(OR(S80="",U80="",U80=0),"",ROUND(S80/U80,4)))</f>
        <v>0</v>
      </c>
      <c r="W80" s="33">
        <f>IF(B80="","",IF(L80="",DefaultWaste,L80))</f>
        <v>0</v>
      </c>
      <c r="X80" s="45">
        <f>IF(B80="","",IF(S80="","",ROUND(S80*(1+W80),4)))</f>
        <v>0</v>
      </c>
      <c r="Y80" s="20">
        <f>IF(B80="","",IF(OR(M80="",S80=""),"",ROUND(M80*S80,2)))</f>
        <v>0</v>
      </c>
      <c r="Z80" s="32">
        <f>IF(B80="","",COUNTIFS('Material Usage'!$C$5:$C$904,A80))</f>
        <v>0</v>
      </c>
      <c r="AA80" s="36">
        <f>IF(B80="","",SUMIFS('Material Usage'!$K$5:$K$904,'Material Usage'!$C$5:$C$904,A80))</f>
        <v>0</v>
      </c>
      <c r="AB80" s="20">
        <f>IF(B80="","",ROUND(SUMIFS('Material Usage'!$M$5:$M$904,'Material Usage'!$C$5:$C$904,A80),2))</f>
        <v>0</v>
      </c>
      <c r="AC80" s="32">
        <f>IF(B80="","",IF(OR(M80="",AA80="",AA80&lt;=0),"",ROUNDDOWN(M80/AA80,0)))</f>
        <v>0</v>
      </c>
      <c r="AD80" s="33">
        <f>IF(B80="","",IF(OR(O80="",O80=0,I80=""),"",(I80-O80)/O80))</f>
        <v>0</v>
      </c>
      <c r="AE80" s="43">
        <f>IF(B80="","",IF(M80="","Not tracked",IF(M80&lt;=0,"Out of stock",IF(AND(N80&lt;&gt;"",M80&lt;=N80),"Low stock","In stock"))))</f>
        <v>0</v>
      </c>
      <c r="AF80" s="32">
        <f>IF(B80="","",COUNTIFS($AB$5:$AB$254,"&gt;"&amp;AB80)+COUNTIFS($AB$5:AB80,AB80))</f>
        <v>0</v>
      </c>
      <c r="AG80" s="43">
        <f>IF(B80="","",IF(I80="","Add - no price yet",IF(OR(G80="",G80=0),"Add - how much is in a pack?",IF(AE80="Out of stock","Order - none left",IF(AE80="Low stock","Order - running low",IF(AND(AD80&lt;&gt;"",AD80&gt;0.075),"Check - price jumped, re-price the products",IF(AND(P80&lt;&gt;"",TodayDate-P80&gt;365),"Check - price is over a year old","OK")))))))</f>
        <v>0</v>
      </c>
    </row>
    <row r="81" spans="1:33">
      <c r="A81" s="38">
        <f>IF(B81="","",MaterialPrefix&amp;TEXT(ROW()-4,"0000"))</f>
        <v>0</v>
      </c>
      <c r="R81" s="20">
        <f>IF(B81="","",IF(I81="","",ROUND(I81*(1-IF(K81="",0,K81))+IF(J81="",0,J81),2)))</f>
        <v>0</v>
      </c>
      <c r="S81" s="45">
        <f>IF(B81="","",IF(OR(R81="",G81="",G81=0),"",ROUND(R81/G81,4)))</f>
        <v>0</v>
      </c>
      <c r="T81" s="13">
        <f>IF(B81="","",IFERROR(INDEX(UnitBases,MATCH(H81,UnitNames,0)),""))</f>
        <v>0</v>
      </c>
      <c r="U81" s="41">
        <f>IF(B81="","",IFERROR(INDEX(UnitFactors,MATCH(H81,UnitNames,0)),""))</f>
        <v>0</v>
      </c>
      <c r="V81" s="45">
        <f>IF(B81="","",IF(OR(S81="",U81="",U81=0),"",ROUND(S81/U81,4)))</f>
        <v>0</v>
      </c>
      <c r="W81" s="33">
        <f>IF(B81="","",IF(L81="",DefaultWaste,L81))</f>
        <v>0</v>
      </c>
      <c r="X81" s="45">
        <f>IF(B81="","",IF(S81="","",ROUND(S81*(1+W81),4)))</f>
        <v>0</v>
      </c>
      <c r="Y81" s="20">
        <f>IF(B81="","",IF(OR(M81="",S81=""),"",ROUND(M81*S81,2)))</f>
        <v>0</v>
      </c>
      <c r="Z81" s="32">
        <f>IF(B81="","",COUNTIFS('Material Usage'!$C$5:$C$904,A81))</f>
        <v>0</v>
      </c>
      <c r="AA81" s="36">
        <f>IF(B81="","",SUMIFS('Material Usage'!$K$5:$K$904,'Material Usage'!$C$5:$C$904,A81))</f>
        <v>0</v>
      </c>
      <c r="AB81" s="20">
        <f>IF(B81="","",ROUND(SUMIFS('Material Usage'!$M$5:$M$904,'Material Usage'!$C$5:$C$904,A81),2))</f>
        <v>0</v>
      </c>
      <c r="AC81" s="32">
        <f>IF(B81="","",IF(OR(M81="",AA81="",AA81&lt;=0),"",ROUNDDOWN(M81/AA81,0)))</f>
        <v>0</v>
      </c>
      <c r="AD81" s="33">
        <f>IF(B81="","",IF(OR(O81="",O81=0,I81=""),"",(I81-O81)/O81))</f>
        <v>0</v>
      </c>
      <c r="AE81" s="43">
        <f>IF(B81="","",IF(M81="","Not tracked",IF(M81&lt;=0,"Out of stock",IF(AND(N81&lt;&gt;"",M81&lt;=N81),"Low stock","In stock"))))</f>
        <v>0</v>
      </c>
      <c r="AF81" s="32">
        <f>IF(B81="","",COUNTIFS($AB$5:$AB$254,"&gt;"&amp;AB81)+COUNTIFS($AB$5:AB81,AB81))</f>
        <v>0</v>
      </c>
      <c r="AG81" s="43">
        <f>IF(B81="","",IF(I81="","Add - no price yet",IF(OR(G81="",G81=0),"Add - how much is in a pack?",IF(AE81="Out of stock","Order - none left",IF(AE81="Low stock","Order - running low",IF(AND(AD81&lt;&gt;"",AD81&gt;0.075),"Check - price jumped, re-price the products",IF(AND(P81&lt;&gt;"",TodayDate-P81&gt;365),"Check - price is over a year old","OK")))))))</f>
        <v>0</v>
      </c>
    </row>
    <row r="82" spans="1:33">
      <c r="A82" s="38">
        <f>IF(B82="","",MaterialPrefix&amp;TEXT(ROW()-4,"0000"))</f>
        <v>0</v>
      </c>
      <c r="R82" s="20">
        <f>IF(B82="","",IF(I82="","",ROUND(I82*(1-IF(K82="",0,K82))+IF(J82="",0,J82),2)))</f>
        <v>0</v>
      </c>
      <c r="S82" s="45">
        <f>IF(B82="","",IF(OR(R82="",G82="",G82=0),"",ROUND(R82/G82,4)))</f>
        <v>0</v>
      </c>
      <c r="T82" s="13">
        <f>IF(B82="","",IFERROR(INDEX(UnitBases,MATCH(H82,UnitNames,0)),""))</f>
        <v>0</v>
      </c>
      <c r="U82" s="41">
        <f>IF(B82="","",IFERROR(INDEX(UnitFactors,MATCH(H82,UnitNames,0)),""))</f>
        <v>0</v>
      </c>
      <c r="V82" s="45">
        <f>IF(B82="","",IF(OR(S82="",U82="",U82=0),"",ROUND(S82/U82,4)))</f>
        <v>0</v>
      </c>
      <c r="W82" s="33">
        <f>IF(B82="","",IF(L82="",DefaultWaste,L82))</f>
        <v>0</v>
      </c>
      <c r="X82" s="45">
        <f>IF(B82="","",IF(S82="","",ROUND(S82*(1+W82),4)))</f>
        <v>0</v>
      </c>
      <c r="Y82" s="20">
        <f>IF(B82="","",IF(OR(M82="",S82=""),"",ROUND(M82*S82,2)))</f>
        <v>0</v>
      </c>
      <c r="Z82" s="32">
        <f>IF(B82="","",COUNTIFS('Material Usage'!$C$5:$C$904,A82))</f>
        <v>0</v>
      </c>
      <c r="AA82" s="36">
        <f>IF(B82="","",SUMIFS('Material Usage'!$K$5:$K$904,'Material Usage'!$C$5:$C$904,A82))</f>
        <v>0</v>
      </c>
      <c r="AB82" s="20">
        <f>IF(B82="","",ROUND(SUMIFS('Material Usage'!$M$5:$M$904,'Material Usage'!$C$5:$C$904,A82),2))</f>
        <v>0</v>
      </c>
      <c r="AC82" s="32">
        <f>IF(B82="","",IF(OR(M82="",AA82="",AA82&lt;=0),"",ROUNDDOWN(M82/AA82,0)))</f>
        <v>0</v>
      </c>
      <c r="AD82" s="33">
        <f>IF(B82="","",IF(OR(O82="",O82=0,I82=""),"",(I82-O82)/O82))</f>
        <v>0</v>
      </c>
      <c r="AE82" s="43">
        <f>IF(B82="","",IF(M82="","Not tracked",IF(M82&lt;=0,"Out of stock",IF(AND(N82&lt;&gt;"",M82&lt;=N82),"Low stock","In stock"))))</f>
        <v>0</v>
      </c>
      <c r="AF82" s="32">
        <f>IF(B82="","",COUNTIFS($AB$5:$AB$254,"&gt;"&amp;AB82)+COUNTIFS($AB$5:AB82,AB82))</f>
        <v>0</v>
      </c>
      <c r="AG82" s="43">
        <f>IF(B82="","",IF(I82="","Add - no price yet",IF(OR(G82="",G82=0),"Add - how much is in a pack?",IF(AE82="Out of stock","Order - none left",IF(AE82="Low stock","Order - running low",IF(AND(AD82&lt;&gt;"",AD82&gt;0.075),"Check - price jumped, re-price the products",IF(AND(P82&lt;&gt;"",TodayDate-P82&gt;365),"Check - price is over a year old","OK")))))))</f>
        <v>0</v>
      </c>
    </row>
    <row r="83" spans="1:33">
      <c r="A83" s="38">
        <f>IF(B83="","",MaterialPrefix&amp;TEXT(ROW()-4,"0000"))</f>
        <v>0</v>
      </c>
      <c r="R83" s="20">
        <f>IF(B83="","",IF(I83="","",ROUND(I83*(1-IF(K83="",0,K83))+IF(J83="",0,J83),2)))</f>
        <v>0</v>
      </c>
      <c r="S83" s="45">
        <f>IF(B83="","",IF(OR(R83="",G83="",G83=0),"",ROUND(R83/G83,4)))</f>
        <v>0</v>
      </c>
      <c r="T83" s="13">
        <f>IF(B83="","",IFERROR(INDEX(UnitBases,MATCH(H83,UnitNames,0)),""))</f>
        <v>0</v>
      </c>
      <c r="U83" s="41">
        <f>IF(B83="","",IFERROR(INDEX(UnitFactors,MATCH(H83,UnitNames,0)),""))</f>
        <v>0</v>
      </c>
      <c r="V83" s="45">
        <f>IF(B83="","",IF(OR(S83="",U83="",U83=0),"",ROUND(S83/U83,4)))</f>
        <v>0</v>
      </c>
      <c r="W83" s="33">
        <f>IF(B83="","",IF(L83="",DefaultWaste,L83))</f>
        <v>0</v>
      </c>
      <c r="X83" s="45">
        <f>IF(B83="","",IF(S83="","",ROUND(S83*(1+W83),4)))</f>
        <v>0</v>
      </c>
      <c r="Y83" s="20">
        <f>IF(B83="","",IF(OR(M83="",S83=""),"",ROUND(M83*S83,2)))</f>
        <v>0</v>
      </c>
      <c r="Z83" s="32">
        <f>IF(B83="","",COUNTIFS('Material Usage'!$C$5:$C$904,A83))</f>
        <v>0</v>
      </c>
      <c r="AA83" s="36">
        <f>IF(B83="","",SUMIFS('Material Usage'!$K$5:$K$904,'Material Usage'!$C$5:$C$904,A83))</f>
        <v>0</v>
      </c>
      <c r="AB83" s="20">
        <f>IF(B83="","",ROUND(SUMIFS('Material Usage'!$M$5:$M$904,'Material Usage'!$C$5:$C$904,A83),2))</f>
        <v>0</v>
      </c>
      <c r="AC83" s="32">
        <f>IF(B83="","",IF(OR(M83="",AA83="",AA83&lt;=0),"",ROUNDDOWN(M83/AA83,0)))</f>
        <v>0</v>
      </c>
      <c r="AD83" s="33">
        <f>IF(B83="","",IF(OR(O83="",O83=0,I83=""),"",(I83-O83)/O83))</f>
        <v>0</v>
      </c>
      <c r="AE83" s="43">
        <f>IF(B83="","",IF(M83="","Not tracked",IF(M83&lt;=0,"Out of stock",IF(AND(N83&lt;&gt;"",M83&lt;=N83),"Low stock","In stock"))))</f>
        <v>0</v>
      </c>
      <c r="AF83" s="32">
        <f>IF(B83="","",COUNTIFS($AB$5:$AB$254,"&gt;"&amp;AB83)+COUNTIFS($AB$5:AB83,AB83))</f>
        <v>0</v>
      </c>
      <c r="AG83" s="43">
        <f>IF(B83="","",IF(I83="","Add - no price yet",IF(OR(G83="",G83=0),"Add - how much is in a pack?",IF(AE83="Out of stock","Order - none left",IF(AE83="Low stock","Order - running low",IF(AND(AD83&lt;&gt;"",AD83&gt;0.075),"Check - price jumped, re-price the products",IF(AND(P83&lt;&gt;"",TodayDate-P83&gt;365),"Check - price is over a year old","OK")))))))</f>
        <v>0</v>
      </c>
    </row>
    <row r="84" spans="1:33">
      <c r="A84" s="38">
        <f>IF(B84="","",MaterialPrefix&amp;TEXT(ROW()-4,"0000"))</f>
        <v>0</v>
      </c>
      <c r="R84" s="20">
        <f>IF(B84="","",IF(I84="","",ROUND(I84*(1-IF(K84="",0,K84))+IF(J84="",0,J84),2)))</f>
        <v>0</v>
      </c>
      <c r="S84" s="45">
        <f>IF(B84="","",IF(OR(R84="",G84="",G84=0),"",ROUND(R84/G84,4)))</f>
        <v>0</v>
      </c>
      <c r="T84" s="13">
        <f>IF(B84="","",IFERROR(INDEX(UnitBases,MATCH(H84,UnitNames,0)),""))</f>
        <v>0</v>
      </c>
      <c r="U84" s="41">
        <f>IF(B84="","",IFERROR(INDEX(UnitFactors,MATCH(H84,UnitNames,0)),""))</f>
        <v>0</v>
      </c>
      <c r="V84" s="45">
        <f>IF(B84="","",IF(OR(S84="",U84="",U84=0),"",ROUND(S84/U84,4)))</f>
        <v>0</v>
      </c>
      <c r="W84" s="33">
        <f>IF(B84="","",IF(L84="",DefaultWaste,L84))</f>
        <v>0</v>
      </c>
      <c r="X84" s="45">
        <f>IF(B84="","",IF(S84="","",ROUND(S84*(1+W84),4)))</f>
        <v>0</v>
      </c>
      <c r="Y84" s="20">
        <f>IF(B84="","",IF(OR(M84="",S84=""),"",ROUND(M84*S84,2)))</f>
        <v>0</v>
      </c>
      <c r="Z84" s="32">
        <f>IF(B84="","",COUNTIFS('Material Usage'!$C$5:$C$904,A84))</f>
        <v>0</v>
      </c>
      <c r="AA84" s="36">
        <f>IF(B84="","",SUMIFS('Material Usage'!$K$5:$K$904,'Material Usage'!$C$5:$C$904,A84))</f>
        <v>0</v>
      </c>
      <c r="AB84" s="20">
        <f>IF(B84="","",ROUND(SUMIFS('Material Usage'!$M$5:$M$904,'Material Usage'!$C$5:$C$904,A84),2))</f>
        <v>0</v>
      </c>
      <c r="AC84" s="32">
        <f>IF(B84="","",IF(OR(M84="",AA84="",AA84&lt;=0),"",ROUNDDOWN(M84/AA84,0)))</f>
        <v>0</v>
      </c>
      <c r="AD84" s="33">
        <f>IF(B84="","",IF(OR(O84="",O84=0,I84=""),"",(I84-O84)/O84))</f>
        <v>0</v>
      </c>
      <c r="AE84" s="43">
        <f>IF(B84="","",IF(M84="","Not tracked",IF(M84&lt;=0,"Out of stock",IF(AND(N84&lt;&gt;"",M84&lt;=N84),"Low stock","In stock"))))</f>
        <v>0</v>
      </c>
      <c r="AF84" s="32">
        <f>IF(B84="","",COUNTIFS($AB$5:$AB$254,"&gt;"&amp;AB84)+COUNTIFS($AB$5:AB84,AB84))</f>
        <v>0</v>
      </c>
      <c r="AG84" s="43">
        <f>IF(B84="","",IF(I84="","Add - no price yet",IF(OR(G84="",G84=0),"Add - how much is in a pack?",IF(AE84="Out of stock","Order - none left",IF(AE84="Low stock","Order - running low",IF(AND(AD84&lt;&gt;"",AD84&gt;0.075),"Check - price jumped, re-price the products",IF(AND(P84&lt;&gt;"",TodayDate-P84&gt;365),"Check - price is over a year old","OK")))))))</f>
        <v>0</v>
      </c>
    </row>
    <row r="85" spans="1:33">
      <c r="A85" s="38">
        <f>IF(B85="","",MaterialPrefix&amp;TEXT(ROW()-4,"0000"))</f>
        <v>0</v>
      </c>
      <c r="R85" s="20">
        <f>IF(B85="","",IF(I85="","",ROUND(I85*(1-IF(K85="",0,K85))+IF(J85="",0,J85),2)))</f>
        <v>0</v>
      </c>
      <c r="S85" s="45">
        <f>IF(B85="","",IF(OR(R85="",G85="",G85=0),"",ROUND(R85/G85,4)))</f>
        <v>0</v>
      </c>
      <c r="T85" s="13">
        <f>IF(B85="","",IFERROR(INDEX(UnitBases,MATCH(H85,UnitNames,0)),""))</f>
        <v>0</v>
      </c>
      <c r="U85" s="41">
        <f>IF(B85="","",IFERROR(INDEX(UnitFactors,MATCH(H85,UnitNames,0)),""))</f>
        <v>0</v>
      </c>
      <c r="V85" s="45">
        <f>IF(B85="","",IF(OR(S85="",U85="",U85=0),"",ROUND(S85/U85,4)))</f>
        <v>0</v>
      </c>
      <c r="W85" s="33">
        <f>IF(B85="","",IF(L85="",DefaultWaste,L85))</f>
        <v>0</v>
      </c>
      <c r="X85" s="45">
        <f>IF(B85="","",IF(S85="","",ROUND(S85*(1+W85),4)))</f>
        <v>0</v>
      </c>
      <c r="Y85" s="20">
        <f>IF(B85="","",IF(OR(M85="",S85=""),"",ROUND(M85*S85,2)))</f>
        <v>0</v>
      </c>
      <c r="Z85" s="32">
        <f>IF(B85="","",COUNTIFS('Material Usage'!$C$5:$C$904,A85))</f>
        <v>0</v>
      </c>
      <c r="AA85" s="36">
        <f>IF(B85="","",SUMIFS('Material Usage'!$K$5:$K$904,'Material Usage'!$C$5:$C$904,A85))</f>
        <v>0</v>
      </c>
      <c r="AB85" s="20">
        <f>IF(B85="","",ROUND(SUMIFS('Material Usage'!$M$5:$M$904,'Material Usage'!$C$5:$C$904,A85),2))</f>
        <v>0</v>
      </c>
      <c r="AC85" s="32">
        <f>IF(B85="","",IF(OR(M85="",AA85="",AA85&lt;=0),"",ROUNDDOWN(M85/AA85,0)))</f>
        <v>0</v>
      </c>
      <c r="AD85" s="33">
        <f>IF(B85="","",IF(OR(O85="",O85=0,I85=""),"",(I85-O85)/O85))</f>
        <v>0</v>
      </c>
      <c r="AE85" s="43">
        <f>IF(B85="","",IF(M85="","Not tracked",IF(M85&lt;=0,"Out of stock",IF(AND(N85&lt;&gt;"",M85&lt;=N85),"Low stock","In stock"))))</f>
        <v>0</v>
      </c>
      <c r="AF85" s="32">
        <f>IF(B85="","",COUNTIFS($AB$5:$AB$254,"&gt;"&amp;AB85)+COUNTIFS($AB$5:AB85,AB85))</f>
        <v>0</v>
      </c>
      <c r="AG85" s="43">
        <f>IF(B85="","",IF(I85="","Add - no price yet",IF(OR(G85="",G85=0),"Add - how much is in a pack?",IF(AE85="Out of stock","Order - none left",IF(AE85="Low stock","Order - running low",IF(AND(AD85&lt;&gt;"",AD85&gt;0.075),"Check - price jumped, re-price the products",IF(AND(P85&lt;&gt;"",TodayDate-P85&gt;365),"Check - price is over a year old","OK")))))))</f>
        <v>0</v>
      </c>
    </row>
    <row r="86" spans="1:33">
      <c r="A86" s="38">
        <f>IF(B86="","",MaterialPrefix&amp;TEXT(ROW()-4,"0000"))</f>
        <v>0</v>
      </c>
      <c r="R86" s="20">
        <f>IF(B86="","",IF(I86="","",ROUND(I86*(1-IF(K86="",0,K86))+IF(J86="",0,J86),2)))</f>
        <v>0</v>
      </c>
      <c r="S86" s="45">
        <f>IF(B86="","",IF(OR(R86="",G86="",G86=0),"",ROUND(R86/G86,4)))</f>
        <v>0</v>
      </c>
      <c r="T86" s="13">
        <f>IF(B86="","",IFERROR(INDEX(UnitBases,MATCH(H86,UnitNames,0)),""))</f>
        <v>0</v>
      </c>
      <c r="U86" s="41">
        <f>IF(B86="","",IFERROR(INDEX(UnitFactors,MATCH(H86,UnitNames,0)),""))</f>
        <v>0</v>
      </c>
      <c r="V86" s="45">
        <f>IF(B86="","",IF(OR(S86="",U86="",U86=0),"",ROUND(S86/U86,4)))</f>
        <v>0</v>
      </c>
      <c r="W86" s="33">
        <f>IF(B86="","",IF(L86="",DefaultWaste,L86))</f>
        <v>0</v>
      </c>
      <c r="X86" s="45">
        <f>IF(B86="","",IF(S86="","",ROUND(S86*(1+W86),4)))</f>
        <v>0</v>
      </c>
      <c r="Y86" s="20">
        <f>IF(B86="","",IF(OR(M86="",S86=""),"",ROUND(M86*S86,2)))</f>
        <v>0</v>
      </c>
      <c r="Z86" s="32">
        <f>IF(B86="","",COUNTIFS('Material Usage'!$C$5:$C$904,A86))</f>
        <v>0</v>
      </c>
      <c r="AA86" s="36">
        <f>IF(B86="","",SUMIFS('Material Usage'!$K$5:$K$904,'Material Usage'!$C$5:$C$904,A86))</f>
        <v>0</v>
      </c>
      <c r="AB86" s="20">
        <f>IF(B86="","",ROUND(SUMIFS('Material Usage'!$M$5:$M$904,'Material Usage'!$C$5:$C$904,A86),2))</f>
        <v>0</v>
      </c>
      <c r="AC86" s="32">
        <f>IF(B86="","",IF(OR(M86="",AA86="",AA86&lt;=0),"",ROUNDDOWN(M86/AA86,0)))</f>
        <v>0</v>
      </c>
      <c r="AD86" s="33">
        <f>IF(B86="","",IF(OR(O86="",O86=0,I86=""),"",(I86-O86)/O86))</f>
        <v>0</v>
      </c>
      <c r="AE86" s="43">
        <f>IF(B86="","",IF(M86="","Not tracked",IF(M86&lt;=0,"Out of stock",IF(AND(N86&lt;&gt;"",M86&lt;=N86),"Low stock","In stock"))))</f>
        <v>0</v>
      </c>
      <c r="AF86" s="32">
        <f>IF(B86="","",COUNTIFS($AB$5:$AB$254,"&gt;"&amp;AB86)+COUNTIFS($AB$5:AB86,AB86))</f>
        <v>0</v>
      </c>
      <c r="AG86" s="43">
        <f>IF(B86="","",IF(I86="","Add - no price yet",IF(OR(G86="",G86=0),"Add - how much is in a pack?",IF(AE86="Out of stock","Order - none left",IF(AE86="Low stock","Order - running low",IF(AND(AD86&lt;&gt;"",AD86&gt;0.075),"Check - price jumped, re-price the products",IF(AND(P86&lt;&gt;"",TodayDate-P86&gt;365),"Check - price is over a year old","OK")))))))</f>
        <v>0</v>
      </c>
    </row>
    <row r="87" spans="1:33">
      <c r="A87" s="38">
        <f>IF(B87="","",MaterialPrefix&amp;TEXT(ROW()-4,"0000"))</f>
        <v>0</v>
      </c>
      <c r="R87" s="20">
        <f>IF(B87="","",IF(I87="","",ROUND(I87*(1-IF(K87="",0,K87))+IF(J87="",0,J87),2)))</f>
        <v>0</v>
      </c>
      <c r="S87" s="45">
        <f>IF(B87="","",IF(OR(R87="",G87="",G87=0),"",ROUND(R87/G87,4)))</f>
        <v>0</v>
      </c>
      <c r="T87" s="13">
        <f>IF(B87="","",IFERROR(INDEX(UnitBases,MATCH(H87,UnitNames,0)),""))</f>
        <v>0</v>
      </c>
      <c r="U87" s="41">
        <f>IF(B87="","",IFERROR(INDEX(UnitFactors,MATCH(H87,UnitNames,0)),""))</f>
        <v>0</v>
      </c>
      <c r="V87" s="45">
        <f>IF(B87="","",IF(OR(S87="",U87="",U87=0),"",ROUND(S87/U87,4)))</f>
        <v>0</v>
      </c>
      <c r="W87" s="33">
        <f>IF(B87="","",IF(L87="",DefaultWaste,L87))</f>
        <v>0</v>
      </c>
      <c r="X87" s="45">
        <f>IF(B87="","",IF(S87="","",ROUND(S87*(1+W87),4)))</f>
        <v>0</v>
      </c>
      <c r="Y87" s="20">
        <f>IF(B87="","",IF(OR(M87="",S87=""),"",ROUND(M87*S87,2)))</f>
        <v>0</v>
      </c>
      <c r="Z87" s="32">
        <f>IF(B87="","",COUNTIFS('Material Usage'!$C$5:$C$904,A87))</f>
        <v>0</v>
      </c>
      <c r="AA87" s="36">
        <f>IF(B87="","",SUMIFS('Material Usage'!$K$5:$K$904,'Material Usage'!$C$5:$C$904,A87))</f>
        <v>0</v>
      </c>
      <c r="AB87" s="20">
        <f>IF(B87="","",ROUND(SUMIFS('Material Usage'!$M$5:$M$904,'Material Usage'!$C$5:$C$904,A87),2))</f>
        <v>0</v>
      </c>
      <c r="AC87" s="32">
        <f>IF(B87="","",IF(OR(M87="",AA87="",AA87&lt;=0),"",ROUNDDOWN(M87/AA87,0)))</f>
        <v>0</v>
      </c>
      <c r="AD87" s="33">
        <f>IF(B87="","",IF(OR(O87="",O87=0,I87=""),"",(I87-O87)/O87))</f>
        <v>0</v>
      </c>
      <c r="AE87" s="43">
        <f>IF(B87="","",IF(M87="","Not tracked",IF(M87&lt;=0,"Out of stock",IF(AND(N87&lt;&gt;"",M87&lt;=N87),"Low stock","In stock"))))</f>
        <v>0</v>
      </c>
      <c r="AF87" s="32">
        <f>IF(B87="","",COUNTIFS($AB$5:$AB$254,"&gt;"&amp;AB87)+COUNTIFS($AB$5:AB87,AB87))</f>
        <v>0</v>
      </c>
      <c r="AG87" s="43">
        <f>IF(B87="","",IF(I87="","Add - no price yet",IF(OR(G87="",G87=0),"Add - how much is in a pack?",IF(AE87="Out of stock","Order - none left",IF(AE87="Low stock","Order - running low",IF(AND(AD87&lt;&gt;"",AD87&gt;0.075),"Check - price jumped, re-price the products",IF(AND(P87&lt;&gt;"",TodayDate-P87&gt;365),"Check - price is over a year old","OK")))))))</f>
        <v>0</v>
      </c>
    </row>
    <row r="88" spans="1:33">
      <c r="A88" s="38">
        <f>IF(B88="","",MaterialPrefix&amp;TEXT(ROW()-4,"0000"))</f>
        <v>0</v>
      </c>
      <c r="R88" s="20">
        <f>IF(B88="","",IF(I88="","",ROUND(I88*(1-IF(K88="",0,K88))+IF(J88="",0,J88),2)))</f>
        <v>0</v>
      </c>
      <c r="S88" s="45">
        <f>IF(B88="","",IF(OR(R88="",G88="",G88=0),"",ROUND(R88/G88,4)))</f>
        <v>0</v>
      </c>
      <c r="T88" s="13">
        <f>IF(B88="","",IFERROR(INDEX(UnitBases,MATCH(H88,UnitNames,0)),""))</f>
        <v>0</v>
      </c>
      <c r="U88" s="41">
        <f>IF(B88="","",IFERROR(INDEX(UnitFactors,MATCH(H88,UnitNames,0)),""))</f>
        <v>0</v>
      </c>
      <c r="V88" s="45">
        <f>IF(B88="","",IF(OR(S88="",U88="",U88=0),"",ROUND(S88/U88,4)))</f>
        <v>0</v>
      </c>
      <c r="W88" s="33">
        <f>IF(B88="","",IF(L88="",DefaultWaste,L88))</f>
        <v>0</v>
      </c>
      <c r="X88" s="45">
        <f>IF(B88="","",IF(S88="","",ROUND(S88*(1+W88),4)))</f>
        <v>0</v>
      </c>
      <c r="Y88" s="20">
        <f>IF(B88="","",IF(OR(M88="",S88=""),"",ROUND(M88*S88,2)))</f>
        <v>0</v>
      </c>
      <c r="Z88" s="32">
        <f>IF(B88="","",COUNTIFS('Material Usage'!$C$5:$C$904,A88))</f>
        <v>0</v>
      </c>
      <c r="AA88" s="36">
        <f>IF(B88="","",SUMIFS('Material Usage'!$K$5:$K$904,'Material Usage'!$C$5:$C$904,A88))</f>
        <v>0</v>
      </c>
      <c r="AB88" s="20">
        <f>IF(B88="","",ROUND(SUMIFS('Material Usage'!$M$5:$M$904,'Material Usage'!$C$5:$C$904,A88),2))</f>
        <v>0</v>
      </c>
      <c r="AC88" s="32">
        <f>IF(B88="","",IF(OR(M88="",AA88="",AA88&lt;=0),"",ROUNDDOWN(M88/AA88,0)))</f>
        <v>0</v>
      </c>
      <c r="AD88" s="33">
        <f>IF(B88="","",IF(OR(O88="",O88=0,I88=""),"",(I88-O88)/O88))</f>
        <v>0</v>
      </c>
      <c r="AE88" s="43">
        <f>IF(B88="","",IF(M88="","Not tracked",IF(M88&lt;=0,"Out of stock",IF(AND(N88&lt;&gt;"",M88&lt;=N88),"Low stock","In stock"))))</f>
        <v>0</v>
      </c>
      <c r="AF88" s="32">
        <f>IF(B88="","",COUNTIFS($AB$5:$AB$254,"&gt;"&amp;AB88)+COUNTIFS($AB$5:AB88,AB88))</f>
        <v>0</v>
      </c>
      <c r="AG88" s="43">
        <f>IF(B88="","",IF(I88="","Add - no price yet",IF(OR(G88="",G88=0),"Add - how much is in a pack?",IF(AE88="Out of stock","Order - none left",IF(AE88="Low stock","Order - running low",IF(AND(AD88&lt;&gt;"",AD88&gt;0.075),"Check - price jumped, re-price the products",IF(AND(P88&lt;&gt;"",TodayDate-P88&gt;365),"Check - price is over a year old","OK")))))))</f>
        <v>0</v>
      </c>
    </row>
    <row r="89" spans="1:33">
      <c r="A89" s="38">
        <f>IF(B89="","",MaterialPrefix&amp;TEXT(ROW()-4,"0000"))</f>
        <v>0</v>
      </c>
      <c r="R89" s="20">
        <f>IF(B89="","",IF(I89="","",ROUND(I89*(1-IF(K89="",0,K89))+IF(J89="",0,J89),2)))</f>
        <v>0</v>
      </c>
      <c r="S89" s="45">
        <f>IF(B89="","",IF(OR(R89="",G89="",G89=0),"",ROUND(R89/G89,4)))</f>
        <v>0</v>
      </c>
      <c r="T89" s="13">
        <f>IF(B89="","",IFERROR(INDEX(UnitBases,MATCH(H89,UnitNames,0)),""))</f>
        <v>0</v>
      </c>
      <c r="U89" s="41">
        <f>IF(B89="","",IFERROR(INDEX(UnitFactors,MATCH(H89,UnitNames,0)),""))</f>
        <v>0</v>
      </c>
      <c r="V89" s="45">
        <f>IF(B89="","",IF(OR(S89="",U89="",U89=0),"",ROUND(S89/U89,4)))</f>
        <v>0</v>
      </c>
      <c r="W89" s="33">
        <f>IF(B89="","",IF(L89="",DefaultWaste,L89))</f>
        <v>0</v>
      </c>
      <c r="X89" s="45">
        <f>IF(B89="","",IF(S89="","",ROUND(S89*(1+W89),4)))</f>
        <v>0</v>
      </c>
      <c r="Y89" s="20">
        <f>IF(B89="","",IF(OR(M89="",S89=""),"",ROUND(M89*S89,2)))</f>
        <v>0</v>
      </c>
      <c r="Z89" s="32">
        <f>IF(B89="","",COUNTIFS('Material Usage'!$C$5:$C$904,A89))</f>
        <v>0</v>
      </c>
      <c r="AA89" s="36">
        <f>IF(B89="","",SUMIFS('Material Usage'!$K$5:$K$904,'Material Usage'!$C$5:$C$904,A89))</f>
        <v>0</v>
      </c>
      <c r="AB89" s="20">
        <f>IF(B89="","",ROUND(SUMIFS('Material Usage'!$M$5:$M$904,'Material Usage'!$C$5:$C$904,A89),2))</f>
        <v>0</v>
      </c>
      <c r="AC89" s="32">
        <f>IF(B89="","",IF(OR(M89="",AA89="",AA89&lt;=0),"",ROUNDDOWN(M89/AA89,0)))</f>
        <v>0</v>
      </c>
      <c r="AD89" s="33">
        <f>IF(B89="","",IF(OR(O89="",O89=0,I89=""),"",(I89-O89)/O89))</f>
        <v>0</v>
      </c>
      <c r="AE89" s="43">
        <f>IF(B89="","",IF(M89="","Not tracked",IF(M89&lt;=0,"Out of stock",IF(AND(N89&lt;&gt;"",M89&lt;=N89),"Low stock","In stock"))))</f>
        <v>0</v>
      </c>
      <c r="AF89" s="32">
        <f>IF(B89="","",COUNTIFS($AB$5:$AB$254,"&gt;"&amp;AB89)+COUNTIFS($AB$5:AB89,AB89))</f>
        <v>0</v>
      </c>
      <c r="AG89" s="43">
        <f>IF(B89="","",IF(I89="","Add - no price yet",IF(OR(G89="",G89=0),"Add - how much is in a pack?",IF(AE89="Out of stock","Order - none left",IF(AE89="Low stock","Order - running low",IF(AND(AD89&lt;&gt;"",AD89&gt;0.075),"Check - price jumped, re-price the products",IF(AND(P89&lt;&gt;"",TodayDate-P89&gt;365),"Check - price is over a year old","OK")))))))</f>
        <v>0</v>
      </c>
    </row>
    <row r="90" spans="1:33">
      <c r="A90" s="38">
        <f>IF(B90="","",MaterialPrefix&amp;TEXT(ROW()-4,"0000"))</f>
        <v>0</v>
      </c>
      <c r="R90" s="20">
        <f>IF(B90="","",IF(I90="","",ROUND(I90*(1-IF(K90="",0,K90))+IF(J90="",0,J90),2)))</f>
        <v>0</v>
      </c>
      <c r="S90" s="45">
        <f>IF(B90="","",IF(OR(R90="",G90="",G90=0),"",ROUND(R90/G90,4)))</f>
        <v>0</v>
      </c>
      <c r="T90" s="13">
        <f>IF(B90="","",IFERROR(INDEX(UnitBases,MATCH(H90,UnitNames,0)),""))</f>
        <v>0</v>
      </c>
      <c r="U90" s="41">
        <f>IF(B90="","",IFERROR(INDEX(UnitFactors,MATCH(H90,UnitNames,0)),""))</f>
        <v>0</v>
      </c>
      <c r="V90" s="45">
        <f>IF(B90="","",IF(OR(S90="",U90="",U90=0),"",ROUND(S90/U90,4)))</f>
        <v>0</v>
      </c>
      <c r="W90" s="33">
        <f>IF(B90="","",IF(L90="",DefaultWaste,L90))</f>
        <v>0</v>
      </c>
      <c r="X90" s="45">
        <f>IF(B90="","",IF(S90="","",ROUND(S90*(1+W90),4)))</f>
        <v>0</v>
      </c>
      <c r="Y90" s="20">
        <f>IF(B90="","",IF(OR(M90="",S90=""),"",ROUND(M90*S90,2)))</f>
        <v>0</v>
      </c>
      <c r="Z90" s="32">
        <f>IF(B90="","",COUNTIFS('Material Usage'!$C$5:$C$904,A90))</f>
        <v>0</v>
      </c>
      <c r="AA90" s="36">
        <f>IF(B90="","",SUMIFS('Material Usage'!$K$5:$K$904,'Material Usage'!$C$5:$C$904,A90))</f>
        <v>0</v>
      </c>
      <c r="AB90" s="20">
        <f>IF(B90="","",ROUND(SUMIFS('Material Usage'!$M$5:$M$904,'Material Usage'!$C$5:$C$904,A90),2))</f>
        <v>0</v>
      </c>
      <c r="AC90" s="32">
        <f>IF(B90="","",IF(OR(M90="",AA90="",AA90&lt;=0),"",ROUNDDOWN(M90/AA90,0)))</f>
        <v>0</v>
      </c>
      <c r="AD90" s="33">
        <f>IF(B90="","",IF(OR(O90="",O90=0,I90=""),"",(I90-O90)/O90))</f>
        <v>0</v>
      </c>
      <c r="AE90" s="43">
        <f>IF(B90="","",IF(M90="","Not tracked",IF(M90&lt;=0,"Out of stock",IF(AND(N90&lt;&gt;"",M90&lt;=N90),"Low stock","In stock"))))</f>
        <v>0</v>
      </c>
      <c r="AF90" s="32">
        <f>IF(B90="","",COUNTIFS($AB$5:$AB$254,"&gt;"&amp;AB90)+COUNTIFS($AB$5:AB90,AB90))</f>
        <v>0</v>
      </c>
      <c r="AG90" s="43">
        <f>IF(B90="","",IF(I90="","Add - no price yet",IF(OR(G90="",G90=0),"Add - how much is in a pack?",IF(AE90="Out of stock","Order - none left",IF(AE90="Low stock","Order - running low",IF(AND(AD90&lt;&gt;"",AD90&gt;0.075),"Check - price jumped, re-price the products",IF(AND(P90&lt;&gt;"",TodayDate-P90&gt;365),"Check - price is over a year old","OK")))))))</f>
        <v>0</v>
      </c>
    </row>
    <row r="91" spans="1:33">
      <c r="A91" s="38">
        <f>IF(B91="","",MaterialPrefix&amp;TEXT(ROW()-4,"0000"))</f>
        <v>0</v>
      </c>
      <c r="R91" s="20">
        <f>IF(B91="","",IF(I91="","",ROUND(I91*(1-IF(K91="",0,K91))+IF(J91="",0,J91),2)))</f>
        <v>0</v>
      </c>
      <c r="S91" s="45">
        <f>IF(B91="","",IF(OR(R91="",G91="",G91=0),"",ROUND(R91/G91,4)))</f>
        <v>0</v>
      </c>
      <c r="T91" s="13">
        <f>IF(B91="","",IFERROR(INDEX(UnitBases,MATCH(H91,UnitNames,0)),""))</f>
        <v>0</v>
      </c>
      <c r="U91" s="41">
        <f>IF(B91="","",IFERROR(INDEX(UnitFactors,MATCH(H91,UnitNames,0)),""))</f>
        <v>0</v>
      </c>
      <c r="V91" s="45">
        <f>IF(B91="","",IF(OR(S91="",U91="",U91=0),"",ROUND(S91/U91,4)))</f>
        <v>0</v>
      </c>
      <c r="W91" s="33">
        <f>IF(B91="","",IF(L91="",DefaultWaste,L91))</f>
        <v>0</v>
      </c>
      <c r="X91" s="45">
        <f>IF(B91="","",IF(S91="","",ROUND(S91*(1+W91),4)))</f>
        <v>0</v>
      </c>
      <c r="Y91" s="20">
        <f>IF(B91="","",IF(OR(M91="",S91=""),"",ROUND(M91*S91,2)))</f>
        <v>0</v>
      </c>
      <c r="Z91" s="32">
        <f>IF(B91="","",COUNTIFS('Material Usage'!$C$5:$C$904,A91))</f>
        <v>0</v>
      </c>
      <c r="AA91" s="36">
        <f>IF(B91="","",SUMIFS('Material Usage'!$K$5:$K$904,'Material Usage'!$C$5:$C$904,A91))</f>
        <v>0</v>
      </c>
      <c r="AB91" s="20">
        <f>IF(B91="","",ROUND(SUMIFS('Material Usage'!$M$5:$M$904,'Material Usage'!$C$5:$C$904,A91),2))</f>
        <v>0</v>
      </c>
      <c r="AC91" s="32">
        <f>IF(B91="","",IF(OR(M91="",AA91="",AA91&lt;=0),"",ROUNDDOWN(M91/AA91,0)))</f>
        <v>0</v>
      </c>
      <c r="AD91" s="33">
        <f>IF(B91="","",IF(OR(O91="",O91=0,I91=""),"",(I91-O91)/O91))</f>
        <v>0</v>
      </c>
      <c r="AE91" s="43">
        <f>IF(B91="","",IF(M91="","Not tracked",IF(M91&lt;=0,"Out of stock",IF(AND(N91&lt;&gt;"",M91&lt;=N91),"Low stock","In stock"))))</f>
        <v>0</v>
      </c>
      <c r="AF91" s="32">
        <f>IF(B91="","",COUNTIFS($AB$5:$AB$254,"&gt;"&amp;AB91)+COUNTIFS($AB$5:AB91,AB91))</f>
        <v>0</v>
      </c>
      <c r="AG91" s="43">
        <f>IF(B91="","",IF(I91="","Add - no price yet",IF(OR(G91="",G91=0),"Add - how much is in a pack?",IF(AE91="Out of stock","Order - none left",IF(AE91="Low stock","Order - running low",IF(AND(AD91&lt;&gt;"",AD91&gt;0.075),"Check - price jumped, re-price the products",IF(AND(P91&lt;&gt;"",TodayDate-P91&gt;365),"Check - price is over a year old","OK")))))))</f>
        <v>0</v>
      </c>
    </row>
    <row r="92" spans="1:33">
      <c r="A92" s="38">
        <f>IF(B92="","",MaterialPrefix&amp;TEXT(ROW()-4,"0000"))</f>
        <v>0</v>
      </c>
      <c r="R92" s="20">
        <f>IF(B92="","",IF(I92="","",ROUND(I92*(1-IF(K92="",0,K92))+IF(J92="",0,J92),2)))</f>
        <v>0</v>
      </c>
      <c r="S92" s="45">
        <f>IF(B92="","",IF(OR(R92="",G92="",G92=0),"",ROUND(R92/G92,4)))</f>
        <v>0</v>
      </c>
      <c r="T92" s="13">
        <f>IF(B92="","",IFERROR(INDEX(UnitBases,MATCH(H92,UnitNames,0)),""))</f>
        <v>0</v>
      </c>
      <c r="U92" s="41">
        <f>IF(B92="","",IFERROR(INDEX(UnitFactors,MATCH(H92,UnitNames,0)),""))</f>
        <v>0</v>
      </c>
      <c r="V92" s="45">
        <f>IF(B92="","",IF(OR(S92="",U92="",U92=0),"",ROUND(S92/U92,4)))</f>
        <v>0</v>
      </c>
      <c r="W92" s="33">
        <f>IF(B92="","",IF(L92="",DefaultWaste,L92))</f>
        <v>0</v>
      </c>
      <c r="X92" s="45">
        <f>IF(B92="","",IF(S92="","",ROUND(S92*(1+W92),4)))</f>
        <v>0</v>
      </c>
      <c r="Y92" s="20">
        <f>IF(B92="","",IF(OR(M92="",S92=""),"",ROUND(M92*S92,2)))</f>
        <v>0</v>
      </c>
      <c r="Z92" s="32">
        <f>IF(B92="","",COUNTIFS('Material Usage'!$C$5:$C$904,A92))</f>
        <v>0</v>
      </c>
      <c r="AA92" s="36">
        <f>IF(B92="","",SUMIFS('Material Usage'!$K$5:$K$904,'Material Usage'!$C$5:$C$904,A92))</f>
        <v>0</v>
      </c>
      <c r="AB92" s="20">
        <f>IF(B92="","",ROUND(SUMIFS('Material Usage'!$M$5:$M$904,'Material Usage'!$C$5:$C$904,A92),2))</f>
        <v>0</v>
      </c>
      <c r="AC92" s="32">
        <f>IF(B92="","",IF(OR(M92="",AA92="",AA92&lt;=0),"",ROUNDDOWN(M92/AA92,0)))</f>
        <v>0</v>
      </c>
      <c r="AD92" s="33">
        <f>IF(B92="","",IF(OR(O92="",O92=0,I92=""),"",(I92-O92)/O92))</f>
        <v>0</v>
      </c>
      <c r="AE92" s="43">
        <f>IF(B92="","",IF(M92="","Not tracked",IF(M92&lt;=0,"Out of stock",IF(AND(N92&lt;&gt;"",M92&lt;=N92),"Low stock","In stock"))))</f>
        <v>0</v>
      </c>
      <c r="AF92" s="32">
        <f>IF(B92="","",COUNTIFS($AB$5:$AB$254,"&gt;"&amp;AB92)+COUNTIFS($AB$5:AB92,AB92))</f>
        <v>0</v>
      </c>
      <c r="AG92" s="43">
        <f>IF(B92="","",IF(I92="","Add - no price yet",IF(OR(G92="",G92=0),"Add - how much is in a pack?",IF(AE92="Out of stock","Order - none left",IF(AE92="Low stock","Order - running low",IF(AND(AD92&lt;&gt;"",AD92&gt;0.075),"Check - price jumped, re-price the products",IF(AND(P92&lt;&gt;"",TodayDate-P92&gt;365),"Check - price is over a year old","OK")))))))</f>
        <v>0</v>
      </c>
    </row>
    <row r="93" spans="1:33">
      <c r="A93" s="38">
        <f>IF(B93="","",MaterialPrefix&amp;TEXT(ROW()-4,"0000"))</f>
        <v>0</v>
      </c>
      <c r="R93" s="20">
        <f>IF(B93="","",IF(I93="","",ROUND(I93*(1-IF(K93="",0,K93))+IF(J93="",0,J93),2)))</f>
        <v>0</v>
      </c>
      <c r="S93" s="45">
        <f>IF(B93="","",IF(OR(R93="",G93="",G93=0),"",ROUND(R93/G93,4)))</f>
        <v>0</v>
      </c>
      <c r="T93" s="13">
        <f>IF(B93="","",IFERROR(INDEX(UnitBases,MATCH(H93,UnitNames,0)),""))</f>
        <v>0</v>
      </c>
      <c r="U93" s="41">
        <f>IF(B93="","",IFERROR(INDEX(UnitFactors,MATCH(H93,UnitNames,0)),""))</f>
        <v>0</v>
      </c>
      <c r="V93" s="45">
        <f>IF(B93="","",IF(OR(S93="",U93="",U93=0),"",ROUND(S93/U93,4)))</f>
        <v>0</v>
      </c>
      <c r="W93" s="33">
        <f>IF(B93="","",IF(L93="",DefaultWaste,L93))</f>
        <v>0</v>
      </c>
      <c r="X93" s="45">
        <f>IF(B93="","",IF(S93="","",ROUND(S93*(1+W93),4)))</f>
        <v>0</v>
      </c>
      <c r="Y93" s="20">
        <f>IF(B93="","",IF(OR(M93="",S93=""),"",ROUND(M93*S93,2)))</f>
        <v>0</v>
      </c>
      <c r="Z93" s="32">
        <f>IF(B93="","",COUNTIFS('Material Usage'!$C$5:$C$904,A93))</f>
        <v>0</v>
      </c>
      <c r="AA93" s="36">
        <f>IF(B93="","",SUMIFS('Material Usage'!$K$5:$K$904,'Material Usage'!$C$5:$C$904,A93))</f>
        <v>0</v>
      </c>
      <c r="AB93" s="20">
        <f>IF(B93="","",ROUND(SUMIFS('Material Usage'!$M$5:$M$904,'Material Usage'!$C$5:$C$904,A93),2))</f>
        <v>0</v>
      </c>
      <c r="AC93" s="32">
        <f>IF(B93="","",IF(OR(M93="",AA93="",AA93&lt;=0),"",ROUNDDOWN(M93/AA93,0)))</f>
        <v>0</v>
      </c>
      <c r="AD93" s="33">
        <f>IF(B93="","",IF(OR(O93="",O93=0,I93=""),"",(I93-O93)/O93))</f>
        <v>0</v>
      </c>
      <c r="AE93" s="43">
        <f>IF(B93="","",IF(M93="","Not tracked",IF(M93&lt;=0,"Out of stock",IF(AND(N93&lt;&gt;"",M93&lt;=N93),"Low stock","In stock"))))</f>
        <v>0</v>
      </c>
      <c r="AF93" s="32">
        <f>IF(B93="","",COUNTIFS($AB$5:$AB$254,"&gt;"&amp;AB93)+COUNTIFS($AB$5:AB93,AB93))</f>
        <v>0</v>
      </c>
      <c r="AG93" s="43">
        <f>IF(B93="","",IF(I93="","Add - no price yet",IF(OR(G93="",G93=0),"Add - how much is in a pack?",IF(AE93="Out of stock","Order - none left",IF(AE93="Low stock","Order - running low",IF(AND(AD93&lt;&gt;"",AD93&gt;0.075),"Check - price jumped, re-price the products",IF(AND(P93&lt;&gt;"",TodayDate-P93&gt;365),"Check - price is over a year old","OK")))))))</f>
        <v>0</v>
      </c>
    </row>
    <row r="94" spans="1:33">
      <c r="A94" s="38">
        <f>IF(B94="","",MaterialPrefix&amp;TEXT(ROW()-4,"0000"))</f>
        <v>0</v>
      </c>
      <c r="R94" s="20">
        <f>IF(B94="","",IF(I94="","",ROUND(I94*(1-IF(K94="",0,K94))+IF(J94="",0,J94),2)))</f>
        <v>0</v>
      </c>
      <c r="S94" s="45">
        <f>IF(B94="","",IF(OR(R94="",G94="",G94=0),"",ROUND(R94/G94,4)))</f>
        <v>0</v>
      </c>
      <c r="T94" s="13">
        <f>IF(B94="","",IFERROR(INDEX(UnitBases,MATCH(H94,UnitNames,0)),""))</f>
        <v>0</v>
      </c>
      <c r="U94" s="41">
        <f>IF(B94="","",IFERROR(INDEX(UnitFactors,MATCH(H94,UnitNames,0)),""))</f>
        <v>0</v>
      </c>
      <c r="V94" s="45">
        <f>IF(B94="","",IF(OR(S94="",U94="",U94=0),"",ROUND(S94/U94,4)))</f>
        <v>0</v>
      </c>
      <c r="W94" s="33">
        <f>IF(B94="","",IF(L94="",DefaultWaste,L94))</f>
        <v>0</v>
      </c>
      <c r="X94" s="45">
        <f>IF(B94="","",IF(S94="","",ROUND(S94*(1+W94),4)))</f>
        <v>0</v>
      </c>
      <c r="Y94" s="20">
        <f>IF(B94="","",IF(OR(M94="",S94=""),"",ROUND(M94*S94,2)))</f>
        <v>0</v>
      </c>
      <c r="Z94" s="32">
        <f>IF(B94="","",COUNTIFS('Material Usage'!$C$5:$C$904,A94))</f>
        <v>0</v>
      </c>
      <c r="AA94" s="36">
        <f>IF(B94="","",SUMIFS('Material Usage'!$K$5:$K$904,'Material Usage'!$C$5:$C$904,A94))</f>
        <v>0</v>
      </c>
      <c r="AB94" s="20">
        <f>IF(B94="","",ROUND(SUMIFS('Material Usage'!$M$5:$M$904,'Material Usage'!$C$5:$C$904,A94),2))</f>
        <v>0</v>
      </c>
      <c r="AC94" s="32">
        <f>IF(B94="","",IF(OR(M94="",AA94="",AA94&lt;=0),"",ROUNDDOWN(M94/AA94,0)))</f>
        <v>0</v>
      </c>
      <c r="AD94" s="33">
        <f>IF(B94="","",IF(OR(O94="",O94=0,I94=""),"",(I94-O94)/O94))</f>
        <v>0</v>
      </c>
      <c r="AE94" s="43">
        <f>IF(B94="","",IF(M94="","Not tracked",IF(M94&lt;=0,"Out of stock",IF(AND(N94&lt;&gt;"",M94&lt;=N94),"Low stock","In stock"))))</f>
        <v>0</v>
      </c>
      <c r="AF94" s="32">
        <f>IF(B94="","",COUNTIFS($AB$5:$AB$254,"&gt;"&amp;AB94)+COUNTIFS($AB$5:AB94,AB94))</f>
        <v>0</v>
      </c>
      <c r="AG94" s="43">
        <f>IF(B94="","",IF(I94="","Add - no price yet",IF(OR(G94="",G94=0),"Add - how much is in a pack?",IF(AE94="Out of stock","Order - none left",IF(AE94="Low stock","Order - running low",IF(AND(AD94&lt;&gt;"",AD94&gt;0.075),"Check - price jumped, re-price the products",IF(AND(P94&lt;&gt;"",TodayDate-P94&gt;365),"Check - price is over a year old","OK")))))))</f>
        <v>0</v>
      </c>
    </row>
    <row r="95" spans="1:33">
      <c r="A95" s="38">
        <f>IF(B95="","",MaterialPrefix&amp;TEXT(ROW()-4,"0000"))</f>
        <v>0</v>
      </c>
      <c r="R95" s="20">
        <f>IF(B95="","",IF(I95="","",ROUND(I95*(1-IF(K95="",0,K95))+IF(J95="",0,J95),2)))</f>
        <v>0</v>
      </c>
      <c r="S95" s="45">
        <f>IF(B95="","",IF(OR(R95="",G95="",G95=0),"",ROUND(R95/G95,4)))</f>
        <v>0</v>
      </c>
      <c r="T95" s="13">
        <f>IF(B95="","",IFERROR(INDEX(UnitBases,MATCH(H95,UnitNames,0)),""))</f>
        <v>0</v>
      </c>
      <c r="U95" s="41">
        <f>IF(B95="","",IFERROR(INDEX(UnitFactors,MATCH(H95,UnitNames,0)),""))</f>
        <v>0</v>
      </c>
      <c r="V95" s="45">
        <f>IF(B95="","",IF(OR(S95="",U95="",U95=0),"",ROUND(S95/U95,4)))</f>
        <v>0</v>
      </c>
      <c r="W95" s="33">
        <f>IF(B95="","",IF(L95="",DefaultWaste,L95))</f>
        <v>0</v>
      </c>
      <c r="X95" s="45">
        <f>IF(B95="","",IF(S95="","",ROUND(S95*(1+W95),4)))</f>
        <v>0</v>
      </c>
      <c r="Y95" s="20">
        <f>IF(B95="","",IF(OR(M95="",S95=""),"",ROUND(M95*S95,2)))</f>
        <v>0</v>
      </c>
      <c r="Z95" s="32">
        <f>IF(B95="","",COUNTIFS('Material Usage'!$C$5:$C$904,A95))</f>
        <v>0</v>
      </c>
      <c r="AA95" s="36">
        <f>IF(B95="","",SUMIFS('Material Usage'!$K$5:$K$904,'Material Usage'!$C$5:$C$904,A95))</f>
        <v>0</v>
      </c>
      <c r="AB95" s="20">
        <f>IF(B95="","",ROUND(SUMIFS('Material Usage'!$M$5:$M$904,'Material Usage'!$C$5:$C$904,A95),2))</f>
        <v>0</v>
      </c>
      <c r="AC95" s="32">
        <f>IF(B95="","",IF(OR(M95="",AA95="",AA95&lt;=0),"",ROUNDDOWN(M95/AA95,0)))</f>
        <v>0</v>
      </c>
      <c r="AD95" s="33">
        <f>IF(B95="","",IF(OR(O95="",O95=0,I95=""),"",(I95-O95)/O95))</f>
        <v>0</v>
      </c>
      <c r="AE95" s="43">
        <f>IF(B95="","",IF(M95="","Not tracked",IF(M95&lt;=0,"Out of stock",IF(AND(N95&lt;&gt;"",M95&lt;=N95),"Low stock","In stock"))))</f>
        <v>0</v>
      </c>
      <c r="AF95" s="32">
        <f>IF(B95="","",COUNTIFS($AB$5:$AB$254,"&gt;"&amp;AB95)+COUNTIFS($AB$5:AB95,AB95))</f>
        <v>0</v>
      </c>
      <c r="AG95" s="43">
        <f>IF(B95="","",IF(I95="","Add - no price yet",IF(OR(G95="",G95=0),"Add - how much is in a pack?",IF(AE95="Out of stock","Order - none left",IF(AE95="Low stock","Order - running low",IF(AND(AD95&lt;&gt;"",AD95&gt;0.075),"Check - price jumped, re-price the products",IF(AND(P95&lt;&gt;"",TodayDate-P95&gt;365),"Check - price is over a year old","OK")))))))</f>
        <v>0</v>
      </c>
    </row>
    <row r="96" spans="1:33">
      <c r="A96" s="38">
        <f>IF(B96="","",MaterialPrefix&amp;TEXT(ROW()-4,"0000"))</f>
        <v>0</v>
      </c>
      <c r="R96" s="20">
        <f>IF(B96="","",IF(I96="","",ROUND(I96*(1-IF(K96="",0,K96))+IF(J96="",0,J96),2)))</f>
        <v>0</v>
      </c>
      <c r="S96" s="45">
        <f>IF(B96="","",IF(OR(R96="",G96="",G96=0),"",ROUND(R96/G96,4)))</f>
        <v>0</v>
      </c>
      <c r="T96" s="13">
        <f>IF(B96="","",IFERROR(INDEX(UnitBases,MATCH(H96,UnitNames,0)),""))</f>
        <v>0</v>
      </c>
      <c r="U96" s="41">
        <f>IF(B96="","",IFERROR(INDEX(UnitFactors,MATCH(H96,UnitNames,0)),""))</f>
        <v>0</v>
      </c>
      <c r="V96" s="45">
        <f>IF(B96="","",IF(OR(S96="",U96="",U96=0),"",ROUND(S96/U96,4)))</f>
        <v>0</v>
      </c>
      <c r="W96" s="33">
        <f>IF(B96="","",IF(L96="",DefaultWaste,L96))</f>
        <v>0</v>
      </c>
      <c r="X96" s="45">
        <f>IF(B96="","",IF(S96="","",ROUND(S96*(1+W96),4)))</f>
        <v>0</v>
      </c>
      <c r="Y96" s="20">
        <f>IF(B96="","",IF(OR(M96="",S96=""),"",ROUND(M96*S96,2)))</f>
        <v>0</v>
      </c>
      <c r="Z96" s="32">
        <f>IF(B96="","",COUNTIFS('Material Usage'!$C$5:$C$904,A96))</f>
        <v>0</v>
      </c>
      <c r="AA96" s="36">
        <f>IF(B96="","",SUMIFS('Material Usage'!$K$5:$K$904,'Material Usage'!$C$5:$C$904,A96))</f>
        <v>0</v>
      </c>
      <c r="AB96" s="20">
        <f>IF(B96="","",ROUND(SUMIFS('Material Usage'!$M$5:$M$904,'Material Usage'!$C$5:$C$904,A96),2))</f>
        <v>0</v>
      </c>
      <c r="AC96" s="32">
        <f>IF(B96="","",IF(OR(M96="",AA96="",AA96&lt;=0),"",ROUNDDOWN(M96/AA96,0)))</f>
        <v>0</v>
      </c>
      <c r="AD96" s="33">
        <f>IF(B96="","",IF(OR(O96="",O96=0,I96=""),"",(I96-O96)/O96))</f>
        <v>0</v>
      </c>
      <c r="AE96" s="43">
        <f>IF(B96="","",IF(M96="","Not tracked",IF(M96&lt;=0,"Out of stock",IF(AND(N96&lt;&gt;"",M96&lt;=N96),"Low stock","In stock"))))</f>
        <v>0</v>
      </c>
      <c r="AF96" s="32">
        <f>IF(B96="","",COUNTIFS($AB$5:$AB$254,"&gt;"&amp;AB96)+COUNTIFS($AB$5:AB96,AB96))</f>
        <v>0</v>
      </c>
      <c r="AG96" s="43">
        <f>IF(B96="","",IF(I96="","Add - no price yet",IF(OR(G96="",G96=0),"Add - how much is in a pack?",IF(AE96="Out of stock","Order - none left",IF(AE96="Low stock","Order - running low",IF(AND(AD96&lt;&gt;"",AD96&gt;0.075),"Check - price jumped, re-price the products",IF(AND(P96&lt;&gt;"",TodayDate-P96&gt;365),"Check - price is over a year old","OK")))))))</f>
        <v>0</v>
      </c>
    </row>
    <row r="97" spans="1:33">
      <c r="A97" s="38">
        <f>IF(B97="","",MaterialPrefix&amp;TEXT(ROW()-4,"0000"))</f>
        <v>0</v>
      </c>
      <c r="R97" s="20">
        <f>IF(B97="","",IF(I97="","",ROUND(I97*(1-IF(K97="",0,K97))+IF(J97="",0,J97),2)))</f>
        <v>0</v>
      </c>
      <c r="S97" s="45">
        <f>IF(B97="","",IF(OR(R97="",G97="",G97=0),"",ROUND(R97/G97,4)))</f>
        <v>0</v>
      </c>
      <c r="T97" s="13">
        <f>IF(B97="","",IFERROR(INDEX(UnitBases,MATCH(H97,UnitNames,0)),""))</f>
        <v>0</v>
      </c>
      <c r="U97" s="41">
        <f>IF(B97="","",IFERROR(INDEX(UnitFactors,MATCH(H97,UnitNames,0)),""))</f>
        <v>0</v>
      </c>
      <c r="V97" s="45">
        <f>IF(B97="","",IF(OR(S97="",U97="",U97=0),"",ROUND(S97/U97,4)))</f>
        <v>0</v>
      </c>
      <c r="W97" s="33">
        <f>IF(B97="","",IF(L97="",DefaultWaste,L97))</f>
        <v>0</v>
      </c>
      <c r="X97" s="45">
        <f>IF(B97="","",IF(S97="","",ROUND(S97*(1+W97),4)))</f>
        <v>0</v>
      </c>
      <c r="Y97" s="20">
        <f>IF(B97="","",IF(OR(M97="",S97=""),"",ROUND(M97*S97,2)))</f>
        <v>0</v>
      </c>
      <c r="Z97" s="32">
        <f>IF(B97="","",COUNTIFS('Material Usage'!$C$5:$C$904,A97))</f>
        <v>0</v>
      </c>
      <c r="AA97" s="36">
        <f>IF(B97="","",SUMIFS('Material Usage'!$K$5:$K$904,'Material Usage'!$C$5:$C$904,A97))</f>
        <v>0</v>
      </c>
      <c r="AB97" s="20">
        <f>IF(B97="","",ROUND(SUMIFS('Material Usage'!$M$5:$M$904,'Material Usage'!$C$5:$C$904,A97),2))</f>
        <v>0</v>
      </c>
      <c r="AC97" s="32">
        <f>IF(B97="","",IF(OR(M97="",AA97="",AA97&lt;=0),"",ROUNDDOWN(M97/AA97,0)))</f>
        <v>0</v>
      </c>
      <c r="AD97" s="33">
        <f>IF(B97="","",IF(OR(O97="",O97=0,I97=""),"",(I97-O97)/O97))</f>
        <v>0</v>
      </c>
      <c r="AE97" s="43">
        <f>IF(B97="","",IF(M97="","Not tracked",IF(M97&lt;=0,"Out of stock",IF(AND(N97&lt;&gt;"",M97&lt;=N97),"Low stock","In stock"))))</f>
        <v>0</v>
      </c>
      <c r="AF97" s="32">
        <f>IF(B97="","",COUNTIFS($AB$5:$AB$254,"&gt;"&amp;AB97)+COUNTIFS($AB$5:AB97,AB97))</f>
        <v>0</v>
      </c>
      <c r="AG97" s="43">
        <f>IF(B97="","",IF(I97="","Add - no price yet",IF(OR(G97="",G97=0),"Add - how much is in a pack?",IF(AE97="Out of stock","Order - none left",IF(AE97="Low stock","Order - running low",IF(AND(AD97&lt;&gt;"",AD97&gt;0.075),"Check - price jumped, re-price the products",IF(AND(P97&lt;&gt;"",TodayDate-P97&gt;365),"Check - price is over a year old","OK")))))))</f>
        <v>0</v>
      </c>
    </row>
    <row r="98" spans="1:33">
      <c r="A98" s="38">
        <f>IF(B98="","",MaterialPrefix&amp;TEXT(ROW()-4,"0000"))</f>
        <v>0</v>
      </c>
      <c r="R98" s="20">
        <f>IF(B98="","",IF(I98="","",ROUND(I98*(1-IF(K98="",0,K98))+IF(J98="",0,J98),2)))</f>
        <v>0</v>
      </c>
      <c r="S98" s="45">
        <f>IF(B98="","",IF(OR(R98="",G98="",G98=0),"",ROUND(R98/G98,4)))</f>
        <v>0</v>
      </c>
      <c r="T98" s="13">
        <f>IF(B98="","",IFERROR(INDEX(UnitBases,MATCH(H98,UnitNames,0)),""))</f>
        <v>0</v>
      </c>
      <c r="U98" s="41">
        <f>IF(B98="","",IFERROR(INDEX(UnitFactors,MATCH(H98,UnitNames,0)),""))</f>
        <v>0</v>
      </c>
      <c r="V98" s="45">
        <f>IF(B98="","",IF(OR(S98="",U98="",U98=0),"",ROUND(S98/U98,4)))</f>
        <v>0</v>
      </c>
      <c r="W98" s="33">
        <f>IF(B98="","",IF(L98="",DefaultWaste,L98))</f>
        <v>0</v>
      </c>
      <c r="X98" s="45">
        <f>IF(B98="","",IF(S98="","",ROUND(S98*(1+W98),4)))</f>
        <v>0</v>
      </c>
      <c r="Y98" s="20">
        <f>IF(B98="","",IF(OR(M98="",S98=""),"",ROUND(M98*S98,2)))</f>
        <v>0</v>
      </c>
      <c r="Z98" s="32">
        <f>IF(B98="","",COUNTIFS('Material Usage'!$C$5:$C$904,A98))</f>
        <v>0</v>
      </c>
      <c r="AA98" s="36">
        <f>IF(B98="","",SUMIFS('Material Usage'!$K$5:$K$904,'Material Usage'!$C$5:$C$904,A98))</f>
        <v>0</v>
      </c>
      <c r="AB98" s="20">
        <f>IF(B98="","",ROUND(SUMIFS('Material Usage'!$M$5:$M$904,'Material Usage'!$C$5:$C$904,A98),2))</f>
        <v>0</v>
      </c>
      <c r="AC98" s="32">
        <f>IF(B98="","",IF(OR(M98="",AA98="",AA98&lt;=0),"",ROUNDDOWN(M98/AA98,0)))</f>
        <v>0</v>
      </c>
      <c r="AD98" s="33">
        <f>IF(B98="","",IF(OR(O98="",O98=0,I98=""),"",(I98-O98)/O98))</f>
        <v>0</v>
      </c>
      <c r="AE98" s="43">
        <f>IF(B98="","",IF(M98="","Not tracked",IF(M98&lt;=0,"Out of stock",IF(AND(N98&lt;&gt;"",M98&lt;=N98),"Low stock","In stock"))))</f>
        <v>0</v>
      </c>
      <c r="AF98" s="32">
        <f>IF(B98="","",COUNTIFS($AB$5:$AB$254,"&gt;"&amp;AB98)+COUNTIFS($AB$5:AB98,AB98))</f>
        <v>0</v>
      </c>
      <c r="AG98" s="43">
        <f>IF(B98="","",IF(I98="","Add - no price yet",IF(OR(G98="",G98=0),"Add - how much is in a pack?",IF(AE98="Out of stock","Order - none left",IF(AE98="Low stock","Order - running low",IF(AND(AD98&lt;&gt;"",AD98&gt;0.075),"Check - price jumped, re-price the products",IF(AND(P98&lt;&gt;"",TodayDate-P98&gt;365),"Check - price is over a year old","OK")))))))</f>
        <v>0</v>
      </c>
    </row>
    <row r="99" spans="1:33">
      <c r="A99" s="38">
        <f>IF(B99="","",MaterialPrefix&amp;TEXT(ROW()-4,"0000"))</f>
        <v>0</v>
      </c>
      <c r="R99" s="20">
        <f>IF(B99="","",IF(I99="","",ROUND(I99*(1-IF(K99="",0,K99))+IF(J99="",0,J99),2)))</f>
        <v>0</v>
      </c>
      <c r="S99" s="45">
        <f>IF(B99="","",IF(OR(R99="",G99="",G99=0),"",ROUND(R99/G99,4)))</f>
        <v>0</v>
      </c>
      <c r="T99" s="13">
        <f>IF(B99="","",IFERROR(INDEX(UnitBases,MATCH(H99,UnitNames,0)),""))</f>
        <v>0</v>
      </c>
      <c r="U99" s="41">
        <f>IF(B99="","",IFERROR(INDEX(UnitFactors,MATCH(H99,UnitNames,0)),""))</f>
        <v>0</v>
      </c>
      <c r="V99" s="45">
        <f>IF(B99="","",IF(OR(S99="",U99="",U99=0),"",ROUND(S99/U99,4)))</f>
        <v>0</v>
      </c>
      <c r="W99" s="33">
        <f>IF(B99="","",IF(L99="",DefaultWaste,L99))</f>
        <v>0</v>
      </c>
      <c r="X99" s="45">
        <f>IF(B99="","",IF(S99="","",ROUND(S99*(1+W99),4)))</f>
        <v>0</v>
      </c>
      <c r="Y99" s="20">
        <f>IF(B99="","",IF(OR(M99="",S99=""),"",ROUND(M99*S99,2)))</f>
        <v>0</v>
      </c>
      <c r="Z99" s="32">
        <f>IF(B99="","",COUNTIFS('Material Usage'!$C$5:$C$904,A99))</f>
        <v>0</v>
      </c>
      <c r="AA99" s="36">
        <f>IF(B99="","",SUMIFS('Material Usage'!$K$5:$K$904,'Material Usage'!$C$5:$C$904,A99))</f>
        <v>0</v>
      </c>
      <c r="AB99" s="20">
        <f>IF(B99="","",ROUND(SUMIFS('Material Usage'!$M$5:$M$904,'Material Usage'!$C$5:$C$904,A99),2))</f>
        <v>0</v>
      </c>
      <c r="AC99" s="32">
        <f>IF(B99="","",IF(OR(M99="",AA99="",AA99&lt;=0),"",ROUNDDOWN(M99/AA99,0)))</f>
        <v>0</v>
      </c>
      <c r="AD99" s="33">
        <f>IF(B99="","",IF(OR(O99="",O99=0,I99=""),"",(I99-O99)/O99))</f>
        <v>0</v>
      </c>
      <c r="AE99" s="43">
        <f>IF(B99="","",IF(M99="","Not tracked",IF(M99&lt;=0,"Out of stock",IF(AND(N99&lt;&gt;"",M99&lt;=N99),"Low stock","In stock"))))</f>
        <v>0</v>
      </c>
      <c r="AF99" s="32">
        <f>IF(B99="","",COUNTIFS($AB$5:$AB$254,"&gt;"&amp;AB99)+COUNTIFS($AB$5:AB99,AB99))</f>
        <v>0</v>
      </c>
      <c r="AG99" s="43">
        <f>IF(B99="","",IF(I99="","Add - no price yet",IF(OR(G99="",G99=0),"Add - how much is in a pack?",IF(AE99="Out of stock","Order - none left",IF(AE99="Low stock","Order - running low",IF(AND(AD99&lt;&gt;"",AD99&gt;0.075),"Check - price jumped, re-price the products",IF(AND(P99&lt;&gt;"",TodayDate-P99&gt;365),"Check - price is over a year old","OK")))))))</f>
        <v>0</v>
      </c>
    </row>
    <row r="100" spans="1:33">
      <c r="A100" s="38">
        <f>IF(B100="","",MaterialPrefix&amp;TEXT(ROW()-4,"0000"))</f>
        <v>0</v>
      </c>
      <c r="R100" s="20">
        <f>IF(B100="","",IF(I100="","",ROUND(I100*(1-IF(K100="",0,K100))+IF(J100="",0,J100),2)))</f>
        <v>0</v>
      </c>
      <c r="S100" s="45">
        <f>IF(B100="","",IF(OR(R100="",G100="",G100=0),"",ROUND(R100/G100,4)))</f>
        <v>0</v>
      </c>
      <c r="T100" s="13">
        <f>IF(B100="","",IFERROR(INDEX(UnitBases,MATCH(H100,UnitNames,0)),""))</f>
        <v>0</v>
      </c>
      <c r="U100" s="41">
        <f>IF(B100="","",IFERROR(INDEX(UnitFactors,MATCH(H100,UnitNames,0)),""))</f>
        <v>0</v>
      </c>
      <c r="V100" s="45">
        <f>IF(B100="","",IF(OR(S100="",U100="",U100=0),"",ROUND(S100/U100,4)))</f>
        <v>0</v>
      </c>
      <c r="W100" s="33">
        <f>IF(B100="","",IF(L100="",DefaultWaste,L100))</f>
        <v>0</v>
      </c>
      <c r="X100" s="45">
        <f>IF(B100="","",IF(S100="","",ROUND(S100*(1+W100),4)))</f>
        <v>0</v>
      </c>
      <c r="Y100" s="20">
        <f>IF(B100="","",IF(OR(M100="",S100=""),"",ROUND(M100*S100,2)))</f>
        <v>0</v>
      </c>
      <c r="Z100" s="32">
        <f>IF(B100="","",COUNTIFS('Material Usage'!$C$5:$C$904,A100))</f>
        <v>0</v>
      </c>
      <c r="AA100" s="36">
        <f>IF(B100="","",SUMIFS('Material Usage'!$K$5:$K$904,'Material Usage'!$C$5:$C$904,A100))</f>
        <v>0</v>
      </c>
      <c r="AB100" s="20">
        <f>IF(B100="","",ROUND(SUMIFS('Material Usage'!$M$5:$M$904,'Material Usage'!$C$5:$C$904,A100),2))</f>
        <v>0</v>
      </c>
      <c r="AC100" s="32">
        <f>IF(B100="","",IF(OR(M100="",AA100="",AA100&lt;=0),"",ROUNDDOWN(M100/AA100,0)))</f>
        <v>0</v>
      </c>
      <c r="AD100" s="33">
        <f>IF(B100="","",IF(OR(O100="",O100=0,I100=""),"",(I100-O100)/O100))</f>
        <v>0</v>
      </c>
      <c r="AE100" s="43">
        <f>IF(B100="","",IF(M100="","Not tracked",IF(M100&lt;=0,"Out of stock",IF(AND(N100&lt;&gt;"",M100&lt;=N100),"Low stock","In stock"))))</f>
        <v>0</v>
      </c>
      <c r="AF100" s="32">
        <f>IF(B100="","",COUNTIFS($AB$5:$AB$254,"&gt;"&amp;AB100)+COUNTIFS($AB$5:AB100,AB100))</f>
        <v>0</v>
      </c>
      <c r="AG100" s="43">
        <f>IF(B100="","",IF(I100="","Add - no price yet",IF(OR(G100="",G100=0),"Add - how much is in a pack?",IF(AE100="Out of stock","Order - none left",IF(AE100="Low stock","Order - running low",IF(AND(AD100&lt;&gt;"",AD100&gt;0.075),"Check - price jumped, re-price the products",IF(AND(P100&lt;&gt;"",TodayDate-P100&gt;365),"Check - price is over a year old","OK")))))))</f>
        <v>0</v>
      </c>
    </row>
    <row r="101" spans="1:33">
      <c r="A101" s="38">
        <f>IF(B101="","",MaterialPrefix&amp;TEXT(ROW()-4,"0000"))</f>
        <v>0</v>
      </c>
      <c r="R101" s="20">
        <f>IF(B101="","",IF(I101="","",ROUND(I101*(1-IF(K101="",0,K101))+IF(J101="",0,J101),2)))</f>
        <v>0</v>
      </c>
      <c r="S101" s="45">
        <f>IF(B101="","",IF(OR(R101="",G101="",G101=0),"",ROUND(R101/G101,4)))</f>
        <v>0</v>
      </c>
      <c r="T101" s="13">
        <f>IF(B101="","",IFERROR(INDEX(UnitBases,MATCH(H101,UnitNames,0)),""))</f>
        <v>0</v>
      </c>
      <c r="U101" s="41">
        <f>IF(B101="","",IFERROR(INDEX(UnitFactors,MATCH(H101,UnitNames,0)),""))</f>
        <v>0</v>
      </c>
      <c r="V101" s="45">
        <f>IF(B101="","",IF(OR(S101="",U101="",U101=0),"",ROUND(S101/U101,4)))</f>
        <v>0</v>
      </c>
      <c r="W101" s="33">
        <f>IF(B101="","",IF(L101="",DefaultWaste,L101))</f>
        <v>0</v>
      </c>
      <c r="X101" s="45">
        <f>IF(B101="","",IF(S101="","",ROUND(S101*(1+W101),4)))</f>
        <v>0</v>
      </c>
      <c r="Y101" s="20">
        <f>IF(B101="","",IF(OR(M101="",S101=""),"",ROUND(M101*S101,2)))</f>
        <v>0</v>
      </c>
      <c r="Z101" s="32">
        <f>IF(B101="","",COUNTIFS('Material Usage'!$C$5:$C$904,A101))</f>
        <v>0</v>
      </c>
      <c r="AA101" s="36">
        <f>IF(B101="","",SUMIFS('Material Usage'!$K$5:$K$904,'Material Usage'!$C$5:$C$904,A101))</f>
        <v>0</v>
      </c>
      <c r="AB101" s="20">
        <f>IF(B101="","",ROUND(SUMIFS('Material Usage'!$M$5:$M$904,'Material Usage'!$C$5:$C$904,A101),2))</f>
        <v>0</v>
      </c>
      <c r="AC101" s="32">
        <f>IF(B101="","",IF(OR(M101="",AA101="",AA101&lt;=0),"",ROUNDDOWN(M101/AA101,0)))</f>
        <v>0</v>
      </c>
      <c r="AD101" s="33">
        <f>IF(B101="","",IF(OR(O101="",O101=0,I101=""),"",(I101-O101)/O101))</f>
        <v>0</v>
      </c>
      <c r="AE101" s="43">
        <f>IF(B101="","",IF(M101="","Not tracked",IF(M101&lt;=0,"Out of stock",IF(AND(N101&lt;&gt;"",M101&lt;=N101),"Low stock","In stock"))))</f>
        <v>0</v>
      </c>
      <c r="AF101" s="32">
        <f>IF(B101="","",COUNTIFS($AB$5:$AB$254,"&gt;"&amp;AB101)+COUNTIFS($AB$5:AB101,AB101))</f>
        <v>0</v>
      </c>
      <c r="AG101" s="43">
        <f>IF(B101="","",IF(I101="","Add - no price yet",IF(OR(G101="",G101=0),"Add - how much is in a pack?",IF(AE101="Out of stock","Order - none left",IF(AE101="Low stock","Order - running low",IF(AND(AD101&lt;&gt;"",AD101&gt;0.075),"Check - price jumped, re-price the products",IF(AND(P101&lt;&gt;"",TodayDate-P101&gt;365),"Check - price is over a year old","OK")))))))</f>
        <v>0</v>
      </c>
    </row>
    <row r="102" spans="1:33">
      <c r="A102" s="38">
        <f>IF(B102="","",MaterialPrefix&amp;TEXT(ROW()-4,"0000"))</f>
        <v>0</v>
      </c>
      <c r="R102" s="20">
        <f>IF(B102="","",IF(I102="","",ROUND(I102*(1-IF(K102="",0,K102))+IF(J102="",0,J102),2)))</f>
        <v>0</v>
      </c>
      <c r="S102" s="45">
        <f>IF(B102="","",IF(OR(R102="",G102="",G102=0),"",ROUND(R102/G102,4)))</f>
        <v>0</v>
      </c>
      <c r="T102" s="13">
        <f>IF(B102="","",IFERROR(INDEX(UnitBases,MATCH(H102,UnitNames,0)),""))</f>
        <v>0</v>
      </c>
      <c r="U102" s="41">
        <f>IF(B102="","",IFERROR(INDEX(UnitFactors,MATCH(H102,UnitNames,0)),""))</f>
        <v>0</v>
      </c>
      <c r="V102" s="45">
        <f>IF(B102="","",IF(OR(S102="",U102="",U102=0),"",ROUND(S102/U102,4)))</f>
        <v>0</v>
      </c>
      <c r="W102" s="33">
        <f>IF(B102="","",IF(L102="",DefaultWaste,L102))</f>
        <v>0</v>
      </c>
      <c r="X102" s="45">
        <f>IF(B102="","",IF(S102="","",ROUND(S102*(1+W102),4)))</f>
        <v>0</v>
      </c>
      <c r="Y102" s="20">
        <f>IF(B102="","",IF(OR(M102="",S102=""),"",ROUND(M102*S102,2)))</f>
        <v>0</v>
      </c>
      <c r="Z102" s="32">
        <f>IF(B102="","",COUNTIFS('Material Usage'!$C$5:$C$904,A102))</f>
        <v>0</v>
      </c>
      <c r="AA102" s="36">
        <f>IF(B102="","",SUMIFS('Material Usage'!$K$5:$K$904,'Material Usage'!$C$5:$C$904,A102))</f>
        <v>0</v>
      </c>
      <c r="AB102" s="20">
        <f>IF(B102="","",ROUND(SUMIFS('Material Usage'!$M$5:$M$904,'Material Usage'!$C$5:$C$904,A102),2))</f>
        <v>0</v>
      </c>
      <c r="AC102" s="32">
        <f>IF(B102="","",IF(OR(M102="",AA102="",AA102&lt;=0),"",ROUNDDOWN(M102/AA102,0)))</f>
        <v>0</v>
      </c>
      <c r="AD102" s="33">
        <f>IF(B102="","",IF(OR(O102="",O102=0,I102=""),"",(I102-O102)/O102))</f>
        <v>0</v>
      </c>
      <c r="AE102" s="43">
        <f>IF(B102="","",IF(M102="","Not tracked",IF(M102&lt;=0,"Out of stock",IF(AND(N102&lt;&gt;"",M102&lt;=N102),"Low stock","In stock"))))</f>
        <v>0</v>
      </c>
      <c r="AF102" s="32">
        <f>IF(B102="","",COUNTIFS($AB$5:$AB$254,"&gt;"&amp;AB102)+COUNTIFS($AB$5:AB102,AB102))</f>
        <v>0</v>
      </c>
      <c r="AG102" s="43">
        <f>IF(B102="","",IF(I102="","Add - no price yet",IF(OR(G102="",G102=0),"Add - how much is in a pack?",IF(AE102="Out of stock","Order - none left",IF(AE102="Low stock","Order - running low",IF(AND(AD102&lt;&gt;"",AD102&gt;0.075),"Check - price jumped, re-price the products",IF(AND(P102&lt;&gt;"",TodayDate-P102&gt;365),"Check - price is over a year old","OK")))))))</f>
        <v>0</v>
      </c>
    </row>
    <row r="103" spans="1:33">
      <c r="A103" s="38">
        <f>IF(B103="","",MaterialPrefix&amp;TEXT(ROW()-4,"0000"))</f>
        <v>0</v>
      </c>
      <c r="R103" s="20">
        <f>IF(B103="","",IF(I103="","",ROUND(I103*(1-IF(K103="",0,K103))+IF(J103="",0,J103),2)))</f>
        <v>0</v>
      </c>
      <c r="S103" s="45">
        <f>IF(B103="","",IF(OR(R103="",G103="",G103=0),"",ROUND(R103/G103,4)))</f>
        <v>0</v>
      </c>
      <c r="T103" s="13">
        <f>IF(B103="","",IFERROR(INDEX(UnitBases,MATCH(H103,UnitNames,0)),""))</f>
        <v>0</v>
      </c>
      <c r="U103" s="41">
        <f>IF(B103="","",IFERROR(INDEX(UnitFactors,MATCH(H103,UnitNames,0)),""))</f>
        <v>0</v>
      </c>
      <c r="V103" s="45">
        <f>IF(B103="","",IF(OR(S103="",U103="",U103=0),"",ROUND(S103/U103,4)))</f>
        <v>0</v>
      </c>
      <c r="W103" s="33">
        <f>IF(B103="","",IF(L103="",DefaultWaste,L103))</f>
        <v>0</v>
      </c>
      <c r="X103" s="45">
        <f>IF(B103="","",IF(S103="","",ROUND(S103*(1+W103),4)))</f>
        <v>0</v>
      </c>
      <c r="Y103" s="20">
        <f>IF(B103="","",IF(OR(M103="",S103=""),"",ROUND(M103*S103,2)))</f>
        <v>0</v>
      </c>
      <c r="Z103" s="32">
        <f>IF(B103="","",COUNTIFS('Material Usage'!$C$5:$C$904,A103))</f>
        <v>0</v>
      </c>
      <c r="AA103" s="36">
        <f>IF(B103="","",SUMIFS('Material Usage'!$K$5:$K$904,'Material Usage'!$C$5:$C$904,A103))</f>
        <v>0</v>
      </c>
      <c r="AB103" s="20">
        <f>IF(B103="","",ROUND(SUMIFS('Material Usage'!$M$5:$M$904,'Material Usage'!$C$5:$C$904,A103),2))</f>
        <v>0</v>
      </c>
      <c r="AC103" s="32">
        <f>IF(B103="","",IF(OR(M103="",AA103="",AA103&lt;=0),"",ROUNDDOWN(M103/AA103,0)))</f>
        <v>0</v>
      </c>
      <c r="AD103" s="33">
        <f>IF(B103="","",IF(OR(O103="",O103=0,I103=""),"",(I103-O103)/O103))</f>
        <v>0</v>
      </c>
      <c r="AE103" s="43">
        <f>IF(B103="","",IF(M103="","Not tracked",IF(M103&lt;=0,"Out of stock",IF(AND(N103&lt;&gt;"",M103&lt;=N103),"Low stock","In stock"))))</f>
        <v>0</v>
      </c>
      <c r="AF103" s="32">
        <f>IF(B103="","",COUNTIFS($AB$5:$AB$254,"&gt;"&amp;AB103)+COUNTIFS($AB$5:AB103,AB103))</f>
        <v>0</v>
      </c>
      <c r="AG103" s="43">
        <f>IF(B103="","",IF(I103="","Add - no price yet",IF(OR(G103="",G103=0),"Add - how much is in a pack?",IF(AE103="Out of stock","Order - none left",IF(AE103="Low stock","Order - running low",IF(AND(AD103&lt;&gt;"",AD103&gt;0.075),"Check - price jumped, re-price the products",IF(AND(P103&lt;&gt;"",TodayDate-P103&gt;365),"Check - price is over a year old","OK")))))))</f>
        <v>0</v>
      </c>
    </row>
    <row r="104" spans="1:33">
      <c r="A104" s="38">
        <f>IF(B104="","",MaterialPrefix&amp;TEXT(ROW()-4,"0000"))</f>
        <v>0</v>
      </c>
      <c r="R104" s="20">
        <f>IF(B104="","",IF(I104="","",ROUND(I104*(1-IF(K104="",0,K104))+IF(J104="",0,J104),2)))</f>
        <v>0</v>
      </c>
      <c r="S104" s="45">
        <f>IF(B104="","",IF(OR(R104="",G104="",G104=0),"",ROUND(R104/G104,4)))</f>
        <v>0</v>
      </c>
      <c r="T104" s="13">
        <f>IF(B104="","",IFERROR(INDEX(UnitBases,MATCH(H104,UnitNames,0)),""))</f>
        <v>0</v>
      </c>
      <c r="U104" s="41">
        <f>IF(B104="","",IFERROR(INDEX(UnitFactors,MATCH(H104,UnitNames,0)),""))</f>
        <v>0</v>
      </c>
      <c r="V104" s="45">
        <f>IF(B104="","",IF(OR(S104="",U104="",U104=0),"",ROUND(S104/U104,4)))</f>
        <v>0</v>
      </c>
      <c r="W104" s="33">
        <f>IF(B104="","",IF(L104="",DefaultWaste,L104))</f>
        <v>0</v>
      </c>
      <c r="X104" s="45">
        <f>IF(B104="","",IF(S104="","",ROUND(S104*(1+W104),4)))</f>
        <v>0</v>
      </c>
      <c r="Y104" s="20">
        <f>IF(B104="","",IF(OR(M104="",S104=""),"",ROUND(M104*S104,2)))</f>
        <v>0</v>
      </c>
      <c r="Z104" s="32">
        <f>IF(B104="","",COUNTIFS('Material Usage'!$C$5:$C$904,A104))</f>
        <v>0</v>
      </c>
      <c r="AA104" s="36">
        <f>IF(B104="","",SUMIFS('Material Usage'!$K$5:$K$904,'Material Usage'!$C$5:$C$904,A104))</f>
        <v>0</v>
      </c>
      <c r="AB104" s="20">
        <f>IF(B104="","",ROUND(SUMIFS('Material Usage'!$M$5:$M$904,'Material Usage'!$C$5:$C$904,A104),2))</f>
        <v>0</v>
      </c>
      <c r="AC104" s="32">
        <f>IF(B104="","",IF(OR(M104="",AA104="",AA104&lt;=0),"",ROUNDDOWN(M104/AA104,0)))</f>
        <v>0</v>
      </c>
      <c r="AD104" s="33">
        <f>IF(B104="","",IF(OR(O104="",O104=0,I104=""),"",(I104-O104)/O104))</f>
        <v>0</v>
      </c>
      <c r="AE104" s="43">
        <f>IF(B104="","",IF(M104="","Not tracked",IF(M104&lt;=0,"Out of stock",IF(AND(N104&lt;&gt;"",M104&lt;=N104),"Low stock","In stock"))))</f>
        <v>0</v>
      </c>
      <c r="AF104" s="32">
        <f>IF(B104="","",COUNTIFS($AB$5:$AB$254,"&gt;"&amp;AB104)+COUNTIFS($AB$5:AB104,AB104))</f>
        <v>0</v>
      </c>
      <c r="AG104" s="43">
        <f>IF(B104="","",IF(I104="","Add - no price yet",IF(OR(G104="",G104=0),"Add - how much is in a pack?",IF(AE104="Out of stock","Order - none left",IF(AE104="Low stock","Order - running low",IF(AND(AD104&lt;&gt;"",AD104&gt;0.075),"Check - price jumped, re-price the products",IF(AND(P104&lt;&gt;"",TodayDate-P104&gt;365),"Check - price is over a year old","OK")))))))</f>
        <v>0</v>
      </c>
    </row>
    <row r="105" spans="1:33">
      <c r="A105" s="38">
        <f>IF(B105="","",MaterialPrefix&amp;TEXT(ROW()-4,"0000"))</f>
        <v>0</v>
      </c>
      <c r="R105" s="20">
        <f>IF(B105="","",IF(I105="","",ROUND(I105*(1-IF(K105="",0,K105))+IF(J105="",0,J105),2)))</f>
        <v>0</v>
      </c>
      <c r="S105" s="45">
        <f>IF(B105="","",IF(OR(R105="",G105="",G105=0),"",ROUND(R105/G105,4)))</f>
        <v>0</v>
      </c>
      <c r="T105" s="13">
        <f>IF(B105="","",IFERROR(INDEX(UnitBases,MATCH(H105,UnitNames,0)),""))</f>
        <v>0</v>
      </c>
      <c r="U105" s="41">
        <f>IF(B105="","",IFERROR(INDEX(UnitFactors,MATCH(H105,UnitNames,0)),""))</f>
        <v>0</v>
      </c>
      <c r="V105" s="45">
        <f>IF(B105="","",IF(OR(S105="",U105="",U105=0),"",ROUND(S105/U105,4)))</f>
        <v>0</v>
      </c>
      <c r="W105" s="33">
        <f>IF(B105="","",IF(L105="",DefaultWaste,L105))</f>
        <v>0</v>
      </c>
      <c r="X105" s="45">
        <f>IF(B105="","",IF(S105="","",ROUND(S105*(1+W105),4)))</f>
        <v>0</v>
      </c>
      <c r="Y105" s="20">
        <f>IF(B105="","",IF(OR(M105="",S105=""),"",ROUND(M105*S105,2)))</f>
        <v>0</v>
      </c>
      <c r="Z105" s="32">
        <f>IF(B105="","",COUNTIFS('Material Usage'!$C$5:$C$904,A105))</f>
        <v>0</v>
      </c>
      <c r="AA105" s="36">
        <f>IF(B105="","",SUMIFS('Material Usage'!$K$5:$K$904,'Material Usage'!$C$5:$C$904,A105))</f>
        <v>0</v>
      </c>
      <c r="AB105" s="20">
        <f>IF(B105="","",ROUND(SUMIFS('Material Usage'!$M$5:$M$904,'Material Usage'!$C$5:$C$904,A105),2))</f>
        <v>0</v>
      </c>
      <c r="AC105" s="32">
        <f>IF(B105="","",IF(OR(M105="",AA105="",AA105&lt;=0),"",ROUNDDOWN(M105/AA105,0)))</f>
        <v>0</v>
      </c>
      <c r="AD105" s="33">
        <f>IF(B105="","",IF(OR(O105="",O105=0,I105=""),"",(I105-O105)/O105))</f>
        <v>0</v>
      </c>
      <c r="AE105" s="43">
        <f>IF(B105="","",IF(M105="","Not tracked",IF(M105&lt;=0,"Out of stock",IF(AND(N105&lt;&gt;"",M105&lt;=N105),"Low stock","In stock"))))</f>
        <v>0</v>
      </c>
      <c r="AF105" s="32">
        <f>IF(B105="","",COUNTIFS($AB$5:$AB$254,"&gt;"&amp;AB105)+COUNTIFS($AB$5:AB105,AB105))</f>
        <v>0</v>
      </c>
      <c r="AG105" s="43">
        <f>IF(B105="","",IF(I105="","Add - no price yet",IF(OR(G105="",G105=0),"Add - how much is in a pack?",IF(AE105="Out of stock","Order - none left",IF(AE105="Low stock","Order - running low",IF(AND(AD105&lt;&gt;"",AD105&gt;0.075),"Check - price jumped, re-price the products",IF(AND(P105&lt;&gt;"",TodayDate-P105&gt;365),"Check - price is over a year old","OK")))))))</f>
        <v>0</v>
      </c>
    </row>
    <row r="106" spans="1:33">
      <c r="A106" s="38">
        <f>IF(B106="","",MaterialPrefix&amp;TEXT(ROW()-4,"0000"))</f>
        <v>0</v>
      </c>
      <c r="R106" s="20">
        <f>IF(B106="","",IF(I106="","",ROUND(I106*(1-IF(K106="",0,K106))+IF(J106="",0,J106),2)))</f>
        <v>0</v>
      </c>
      <c r="S106" s="45">
        <f>IF(B106="","",IF(OR(R106="",G106="",G106=0),"",ROUND(R106/G106,4)))</f>
        <v>0</v>
      </c>
      <c r="T106" s="13">
        <f>IF(B106="","",IFERROR(INDEX(UnitBases,MATCH(H106,UnitNames,0)),""))</f>
        <v>0</v>
      </c>
      <c r="U106" s="41">
        <f>IF(B106="","",IFERROR(INDEX(UnitFactors,MATCH(H106,UnitNames,0)),""))</f>
        <v>0</v>
      </c>
      <c r="V106" s="45">
        <f>IF(B106="","",IF(OR(S106="",U106="",U106=0),"",ROUND(S106/U106,4)))</f>
        <v>0</v>
      </c>
      <c r="W106" s="33">
        <f>IF(B106="","",IF(L106="",DefaultWaste,L106))</f>
        <v>0</v>
      </c>
      <c r="X106" s="45">
        <f>IF(B106="","",IF(S106="","",ROUND(S106*(1+W106),4)))</f>
        <v>0</v>
      </c>
      <c r="Y106" s="20">
        <f>IF(B106="","",IF(OR(M106="",S106=""),"",ROUND(M106*S106,2)))</f>
        <v>0</v>
      </c>
      <c r="Z106" s="32">
        <f>IF(B106="","",COUNTIFS('Material Usage'!$C$5:$C$904,A106))</f>
        <v>0</v>
      </c>
      <c r="AA106" s="36">
        <f>IF(B106="","",SUMIFS('Material Usage'!$K$5:$K$904,'Material Usage'!$C$5:$C$904,A106))</f>
        <v>0</v>
      </c>
      <c r="AB106" s="20">
        <f>IF(B106="","",ROUND(SUMIFS('Material Usage'!$M$5:$M$904,'Material Usage'!$C$5:$C$904,A106),2))</f>
        <v>0</v>
      </c>
      <c r="AC106" s="32">
        <f>IF(B106="","",IF(OR(M106="",AA106="",AA106&lt;=0),"",ROUNDDOWN(M106/AA106,0)))</f>
        <v>0</v>
      </c>
      <c r="AD106" s="33">
        <f>IF(B106="","",IF(OR(O106="",O106=0,I106=""),"",(I106-O106)/O106))</f>
        <v>0</v>
      </c>
      <c r="AE106" s="43">
        <f>IF(B106="","",IF(M106="","Not tracked",IF(M106&lt;=0,"Out of stock",IF(AND(N106&lt;&gt;"",M106&lt;=N106),"Low stock","In stock"))))</f>
        <v>0</v>
      </c>
      <c r="AF106" s="32">
        <f>IF(B106="","",COUNTIFS($AB$5:$AB$254,"&gt;"&amp;AB106)+COUNTIFS($AB$5:AB106,AB106))</f>
        <v>0</v>
      </c>
      <c r="AG106" s="43">
        <f>IF(B106="","",IF(I106="","Add - no price yet",IF(OR(G106="",G106=0),"Add - how much is in a pack?",IF(AE106="Out of stock","Order - none left",IF(AE106="Low stock","Order - running low",IF(AND(AD106&lt;&gt;"",AD106&gt;0.075),"Check - price jumped, re-price the products",IF(AND(P106&lt;&gt;"",TodayDate-P106&gt;365),"Check - price is over a year old","OK")))))))</f>
        <v>0</v>
      </c>
    </row>
    <row r="107" spans="1:33">
      <c r="A107" s="38">
        <f>IF(B107="","",MaterialPrefix&amp;TEXT(ROW()-4,"0000"))</f>
        <v>0</v>
      </c>
      <c r="R107" s="20">
        <f>IF(B107="","",IF(I107="","",ROUND(I107*(1-IF(K107="",0,K107))+IF(J107="",0,J107),2)))</f>
        <v>0</v>
      </c>
      <c r="S107" s="45">
        <f>IF(B107="","",IF(OR(R107="",G107="",G107=0),"",ROUND(R107/G107,4)))</f>
        <v>0</v>
      </c>
      <c r="T107" s="13">
        <f>IF(B107="","",IFERROR(INDEX(UnitBases,MATCH(H107,UnitNames,0)),""))</f>
        <v>0</v>
      </c>
      <c r="U107" s="41">
        <f>IF(B107="","",IFERROR(INDEX(UnitFactors,MATCH(H107,UnitNames,0)),""))</f>
        <v>0</v>
      </c>
      <c r="V107" s="45">
        <f>IF(B107="","",IF(OR(S107="",U107="",U107=0),"",ROUND(S107/U107,4)))</f>
        <v>0</v>
      </c>
      <c r="W107" s="33">
        <f>IF(B107="","",IF(L107="",DefaultWaste,L107))</f>
        <v>0</v>
      </c>
      <c r="X107" s="45">
        <f>IF(B107="","",IF(S107="","",ROUND(S107*(1+W107),4)))</f>
        <v>0</v>
      </c>
      <c r="Y107" s="20">
        <f>IF(B107="","",IF(OR(M107="",S107=""),"",ROUND(M107*S107,2)))</f>
        <v>0</v>
      </c>
      <c r="Z107" s="32">
        <f>IF(B107="","",COUNTIFS('Material Usage'!$C$5:$C$904,A107))</f>
        <v>0</v>
      </c>
      <c r="AA107" s="36">
        <f>IF(B107="","",SUMIFS('Material Usage'!$K$5:$K$904,'Material Usage'!$C$5:$C$904,A107))</f>
        <v>0</v>
      </c>
      <c r="AB107" s="20">
        <f>IF(B107="","",ROUND(SUMIFS('Material Usage'!$M$5:$M$904,'Material Usage'!$C$5:$C$904,A107),2))</f>
        <v>0</v>
      </c>
      <c r="AC107" s="32">
        <f>IF(B107="","",IF(OR(M107="",AA107="",AA107&lt;=0),"",ROUNDDOWN(M107/AA107,0)))</f>
        <v>0</v>
      </c>
      <c r="AD107" s="33">
        <f>IF(B107="","",IF(OR(O107="",O107=0,I107=""),"",(I107-O107)/O107))</f>
        <v>0</v>
      </c>
      <c r="AE107" s="43">
        <f>IF(B107="","",IF(M107="","Not tracked",IF(M107&lt;=0,"Out of stock",IF(AND(N107&lt;&gt;"",M107&lt;=N107),"Low stock","In stock"))))</f>
        <v>0</v>
      </c>
      <c r="AF107" s="32">
        <f>IF(B107="","",COUNTIFS($AB$5:$AB$254,"&gt;"&amp;AB107)+COUNTIFS($AB$5:AB107,AB107))</f>
        <v>0</v>
      </c>
      <c r="AG107" s="43">
        <f>IF(B107="","",IF(I107="","Add - no price yet",IF(OR(G107="",G107=0),"Add - how much is in a pack?",IF(AE107="Out of stock","Order - none left",IF(AE107="Low stock","Order - running low",IF(AND(AD107&lt;&gt;"",AD107&gt;0.075),"Check - price jumped, re-price the products",IF(AND(P107&lt;&gt;"",TodayDate-P107&gt;365),"Check - price is over a year old","OK")))))))</f>
        <v>0</v>
      </c>
    </row>
    <row r="108" spans="1:33">
      <c r="A108" s="38">
        <f>IF(B108="","",MaterialPrefix&amp;TEXT(ROW()-4,"0000"))</f>
        <v>0</v>
      </c>
      <c r="R108" s="20">
        <f>IF(B108="","",IF(I108="","",ROUND(I108*(1-IF(K108="",0,K108))+IF(J108="",0,J108),2)))</f>
        <v>0</v>
      </c>
      <c r="S108" s="45">
        <f>IF(B108="","",IF(OR(R108="",G108="",G108=0),"",ROUND(R108/G108,4)))</f>
        <v>0</v>
      </c>
      <c r="T108" s="13">
        <f>IF(B108="","",IFERROR(INDEX(UnitBases,MATCH(H108,UnitNames,0)),""))</f>
        <v>0</v>
      </c>
      <c r="U108" s="41">
        <f>IF(B108="","",IFERROR(INDEX(UnitFactors,MATCH(H108,UnitNames,0)),""))</f>
        <v>0</v>
      </c>
      <c r="V108" s="45">
        <f>IF(B108="","",IF(OR(S108="",U108="",U108=0),"",ROUND(S108/U108,4)))</f>
        <v>0</v>
      </c>
      <c r="W108" s="33">
        <f>IF(B108="","",IF(L108="",DefaultWaste,L108))</f>
        <v>0</v>
      </c>
      <c r="X108" s="45">
        <f>IF(B108="","",IF(S108="","",ROUND(S108*(1+W108),4)))</f>
        <v>0</v>
      </c>
      <c r="Y108" s="20">
        <f>IF(B108="","",IF(OR(M108="",S108=""),"",ROUND(M108*S108,2)))</f>
        <v>0</v>
      </c>
      <c r="Z108" s="32">
        <f>IF(B108="","",COUNTIFS('Material Usage'!$C$5:$C$904,A108))</f>
        <v>0</v>
      </c>
      <c r="AA108" s="36">
        <f>IF(B108="","",SUMIFS('Material Usage'!$K$5:$K$904,'Material Usage'!$C$5:$C$904,A108))</f>
        <v>0</v>
      </c>
      <c r="AB108" s="20">
        <f>IF(B108="","",ROUND(SUMIFS('Material Usage'!$M$5:$M$904,'Material Usage'!$C$5:$C$904,A108),2))</f>
        <v>0</v>
      </c>
      <c r="AC108" s="32">
        <f>IF(B108="","",IF(OR(M108="",AA108="",AA108&lt;=0),"",ROUNDDOWN(M108/AA108,0)))</f>
        <v>0</v>
      </c>
      <c r="AD108" s="33">
        <f>IF(B108="","",IF(OR(O108="",O108=0,I108=""),"",(I108-O108)/O108))</f>
        <v>0</v>
      </c>
      <c r="AE108" s="43">
        <f>IF(B108="","",IF(M108="","Not tracked",IF(M108&lt;=0,"Out of stock",IF(AND(N108&lt;&gt;"",M108&lt;=N108),"Low stock","In stock"))))</f>
        <v>0</v>
      </c>
      <c r="AF108" s="32">
        <f>IF(B108="","",COUNTIFS($AB$5:$AB$254,"&gt;"&amp;AB108)+COUNTIFS($AB$5:AB108,AB108))</f>
        <v>0</v>
      </c>
      <c r="AG108" s="43">
        <f>IF(B108="","",IF(I108="","Add - no price yet",IF(OR(G108="",G108=0),"Add - how much is in a pack?",IF(AE108="Out of stock","Order - none left",IF(AE108="Low stock","Order - running low",IF(AND(AD108&lt;&gt;"",AD108&gt;0.075),"Check - price jumped, re-price the products",IF(AND(P108&lt;&gt;"",TodayDate-P108&gt;365),"Check - price is over a year old","OK")))))))</f>
        <v>0</v>
      </c>
    </row>
    <row r="109" spans="1:33">
      <c r="A109" s="38">
        <f>IF(B109="","",MaterialPrefix&amp;TEXT(ROW()-4,"0000"))</f>
        <v>0</v>
      </c>
      <c r="R109" s="20">
        <f>IF(B109="","",IF(I109="","",ROUND(I109*(1-IF(K109="",0,K109))+IF(J109="",0,J109),2)))</f>
        <v>0</v>
      </c>
      <c r="S109" s="45">
        <f>IF(B109="","",IF(OR(R109="",G109="",G109=0),"",ROUND(R109/G109,4)))</f>
        <v>0</v>
      </c>
      <c r="T109" s="13">
        <f>IF(B109="","",IFERROR(INDEX(UnitBases,MATCH(H109,UnitNames,0)),""))</f>
        <v>0</v>
      </c>
      <c r="U109" s="41">
        <f>IF(B109="","",IFERROR(INDEX(UnitFactors,MATCH(H109,UnitNames,0)),""))</f>
        <v>0</v>
      </c>
      <c r="V109" s="45">
        <f>IF(B109="","",IF(OR(S109="",U109="",U109=0),"",ROUND(S109/U109,4)))</f>
        <v>0</v>
      </c>
      <c r="W109" s="33">
        <f>IF(B109="","",IF(L109="",DefaultWaste,L109))</f>
        <v>0</v>
      </c>
      <c r="X109" s="45">
        <f>IF(B109="","",IF(S109="","",ROUND(S109*(1+W109),4)))</f>
        <v>0</v>
      </c>
      <c r="Y109" s="20">
        <f>IF(B109="","",IF(OR(M109="",S109=""),"",ROUND(M109*S109,2)))</f>
        <v>0</v>
      </c>
      <c r="Z109" s="32">
        <f>IF(B109="","",COUNTIFS('Material Usage'!$C$5:$C$904,A109))</f>
        <v>0</v>
      </c>
      <c r="AA109" s="36">
        <f>IF(B109="","",SUMIFS('Material Usage'!$K$5:$K$904,'Material Usage'!$C$5:$C$904,A109))</f>
        <v>0</v>
      </c>
      <c r="AB109" s="20">
        <f>IF(B109="","",ROUND(SUMIFS('Material Usage'!$M$5:$M$904,'Material Usage'!$C$5:$C$904,A109),2))</f>
        <v>0</v>
      </c>
      <c r="AC109" s="32">
        <f>IF(B109="","",IF(OR(M109="",AA109="",AA109&lt;=0),"",ROUNDDOWN(M109/AA109,0)))</f>
        <v>0</v>
      </c>
      <c r="AD109" s="33">
        <f>IF(B109="","",IF(OR(O109="",O109=0,I109=""),"",(I109-O109)/O109))</f>
        <v>0</v>
      </c>
      <c r="AE109" s="43">
        <f>IF(B109="","",IF(M109="","Not tracked",IF(M109&lt;=0,"Out of stock",IF(AND(N109&lt;&gt;"",M109&lt;=N109),"Low stock","In stock"))))</f>
        <v>0</v>
      </c>
      <c r="AF109" s="32">
        <f>IF(B109="","",COUNTIFS($AB$5:$AB$254,"&gt;"&amp;AB109)+COUNTIFS($AB$5:AB109,AB109))</f>
        <v>0</v>
      </c>
      <c r="AG109" s="43">
        <f>IF(B109="","",IF(I109="","Add - no price yet",IF(OR(G109="",G109=0),"Add - how much is in a pack?",IF(AE109="Out of stock","Order - none left",IF(AE109="Low stock","Order - running low",IF(AND(AD109&lt;&gt;"",AD109&gt;0.075),"Check - price jumped, re-price the products",IF(AND(P109&lt;&gt;"",TodayDate-P109&gt;365),"Check - price is over a year old","OK")))))))</f>
        <v>0</v>
      </c>
    </row>
    <row r="110" spans="1:33">
      <c r="A110" s="38">
        <f>IF(B110="","",MaterialPrefix&amp;TEXT(ROW()-4,"0000"))</f>
        <v>0</v>
      </c>
      <c r="R110" s="20">
        <f>IF(B110="","",IF(I110="","",ROUND(I110*(1-IF(K110="",0,K110))+IF(J110="",0,J110),2)))</f>
        <v>0</v>
      </c>
      <c r="S110" s="45">
        <f>IF(B110="","",IF(OR(R110="",G110="",G110=0),"",ROUND(R110/G110,4)))</f>
        <v>0</v>
      </c>
      <c r="T110" s="13">
        <f>IF(B110="","",IFERROR(INDEX(UnitBases,MATCH(H110,UnitNames,0)),""))</f>
        <v>0</v>
      </c>
      <c r="U110" s="41">
        <f>IF(B110="","",IFERROR(INDEX(UnitFactors,MATCH(H110,UnitNames,0)),""))</f>
        <v>0</v>
      </c>
      <c r="V110" s="45">
        <f>IF(B110="","",IF(OR(S110="",U110="",U110=0),"",ROUND(S110/U110,4)))</f>
        <v>0</v>
      </c>
      <c r="W110" s="33">
        <f>IF(B110="","",IF(L110="",DefaultWaste,L110))</f>
        <v>0</v>
      </c>
      <c r="X110" s="45">
        <f>IF(B110="","",IF(S110="","",ROUND(S110*(1+W110),4)))</f>
        <v>0</v>
      </c>
      <c r="Y110" s="20">
        <f>IF(B110="","",IF(OR(M110="",S110=""),"",ROUND(M110*S110,2)))</f>
        <v>0</v>
      </c>
      <c r="Z110" s="32">
        <f>IF(B110="","",COUNTIFS('Material Usage'!$C$5:$C$904,A110))</f>
        <v>0</v>
      </c>
      <c r="AA110" s="36">
        <f>IF(B110="","",SUMIFS('Material Usage'!$K$5:$K$904,'Material Usage'!$C$5:$C$904,A110))</f>
        <v>0</v>
      </c>
      <c r="AB110" s="20">
        <f>IF(B110="","",ROUND(SUMIFS('Material Usage'!$M$5:$M$904,'Material Usage'!$C$5:$C$904,A110),2))</f>
        <v>0</v>
      </c>
      <c r="AC110" s="32">
        <f>IF(B110="","",IF(OR(M110="",AA110="",AA110&lt;=0),"",ROUNDDOWN(M110/AA110,0)))</f>
        <v>0</v>
      </c>
      <c r="AD110" s="33">
        <f>IF(B110="","",IF(OR(O110="",O110=0,I110=""),"",(I110-O110)/O110))</f>
        <v>0</v>
      </c>
      <c r="AE110" s="43">
        <f>IF(B110="","",IF(M110="","Not tracked",IF(M110&lt;=0,"Out of stock",IF(AND(N110&lt;&gt;"",M110&lt;=N110),"Low stock","In stock"))))</f>
        <v>0</v>
      </c>
      <c r="AF110" s="32">
        <f>IF(B110="","",COUNTIFS($AB$5:$AB$254,"&gt;"&amp;AB110)+COUNTIFS($AB$5:AB110,AB110))</f>
        <v>0</v>
      </c>
      <c r="AG110" s="43">
        <f>IF(B110="","",IF(I110="","Add - no price yet",IF(OR(G110="",G110=0),"Add - how much is in a pack?",IF(AE110="Out of stock","Order - none left",IF(AE110="Low stock","Order - running low",IF(AND(AD110&lt;&gt;"",AD110&gt;0.075),"Check - price jumped, re-price the products",IF(AND(P110&lt;&gt;"",TodayDate-P110&gt;365),"Check - price is over a year old","OK")))))))</f>
        <v>0</v>
      </c>
    </row>
    <row r="111" spans="1:33">
      <c r="A111" s="38">
        <f>IF(B111="","",MaterialPrefix&amp;TEXT(ROW()-4,"0000"))</f>
        <v>0</v>
      </c>
      <c r="R111" s="20">
        <f>IF(B111="","",IF(I111="","",ROUND(I111*(1-IF(K111="",0,K111))+IF(J111="",0,J111),2)))</f>
        <v>0</v>
      </c>
      <c r="S111" s="45">
        <f>IF(B111="","",IF(OR(R111="",G111="",G111=0),"",ROUND(R111/G111,4)))</f>
        <v>0</v>
      </c>
      <c r="T111" s="13">
        <f>IF(B111="","",IFERROR(INDEX(UnitBases,MATCH(H111,UnitNames,0)),""))</f>
        <v>0</v>
      </c>
      <c r="U111" s="41">
        <f>IF(B111="","",IFERROR(INDEX(UnitFactors,MATCH(H111,UnitNames,0)),""))</f>
        <v>0</v>
      </c>
      <c r="V111" s="45">
        <f>IF(B111="","",IF(OR(S111="",U111="",U111=0),"",ROUND(S111/U111,4)))</f>
        <v>0</v>
      </c>
      <c r="W111" s="33">
        <f>IF(B111="","",IF(L111="",DefaultWaste,L111))</f>
        <v>0</v>
      </c>
      <c r="X111" s="45">
        <f>IF(B111="","",IF(S111="","",ROUND(S111*(1+W111),4)))</f>
        <v>0</v>
      </c>
      <c r="Y111" s="20">
        <f>IF(B111="","",IF(OR(M111="",S111=""),"",ROUND(M111*S111,2)))</f>
        <v>0</v>
      </c>
      <c r="Z111" s="32">
        <f>IF(B111="","",COUNTIFS('Material Usage'!$C$5:$C$904,A111))</f>
        <v>0</v>
      </c>
      <c r="AA111" s="36">
        <f>IF(B111="","",SUMIFS('Material Usage'!$K$5:$K$904,'Material Usage'!$C$5:$C$904,A111))</f>
        <v>0</v>
      </c>
      <c r="AB111" s="20">
        <f>IF(B111="","",ROUND(SUMIFS('Material Usage'!$M$5:$M$904,'Material Usage'!$C$5:$C$904,A111),2))</f>
        <v>0</v>
      </c>
      <c r="AC111" s="32">
        <f>IF(B111="","",IF(OR(M111="",AA111="",AA111&lt;=0),"",ROUNDDOWN(M111/AA111,0)))</f>
        <v>0</v>
      </c>
      <c r="AD111" s="33">
        <f>IF(B111="","",IF(OR(O111="",O111=0,I111=""),"",(I111-O111)/O111))</f>
        <v>0</v>
      </c>
      <c r="AE111" s="43">
        <f>IF(B111="","",IF(M111="","Not tracked",IF(M111&lt;=0,"Out of stock",IF(AND(N111&lt;&gt;"",M111&lt;=N111),"Low stock","In stock"))))</f>
        <v>0</v>
      </c>
      <c r="AF111" s="32">
        <f>IF(B111="","",COUNTIFS($AB$5:$AB$254,"&gt;"&amp;AB111)+COUNTIFS($AB$5:AB111,AB111))</f>
        <v>0</v>
      </c>
      <c r="AG111" s="43">
        <f>IF(B111="","",IF(I111="","Add - no price yet",IF(OR(G111="",G111=0),"Add - how much is in a pack?",IF(AE111="Out of stock","Order - none left",IF(AE111="Low stock","Order - running low",IF(AND(AD111&lt;&gt;"",AD111&gt;0.075),"Check - price jumped, re-price the products",IF(AND(P111&lt;&gt;"",TodayDate-P111&gt;365),"Check - price is over a year old","OK")))))))</f>
        <v>0</v>
      </c>
    </row>
    <row r="112" spans="1:33">
      <c r="A112" s="38">
        <f>IF(B112="","",MaterialPrefix&amp;TEXT(ROW()-4,"0000"))</f>
        <v>0</v>
      </c>
      <c r="R112" s="20">
        <f>IF(B112="","",IF(I112="","",ROUND(I112*(1-IF(K112="",0,K112))+IF(J112="",0,J112),2)))</f>
        <v>0</v>
      </c>
      <c r="S112" s="45">
        <f>IF(B112="","",IF(OR(R112="",G112="",G112=0),"",ROUND(R112/G112,4)))</f>
        <v>0</v>
      </c>
      <c r="T112" s="13">
        <f>IF(B112="","",IFERROR(INDEX(UnitBases,MATCH(H112,UnitNames,0)),""))</f>
        <v>0</v>
      </c>
      <c r="U112" s="41">
        <f>IF(B112="","",IFERROR(INDEX(UnitFactors,MATCH(H112,UnitNames,0)),""))</f>
        <v>0</v>
      </c>
      <c r="V112" s="45">
        <f>IF(B112="","",IF(OR(S112="",U112="",U112=0),"",ROUND(S112/U112,4)))</f>
        <v>0</v>
      </c>
      <c r="W112" s="33">
        <f>IF(B112="","",IF(L112="",DefaultWaste,L112))</f>
        <v>0</v>
      </c>
      <c r="X112" s="45">
        <f>IF(B112="","",IF(S112="","",ROUND(S112*(1+W112),4)))</f>
        <v>0</v>
      </c>
      <c r="Y112" s="20">
        <f>IF(B112="","",IF(OR(M112="",S112=""),"",ROUND(M112*S112,2)))</f>
        <v>0</v>
      </c>
      <c r="Z112" s="32">
        <f>IF(B112="","",COUNTIFS('Material Usage'!$C$5:$C$904,A112))</f>
        <v>0</v>
      </c>
      <c r="AA112" s="36">
        <f>IF(B112="","",SUMIFS('Material Usage'!$K$5:$K$904,'Material Usage'!$C$5:$C$904,A112))</f>
        <v>0</v>
      </c>
      <c r="AB112" s="20">
        <f>IF(B112="","",ROUND(SUMIFS('Material Usage'!$M$5:$M$904,'Material Usage'!$C$5:$C$904,A112),2))</f>
        <v>0</v>
      </c>
      <c r="AC112" s="32">
        <f>IF(B112="","",IF(OR(M112="",AA112="",AA112&lt;=0),"",ROUNDDOWN(M112/AA112,0)))</f>
        <v>0</v>
      </c>
      <c r="AD112" s="33">
        <f>IF(B112="","",IF(OR(O112="",O112=0,I112=""),"",(I112-O112)/O112))</f>
        <v>0</v>
      </c>
      <c r="AE112" s="43">
        <f>IF(B112="","",IF(M112="","Not tracked",IF(M112&lt;=0,"Out of stock",IF(AND(N112&lt;&gt;"",M112&lt;=N112),"Low stock","In stock"))))</f>
        <v>0</v>
      </c>
      <c r="AF112" s="32">
        <f>IF(B112="","",COUNTIFS($AB$5:$AB$254,"&gt;"&amp;AB112)+COUNTIFS($AB$5:AB112,AB112))</f>
        <v>0</v>
      </c>
      <c r="AG112" s="43">
        <f>IF(B112="","",IF(I112="","Add - no price yet",IF(OR(G112="",G112=0),"Add - how much is in a pack?",IF(AE112="Out of stock","Order - none left",IF(AE112="Low stock","Order - running low",IF(AND(AD112&lt;&gt;"",AD112&gt;0.075),"Check - price jumped, re-price the products",IF(AND(P112&lt;&gt;"",TodayDate-P112&gt;365),"Check - price is over a year old","OK")))))))</f>
        <v>0</v>
      </c>
    </row>
    <row r="113" spans="1:33">
      <c r="A113" s="38">
        <f>IF(B113="","",MaterialPrefix&amp;TEXT(ROW()-4,"0000"))</f>
        <v>0</v>
      </c>
      <c r="R113" s="20">
        <f>IF(B113="","",IF(I113="","",ROUND(I113*(1-IF(K113="",0,K113))+IF(J113="",0,J113),2)))</f>
        <v>0</v>
      </c>
      <c r="S113" s="45">
        <f>IF(B113="","",IF(OR(R113="",G113="",G113=0),"",ROUND(R113/G113,4)))</f>
        <v>0</v>
      </c>
      <c r="T113" s="13">
        <f>IF(B113="","",IFERROR(INDEX(UnitBases,MATCH(H113,UnitNames,0)),""))</f>
        <v>0</v>
      </c>
      <c r="U113" s="41">
        <f>IF(B113="","",IFERROR(INDEX(UnitFactors,MATCH(H113,UnitNames,0)),""))</f>
        <v>0</v>
      </c>
      <c r="V113" s="45">
        <f>IF(B113="","",IF(OR(S113="",U113="",U113=0),"",ROUND(S113/U113,4)))</f>
        <v>0</v>
      </c>
      <c r="W113" s="33">
        <f>IF(B113="","",IF(L113="",DefaultWaste,L113))</f>
        <v>0</v>
      </c>
      <c r="X113" s="45">
        <f>IF(B113="","",IF(S113="","",ROUND(S113*(1+W113),4)))</f>
        <v>0</v>
      </c>
      <c r="Y113" s="20">
        <f>IF(B113="","",IF(OR(M113="",S113=""),"",ROUND(M113*S113,2)))</f>
        <v>0</v>
      </c>
      <c r="Z113" s="32">
        <f>IF(B113="","",COUNTIFS('Material Usage'!$C$5:$C$904,A113))</f>
        <v>0</v>
      </c>
      <c r="AA113" s="36">
        <f>IF(B113="","",SUMIFS('Material Usage'!$K$5:$K$904,'Material Usage'!$C$5:$C$904,A113))</f>
        <v>0</v>
      </c>
      <c r="AB113" s="20">
        <f>IF(B113="","",ROUND(SUMIFS('Material Usage'!$M$5:$M$904,'Material Usage'!$C$5:$C$904,A113),2))</f>
        <v>0</v>
      </c>
      <c r="AC113" s="32">
        <f>IF(B113="","",IF(OR(M113="",AA113="",AA113&lt;=0),"",ROUNDDOWN(M113/AA113,0)))</f>
        <v>0</v>
      </c>
      <c r="AD113" s="33">
        <f>IF(B113="","",IF(OR(O113="",O113=0,I113=""),"",(I113-O113)/O113))</f>
        <v>0</v>
      </c>
      <c r="AE113" s="43">
        <f>IF(B113="","",IF(M113="","Not tracked",IF(M113&lt;=0,"Out of stock",IF(AND(N113&lt;&gt;"",M113&lt;=N113),"Low stock","In stock"))))</f>
        <v>0</v>
      </c>
      <c r="AF113" s="32">
        <f>IF(B113="","",COUNTIFS($AB$5:$AB$254,"&gt;"&amp;AB113)+COUNTIFS($AB$5:AB113,AB113))</f>
        <v>0</v>
      </c>
      <c r="AG113" s="43">
        <f>IF(B113="","",IF(I113="","Add - no price yet",IF(OR(G113="",G113=0),"Add - how much is in a pack?",IF(AE113="Out of stock","Order - none left",IF(AE113="Low stock","Order - running low",IF(AND(AD113&lt;&gt;"",AD113&gt;0.075),"Check - price jumped, re-price the products",IF(AND(P113&lt;&gt;"",TodayDate-P113&gt;365),"Check - price is over a year old","OK")))))))</f>
        <v>0</v>
      </c>
    </row>
    <row r="114" spans="1:33">
      <c r="A114" s="38">
        <f>IF(B114="","",MaterialPrefix&amp;TEXT(ROW()-4,"0000"))</f>
        <v>0</v>
      </c>
      <c r="R114" s="20">
        <f>IF(B114="","",IF(I114="","",ROUND(I114*(1-IF(K114="",0,K114))+IF(J114="",0,J114),2)))</f>
        <v>0</v>
      </c>
      <c r="S114" s="45">
        <f>IF(B114="","",IF(OR(R114="",G114="",G114=0),"",ROUND(R114/G114,4)))</f>
        <v>0</v>
      </c>
      <c r="T114" s="13">
        <f>IF(B114="","",IFERROR(INDEX(UnitBases,MATCH(H114,UnitNames,0)),""))</f>
        <v>0</v>
      </c>
      <c r="U114" s="41">
        <f>IF(B114="","",IFERROR(INDEX(UnitFactors,MATCH(H114,UnitNames,0)),""))</f>
        <v>0</v>
      </c>
      <c r="V114" s="45">
        <f>IF(B114="","",IF(OR(S114="",U114="",U114=0),"",ROUND(S114/U114,4)))</f>
        <v>0</v>
      </c>
      <c r="W114" s="33">
        <f>IF(B114="","",IF(L114="",DefaultWaste,L114))</f>
        <v>0</v>
      </c>
      <c r="X114" s="45">
        <f>IF(B114="","",IF(S114="","",ROUND(S114*(1+W114),4)))</f>
        <v>0</v>
      </c>
      <c r="Y114" s="20">
        <f>IF(B114="","",IF(OR(M114="",S114=""),"",ROUND(M114*S114,2)))</f>
        <v>0</v>
      </c>
      <c r="Z114" s="32">
        <f>IF(B114="","",COUNTIFS('Material Usage'!$C$5:$C$904,A114))</f>
        <v>0</v>
      </c>
      <c r="AA114" s="36">
        <f>IF(B114="","",SUMIFS('Material Usage'!$K$5:$K$904,'Material Usage'!$C$5:$C$904,A114))</f>
        <v>0</v>
      </c>
      <c r="AB114" s="20">
        <f>IF(B114="","",ROUND(SUMIFS('Material Usage'!$M$5:$M$904,'Material Usage'!$C$5:$C$904,A114),2))</f>
        <v>0</v>
      </c>
      <c r="AC114" s="32">
        <f>IF(B114="","",IF(OR(M114="",AA114="",AA114&lt;=0),"",ROUNDDOWN(M114/AA114,0)))</f>
        <v>0</v>
      </c>
      <c r="AD114" s="33">
        <f>IF(B114="","",IF(OR(O114="",O114=0,I114=""),"",(I114-O114)/O114))</f>
        <v>0</v>
      </c>
      <c r="AE114" s="43">
        <f>IF(B114="","",IF(M114="","Not tracked",IF(M114&lt;=0,"Out of stock",IF(AND(N114&lt;&gt;"",M114&lt;=N114),"Low stock","In stock"))))</f>
        <v>0</v>
      </c>
      <c r="AF114" s="32">
        <f>IF(B114="","",COUNTIFS($AB$5:$AB$254,"&gt;"&amp;AB114)+COUNTIFS($AB$5:AB114,AB114))</f>
        <v>0</v>
      </c>
      <c r="AG114" s="43">
        <f>IF(B114="","",IF(I114="","Add - no price yet",IF(OR(G114="",G114=0),"Add - how much is in a pack?",IF(AE114="Out of stock","Order - none left",IF(AE114="Low stock","Order - running low",IF(AND(AD114&lt;&gt;"",AD114&gt;0.075),"Check - price jumped, re-price the products",IF(AND(P114&lt;&gt;"",TodayDate-P114&gt;365),"Check - price is over a year old","OK")))))))</f>
        <v>0</v>
      </c>
    </row>
    <row r="115" spans="1:33">
      <c r="A115" s="38">
        <f>IF(B115="","",MaterialPrefix&amp;TEXT(ROW()-4,"0000"))</f>
        <v>0</v>
      </c>
      <c r="R115" s="20">
        <f>IF(B115="","",IF(I115="","",ROUND(I115*(1-IF(K115="",0,K115))+IF(J115="",0,J115),2)))</f>
        <v>0</v>
      </c>
      <c r="S115" s="45">
        <f>IF(B115="","",IF(OR(R115="",G115="",G115=0),"",ROUND(R115/G115,4)))</f>
        <v>0</v>
      </c>
      <c r="T115" s="13">
        <f>IF(B115="","",IFERROR(INDEX(UnitBases,MATCH(H115,UnitNames,0)),""))</f>
        <v>0</v>
      </c>
      <c r="U115" s="41">
        <f>IF(B115="","",IFERROR(INDEX(UnitFactors,MATCH(H115,UnitNames,0)),""))</f>
        <v>0</v>
      </c>
      <c r="V115" s="45">
        <f>IF(B115="","",IF(OR(S115="",U115="",U115=0),"",ROUND(S115/U115,4)))</f>
        <v>0</v>
      </c>
      <c r="W115" s="33">
        <f>IF(B115="","",IF(L115="",DefaultWaste,L115))</f>
        <v>0</v>
      </c>
      <c r="X115" s="45">
        <f>IF(B115="","",IF(S115="","",ROUND(S115*(1+W115),4)))</f>
        <v>0</v>
      </c>
      <c r="Y115" s="20">
        <f>IF(B115="","",IF(OR(M115="",S115=""),"",ROUND(M115*S115,2)))</f>
        <v>0</v>
      </c>
      <c r="Z115" s="32">
        <f>IF(B115="","",COUNTIFS('Material Usage'!$C$5:$C$904,A115))</f>
        <v>0</v>
      </c>
      <c r="AA115" s="36">
        <f>IF(B115="","",SUMIFS('Material Usage'!$K$5:$K$904,'Material Usage'!$C$5:$C$904,A115))</f>
        <v>0</v>
      </c>
      <c r="AB115" s="20">
        <f>IF(B115="","",ROUND(SUMIFS('Material Usage'!$M$5:$M$904,'Material Usage'!$C$5:$C$904,A115),2))</f>
        <v>0</v>
      </c>
      <c r="AC115" s="32">
        <f>IF(B115="","",IF(OR(M115="",AA115="",AA115&lt;=0),"",ROUNDDOWN(M115/AA115,0)))</f>
        <v>0</v>
      </c>
      <c r="AD115" s="33">
        <f>IF(B115="","",IF(OR(O115="",O115=0,I115=""),"",(I115-O115)/O115))</f>
        <v>0</v>
      </c>
      <c r="AE115" s="43">
        <f>IF(B115="","",IF(M115="","Not tracked",IF(M115&lt;=0,"Out of stock",IF(AND(N115&lt;&gt;"",M115&lt;=N115),"Low stock","In stock"))))</f>
        <v>0</v>
      </c>
      <c r="AF115" s="32">
        <f>IF(B115="","",COUNTIFS($AB$5:$AB$254,"&gt;"&amp;AB115)+COUNTIFS($AB$5:AB115,AB115))</f>
        <v>0</v>
      </c>
      <c r="AG115" s="43">
        <f>IF(B115="","",IF(I115="","Add - no price yet",IF(OR(G115="",G115=0),"Add - how much is in a pack?",IF(AE115="Out of stock","Order - none left",IF(AE115="Low stock","Order - running low",IF(AND(AD115&lt;&gt;"",AD115&gt;0.075),"Check - price jumped, re-price the products",IF(AND(P115&lt;&gt;"",TodayDate-P115&gt;365),"Check - price is over a year old","OK")))))))</f>
        <v>0</v>
      </c>
    </row>
    <row r="116" spans="1:33">
      <c r="A116" s="38">
        <f>IF(B116="","",MaterialPrefix&amp;TEXT(ROW()-4,"0000"))</f>
        <v>0</v>
      </c>
      <c r="R116" s="20">
        <f>IF(B116="","",IF(I116="","",ROUND(I116*(1-IF(K116="",0,K116))+IF(J116="",0,J116),2)))</f>
        <v>0</v>
      </c>
      <c r="S116" s="45">
        <f>IF(B116="","",IF(OR(R116="",G116="",G116=0),"",ROUND(R116/G116,4)))</f>
        <v>0</v>
      </c>
      <c r="T116" s="13">
        <f>IF(B116="","",IFERROR(INDEX(UnitBases,MATCH(H116,UnitNames,0)),""))</f>
        <v>0</v>
      </c>
      <c r="U116" s="41">
        <f>IF(B116="","",IFERROR(INDEX(UnitFactors,MATCH(H116,UnitNames,0)),""))</f>
        <v>0</v>
      </c>
      <c r="V116" s="45">
        <f>IF(B116="","",IF(OR(S116="",U116="",U116=0),"",ROUND(S116/U116,4)))</f>
        <v>0</v>
      </c>
      <c r="W116" s="33">
        <f>IF(B116="","",IF(L116="",DefaultWaste,L116))</f>
        <v>0</v>
      </c>
      <c r="X116" s="45">
        <f>IF(B116="","",IF(S116="","",ROUND(S116*(1+W116),4)))</f>
        <v>0</v>
      </c>
      <c r="Y116" s="20">
        <f>IF(B116="","",IF(OR(M116="",S116=""),"",ROUND(M116*S116,2)))</f>
        <v>0</v>
      </c>
      <c r="Z116" s="32">
        <f>IF(B116="","",COUNTIFS('Material Usage'!$C$5:$C$904,A116))</f>
        <v>0</v>
      </c>
      <c r="AA116" s="36">
        <f>IF(B116="","",SUMIFS('Material Usage'!$K$5:$K$904,'Material Usage'!$C$5:$C$904,A116))</f>
        <v>0</v>
      </c>
      <c r="AB116" s="20">
        <f>IF(B116="","",ROUND(SUMIFS('Material Usage'!$M$5:$M$904,'Material Usage'!$C$5:$C$904,A116),2))</f>
        <v>0</v>
      </c>
      <c r="AC116" s="32">
        <f>IF(B116="","",IF(OR(M116="",AA116="",AA116&lt;=0),"",ROUNDDOWN(M116/AA116,0)))</f>
        <v>0</v>
      </c>
      <c r="AD116" s="33">
        <f>IF(B116="","",IF(OR(O116="",O116=0,I116=""),"",(I116-O116)/O116))</f>
        <v>0</v>
      </c>
      <c r="AE116" s="43">
        <f>IF(B116="","",IF(M116="","Not tracked",IF(M116&lt;=0,"Out of stock",IF(AND(N116&lt;&gt;"",M116&lt;=N116),"Low stock","In stock"))))</f>
        <v>0</v>
      </c>
      <c r="AF116" s="32">
        <f>IF(B116="","",COUNTIFS($AB$5:$AB$254,"&gt;"&amp;AB116)+COUNTIFS($AB$5:AB116,AB116))</f>
        <v>0</v>
      </c>
      <c r="AG116" s="43">
        <f>IF(B116="","",IF(I116="","Add - no price yet",IF(OR(G116="",G116=0),"Add - how much is in a pack?",IF(AE116="Out of stock","Order - none left",IF(AE116="Low stock","Order - running low",IF(AND(AD116&lt;&gt;"",AD116&gt;0.075),"Check - price jumped, re-price the products",IF(AND(P116&lt;&gt;"",TodayDate-P116&gt;365),"Check - price is over a year old","OK")))))))</f>
        <v>0</v>
      </c>
    </row>
    <row r="117" spans="1:33">
      <c r="A117" s="38">
        <f>IF(B117="","",MaterialPrefix&amp;TEXT(ROW()-4,"0000"))</f>
        <v>0</v>
      </c>
      <c r="R117" s="20">
        <f>IF(B117="","",IF(I117="","",ROUND(I117*(1-IF(K117="",0,K117))+IF(J117="",0,J117),2)))</f>
        <v>0</v>
      </c>
      <c r="S117" s="45">
        <f>IF(B117="","",IF(OR(R117="",G117="",G117=0),"",ROUND(R117/G117,4)))</f>
        <v>0</v>
      </c>
      <c r="T117" s="13">
        <f>IF(B117="","",IFERROR(INDEX(UnitBases,MATCH(H117,UnitNames,0)),""))</f>
        <v>0</v>
      </c>
      <c r="U117" s="41">
        <f>IF(B117="","",IFERROR(INDEX(UnitFactors,MATCH(H117,UnitNames,0)),""))</f>
        <v>0</v>
      </c>
      <c r="V117" s="45">
        <f>IF(B117="","",IF(OR(S117="",U117="",U117=0),"",ROUND(S117/U117,4)))</f>
        <v>0</v>
      </c>
      <c r="W117" s="33">
        <f>IF(B117="","",IF(L117="",DefaultWaste,L117))</f>
        <v>0</v>
      </c>
      <c r="X117" s="45">
        <f>IF(B117="","",IF(S117="","",ROUND(S117*(1+W117),4)))</f>
        <v>0</v>
      </c>
      <c r="Y117" s="20">
        <f>IF(B117="","",IF(OR(M117="",S117=""),"",ROUND(M117*S117,2)))</f>
        <v>0</v>
      </c>
      <c r="Z117" s="32">
        <f>IF(B117="","",COUNTIFS('Material Usage'!$C$5:$C$904,A117))</f>
        <v>0</v>
      </c>
      <c r="AA117" s="36">
        <f>IF(B117="","",SUMIFS('Material Usage'!$K$5:$K$904,'Material Usage'!$C$5:$C$904,A117))</f>
        <v>0</v>
      </c>
      <c r="AB117" s="20">
        <f>IF(B117="","",ROUND(SUMIFS('Material Usage'!$M$5:$M$904,'Material Usage'!$C$5:$C$904,A117),2))</f>
        <v>0</v>
      </c>
      <c r="AC117" s="32">
        <f>IF(B117="","",IF(OR(M117="",AA117="",AA117&lt;=0),"",ROUNDDOWN(M117/AA117,0)))</f>
        <v>0</v>
      </c>
      <c r="AD117" s="33">
        <f>IF(B117="","",IF(OR(O117="",O117=0,I117=""),"",(I117-O117)/O117))</f>
        <v>0</v>
      </c>
      <c r="AE117" s="43">
        <f>IF(B117="","",IF(M117="","Not tracked",IF(M117&lt;=0,"Out of stock",IF(AND(N117&lt;&gt;"",M117&lt;=N117),"Low stock","In stock"))))</f>
        <v>0</v>
      </c>
      <c r="AF117" s="32">
        <f>IF(B117="","",COUNTIFS($AB$5:$AB$254,"&gt;"&amp;AB117)+COUNTIFS($AB$5:AB117,AB117))</f>
        <v>0</v>
      </c>
      <c r="AG117" s="43">
        <f>IF(B117="","",IF(I117="","Add - no price yet",IF(OR(G117="",G117=0),"Add - how much is in a pack?",IF(AE117="Out of stock","Order - none left",IF(AE117="Low stock","Order - running low",IF(AND(AD117&lt;&gt;"",AD117&gt;0.075),"Check - price jumped, re-price the products",IF(AND(P117&lt;&gt;"",TodayDate-P117&gt;365),"Check - price is over a year old","OK")))))))</f>
        <v>0</v>
      </c>
    </row>
    <row r="118" spans="1:33">
      <c r="A118" s="38">
        <f>IF(B118="","",MaterialPrefix&amp;TEXT(ROW()-4,"0000"))</f>
        <v>0</v>
      </c>
      <c r="R118" s="20">
        <f>IF(B118="","",IF(I118="","",ROUND(I118*(1-IF(K118="",0,K118))+IF(J118="",0,J118),2)))</f>
        <v>0</v>
      </c>
      <c r="S118" s="45">
        <f>IF(B118="","",IF(OR(R118="",G118="",G118=0),"",ROUND(R118/G118,4)))</f>
        <v>0</v>
      </c>
      <c r="T118" s="13">
        <f>IF(B118="","",IFERROR(INDEX(UnitBases,MATCH(H118,UnitNames,0)),""))</f>
        <v>0</v>
      </c>
      <c r="U118" s="41">
        <f>IF(B118="","",IFERROR(INDEX(UnitFactors,MATCH(H118,UnitNames,0)),""))</f>
        <v>0</v>
      </c>
      <c r="V118" s="45">
        <f>IF(B118="","",IF(OR(S118="",U118="",U118=0),"",ROUND(S118/U118,4)))</f>
        <v>0</v>
      </c>
      <c r="W118" s="33">
        <f>IF(B118="","",IF(L118="",DefaultWaste,L118))</f>
        <v>0</v>
      </c>
      <c r="X118" s="45">
        <f>IF(B118="","",IF(S118="","",ROUND(S118*(1+W118),4)))</f>
        <v>0</v>
      </c>
      <c r="Y118" s="20">
        <f>IF(B118="","",IF(OR(M118="",S118=""),"",ROUND(M118*S118,2)))</f>
        <v>0</v>
      </c>
      <c r="Z118" s="32">
        <f>IF(B118="","",COUNTIFS('Material Usage'!$C$5:$C$904,A118))</f>
        <v>0</v>
      </c>
      <c r="AA118" s="36">
        <f>IF(B118="","",SUMIFS('Material Usage'!$K$5:$K$904,'Material Usage'!$C$5:$C$904,A118))</f>
        <v>0</v>
      </c>
      <c r="AB118" s="20">
        <f>IF(B118="","",ROUND(SUMIFS('Material Usage'!$M$5:$M$904,'Material Usage'!$C$5:$C$904,A118),2))</f>
        <v>0</v>
      </c>
      <c r="AC118" s="32">
        <f>IF(B118="","",IF(OR(M118="",AA118="",AA118&lt;=0),"",ROUNDDOWN(M118/AA118,0)))</f>
        <v>0</v>
      </c>
      <c r="AD118" s="33">
        <f>IF(B118="","",IF(OR(O118="",O118=0,I118=""),"",(I118-O118)/O118))</f>
        <v>0</v>
      </c>
      <c r="AE118" s="43">
        <f>IF(B118="","",IF(M118="","Not tracked",IF(M118&lt;=0,"Out of stock",IF(AND(N118&lt;&gt;"",M118&lt;=N118),"Low stock","In stock"))))</f>
        <v>0</v>
      </c>
      <c r="AF118" s="32">
        <f>IF(B118="","",COUNTIFS($AB$5:$AB$254,"&gt;"&amp;AB118)+COUNTIFS($AB$5:AB118,AB118))</f>
        <v>0</v>
      </c>
      <c r="AG118" s="43">
        <f>IF(B118="","",IF(I118="","Add - no price yet",IF(OR(G118="",G118=0),"Add - how much is in a pack?",IF(AE118="Out of stock","Order - none left",IF(AE118="Low stock","Order - running low",IF(AND(AD118&lt;&gt;"",AD118&gt;0.075),"Check - price jumped, re-price the products",IF(AND(P118&lt;&gt;"",TodayDate-P118&gt;365),"Check - price is over a year old","OK")))))))</f>
        <v>0</v>
      </c>
    </row>
    <row r="119" spans="1:33">
      <c r="A119" s="38">
        <f>IF(B119="","",MaterialPrefix&amp;TEXT(ROW()-4,"0000"))</f>
        <v>0</v>
      </c>
      <c r="R119" s="20">
        <f>IF(B119="","",IF(I119="","",ROUND(I119*(1-IF(K119="",0,K119))+IF(J119="",0,J119),2)))</f>
        <v>0</v>
      </c>
      <c r="S119" s="45">
        <f>IF(B119="","",IF(OR(R119="",G119="",G119=0),"",ROUND(R119/G119,4)))</f>
        <v>0</v>
      </c>
      <c r="T119" s="13">
        <f>IF(B119="","",IFERROR(INDEX(UnitBases,MATCH(H119,UnitNames,0)),""))</f>
        <v>0</v>
      </c>
      <c r="U119" s="41">
        <f>IF(B119="","",IFERROR(INDEX(UnitFactors,MATCH(H119,UnitNames,0)),""))</f>
        <v>0</v>
      </c>
      <c r="V119" s="45">
        <f>IF(B119="","",IF(OR(S119="",U119="",U119=0),"",ROUND(S119/U119,4)))</f>
        <v>0</v>
      </c>
      <c r="W119" s="33">
        <f>IF(B119="","",IF(L119="",DefaultWaste,L119))</f>
        <v>0</v>
      </c>
      <c r="X119" s="45">
        <f>IF(B119="","",IF(S119="","",ROUND(S119*(1+W119),4)))</f>
        <v>0</v>
      </c>
      <c r="Y119" s="20">
        <f>IF(B119="","",IF(OR(M119="",S119=""),"",ROUND(M119*S119,2)))</f>
        <v>0</v>
      </c>
      <c r="Z119" s="32">
        <f>IF(B119="","",COUNTIFS('Material Usage'!$C$5:$C$904,A119))</f>
        <v>0</v>
      </c>
      <c r="AA119" s="36">
        <f>IF(B119="","",SUMIFS('Material Usage'!$K$5:$K$904,'Material Usage'!$C$5:$C$904,A119))</f>
        <v>0</v>
      </c>
      <c r="AB119" s="20">
        <f>IF(B119="","",ROUND(SUMIFS('Material Usage'!$M$5:$M$904,'Material Usage'!$C$5:$C$904,A119),2))</f>
        <v>0</v>
      </c>
      <c r="AC119" s="32">
        <f>IF(B119="","",IF(OR(M119="",AA119="",AA119&lt;=0),"",ROUNDDOWN(M119/AA119,0)))</f>
        <v>0</v>
      </c>
      <c r="AD119" s="33">
        <f>IF(B119="","",IF(OR(O119="",O119=0,I119=""),"",(I119-O119)/O119))</f>
        <v>0</v>
      </c>
      <c r="AE119" s="43">
        <f>IF(B119="","",IF(M119="","Not tracked",IF(M119&lt;=0,"Out of stock",IF(AND(N119&lt;&gt;"",M119&lt;=N119),"Low stock","In stock"))))</f>
        <v>0</v>
      </c>
      <c r="AF119" s="32">
        <f>IF(B119="","",COUNTIFS($AB$5:$AB$254,"&gt;"&amp;AB119)+COUNTIFS($AB$5:AB119,AB119))</f>
        <v>0</v>
      </c>
      <c r="AG119" s="43">
        <f>IF(B119="","",IF(I119="","Add - no price yet",IF(OR(G119="",G119=0),"Add - how much is in a pack?",IF(AE119="Out of stock","Order - none left",IF(AE119="Low stock","Order - running low",IF(AND(AD119&lt;&gt;"",AD119&gt;0.075),"Check - price jumped, re-price the products",IF(AND(P119&lt;&gt;"",TodayDate-P119&gt;365),"Check - price is over a year old","OK")))))))</f>
        <v>0</v>
      </c>
    </row>
    <row r="120" spans="1:33">
      <c r="A120" s="38">
        <f>IF(B120="","",MaterialPrefix&amp;TEXT(ROW()-4,"0000"))</f>
        <v>0</v>
      </c>
      <c r="R120" s="20">
        <f>IF(B120="","",IF(I120="","",ROUND(I120*(1-IF(K120="",0,K120))+IF(J120="",0,J120),2)))</f>
        <v>0</v>
      </c>
      <c r="S120" s="45">
        <f>IF(B120="","",IF(OR(R120="",G120="",G120=0),"",ROUND(R120/G120,4)))</f>
        <v>0</v>
      </c>
      <c r="T120" s="13">
        <f>IF(B120="","",IFERROR(INDEX(UnitBases,MATCH(H120,UnitNames,0)),""))</f>
        <v>0</v>
      </c>
      <c r="U120" s="41">
        <f>IF(B120="","",IFERROR(INDEX(UnitFactors,MATCH(H120,UnitNames,0)),""))</f>
        <v>0</v>
      </c>
      <c r="V120" s="45">
        <f>IF(B120="","",IF(OR(S120="",U120="",U120=0),"",ROUND(S120/U120,4)))</f>
        <v>0</v>
      </c>
      <c r="W120" s="33">
        <f>IF(B120="","",IF(L120="",DefaultWaste,L120))</f>
        <v>0</v>
      </c>
      <c r="X120" s="45">
        <f>IF(B120="","",IF(S120="","",ROUND(S120*(1+W120),4)))</f>
        <v>0</v>
      </c>
      <c r="Y120" s="20">
        <f>IF(B120="","",IF(OR(M120="",S120=""),"",ROUND(M120*S120,2)))</f>
        <v>0</v>
      </c>
      <c r="Z120" s="32">
        <f>IF(B120="","",COUNTIFS('Material Usage'!$C$5:$C$904,A120))</f>
        <v>0</v>
      </c>
      <c r="AA120" s="36">
        <f>IF(B120="","",SUMIFS('Material Usage'!$K$5:$K$904,'Material Usage'!$C$5:$C$904,A120))</f>
        <v>0</v>
      </c>
      <c r="AB120" s="20">
        <f>IF(B120="","",ROUND(SUMIFS('Material Usage'!$M$5:$M$904,'Material Usage'!$C$5:$C$904,A120),2))</f>
        <v>0</v>
      </c>
      <c r="AC120" s="32">
        <f>IF(B120="","",IF(OR(M120="",AA120="",AA120&lt;=0),"",ROUNDDOWN(M120/AA120,0)))</f>
        <v>0</v>
      </c>
      <c r="AD120" s="33">
        <f>IF(B120="","",IF(OR(O120="",O120=0,I120=""),"",(I120-O120)/O120))</f>
        <v>0</v>
      </c>
      <c r="AE120" s="43">
        <f>IF(B120="","",IF(M120="","Not tracked",IF(M120&lt;=0,"Out of stock",IF(AND(N120&lt;&gt;"",M120&lt;=N120),"Low stock","In stock"))))</f>
        <v>0</v>
      </c>
      <c r="AF120" s="32">
        <f>IF(B120="","",COUNTIFS($AB$5:$AB$254,"&gt;"&amp;AB120)+COUNTIFS($AB$5:AB120,AB120))</f>
        <v>0</v>
      </c>
      <c r="AG120" s="43">
        <f>IF(B120="","",IF(I120="","Add - no price yet",IF(OR(G120="",G120=0),"Add - how much is in a pack?",IF(AE120="Out of stock","Order - none left",IF(AE120="Low stock","Order - running low",IF(AND(AD120&lt;&gt;"",AD120&gt;0.075),"Check - price jumped, re-price the products",IF(AND(P120&lt;&gt;"",TodayDate-P120&gt;365),"Check - price is over a year old","OK")))))))</f>
        <v>0</v>
      </c>
    </row>
    <row r="121" spans="1:33">
      <c r="A121" s="38">
        <f>IF(B121="","",MaterialPrefix&amp;TEXT(ROW()-4,"0000"))</f>
        <v>0</v>
      </c>
      <c r="R121" s="20">
        <f>IF(B121="","",IF(I121="","",ROUND(I121*(1-IF(K121="",0,K121))+IF(J121="",0,J121),2)))</f>
        <v>0</v>
      </c>
      <c r="S121" s="45">
        <f>IF(B121="","",IF(OR(R121="",G121="",G121=0),"",ROUND(R121/G121,4)))</f>
        <v>0</v>
      </c>
      <c r="T121" s="13">
        <f>IF(B121="","",IFERROR(INDEX(UnitBases,MATCH(H121,UnitNames,0)),""))</f>
        <v>0</v>
      </c>
      <c r="U121" s="41">
        <f>IF(B121="","",IFERROR(INDEX(UnitFactors,MATCH(H121,UnitNames,0)),""))</f>
        <v>0</v>
      </c>
      <c r="V121" s="45">
        <f>IF(B121="","",IF(OR(S121="",U121="",U121=0),"",ROUND(S121/U121,4)))</f>
        <v>0</v>
      </c>
      <c r="W121" s="33">
        <f>IF(B121="","",IF(L121="",DefaultWaste,L121))</f>
        <v>0</v>
      </c>
      <c r="X121" s="45">
        <f>IF(B121="","",IF(S121="","",ROUND(S121*(1+W121),4)))</f>
        <v>0</v>
      </c>
      <c r="Y121" s="20">
        <f>IF(B121="","",IF(OR(M121="",S121=""),"",ROUND(M121*S121,2)))</f>
        <v>0</v>
      </c>
      <c r="Z121" s="32">
        <f>IF(B121="","",COUNTIFS('Material Usage'!$C$5:$C$904,A121))</f>
        <v>0</v>
      </c>
      <c r="AA121" s="36">
        <f>IF(B121="","",SUMIFS('Material Usage'!$K$5:$K$904,'Material Usage'!$C$5:$C$904,A121))</f>
        <v>0</v>
      </c>
      <c r="AB121" s="20">
        <f>IF(B121="","",ROUND(SUMIFS('Material Usage'!$M$5:$M$904,'Material Usage'!$C$5:$C$904,A121),2))</f>
        <v>0</v>
      </c>
      <c r="AC121" s="32">
        <f>IF(B121="","",IF(OR(M121="",AA121="",AA121&lt;=0),"",ROUNDDOWN(M121/AA121,0)))</f>
        <v>0</v>
      </c>
      <c r="AD121" s="33">
        <f>IF(B121="","",IF(OR(O121="",O121=0,I121=""),"",(I121-O121)/O121))</f>
        <v>0</v>
      </c>
      <c r="AE121" s="43">
        <f>IF(B121="","",IF(M121="","Not tracked",IF(M121&lt;=0,"Out of stock",IF(AND(N121&lt;&gt;"",M121&lt;=N121),"Low stock","In stock"))))</f>
        <v>0</v>
      </c>
      <c r="AF121" s="32">
        <f>IF(B121="","",COUNTIFS($AB$5:$AB$254,"&gt;"&amp;AB121)+COUNTIFS($AB$5:AB121,AB121))</f>
        <v>0</v>
      </c>
      <c r="AG121" s="43">
        <f>IF(B121="","",IF(I121="","Add - no price yet",IF(OR(G121="",G121=0),"Add - how much is in a pack?",IF(AE121="Out of stock","Order - none left",IF(AE121="Low stock","Order - running low",IF(AND(AD121&lt;&gt;"",AD121&gt;0.075),"Check - price jumped, re-price the products",IF(AND(P121&lt;&gt;"",TodayDate-P121&gt;365),"Check - price is over a year old","OK")))))))</f>
        <v>0</v>
      </c>
    </row>
    <row r="122" spans="1:33">
      <c r="A122" s="38">
        <f>IF(B122="","",MaterialPrefix&amp;TEXT(ROW()-4,"0000"))</f>
        <v>0</v>
      </c>
      <c r="R122" s="20">
        <f>IF(B122="","",IF(I122="","",ROUND(I122*(1-IF(K122="",0,K122))+IF(J122="",0,J122),2)))</f>
        <v>0</v>
      </c>
      <c r="S122" s="45">
        <f>IF(B122="","",IF(OR(R122="",G122="",G122=0),"",ROUND(R122/G122,4)))</f>
        <v>0</v>
      </c>
      <c r="T122" s="13">
        <f>IF(B122="","",IFERROR(INDEX(UnitBases,MATCH(H122,UnitNames,0)),""))</f>
        <v>0</v>
      </c>
      <c r="U122" s="41">
        <f>IF(B122="","",IFERROR(INDEX(UnitFactors,MATCH(H122,UnitNames,0)),""))</f>
        <v>0</v>
      </c>
      <c r="V122" s="45">
        <f>IF(B122="","",IF(OR(S122="",U122="",U122=0),"",ROUND(S122/U122,4)))</f>
        <v>0</v>
      </c>
      <c r="W122" s="33">
        <f>IF(B122="","",IF(L122="",DefaultWaste,L122))</f>
        <v>0</v>
      </c>
      <c r="X122" s="45">
        <f>IF(B122="","",IF(S122="","",ROUND(S122*(1+W122),4)))</f>
        <v>0</v>
      </c>
      <c r="Y122" s="20">
        <f>IF(B122="","",IF(OR(M122="",S122=""),"",ROUND(M122*S122,2)))</f>
        <v>0</v>
      </c>
      <c r="Z122" s="32">
        <f>IF(B122="","",COUNTIFS('Material Usage'!$C$5:$C$904,A122))</f>
        <v>0</v>
      </c>
      <c r="AA122" s="36">
        <f>IF(B122="","",SUMIFS('Material Usage'!$K$5:$K$904,'Material Usage'!$C$5:$C$904,A122))</f>
        <v>0</v>
      </c>
      <c r="AB122" s="20">
        <f>IF(B122="","",ROUND(SUMIFS('Material Usage'!$M$5:$M$904,'Material Usage'!$C$5:$C$904,A122),2))</f>
        <v>0</v>
      </c>
      <c r="AC122" s="32">
        <f>IF(B122="","",IF(OR(M122="",AA122="",AA122&lt;=0),"",ROUNDDOWN(M122/AA122,0)))</f>
        <v>0</v>
      </c>
      <c r="AD122" s="33">
        <f>IF(B122="","",IF(OR(O122="",O122=0,I122=""),"",(I122-O122)/O122))</f>
        <v>0</v>
      </c>
      <c r="AE122" s="43">
        <f>IF(B122="","",IF(M122="","Not tracked",IF(M122&lt;=0,"Out of stock",IF(AND(N122&lt;&gt;"",M122&lt;=N122),"Low stock","In stock"))))</f>
        <v>0</v>
      </c>
      <c r="AF122" s="32">
        <f>IF(B122="","",COUNTIFS($AB$5:$AB$254,"&gt;"&amp;AB122)+COUNTIFS($AB$5:AB122,AB122))</f>
        <v>0</v>
      </c>
      <c r="AG122" s="43">
        <f>IF(B122="","",IF(I122="","Add - no price yet",IF(OR(G122="",G122=0),"Add - how much is in a pack?",IF(AE122="Out of stock","Order - none left",IF(AE122="Low stock","Order - running low",IF(AND(AD122&lt;&gt;"",AD122&gt;0.075),"Check - price jumped, re-price the products",IF(AND(P122&lt;&gt;"",TodayDate-P122&gt;365),"Check - price is over a year old","OK")))))))</f>
        <v>0</v>
      </c>
    </row>
    <row r="123" spans="1:33">
      <c r="A123" s="38">
        <f>IF(B123="","",MaterialPrefix&amp;TEXT(ROW()-4,"0000"))</f>
        <v>0</v>
      </c>
      <c r="R123" s="20">
        <f>IF(B123="","",IF(I123="","",ROUND(I123*(1-IF(K123="",0,K123))+IF(J123="",0,J123),2)))</f>
        <v>0</v>
      </c>
      <c r="S123" s="45">
        <f>IF(B123="","",IF(OR(R123="",G123="",G123=0),"",ROUND(R123/G123,4)))</f>
        <v>0</v>
      </c>
      <c r="T123" s="13">
        <f>IF(B123="","",IFERROR(INDEX(UnitBases,MATCH(H123,UnitNames,0)),""))</f>
        <v>0</v>
      </c>
      <c r="U123" s="41">
        <f>IF(B123="","",IFERROR(INDEX(UnitFactors,MATCH(H123,UnitNames,0)),""))</f>
        <v>0</v>
      </c>
      <c r="V123" s="45">
        <f>IF(B123="","",IF(OR(S123="",U123="",U123=0),"",ROUND(S123/U123,4)))</f>
        <v>0</v>
      </c>
      <c r="W123" s="33">
        <f>IF(B123="","",IF(L123="",DefaultWaste,L123))</f>
        <v>0</v>
      </c>
      <c r="X123" s="45">
        <f>IF(B123="","",IF(S123="","",ROUND(S123*(1+W123),4)))</f>
        <v>0</v>
      </c>
      <c r="Y123" s="20">
        <f>IF(B123="","",IF(OR(M123="",S123=""),"",ROUND(M123*S123,2)))</f>
        <v>0</v>
      </c>
      <c r="Z123" s="32">
        <f>IF(B123="","",COUNTIFS('Material Usage'!$C$5:$C$904,A123))</f>
        <v>0</v>
      </c>
      <c r="AA123" s="36">
        <f>IF(B123="","",SUMIFS('Material Usage'!$K$5:$K$904,'Material Usage'!$C$5:$C$904,A123))</f>
        <v>0</v>
      </c>
      <c r="AB123" s="20">
        <f>IF(B123="","",ROUND(SUMIFS('Material Usage'!$M$5:$M$904,'Material Usage'!$C$5:$C$904,A123),2))</f>
        <v>0</v>
      </c>
      <c r="AC123" s="32">
        <f>IF(B123="","",IF(OR(M123="",AA123="",AA123&lt;=0),"",ROUNDDOWN(M123/AA123,0)))</f>
        <v>0</v>
      </c>
      <c r="AD123" s="33">
        <f>IF(B123="","",IF(OR(O123="",O123=0,I123=""),"",(I123-O123)/O123))</f>
        <v>0</v>
      </c>
      <c r="AE123" s="43">
        <f>IF(B123="","",IF(M123="","Not tracked",IF(M123&lt;=0,"Out of stock",IF(AND(N123&lt;&gt;"",M123&lt;=N123),"Low stock","In stock"))))</f>
        <v>0</v>
      </c>
      <c r="AF123" s="32">
        <f>IF(B123="","",COUNTIFS($AB$5:$AB$254,"&gt;"&amp;AB123)+COUNTIFS($AB$5:AB123,AB123))</f>
        <v>0</v>
      </c>
      <c r="AG123" s="43">
        <f>IF(B123="","",IF(I123="","Add - no price yet",IF(OR(G123="",G123=0),"Add - how much is in a pack?",IF(AE123="Out of stock","Order - none left",IF(AE123="Low stock","Order - running low",IF(AND(AD123&lt;&gt;"",AD123&gt;0.075),"Check - price jumped, re-price the products",IF(AND(P123&lt;&gt;"",TodayDate-P123&gt;365),"Check - price is over a year old","OK")))))))</f>
        <v>0</v>
      </c>
    </row>
    <row r="124" spans="1:33">
      <c r="A124" s="38">
        <f>IF(B124="","",MaterialPrefix&amp;TEXT(ROW()-4,"0000"))</f>
        <v>0</v>
      </c>
      <c r="R124" s="20">
        <f>IF(B124="","",IF(I124="","",ROUND(I124*(1-IF(K124="",0,K124))+IF(J124="",0,J124),2)))</f>
        <v>0</v>
      </c>
      <c r="S124" s="45">
        <f>IF(B124="","",IF(OR(R124="",G124="",G124=0),"",ROUND(R124/G124,4)))</f>
        <v>0</v>
      </c>
      <c r="T124" s="13">
        <f>IF(B124="","",IFERROR(INDEX(UnitBases,MATCH(H124,UnitNames,0)),""))</f>
        <v>0</v>
      </c>
      <c r="U124" s="41">
        <f>IF(B124="","",IFERROR(INDEX(UnitFactors,MATCH(H124,UnitNames,0)),""))</f>
        <v>0</v>
      </c>
      <c r="V124" s="45">
        <f>IF(B124="","",IF(OR(S124="",U124="",U124=0),"",ROUND(S124/U124,4)))</f>
        <v>0</v>
      </c>
      <c r="W124" s="33">
        <f>IF(B124="","",IF(L124="",DefaultWaste,L124))</f>
        <v>0</v>
      </c>
      <c r="X124" s="45">
        <f>IF(B124="","",IF(S124="","",ROUND(S124*(1+W124),4)))</f>
        <v>0</v>
      </c>
      <c r="Y124" s="20">
        <f>IF(B124="","",IF(OR(M124="",S124=""),"",ROUND(M124*S124,2)))</f>
        <v>0</v>
      </c>
      <c r="Z124" s="32">
        <f>IF(B124="","",COUNTIFS('Material Usage'!$C$5:$C$904,A124))</f>
        <v>0</v>
      </c>
      <c r="AA124" s="36">
        <f>IF(B124="","",SUMIFS('Material Usage'!$K$5:$K$904,'Material Usage'!$C$5:$C$904,A124))</f>
        <v>0</v>
      </c>
      <c r="AB124" s="20">
        <f>IF(B124="","",ROUND(SUMIFS('Material Usage'!$M$5:$M$904,'Material Usage'!$C$5:$C$904,A124),2))</f>
        <v>0</v>
      </c>
      <c r="AC124" s="32">
        <f>IF(B124="","",IF(OR(M124="",AA124="",AA124&lt;=0),"",ROUNDDOWN(M124/AA124,0)))</f>
        <v>0</v>
      </c>
      <c r="AD124" s="33">
        <f>IF(B124="","",IF(OR(O124="",O124=0,I124=""),"",(I124-O124)/O124))</f>
        <v>0</v>
      </c>
      <c r="AE124" s="43">
        <f>IF(B124="","",IF(M124="","Not tracked",IF(M124&lt;=0,"Out of stock",IF(AND(N124&lt;&gt;"",M124&lt;=N124),"Low stock","In stock"))))</f>
        <v>0</v>
      </c>
      <c r="AF124" s="32">
        <f>IF(B124="","",COUNTIFS($AB$5:$AB$254,"&gt;"&amp;AB124)+COUNTIFS($AB$5:AB124,AB124))</f>
        <v>0</v>
      </c>
      <c r="AG124" s="43">
        <f>IF(B124="","",IF(I124="","Add - no price yet",IF(OR(G124="",G124=0),"Add - how much is in a pack?",IF(AE124="Out of stock","Order - none left",IF(AE124="Low stock","Order - running low",IF(AND(AD124&lt;&gt;"",AD124&gt;0.075),"Check - price jumped, re-price the products",IF(AND(P124&lt;&gt;"",TodayDate-P124&gt;365),"Check - price is over a year old","OK")))))))</f>
        <v>0</v>
      </c>
    </row>
    <row r="125" spans="1:33">
      <c r="A125" s="38">
        <f>IF(B125="","",MaterialPrefix&amp;TEXT(ROW()-4,"0000"))</f>
        <v>0</v>
      </c>
      <c r="R125" s="20">
        <f>IF(B125="","",IF(I125="","",ROUND(I125*(1-IF(K125="",0,K125))+IF(J125="",0,J125),2)))</f>
        <v>0</v>
      </c>
      <c r="S125" s="45">
        <f>IF(B125="","",IF(OR(R125="",G125="",G125=0),"",ROUND(R125/G125,4)))</f>
        <v>0</v>
      </c>
      <c r="T125" s="13">
        <f>IF(B125="","",IFERROR(INDEX(UnitBases,MATCH(H125,UnitNames,0)),""))</f>
        <v>0</v>
      </c>
      <c r="U125" s="41">
        <f>IF(B125="","",IFERROR(INDEX(UnitFactors,MATCH(H125,UnitNames,0)),""))</f>
        <v>0</v>
      </c>
      <c r="V125" s="45">
        <f>IF(B125="","",IF(OR(S125="",U125="",U125=0),"",ROUND(S125/U125,4)))</f>
        <v>0</v>
      </c>
      <c r="W125" s="33">
        <f>IF(B125="","",IF(L125="",DefaultWaste,L125))</f>
        <v>0</v>
      </c>
      <c r="X125" s="45">
        <f>IF(B125="","",IF(S125="","",ROUND(S125*(1+W125),4)))</f>
        <v>0</v>
      </c>
      <c r="Y125" s="20">
        <f>IF(B125="","",IF(OR(M125="",S125=""),"",ROUND(M125*S125,2)))</f>
        <v>0</v>
      </c>
      <c r="Z125" s="32">
        <f>IF(B125="","",COUNTIFS('Material Usage'!$C$5:$C$904,A125))</f>
        <v>0</v>
      </c>
      <c r="AA125" s="36">
        <f>IF(B125="","",SUMIFS('Material Usage'!$K$5:$K$904,'Material Usage'!$C$5:$C$904,A125))</f>
        <v>0</v>
      </c>
      <c r="AB125" s="20">
        <f>IF(B125="","",ROUND(SUMIFS('Material Usage'!$M$5:$M$904,'Material Usage'!$C$5:$C$904,A125),2))</f>
        <v>0</v>
      </c>
      <c r="AC125" s="32">
        <f>IF(B125="","",IF(OR(M125="",AA125="",AA125&lt;=0),"",ROUNDDOWN(M125/AA125,0)))</f>
        <v>0</v>
      </c>
      <c r="AD125" s="33">
        <f>IF(B125="","",IF(OR(O125="",O125=0,I125=""),"",(I125-O125)/O125))</f>
        <v>0</v>
      </c>
      <c r="AE125" s="43">
        <f>IF(B125="","",IF(M125="","Not tracked",IF(M125&lt;=0,"Out of stock",IF(AND(N125&lt;&gt;"",M125&lt;=N125),"Low stock","In stock"))))</f>
        <v>0</v>
      </c>
      <c r="AF125" s="32">
        <f>IF(B125="","",COUNTIFS($AB$5:$AB$254,"&gt;"&amp;AB125)+COUNTIFS($AB$5:AB125,AB125))</f>
        <v>0</v>
      </c>
      <c r="AG125" s="43">
        <f>IF(B125="","",IF(I125="","Add - no price yet",IF(OR(G125="",G125=0),"Add - how much is in a pack?",IF(AE125="Out of stock","Order - none left",IF(AE125="Low stock","Order - running low",IF(AND(AD125&lt;&gt;"",AD125&gt;0.075),"Check - price jumped, re-price the products",IF(AND(P125&lt;&gt;"",TodayDate-P125&gt;365),"Check - price is over a year old","OK")))))))</f>
        <v>0</v>
      </c>
    </row>
    <row r="126" spans="1:33">
      <c r="A126" s="38">
        <f>IF(B126="","",MaterialPrefix&amp;TEXT(ROW()-4,"0000"))</f>
        <v>0</v>
      </c>
      <c r="R126" s="20">
        <f>IF(B126="","",IF(I126="","",ROUND(I126*(1-IF(K126="",0,K126))+IF(J126="",0,J126),2)))</f>
        <v>0</v>
      </c>
      <c r="S126" s="45">
        <f>IF(B126="","",IF(OR(R126="",G126="",G126=0),"",ROUND(R126/G126,4)))</f>
        <v>0</v>
      </c>
      <c r="T126" s="13">
        <f>IF(B126="","",IFERROR(INDEX(UnitBases,MATCH(H126,UnitNames,0)),""))</f>
        <v>0</v>
      </c>
      <c r="U126" s="41">
        <f>IF(B126="","",IFERROR(INDEX(UnitFactors,MATCH(H126,UnitNames,0)),""))</f>
        <v>0</v>
      </c>
      <c r="V126" s="45">
        <f>IF(B126="","",IF(OR(S126="",U126="",U126=0),"",ROUND(S126/U126,4)))</f>
        <v>0</v>
      </c>
      <c r="W126" s="33">
        <f>IF(B126="","",IF(L126="",DefaultWaste,L126))</f>
        <v>0</v>
      </c>
      <c r="X126" s="45">
        <f>IF(B126="","",IF(S126="","",ROUND(S126*(1+W126),4)))</f>
        <v>0</v>
      </c>
      <c r="Y126" s="20">
        <f>IF(B126="","",IF(OR(M126="",S126=""),"",ROUND(M126*S126,2)))</f>
        <v>0</v>
      </c>
      <c r="Z126" s="32">
        <f>IF(B126="","",COUNTIFS('Material Usage'!$C$5:$C$904,A126))</f>
        <v>0</v>
      </c>
      <c r="AA126" s="36">
        <f>IF(B126="","",SUMIFS('Material Usage'!$K$5:$K$904,'Material Usage'!$C$5:$C$904,A126))</f>
        <v>0</v>
      </c>
      <c r="AB126" s="20">
        <f>IF(B126="","",ROUND(SUMIFS('Material Usage'!$M$5:$M$904,'Material Usage'!$C$5:$C$904,A126),2))</f>
        <v>0</v>
      </c>
      <c r="AC126" s="32">
        <f>IF(B126="","",IF(OR(M126="",AA126="",AA126&lt;=0),"",ROUNDDOWN(M126/AA126,0)))</f>
        <v>0</v>
      </c>
      <c r="AD126" s="33">
        <f>IF(B126="","",IF(OR(O126="",O126=0,I126=""),"",(I126-O126)/O126))</f>
        <v>0</v>
      </c>
      <c r="AE126" s="43">
        <f>IF(B126="","",IF(M126="","Not tracked",IF(M126&lt;=0,"Out of stock",IF(AND(N126&lt;&gt;"",M126&lt;=N126),"Low stock","In stock"))))</f>
        <v>0</v>
      </c>
      <c r="AF126" s="32">
        <f>IF(B126="","",COUNTIFS($AB$5:$AB$254,"&gt;"&amp;AB126)+COUNTIFS($AB$5:AB126,AB126))</f>
        <v>0</v>
      </c>
      <c r="AG126" s="43">
        <f>IF(B126="","",IF(I126="","Add - no price yet",IF(OR(G126="",G126=0),"Add - how much is in a pack?",IF(AE126="Out of stock","Order - none left",IF(AE126="Low stock","Order - running low",IF(AND(AD126&lt;&gt;"",AD126&gt;0.075),"Check - price jumped, re-price the products",IF(AND(P126&lt;&gt;"",TodayDate-P126&gt;365),"Check - price is over a year old","OK")))))))</f>
        <v>0</v>
      </c>
    </row>
    <row r="127" spans="1:33">
      <c r="A127" s="38">
        <f>IF(B127="","",MaterialPrefix&amp;TEXT(ROW()-4,"0000"))</f>
        <v>0</v>
      </c>
      <c r="R127" s="20">
        <f>IF(B127="","",IF(I127="","",ROUND(I127*(1-IF(K127="",0,K127))+IF(J127="",0,J127),2)))</f>
        <v>0</v>
      </c>
      <c r="S127" s="45">
        <f>IF(B127="","",IF(OR(R127="",G127="",G127=0),"",ROUND(R127/G127,4)))</f>
        <v>0</v>
      </c>
      <c r="T127" s="13">
        <f>IF(B127="","",IFERROR(INDEX(UnitBases,MATCH(H127,UnitNames,0)),""))</f>
        <v>0</v>
      </c>
      <c r="U127" s="41">
        <f>IF(B127="","",IFERROR(INDEX(UnitFactors,MATCH(H127,UnitNames,0)),""))</f>
        <v>0</v>
      </c>
      <c r="V127" s="45">
        <f>IF(B127="","",IF(OR(S127="",U127="",U127=0),"",ROUND(S127/U127,4)))</f>
        <v>0</v>
      </c>
      <c r="W127" s="33">
        <f>IF(B127="","",IF(L127="",DefaultWaste,L127))</f>
        <v>0</v>
      </c>
      <c r="X127" s="45">
        <f>IF(B127="","",IF(S127="","",ROUND(S127*(1+W127),4)))</f>
        <v>0</v>
      </c>
      <c r="Y127" s="20">
        <f>IF(B127="","",IF(OR(M127="",S127=""),"",ROUND(M127*S127,2)))</f>
        <v>0</v>
      </c>
      <c r="Z127" s="32">
        <f>IF(B127="","",COUNTIFS('Material Usage'!$C$5:$C$904,A127))</f>
        <v>0</v>
      </c>
      <c r="AA127" s="36">
        <f>IF(B127="","",SUMIFS('Material Usage'!$K$5:$K$904,'Material Usage'!$C$5:$C$904,A127))</f>
        <v>0</v>
      </c>
      <c r="AB127" s="20">
        <f>IF(B127="","",ROUND(SUMIFS('Material Usage'!$M$5:$M$904,'Material Usage'!$C$5:$C$904,A127),2))</f>
        <v>0</v>
      </c>
      <c r="AC127" s="32">
        <f>IF(B127="","",IF(OR(M127="",AA127="",AA127&lt;=0),"",ROUNDDOWN(M127/AA127,0)))</f>
        <v>0</v>
      </c>
      <c r="AD127" s="33">
        <f>IF(B127="","",IF(OR(O127="",O127=0,I127=""),"",(I127-O127)/O127))</f>
        <v>0</v>
      </c>
      <c r="AE127" s="43">
        <f>IF(B127="","",IF(M127="","Not tracked",IF(M127&lt;=0,"Out of stock",IF(AND(N127&lt;&gt;"",M127&lt;=N127),"Low stock","In stock"))))</f>
        <v>0</v>
      </c>
      <c r="AF127" s="32">
        <f>IF(B127="","",COUNTIFS($AB$5:$AB$254,"&gt;"&amp;AB127)+COUNTIFS($AB$5:AB127,AB127))</f>
        <v>0</v>
      </c>
      <c r="AG127" s="43">
        <f>IF(B127="","",IF(I127="","Add - no price yet",IF(OR(G127="",G127=0),"Add - how much is in a pack?",IF(AE127="Out of stock","Order - none left",IF(AE127="Low stock","Order - running low",IF(AND(AD127&lt;&gt;"",AD127&gt;0.075),"Check - price jumped, re-price the products",IF(AND(P127&lt;&gt;"",TodayDate-P127&gt;365),"Check - price is over a year old","OK")))))))</f>
        <v>0</v>
      </c>
    </row>
    <row r="128" spans="1:33">
      <c r="A128" s="38">
        <f>IF(B128="","",MaterialPrefix&amp;TEXT(ROW()-4,"0000"))</f>
        <v>0</v>
      </c>
      <c r="R128" s="20">
        <f>IF(B128="","",IF(I128="","",ROUND(I128*(1-IF(K128="",0,K128))+IF(J128="",0,J128),2)))</f>
        <v>0</v>
      </c>
      <c r="S128" s="45">
        <f>IF(B128="","",IF(OR(R128="",G128="",G128=0),"",ROUND(R128/G128,4)))</f>
        <v>0</v>
      </c>
      <c r="T128" s="13">
        <f>IF(B128="","",IFERROR(INDEX(UnitBases,MATCH(H128,UnitNames,0)),""))</f>
        <v>0</v>
      </c>
      <c r="U128" s="41">
        <f>IF(B128="","",IFERROR(INDEX(UnitFactors,MATCH(H128,UnitNames,0)),""))</f>
        <v>0</v>
      </c>
      <c r="V128" s="45">
        <f>IF(B128="","",IF(OR(S128="",U128="",U128=0),"",ROUND(S128/U128,4)))</f>
        <v>0</v>
      </c>
      <c r="W128" s="33">
        <f>IF(B128="","",IF(L128="",DefaultWaste,L128))</f>
        <v>0</v>
      </c>
      <c r="X128" s="45">
        <f>IF(B128="","",IF(S128="","",ROUND(S128*(1+W128),4)))</f>
        <v>0</v>
      </c>
      <c r="Y128" s="20">
        <f>IF(B128="","",IF(OR(M128="",S128=""),"",ROUND(M128*S128,2)))</f>
        <v>0</v>
      </c>
      <c r="Z128" s="32">
        <f>IF(B128="","",COUNTIFS('Material Usage'!$C$5:$C$904,A128))</f>
        <v>0</v>
      </c>
      <c r="AA128" s="36">
        <f>IF(B128="","",SUMIFS('Material Usage'!$K$5:$K$904,'Material Usage'!$C$5:$C$904,A128))</f>
        <v>0</v>
      </c>
      <c r="AB128" s="20">
        <f>IF(B128="","",ROUND(SUMIFS('Material Usage'!$M$5:$M$904,'Material Usage'!$C$5:$C$904,A128),2))</f>
        <v>0</v>
      </c>
      <c r="AC128" s="32">
        <f>IF(B128="","",IF(OR(M128="",AA128="",AA128&lt;=0),"",ROUNDDOWN(M128/AA128,0)))</f>
        <v>0</v>
      </c>
      <c r="AD128" s="33">
        <f>IF(B128="","",IF(OR(O128="",O128=0,I128=""),"",(I128-O128)/O128))</f>
        <v>0</v>
      </c>
      <c r="AE128" s="43">
        <f>IF(B128="","",IF(M128="","Not tracked",IF(M128&lt;=0,"Out of stock",IF(AND(N128&lt;&gt;"",M128&lt;=N128),"Low stock","In stock"))))</f>
        <v>0</v>
      </c>
      <c r="AF128" s="32">
        <f>IF(B128="","",COUNTIFS($AB$5:$AB$254,"&gt;"&amp;AB128)+COUNTIFS($AB$5:AB128,AB128))</f>
        <v>0</v>
      </c>
      <c r="AG128" s="43">
        <f>IF(B128="","",IF(I128="","Add - no price yet",IF(OR(G128="",G128=0),"Add - how much is in a pack?",IF(AE128="Out of stock","Order - none left",IF(AE128="Low stock","Order - running low",IF(AND(AD128&lt;&gt;"",AD128&gt;0.075),"Check - price jumped, re-price the products",IF(AND(P128&lt;&gt;"",TodayDate-P128&gt;365),"Check - price is over a year old","OK")))))))</f>
        <v>0</v>
      </c>
    </row>
    <row r="129" spans="1:33">
      <c r="A129" s="38">
        <f>IF(B129="","",MaterialPrefix&amp;TEXT(ROW()-4,"0000"))</f>
        <v>0</v>
      </c>
      <c r="R129" s="20">
        <f>IF(B129="","",IF(I129="","",ROUND(I129*(1-IF(K129="",0,K129))+IF(J129="",0,J129),2)))</f>
        <v>0</v>
      </c>
      <c r="S129" s="45">
        <f>IF(B129="","",IF(OR(R129="",G129="",G129=0),"",ROUND(R129/G129,4)))</f>
        <v>0</v>
      </c>
      <c r="T129" s="13">
        <f>IF(B129="","",IFERROR(INDEX(UnitBases,MATCH(H129,UnitNames,0)),""))</f>
        <v>0</v>
      </c>
      <c r="U129" s="41">
        <f>IF(B129="","",IFERROR(INDEX(UnitFactors,MATCH(H129,UnitNames,0)),""))</f>
        <v>0</v>
      </c>
      <c r="V129" s="45">
        <f>IF(B129="","",IF(OR(S129="",U129="",U129=0),"",ROUND(S129/U129,4)))</f>
        <v>0</v>
      </c>
      <c r="W129" s="33">
        <f>IF(B129="","",IF(L129="",DefaultWaste,L129))</f>
        <v>0</v>
      </c>
      <c r="X129" s="45">
        <f>IF(B129="","",IF(S129="","",ROUND(S129*(1+W129),4)))</f>
        <v>0</v>
      </c>
      <c r="Y129" s="20">
        <f>IF(B129="","",IF(OR(M129="",S129=""),"",ROUND(M129*S129,2)))</f>
        <v>0</v>
      </c>
      <c r="Z129" s="32">
        <f>IF(B129="","",COUNTIFS('Material Usage'!$C$5:$C$904,A129))</f>
        <v>0</v>
      </c>
      <c r="AA129" s="36">
        <f>IF(B129="","",SUMIFS('Material Usage'!$K$5:$K$904,'Material Usage'!$C$5:$C$904,A129))</f>
        <v>0</v>
      </c>
      <c r="AB129" s="20">
        <f>IF(B129="","",ROUND(SUMIFS('Material Usage'!$M$5:$M$904,'Material Usage'!$C$5:$C$904,A129),2))</f>
        <v>0</v>
      </c>
      <c r="AC129" s="32">
        <f>IF(B129="","",IF(OR(M129="",AA129="",AA129&lt;=0),"",ROUNDDOWN(M129/AA129,0)))</f>
        <v>0</v>
      </c>
      <c r="AD129" s="33">
        <f>IF(B129="","",IF(OR(O129="",O129=0,I129=""),"",(I129-O129)/O129))</f>
        <v>0</v>
      </c>
      <c r="AE129" s="43">
        <f>IF(B129="","",IF(M129="","Not tracked",IF(M129&lt;=0,"Out of stock",IF(AND(N129&lt;&gt;"",M129&lt;=N129),"Low stock","In stock"))))</f>
        <v>0</v>
      </c>
      <c r="AF129" s="32">
        <f>IF(B129="","",COUNTIFS($AB$5:$AB$254,"&gt;"&amp;AB129)+COUNTIFS($AB$5:AB129,AB129))</f>
        <v>0</v>
      </c>
      <c r="AG129" s="43">
        <f>IF(B129="","",IF(I129="","Add - no price yet",IF(OR(G129="",G129=0),"Add - how much is in a pack?",IF(AE129="Out of stock","Order - none left",IF(AE129="Low stock","Order - running low",IF(AND(AD129&lt;&gt;"",AD129&gt;0.075),"Check - price jumped, re-price the products",IF(AND(P129&lt;&gt;"",TodayDate-P129&gt;365),"Check - price is over a year old","OK")))))))</f>
        <v>0</v>
      </c>
    </row>
    <row r="130" spans="1:33">
      <c r="A130" s="38">
        <f>IF(B130="","",MaterialPrefix&amp;TEXT(ROW()-4,"0000"))</f>
        <v>0</v>
      </c>
      <c r="R130" s="20">
        <f>IF(B130="","",IF(I130="","",ROUND(I130*(1-IF(K130="",0,K130))+IF(J130="",0,J130),2)))</f>
        <v>0</v>
      </c>
      <c r="S130" s="45">
        <f>IF(B130="","",IF(OR(R130="",G130="",G130=0),"",ROUND(R130/G130,4)))</f>
        <v>0</v>
      </c>
      <c r="T130" s="13">
        <f>IF(B130="","",IFERROR(INDEX(UnitBases,MATCH(H130,UnitNames,0)),""))</f>
        <v>0</v>
      </c>
      <c r="U130" s="41">
        <f>IF(B130="","",IFERROR(INDEX(UnitFactors,MATCH(H130,UnitNames,0)),""))</f>
        <v>0</v>
      </c>
      <c r="V130" s="45">
        <f>IF(B130="","",IF(OR(S130="",U130="",U130=0),"",ROUND(S130/U130,4)))</f>
        <v>0</v>
      </c>
      <c r="W130" s="33">
        <f>IF(B130="","",IF(L130="",DefaultWaste,L130))</f>
        <v>0</v>
      </c>
      <c r="X130" s="45">
        <f>IF(B130="","",IF(S130="","",ROUND(S130*(1+W130),4)))</f>
        <v>0</v>
      </c>
      <c r="Y130" s="20">
        <f>IF(B130="","",IF(OR(M130="",S130=""),"",ROUND(M130*S130,2)))</f>
        <v>0</v>
      </c>
      <c r="Z130" s="32">
        <f>IF(B130="","",COUNTIFS('Material Usage'!$C$5:$C$904,A130))</f>
        <v>0</v>
      </c>
      <c r="AA130" s="36">
        <f>IF(B130="","",SUMIFS('Material Usage'!$K$5:$K$904,'Material Usage'!$C$5:$C$904,A130))</f>
        <v>0</v>
      </c>
      <c r="AB130" s="20">
        <f>IF(B130="","",ROUND(SUMIFS('Material Usage'!$M$5:$M$904,'Material Usage'!$C$5:$C$904,A130),2))</f>
        <v>0</v>
      </c>
      <c r="AC130" s="32">
        <f>IF(B130="","",IF(OR(M130="",AA130="",AA130&lt;=0),"",ROUNDDOWN(M130/AA130,0)))</f>
        <v>0</v>
      </c>
      <c r="AD130" s="33">
        <f>IF(B130="","",IF(OR(O130="",O130=0,I130=""),"",(I130-O130)/O130))</f>
        <v>0</v>
      </c>
      <c r="AE130" s="43">
        <f>IF(B130="","",IF(M130="","Not tracked",IF(M130&lt;=0,"Out of stock",IF(AND(N130&lt;&gt;"",M130&lt;=N130),"Low stock","In stock"))))</f>
        <v>0</v>
      </c>
      <c r="AF130" s="32">
        <f>IF(B130="","",COUNTIFS($AB$5:$AB$254,"&gt;"&amp;AB130)+COUNTIFS($AB$5:AB130,AB130))</f>
        <v>0</v>
      </c>
      <c r="AG130" s="43">
        <f>IF(B130="","",IF(I130="","Add - no price yet",IF(OR(G130="",G130=0),"Add - how much is in a pack?",IF(AE130="Out of stock","Order - none left",IF(AE130="Low stock","Order - running low",IF(AND(AD130&lt;&gt;"",AD130&gt;0.075),"Check - price jumped, re-price the products",IF(AND(P130&lt;&gt;"",TodayDate-P130&gt;365),"Check - price is over a year old","OK")))))))</f>
        <v>0</v>
      </c>
    </row>
    <row r="131" spans="1:33">
      <c r="A131" s="38">
        <f>IF(B131="","",MaterialPrefix&amp;TEXT(ROW()-4,"0000"))</f>
        <v>0</v>
      </c>
      <c r="R131" s="20">
        <f>IF(B131="","",IF(I131="","",ROUND(I131*(1-IF(K131="",0,K131))+IF(J131="",0,J131),2)))</f>
        <v>0</v>
      </c>
      <c r="S131" s="45">
        <f>IF(B131="","",IF(OR(R131="",G131="",G131=0),"",ROUND(R131/G131,4)))</f>
        <v>0</v>
      </c>
      <c r="T131" s="13">
        <f>IF(B131="","",IFERROR(INDEX(UnitBases,MATCH(H131,UnitNames,0)),""))</f>
        <v>0</v>
      </c>
      <c r="U131" s="41">
        <f>IF(B131="","",IFERROR(INDEX(UnitFactors,MATCH(H131,UnitNames,0)),""))</f>
        <v>0</v>
      </c>
      <c r="V131" s="45">
        <f>IF(B131="","",IF(OR(S131="",U131="",U131=0),"",ROUND(S131/U131,4)))</f>
        <v>0</v>
      </c>
      <c r="W131" s="33">
        <f>IF(B131="","",IF(L131="",DefaultWaste,L131))</f>
        <v>0</v>
      </c>
      <c r="X131" s="45">
        <f>IF(B131="","",IF(S131="","",ROUND(S131*(1+W131),4)))</f>
        <v>0</v>
      </c>
      <c r="Y131" s="20">
        <f>IF(B131="","",IF(OR(M131="",S131=""),"",ROUND(M131*S131,2)))</f>
        <v>0</v>
      </c>
      <c r="Z131" s="32">
        <f>IF(B131="","",COUNTIFS('Material Usage'!$C$5:$C$904,A131))</f>
        <v>0</v>
      </c>
      <c r="AA131" s="36">
        <f>IF(B131="","",SUMIFS('Material Usage'!$K$5:$K$904,'Material Usage'!$C$5:$C$904,A131))</f>
        <v>0</v>
      </c>
      <c r="AB131" s="20">
        <f>IF(B131="","",ROUND(SUMIFS('Material Usage'!$M$5:$M$904,'Material Usage'!$C$5:$C$904,A131),2))</f>
        <v>0</v>
      </c>
      <c r="AC131" s="32">
        <f>IF(B131="","",IF(OR(M131="",AA131="",AA131&lt;=0),"",ROUNDDOWN(M131/AA131,0)))</f>
        <v>0</v>
      </c>
      <c r="AD131" s="33">
        <f>IF(B131="","",IF(OR(O131="",O131=0,I131=""),"",(I131-O131)/O131))</f>
        <v>0</v>
      </c>
      <c r="AE131" s="43">
        <f>IF(B131="","",IF(M131="","Not tracked",IF(M131&lt;=0,"Out of stock",IF(AND(N131&lt;&gt;"",M131&lt;=N131),"Low stock","In stock"))))</f>
        <v>0</v>
      </c>
      <c r="AF131" s="32">
        <f>IF(B131="","",COUNTIFS($AB$5:$AB$254,"&gt;"&amp;AB131)+COUNTIFS($AB$5:AB131,AB131))</f>
        <v>0</v>
      </c>
      <c r="AG131" s="43">
        <f>IF(B131="","",IF(I131="","Add - no price yet",IF(OR(G131="",G131=0),"Add - how much is in a pack?",IF(AE131="Out of stock","Order - none left",IF(AE131="Low stock","Order - running low",IF(AND(AD131&lt;&gt;"",AD131&gt;0.075),"Check - price jumped, re-price the products",IF(AND(P131&lt;&gt;"",TodayDate-P131&gt;365),"Check - price is over a year old","OK")))))))</f>
        <v>0</v>
      </c>
    </row>
    <row r="132" spans="1:33">
      <c r="A132" s="38">
        <f>IF(B132="","",MaterialPrefix&amp;TEXT(ROW()-4,"0000"))</f>
        <v>0</v>
      </c>
      <c r="R132" s="20">
        <f>IF(B132="","",IF(I132="","",ROUND(I132*(1-IF(K132="",0,K132))+IF(J132="",0,J132),2)))</f>
        <v>0</v>
      </c>
      <c r="S132" s="45">
        <f>IF(B132="","",IF(OR(R132="",G132="",G132=0),"",ROUND(R132/G132,4)))</f>
        <v>0</v>
      </c>
      <c r="T132" s="13">
        <f>IF(B132="","",IFERROR(INDEX(UnitBases,MATCH(H132,UnitNames,0)),""))</f>
        <v>0</v>
      </c>
      <c r="U132" s="41">
        <f>IF(B132="","",IFERROR(INDEX(UnitFactors,MATCH(H132,UnitNames,0)),""))</f>
        <v>0</v>
      </c>
      <c r="V132" s="45">
        <f>IF(B132="","",IF(OR(S132="",U132="",U132=0),"",ROUND(S132/U132,4)))</f>
        <v>0</v>
      </c>
      <c r="W132" s="33">
        <f>IF(B132="","",IF(L132="",DefaultWaste,L132))</f>
        <v>0</v>
      </c>
      <c r="X132" s="45">
        <f>IF(B132="","",IF(S132="","",ROUND(S132*(1+W132),4)))</f>
        <v>0</v>
      </c>
      <c r="Y132" s="20">
        <f>IF(B132="","",IF(OR(M132="",S132=""),"",ROUND(M132*S132,2)))</f>
        <v>0</v>
      </c>
      <c r="Z132" s="32">
        <f>IF(B132="","",COUNTIFS('Material Usage'!$C$5:$C$904,A132))</f>
        <v>0</v>
      </c>
      <c r="AA132" s="36">
        <f>IF(B132="","",SUMIFS('Material Usage'!$K$5:$K$904,'Material Usage'!$C$5:$C$904,A132))</f>
        <v>0</v>
      </c>
      <c r="AB132" s="20">
        <f>IF(B132="","",ROUND(SUMIFS('Material Usage'!$M$5:$M$904,'Material Usage'!$C$5:$C$904,A132),2))</f>
        <v>0</v>
      </c>
      <c r="AC132" s="32">
        <f>IF(B132="","",IF(OR(M132="",AA132="",AA132&lt;=0),"",ROUNDDOWN(M132/AA132,0)))</f>
        <v>0</v>
      </c>
      <c r="AD132" s="33">
        <f>IF(B132="","",IF(OR(O132="",O132=0,I132=""),"",(I132-O132)/O132))</f>
        <v>0</v>
      </c>
      <c r="AE132" s="43">
        <f>IF(B132="","",IF(M132="","Not tracked",IF(M132&lt;=0,"Out of stock",IF(AND(N132&lt;&gt;"",M132&lt;=N132),"Low stock","In stock"))))</f>
        <v>0</v>
      </c>
      <c r="AF132" s="32">
        <f>IF(B132="","",COUNTIFS($AB$5:$AB$254,"&gt;"&amp;AB132)+COUNTIFS($AB$5:AB132,AB132))</f>
        <v>0</v>
      </c>
      <c r="AG132" s="43">
        <f>IF(B132="","",IF(I132="","Add - no price yet",IF(OR(G132="",G132=0),"Add - how much is in a pack?",IF(AE132="Out of stock","Order - none left",IF(AE132="Low stock","Order - running low",IF(AND(AD132&lt;&gt;"",AD132&gt;0.075),"Check - price jumped, re-price the products",IF(AND(P132&lt;&gt;"",TodayDate-P132&gt;365),"Check - price is over a year old","OK")))))))</f>
        <v>0</v>
      </c>
    </row>
    <row r="133" spans="1:33">
      <c r="A133" s="38">
        <f>IF(B133="","",MaterialPrefix&amp;TEXT(ROW()-4,"0000"))</f>
        <v>0</v>
      </c>
      <c r="R133" s="20">
        <f>IF(B133="","",IF(I133="","",ROUND(I133*(1-IF(K133="",0,K133))+IF(J133="",0,J133),2)))</f>
        <v>0</v>
      </c>
      <c r="S133" s="45">
        <f>IF(B133="","",IF(OR(R133="",G133="",G133=0),"",ROUND(R133/G133,4)))</f>
        <v>0</v>
      </c>
      <c r="T133" s="13">
        <f>IF(B133="","",IFERROR(INDEX(UnitBases,MATCH(H133,UnitNames,0)),""))</f>
        <v>0</v>
      </c>
      <c r="U133" s="41">
        <f>IF(B133="","",IFERROR(INDEX(UnitFactors,MATCH(H133,UnitNames,0)),""))</f>
        <v>0</v>
      </c>
      <c r="V133" s="45">
        <f>IF(B133="","",IF(OR(S133="",U133="",U133=0),"",ROUND(S133/U133,4)))</f>
        <v>0</v>
      </c>
      <c r="W133" s="33">
        <f>IF(B133="","",IF(L133="",DefaultWaste,L133))</f>
        <v>0</v>
      </c>
      <c r="X133" s="45">
        <f>IF(B133="","",IF(S133="","",ROUND(S133*(1+W133),4)))</f>
        <v>0</v>
      </c>
      <c r="Y133" s="20">
        <f>IF(B133="","",IF(OR(M133="",S133=""),"",ROUND(M133*S133,2)))</f>
        <v>0</v>
      </c>
      <c r="Z133" s="32">
        <f>IF(B133="","",COUNTIFS('Material Usage'!$C$5:$C$904,A133))</f>
        <v>0</v>
      </c>
      <c r="AA133" s="36">
        <f>IF(B133="","",SUMIFS('Material Usage'!$K$5:$K$904,'Material Usage'!$C$5:$C$904,A133))</f>
        <v>0</v>
      </c>
      <c r="AB133" s="20">
        <f>IF(B133="","",ROUND(SUMIFS('Material Usage'!$M$5:$M$904,'Material Usage'!$C$5:$C$904,A133),2))</f>
        <v>0</v>
      </c>
      <c r="AC133" s="32">
        <f>IF(B133="","",IF(OR(M133="",AA133="",AA133&lt;=0),"",ROUNDDOWN(M133/AA133,0)))</f>
        <v>0</v>
      </c>
      <c r="AD133" s="33">
        <f>IF(B133="","",IF(OR(O133="",O133=0,I133=""),"",(I133-O133)/O133))</f>
        <v>0</v>
      </c>
      <c r="AE133" s="43">
        <f>IF(B133="","",IF(M133="","Not tracked",IF(M133&lt;=0,"Out of stock",IF(AND(N133&lt;&gt;"",M133&lt;=N133),"Low stock","In stock"))))</f>
        <v>0</v>
      </c>
      <c r="AF133" s="32">
        <f>IF(B133="","",COUNTIFS($AB$5:$AB$254,"&gt;"&amp;AB133)+COUNTIFS($AB$5:AB133,AB133))</f>
        <v>0</v>
      </c>
      <c r="AG133" s="43">
        <f>IF(B133="","",IF(I133="","Add - no price yet",IF(OR(G133="",G133=0),"Add - how much is in a pack?",IF(AE133="Out of stock","Order - none left",IF(AE133="Low stock","Order - running low",IF(AND(AD133&lt;&gt;"",AD133&gt;0.075),"Check - price jumped, re-price the products",IF(AND(P133&lt;&gt;"",TodayDate-P133&gt;365),"Check - price is over a year old","OK")))))))</f>
        <v>0</v>
      </c>
    </row>
    <row r="134" spans="1:33">
      <c r="A134" s="38">
        <f>IF(B134="","",MaterialPrefix&amp;TEXT(ROW()-4,"0000"))</f>
        <v>0</v>
      </c>
      <c r="R134" s="20">
        <f>IF(B134="","",IF(I134="","",ROUND(I134*(1-IF(K134="",0,K134))+IF(J134="",0,J134),2)))</f>
        <v>0</v>
      </c>
      <c r="S134" s="45">
        <f>IF(B134="","",IF(OR(R134="",G134="",G134=0),"",ROUND(R134/G134,4)))</f>
        <v>0</v>
      </c>
      <c r="T134" s="13">
        <f>IF(B134="","",IFERROR(INDEX(UnitBases,MATCH(H134,UnitNames,0)),""))</f>
        <v>0</v>
      </c>
      <c r="U134" s="41">
        <f>IF(B134="","",IFERROR(INDEX(UnitFactors,MATCH(H134,UnitNames,0)),""))</f>
        <v>0</v>
      </c>
      <c r="V134" s="45">
        <f>IF(B134="","",IF(OR(S134="",U134="",U134=0),"",ROUND(S134/U134,4)))</f>
        <v>0</v>
      </c>
      <c r="W134" s="33">
        <f>IF(B134="","",IF(L134="",DefaultWaste,L134))</f>
        <v>0</v>
      </c>
      <c r="X134" s="45">
        <f>IF(B134="","",IF(S134="","",ROUND(S134*(1+W134),4)))</f>
        <v>0</v>
      </c>
      <c r="Y134" s="20">
        <f>IF(B134="","",IF(OR(M134="",S134=""),"",ROUND(M134*S134,2)))</f>
        <v>0</v>
      </c>
      <c r="Z134" s="32">
        <f>IF(B134="","",COUNTIFS('Material Usage'!$C$5:$C$904,A134))</f>
        <v>0</v>
      </c>
      <c r="AA134" s="36">
        <f>IF(B134="","",SUMIFS('Material Usage'!$K$5:$K$904,'Material Usage'!$C$5:$C$904,A134))</f>
        <v>0</v>
      </c>
      <c r="AB134" s="20">
        <f>IF(B134="","",ROUND(SUMIFS('Material Usage'!$M$5:$M$904,'Material Usage'!$C$5:$C$904,A134),2))</f>
        <v>0</v>
      </c>
      <c r="AC134" s="32">
        <f>IF(B134="","",IF(OR(M134="",AA134="",AA134&lt;=0),"",ROUNDDOWN(M134/AA134,0)))</f>
        <v>0</v>
      </c>
      <c r="AD134" s="33">
        <f>IF(B134="","",IF(OR(O134="",O134=0,I134=""),"",(I134-O134)/O134))</f>
        <v>0</v>
      </c>
      <c r="AE134" s="43">
        <f>IF(B134="","",IF(M134="","Not tracked",IF(M134&lt;=0,"Out of stock",IF(AND(N134&lt;&gt;"",M134&lt;=N134),"Low stock","In stock"))))</f>
        <v>0</v>
      </c>
      <c r="AF134" s="32">
        <f>IF(B134="","",COUNTIFS($AB$5:$AB$254,"&gt;"&amp;AB134)+COUNTIFS($AB$5:AB134,AB134))</f>
        <v>0</v>
      </c>
      <c r="AG134" s="43">
        <f>IF(B134="","",IF(I134="","Add - no price yet",IF(OR(G134="",G134=0),"Add - how much is in a pack?",IF(AE134="Out of stock","Order - none left",IF(AE134="Low stock","Order - running low",IF(AND(AD134&lt;&gt;"",AD134&gt;0.075),"Check - price jumped, re-price the products",IF(AND(P134&lt;&gt;"",TodayDate-P134&gt;365),"Check - price is over a year old","OK")))))))</f>
        <v>0</v>
      </c>
    </row>
    <row r="135" spans="1:33">
      <c r="A135" s="38">
        <f>IF(B135="","",MaterialPrefix&amp;TEXT(ROW()-4,"0000"))</f>
        <v>0</v>
      </c>
      <c r="R135" s="20">
        <f>IF(B135="","",IF(I135="","",ROUND(I135*(1-IF(K135="",0,K135))+IF(J135="",0,J135),2)))</f>
        <v>0</v>
      </c>
      <c r="S135" s="45">
        <f>IF(B135="","",IF(OR(R135="",G135="",G135=0),"",ROUND(R135/G135,4)))</f>
        <v>0</v>
      </c>
      <c r="T135" s="13">
        <f>IF(B135="","",IFERROR(INDEX(UnitBases,MATCH(H135,UnitNames,0)),""))</f>
        <v>0</v>
      </c>
      <c r="U135" s="41">
        <f>IF(B135="","",IFERROR(INDEX(UnitFactors,MATCH(H135,UnitNames,0)),""))</f>
        <v>0</v>
      </c>
      <c r="V135" s="45">
        <f>IF(B135="","",IF(OR(S135="",U135="",U135=0),"",ROUND(S135/U135,4)))</f>
        <v>0</v>
      </c>
      <c r="W135" s="33">
        <f>IF(B135="","",IF(L135="",DefaultWaste,L135))</f>
        <v>0</v>
      </c>
      <c r="X135" s="45">
        <f>IF(B135="","",IF(S135="","",ROUND(S135*(1+W135),4)))</f>
        <v>0</v>
      </c>
      <c r="Y135" s="20">
        <f>IF(B135="","",IF(OR(M135="",S135=""),"",ROUND(M135*S135,2)))</f>
        <v>0</v>
      </c>
      <c r="Z135" s="32">
        <f>IF(B135="","",COUNTIFS('Material Usage'!$C$5:$C$904,A135))</f>
        <v>0</v>
      </c>
      <c r="AA135" s="36">
        <f>IF(B135="","",SUMIFS('Material Usage'!$K$5:$K$904,'Material Usage'!$C$5:$C$904,A135))</f>
        <v>0</v>
      </c>
      <c r="AB135" s="20">
        <f>IF(B135="","",ROUND(SUMIFS('Material Usage'!$M$5:$M$904,'Material Usage'!$C$5:$C$904,A135),2))</f>
        <v>0</v>
      </c>
      <c r="AC135" s="32">
        <f>IF(B135="","",IF(OR(M135="",AA135="",AA135&lt;=0),"",ROUNDDOWN(M135/AA135,0)))</f>
        <v>0</v>
      </c>
      <c r="AD135" s="33">
        <f>IF(B135="","",IF(OR(O135="",O135=0,I135=""),"",(I135-O135)/O135))</f>
        <v>0</v>
      </c>
      <c r="AE135" s="43">
        <f>IF(B135="","",IF(M135="","Not tracked",IF(M135&lt;=0,"Out of stock",IF(AND(N135&lt;&gt;"",M135&lt;=N135),"Low stock","In stock"))))</f>
        <v>0</v>
      </c>
      <c r="AF135" s="32">
        <f>IF(B135="","",COUNTIFS($AB$5:$AB$254,"&gt;"&amp;AB135)+COUNTIFS($AB$5:AB135,AB135))</f>
        <v>0</v>
      </c>
      <c r="AG135" s="43">
        <f>IF(B135="","",IF(I135="","Add - no price yet",IF(OR(G135="",G135=0),"Add - how much is in a pack?",IF(AE135="Out of stock","Order - none left",IF(AE135="Low stock","Order - running low",IF(AND(AD135&lt;&gt;"",AD135&gt;0.075),"Check - price jumped, re-price the products",IF(AND(P135&lt;&gt;"",TodayDate-P135&gt;365),"Check - price is over a year old","OK")))))))</f>
        <v>0</v>
      </c>
    </row>
    <row r="136" spans="1:33">
      <c r="A136" s="38">
        <f>IF(B136="","",MaterialPrefix&amp;TEXT(ROW()-4,"0000"))</f>
        <v>0</v>
      </c>
      <c r="R136" s="20">
        <f>IF(B136="","",IF(I136="","",ROUND(I136*(1-IF(K136="",0,K136))+IF(J136="",0,J136),2)))</f>
        <v>0</v>
      </c>
      <c r="S136" s="45">
        <f>IF(B136="","",IF(OR(R136="",G136="",G136=0),"",ROUND(R136/G136,4)))</f>
        <v>0</v>
      </c>
      <c r="T136" s="13">
        <f>IF(B136="","",IFERROR(INDEX(UnitBases,MATCH(H136,UnitNames,0)),""))</f>
        <v>0</v>
      </c>
      <c r="U136" s="41">
        <f>IF(B136="","",IFERROR(INDEX(UnitFactors,MATCH(H136,UnitNames,0)),""))</f>
        <v>0</v>
      </c>
      <c r="V136" s="45">
        <f>IF(B136="","",IF(OR(S136="",U136="",U136=0),"",ROUND(S136/U136,4)))</f>
        <v>0</v>
      </c>
      <c r="W136" s="33">
        <f>IF(B136="","",IF(L136="",DefaultWaste,L136))</f>
        <v>0</v>
      </c>
      <c r="X136" s="45">
        <f>IF(B136="","",IF(S136="","",ROUND(S136*(1+W136),4)))</f>
        <v>0</v>
      </c>
      <c r="Y136" s="20">
        <f>IF(B136="","",IF(OR(M136="",S136=""),"",ROUND(M136*S136,2)))</f>
        <v>0</v>
      </c>
      <c r="Z136" s="32">
        <f>IF(B136="","",COUNTIFS('Material Usage'!$C$5:$C$904,A136))</f>
        <v>0</v>
      </c>
      <c r="AA136" s="36">
        <f>IF(B136="","",SUMIFS('Material Usage'!$K$5:$K$904,'Material Usage'!$C$5:$C$904,A136))</f>
        <v>0</v>
      </c>
      <c r="AB136" s="20">
        <f>IF(B136="","",ROUND(SUMIFS('Material Usage'!$M$5:$M$904,'Material Usage'!$C$5:$C$904,A136),2))</f>
        <v>0</v>
      </c>
      <c r="AC136" s="32">
        <f>IF(B136="","",IF(OR(M136="",AA136="",AA136&lt;=0),"",ROUNDDOWN(M136/AA136,0)))</f>
        <v>0</v>
      </c>
      <c r="AD136" s="33">
        <f>IF(B136="","",IF(OR(O136="",O136=0,I136=""),"",(I136-O136)/O136))</f>
        <v>0</v>
      </c>
      <c r="AE136" s="43">
        <f>IF(B136="","",IF(M136="","Not tracked",IF(M136&lt;=0,"Out of stock",IF(AND(N136&lt;&gt;"",M136&lt;=N136),"Low stock","In stock"))))</f>
        <v>0</v>
      </c>
      <c r="AF136" s="32">
        <f>IF(B136="","",COUNTIFS($AB$5:$AB$254,"&gt;"&amp;AB136)+COUNTIFS($AB$5:AB136,AB136))</f>
        <v>0</v>
      </c>
      <c r="AG136" s="43">
        <f>IF(B136="","",IF(I136="","Add - no price yet",IF(OR(G136="",G136=0),"Add - how much is in a pack?",IF(AE136="Out of stock","Order - none left",IF(AE136="Low stock","Order - running low",IF(AND(AD136&lt;&gt;"",AD136&gt;0.075),"Check - price jumped, re-price the products",IF(AND(P136&lt;&gt;"",TodayDate-P136&gt;365),"Check - price is over a year old","OK")))))))</f>
        <v>0</v>
      </c>
    </row>
    <row r="137" spans="1:33">
      <c r="A137" s="38">
        <f>IF(B137="","",MaterialPrefix&amp;TEXT(ROW()-4,"0000"))</f>
        <v>0</v>
      </c>
      <c r="R137" s="20">
        <f>IF(B137="","",IF(I137="","",ROUND(I137*(1-IF(K137="",0,K137))+IF(J137="",0,J137),2)))</f>
        <v>0</v>
      </c>
      <c r="S137" s="45">
        <f>IF(B137="","",IF(OR(R137="",G137="",G137=0),"",ROUND(R137/G137,4)))</f>
        <v>0</v>
      </c>
      <c r="T137" s="13">
        <f>IF(B137="","",IFERROR(INDEX(UnitBases,MATCH(H137,UnitNames,0)),""))</f>
        <v>0</v>
      </c>
      <c r="U137" s="41">
        <f>IF(B137="","",IFERROR(INDEX(UnitFactors,MATCH(H137,UnitNames,0)),""))</f>
        <v>0</v>
      </c>
      <c r="V137" s="45">
        <f>IF(B137="","",IF(OR(S137="",U137="",U137=0),"",ROUND(S137/U137,4)))</f>
        <v>0</v>
      </c>
      <c r="W137" s="33">
        <f>IF(B137="","",IF(L137="",DefaultWaste,L137))</f>
        <v>0</v>
      </c>
      <c r="X137" s="45">
        <f>IF(B137="","",IF(S137="","",ROUND(S137*(1+W137),4)))</f>
        <v>0</v>
      </c>
      <c r="Y137" s="20">
        <f>IF(B137="","",IF(OR(M137="",S137=""),"",ROUND(M137*S137,2)))</f>
        <v>0</v>
      </c>
      <c r="Z137" s="32">
        <f>IF(B137="","",COUNTIFS('Material Usage'!$C$5:$C$904,A137))</f>
        <v>0</v>
      </c>
      <c r="AA137" s="36">
        <f>IF(B137="","",SUMIFS('Material Usage'!$K$5:$K$904,'Material Usage'!$C$5:$C$904,A137))</f>
        <v>0</v>
      </c>
      <c r="AB137" s="20">
        <f>IF(B137="","",ROUND(SUMIFS('Material Usage'!$M$5:$M$904,'Material Usage'!$C$5:$C$904,A137),2))</f>
        <v>0</v>
      </c>
      <c r="AC137" s="32">
        <f>IF(B137="","",IF(OR(M137="",AA137="",AA137&lt;=0),"",ROUNDDOWN(M137/AA137,0)))</f>
        <v>0</v>
      </c>
      <c r="AD137" s="33">
        <f>IF(B137="","",IF(OR(O137="",O137=0,I137=""),"",(I137-O137)/O137))</f>
        <v>0</v>
      </c>
      <c r="AE137" s="43">
        <f>IF(B137="","",IF(M137="","Not tracked",IF(M137&lt;=0,"Out of stock",IF(AND(N137&lt;&gt;"",M137&lt;=N137),"Low stock","In stock"))))</f>
        <v>0</v>
      </c>
      <c r="AF137" s="32">
        <f>IF(B137="","",COUNTIFS($AB$5:$AB$254,"&gt;"&amp;AB137)+COUNTIFS($AB$5:AB137,AB137))</f>
        <v>0</v>
      </c>
      <c r="AG137" s="43">
        <f>IF(B137="","",IF(I137="","Add - no price yet",IF(OR(G137="",G137=0),"Add - how much is in a pack?",IF(AE137="Out of stock","Order - none left",IF(AE137="Low stock","Order - running low",IF(AND(AD137&lt;&gt;"",AD137&gt;0.075),"Check - price jumped, re-price the products",IF(AND(P137&lt;&gt;"",TodayDate-P137&gt;365),"Check - price is over a year old","OK")))))))</f>
        <v>0</v>
      </c>
    </row>
    <row r="138" spans="1:33">
      <c r="A138" s="38">
        <f>IF(B138="","",MaterialPrefix&amp;TEXT(ROW()-4,"0000"))</f>
        <v>0</v>
      </c>
      <c r="R138" s="20">
        <f>IF(B138="","",IF(I138="","",ROUND(I138*(1-IF(K138="",0,K138))+IF(J138="",0,J138),2)))</f>
        <v>0</v>
      </c>
      <c r="S138" s="45">
        <f>IF(B138="","",IF(OR(R138="",G138="",G138=0),"",ROUND(R138/G138,4)))</f>
        <v>0</v>
      </c>
      <c r="T138" s="13">
        <f>IF(B138="","",IFERROR(INDEX(UnitBases,MATCH(H138,UnitNames,0)),""))</f>
        <v>0</v>
      </c>
      <c r="U138" s="41">
        <f>IF(B138="","",IFERROR(INDEX(UnitFactors,MATCH(H138,UnitNames,0)),""))</f>
        <v>0</v>
      </c>
      <c r="V138" s="45">
        <f>IF(B138="","",IF(OR(S138="",U138="",U138=0),"",ROUND(S138/U138,4)))</f>
        <v>0</v>
      </c>
      <c r="W138" s="33">
        <f>IF(B138="","",IF(L138="",DefaultWaste,L138))</f>
        <v>0</v>
      </c>
      <c r="X138" s="45">
        <f>IF(B138="","",IF(S138="","",ROUND(S138*(1+W138),4)))</f>
        <v>0</v>
      </c>
      <c r="Y138" s="20">
        <f>IF(B138="","",IF(OR(M138="",S138=""),"",ROUND(M138*S138,2)))</f>
        <v>0</v>
      </c>
      <c r="Z138" s="32">
        <f>IF(B138="","",COUNTIFS('Material Usage'!$C$5:$C$904,A138))</f>
        <v>0</v>
      </c>
      <c r="AA138" s="36">
        <f>IF(B138="","",SUMIFS('Material Usage'!$K$5:$K$904,'Material Usage'!$C$5:$C$904,A138))</f>
        <v>0</v>
      </c>
      <c r="AB138" s="20">
        <f>IF(B138="","",ROUND(SUMIFS('Material Usage'!$M$5:$M$904,'Material Usage'!$C$5:$C$904,A138),2))</f>
        <v>0</v>
      </c>
      <c r="AC138" s="32">
        <f>IF(B138="","",IF(OR(M138="",AA138="",AA138&lt;=0),"",ROUNDDOWN(M138/AA138,0)))</f>
        <v>0</v>
      </c>
      <c r="AD138" s="33">
        <f>IF(B138="","",IF(OR(O138="",O138=0,I138=""),"",(I138-O138)/O138))</f>
        <v>0</v>
      </c>
      <c r="AE138" s="43">
        <f>IF(B138="","",IF(M138="","Not tracked",IF(M138&lt;=0,"Out of stock",IF(AND(N138&lt;&gt;"",M138&lt;=N138),"Low stock","In stock"))))</f>
        <v>0</v>
      </c>
      <c r="AF138" s="32">
        <f>IF(B138="","",COUNTIFS($AB$5:$AB$254,"&gt;"&amp;AB138)+COUNTIFS($AB$5:AB138,AB138))</f>
        <v>0</v>
      </c>
      <c r="AG138" s="43">
        <f>IF(B138="","",IF(I138="","Add - no price yet",IF(OR(G138="",G138=0),"Add - how much is in a pack?",IF(AE138="Out of stock","Order - none left",IF(AE138="Low stock","Order - running low",IF(AND(AD138&lt;&gt;"",AD138&gt;0.075),"Check - price jumped, re-price the products",IF(AND(P138&lt;&gt;"",TodayDate-P138&gt;365),"Check - price is over a year old","OK")))))))</f>
        <v>0</v>
      </c>
    </row>
    <row r="139" spans="1:33">
      <c r="A139" s="38">
        <f>IF(B139="","",MaterialPrefix&amp;TEXT(ROW()-4,"0000"))</f>
        <v>0</v>
      </c>
      <c r="R139" s="20">
        <f>IF(B139="","",IF(I139="","",ROUND(I139*(1-IF(K139="",0,K139))+IF(J139="",0,J139),2)))</f>
        <v>0</v>
      </c>
      <c r="S139" s="45">
        <f>IF(B139="","",IF(OR(R139="",G139="",G139=0),"",ROUND(R139/G139,4)))</f>
        <v>0</v>
      </c>
      <c r="T139" s="13">
        <f>IF(B139="","",IFERROR(INDEX(UnitBases,MATCH(H139,UnitNames,0)),""))</f>
        <v>0</v>
      </c>
      <c r="U139" s="41">
        <f>IF(B139="","",IFERROR(INDEX(UnitFactors,MATCH(H139,UnitNames,0)),""))</f>
        <v>0</v>
      </c>
      <c r="V139" s="45">
        <f>IF(B139="","",IF(OR(S139="",U139="",U139=0),"",ROUND(S139/U139,4)))</f>
        <v>0</v>
      </c>
      <c r="W139" s="33">
        <f>IF(B139="","",IF(L139="",DefaultWaste,L139))</f>
        <v>0</v>
      </c>
      <c r="X139" s="45">
        <f>IF(B139="","",IF(S139="","",ROUND(S139*(1+W139),4)))</f>
        <v>0</v>
      </c>
      <c r="Y139" s="20">
        <f>IF(B139="","",IF(OR(M139="",S139=""),"",ROUND(M139*S139,2)))</f>
        <v>0</v>
      </c>
      <c r="Z139" s="32">
        <f>IF(B139="","",COUNTIFS('Material Usage'!$C$5:$C$904,A139))</f>
        <v>0</v>
      </c>
      <c r="AA139" s="36">
        <f>IF(B139="","",SUMIFS('Material Usage'!$K$5:$K$904,'Material Usage'!$C$5:$C$904,A139))</f>
        <v>0</v>
      </c>
      <c r="AB139" s="20">
        <f>IF(B139="","",ROUND(SUMIFS('Material Usage'!$M$5:$M$904,'Material Usage'!$C$5:$C$904,A139),2))</f>
        <v>0</v>
      </c>
      <c r="AC139" s="32">
        <f>IF(B139="","",IF(OR(M139="",AA139="",AA139&lt;=0),"",ROUNDDOWN(M139/AA139,0)))</f>
        <v>0</v>
      </c>
      <c r="AD139" s="33">
        <f>IF(B139="","",IF(OR(O139="",O139=0,I139=""),"",(I139-O139)/O139))</f>
        <v>0</v>
      </c>
      <c r="AE139" s="43">
        <f>IF(B139="","",IF(M139="","Not tracked",IF(M139&lt;=0,"Out of stock",IF(AND(N139&lt;&gt;"",M139&lt;=N139),"Low stock","In stock"))))</f>
        <v>0</v>
      </c>
      <c r="AF139" s="32">
        <f>IF(B139="","",COUNTIFS($AB$5:$AB$254,"&gt;"&amp;AB139)+COUNTIFS($AB$5:AB139,AB139))</f>
        <v>0</v>
      </c>
      <c r="AG139" s="43">
        <f>IF(B139="","",IF(I139="","Add - no price yet",IF(OR(G139="",G139=0),"Add - how much is in a pack?",IF(AE139="Out of stock","Order - none left",IF(AE139="Low stock","Order - running low",IF(AND(AD139&lt;&gt;"",AD139&gt;0.075),"Check - price jumped, re-price the products",IF(AND(P139&lt;&gt;"",TodayDate-P139&gt;365),"Check - price is over a year old","OK")))))))</f>
        <v>0</v>
      </c>
    </row>
    <row r="140" spans="1:33">
      <c r="A140" s="38">
        <f>IF(B140="","",MaterialPrefix&amp;TEXT(ROW()-4,"0000"))</f>
        <v>0</v>
      </c>
      <c r="R140" s="20">
        <f>IF(B140="","",IF(I140="","",ROUND(I140*(1-IF(K140="",0,K140))+IF(J140="",0,J140),2)))</f>
        <v>0</v>
      </c>
      <c r="S140" s="45">
        <f>IF(B140="","",IF(OR(R140="",G140="",G140=0),"",ROUND(R140/G140,4)))</f>
        <v>0</v>
      </c>
      <c r="T140" s="13">
        <f>IF(B140="","",IFERROR(INDEX(UnitBases,MATCH(H140,UnitNames,0)),""))</f>
        <v>0</v>
      </c>
      <c r="U140" s="41">
        <f>IF(B140="","",IFERROR(INDEX(UnitFactors,MATCH(H140,UnitNames,0)),""))</f>
        <v>0</v>
      </c>
      <c r="V140" s="45">
        <f>IF(B140="","",IF(OR(S140="",U140="",U140=0),"",ROUND(S140/U140,4)))</f>
        <v>0</v>
      </c>
      <c r="W140" s="33">
        <f>IF(B140="","",IF(L140="",DefaultWaste,L140))</f>
        <v>0</v>
      </c>
      <c r="X140" s="45">
        <f>IF(B140="","",IF(S140="","",ROUND(S140*(1+W140),4)))</f>
        <v>0</v>
      </c>
      <c r="Y140" s="20">
        <f>IF(B140="","",IF(OR(M140="",S140=""),"",ROUND(M140*S140,2)))</f>
        <v>0</v>
      </c>
      <c r="Z140" s="32">
        <f>IF(B140="","",COUNTIFS('Material Usage'!$C$5:$C$904,A140))</f>
        <v>0</v>
      </c>
      <c r="AA140" s="36">
        <f>IF(B140="","",SUMIFS('Material Usage'!$K$5:$K$904,'Material Usage'!$C$5:$C$904,A140))</f>
        <v>0</v>
      </c>
      <c r="AB140" s="20">
        <f>IF(B140="","",ROUND(SUMIFS('Material Usage'!$M$5:$M$904,'Material Usage'!$C$5:$C$904,A140),2))</f>
        <v>0</v>
      </c>
      <c r="AC140" s="32">
        <f>IF(B140="","",IF(OR(M140="",AA140="",AA140&lt;=0),"",ROUNDDOWN(M140/AA140,0)))</f>
        <v>0</v>
      </c>
      <c r="AD140" s="33">
        <f>IF(B140="","",IF(OR(O140="",O140=0,I140=""),"",(I140-O140)/O140))</f>
        <v>0</v>
      </c>
      <c r="AE140" s="43">
        <f>IF(B140="","",IF(M140="","Not tracked",IF(M140&lt;=0,"Out of stock",IF(AND(N140&lt;&gt;"",M140&lt;=N140),"Low stock","In stock"))))</f>
        <v>0</v>
      </c>
      <c r="AF140" s="32">
        <f>IF(B140="","",COUNTIFS($AB$5:$AB$254,"&gt;"&amp;AB140)+COUNTIFS($AB$5:AB140,AB140))</f>
        <v>0</v>
      </c>
      <c r="AG140" s="43">
        <f>IF(B140="","",IF(I140="","Add - no price yet",IF(OR(G140="",G140=0),"Add - how much is in a pack?",IF(AE140="Out of stock","Order - none left",IF(AE140="Low stock","Order - running low",IF(AND(AD140&lt;&gt;"",AD140&gt;0.075),"Check - price jumped, re-price the products",IF(AND(P140&lt;&gt;"",TodayDate-P140&gt;365),"Check - price is over a year old","OK")))))))</f>
        <v>0</v>
      </c>
    </row>
    <row r="141" spans="1:33">
      <c r="A141" s="38">
        <f>IF(B141="","",MaterialPrefix&amp;TEXT(ROW()-4,"0000"))</f>
        <v>0</v>
      </c>
      <c r="R141" s="20">
        <f>IF(B141="","",IF(I141="","",ROUND(I141*(1-IF(K141="",0,K141))+IF(J141="",0,J141),2)))</f>
        <v>0</v>
      </c>
      <c r="S141" s="45">
        <f>IF(B141="","",IF(OR(R141="",G141="",G141=0),"",ROUND(R141/G141,4)))</f>
        <v>0</v>
      </c>
      <c r="T141" s="13">
        <f>IF(B141="","",IFERROR(INDEX(UnitBases,MATCH(H141,UnitNames,0)),""))</f>
        <v>0</v>
      </c>
      <c r="U141" s="41">
        <f>IF(B141="","",IFERROR(INDEX(UnitFactors,MATCH(H141,UnitNames,0)),""))</f>
        <v>0</v>
      </c>
      <c r="V141" s="45">
        <f>IF(B141="","",IF(OR(S141="",U141="",U141=0),"",ROUND(S141/U141,4)))</f>
        <v>0</v>
      </c>
      <c r="W141" s="33">
        <f>IF(B141="","",IF(L141="",DefaultWaste,L141))</f>
        <v>0</v>
      </c>
      <c r="X141" s="45">
        <f>IF(B141="","",IF(S141="","",ROUND(S141*(1+W141),4)))</f>
        <v>0</v>
      </c>
      <c r="Y141" s="20">
        <f>IF(B141="","",IF(OR(M141="",S141=""),"",ROUND(M141*S141,2)))</f>
        <v>0</v>
      </c>
      <c r="Z141" s="32">
        <f>IF(B141="","",COUNTIFS('Material Usage'!$C$5:$C$904,A141))</f>
        <v>0</v>
      </c>
      <c r="AA141" s="36">
        <f>IF(B141="","",SUMIFS('Material Usage'!$K$5:$K$904,'Material Usage'!$C$5:$C$904,A141))</f>
        <v>0</v>
      </c>
      <c r="AB141" s="20">
        <f>IF(B141="","",ROUND(SUMIFS('Material Usage'!$M$5:$M$904,'Material Usage'!$C$5:$C$904,A141),2))</f>
        <v>0</v>
      </c>
      <c r="AC141" s="32">
        <f>IF(B141="","",IF(OR(M141="",AA141="",AA141&lt;=0),"",ROUNDDOWN(M141/AA141,0)))</f>
        <v>0</v>
      </c>
      <c r="AD141" s="33">
        <f>IF(B141="","",IF(OR(O141="",O141=0,I141=""),"",(I141-O141)/O141))</f>
        <v>0</v>
      </c>
      <c r="AE141" s="43">
        <f>IF(B141="","",IF(M141="","Not tracked",IF(M141&lt;=0,"Out of stock",IF(AND(N141&lt;&gt;"",M141&lt;=N141),"Low stock","In stock"))))</f>
        <v>0</v>
      </c>
      <c r="AF141" s="32">
        <f>IF(B141="","",COUNTIFS($AB$5:$AB$254,"&gt;"&amp;AB141)+COUNTIFS($AB$5:AB141,AB141))</f>
        <v>0</v>
      </c>
      <c r="AG141" s="43">
        <f>IF(B141="","",IF(I141="","Add - no price yet",IF(OR(G141="",G141=0),"Add - how much is in a pack?",IF(AE141="Out of stock","Order - none left",IF(AE141="Low stock","Order - running low",IF(AND(AD141&lt;&gt;"",AD141&gt;0.075),"Check - price jumped, re-price the products",IF(AND(P141&lt;&gt;"",TodayDate-P141&gt;365),"Check - price is over a year old","OK")))))))</f>
        <v>0</v>
      </c>
    </row>
    <row r="142" spans="1:33">
      <c r="A142" s="38">
        <f>IF(B142="","",MaterialPrefix&amp;TEXT(ROW()-4,"0000"))</f>
        <v>0</v>
      </c>
      <c r="R142" s="20">
        <f>IF(B142="","",IF(I142="","",ROUND(I142*(1-IF(K142="",0,K142))+IF(J142="",0,J142),2)))</f>
        <v>0</v>
      </c>
      <c r="S142" s="45">
        <f>IF(B142="","",IF(OR(R142="",G142="",G142=0),"",ROUND(R142/G142,4)))</f>
        <v>0</v>
      </c>
      <c r="T142" s="13">
        <f>IF(B142="","",IFERROR(INDEX(UnitBases,MATCH(H142,UnitNames,0)),""))</f>
        <v>0</v>
      </c>
      <c r="U142" s="41">
        <f>IF(B142="","",IFERROR(INDEX(UnitFactors,MATCH(H142,UnitNames,0)),""))</f>
        <v>0</v>
      </c>
      <c r="V142" s="45">
        <f>IF(B142="","",IF(OR(S142="",U142="",U142=0),"",ROUND(S142/U142,4)))</f>
        <v>0</v>
      </c>
      <c r="W142" s="33">
        <f>IF(B142="","",IF(L142="",DefaultWaste,L142))</f>
        <v>0</v>
      </c>
      <c r="X142" s="45">
        <f>IF(B142="","",IF(S142="","",ROUND(S142*(1+W142),4)))</f>
        <v>0</v>
      </c>
      <c r="Y142" s="20">
        <f>IF(B142="","",IF(OR(M142="",S142=""),"",ROUND(M142*S142,2)))</f>
        <v>0</v>
      </c>
      <c r="Z142" s="32">
        <f>IF(B142="","",COUNTIFS('Material Usage'!$C$5:$C$904,A142))</f>
        <v>0</v>
      </c>
      <c r="AA142" s="36">
        <f>IF(B142="","",SUMIFS('Material Usage'!$K$5:$K$904,'Material Usage'!$C$5:$C$904,A142))</f>
        <v>0</v>
      </c>
      <c r="AB142" s="20">
        <f>IF(B142="","",ROUND(SUMIFS('Material Usage'!$M$5:$M$904,'Material Usage'!$C$5:$C$904,A142),2))</f>
        <v>0</v>
      </c>
      <c r="AC142" s="32">
        <f>IF(B142="","",IF(OR(M142="",AA142="",AA142&lt;=0),"",ROUNDDOWN(M142/AA142,0)))</f>
        <v>0</v>
      </c>
      <c r="AD142" s="33">
        <f>IF(B142="","",IF(OR(O142="",O142=0,I142=""),"",(I142-O142)/O142))</f>
        <v>0</v>
      </c>
      <c r="AE142" s="43">
        <f>IF(B142="","",IF(M142="","Not tracked",IF(M142&lt;=0,"Out of stock",IF(AND(N142&lt;&gt;"",M142&lt;=N142),"Low stock","In stock"))))</f>
        <v>0</v>
      </c>
      <c r="AF142" s="32">
        <f>IF(B142="","",COUNTIFS($AB$5:$AB$254,"&gt;"&amp;AB142)+COUNTIFS($AB$5:AB142,AB142))</f>
        <v>0</v>
      </c>
      <c r="AG142" s="43">
        <f>IF(B142="","",IF(I142="","Add - no price yet",IF(OR(G142="",G142=0),"Add - how much is in a pack?",IF(AE142="Out of stock","Order - none left",IF(AE142="Low stock","Order - running low",IF(AND(AD142&lt;&gt;"",AD142&gt;0.075),"Check - price jumped, re-price the products",IF(AND(P142&lt;&gt;"",TodayDate-P142&gt;365),"Check - price is over a year old","OK")))))))</f>
        <v>0</v>
      </c>
    </row>
    <row r="143" spans="1:33">
      <c r="A143" s="38">
        <f>IF(B143="","",MaterialPrefix&amp;TEXT(ROW()-4,"0000"))</f>
        <v>0</v>
      </c>
      <c r="R143" s="20">
        <f>IF(B143="","",IF(I143="","",ROUND(I143*(1-IF(K143="",0,K143))+IF(J143="",0,J143),2)))</f>
        <v>0</v>
      </c>
      <c r="S143" s="45">
        <f>IF(B143="","",IF(OR(R143="",G143="",G143=0),"",ROUND(R143/G143,4)))</f>
        <v>0</v>
      </c>
      <c r="T143" s="13">
        <f>IF(B143="","",IFERROR(INDEX(UnitBases,MATCH(H143,UnitNames,0)),""))</f>
        <v>0</v>
      </c>
      <c r="U143" s="41">
        <f>IF(B143="","",IFERROR(INDEX(UnitFactors,MATCH(H143,UnitNames,0)),""))</f>
        <v>0</v>
      </c>
      <c r="V143" s="45">
        <f>IF(B143="","",IF(OR(S143="",U143="",U143=0),"",ROUND(S143/U143,4)))</f>
        <v>0</v>
      </c>
      <c r="W143" s="33">
        <f>IF(B143="","",IF(L143="",DefaultWaste,L143))</f>
        <v>0</v>
      </c>
      <c r="X143" s="45">
        <f>IF(B143="","",IF(S143="","",ROUND(S143*(1+W143),4)))</f>
        <v>0</v>
      </c>
      <c r="Y143" s="20">
        <f>IF(B143="","",IF(OR(M143="",S143=""),"",ROUND(M143*S143,2)))</f>
        <v>0</v>
      </c>
      <c r="Z143" s="32">
        <f>IF(B143="","",COUNTIFS('Material Usage'!$C$5:$C$904,A143))</f>
        <v>0</v>
      </c>
      <c r="AA143" s="36">
        <f>IF(B143="","",SUMIFS('Material Usage'!$K$5:$K$904,'Material Usage'!$C$5:$C$904,A143))</f>
        <v>0</v>
      </c>
      <c r="AB143" s="20">
        <f>IF(B143="","",ROUND(SUMIFS('Material Usage'!$M$5:$M$904,'Material Usage'!$C$5:$C$904,A143),2))</f>
        <v>0</v>
      </c>
      <c r="AC143" s="32">
        <f>IF(B143="","",IF(OR(M143="",AA143="",AA143&lt;=0),"",ROUNDDOWN(M143/AA143,0)))</f>
        <v>0</v>
      </c>
      <c r="AD143" s="33">
        <f>IF(B143="","",IF(OR(O143="",O143=0,I143=""),"",(I143-O143)/O143))</f>
        <v>0</v>
      </c>
      <c r="AE143" s="43">
        <f>IF(B143="","",IF(M143="","Not tracked",IF(M143&lt;=0,"Out of stock",IF(AND(N143&lt;&gt;"",M143&lt;=N143),"Low stock","In stock"))))</f>
        <v>0</v>
      </c>
      <c r="AF143" s="32">
        <f>IF(B143="","",COUNTIFS($AB$5:$AB$254,"&gt;"&amp;AB143)+COUNTIFS($AB$5:AB143,AB143))</f>
        <v>0</v>
      </c>
      <c r="AG143" s="43">
        <f>IF(B143="","",IF(I143="","Add - no price yet",IF(OR(G143="",G143=0),"Add - how much is in a pack?",IF(AE143="Out of stock","Order - none left",IF(AE143="Low stock","Order - running low",IF(AND(AD143&lt;&gt;"",AD143&gt;0.075),"Check - price jumped, re-price the products",IF(AND(P143&lt;&gt;"",TodayDate-P143&gt;365),"Check - price is over a year old","OK")))))))</f>
        <v>0</v>
      </c>
    </row>
    <row r="144" spans="1:33">
      <c r="A144" s="38">
        <f>IF(B144="","",MaterialPrefix&amp;TEXT(ROW()-4,"0000"))</f>
        <v>0</v>
      </c>
      <c r="R144" s="20">
        <f>IF(B144="","",IF(I144="","",ROUND(I144*(1-IF(K144="",0,K144))+IF(J144="",0,J144),2)))</f>
        <v>0</v>
      </c>
      <c r="S144" s="45">
        <f>IF(B144="","",IF(OR(R144="",G144="",G144=0),"",ROUND(R144/G144,4)))</f>
        <v>0</v>
      </c>
      <c r="T144" s="13">
        <f>IF(B144="","",IFERROR(INDEX(UnitBases,MATCH(H144,UnitNames,0)),""))</f>
        <v>0</v>
      </c>
      <c r="U144" s="41">
        <f>IF(B144="","",IFERROR(INDEX(UnitFactors,MATCH(H144,UnitNames,0)),""))</f>
        <v>0</v>
      </c>
      <c r="V144" s="45">
        <f>IF(B144="","",IF(OR(S144="",U144="",U144=0),"",ROUND(S144/U144,4)))</f>
        <v>0</v>
      </c>
      <c r="W144" s="33">
        <f>IF(B144="","",IF(L144="",DefaultWaste,L144))</f>
        <v>0</v>
      </c>
      <c r="X144" s="45">
        <f>IF(B144="","",IF(S144="","",ROUND(S144*(1+W144),4)))</f>
        <v>0</v>
      </c>
      <c r="Y144" s="20">
        <f>IF(B144="","",IF(OR(M144="",S144=""),"",ROUND(M144*S144,2)))</f>
        <v>0</v>
      </c>
      <c r="Z144" s="32">
        <f>IF(B144="","",COUNTIFS('Material Usage'!$C$5:$C$904,A144))</f>
        <v>0</v>
      </c>
      <c r="AA144" s="36">
        <f>IF(B144="","",SUMIFS('Material Usage'!$K$5:$K$904,'Material Usage'!$C$5:$C$904,A144))</f>
        <v>0</v>
      </c>
      <c r="AB144" s="20">
        <f>IF(B144="","",ROUND(SUMIFS('Material Usage'!$M$5:$M$904,'Material Usage'!$C$5:$C$904,A144),2))</f>
        <v>0</v>
      </c>
      <c r="AC144" s="32">
        <f>IF(B144="","",IF(OR(M144="",AA144="",AA144&lt;=0),"",ROUNDDOWN(M144/AA144,0)))</f>
        <v>0</v>
      </c>
      <c r="AD144" s="33">
        <f>IF(B144="","",IF(OR(O144="",O144=0,I144=""),"",(I144-O144)/O144))</f>
        <v>0</v>
      </c>
      <c r="AE144" s="43">
        <f>IF(B144="","",IF(M144="","Not tracked",IF(M144&lt;=0,"Out of stock",IF(AND(N144&lt;&gt;"",M144&lt;=N144),"Low stock","In stock"))))</f>
        <v>0</v>
      </c>
      <c r="AF144" s="32">
        <f>IF(B144="","",COUNTIFS($AB$5:$AB$254,"&gt;"&amp;AB144)+COUNTIFS($AB$5:AB144,AB144))</f>
        <v>0</v>
      </c>
      <c r="AG144" s="43">
        <f>IF(B144="","",IF(I144="","Add - no price yet",IF(OR(G144="",G144=0),"Add - how much is in a pack?",IF(AE144="Out of stock","Order - none left",IF(AE144="Low stock","Order - running low",IF(AND(AD144&lt;&gt;"",AD144&gt;0.075),"Check - price jumped, re-price the products",IF(AND(P144&lt;&gt;"",TodayDate-P144&gt;365),"Check - price is over a year old","OK")))))))</f>
        <v>0</v>
      </c>
    </row>
    <row r="145" spans="1:33">
      <c r="A145" s="38">
        <f>IF(B145="","",MaterialPrefix&amp;TEXT(ROW()-4,"0000"))</f>
        <v>0</v>
      </c>
      <c r="R145" s="20">
        <f>IF(B145="","",IF(I145="","",ROUND(I145*(1-IF(K145="",0,K145))+IF(J145="",0,J145),2)))</f>
        <v>0</v>
      </c>
      <c r="S145" s="45">
        <f>IF(B145="","",IF(OR(R145="",G145="",G145=0),"",ROUND(R145/G145,4)))</f>
        <v>0</v>
      </c>
      <c r="T145" s="13">
        <f>IF(B145="","",IFERROR(INDEX(UnitBases,MATCH(H145,UnitNames,0)),""))</f>
        <v>0</v>
      </c>
      <c r="U145" s="41">
        <f>IF(B145="","",IFERROR(INDEX(UnitFactors,MATCH(H145,UnitNames,0)),""))</f>
        <v>0</v>
      </c>
      <c r="V145" s="45">
        <f>IF(B145="","",IF(OR(S145="",U145="",U145=0),"",ROUND(S145/U145,4)))</f>
        <v>0</v>
      </c>
      <c r="W145" s="33">
        <f>IF(B145="","",IF(L145="",DefaultWaste,L145))</f>
        <v>0</v>
      </c>
      <c r="X145" s="45">
        <f>IF(B145="","",IF(S145="","",ROUND(S145*(1+W145),4)))</f>
        <v>0</v>
      </c>
      <c r="Y145" s="20">
        <f>IF(B145="","",IF(OR(M145="",S145=""),"",ROUND(M145*S145,2)))</f>
        <v>0</v>
      </c>
      <c r="Z145" s="32">
        <f>IF(B145="","",COUNTIFS('Material Usage'!$C$5:$C$904,A145))</f>
        <v>0</v>
      </c>
      <c r="AA145" s="36">
        <f>IF(B145="","",SUMIFS('Material Usage'!$K$5:$K$904,'Material Usage'!$C$5:$C$904,A145))</f>
        <v>0</v>
      </c>
      <c r="AB145" s="20">
        <f>IF(B145="","",ROUND(SUMIFS('Material Usage'!$M$5:$M$904,'Material Usage'!$C$5:$C$904,A145),2))</f>
        <v>0</v>
      </c>
      <c r="AC145" s="32">
        <f>IF(B145="","",IF(OR(M145="",AA145="",AA145&lt;=0),"",ROUNDDOWN(M145/AA145,0)))</f>
        <v>0</v>
      </c>
      <c r="AD145" s="33">
        <f>IF(B145="","",IF(OR(O145="",O145=0,I145=""),"",(I145-O145)/O145))</f>
        <v>0</v>
      </c>
      <c r="AE145" s="43">
        <f>IF(B145="","",IF(M145="","Not tracked",IF(M145&lt;=0,"Out of stock",IF(AND(N145&lt;&gt;"",M145&lt;=N145),"Low stock","In stock"))))</f>
        <v>0</v>
      </c>
      <c r="AF145" s="32">
        <f>IF(B145="","",COUNTIFS($AB$5:$AB$254,"&gt;"&amp;AB145)+COUNTIFS($AB$5:AB145,AB145))</f>
        <v>0</v>
      </c>
      <c r="AG145" s="43">
        <f>IF(B145="","",IF(I145="","Add - no price yet",IF(OR(G145="",G145=0),"Add - how much is in a pack?",IF(AE145="Out of stock","Order - none left",IF(AE145="Low stock","Order - running low",IF(AND(AD145&lt;&gt;"",AD145&gt;0.075),"Check - price jumped, re-price the products",IF(AND(P145&lt;&gt;"",TodayDate-P145&gt;365),"Check - price is over a year old","OK")))))))</f>
        <v>0</v>
      </c>
    </row>
    <row r="146" spans="1:33">
      <c r="A146" s="38">
        <f>IF(B146="","",MaterialPrefix&amp;TEXT(ROW()-4,"0000"))</f>
        <v>0</v>
      </c>
      <c r="R146" s="20">
        <f>IF(B146="","",IF(I146="","",ROUND(I146*(1-IF(K146="",0,K146))+IF(J146="",0,J146),2)))</f>
        <v>0</v>
      </c>
      <c r="S146" s="45">
        <f>IF(B146="","",IF(OR(R146="",G146="",G146=0),"",ROUND(R146/G146,4)))</f>
        <v>0</v>
      </c>
      <c r="T146" s="13">
        <f>IF(B146="","",IFERROR(INDEX(UnitBases,MATCH(H146,UnitNames,0)),""))</f>
        <v>0</v>
      </c>
      <c r="U146" s="41">
        <f>IF(B146="","",IFERROR(INDEX(UnitFactors,MATCH(H146,UnitNames,0)),""))</f>
        <v>0</v>
      </c>
      <c r="V146" s="45">
        <f>IF(B146="","",IF(OR(S146="",U146="",U146=0),"",ROUND(S146/U146,4)))</f>
        <v>0</v>
      </c>
      <c r="W146" s="33">
        <f>IF(B146="","",IF(L146="",DefaultWaste,L146))</f>
        <v>0</v>
      </c>
      <c r="X146" s="45">
        <f>IF(B146="","",IF(S146="","",ROUND(S146*(1+W146),4)))</f>
        <v>0</v>
      </c>
      <c r="Y146" s="20">
        <f>IF(B146="","",IF(OR(M146="",S146=""),"",ROUND(M146*S146,2)))</f>
        <v>0</v>
      </c>
      <c r="Z146" s="32">
        <f>IF(B146="","",COUNTIFS('Material Usage'!$C$5:$C$904,A146))</f>
        <v>0</v>
      </c>
      <c r="AA146" s="36">
        <f>IF(B146="","",SUMIFS('Material Usage'!$K$5:$K$904,'Material Usage'!$C$5:$C$904,A146))</f>
        <v>0</v>
      </c>
      <c r="AB146" s="20">
        <f>IF(B146="","",ROUND(SUMIFS('Material Usage'!$M$5:$M$904,'Material Usage'!$C$5:$C$904,A146),2))</f>
        <v>0</v>
      </c>
      <c r="AC146" s="32">
        <f>IF(B146="","",IF(OR(M146="",AA146="",AA146&lt;=0),"",ROUNDDOWN(M146/AA146,0)))</f>
        <v>0</v>
      </c>
      <c r="AD146" s="33">
        <f>IF(B146="","",IF(OR(O146="",O146=0,I146=""),"",(I146-O146)/O146))</f>
        <v>0</v>
      </c>
      <c r="AE146" s="43">
        <f>IF(B146="","",IF(M146="","Not tracked",IF(M146&lt;=0,"Out of stock",IF(AND(N146&lt;&gt;"",M146&lt;=N146),"Low stock","In stock"))))</f>
        <v>0</v>
      </c>
      <c r="AF146" s="32">
        <f>IF(B146="","",COUNTIFS($AB$5:$AB$254,"&gt;"&amp;AB146)+COUNTIFS($AB$5:AB146,AB146))</f>
        <v>0</v>
      </c>
      <c r="AG146" s="43">
        <f>IF(B146="","",IF(I146="","Add - no price yet",IF(OR(G146="",G146=0),"Add - how much is in a pack?",IF(AE146="Out of stock","Order - none left",IF(AE146="Low stock","Order - running low",IF(AND(AD146&lt;&gt;"",AD146&gt;0.075),"Check - price jumped, re-price the products",IF(AND(P146&lt;&gt;"",TodayDate-P146&gt;365),"Check - price is over a year old","OK")))))))</f>
        <v>0</v>
      </c>
    </row>
    <row r="147" spans="1:33">
      <c r="A147" s="38">
        <f>IF(B147="","",MaterialPrefix&amp;TEXT(ROW()-4,"0000"))</f>
        <v>0</v>
      </c>
      <c r="R147" s="20">
        <f>IF(B147="","",IF(I147="","",ROUND(I147*(1-IF(K147="",0,K147))+IF(J147="",0,J147),2)))</f>
        <v>0</v>
      </c>
      <c r="S147" s="45">
        <f>IF(B147="","",IF(OR(R147="",G147="",G147=0),"",ROUND(R147/G147,4)))</f>
        <v>0</v>
      </c>
      <c r="T147" s="13">
        <f>IF(B147="","",IFERROR(INDEX(UnitBases,MATCH(H147,UnitNames,0)),""))</f>
        <v>0</v>
      </c>
      <c r="U147" s="41">
        <f>IF(B147="","",IFERROR(INDEX(UnitFactors,MATCH(H147,UnitNames,0)),""))</f>
        <v>0</v>
      </c>
      <c r="V147" s="45">
        <f>IF(B147="","",IF(OR(S147="",U147="",U147=0),"",ROUND(S147/U147,4)))</f>
        <v>0</v>
      </c>
      <c r="W147" s="33">
        <f>IF(B147="","",IF(L147="",DefaultWaste,L147))</f>
        <v>0</v>
      </c>
      <c r="X147" s="45">
        <f>IF(B147="","",IF(S147="","",ROUND(S147*(1+W147),4)))</f>
        <v>0</v>
      </c>
      <c r="Y147" s="20">
        <f>IF(B147="","",IF(OR(M147="",S147=""),"",ROUND(M147*S147,2)))</f>
        <v>0</v>
      </c>
      <c r="Z147" s="32">
        <f>IF(B147="","",COUNTIFS('Material Usage'!$C$5:$C$904,A147))</f>
        <v>0</v>
      </c>
      <c r="AA147" s="36">
        <f>IF(B147="","",SUMIFS('Material Usage'!$K$5:$K$904,'Material Usage'!$C$5:$C$904,A147))</f>
        <v>0</v>
      </c>
      <c r="AB147" s="20">
        <f>IF(B147="","",ROUND(SUMIFS('Material Usage'!$M$5:$M$904,'Material Usage'!$C$5:$C$904,A147),2))</f>
        <v>0</v>
      </c>
      <c r="AC147" s="32">
        <f>IF(B147="","",IF(OR(M147="",AA147="",AA147&lt;=0),"",ROUNDDOWN(M147/AA147,0)))</f>
        <v>0</v>
      </c>
      <c r="AD147" s="33">
        <f>IF(B147="","",IF(OR(O147="",O147=0,I147=""),"",(I147-O147)/O147))</f>
        <v>0</v>
      </c>
      <c r="AE147" s="43">
        <f>IF(B147="","",IF(M147="","Not tracked",IF(M147&lt;=0,"Out of stock",IF(AND(N147&lt;&gt;"",M147&lt;=N147),"Low stock","In stock"))))</f>
        <v>0</v>
      </c>
      <c r="AF147" s="32">
        <f>IF(B147="","",COUNTIFS($AB$5:$AB$254,"&gt;"&amp;AB147)+COUNTIFS($AB$5:AB147,AB147))</f>
        <v>0</v>
      </c>
      <c r="AG147" s="43">
        <f>IF(B147="","",IF(I147="","Add - no price yet",IF(OR(G147="",G147=0),"Add - how much is in a pack?",IF(AE147="Out of stock","Order - none left",IF(AE147="Low stock","Order - running low",IF(AND(AD147&lt;&gt;"",AD147&gt;0.075),"Check - price jumped, re-price the products",IF(AND(P147&lt;&gt;"",TodayDate-P147&gt;365),"Check - price is over a year old","OK")))))))</f>
        <v>0</v>
      </c>
    </row>
    <row r="148" spans="1:33">
      <c r="A148" s="38">
        <f>IF(B148="","",MaterialPrefix&amp;TEXT(ROW()-4,"0000"))</f>
        <v>0</v>
      </c>
      <c r="R148" s="20">
        <f>IF(B148="","",IF(I148="","",ROUND(I148*(1-IF(K148="",0,K148))+IF(J148="",0,J148),2)))</f>
        <v>0</v>
      </c>
      <c r="S148" s="45">
        <f>IF(B148="","",IF(OR(R148="",G148="",G148=0),"",ROUND(R148/G148,4)))</f>
        <v>0</v>
      </c>
      <c r="T148" s="13">
        <f>IF(B148="","",IFERROR(INDEX(UnitBases,MATCH(H148,UnitNames,0)),""))</f>
        <v>0</v>
      </c>
      <c r="U148" s="41">
        <f>IF(B148="","",IFERROR(INDEX(UnitFactors,MATCH(H148,UnitNames,0)),""))</f>
        <v>0</v>
      </c>
      <c r="V148" s="45">
        <f>IF(B148="","",IF(OR(S148="",U148="",U148=0),"",ROUND(S148/U148,4)))</f>
        <v>0</v>
      </c>
      <c r="W148" s="33">
        <f>IF(B148="","",IF(L148="",DefaultWaste,L148))</f>
        <v>0</v>
      </c>
      <c r="X148" s="45">
        <f>IF(B148="","",IF(S148="","",ROUND(S148*(1+W148),4)))</f>
        <v>0</v>
      </c>
      <c r="Y148" s="20">
        <f>IF(B148="","",IF(OR(M148="",S148=""),"",ROUND(M148*S148,2)))</f>
        <v>0</v>
      </c>
      <c r="Z148" s="32">
        <f>IF(B148="","",COUNTIFS('Material Usage'!$C$5:$C$904,A148))</f>
        <v>0</v>
      </c>
      <c r="AA148" s="36">
        <f>IF(B148="","",SUMIFS('Material Usage'!$K$5:$K$904,'Material Usage'!$C$5:$C$904,A148))</f>
        <v>0</v>
      </c>
      <c r="AB148" s="20">
        <f>IF(B148="","",ROUND(SUMIFS('Material Usage'!$M$5:$M$904,'Material Usage'!$C$5:$C$904,A148),2))</f>
        <v>0</v>
      </c>
      <c r="AC148" s="32">
        <f>IF(B148="","",IF(OR(M148="",AA148="",AA148&lt;=0),"",ROUNDDOWN(M148/AA148,0)))</f>
        <v>0</v>
      </c>
      <c r="AD148" s="33">
        <f>IF(B148="","",IF(OR(O148="",O148=0,I148=""),"",(I148-O148)/O148))</f>
        <v>0</v>
      </c>
      <c r="AE148" s="43">
        <f>IF(B148="","",IF(M148="","Not tracked",IF(M148&lt;=0,"Out of stock",IF(AND(N148&lt;&gt;"",M148&lt;=N148),"Low stock","In stock"))))</f>
        <v>0</v>
      </c>
      <c r="AF148" s="32">
        <f>IF(B148="","",COUNTIFS($AB$5:$AB$254,"&gt;"&amp;AB148)+COUNTIFS($AB$5:AB148,AB148))</f>
        <v>0</v>
      </c>
      <c r="AG148" s="43">
        <f>IF(B148="","",IF(I148="","Add - no price yet",IF(OR(G148="",G148=0),"Add - how much is in a pack?",IF(AE148="Out of stock","Order - none left",IF(AE148="Low stock","Order - running low",IF(AND(AD148&lt;&gt;"",AD148&gt;0.075),"Check - price jumped, re-price the products",IF(AND(P148&lt;&gt;"",TodayDate-P148&gt;365),"Check - price is over a year old","OK")))))))</f>
        <v>0</v>
      </c>
    </row>
    <row r="149" spans="1:33">
      <c r="A149" s="38">
        <f>IF(B149="","",MaterialPrefix&amp;TEXT(ROW()-4,"0000"))</f>
        <v>0</v>
      </c>
      <c r="R149" s="20">
        <f>IF(B149="","",IF(I149="","",ROUND(I149*(1-IF(K149="",0,K149))+IF(J149="",0,J149),2)))</f>
        <v>0</v>
      </c>
      <c r="S149" s="45">
        <f>IF(B149="","",IF(OR(R149="",G149="",G149=0),"",ROUND(R149/G149,4)))</f>
        <v>0</v>
      </c>
      <c r="T149" s="13">
        <f>IF(B149="","",IFERROR(INDEX(UnitBases,MATCH(H149,UnitNames,0)),""))</f>
        <v>0</v>
      </c>
      <c r="U149" s="41">
        <f>IF(B149="","",IFERROR(INDEX(UnitFactors,MATCH(H149,UnitNames,0)),""))</f>
        <v>0</v>
      </c>
      <c r="V149" s="45">
        <f>IF(B149="","",IF(OR(S149="",U149="",U149=0),"",ROUND(S149/U149,4)))</f>
        <v>0</v>
      </c>
      <c r="W149" s="33">
        <f>IF(B149="","",IF(L149="",DefaultWaste,L149))</f>
        <v>0</v>
      </c>
      <c r="X149" s="45">
        <f>IF(B149="","",IF(S149="","",ROUND(S149*(1+W149),4)))</f>
        <v>0</v>
      </c>
      <c r="Y149" s="20">
        <f>IF(B149="","",IF(OR(M149="",S149=""),"",ROUND(M149*S149,2)))</f>
        <v>0</v>
      </c>
      <c r="Z149" s="32">
        <f>IF(B149="","",COUNTIFS('Material Usage'!$C$5:$C$904,A149))</f>
        <v>0</v>
      </c>
      <c r="AA149" s="36">
        <f>IF(B149="","",SUMIFS('Material Usage'!$K$5:$K$904,'Material Usage'!$C$5:$C$904,A149))</f>
        <v>0</v>
      </c>
      <c r="AB149" s="20">
        <f>IF(B149="","",ROUND(SUMIFS('Material Usage'!$M$5:$M$904,'Material Usage'!$C$5:$C$904,A149),2))</f>
        <v>0</v>
      </c>
      <c r="AC149" s="32">
        <f>IF(B149="","",IF(OR(M149="",AA149="",AA149&lt;=0),"",ROUNDDOWN(M149/AA149,0)))</f>
        <v>0</v>
      </c>
      <c r="AD149" s="33">
        <f>IF(B149="","",IF(OR(O149="",O149=0,I149=""),"",(I149-O149)/O149))</f>
        <v>0</v>
      </c>
      <c r="AE149" s="43">
        <f>IF(B149="","",IF(M149="","Not tracked",IF(M149&lt;=0,"Out of stock",IF(AND(N149&lt;&gt;"",M149&lt;=N149),"Low stock","In stock"))))</f>
        <v>0</v>
      </c>
      <c r="AF149" s="32">
        <f>IF(B149="","",COUNTIFS($AB$5:$AB$254,"&gt;"&amp;AB149)+COUNTIFS($AB$5:AB149,AB149))</f>
        <v>0</v>
      </c>
      <c r="AG149" s="43">
        <f>IF(B149="","",IF(I149="","Add - no price yet",IF(OR(G149="",G149=0),"Add - how much is in a pack?",IF(AE149="Out of stock","Order - none left",IF(AE149="Low stock","Order - running low",IF(AND(AD149&lt;&gt;"",AD149&gt;0.075),"Check - price jumped, re-price the products",IF(AND(P149&lt;&gt;"",TodayDate-P149&gt;365),"Check - price is over a year old","OK")))))))</f>
        <v>0</v>
      </c>
    </row>
    <row r="150" spans="1:33">
      <c r="A150" s="38">
        <f>IF(B150="","",MaterialPrefix&amp;TEXT(ROW()-4,"0000"))</f>
        <v>0</v>
      </c>
      <c r="R150" s="20">
        <f>IF(B150="","",IF(I150="","",ROUND(I150*(1-IF(K150="",0,K150))+IF(J150="",0,J150),2)))</f>
        <v>0</v>
      </c>
      <c r="S150" s="45">
        <f>IF(B150="","",IF(OR(R150="",G150="",G150=0),"",ROUND(R150/G150,4)))</f>
        <v>0</v>
      </c>
      <c r="T150" s="13">
        <f>IF(B150="","",IFERROR(INDEX(UnitBases,MATCH(H150,UnitNames,0)),""))</f>
        <v>0</v>
      </c>
      <c r="U150" s="41">
        <f>IF(B150="","",IFERROR(INDEX(UnitFactors,MATCH(H150,UnitNames,0)),""))</f>
        <v>0</v>
      </c>
      <c r="V150" s="45">
        <f>IF(B150="","",IF(OR(S150="",U150="",U150=0),"",ROUND(S150/U150,4)))</f>
        <v>0</v>
      </c>
      <c r="W150" s="33">
        <f>IF(B150="","",IF(L150="",DefaultWaste,L150))</f>
        <v>0</v>
      </c>
      <c r="X150" s="45">
        <f>IF(B150="","",IF(S150="","",ROUND(S150*(1+W150),4)))</f>
        <v>0</v>
      </c>
      <c r="Y150" s="20">
        <f>IF(B150="","",IF(OR(M150="",S150=""),"",ROUND(M150*S150,2)))</f>
        <v>0</v>
      </c>
      <c r="Z150" s="32">
        <f>IF(B150="","",COUNTIFS('Material Usage'!$C$5:$C$904,A150))</f>
        <v>0</v>
      </c>
      <c r="AA150" s="36">
        <f>IF(B150="","",SUMIFS('Material Usage'!$K$5:$K$904,'Material Usage'!$C$5:$C$904,A150))</f>
        <v>0</v>
      </c>
      <c r="AB150" s="20">
        <f>IF(B150="","",ROUND(SUMIFS('Material Usage'!$M$5:$M$904,'Material Usage'!$C$5:$C$904,A150),2))</f>
        <v>0</v>
      </c>
      <c r="AC150" s="32">
        <f>IF(B150="","",IF(OR(M150="",AA150="",AA150&lt;=0),"",ROUNDDOWN(M150/AA150,0)))</f>
        <v>0</v>
      </c>
      <c r="AD150" s="33">
        <f>IF(B150="","",IF(OR(O150="",O150=0,I150=""),"",(I150-O150)/O150))</f>
        <v>0</v>
      </c>
      <c r="AE150" s="43">
        <f>IF(B150="","",IF(M150="","Not tracked",IF(M150&lt;=0,"Out of stock",IF(AND(N150&lt;&gt;"",M150&lt;=N150),"Low stock","In stock"))))</f>
        <v>0</v>
      </c>
      <c r="AF150" s="32">
        <f>IF(B150="","",COUNTIFS($AB$5:$AB$254,"&gt;"&amp;AB150)+COUNTIFS($AB$5:AB150,AB150))</f>
        <v>0</v>
      </c>
      <c r="AG150" s="43">
        <f>IF(B150="","",IF(I150="","Add - no price yet",IF(OR(G150="",G150=0),"Add - how much is in a pack?",IF(AE150="Out of stock","Order - none left",IF(AE150="Low stock","Order - running low",IF(AND(AD150&lt;&gt;"",AD150&gt;0.075),"Check - price jumped, re-price the products",IF(AND(P150&lt;&gt;"",TodayDate-P150&gt;365),"Check - price is over a year old","OK")))))))</f>
        <v>0</v>
      </c>
    </row>
    <row r="151" spans="1:33">
      <c r="A151" s="38">
        <f>IF(B151="","",MaterialPrefix&amp;TEXT(ROW()-4,"0000"))</f>
        <v>0</v>
      </c>
      <c r="R151" s="20">
        <f>IF(B151="","",IF(I151="","",ROUND(I151*(1-IF(K151="",0,K151))+IF(J151="",0,J151),2)))</f>
        <v>0</v>
      </c>
      <c r="S151" s="45">
        <f>IF(B151="","",IF(OR(R151="",G151="",G151=0),"",ROUND(R151/G151,4)))</f>
        <v>0</v>
      </c>
      <c r="T151" s="13">
        <f>IF(B151="","",IFERROR(INDEX(UnitBases,MATCH(H151,UnitNames,0)),""))</f>
        <v>0</v>
      </c>
      <c r="U151" s="41">
        <f>IF(B151="","",IFERROR(INDEX(UnitFactors,MATCH(H151,UnitNames,0)),""))</f>
        <v>0</v>
      </c>
      <c r="V151" s="45">
        <f>IF(B151="","",IF(OR(S151="",U151="",U151=0),"",ROUND(S151/U151,4)))</f>
        <v>0</v>
      </c>
      <c r="W151" s="33">
        <f>IF(B151="","",IF(L151="",DefaultWaste,L151))</f>
        <v>0</v>
      </c>
      <c r="X151" s="45">
        <f>IF(B151="","",IF(S151="","",ROUND(S151*(1+W151),4)))</f>
        <v>0</v>
      </c>
      <c r="Y151" s="20">
        <f>IF(B151="","",IF(OR(M151="",S151=""),"",ROUND(M151*S151,2)))</f>
        <v>0</v>
      </c>
      <c r="Z151" s="32">
        <f>IF(B151="","",COUNTIFS('Material Usage'!$C$5:$C$904,A151))</f>
        <v>0</v>
      </c>
      <c r="AA151" s="36">
        <f>IF(B151="","",SUMIFS('Material Usage'!$K$5:$K$904,'Material Usage'!$C$5:$C$904,A151))</f>
        <v>0</v>
      </c>
      <c r="AB151" s="20">
        <f>IF(B151="","",ROUND(SUMIFS('Material Usage'!$M$5:$M$904,'Material Usage'!$C$5:$C$904,A151),2))</f>
        <v>0</v>
      </c>
      <c r="AC151" s="32">
        <f>IF(B151="","",IF(OR(M151="",AA151="",AA151&lt;=0),"",ROUNDDOWN(M151/AA151,0)))</f>
        <v>0</v>
      </c>
      <c r="AD151" s="33">
        <f>IF(B151="","",IF(OR(O151="",O151=0,I151=""),"",(I151-O151)/O151))</f>
        <v>0</v>
      </c>
      <c r="AE151" s="43">
        <f>IF(B151="","",IF(M151="","Not tracked",IF(M151&lt;=0,"Out of stock",IF(AND(N151&lt;&gt;"",M151&lt;=N151),"Low stock","In stock"))))</f>
        <v>0</v>
      </c>
      <c r="AF151" s="32">
        <f>IF(B151="","",COUNTIFS($AB$5:$AB$254,"&gt;"&amp;AB151)+COUNTIFS($AB$5:AB151,AB151))</f>
        <v>0</v>
      </c>
      <c r="AG151" s="43">
        <f>IF(B151="","",IF(I151="","Add - no price yet",IF(OR(G151="",G151=0),"Add - how much is in a pack?",IF(AE151="Out of stock","Order - none left",IF(AE151="Low stock","Order - running low",IF(AND(AD151&lt;&gt;"",AD151&gt;0.075),"Check - price jumped, re-price the products",IF(AND(P151&lt;&gt;"",TodayDate-P151&gt;365),"Check - price is over a year old","OK")))))))</f>
        <v>0</v>
      </c>
    </row>
    <row r="152" spans="1:33">
      <c r="A152" s="38">
        <f>IF(B152="","",MaterialPrefix&amp;TEXT(ROW()-4,"0000"))</f>
        <v>0</v>
      </c>
      <c r="R152" s="20">
        <f>IF(B152="","",IF(I152="","",ROUND(I152*(1-IF(K152="",0,K152))+IF(J152="",0,J152),2)))</f>
        <v>0</v>
      </c>
      <c r="S152" s="45">
        <f>IF(B152="","",IF(OR(R152="",G152="",G152=0),"",ROUND(R152/G152,4)))</f>
        <v>0</v>
      </c>
      <c r="T152" s="13">
        <f>IF(B152="","",IFERROR(INDEX(UnitBases,MATCH(H152,UnitNames,0)),""))</f>
        <v>0</v>
      </c>
      <c r="U152" s="41">
        <f>IF(B152="","",IFERROR(INDEX(UnitFactors,MATCH(H152,UnitNames,0)),""))</f>
        <v>0</v>
      </c>
      <c r="V152" s="45">
        <f>IF(B152="","",IF(OR(S152="",U152="",U152=0),"",ROUND(S152/U152,4)))</f>
        <v>0</v>
      </c>
      <c r="W152" s="33">
        <f>IF(B152="","",IF(L152="",DefaultWaste,L152))</f>
        <v>0</v>
      </c>
      <c r="X152" s="45">
        <f>IF(B152="","",IF(S152="","",ROUND(S152*(1+W152),4)))</f>
        <v>0</v>
      </c>
      <c r="Y152" s="20">
        <f>IF(B152="","",IF(OR(M152="",S152=""),"",ROUND(M152*S152,2)))</f>
        <v>0</v>
      </c>
      <c r="Z152" s="32">
        <f>IF(B152="","",COUNTIFS('Material Usage'!$C$5:$C$904,A152))</f>
        <v>0</v>
      </c>
      <c r="AA152" s="36">
        <f>IF(B152="","",SUMIFS('Material Usage'!$K$5:$K$904,'Material Usage'!$C$5:$C$904,A152))</f>
        <v>0</v>
      </c>
      <c r="AB152" s="20">
        <f>IF(B152="","",ROUND(SUMIFS('Material Usage'!$M$5:$M$904,'Material Usage'!$C$5:$C$904,A152),2))</f>
        <v>0</v>
      </c>
      <c r="AC152" s="32">
        <f>IF(B152="","",IF(OR(M152="",AA152="",AA152&lt;=0),"",ROUNDDOWN(M152/AA152,0)))</f>
        <v>0</v>
      </c>
      <c r="AD152" s="33">
        <f>IF(B152="","",IF(OR(O152="",O152=0,I152=""),"",(I152-O152)/O152))</f>
        <v>0</v>
      </c>
      <c r="AE152" s="43">
        <f>IF(B152="","",IF(M152="","Not tracked",IF(M152&lt;=0,"Out of stock",IF(AND(N152&lt;&gt;"",M152&lt;=N152),"Low stock","In stock"))))</f>
        <v>0</v>
      </c>
      <c r="AF152" s="32">
        <f>IF(B152="","",COUNTIFS($AB$5:$AB$254,"&gt;"&amp;AB152)+COUNTIFS($AB$5:AB152,AB152))</f>
        <v>0</v>
      </c>
      <c r="AG152" s="43">
        <f>IF(B152="","",IF(I152="","Add - no price yet",IF(OR(G152="",G152=0),"Add - how much is in a pack?",IF(AE152="Out of stock","Order - none left",IF(AE152="Low stock","Order - running low",IF(AND(AD152&lt;&gt;"",AD152&gt;0.075),"Check - price jumped, re-price the products",IF(AND(P152&lt;&gt;"",TodayDate-P152&gt;365),"Check - price is over a year old","OK")))))))</f>
        <v>0</v>
      </c>
    </row>
    <row r="153" spans="1:33">
      <c r="A153" s="38">
        <f>IF(B153="","",MaterialPrefix&amp;TEXT(ROW()-4,"0000"))</f>
        <v>0</v>
      </c>
      <c r="R153" s="20">
        <f>IF(B153="","",IF(I153="","",ROUND(I153*(1-IF(K153="",0,K153))+IF(J153="",0,J153),2)))</f>
        <v>0</v>
      </c>
      <c r="S153" s="45">
        <f>IF(B153="","",IF(OR(R153="",G153="",G153=0),"",ROUND(R153/G153,4)))</f>
        <v>0</v>
      </c>
      <c r="T153" s="13">
        <f>IF(B153="","",IFERROR(INDEX(UnitBases,MATCH(H153,UnitNames,0)),""))</f>
        <v>0</v>
      </c>
      <c r="U153" s="41">
        <f>IF(B153="","",IFERROR(INDEX(UnitFactors,MATCH(H153,UnitNames,0)),""))</f>
        <v>0</v>
      </c>
      <c r="V153" s="45">
        <f>IF(B153="","",IF(OR(S153="",U153="",U153=0),"",ROUND(S153/U153,4)))</f>
        <v>0</v>
      </c>
      <c r="W153" s="33">
        <f>IF(B153="","",IF(L153="",DefaultWaste,L153))</f>
        <v>0</v>
      </c>
      <c r="X153" s="45">
        <f>IF(B153="","",IF(S153="","",ROUND(S153*(1+W153),4)))</f>
        <v>0</v>
      </c>
      <c r="Y153" s="20">
        <f>IF(B153="","",IF(OR(M153="",S153=""),"",ROUND(M153*S153,2)))</f>
        <v>0</v>
      </c>
      <c r="Z153" s="32">
        <f>IF(B153="","",COUNTIFS('Material Usage'!$C$5:$C$904,A153))</f>
        <v>0</v>
      </c>
      <c r="AA153" s="36">
        <f>IF(B153="","",SUMIFS('Material Usage'!$K$5:$K$904,'Material Usage'!$C$5:$C$904,A153))</f>
        <v>0</v>
      </c>
      <c r="AB153" s="20">
        <f>IF(B153="","",ROUND(SUMIFS('Material Usage'!$M$5:$M$904,'Material Usage'!$C$5:$C$904,A153),2))</f>
        <v>0</v>
      </c>
      <c r="AC153" s="32">
        <f>IF(B153="","",IF(OR(M153="",AA153="",AA153&lt;=0),"",ROUNDDOWN(M153/AA153,0)))</f>
        <v>0</v>
      </c>
      <c r="AD153" s="33">
        <f>IF(B153="","",IF(OR(O153="",O153=0,I153=""),"",(I153-O153)/O153))</f>
        <v>0</v>
      </c>
      <c r="AE153" s="43">
        <f>IF(B153="","",IF(M153="","Not tracked",IF(M153&lt;=0,"Out of stock",IF(AND(N153&lt;&gt;"",M153&lt;=N153),"Low stock","In stock"))))</f>
        <v>0</v>
      </c>
      <c r="AF153" s="32">
        <f>IF(B153="","",COUNTIFS($AB$5:$AB$254,"&gt;"&amp;AB153)+COUNTIFS($AB$5:AB153,AB153))</f>
        <v>0</v>
      </c>
      <c r="AG153" s="43">
        <f>IF(B153="","",IF(I153="","Add - no price yet",IF(OR(G153="",G153=0),"Add - how much is in a pack?",IF(AE153="Out of stock","Order - none left",IF(AE153="Low stock","Order - running low",IF(AND(AD153&lt;&gt;"",AD153&gt;0.075),"Check - price jumped, re-price the products",IF(AND(P153&lt;&gt;"",TodayDate-P153&gt;365),"Check - price is over a year old","OK")))))))</f>
        <v>0</v>
      </c>
    </row>
    <row r="154" spans="1:33">
      <c r="A154" s="38">
        <f>IF(B154="","",MaterialPrefix&amp;TEXT(ROW()-4,"0000"))</f>
        <v>0</v>
      </c>
      <c r="R154" s="20">
        <f>IF(B154="","",IF(I154="","",ROUND(I154*(1-IF(K154="",0,K154))+IF(J154="",0,J154),2)))</f>
        <v>0</v>
      </c>
      <c r="S154" s="45">
        <f>IF(B154="","",IF(OR(R154="",G154="",G154=0),"",ROUND(R154/G154,4)))</f>
        <v>0</v>
      </c>
      <c r="T154" s="13">
        <f>IF(B154="","",IFERROR(INDEX(UnitBases,MATCH(H154,UnitNames,0)),""))</f>
        <v>0</v>
      </c>
      <c r="U154" s="41">
        <f>IF(B154="","",IFERROR(INDEX(UnitFactors,MATCH(H154,UnitNames,0)),""))</f>
        <v>0</v>
      </c>
      <c r="V154" s="45">
        <f>IF(B154="","",IF(OR(S154="",U154="",U154=0),"",ROUND(S154/U154,4)))</f>
        <v>0</v>
      </c>
      <c r="W154" s="33">
        <f>IF(B154="","",IF(L154="",DefaultWaste,L154))</f>
        <v>0</v>
      </c>
      <c r="X154" s="45">
        <f>IF(B154="","",IF(S154="","",ROUND(S154*(1+W154),4)))</f>
        <v>0</v>
      </c>
      <c r="Y154" s="20">
        <f>IF(B154="","",IF(OR(M154="",S154=""),"",ROUND(M154*S154,2)))</f>
        <v>0</v>
      </c>
      <c r="Z154" s="32">
        <f>IF(B154="","",COUNTIFS('Material Usage'!$C$5:$C$904,A154))</f>
        <v>0</v>
      </c>
      <c r="AA154" s="36">
        <f>IF(B154="","",SUMIFS('Material Usage'!$K$5:$K$904,'Material Usage'!$C$5:$C$904,A154))</f>
        <v>0</v>
      </c>
      <c r="AB154" s="20">
        <f>IF(B154="","",ROUND(SUMIFS('Material Usage'!$M$5:$M$904,'Material Usage'!$C$5:$C$904,A154),2))</f>
        <v>0</v>
      </c>
      <c r="AC154" s="32">
        <f>IF(B154="","",IF(OR(M154="",AA154="",AA154&lt;=0),"",ROUNDDOWN(M154/AA154,0)))</f>
        <v>0</v>
      </c>
      <c r="AD154" s="33">
        <f>IF(B154="","",IF(OR(O154="",O154=0,I154=""),"",(I154-O154)/O154))</f>
        <v>0</v>
      </c>
      <c r="AE154" s="43">
        <f>IF(B154="","",IF(M154="","Not tracked",IF(M154&lt;=0,"Out of stock",IF(AND(N154&lt;&gt;"",M154&lt;=N154),"Low stock","In stock"))))</f>
        <v>0</v>
      </c>
      <c r="AF154" s="32">
        <f>IF(B154="","",COUNTIFS($AB$5:$AB$254,"&gt;"&amp;AB154)+COUNTIFS($AB$5:AB154,AB154))</f>
        <v>0</v>
      </c>
      <c r="AG154" s="43">
        <f>IF(B154="","",IF(I154="","Add - no price yet",IF(OR(G154="",G154=0),"Add - how much is in a pack?",IF(AE154="Out of stock","Order - none left",IF(AE154="Low stock","Order - running low",IF(AND(AD154&lt;&gt;"",AD154&gt;0.075),"Check - price jumped, re-price the products",IF(AND(P154&lt;&gt;"",TodayDate-P154&gt;365),"Check - price is over a year old","OK")))))))</f>
        <v>0</v>
      </c>
    </row>
    <row r="155" spans="1:33">
      <c r="A155" s="38">
        <f>IF(B155="","",MaterialPrefix&amp;TEXT(ROW()-4,"0000"))</f>
        <v>0</v>
      </c>
      <c r="R155" s="20">
        <f>IF(B155="","",IF(I155="","",ROUND(I155*(1-IF(K155="",0,K155))+IF(J155="",0,J155),2)))</f>
        <v>0</v>
      </c>
      <c r="S155" s="45">
        <f>IF(B155="","",IF(OR(R155="",G155="",G155=0),"",ROUND(R155/G155,4)))</f>
        <v>0</v>
      </c>
      <c r="T155" s="13">
        <f>IF(B155="","",IFERROR(INDEX(UnitBases,MATCH(H155,UnitNames,0)),""))</f>
        <v>0</v>
      </c>
      <c r="U155" s="41">
        <f>IF(B155="","",IFERROR(INDEX(UnitFactors,MATCH(H155,UnitNames,0)),""))</f>
        <v>0</v>
      </c>
      <c r="V155" s="45">
        <f>IF(B155="","",IF(OR(S155="",U155="",U155=0),"",ROUND(S155/U155,4)))</f>
        <v>0</v>
      </c>
      <c r="W155" s="33">
        <f>IF(B155="","",IF(L155="",DefaultWaste,L155))</f>
        <v>0</v>
      </c>
      <c r="X155" s="45">
        <f>IF(B155="","",IF(S155="","",ROUND(S155*(1+W155),4)))</f>
        <v>0</v>
      </c>
      <c r="Y155" s="20">
        <f>IF(B155="","",IF(OR(M155="",S155=""),"",ROUND(M155*S155,2)))</f>
        <v>0</v>
      </c>
      <c r="Z155" s="32">
        <f>IF(B155="","",COUNTIFS('Material Usage'!$C$5:$C$904,A155))</f>
        <v>0</v>
      </c>
      <c r="AA155" s="36">
        <f>IF(B155="","",SUMIFS('Material Usage'!$K$5:$K$904,'Material Usage'!$C$5:$C$904,A155))</f>
        <v>0</v>
      </c>
      <c r="AB155" s="20">
        <f>IF(B155="","",ROUND(SUMIFS('Material Usage'!$M$5:$M$904,'Material Usage'!$C$5:$C$904,A155),2))</f>
        <v>0</v>
      </c>
      <c r="AC155" s="32">
        <f>IF(B155="","",IF(OR(M155="",AA155="",AA155&lt;=0),"",ROUNDDOWN(M155/AA155,0)))</f>
        <v>0</v>
      </c>
      <c r="AD155" s="33">
        <f>IF(B155="","",IF(OR(O155="",O155=0,I155=""),"",(I155-O155)/O155))</f>
        <v>0</v>
      </c>
      <c r="AE155" s="43">
        <f>IF(B155="","",IF(M155="","Not tracked",IF(M155&lt;=0,"Out of stock",IF(AND(N155&lt;&gt;"",M155&lt;=N155),"Low stock","In stock"))))</f>
        <v>0</v>
      </c>
      <c r="AF155" s="32">
        <f>IF(B155="","",COUNTIFS($AB$5:$AB$254,"&gt;"&amp;AB155)+COUNTIFS($AB$5:AB155,AB155))</f>
        <v>0</v>
      </c>
      <c r="AG155" s="43">
        <f>IF(B155="","",IF(I155="","Add - no price yet",IF(OR(G155="",G155=0),"Add - how much is in a pack?",IF(AE155="Out of stock","Order - none left",IF(AE155="Low stock","Order - running low",IF(AND(AD155&lt;&gt;"",AD155&gt;0.075),"Check - price jumped, re-price the products",IF(AND(P155&lt;&gt;"",TodayDate-P155&gt;365),"Check - price is over a year old","OK")))))))</f>
        <v>0</v>
      </c>
    </row>
    <row r="156" spans="1:33">
      <c r="A156" s="38">
        <f>IF(B156="","",MaterialPrefix&amp;TEXT(ROW()-4,"0000"))</f>
        <v>0</v>
      </c>
      <c r="R156" s="20">
        <f>IF(B156="","",IF(I156="","",ROUND(I156*(1-IF(K156="",0,K156))+IF(J156="",0,J156),2)))</f>
        <v>0</v>
      </c>
      <c r="S156" s="45">
        <f>IF(B156="","",IF(OR(R156="",G156="",G156=0),"",ROUND(R156/G156,4)))</f>
        <v>0</v>
      </c>
      <c r="T156" s="13">
        <f>IF(B156="","",IFERROR(INDEX(UnitBases,MATCH(H156,UnitNames,0)),""))</f>
        <v>0</v>
      </c>
      <c r="U156" s="41">
        <f>IF(B156="","",IFERROR(INDEX(UnitFactors,MATCH(H156,UnitNames,0)),""))</f>
        <v>0</v>
      </c>
      <c r="V156" s="45">
        <f>IF(B156="","",IF(OR(S156="",U156="",U156=0),"",ROUND(S156/U156,4)))</f>
        <v>0</v>
      </c>
      <c r="W156" s="33">
        <f>IF(B156="","",IF(L156="",DefaultWaste,L156))</f>
        <v>0</v>
      </c>
      <c r="X156" s="45">
        <f>IF(B156="","",IF(S156="","",ROUND(S156*(1+W156),4)))</f>
        <v>0</v>
      </c>
      <c r="Y156" s="20">
        <f>IF(B156="","",IF(OR(M156="",S156=""),"",ROUND(M156*S156,2)))</f>
        <v>0</v>
      </c>
      <c r="Z156" s="32">
        <f>IF(B156="","",COUNTIFS('Material Usage'!$C$5:$C$904,A156))</f>
        <v>0</v>
      </c>
      <c r="AA156" s="36">
        <f>IF(B156="","",SUMIFS('Material Usage'!$K$5:$K$904,'Material Usage'!$C$5:$C$904,A156))</f>
        <v>0</v>
      </c>
      <c r="AB156" s="20">
        <f>IF(B156="","",ROUND(SUMIFS('Material Usage'!$M$5:$M$904,'Material Usage'!$C$5:$C$904,A156),2))</f>
        <v>0</v>
      </c>
      <c r="AC156" s="32">
        <f>IF(B156="","",IF(OR(M156="",AA156="",AA156&lt;=0),"",ROUNDDOWN(M156/AA156,0)))</f>
        <v>0</v>
      </c>
      <c r="AD156" s="33">
        <f>IF(B156="","",IF(OR(O156="",O156=0,I156=""),"",(I156-O156)/O156))</f>
        <v>0</v>
      </c>
      <c r="AE156" s="43">
        <f>IF(B156="","",IF(M156="","Not tracked",IF(M156&lt;=0,"Out of stock",IF(AND(N156&lt;&gt;"",M156&lt;=N156),"Low stock","In stock"))))</f>
        <v>0</v>
      </c>
      <c r="AF156" s="32">
        <f>IF(B156="","",COUNTIFS($AB$5:$AB$254,"&gt;"&amp;AB156)+COUNTIFS($AB$5:AB156,AB156))</f>
        <v>0</v>
      </c>
      <c r="AG156" s="43">
        <f>IF(B156="","",IF(I156="","Add - no price yet",IF(OR(G156="",G156=0),"Add - how much is in a pack?",IF(AE156="Out of stock","Order - none left",IF(AE156="Low stock","Order - running low",IF(AND(AD156&lt;&gt;"",AD156&gt;0.075),"Check - price jumped, re-price the products",IF(AND(P156&lt;&gt;"",TodayDate-P156&gt;365),"Check - price is over a year old","OK")))))))</f>
        <v>0</v>
      </c>
    </row>
    <row r="157" spans="1:33">
      <c r="A157" s="38">
        <f>IF(B157="","",MaterialPrefix&amp;TEXT(ROW()-4,"0000"))</f>
        <v>0</v>
      </c>
      <c r="R157" s="20">
        <f>IF(B157="","",IF(I157="","",ROUND(I157*(1-IF(K157="",0,K157))+IF(J157="",0,J157),2)))</f>
        <v>0</v>
      </c>
      <c r="S157" s="45">
        <f>IF(B157="","",IF(OR(R157="",G157="",G157=0),"",ROUND(R157/G157,4)))</f>
        <v>0</v>
      </c>
      <c r="T157" s="13">
        <f>IF(B157="","",IFERROR(INDEX(UnitBases,MATCH(H157,UnitNames,0)),""))</f>
        <v>0</v>
      </c>
      <c r="U157" s="41">
        <f>IF(B157="","",IFERROR(INDEX(UnitFactors,MATCH(H157,UnitNames,0)),""))</f>
        <v>0</v>
      </c>
      <c r="V157" s="45">
        <f>IF(B157="","",IF(OR(S157="",U157="",U157=0),"",ROUND(S157/U157,4)))</f>
        <v>0</v>
      </c>
      <c r="W157" s="33">
        <f>IF(B157="","",IF(L157="",DefaultWaste,L157))</f>
        <v>0</v>
      </c>
      <c r="X157" s="45">
        <f>IF(B157="","",IF(S157="","",ROUND(S157*(1+W157),4)))</f>
        <v>0</v>
      </c>
      <c r="Y157" s="20">
        <f>IF(B157="","",IF(OR(M157="",S157=""),"",ROUND(M157*S157,2)))</f>
        <v>0</v>
      </c>
      <c r="Z157" s="32">
        <f>IF(B157="","",COUNTIFS('Material Usage'!$C$5:$C$904,A157))</f>
        <v>0</v>
      </c>
      <c r="AA157" s="36">
        <f>IF(B157="","",SUMIFS('Material Usage'!$K$5:$K$904,'Material Usage'!$C$5:$C$904,A157))</f>
        <v>0</v>
      </c>
      <c r="AB157" s="20">
        <f>IF(B157="","",ROUND(SUMIFS('Material Usage'!$M$5:$M$904,'Material Usage'!$C$5:$C$904,A157),2))</f>
        <v>0</v>
      </c>
      <c r="AC157" s="32">
        <f>IF(B157="","",IF(OR(M157="",AA157="",AA157&lt;=0),"",ROUNDDOWN(M157/AA157,0)))</f>
        <v>0</v>
      </c>
      <c r="AD157" s="33">
        <f>IF(B157="","",IF(OR(O157="",O157=0,I157=""),"",(I157-O157)/O157))</f>
        <v>0</v>
      </c>
      <c r="AE157" s="43">
        <f>IF(B157="","",IF(M157="","Not tracked",IF(M157&lt;=0,"Out of stock",IF(AND(N157&lt;&gt;"",M157&lt;=N157),"Low stock","In stock"))))</f>
        <v>0</v>
      </c>
      <c r="AF157" s="32">
        <f>IF(B157="","",COUNTIFS($AB$5:$AB$254,"&gt;"&amp;AB157)+COUNTIFS($AB$5:AB157,AB157))</f>
        <v>0</v>
      </c>
      <c r="AG157" s="43">
        <f>IF(B157="","",IF(I157="","Add - no price yet",IF(OR(G157="",G157=0),"Add - how much is in a pack?",IF(AE157="Out of stock","Order - none left",IF(AE157="Low stock","Order - running low",IF(AND(AD157&lt;&gt;"",AD157&gt;0.075),"Check - price jumped, re-price the products",IF(AND(P157&lt;&gt;"",TodayDate-P157&gt;365),"Check - price is over a year old","OK")))))))</f>
        <v>0</v>
      </c>
    </row>
    <row r="158" spans="1:33">
      <c r="A158" s="38">
        <f>IF(B158="","",MaterialPrefix&amp;TEXT(ROW()-4,"0000"))</f>
        <v>0</v>
      </c>
      <c r="R158" s="20">
        <f>IF(B158="","",IF(I158="","",ROUND(I158*(1-IF(K158="",0,K158))+IF(J158="",0,J158),2)))</f>
        <v>0</v>
      </c>
      <c r="S158" s="45">
        <f>IF(B158="","",IF(OR(R158="",G158="",G158=0),"",ROUND(R158/G158,4)))</f>
        <v>0</v>
      </c>
      <c r="T158" s="13">
        <f>IF(B158="","",IFERROR(INDEX(UnitBases,MATCH(H158,UnitNames,0)),""))</f>
        <v>0</v>
      </c>
      <c r="U158" s="41">
        <f>IF(B158="","",IFERROR(INDEX(UnitFactors,MATCH(H158,UnitNames,0)),""))</f>
        <v>0</v>
      </c>
      <c r="V158" s="45">
        <f>IF(B158="","",IF(OR(S158="",U158="",U158=0),"",ROUND(S158/U158,4)))</f>
        <v>0</v>
      </c>
      <c r="W158" s="33">
        <f>IF(B158="","",IF(L158="",DefaultWaste,L158))</f>
        <v>0</v>
      </c>
      <c r="X158" s="45">
        <f>IF(B158="","",IF(S158="","",ROUND(S158*(1+W158),4)))</f>
        <v>0</v>
      </c>
      <c r="Y158" s="20">
        <f>IF(B158="","",IF(OR(M158="",S158=""),"",ROUND(M158*S158,2)))</f>
        <v>0</v>
      </c>
      <c r="Z158" s="32">
        <f>IF(B158="","",COUNTIFS('Material Usage'!$C$5:$C$904,A158))</f>
        <v>0</v>
      </c>
      <c r="AA158" s="36">
        <f>IF(B158="","",SUMIFS('Material Usage'!$K$5:$K$904,'Material Usage'!$C$5:$C$904,A158))</f>
        <v>0</v>
      </c>
      <c r="AB158" s="20">
        <f>IF(B158="","",ROUND(SUMIFS('Material Usage'!$M$5:$M$904,'Material Usage'!$C$5:$C$904,A158),2))</f>
        <v>0</v>
      </c>
      <c r="AC158" s="32">
        <f>IF(B158="","",IF(OR(M158="",AA158="",AA158&lt;=0),"",ROUNDDOWN(M158/AA158,0)))</f>
        <v>0</v>
      </c>
      <c r="AD158" s="33">
        <f>IF(B158="","",IF(OR(O158="",O158=0,I158=""),"",(I158-O158)/O158))</f>
        <v>0</v>
      </c>
      <c r="AE158" s="43">
        <f>IF(B158="","",IF(M158="","Not tracked",IF(M158&lt;=0,"Out of stock",IF(AND(N158&lt;&gt;"",M158&lt;=N158),"Low stock","In stock"))))</f>
        <v>0</v>
      </c>
      <c r="AF158" s="32">
        <f>IF(B158="","",COUNTIFS($AB$5:$AB$254,"&gt;"&amp;AB158)+COUNTIFS($AB$5:AB158,AB158))</f>
        <v>0</v>
      </c>
      <c r="AG158" s="43">
        <f>IF(B158="","",IF(I158="","Add - no price yet",IF(OR(G158="",G158=0),"Add - how much is in a pack?",IF(AE158="Out of stock","Order - none left",IF(AE158="Low stock","Order - running low",IF(AND(AD158&lt;&gt;"",AD158&gt;0.075),"Check - price jumped, re-price the products",IF(AND(P158&lt;&gt;"",TodayDate-P158&gt;365),"Check - price is over a year old","OK")))))))</f>
        <v>0</v>
      </c>
    </row>
    <row r="159" spans="1:33">
      <c r="A159" s="38">
        <f>IF(B159="","",MaterialPrefix&amp;TEXT(ROW()-4,"0000"))</f>
        <v>0</v>
      </c>
      <c r="R159" s="20">
        <f>IF(B159="","",IF(I159="","",ROUND(I159*(1-IF(K159="",0,K159))+IF(J159="",0,J159),2)))</f>
        <v>0</v>
      </c>
      <c r="S159" s="45">
        <f>IF(B159="","",IF(OR(R159="",G159="",G159=0),"",ROUND(R159/G159,4)))</f>
        <v>0</v>
      </c>
      <c r="T159" s="13">
        <f>IF(B159="","",IFERROR(INDEX(UnitBases,MATCH(H159,UnitNames,0)),""))</f>
        <v>0</v>
      </c>
      <c r="U159" s="41">
        <f>IF(B159="","",IFERROR(INDEX(UnitFactors,MATCH(H159,UnitNames,0)),""))</f>
        <v>0</v>
      </c>
      <c r="V159" s="45">
        <f>IF(B159="","",IF(OR(S159="",U159="",U159=0),"",ROUND(S159/U159,4)))</f>
        <v>0</v>
      </c>
      <c r="W159" s="33">
        <f>IF(B159="","",IF(L159="",DefaultWaste,L159))</f>
        <v>0</v>
      </c>
      <c r="X159" s="45">
        <f>IF(B159="","",IF(S159="","",ROUND(S159*(1+W159),4)))</f>
        <v>0</v>
      </c>
      <c r="Y159" s="20">
        <f>IF(B159="","",IF(OR(M159="",S159=""),"",ROUND(M159*S159,2)))</f>
        <v>0</v>
      </c>
      <c r="Z159" s="32">
        <f>IF(B159="","",COUNTIFS('Material Usage'!$C$5:$C$904,A159))</f>
        <v>0</v>
      </c>
      <c r="AA159" s="36">
        <f>IF(B159="","",SUMIFS('Material Usage'!$K$5:$K$904,'Material Usage'!$C$5:$C$904,A159))</f>
        <v>0</v>
      </c>
      <c r="AB159" s="20">
        <f>IF(B159="","",ROUND(SUMIFS('Material Usage'!$M$5:$M$904,'Material Usage'!$C$5:$C$904,A159),2))</f>
        <v>0</v>
      </c>
      <c r="AC159" s="32">
        <f>IF(B159="","",IF(OR(M159="",AA159="",AA159&lt;=0),"",ROUNDDOWN(M159/AA159,0)))</f>
        <v>0</v>
      </c>
      <c r="AD159" s="33">
        <f>IF(B159="","",IF(OR(O159="",O159=0,I159=""),"",(I159-O159)/O159))</f>
        <v>0</v>
      </c>
      <c r="AE159" s="43">
        <f>IF(B159="","",IF(M159="","Not tracked",IF(M159&lt;=0,"Out of stock",IF(AND(N159&lt;&gt;"",M159&lt;=N159),"Low stock","In stock"))))</f>
        <v>0</v>
      </c>
      <c r="AF159" s="32">
        <f>IF(B159="","",COUNTIFS($AB$5:$AB$254,"&gt;"&amp;AB159)+COUNTIFS($AB$5:AB159,AB159))</f>
        <v>0</v>
      </c>
      <c r="AG159" s="43">
        <f>IF(B159="","",IF(I159="","Add - no price yet",IF(OR(G159="",G159=0),"Add - how much is in a pack?",IF(AE159="Out of stock","Order - none left",IF(AE159="Low stock","Order - running low",IF(AND(AD159&lt;&gt;"",AD159&gt;0.075),"Check - price jumped, re-price the products",IF(AND(P159&lt;&gt;"",TodayDate-P159&gt;365),"Check - price is over a year old","OK")))))))</f>
        <v>0</v>
      </c>
    </row>
    <row r="160" spans="1:33">
      <c r="A160" s="38">
        <f>IF(B160="","",MaterialPrefix&amp;TEXT(ROW()-4,"0000"))</f>
        <v>0</v>
      </c>
      <c r="R160" s="20">
        <f>IF(B160="","",IF(I160="","",ROUND(I160*(1-IF(K160="",0,K160))+IF(J160="",0,J160),2)))</f>
        <v>0</v>
      </c>
      <c r="S160" s="45">
        <f>IF(B160="","",IF(OR(R160="",G160="",G160=0),"",ROUND(R160/G160,4)))</f>
        <v>0</v>
      </c>
      <c r="T160" s="13">
        <f>IF(B160="","",IFERROR(INDEX(UnitBases,MATCH(H160,UnitNames,0)),""))</f>
        <v>0</v>
      </c>
      <c r="U160" s="41">
        <f>IF(B160="","",IFERROR(INDEX(UnitFactors,MATCH(H160,UnitNames,0)),""))</f>
        <v>0</v>
      </c>
      <c r="V160" s="45">
        <f>IF(B160="","",IF(OR(S160="",U160="",U160=0),"",ROUND(S160/U160,4)))</f>
        <v>0</v>
      </c>
      <c r="W160" s="33">
        <f>IF(B160="","",IF(L160="",DefaultWaste,L160))</f>
        <v>0</v>
      </c>
      <c r="X160" s="45">
        <f>IF(B160="","",IF(S160="","",ROUND(S160*(1+W160),4)))</f>
        <v>0</v>
      </c>
      <c r="Y160" s="20">
        <f>IF(B160="","",IF(OR(M160="",S160=""),"",ROUND(M160*S160,2)))</f>
        <v>0</v>
      </c>
      <c r="Z160" s="32">
        <f>IF(B160="","",COUNTIFS('Material Usage'!$C$5:$C$904,A160))</f>
        <v>0</v>
      </c>
      <c r="AA160" s="36">
        <f>IF(B160="","",SUMIFS('Material Usage'!$K$5:$K$904,'Material Usage'!$C$5:$C$904,A160))</f>
        <v>0</v>
      </c>
      <c r="AB160" s="20">
        <f>IF(B160="","",ROUND(SUMIFS('Material Usage'!$M$5:$M$904,'Material Usage'!$C$5:$C$904,A160),2))</f>
        <v>0</v>
      </c>
      <c r="AC160" s="32">
        <f>IF(B160="","",IF(OR(M160="",AA160="",AA160&lt;=0),"",ROUNDDOWN(M160/AA160,0)))</f>
        <v>0</v>
      </c>
      <c r="AD160" s="33">
        <f>IF(B160="","",IF(OR(O160="",O160=0,I160=""),"",(I160-O160)/O160))</f>
        <v>0</v>
      </c>
      <c r="AE160" s="43">
        <f>IF(B160="","",IF(M160="","Not tracked",IF(M160&lt;=0,"Out of stock",IF(AND(N160&lt;&gt;"",M160&lt;=N160),"Low stock","In stock"))))</f>
        <v>0</v>
      </c>
      <c r="AF160" s="32">
        <f>IF(B160="","",COUNTIFS($AB$5:$AB$254,"&gt;"&amp;AB160)+COUNTIFS($AB$5:AB160,AB160))</f>
        <v>0</v>
      </c>
      <c r="AG160" s="43">
        <f>IF(B160="","",IF(I160="","Add - no price yet",IF(OR(G160="",G160=0),"Add - how much is in a pack?",IF(AE160="Out of stock","Order - none left",IF(AE160="Low stock","Order - running low",IF(AND(AD160&lt;&gt;"",AD160&gt;0.075),"Check - price jumped, re-price the products",IF(AND(P160&lt;&gt;"",TodayDate-P160&gt;365),"Check - price is over a year old","OK")))))))</f>
        <v>0</v>
      </c>
    </row>
    <row r="161" spans="1:33">
      <c r="A161" s="38">
        <f>IF(B161="","",MaterialPrefix&amp;TEXT(ROW()-4,"0000"))</f>
        <v>0</v>
      </c>
      <c r="R161" s="20">
        <f>IF(B161="","",IF(I161="","",ROUND(I161*(1-IF(K161="",0,K161))+IF(J161="",0,J161),2)))</f>
        <v>0</v>
      </c>
      <c r="S161" s="45">
        <f>IF(B161="","",IF(OR(R161="",G161="",G161=0),"",ROUND(R161/G161,4)))</f>
        <v>0</v>
      </c>
      <c r="T161" s="13">
        <f>IF(B161="","",IFERROR(INDEX(UnitBases,MATCH(H161,UnitNames,0)),""))</f>
        <v>0</v>
      </c>
      <c r="U161" s="41">
        <f>IF(B161="","",IFERROR(INDEX(UnitFactors,MATCH(H161,UnitNames,0)),""))</f>
        <v>0</v>
      </c>
      <c r="V161" s="45">
        <f>IF(B161="","",IF(OR(S161="",U161="",U161=0),"",ROUND(S161/U161,4)))</f>
        <v>0</v>
      </c>
      <c r="W161" s="33">
        <f>IF(B161="","",IF(L161="",DefaultWaste,L161))</f>
        <v>0</v>
      </c>
      <c r="X161" s="45">
        <f>IF(B161="","",IF(S161="","",ROUND(S161*(1+W161),4)))</f>
        <v>0</v>
      </c>
      <c r="Y161" s="20">
        <f>IF(B161="","",IF(OR(M161="",S161=""),"",ROUND(M161*S161,2)))</f>
        <v>0</v>
      </c>
      <c r="Z161" s="32">
        <f>IF(B161="","",COUNTIFS('Material Usage'!$C$5:$C$904,A161))</f>
        <v>0</v>
      </c>
      <c r="AA161" s="36">
        <f>IF(B161="","",SUMIFS('Material Usage'!$K$5:$K$904,'Material Usage'!$C$5:$C$904,A161))</f>
        <v>0</v>
      </c>
      <c r="AB161" s="20">
        <f>IF(B161="","",ROUND(SUMIFS('Material Usage'!$M$5:$M$904,'Material Usage'!$C$5:$C$904,A161),2))</f>
        <v>0</v>
      </c>
      <c r="AC161" s="32">
        <f>IF(B161="","",IF(OR(M161="",AA161="",AA161&lt;=0),"",ROUNDDOWN(M161/AA161,0)))</f>
        <v>0</v>
      </c>
      <c r="AD161" s="33">
        <f>IF(B161="","",IF(OR(O161="",O161=0,I161=""),"",(I161-O161)/O161))</f>
        <v>0</v>
      </c>
      <c r="AE161" s="43">
        <f>IF(B161="","",IF(M161="","Not tracked",IF(M161&lt;=0,"Out of stock",IF(AND(N161&lt;&gt;"",M161&lt;=N161),"Low stock","In stock"))))</f>
        <v>0</v>
      </c>
      <c r="AF161" s="32">
        <f>IF(B161="","",COUNTIFS($AB$5:$AB$254,"&gt;"&amp;AB161)+COUNTIFS($AB$5:AB161,AB161))</f>
        <v>0</v>
      </c>
      <c r="AG161" s="43">
        <f>IF(B161="","",IF(I161="","Add - no price yet",IF(OR(G161="",G161=0),"Add - how much is in a pack?",IF(AE161="Out of stock","Order - none left",IF(AE161="Low stock","Order - running low",IF(AND(AD161&lt;&gt;"",AD161&gt;0.075),"Check - price jumped, re-price the products",IF(AND(P161&lt;&gt;"",TodayDate-P161&gt;365),"Check - price is over a year old","OK")))))))</f>
        <v>0</v>
      </c>
    </row>
    <row r="162" spans="1:33">
      <c r="A162" s="38">
        <f>IF(B162="","",MaterialPrefix&amp;TEXT(ROW()-4,"0000"))</f>
        <v>0</v>
      </c>
      <c r="R162" s="20">
        <f>IF(B162="","",IF(I162="","",ROUND(I162*(1-IF(K162="",0,K162))+IF(J162="",0,J162),2)))</f>
        <v>0</v>
      </c>
      <c r="S162" s="45">
        <f>IF(B162="","",IF(OR(R162="",G162="",G162=0),"",ROUND(R162/G162,4)))</f>
        <v>0</v>
      </c>
      <c r="T162" s="13">
        <f>IF(B162="","",IFERROR(INDEX(UnitBases,MATCH(H162,UnitNames,0)),""))</f>
        <v>0</v>
      </c>
      <c r="U162" s="41">
        <f>IF(B162="","",IFERROR(INDEX(UnitFactors,MATCH(H162,UnitNames,0)),""))</f>
        <v>0</v>
      </c>
      <c r="V162" s="45">
        <f>IF(B162="","",IF(OR(S162="",U162="",U162=0),"",ROUND(S162/U162,4)))</f>
        <v>0</v>
      </c>
      <c r="W162" s="33">
        <f>IF(B162="","",IF(L162="",DefaultWaste,L162))</f>
        <v>0</v>
      </c>
      <c r="X162" s="45">
        <f>IF(B162="","",IF(S162="","",ROUND(S162*(1+W162),4)))</f>
        <v>0</v>
      </c>
      <c r="Y162" s="20">
        <f>IF(B162="","",IF(OR(M162="",S162=""),"",ROUND(M162*S162,2)))</f>
        <v>0</v>
      </c>
      <c r="Z162" s="32">
        <f>IF(B162="","",COUNTIFS('Material Usage'!$C$5:$C$904,A162))</f>
        <v>0</v>
      </c>
      <c r="AA162" s="36">
        <f>IF(B162="","",SUMIFS('Material Usage'!$K$5:$K$904,'Material Usage'!$C$5:$C$904,A162))</f>
        <v>0</v>
      </c>
      <c r="AB162" s="20">
        <f>IF(B162="","",ROUND(SUMIFS('Material Usage'!$M$5:$M$904,'Material Usage'!$C$5:$C$904,A162),2))</f>
        <v>0</v>
      </c>
      <c r="AC162" s="32">
        <f>IF(B162="","",IF(OR(M162="",AA162="",AA162&lt;=0),"",ROUNDDOWN(M162/AA162,0)))</f>
        <v>0</v>
      </c>
      <c r="AD162" s="33">
        <f>IF(B162="","",IF(OR(O162="",O162=0,I162=""),"",(I162-O162)/O162))</f>
        <v>0</v>
      </c>
      <c r="AE162" s="43">
        <f>IF(B162="","",IF(M162="","Not tracked",IF(M162&lt;=0,"Out of stock",IF(AND(N162&lt;&gt;"",M162&lt;=N162),"Low stock","In stock"))))</f>
        <v>0</v>
      </c>
      <c r="AF162" s="32">
        <f>IF(B162="","",COUNTIFS($AB$5:$AB$254,"&gt;"&amp;AB162)+COUNTIFS($AB$5:AB162,AB162))</f>
        <v>0</v>
      </c>
      <c r="AG162" s="43">
        <f>IF(B162="","",IF(I162="","Add - no price yet",IF(OR(G162="",G162=0),"Add - how much is in a pack?",IF(AE162="Out of stock","Order - none left",IF(AE162="Low stock","Order - running low",IF(AND(AD162&lt;&gt;"",AD162&gt;0.075),"Check - price jumped, re-price the products",IF(AND(P162&lt;&gt;"",TodayDate-P162&gt;365),"Check - price is over a year old","OK")))))))</f>
        <v>0</v>
      </c>
    </row>
    <row r="163" spans="1:33">
      <c r="A163" s="38">
        <f>IF(B163="","",MaterialPrefix&amp;TEXT(ROW()-4,"0000"))</f>
        <v>0</v>
      </c>
      <c r="R163" s="20">
        <f>IF(B163="","",IF(I163="","",ROUND(I163*(1-IF(K163="",0,K163))+IF(J163="",0,J163),2)))</f>
        <v>0</v>
      </c>
      <c r="S163" s="45">
        <f>IF(B163="","",IF(OR(R163="",G163="",G163=0),"",ROUND(R163/G163,4)))</f>
        <v>0</v>
      </c>
      <c r="T163" s="13">
        <f>IF(B163="","",IFERROR(INDEX(UnitBases,MATCH(H163,UnitNames,0)),""))</f>
        <v>0</v>
      </c>
      <c r="U163" s="41">
        <f>IF(B163="","",IFERROR(INDEX(UnitFactors,MATCH(H163,UnitNames,0)),""))</f>
        <v>0</v>
      </c>
      <c r="V163" s="45">
        <f>IF(B163="","",IF(OR(S163="",U163="",U163=0),"",ROUND(S163/U163,4)))</f>
        <v>0</v>
      </c>
      <c r="W163" s="33">
        <f>IF(B163="","",IF(L163="",DefaultWaste,L163))</f>
        <v>0</v>
      </c>
      <c r="X163" s="45">
        <f>IF(B163="","",IF(S163="","",ROUND(S163*(1+W163),4)))</f>
        <v>0</v>
      </c>
      <c r="Y163" s="20">
        <f>IF(B163="","",IF(OR(M163="",S163=""),"",ROUND(M163*S163,2)))</f>
        <v>0</v>
      </c>
      <c r="Z163" s="32">
        <f>IF(B163="","",COUNTIFS('Material Usage'!$C$5:$C$904,A163))</f>
        <v>0</v>
      </c>
      <c r="AA163" s="36">
        <f>IF(B163="","",SUMIFS('Material Usage'!$K$5:$K$904,'Material Usage'!$C$5:$C$904,A163))</f>
        <v>0</v>
      </c>
      <c r="AB163" s="20">
        <f>IF(B163="","",ROUND(SUMIFS('Material Usage'!$M$5:$M$904,'Material Usage'!$C$5:$C$904,A163),2))</f>
        <v>0</v>
      </c>
      <c r="AC163" s="32">
        <f>IF(B163="","",IF(OR(M163="",AA163="",AA163&lt;=0),"",ROUNDDOWN(M163/AA163,0)))</f>
        <v>0</v>
      </c>
      <c r="AD163" s="33">
        <f>IF(B163="","",IF(OR(O163="",O163=0,I163=""),"",(I163-O163)/O163))</f>
        <v>0</v>
      </c>
      <c r="AE163" s="43">
        <f>IF(B163="","",IF(M163="","Not tracked",IF(M163&lt;=0,"Out of stock",IF(AND(N163&lt;&gt;"",M163&lt;=N163),"Low stock","In stock"))))</f>
        <v>0</v>
      </c>
      <c r="AF163" s="32">
        <f>IF(B163="","",COUNTIFS($AB$5:$AB$254,"&gt;"&amp;AB163)+COUNTIFS($AB$5:AB163,AB163))</f>
        <v>0</v>
      </c>
      <c r="AG163" s="43">
        <f>IF(B163="","",IF(I163="","Add - no price yet",IF(OR(G163="",G163=0),"Add - how much is in a pack?",IF(AE163="Out of stock","Order - none left",IF(AE163="Low stock","Order - running low",IF(AND(AD163&lt;&gt;"",AD163&gt;0.075),"Check - price jumped, re-price the products",IF(AND(P163&lt;&gt;"",TodayDate-P163&gt;365),"Check - price is over a year old","OK")))))))</f>
        <v>0</v>
      </c>
    </row>
    <row r="164" spans="1:33">
      <c r="A164" s="38">
        <f>IF(B164="","",MaterialPrefix&amp;TEXT(ROW()-4,"0000"))</f>
        <v>0</v>
      </c>
      <c r="R164" s="20">
        <f>IF(B164="","",IF(I164="","",ROUND(I164*(1-IF(K164="",0,K164))+IF(J164="",0,J164),2)))</f>
        <v>0</v>
      </c>
      <c r="S164" s="45">
        <f>IF(B164="","",IF(OR(R164="",G164="",G164=0),"",ROUND(R164/G164,4)))</f>
        <v>0</v>
      </c>
      <c r="T164" s="13">
        <f>IF(B164="","",IFERROR(INDEX(UnitBases,MATCH(H164,UnitNames,0)),""))</f>
        <v>0</v>
      </c>
      <c r="U164" s="41">
        <f>IF(B164="","",IFERROR(INDEX(UnitFactors,MATCH(H164,UnitNames,0)),""))</f>
        <v>0</v>
      </c>
      <c r="V164" s="45">
        <f>IF(B164="","",IF(OR(S164="",U164="",U164=0),"",ROUND(S164/U164,4)))</f>
        <v>0</v>
      </c>
      <c r="W164" s="33">
        <f>IF(B164="","",IF(L164="",DefaultWaste,L164))</f>
        <v>0</v>
      </c>
      <c r="X164" s="45">
        <f>IF(B164="","",IF(S164="","",ROUND(S164*(1+W164),4)))</f>
        <v>0</v>
      </c>
      <c r="Y164" s="20">
        <f>IF(B164="","",IF(OR(M164="",S164=""),"",ROUND(M164*S164,2)))</f>
        <v>0</v>
      </c>
      <c r="Z164" s="32">
        <f>IF(B164="","",COUNTIFS('Material Usage'!$C$5:$C$904,A164))</f>
        <v>0</v>
      </c>
      <c r="AA164" s="36">
        <f>IF(B164="","",SUMIFS('Material Usage'!$K$5:$K$904,'Material Usage'!$C$5:$C$904,A164))</f>
        <v>0</v>
      </c>
      <c r="AB164" s="20">
        <f>IF(B164="","",ROUND(SUMIFS('Material Usage'!$M$5:$M$904,'Material Usage'!$C$5:$C$904,A164),2))</f>
        <v>0</v>
      </c>
      <c r="AC164" s="32">
        <f>IF(B164="","",IF(OR(M164="",AA164="",AA164&lt;=0),"",ROUNDDOWN(M164/AA164,0)))</f>
        <v>0</v>
      </c>
      <c r="AD164" s="33">
        <f>IF(B164="","",IF(OR(O164="",O164=0,I164=""),"",(I164-O164)/O164))</f>
        <v>0</v>
      </c>
      <c r="AE164" s="43">
        <f>IF(B164="","",IF(M164="","Not tracked",IF(M164&lt;=0,"Out of stock",IF(AND(N164&lt;&gt;"",M164&lt;=N164),"Low stock","In stock"))))</f>
        <v>0</v>
      </c>
      <c r="AF164" s="32">
        <f>IF(B164="","",COUNTIFS($AB$5:$AB$254,"&gt;"&amp;AB164)+COUNTIFS($AB$5:AB164,AB164))</f>
        <v>0</v>
      </c>
      <c r="AG164" s="43">
        <f>IF(B164="","",IF(I164="","Add - no price yet",IF(OR(G164="",G164=0),"Add - how much is in a pack?",IF(AE164="Out of stock","Order - none left",IF(AE164="Low stock","Order - running low",IF(AND(AD164&lt;&gt;"",AD164&gt;0.075),"Check - price jumped, re-price the products",IF(AND(P164&lt;&gt;"",TodayDate-P164&gt;365),"Check - price is over a year old","OK")))))))</f>
        <v>0</v>
      </c>
    </row>
    <row r="165" spans="1:33">
      <c r="A165" s="38">
        <f>IF(B165="","",MaterialPrefix&amp;TEXT(ROW()-4,"0000"))</f>
        <v>0</v>
      </c>
      <c r="R165" s="20">
        <f>IF(B165="","",IF(I165="","",ROUND(I165*(1-IF(K165="",0,K165))+IF(J165="",0,J165),2)))</f>
        <v>0</v>
      </c>
      <c r="S165" s="45">
        <f>IF(B165="","",IF(OR(R165="",G165="",G165=0),"",ROUND(R165/G165,4)))</f>
        <v>0</v>
      </c>
      <c r="T165" s="13">
        <f>IF(B165="","",IFERROR(INDEX(UnitBases,MATCH(H165,UnitNames,0)),""))</f>
        <v>0</v>
      </c>
      <c r="U165" s="41">
        <f>IF(B165="","",IFERROR(INDEX(UnitFactors,MATCH(H165,UnitNames,0)),""))</f>
        <v>0</v>
      </c>
      <c r="V165" s="45">
        <f>IF(B165="","",IF(OR(S165="",U165="",U165=0),"",ROUND(S165/U165,4)))</f>
        <v>0</v>
      </c>
      <c r="W165" s="33">
        <f>IF(B165="","",IF(L165="",DefaultWaste,L165))</f>
        <v>0</v>
      </c>
      <c r="X165" s="45">
        <f>IF(B165="","",IF(S165="","",ROUND(S165*(1+W165),4)))</f>
        <v>0</v>
      </c>
      <c r="Y165" s="20">
        <f>IF(B165="","",IF(OR(M165="",S165=""),"",ROUND(M165*S165,2)))</f>
        <v>0</v>
      </c>
      <c r="Z165" s="32">
        <f>IF(B165="","",COUNTIFS('Material Usage'!$C$5:$C$904,A165))</f>
        <v>0</v>
      </c>
      <c r="AA165" s="36">
        <f>IF(B165="","",SUMIFS('Material Usage'!$K$5:$K$904,'Material Usage'!$C$5:$C$904,A165))</f>
        <v>0</v>
      </c>
      <c r="AB165" s="20">
        <f>IF(B165="","",ROUND(SUMIFS('Material Usage'!$M$5:$M$904,'Material Usage'!$C$5:$C$904,A165),2))</f>
        <v>0</v>
      </c>
      <c r="AC165" s="32">
        <f>IF(B165="","",IF(OR(M165="",AA165="",AA165&lt;=0),"",ROUNDDOWN(M165/AA165,0)))</f>
        <v>0</v>
      </c>
      <c r="AD165" s="33">
        <f>IF(B165="","",IF(OR(O165="",O165=0,I165=""),"",(I165-O165)/O165))</f>
        <v>0</v>
      </c>
      <c r="AE165" s="43">
        <f>IF(B165="","",IF(M165="","Not tracked",IF(M165&lt;=0,"Out of stock",IF(AND(N165&lt;&gt;"",M165&lt;=N165),"Low stock","In stock"))))</f>
        <v>0</v>
      </c>
      <c r="AF165" s="32">
        <f>IF(B165="","",COUNTIFS($AB$5:$AB$254,"&gt;"&amp;AB165)+COUNTIFS($AB$5:AB165,AB165))</f>
        <v>0</v>
      </c>
      <c r="AG165" s="43">
        <f>IF(B165="","",IF(I165="","Add - no price yet",IF(OR(G165="",G165=0),"Add - how much is in a pack?",IF(AE165="Out of stock","Order - none left",IF(AE165="Low stock","Order - running low",IF(AND(AD165&lt;&gt;"",AD165&gt;0.075),"Check - price jumped, re-price the products",IF(AND(P165&lt;&gt;"",TodayDate-P165&gt;365),"Check - price is over a year old","OK")))))))</f>
        <v>0</v>
      </c>
    </row>
    <row r="166" spans="1:33">
      <c r="A166" s="38">
        <f>IF(B166="","",MaterialPrefix&amp;TEXT(ROW()-4,"0000"))</f>
        <v>0</v>
      </c>
      <c r="R166" s="20">
        <f>IF(B166="","",IF(I166="","",ROUND(I166*(1-IF(K166="",0,K166))+IF(J166="",0,J166),2)))</f>
        <v>0</v>
      </c>
      <c r="S166" s="45">
        <f>IF(B166="","",IF(OR(R166="",G166="",G166=0),"",ROUND(R166/G166,4)))</f>
        <v>0</v>
      </c>
      <c r="T166" s="13">
        <f>IF(B166="","",IFERROR(INDEX(UnitBases,MATCH(H166,UnitNames,0)),""))</f>
        <v>0</v>
      </c>
      <c r="U166" s="41">
        <f>IF(B166="","",IFERROR(INDEX(UnitFactors,MATCH(H166,UnitNames,0)),""))</f>
        <v>0</v>
      </c>
      <c r="V166" s="45">
        <f>IF(B166="","",IF(OR(S166="",U166="",U166=0),"",ROUND(S166/U166,4)))</f>
        <v>0</v>
      </c>
      <c r="W166" s="33">
        <f>IF(B166="","",IF(L166="",DefaultWaste,L166))</f>
        <v>0</v>
      </c>
      <c r="X166" s="45">
        <f>IF(B166="","",IF(S166="","",ROUND(S166*(1+W166),4)))</f>
        <v>0</v>
      </c>
      <c r="Y166" s="20">
        <f>IF(B166="","",IF(OR(M166="",S166=""),"",ROUND(M166*S166,2)))</f>
        <v>0</v>
      </c>
      <c r="Z166" s="32">
        <f>IF(B166="","",COUNTIFS('Material Usage'!$C$5:$C$904,A166))</f>
        <v>0</v>
      </c>
      <c r="AA166" s="36">
        <f>IF(B166="","",SUMIFS('Material Usage'!$K$5:$K$904,'Material Usage'!$C$5:$C$904,A166))</f>
        <v>0</v>
      </c>
      <c r="AB166" s="20">
        <f>IF(B166="","",ROUND(SUMIFS('Material Usage'!$M$5:$M$904,'Material Usage'!$C$5:$C$904,A166),2))</f>
        <v>0</v>
      </c>
      <c r="AC166" s="32">
        <f>IF(B166="","",IF(OR(M166="",AA166="",AA166&lt;=0),"",ROUNDDOWN(M166/AA166,0)))</f>
        <v>0</v>
      </c>
      <c r="AD166" s="33">
        <f>IF(B166="","",IF(OR(O166="",O166=0,I166=""),"",(I166-O166)/O166))</f>
        <v>0</v>
      </c>
      <c r="AE166" s="43">
        <f>IF(B166="","",IF(M166="","Not tracked",IF(M166&lt;=0,"Out of stock",IF(AND(N166&lt;&gt;"",M166&lt;=N166),"Low stock","In stock"))))</f>
        <v>0</v>
      </c>
      <c r="AF166" s="32">
        <f>IF(B166="","",COUNTIFS($AB$5:$AB$254,"&gt;"&amp;AB166)+COUNTIFS($AB$5:AB166,AB166))</f>
        <v>0</v>
      </c>
      <c r="AG166" s="43">
        <f>IF(B166="","",IF(I166="","Add - no price yet",IF(OR(G166="",G166=0),"Add - how much is in a pack?",IF(AE166="Out of stock","Order - none left",IF(AE166="Low stock","Order - running low",IF(AND(AD166&lt;&gt;"",AD166&gt;0.075),"Check - price jumped, re-price the products",IF(AND(P166&lt;&gt;"",TodayDate-P166&gt;365),"Check - price is over a year old","OK")))))))</f>
        <v>0</v>
      </c>
    </row>
    <row r="167" spans="1:33">
      <c r="A167" s="38">
        <f>IF(B167="","",MaterialPrefix&amp;TEXT(ROW()-4,"0000"))</f>
        <v>0</v>
      </c>
      <c r="R167" s="20">
        <f>IF(B167="","",IF(I167="","",ROUND(I167*(1-IF(K167="",0,K167))+IF(J167="",0,J167),2)))</f>
        <v>0</v>
      </c>
      <c r="S167" s="45">
        <f>IF(B167="","",IF(OR(R167="",G167="",G167=0),"",ROUND(R167/G167,4)))</f>
        <v>0</v>
      </c>
      <c r="T167" s="13">
        <f>IF(B167="","",IFERROR(INDEX(UnitBases,MATCH(H167,UnitNames,0)),""))</f>
        <v>0</v>
      </c>
      <c r="U167" s="41">
        <f>IF(B167="","",IFERROR(INDEX(UnitFactors,MATCH(H167,UnitNames,0)),""))</f>
        <v>0</v>
      </c>
      <c r="V167" s="45">
        <f>IF(B167="","",IF(OR(S167="",U167="",U167=0),"",ROUND(S167/U167,4)))</f>
        <v>0</v>
      </c>
      <c r="W167" s="33">
        <f>IF(B167="","",IF(L167="",DefaultWaste,L167))</f>
        <v>0</v>
      </c>
      <c r="X167" s="45">
        <f>IF(B167="","",IF(S167="","",ROUND(S167*(1+W167),4)))</f>
        <v>0</v>
      </c>
      <c r="Y167" s="20">
        <f>IF(B167="","",IF(OR(M167="",S167=""),"",ROUND(M167*S167,2)))</f>
        <v>0</v>
      </c>
      <c r="Z167" s="32">
        <f>IF(B167="","",COUNTIFS('Material Usage'!$C$5:$C$904,A167))</f>
        <v>0</v>
      </c>
      <c r="AA167" s="36">
        <f>IF(B167="","",SUMIFS('Material Usage'!$K$5:$K$904,'Material Usage'!$C$5:$C$904,A167))</f>
        <v>0</v>
      </c>
      <c r="AB167" s="20">
        <f>IF(B167="","",ROUND(SUMIFS('Material Usage'!$M$5:$M$904,'Material Usage'!$C$5:$C$904,A167),2))</f>
        <v>0</v>
      </c>
      <c r="AC167" s="32">
        <f>IF(B167="","",IF(OR(M167="",AA167="",AA167&lt;=0),"",ROUNDDOWN(M167/AA167,0)))</f>
        <v>0</v>
      </c>
      <c r="AD167" s="33">
        <f>IF(B167="","",IF(OR(O167="",O167=0,I167=""),"",(I167-O167)/O167))</f>
        <v>0</v>
      </c>
      <c r="AE167" s="43">
        <f>IF(B167="","",IF(M167="","Not tracked",IF(M167&lt;=0,"Out of stock",IF(AND(N167&lt;&gt;"",M167&lt;=N167),"Low stock","In stock"))))</f>
        <v>0</v>
      </c>
      <c r="AF167" s="32">
        <f>IF(B167="","",COUNTIFS($AB$5:$AB$254,"&gt;"&amp;AB167)+COUNTIFS($AB$5:AB167,AB167))</f>
        <v>0</v>
      </c>
      <c r="AG167" s="43">
        <f>IF(B167="","",IF(I167="","Add - no price yet",IF(OR(G167="",G167=0),"Add - how much is in a pack?",IF(AE167="Out of stock","Order - none left",IF(AE167="Low stock","Order - running low",IF(AND(AD167&lt;&gt;"",AD167&gt;0.075),"Check - price jumped, re-price the products",IF(AND(P167&lt;&gt;"",TodayDate-P167&gt;365),"Check - price is over a year old","OK")))))))</f>
        <v>0</v>
      </c>
    </row>
    <row r="168" spans="1:33">
      <c r="A168" s="38">
        <f>IF(B168="","",MaterialPrefix&amp;TEXT(ROW()-4,"0000"))</f>
        <v>0</v>
      </c>
      <c r="R168" s="20">
        <f>IF(B168="","",IF(I168="","",ROUND(I168*(1-IF(K168="",0,K168))+IF(J168="",0,J168),2)))</f>
        <v>0</v>
      </c>
      <c r="S168" s="45">
        <f>IF(B168="","",IF(OR(R168="",G168="",G168=0),"",ROUND(R168/G168,4)))</f>
        <v>0</v>
      </c>
      <c r="T168" s="13">
        <f>IF(B168="","",IFERROR(INDEX(UnitBases,MATCH(H168,UnitNames,0)),""))</f>
        <v>0</v>
      </c>
      <c r="U168" s="41">
        <f>IF(B168="","",IFERROR(INDEX(UnitFactors,MATCH(H168,UnitNames,0)),""))</f>
        <v>0</v>
      </c>
      <c r="V168" s="45">
        <f>IF(B168="","",IF(OR(S168="",U168="",U168=0),"",ROUND(S168/U168,4)))</f>
        <v>0</v>
      </c>
      <c r="W168" s="33">
        <f>IF(B168="","",IF(L168="",DefaultWaste,L168))</f>
        <v>0</v>
      </c>
      <c r="X168" s="45">
        <f>IF(B168="","",IF(S168="","",ROUND(S168*(1+W168),4)))</f>
        <v>0</v>
      </c>
      <c r="Y168" s="20">
        <f>IF(B168="","",IF(OR(M168="",S168=""),"",ROUND(M168*S168,2)))</f>
        <v>0</v>
      </c>
      <c r="Z168" s="32">
        <f>IF(B168="","",COUNTIFS('Material Usage'!$C$5:$C$904,A168))</f>
        <v>0</v>
      </c>
      <c r="AA168" s="36">
        <f>IF(B168="","",SUMIFS('Material Usage'!$K$5:$K$904,'Material Usage'!$C$5:$C$904,A168))</f>
        <v>0</v>
      </c>
      <c r="AB168" s="20">
        <f>IF(B168="","",ROUND(SUMIFS('Material Usage'!$M$5:$M$904,'Material Usage'!$C$5:$C$904,A168),2))</f>
        <v>0</v>
      </c>
      <c r="AC168" s="32">
        <f>IF(B168="","",IF(OR(M168="",AA168="",AA168&lt;=0),"",ROUNDDOWN(M168/AA168,0)))</f>
        <v>0</v>
      </c>
      <c r="AD168" s="33">
        <f>IF(B168="","",IF(OR(O168="",O168=0,I168=""),"",(I168-O168)/O168))</f>
        <v>0</v>
      </c>
      <c r="AE168" s="43">
        <f>IF(B168="","",IF(M168="","Not tracked",IF(M168&lt;=0,"Out of stock",IF(AND(N168&lt;&gt;"",M168&lt;=N168),"Low stock","In stock"))))</f>
        <v>0</v>
      </c>
      <c r="AF168" s="32">
        <f>IF(B168="","",COUNTIFS($AB$5:$AB$254,"&gt;"&amp;AB168)+COUNTIFS($AB$5:AB168,AB168))</f>
        <v>0</v>
      </c>
      <c r="AG168" s="43">
        <f>IF(B168="","",IF(I168="","Add - no price yet",IF(OR(G168="",G168=0),"Add - how much is in a pack?",IF(AE168="Out of stock","Order - none left",IF(AE168="Low stock","Order - running low",IF(AND(AD168&lt;&gt;"",AD168&gt;0.075),"Check - price jumped, re-price the products",IF(AND(P168&lt;&gt;"",TodayDate-P168&gt;365),"Check - price is over a year old","OK")))))))</f>
        <v>0</v>
      </c>
    </row>
    <row r="169" spans="1:33">
      <c r="A169" s="38">
        <f>IF(B169="","",MaterialPrefix&amp;TEXT(ROW()-4,"0000"))</f>
        <v>0</v>
      </c>
      <c r="R169" s="20">
        <f>IF(B169="","",IF(I169="","",ROUND(I169*(1-IF(K169="",0,K169))+IF(J169="",0,J169),2)))</f>
        <v>0</v>
      </c>
      <c r="S169" s="45">
        <f>IF(B169="","",IF(OR(R169="",G169="",G169=0),"",ROUND(R169/G169,4)))</f>
        <v>0</v>
      </c>
      <c r="T169" s="13">
        <f>IF(B169="","",IFERROR(INDEX(UnitBases,MATCH(H169,UnitNames,0)),""))</f>
        <v>0</v>
      </c>
      <c r="U169" s="41">
        <f>IF(B169="","",IFERROR(INDEX(UnitFactors,MATCH(H169,UnitNames,0)),""))</f>
        <v>0</v>
      </c>
      <c r="V169" s="45">
        <f>IF(B169="","",IF(OR(S169="",U169="",U169=0),"",ROUND(S169/U169,4)))</f>
        <v>0</v>
      </c>
      <c r="W169" s="33">
        <f>IF(B169="","",IF(L169="",DefaultWaste,L169))</f>
        <v>0</v>
      </c>
      <c r="X169" s="45">
        <f>IF(B169="","",IF(S169="","",ROUND(S169*(1+W169),4)))</f>
        <v>0</v>
      </c>
      <c r="Y169" s="20">
        <f>IF(B169="","",IF(OR(M169="",S169=""),"",ROUND(M169*S169,2)))</f>
        <v>0</v>
      </c>
      <c r="Z169" s="32">
        <f>IF(B169="","",COUNTIFS('Material Usage'!$C$5:$C$904,A169))</f>
        <v>0</v>
      </c>
      <c r="AA169" s="36">
        <f>IF(B169="","",SUMIFS('Material Usage'!$K$5:$K$904,'Material Usage'!$C$5:$C$904,A169))</f>
        <v>0</v>
      </c>
      <c r="AB169" s="20">
        <f>IF(B169="","",ROUND(SUMIFS('Material Usage'!$M$5:$M$904,'Material Usage'!$C$5:$C$904,A169),2))</f>
        <v>0</v>
      </c>
      <c r="AC169" s="32">
        <f>IF(B169="","",IF(OR(M169="",AA169="",AA169&lt;=0),"",ROUNDDOWN(M169/AA169,0)))</f>
        <v>0</v>
      </c>
      <c r="AD169" s="33">
        <f>IF(B169="","",IF(OR(O169="",O169=0,I169=""),"",(I169-O169)/O169))</f>
        <v>0</v>
      </c>
      <c r="AE169" s="43">
        <f>IF(B169="","",IF(M169="","Not tracked",IF(M169&lt;=0,"Out of stock",IF(AND(N169&lt;&gt;"",M169&lt;=N169),"Low stock","In stock"))))</f>
        <v>0</v>
      </c>
      <c r="AF169" s="32">
        <f>IF(B169="","",COUNTIFS($AB$5:$AB$254,"&gt;"&amp;AB169)+COUNTIFS($AB$5:AB169,AB169))</f>
        <v>0</v>
      </c>
      <c r="AG169" s="43">
        <f>IF(B169="","",IF(I169="","Add - no price yet",IF(OR(G169="",G169=0),"Add - how much is in a pack?",IF(AE169="Out of stock","Order - none left",IF(AE169="Low stock","Order - running low",IF(AND(AD169&lt;&gt;"",AD169&gt;0.075),"Check - price jumped, re-price the products",IF(AND(P169&lt;&gt;"",TodayDate-P169&gt;365),"Check - price is over a year old","OK")))))))</f>
        <v>0</v>
      </c>
    </row>
    <row r="170" spans="1:33">
      <c r="A170" s="38">
        <f>IF(B170="","",MaterialPrefix&amp;TEXT(ROW()-4,"0000"))</f>
        <v>0</v>
      </c>
      <c r="R170" s="20">
        <f>IF(B170="","",IF(I170="","",ROUND(I170*(1-IF(K170="",0,K170))+IF(J170="",0,J170),2)))</f>
        <v>0</v>
      </c>
      <c r="S170" s="45">
        <f>IF(B170="","",IF(OR(R170="",G170="",G170=0),"",ROUND(R170/G170,4)))</f>
        <v>0</v>
      </c>
      <c r="T170" s="13">
        <f>IF(B170="","",IFERROR(INDEX(UnitBases,MATCH(H170,UnitNames,0)),""))</f>
        <v>0</v>
      </c>
      <c r="U170" s="41">
        <f>IF(B170="","",IFERROR(INDEX(UnitFactors,MATCH(H170,UnitNames,0)),""))</f>
        <v>0</v>
      </c>
      <c r="V170" s="45">
        <f>IF(B170="","",IF(OR(S170="",U170="",U170=0),"",ROUND(S170/U170,4)))</f>
        <v>0</v>
      </c>
      <c r="W170" s="33">
        <f>IF(B170="","",IF(L170="",DefaultWaste,L170))</f>
        <v>0</v>
      </c>
      <c r="X170" s="45">
        <f>IF(B170="","",IF(S170="","",ROUND(S170*(1+W170),4)))</f>
        <v>0</v>
      </c>
      <c r="Y170" s="20">
        <f>IF(B170="","",IF(OR(M170="",S170=""),"",ROUND(M170*S170,2)))</f>
        <v>0</v>
      </c>
      <c r="Z170" s="32">
        <f>IF(B170="","",COUNTIFS('Material Usage'!$C$5:$C$904,A170))</f>
        <v>0</v>
      </c>
      <c r="AA170" s="36">
        <f>IF(B170="","",SUMIFS('Material Usage'!$K$5:$K$904,'Material Usage'!$C$5:$C$904,A170))</f>
        <v>0</v>
      </c>
      <c r="AB170" s="20">
        <f>IF(B170="","",ROUND(SUMIFS('Material Usage'!$M$5:$M$904,'Material Usage'!$C$5:$C$904,A170),2))</f>
        <v>0</v>
      </c>
      <c r="AC170" s="32">
        <f>IF(B170="","",IF(OR(M170="",AA170="",AA170&lt;=0),"",ROUNDDOWN(M170/AA170,0)))</f>
        <v>0</v>
      </c>
      <c r="AD170" s="33">
        <f>IF(B170="","",IF(OR(O170="",O170=0,I170=""),"",(I170-O170)/O170))</f>
        <v>0</v>
      </c>
      <c r="AE170" s="43">
        <f>IF(B170="","",IF(M170="","Not tracked",IF(M170&lt;=0,"Out of stock",IF(AND(N170&lt;&gt;"",M170&lt;=N170),"Low stock","In stock"))))</f>
        <v>0</v>
      </c>
      <c r="AF170" s="32">
        <f>IF(B170="","",COUNTIFS($AB$5:$AB$254,"&gt;"&amp;AB170)+COUNTIFS($AB$5:AB170,AB170))</f>
        <v>0</v>
      </c>
      <c r="AG170" s="43">
        <f>IF(B170="","",IF(I170="","Add - no price yet",IF(OR(G170="",G170=0),"Add - how much is in a pack?",IF(AE170="Out of stock","Order - none left",IF(AE170="Low stock","Order - running low",IF(AND(AD170&lt;&gt;"",AD170&gt;0.075),"Check - price jumped, re-price the products",IF(AND(P170&lt;&gt;"",TodayDate-P170&gt;365),"Check - price is over a year old","OK")))))))</f>
        <v>0</v>
      </c>
    </row>
    <row r="171" spans="1:33">
      <c r="A171" s="38">
        <f>IF(B171="","",MaterialPrefix&amp;TEXT(ROW()-4,"0000"))</f>
        <v>0</v>
      </c>
      <c r="R171" s="20">
        <f>IF(B171="","",IF(I171="","",ROUND(I171*(1-IF(K171="",0,K171))+IF(J171="",0,J171),2)))</f>
        <v>0</v>
      </c>
      <c r="S171" s="45">
        <f>IF(B171="","",IF(OR(R171="",G171="",G171=0),"",ROUND(R171/G171,4)))</f>
        <v>0</v>
      </c>
      <c r="T171" s="13">
        <f>IF(B171="","",IFERROR(INDEX(UnitBases,MATCH(H171,UnitNames,0)),""))</f>
        <v>0</v>
      </c>
      <c r="U171" s="41">
        <f>IF(B171="","",IFERROR(INDEX(UnitFactors,MATCH(H171,UnitNames,0)),""))</f>
        <v>0</v>
      </c>
      <c r="V171" s="45">
        <f>IF(B171="","",IF(OR(S171="",U171="",U171=0),"",ROUND(S171/U171,4)))</f>
        <v>0</v>
      </c>
      <c r="W171" s="33">
        <f>IF(B171="","",IF(L171="",DefaultWaste,L171))</f>
        <v>0</v>
      </c>
      <c r="X171" s="45">
        <f>IF(B171="","",IF(S171="","",ROUND(S171*(1+W171),4)))</f>
        <v>0</v>
      </c>
      <c r="Y171" s="20">
        <f>IF(B171="","",IF(OR(M171="",S171=""),"",ROUND(M171*S171,2)))</f>
        <v>0</v>
      </c>
      <c r="Z171" s="32">
        <f>IF(B171="","",COUNTIFS('Material Usage'!$C$5:$C$904,A171))</f>
        <v>0</v>
      </c>
      <c r="AA171" s="36">
        <f>IF(B171="","",SUMIFS('Material Usage'!$K$5:$K$904,'Material Usage'!$C$5:$C$904,A171))</f>
        <v>0</v>
      </c>
      <c r="AB171" s="20">
        <f>IF(B171="","",ROUND(SUMIFS('Material Usage'!$M$5:$M$904,'Material Usage'!$C$5:$C$904,A171),2))</f>
        <v>0</v>
      </c>
      <c r="AC171" s="32">
        <f>IF(B171="","",IF(OR(M171="",AA171="",AA171&lt;=0),"",ROUNDDOWN(M171/AA171,0)))</f>
        <v>0</v>
      </c>
      <c r="AD171" s="33">
        <f>IF(B171="","",IF(OR(O171="",O171=0,I171=""),"",(I171-O171)/O171))</f>
        <v>0</v>
      </c>
      <c r="AE171" s="43">
        <f>IF(B171="","",IF(M171="","Not tracked",IF(M171&lt;=0,"Out of stock",IF(AND(N171&lt;&gt;"",M171&lt;=N171),"Low stock","In stock"))))</f>
        <v>0</v>
      </c>
      <c r="AF171" s="32">
        <f>IF(B171="","",COUNTIFS($AB$5:$AB$254,"&gt;"&amp;AB171)+COUNTIFS($AB$5:AB171,AB171))</f>
        <v>0</v>
      </c>
      <c r="AG171" s="43">
        <f>IF(B171="","",IF(I171="","Add - no price yet",IF(OR(G171="",G171=0),"Add - how much is in a pack?",IF(AE171="Out of stock","Order - none left",IF(AE171="Low stock","Order - running low",IF(AND(AD171&lt;&gt;"",AD171&gt;0.075),"Check - price jumped, re-price the products",IF(AND(P171&lt;&gt;"",TodayDate-P171&gt;365),"Check - price is over a year old","OK")))))))</f>
        <v>0</v>
      </c>
    </row>
    <row r="172" spans="1:33">
      <c r="A172" s="38">
        <f>IF(B172="","",MaterialPrefix&amp;TEXT(ROW()-4,"0000"))</f>
        <v>0</v>
      </c>
      <c r="R172" s="20">
        <f>IF(B172="","",IF(I172="","",ROUND(I172*(1-IF(K172="",0,K172))+IF(J172="",0,J172),2)))</f>
        <v>0</v>
      </c>
      <c r="S172" s="45">
        <f>IF(B172="","",IF(OR(R172="",G172="",G172=0),"",ROUND(R172/G172,4)))</f>
        <v>0</v>
      </c>
      <c r="T172" s="13">
        <f>IF(B172="","",IFERROR(INDEX(UnitBases,MATCH(H172,UnitNames,0)),""))</f>
        <v>0</v>
      </c>
      <c r="U172" s="41">
        <f>IF(B172="","",IFERROR(INDEX(UnitFactors,MATCH(H172,UnitNames,0)),""))</f>
        <v>0</v>
      </c>
      <c r="V172" s="45">
        <f>IF(B172="","",IF(OR(S172="",U172="",U172=0),"",ROUND(S172/U172,4)))</f>
        <v>0</v>
      </c>
      <c r="W172" s="33">
        <f>IF(B172="","",IF(L172="",DefaultWaste,L172))</f>
        <v>0</v>
      </c>
      <c r="X172" s="45">
        <f>IF(B172="","",IF(S172="","",ROUND(S172*(1+W172),4)))</f>
        <v>0</v>
      </c>
      <c r="Y172" s="20">
        <f>IF(B172="","",IF(OR(M172="",S172=""),"",ROUND(M172*S172,2)))</f>
        <v>0</v>
      </c>
      <c r="Z172" s="32">
        <f>IF(B172="","",COUNTIFS('Material Usage'!$C$5:$C$904,A172))</f>
        <v>0</v>
      </c>
      <c r="AA172" s="36">
        <f>IF(B172="","",SUMIFS('Material Usage'!$K$5:$K$904,'Material Usage'!$C$5:$C$904,A172))</f>
        <v>0</v>
      </c>
      <c r="AB172" s="20">
        <f>IF(B172="","",ROUND(SUMIFS('Material Usage'!$M$5:$M$904,'Material Usage'!$C$5:$C$904,A172),2))</f>
        <v>0</v>
      </c>
      <c r="AC172" s="32">
        <f>IF(B172="","",IF(OR(M172="",AA172="",AA172&lt;=0),"",ROUNDDOWN(M172/AA172,0)))</f>
        <v>0</v>
      </c>
      <c r="AD172" s="33">
        <f>IF(B172="","",IF(OR(O172="",O172=0,I172=""),"",(I172-O172)/O172))</f>
        <v>0</v>
      </c>
      <c r="AE172" s="43">
        <f>IF(B172="","",IF(M172="","Not tracked",IF(M172&lt;=0,"Out of stock",IF(AND(N172&lt;&gt;"",M172&lt;=N172),"Low stock","In stock"))))</f>
        <v>0</v>
      </c>
      <c r="AF172" s="32">
        <f>IF(B172="","",COUNTIFS($AB$5:$AB$254,"&gt;"&amp;AB172)+COUNTIFS($AB$5:AB172,AB172))</f>
        <v>0</v>
      </c>
      <c r="AG172" s="43">
        <f>IF(B172="","",IF(I172="","Add - no price yet",IF(OR(G172="",G172=0),"Add - how much is in a pack?",IF(AE172="Out of stock","Order - none left",IF(AE172="Low stock","Order - running low",IF(AND(AD172&lt;&gt;"",AD172&gt;0.075),"Check - price jumped, re-price the products",IF(AND(P172&lt;&gt;"",TodayDate-P172&gt;365),"Check - price is over a year old","OK")))))))</f>
        <v>0</v>
      </c>
    </row>
    <row r="173" spans="1:33">
      <c r="A173" s="38">
        <f>IF(B173="","",MaterialPrefix&amp;TEXT(ROW()-4,"0000"))</f>
        <v>0</v>
      </c>
      <c r="R173" s="20">
        <f>IF(B173="","",IF(I173="","",ROUND(I173*(1-IF(K173="",0,K173))+IF(J173="",0,J173),2)))</f>
        <v>0</v>
      </c>
      <c r="S173" s="45">
        <f>IF(B173="","",IF(OR(R173="",G173="",G173=0),"",ROUND(R173/G173,4)))</f>
        <v>0</v>
      </c>
      <c r="T173" s="13">
        <f>IF(B173="","",IFERROR(INDEX(UnitBases,MATCH(H173,UnitNames,0)),""))</f>
        <v>0</v>
      </c>
      <c r="U173" s="41">
        <f>IF(B173="","",IFERROR(INDEX(UnitFactors,MATCH(H173,UnitNames,0)),""))</f>
        <v>0</v>
      </c>
      <c r="V173" s="45">
        <f>IF(B173="","",IF(OR(S173="",U173="",U173=0),"",ROUND(S173/U173,4)))</f>
        <v>0</v>
      </c>
      <c r="W173" s="33">
        <f>IF(B173="","",IF(L173="",DefaultWaste,L173))</f>
        <v>0</v>
      </c>
      <c r="X173" s="45">
        <f>IF(B173="","",IF(S173="","",ROUND(S173*(1+W173),4)))</f>
        <v>0</v>
      </c>
      <c r="Y173" s="20">
        <f>IF(B173="","",IF(OR(M173="",S173=""),"",ROUND(M173*S173,2)))</f>
        <v>0</v>
      </c>
      <c r="Z173" s="32">
        <f>IF(B173="","",COUNTIFS('Material Usage'!$C$5:$C$904,A173))</f>
        <v>0</v>
      </c>
      <c r="AA173" s="36">
        <f>IF(B173="","",SUMIFS('Material Usage'!$K$5:$K$904,'Material Usage'!$C$5:$C$904,A173))</f>
        <v>0</v>
      </c>
      <c r="AB173" s="20">
        <f>IF(B173="","",ROUND(SUMIFS('Material Usage'!$M$5:$M$904,'Material Usage'!$C$5:$C$904,A173),2))</f>
        <v>0</v>
      </c>
      <c r="AC173" s="32">
        <f>IF(B173="","",IF(OR(M173="",AA173="",AA173&lt;=0),"",ROUNDDOWN(M173/AA173,0)))</f>
        <v>0</v>
      </c>
      <c r="AD173" s="33">
        <f>IF(B173="","",IF(OR(O173="",O173=0,I173=""),"",(I173-O173)/O173))</f>
        <v>0</v>
      </c>
      <c r="AE173" s="43">
        <f>IF(B173="","",IF(M173="","Not tracked",IF(M173&lt;=0,"Out of stock",IF(AND(N173&lt;&gt;"",M173&lt;=N173),"Low stock","In stock"))))</f>
        <v>0</v>
      </c>
      <c r="AF173" s="32">
        <f>IF(B173="","",COUNTIFS($AB$5:$AB$254,"&gt;"&amp;AB173)+COUNTIFS($AB$5:AB173,AB173))</f>
        <v>0</v>
      </c>
      <c r="AG173" s="43">
        <f>IF(B173="","",IF(I173="","Add - no price yet",IF(OR(G173="",G173=0),"Add - how much is in a pack?",IF(AE173="Out of stock","Order - none left",IF(AE173="Low stock","Order - running low",IF(AND(AD173&lt;&gt;"",AD173&gt;0.075),"Check - price jumped, re-price the products",IF(AND(P173&lt;&gt;"",TodayDate-P173&gt;365),"Check - price is over a year old","OK")))))))</f>
        <v>0</v>
      </c>
    </row>
    <row r="174" spans="1:33">
      <c r="A174" s="38">
        <f>IF(B174="","",MaterialPrefix&amp;TEXT(ROW()-4,"0000"))</f>
        <v>0</v>
      </c>
      <c r="R174" s="20">
        <f>IF(B174="","",IF(I174="","",ROUND(I174*(1-IF(K174="",0,K174))+IF(J174="",0,J174),2)))</f>
        <v>0</v>
      </c>
      <c r="S174" s="45">
        <f>IF(B174="","",IF(OR(R174="",G174="",G174=0),"",ROUND(R174/G174,4)))</f>
        <v>0</v>
      </c>
      <c r="T174" s="13">
        <f>IF(B174="","",IFERROR(INDEX(UnitBases,MATCH(H174,UnitNames,0)),""))</f>
        <v>0</v>
      </c>
      <c r="U174" s="41">
        <f>IF(B174="","",IFERROR(INDEX(UnitFactors,MATCH(H174,UnitNames,0)),""))</f>
        <v>0</v>
      </c>
      <c r="V174" s="45">
        <f>IF(B174="","",IF(OR(S174="",U174="",U174=0),"",ROUND(S174/U174,4)))</f>
        <v>0</v>
      </c>
      <c r="W174" s="33">
        <f>IF(B174="","",IF(L174="",DefaultWaste,L174))</f>
        <v>0</v>
      </c>
      <c r="X174" s="45">
        <f>IF(B174="","",IF(S174="","",ROUND(S174*(1+W174),4)))</f>
        <v>0</v>
      </c>
      <c r="Y174" s="20">
        <f>IF(B174="","",IF(OR(M174="",S174=""),"",ROUND(M174*S174,2)))</f>
        <v>0</v>
      </c>
      <c r="Z174" s="32">
        <f>IF(B174="","",COUNTIFS('Material Usage'!$C$5:$C$904,A174))</f>
        <v>0</v>
      </c>
      <c r="AA174" s="36">
        <f>IF(B174="","",SUMIFS('Material Usage'!$K$5:$K$904,'Material Usage'!$C$5:$C$904,A174))</f>
        <v>0</v>
      </c>
      <c r="AB174" s="20">
        <f>IF(B174="","",ROUND(SUMIFS('Material Usage'!$M$5:$M$904,'Material Usage'!$C$5:$C$904,A174),2))</f>
        <v>0</v>
      </c>
      <c r="AC174" s="32">
        <f>IF(B174="","",IF(OR(M174="",AA174="",AA174&lt;=0),"",ROUNDDOWN(M174/AA174,0)))</f>
        <v>0</v>
      </c>
      <c r="AD174" s="33">
        <f>IF(B174="","",IF(OR(O174="",O174=0,I174=""),"",(I174-O174)/O174))</f>
        <v>0</v>
      </c>
      <c r="AE174" s="43">
        <f>IF(B174="","",IF(M174="","Not tracked",IF(M174&lt;=0,"Out of stock",IF(AND(N174&lt;&gt;"",M174&lt;=N174),"Low stock","In stock"))))</f>
        <v>0</v>
      </c>
      <c r="AF174" s="32">
        <f>IF(B174="","",COUNTIFS($AB$5:$AB$254,"&gt;"&amp;AB174)+COUNTIFS($AB$5:AB174,AB174))</f>
        <v>0</v>
      </c>
      <c r="AG174" s="43">
        <f>IF(B174="","",IF(I174="","Add - no price yet",IF(OR(G174="",G174=0),"Add - how much is in a pack?",IF(AE174="Out of stock","Order - none left",IF(AE174="Low stock","Order - running low",IF(AND(AD174&lt;&gt;"",AD174&gt;0.075),"Check - price jumped, re-price the products",IF(AND(P174&lt;&gt;"",TodayDate-P174&gt;365),"Check - price is over a year old","OK")))))))</f>
        <v>0</v>
      </c>
    </row>
    <row r="175" spans="1:33">
      <c r="A175" s="38">
        <f>IF(B175="","",MaterialPrefix&amp;TEXT(ROW()-4,"0000"))</f>
        <v>0</v>
      </c>
      <c r="R175" s="20">
        <f>IF(B175="","",IF(I175="","",ROUND(I175*(1-IF(K175="",0,K175))+IF(J175="",0,J175),2)))</f>
        <v>0</v>
      </c>
      <c r="S175" s="45">
        <f>IF(B175="","",IF(OR(R175="",G175="",G175=0),"",ROUND(R175/G175,4)))</f>
        <v>0</v>
      </c>
      <c r="T175" s="13">
        <f>IF(B175="","",IFERROR(INDEX(UnitBases,MATCH(H175,UnitNames,0)),""))</f>
        <v>0</v>
      </c>
      <c r="U175" s="41">
        <f>IF(B175="","",IFERROR(INDEX(UnitFactors,MATCH(H175,UnitNames,0)),""))</f>
        <v>0</v>
      </c>
      <c r="V175" s="45">
        <f>IF(B175="","",IF(OR(S175="",U175="",U175=0),"",ROUND(S175/U175,4)))</f>
        <v>0</v>
      </c>
      <c r="W175" s="33">
        <f>IF(B175="","",IF(L175="",DefaultWaste,L175))</f>
        <v>0</v>
      </c>
      <c r="X175" s="45">
        <f>IF(B175="","",IF(S175="","",ROUND(S175*(1+W175),4)))</f>
        <v>0</v>
      </c>
      <c r="Y175" s="20">
        <f>IF(B175="","",IF(OR(M175="",S175=""),"",ROUND(M175*S175,2)))</f>
        <v>0</v>
      </c>
      <c r="Z175" s="32">
        <f>IF(B175="","",COUNTIFS('Material Usage'!$C$5:$C$904,A175))</f>
        <v>0</v>
      </c>
      <c r="AA175" s="36">
        <f>IF(B175="","",SUMIFS('Material Usage'!$K$5:$K$904,'Material Usage'!$C$5:$C$904,A175))</f>
        <v>0</v>
      </c>
      <c r="AB175" s="20">
        <f>IF(B175="","",ROUND(SUMIFS('Material Usage'!$M$5:$M$904,'Material Usage'!$C$5:$C$904,A175),2))</f>
        <v>0</v>
      </c>
      <c r="AC175" s="32">
        <f>IF(B175="","",IF(OR(M175="",AA175="",AA175&lt;=0),"",ROUNDDOWN(M175/AA175,0)))</f>
        <v>0</v>
      </c>
      <c r="AD175" s="33">
        <f>IF(B175="","",IF(OR(O175="",O175=0,I175=""),"",(I175-O175)/O175))</f>
        <v>0</v>
      </c>
      <c r="AE175" s="43">
        <f>IF(B175="","",IF(M175="","Not tracked",IF(M175&lt;=0,"Out of stock",IF(AND(N175&lt;&gt;"",M175&lt;=N175),"Low stock","In stock"))))</f>
        <v>0</v>
      </c>
      <c r="AF175" s="32">
        <f>IF(B175="","",COUNTIFS($AB$5:$AB$254,"&gt;"&amp;AB175)+COUNTIFS($AB$5:AB175,AB175))</f>
        <v>0</v>
      </c>
      <c r="AG175" s="43">
        <f>IF(B175="","",IF(I175="","Add - no price yet",IF(OR(G175="",G175=0),"Add - how much is in a pack?",IF(AE175="Out of stock","Order - none left",IF(AE175="Low stock","Order - running low",IF(AND(AD175&lt;&gt;"",AD175&gt;0.075),"Check - price jumped, re-price the products",IF(AND(P175&lt;&gt;"",TodayDate-P175&gt;365),"Check - price is over a year old","OK")))))))</f>
        <v>0</v>
      </c>
    </row>
    <row r="176" spans="1:33">
      <c r="A176" s="38">
        <f>IF(B176="","",MaterialPrefix&amp;TEXT(ROW()-4,"0000"))</f>
        <v>0</v>
      </c>
      <c r="R176" s="20">
        <f>IF(B176="","",IF(I176="","",ROUND(I176*(1-IF(K176="",0,K176))+IF(J176="",0,J176),2)))</f>
        <v>0</v>
      </c>
      <c r="S176" s="45">
        <f>IF(B176="","",IF(OR(R176="",G176="",G176=0),"",ROUND(R176/G176,4)))</f>
        <v>0</v>
      </c>
      <c r="T176" s="13">
        <f>IF(B176="","",IFERROR(INDEX(UnitBases,MATCH(H176,UnitNames,0)),""))</f>
        <v>0</v>
      </c>
      <c r="U176" s="41">
        <f>IF(B176="","",IFERROR(INDEX(UnitFactors,MATCH(H176,UnitNames,0)),""))</f>
        <v>0</v>
      </c>
      <c r="V176" s="45">
        <f>IF(B176="","",IF(OR(S176="",U176="",U176=0),"",ROUND(S176/U176,4)))</f>
        <v>0</v>
      </c>
      <c r="W176" s="33">
        <f>IF(B176="","",IF(L176="",DefaultWaste,L176))</f>
        <v>0</v>
      </c>
      <c r="X176" s="45">
        <f>IF(B176="","",IF(S176="","",ROUND(S176*(1+W176),4)))</f>
        <v>0</v>
      </c>
      <c r="Y176" s="20">
        <f>IF(B176="","",IF(OR(M176="",S176=""),"",ROUND(M176*S176,2)))</f>
        <v>0</v>
      </c>
      <c r="Z176" s="32">
        <f>IF(B176="","",COUNTIFS('Material Usage'!$C$5:$C$904,A176))</f>
        <v>0</v>
      </c>
      <c r="AA176" s="36">
        <f>IF(B176="","",SUMIFS('Material Usage'!$K$5:$K$904,'Material Usage'!$C$5:$C$904,A176))</f>
        <v>0</v>
      </c>
      <c r="AB176" s="20">
        <f>IF(B176="","",ROUND(SUMIFS('Material Usage'!$M$5:$M$904,'Material Usage'!$C$5:$C$904,A176),2))</f>
        <v>0</v>
      </c>
      <c r="AC176" s="32">
        <f>IF(B176="","",IF(OR(M176="",AA176="",AA176&lt;=0),"",ROUNDDOWN(M176/AA176,0)))</f>
        <v>0</v>
      </c>
      <c r="AD176" s="33">
        <f>IF(B176="","",IF(OR(O176="",O176=0,I176=""),"",(I176-O176)/O176))</f>
        <v>0</v>
      </c>
      <c r="AE176" s="43">
        <f>IF(B176="","",IF(M176="","Not tracked",IF(M176&lt;=0,"Out of stock",IF(AND(N176&lt;&gt;"",M176&lt;=N176),"Low stock","In stock"))))</f>
        <v>0</v>
      </c>
      <c r="AF176" s="32">
        <f>IF(B176="","",COUNTIFS($AB$5:$AB$254,"&gt;"&amp;AB176)+COUNTIFS($AB$5:AB176,AB176))</f>
        <v>0</v>
      </c>
      <c r="AG176" s="43">
        <f>IF(B176="","",IF(I176="","Add - no price yet",IF(OR(G176="",G176=0),"Add - how much is in a pack?",IF(AE176="Out of stock","Order - none left",IF(AE176="Low stock","Order - running low",IF(AND(AD176&lt;&gt;"",AD176&gt;0.075),"Check - price jumped, re-price the products",IF(AND(P176&lt;&gt;"",TodayDate-P176&gt;365),"Check - price is over a year old","OK")))))))</f>
        <v>0</v>
      </c>
    </row>
    <row r="177" spans="1:33">
      <c r="A177" s="38">
        <f>IF(B177="","",MaterialPrefix&amp;TEXT(ROW()-4,"0000"))</f>
        <v>0</v>
      </c>
      <c r="R177" s="20">
        <f>IF(B177="","",IF(I177="","",ROUND(I177*(1-IF(K177="",0,K177))+IF(J177="",0,J177),2)))</f>
        <v>0</v>
      </c>
      <c r="S177" s="45">
        <f>IF(B177="","",IF(OR(R177="",G177="",G177=0),"",ROUND(R177/G177,4)))</f>
        <v>0</v>
      </c>
      <c r="T177" s="13">
        <f>IF(B177="","",IFERROR(INDEX(UnitBases,MATCH(H177,UnitNames,0)),""))</f>
        <v>0</v>
      </c>
      <c r="U177" s="41">
        <f>IF(B177="","",IFERROR(INDEX(UnitFactors,MATCH(H177,UnitNames,0)),""))</f>
        <v>0</v>
      </c>
      <c r="V177" s="45">
        <f>IF(B177="","",IF(OR(S177="",U177="",U177=0),"",ROUND(S177/U177,4)))</f>
        <v>0</v>
      </c>
      <c r="W177" s="33">
        <f>IF(B177="","",IF(L177="",DefaultWaste,L177))</f>
        <v>0</v>
      </c>
      <c r="X177" s="45">
        <f>IF(B177="","",IF(S177="","",ROUND(S177*(1+W177),4)))</f>
        <v>0</v>
      </c>
      <c r="Y177" s="20">
        <f>IF(B177="","",IF(OR(M177="",S177=""),"",ROUND(M177*S177,2)))</f>
        <v>0</v>
      </c>
      <c r="Z177" s="32">
        <f>IF(B177="","",COUNTIFS('Material Usage'!$C$5:$C$904,A177))</f>
        <v>0</v>
      </c>
      <c r="AA177" s="36">
        <f>IF(B177="","",SUMIFS('Material Usage'!$K$5:$K$904,'Material Usage'!$C$5:$C$904,A177))</f>
        <v>0</v>
      </c>
      <c r="AB177" s="20">
        <f>IF(B177="","",ROUND(SUMIFS('Material Usage'!$M$5:$M$904,'Material Usage'!$C$5:$C$904,A177),2))</f>
        <v>0</v>
      </c>
      <c r="AC177" s="32">
        <f>IF(B177="","",IF(OR(M177="",AA177="",AA177&lt;=0),"",ROUNDDOWN(M177/AA177,0)))</f>
        <v>0</v>
      </c>
      <c r="AD177" s="33">
        <f>IF(B177="","",IF(OR(O177="",O177=0,I177=""),"",(I177-O177)/O177))</f>
        <v>0</v>
      </c>
      <c r="AE177" s="43">
        <f>IF(B177="","",IF(M177="","Not tracked",IF(M177&lt;=0,"Out of stock",IF(AND(N177&lt;&gt;"",M177&lt;=N177),"Low stock","In stock"))))</f>
        <v>0</v>
      </c>
      <c r="AF177" s="32">
        <f>IF(B177="","",COUNTIFS($AB$5:$AB$254,"&gt;"&amp;AB177)+COUNTIFS($AB$5:AB177,AB177))</f>
        <v>0</v>
      </c>
      <c r="AG177" s="43">
        <f>IF(B177="","",IF(I177="","Add - no price yet",IF(OR(G177="",G177=0),"Add - how much is in a pack?",IF(AE177="Out of stock","Order - none left",IF(AE177="Low stock","Order - running low",IF(AND(AD177&lt;&gt;"",AD177&gt;0.075),"Check - price jumped, re-price the products",IF(AND(P177&lt;&gt;"",TodayDate-P177&gt;365),"Check - price is over a year old","OK")))))))</f>
        <v>0</v>
      </c>
    </row>
    <row r="178" spans="1:33">
      <c r="A178" s="38">
        <f>IF(B178="","",MaterialPrefix&amp;TEXT(ROW()-4,"0000"))</f>
        <v>0</v>
      </c>
      <c r="R178" s="20">
        <f>IF(B178="","",IF(I178="","",ROUND(I178*(1-IF(K178="",0,K178))+IF(J178="",0,J178),2)))</f>
        <v>0</v>
      </c>
      <c r="S178" s="45">
        <f>IF(B178="","",IF(OR(R178="",G178="",G178=0),"",ROUND(R178/G178,4)))</f>
        <v>0</v>
      </c>
      <c r="T178" s="13">
        <f>IF(B178="","",IFERROR(INDEX(UnitBases,MATCH(H178,UnitNames,0)),""))</f>
        <v>0</v>
      </c>
      <c r="U178" s="41">
        <f>IF(B178="","",IFERROR(INDEX(UnitFactors,MATCH(H178,UnitNames,0)),""))</f>
        <v>0</v>
      </c>
      <c r="V178" s="45">
        <f>IF(B178="","",IF(OR(S178="",U178="",U178=0),"",ROUND(S178/U178,4)))</f>
        <v>0</v>
      </c>
      <c r="W178" s="33">
        <f>IF(B178="","",IF(L178="",DefaultWaste,L178))</f>
        <v>0</v>
      </c>
      <c r="X178" s="45">
        <f>IF(B178="","",IF(S178="","",ROUND(S178*(1+W178),4)))</f>
        <v>0</v>
      </c>
      <c r="Y178" s="20">
        <f>IF(B178="","",IF(OR(M178="",S178=""),"",ROUND(M178*S178,2)))</f>
        <v>0</v>
      </c>
      <c r="Z178" s="32">
        <f>IF(B178="","",COUNTIFS('Material Usage'!$C$5:$C$904,A178))</f>
        <v>0</v>
      </c>
      <c r="AA178" s="36">
        <f>IF(B178="","",SUMIFS('Material Usage'!$K$5:$K$904,'Material Usage'!$C$5:$C$904,A178))</f>
        <v>0</v>
      </c>
      <c r="AB178" s="20">
        <f>IF(B178="","",ROUND(SUMIFS('Material Usage'!$M$5:$M$904,'Material Usage'!$C$5:$C$904,A178),2))</f>
        <v>0</v>
      </c>
      <c r="AC178" s="32">
        <f>IF(B178="","",IF(OR(M178="",AA178="",AA178&lt;=0),"",ROUNDDOWN(M178/AA178,0)))</f>
        <v>0</v>
      </c>
      <c r="AD178" s="33">
        <f>IF(B178="","",IF(OR(O178="",O178=0,I178=""),"",(I178-O178)/O178))</f>
        <v>0</v>
      </c>
      <c r="AE178" s="43">
        <f>IF(B178="","",IF(M178="","Not tracked",IF(M178&lt;=0,"Out of stock",IF(AND(N178&lt;&gt;"",M178&lt;=N178),"Low stock","In stock"))))</f>
        <v>0</v>
      </c>
      <c r="AF178" s="32">
        <f>IF(B178="","",COUNTIFS($AB$5:$AB$254,"&gt;"&amp;AB178)+COUNTIFS($AB$5:AB178,AB178))</f>
        <v>0</v>
      </c>
      <c r="AG178" s="43">
        <f>IF(B178="","",IF(I178="","Add - no price yet",IF(OR(G178="",G178=0),"Add - how much is in a pack?",IF(AE178="Out of stock","Order - none left",IF(AE178="Low stock","Order - running low",IF(AND(AD178&lt;&gt;"",AD178&gt;0.075),"Check - price jumped, re-price the products",IF(AND(P178&lt;&gt;"",TodayDate-P178&gt;365),"Check - price is over a year old","OK")))))))</f>
        <v>0</v>
      </c>
    </row>
    <row r="179" spans="1:33">
      <c r="A179" s="38">
        <f>IF(B179="","",MaterialPrefix&amp;TEXT(ROW()-4,"0000"))</f>
        <v>0</v>
      </c>
      <c r="R179" s="20">
        <f>IF(B179="","",IF(I179="","",ROUND(I179*(1-IF(K179="",0,K179))+IF(J179="",0,J179),2)))</f>
        <v>0</v>
      </c>
      <c r="S179" s="45">
        <f>IF(B179="","",IF(OR(R179="",G179="",G179=0),"",ROUND(R179/G179,4)))</f>
        <v>0</v>
      </c>
      <c r="T179" s="13">
        <f>IF(B179="","",IFERROR(INDEX(UnitBases,MATCH(H179,UnitNames,0)),""))</f>
        <v>0</v>
      </c>
      <c r="U179" s="41">
        <f>IF(B179="","",IFERROR(INDEX(UnitFactors,MATCH(H179,UnitNames,0)),""))</f>
        <v>0</v>
      </c>
      <c r="V179" s="45">
        <f>IF(B179="","",IF(OR(S179="",U179="",U179=0),"",ROUND(S179/U179,4)))</f>
        <v>0</v>
      </c>
      <c r="W179" s="33">
        <f>IF(B179="","",IF(L179="",DefaultWaste,L179))</f>
        <v>0</v>
      </c>
      <c r="X179" s="45">
        <f>IF(B179="","",IF(S179="","",ROUND(S179*(1+W179),4)))</f>
        <v>0</v>
      </c>
      <c r="Y179" s="20">
        <f>IF(B179="","",IF(OR(M179="",S179=""),"",ROUND(M179*S179,2)))</f>
        <v>0</v>
      </c>
      <c r="Z179" s="32">
        <f>IF(B179="","",COUNTIFS('Material Usage'!$C$5:$C$904,A179))</f>
        <v>0</v>
      </c>
      <c r="AA179" s="36">
        <f>IF(B179="","",SUMIFS('Material Usage'!$K$5:$K$904,'Material Usage'!$C$5:$C$904,A179))</f>
        <v>0</v>
      </c>
      <c r="AB179" s="20">
        <f>IF(B179="","",ROUND(SUMIFS('Material Usage'!$M$5:$M$904,'Material Usage'!$C$5:$C$904,A179),2))</f>
        <v>0</v>
      </c>
      <c r="AC179" s="32">
        <f>IF(B179="","",IF(OR(M179="",AA179="",AA179&lt;=0),"",ROUNDDOWN(M179/AA179,0)))</f>
        <v>0</v>
      </c>
      <c r="AD179" s="33">
        <f>IF(B179="","",IF(OR(O179="",O179=0,I179=""),"",(I179-O179)/O179))</f>
        <v>0</v>
      </c>
      <c r="AE179" s="43">
        <f>IF(B179="","",IF(M179="","Not tracked",IF(M179&lt;=0,"Out of stock",IF(AND(N179&lt;&gt;"",M179&lt;=N179),"Low stock","In stock"))))</f>
        <v>0</v>
      </c>
      <c r="AF179" s="32">
        <f>IF(B179="","",COUNTIFS($AB$5:$AB$254,"&gt;"&amp;AB179)+COUNTIFS($AB$5:AB179,AB179))</f>
        <v>0</v>
      </c>
      <c r="AG179" s="43">
        <f>IF(B179="","",IF(I179="","Add - no price yet",IF(OR(G179="",G179=0),"Add - how much is in a pack?",IF(AE179="Out of stock","Order - none left",IF(AE179="Low stock","Order - running low",IF(AND(AD179&lt;&gt;"",AD179&gt;0.075),"Check - price jumped, re-price the products",IF(AND(P179&lt;&gt;"",TodayDate-P179&gt;365),"Check - price is over a year old","OK")))))))</f>
        <v>0</v>
      </c>
    </row>
    <row r="180" spans="1:33">
      <c r="A180" s="38">
        <f>IF(B180="","",MaterialPrefix&amp;TEXT(ROW()-4,"0000"))</f>
        <v>0</v>
      </c>
      <c r="R180" s="20">
        <f>IF(B180="","",IF(I180="","",ROUND(I180*(1-IF(K180="",0,K180))+IF(J180="",0,J180),2)))</f>
        <v>0</v>
      </c>
      <c r="S180" s="45">
        <f>IF(B180="","",IF(OR(R180="",G180="",G180=0),"",ROUND(R180/G180,4)))</f>
        <v>0</v>
      </c>
      <c r="T180" s="13">
        <f>IF(B180="","",IFERROR(INDEX(UnitBases,MATCH(H180,UnitNames,0)),""))</f>
        <v>0</v>
      </c>
      <c r="U180" s="41">
        <f>IF(B180="","",IFERROR(INDEX(UnitFactors,MATCH(H180,UnitNames,0)),""))</f>
        <v>0</v>
      </c>
      <c r="V180" s="45">
        <f>IF(B180="","",IF(OR(S180="",U180="",U180=0),"",ROUND(S180/U180,4)))</f>
        <v>0</v>
      </c>
      <c r="W180" s="33">
        <f>IF(B180="","",IF(L180="",DefaultWaste,L180))</f>
        <v>0</v>
      </c>
      <c r="X180" s="45">
        <f>IF(B180="","",IF(S180="","",ROUND(S180*(1+W180),4)))</f>
        <v>0</v>
      </c>
      <c r="Y180" s="20">
        <f>IF(B180="","",IF(OR(M180="",S180=""),"",ROUND(M180*S180,2)))</f>
        <v>0</v>
      </c>
      <c r="Z180" s="32">
        <f>IF(B180="","",COUNTIFS('Material Usage'!$C$5:$C$904,A180))</f>
        <v>0</v>
      </c>
      <c r="AA180" s="36">
        <f>IF(B180="","",SUMIFS('Material Usage'!$K$5:$K$904,'Material Usage'!$C$5:$C$904,A180))</f>
        <v>0</v>
      </c>
      <c r="AB180" s="20">
        <f>IF(B180="","",ROUND(SUMIFS('Material Usage'!$M$5:$M$904,'Material Usage'!$C$5:$C$904,A180),2))</f>
        <v>0</v>
      </c>
      <c r="AC180" s="32">
        <f>IF(B180="","",IF(OR(M180="",AA180="",AA180&lt;=0),"",ROUNDDOWN(M180/AA180,0)))</f>
        <v>0</v>
      </c>
      <c r="AD180" s="33">
        <f>IF(B180="","",IF(OR(O180="",O180=0,I180=""),"",(I180-O180)/O180))</f>
        <v>0</v>
      </c>
      <c r="AE180" s="43">
        <f>IF(B180="","",IF(M180="","Not tracked",IF(M180&lt;=0,"Out of stock",IF(AND(N180&lt;&gt;"",M180&lt;=N180),"Low stock","In stock"))))</f>
        <v>0</v>
      </c>
      <c r="AF180" s="32">
        <f>IF(B180="","",COUNTIFS($AB$5:$AB$254,"&gt;"&amp;AB180)+COUNTIFS($AB$5:AB180,AB180))</f>
        <v>0</v>
      </c>
      <c r="AG180" s="43">
        <f>IF(B180="","",IF(I180="","Add - no price yet",IF(OR(G180="",G180=0),"Add - how much is in a pack?",IF(AE180="Out of stock","Order - none left",IF(AE180="Low stock","Order - running low",IF(AND(AD180&lt;&gt;"",AD180&gt;0.075),"Check - price jumped, re-price the products",IF(AND(P180&lt;&gt;"",TodayDate-P180&gt;365),"Check - price is over a year old","OK")))))))</f>
        <v>0</v>
      </c>
    </row>
    <row r="181" spans="1:33">
      <c r="A181" s="38">
        <f>IF(B181="","",MaterialPrefix&amp;TEXT(ROW()-4,"0000"))</f>
        <v>0</v>
      </c>
      <c r="R181" s="20">
        <f>IF(B181="","",IF(I181="","",ROUND(I181*(1-IF(K181="",0,K181))+IF(J181="",0,J181),2)))</f>
        <v>0</v>
      </c>
      <c r="S181" s="45">
        <f>IF(B181="","",IF(OR(R181="",G181="",G181=0),"",ROUND(R181/G181,4)))</f>
        <v>0</v>
      </c>
      <c r="T181" s="13">
        <f>IF(B181="","",IFERROR(INDEX(UnitBases,MATCH(H181,UnitNames,0)),""))</f>
        <v>0</v>
      </c>
      <c r="U181" s="41">
        <f>IF(B181="","",IFERROR(INDEX(UnitFactors,MATCH(H181,UnitNames,0)),""))</f>
        <v>0</v>
      </c>
      <c r="V181" s="45">
        <f>IF(B181="","",IF(OR(S181="",U181="",U181=0),"",ROUND(S181/U181,4)))</f>
        <v>0</v>
      </c>
      <c r="W181" s="33">
        <f>IF(B181="","",IF(L181="",DefaultWaste,L181))</f>
        <v>0</v>
      </c>
      <c r="X181" s="45">
        <f>IF(B181="","",IF(S181="","",ROUND(S181*(1+W181),4)))</f>
        <v>0</v>
      </c>
      <c r="Y181" s="20">
        <f>IF(B181="","",IF(OR(M181="",S181=""),"",ROUND(M181*S181,2)))</f>
        <v>0</v>
      </c>
      <c r="Z181" s="32">
        <f>IF(B181="","",COUNTIFS('Material Usage'!$C$5:$C$904,A181))</f>
        <v>0</v>
      </c>
      <c r="AA181" s="36">
        <f>IF(B181="","",SUMIFS('Material Usage'!$K$5:$K$904,'Material Usage'!$C$5:$C$904,A181))</f>
        <v>0</v>
      </c>
      <c r="AB181" s="20">
        <f>IF(B181="","",ROUND(SUMIFS('Material Usage'!$M$5:$M$904,'Material Usage'!$C$5:$C$904,A181),2))</f>
        <v>0</v>
      </c>
      <c r="AC181" s="32">
        <f>IF(B181="","",IF(OR(M181="",AA181="",AA181&lt;=0),"",ROUNDDOWN(M181/AA181,0)))</f>
        <v>0</v>
      </c>
      <c r="AD181" s="33">
        <f>IF(B181="","",IF(OR(O181="",O181=0,I181=""),"",(I181-O181)/O181))</f>
        <v>0</v>
      </c>
      <c r="AE181" s="43">
        <f>IF(B181="","",IF(M181="","Not tracked",IF(M181&lt;=0,"Out of stock",IF(AND(N181&lt;&gt;"",M181&lt;=N181),"Low stock","In stock"))))</f>
        <v>0</v>
      </c>
      <c r="AF181" s="32">
        <f>IF(B181="","",COUNTIFS($AB$5:$AB$254,"&gt;"&amp;AB181)+COUNTIFS($AB$5:AB181,AB181))</f>
        <v>0</v>
      </c>
      <c r="AG181" s="43">
        <f>IF(B181="","",IF(I181="","Add - no price yet",IF(OR(G181="",G181=0),"Add - how much is in a pack?",IF(AE181="Out of stock","Order - none left",IF(AE181="Low stock","Order - running low",IF(AND(AD181&lt;&gt;"",AD181&gt;0.075),"Check - price jumped, re-price the products",IF(AND(P181&lt;&gt;"",TodayDate-P181&gt;365),"Check - price is over a year old","OK")))))))</f>
        <v>0</v>
      </c>
    </row>
    <row r="182" spans="1:33">
      <c r="A182" s="38">
        <f>IF(B182="","",MaterialPrefix&amp;TEXT(ROW()-4,"0000"))</f>
        <v>0</v>
      </c>
      <c r="R182" s="20">
        <f>IF(B182="","",IF(I182="","",ROUND(I182*(1-IF(K182="",0,K182))+IF(J182="",0,J182),2)))</f>
        <v>0</v>
      </c>
      <c r="S182" s="45">
        <f>IF(B182="","",IF(OR(R182="",G182="",G182=0),"",ROUND(R182/G182,4)))</f>
        <v>0</v>
      </c>
      <c r="T182" s="13">
        <f>IF(B182="","",IFERROR(INDEX(UnitBases,MATCH(H182,UnitNames,0)),""))</f>
        <v>0</v>
      </c>
      <c r="U182" s="41">
        <f>IF(B182="","",IFERROR(INDEX(UnitFactors,MATCH(H182,UnitNames,0)),""))</f>
        <v>0</v>
      </c>
      <c r="V182" s="45">
        <f>IF(B182="","",IF(OR(S182="",U182="",U182=0),"",ROUND(S182/U182,4)))</f>
        <v>0</v>
      </c>
      <c r="W182" s="33">
        <f>IF(B182="","",IF(L182="",DefaultWaste,L182))</f>
        <v>0</v>
      </c>
      <c r="X182" s="45">
        <f>IF(B182="","",IF(S182="","",ROUND(S182*(1+W182),4)))</f>
        <v>0</v>
      </c>
      <c r="Y182" s="20">
        <f>IF(B182="","",IF(OR(M182="",S182=""),"",ROUND(M182*S182,2)))</f>
        <v>0</v>
      </c>
      <c r="Z182" s="32">
        <f>IF(B182="","",COUNTIFS('Material Usage'!$C$5:$C$904,A182))</f>
        <v>0</v>
      </c>
      <c r="AA182" s="36">
        <f>IF(B182="","",SUMIFS('Material Usage'!$K$5:$K$904,'Material Usage'!$C$5:$C$904,A182))</f>
        <v>0</v>
      </c>
      <c r="AB182" s="20">
        <f>IF(B182="","",ROUND(SUMIFS('Material Usage'!$M$5:$M$904,'Material Usage'!$C$5:$C$904,A182),2))</f>
        <v>0</v>
      </c>
      <c r="AC182" s="32">
        <f>IF(B182="","",IF(OR(M182="",AA182="",AA182&lt;=0),"",ROUNDDOWN(M182/AA182,0)))</f>
        <v>0</v>
      </c>
      <c r="AD182" s="33">
        <f>IF(B182="","",IF(OR(O182="",O182=0,I182=""),"",(I182-O182)/O182))</f>
        <v>0</v>
      </c>
      <c r="AE182" s="43">
        <f>IF(B182="","",IF(M182="","Not tracked",IF(M182&lt;=0,"Out of stock",IF(AND(N182&lt;&gt;"",M182&lt;=N182),"Low stock","In stock"))))</f>
        <v>0</v>
      </c>
      <c r="AF182" s="32">
        <f>IF(B182="","",COUNTIFS($AB$5:$AB$254,"&gt;"&amp;AB182)+COUNTIFS($AB$5:AB182,AB182))</f>
        <v>0</v>
      </c>
      <c r="AG182" s="43">
        <f>IF(B182="","",IF(I182="","Add - no price yet",IF(OR(G182="",G182=0),"Add - how much is in a pack?",IF(AE182="Out of stock","Order - none left",IF(AE182="Low stock","Order - running low",IF(AND(AD182&lt;&gt;"",AD182&gt;0.075),"Check - price jumped, re-price the products",IF(AND(P182&lt;&gt;"",TodayDate-P182&gt;365),"Check - price is over a year old","OK")))))))</f>
        <v>0</v>
      </c>
    </row>
    <row r="183" spans="1:33">
      <c r="A183" s="38">
        <f>IF(B183="","",MaterialPrefix&amp;TEXT(ROW()-4,"0000"))</f>
        <v>0</v>
      </c>
      <c r="R183" s="20">
        <f>IF(B183="","",IF(I183="","",ROUND(I183*(1-IF(K183="",0,K183))+IF(J183="",0,J183),2)))</f>
        <v>0</v>
      </c>
      <c r="S183" s="45">
        <f>IF(B183="","",IF(OR(R183="",G183="",G183=0),"",ROUND(R183/G183,4)))</f>
        <v>0</v>
      </c>
      <c r="T183" s="13">
        <f>IF(B183="","",IFERROR(INDEX(UnitBases,MATCH(H183,UnitNames,0)),""))</f>
        <v>0</v>
      </c>
      <c r="U183" s="41">
        <f>IF(B183="","",IFERROR(INDEX(UnitFactors,MATCH(H183,UnitNames,0)),""))</f>
        <v>0</v>
      </c>
      <c r="V183" s="45">
        <f>IF(B183="","",IF(OR(S183="",U183="",U183=0),"",ROUND(S183/U183,4)))</f>
        <v>0</v>
      </c>
      <c r="W183" s="33">
        <f>IF(B183="","",IF(L183="",DefaultWaste,L183))</f>
        <v>0</v>
      </c>
      <c r="X183" s="45">
        <f>IF(B183="","",IF(S183="","",ROUND(S183*(1+W183),4)))</f>
        <v>0</v>
      </c>
      <c r="Y183" s="20">
        <f>IF(B183="","",IF(OR(M183="",S183=""),"",ROUND(M183*S183,2)))</f>
        <v>0</v>
      </c>
      <c r="Z183" s="32">
        <f>IF(B183="","",COUNTIFS('Material Usage'!$C$5:$C$904,A183))</f>
        <v>0</v>
      </c>
      <c r="AA183" s="36">
        <f>IF(B183="","",SUMIFS('Material Usage'!$K$5:$K$904,'Material Usage'!$C$5:$C$904,A183))</f>
        <v>0</v>
      </c>
      <c r="AB183" s="20">
        <f>IF(B183="","",ROUND(SUMIFS('Material Usage'!$M$5:$M$904,'Material Usage'!$C$5:$C$904,A183),2))</f>
        <v>0</v>
      </c>
      <c r="AC183" s="32">
        <f>IF(B183="","",IF(OR(M183="",AA183="",AA183&lt;=0),"",ROUNDDOWN(M183/AA183,0)))</f>
        <v>0</v>
      </c>
      <c r="AD183" s="33">
        <f>IF(B183="","",IF(OR(O183="",O183=0,I183=""),"",(I183-O183)/O183))</f>
        <v>0</v>
      </c>
      <c r="AE183" s="43">
        <f>IF(B183="","",IF(M183="","Not tracked",IF(M183&lt;=0,"Out of stock",IF(AND(N183&lt;&gt;"",M183&lt;=N183),"Low stock","In stock"))))</f>
        <v>0</v>
      </c>
      <c r="AF183" s="32">
        <f>IF(B183="","",COUNTIFS($AB$5:$AB$254,"&gt;"&amp;AB183)+COUNTIFS($AB$5:AB183,AB183))</f>
        <v>0</v>
      </c>
      <c r="AG183" s="43">
        <f>IF(B183="","",IF(I183="","Add - no price yet",IF(OR(G183="",G183=0),"Add - how much is in a pack?",IF(AE183="Out of stock","Order - none left",IF(AE183="Low stock","Order - running low",IF(AND(AD183&lt;&gt;"",AD183&gt;0.075),"Check - price jumped, re-price the products",IF(AND(P183&lt;&gt;"",TodayDate-P183&gt;365),"Check - price is over a year old","OK")))))))</f>
        <v>0</v>
      </c>
    </row>
    <row r="184" spans="1:33">
      <c r="A184" s="38">
        <f>IF(B184="","",MaterialPrefix&amp;TEXT(ROW()-4,"0000"))</f>
        <v>0</v>
      </c>
      <c r="R184" s="20">
        <f>IF(B184="","",IF(I184="","",ROUND(I184*(1-IF(K184="",0,K184))+IF(J184="",0,J184),2)))</f>
        <v>0</v>
      </c>
      <c r="S184" s="45">
        <f>IF(B184="","",IF(OR(R184="",G184="",G184=0),"",ROUND(R184/G184,4)))</f>
        <v>0</v>
      </c>
      <c r="T184" s="13">
        <f>IF(B184="","",IFERROR(INDEX(UnitBases,MATCH(H184,UnitNames,0)),""))</f>
        <v>0</v>
      </c>
      <c r="U184" s="41">
        <f>IF(B184="","",IFERROR(INDEX(UnitFactors,MATCH(H184,UnitNames,0)),""))</f>
        <v>0</v>
      </c>
      <c r="V184" s="45">
        <f>IF(B184="","",IF(OR(S184="",U184="",U184=0),"",ROUND(S184/U184,4)))</f>
        <v>0</v>
      </c>
      <c r="W184" s="33">
        <f>IF(B184="","",IF(L184="",DefaultWaste,L184))</f>
        <v>0</v>
      </c>
      <c r="X184" s="45">
        <f>IF(B184="","",IF(S184="","",ROUND(S184*(1+W184),4)))</f>
        <v>0</v>
      </c>
      <c r="Y184" s="20">
        <f>IF(B184="","",IF(OR(M184="",S184=""),"",ROUND(M184*S184,2)))</f>
        <v>0</v>
      </c>
      <c r="Z184" s="32">
        <f>IF(B184="","",COUNTIFS('Material Usage'!$C$5:$C$904,A184))</f>
        <v>0</v>
      </c>
      <c r="AA184" s="36">
        <f>IF(B184="","",SUMIFS('Material Usage'!$K$5:$K$904,'Material Usage'!$C$5:$C$904,A184))</f>
        <v>0</v>
      </c>
      <c r="AB184" s="20">
        <f>IF(B184="","",ROUND(SUMIFS('Material Usage'!$M$5:$M$904,'Material Usage'!$C$5:$C$904,A184),2))</f>
        <v>0</v>
      </c>
      <c r="AC184" s="32">
        <f>IF(B184="","",IF(OR(M184="",AA184="",AA184&lt;=0),"",ROUNDDOWN(M184/AA184,0)))</f>
        <v>0</v>
      </c>
      <c r="AD184" s="33">
        <f>IF(B184="","",IF(OR(O184="",O184=0,I184=""),"",(I184-O184)/O184))</f>
        <v>0</v>
      </c>
      <c r="AE184" s="43">
        <f>IF(B184="","",IF(M184="","Not tracked",IF(M184&lt;=0,"Out of stock",IF(AND(N184&lt;&gt;"",M184&lt;=N184),"Low stock","In stock"))))</f>
        <v>0</v>
      </c>
      <c r="AF184" s="32">
        <f>IF(B184="","",COUNTIFS($AB$5:$AB$254,"&gt;"&amp;AB184)+COUNTIFS($AB$5:AB184,AB184))</f>
        <v>0</v>
      </c>
      <c r="AG184" s="43">
        <f>IF(B184="","",IF(I184="","Add - no price yet",IF(OR(G184="",G184=0),"Add - how much is in a pack?",IF(AE184="Out of stock","Order - none left",IF(AE184="Low stock","Order - running low",IF(AND(AD184&lt;&gt;"",AD184&gt;0.075),"Check - price jumped, re-price the products",IF(AND(P184&lt;&gt;"",TodayDate-P184&gt;365),"Check - price is over a year old","OK")))))))</f>
        <v>0</v>
      </c>
    </row>
    <row r="185" spans="1:33">
      <c r="A185" s="38">
        <f>IF(B185="","",MaterialPrefix&amp;TEXT(ROW()-4,"0000"))</f>
        <v>0</v>
      </c>
      <c r="R185" s="20">
        <f>IF(B185="","",IF(I185="","",ROUND(I185*(1-IF(K185="",0,K185))+IF(J185="",0,J185),2)))</f>
        <v>0</v>
      </c>
      <c r="S185" s="45">
        <f>IF(B185="","",IF(OR(R185="",G185="",G185=0),"",ROUND(R185/G185,4)))</f>
        <v>0</v>
      </c>
      <c r="T185" s="13">
        <f>IF(B185="","",IFERROR(INDEX(UnitBases,MATCH(H185,UnitNames,0)),""))</f>
        <v>0</v>
      </c>
      <c r="U185" s="41">
        <f>IF(B185="","",IFERROR(INDEX(UnitFactors,MATCH(H185,UnitNames,0)),""))</f>
        <v>0</v>
      </c>
      <c r="V185" s="45">
        <f>IF(B185="","",IF(OR(S185="",U185="",U185=0),"",ROUND(S185/U185,4)))</f>
        <v>0</v>
      </c>
      <c r="W185" s="33">
        <f>IF(B185="","",IF(L185="",DefaultWaste,L185))</f>
        <v>0</v>
      </c>
      <c r="X185" s="45">
        <f>IF(B185="","",IF(S185="","",ROUND(S185*(1+W185),4)))</f>
        <v>0</v>
      </c>
      <c r="Y185" s="20">
        <f>IF(B185="","",IF(OR(M185="",S185=""),"",ROUND(M185*S185,2)))</f>
        <v>0</v>
      </c>
      <c r="Z185" s="32">
        <f>IF(B185="","",COUNTIFS('Material Usage'!$C$5:$C$904,A185))</f>
        <v>0</v>
      </c>
      <c r="AA185" s="36">
        <f>IF(B185="","",SUMIFS('Material Usage'!$K$5:$K$904,'Material Usage'!$C$5:$C$904,A185))</f>
        <v>0</v>
      </c>
      <c r="AB185" s="20">
        <f>IF(B185="","",ROUND(SUMIFS('Material Usage'!$M$5:$M$904,'Material Usage'!$C$5:$C$904,A185),2))</f>
        <v>0</v>
      </c>
      <c r="AC185" s="32">
        <f>IF(B185="","",IF(OR(M185="",AA185="",AA185&lt;=0),"",ROUNDDOWN(M185/AA185,0)))</f>
        <v>0</v>
      </c>
      <c r="AD185" s="33">
        <f>IF(B185="","",IF(OR(O185="",O185=0,I185=""),"",(I185-O185)/O185))</f>
        <v>0</v>
      </c>
      <c r="AE185" s="43">
        <f>IF(B185="","",IF(M185="","Not tracked",IF(M185&lt;=0,"Out of stock",IF(AND(N185&lt;&gt;"",M185&lt;=N185),"Low stock","In stock"))))</f>
        <v>0</v>
      </c>
      <c r="AF185" s="32">
        <f>IF(B185="","",COUNTIFS($AB$5:$AB$254,"&gt;"&amp;AB185)+COUNTIFS($AB$5:AB185,AB185))</f>
        <v>0</v>
      </c>
      <c r="AG185" s="43">
        <f>IF(B185="","",IF(I185="","Add - no price yet",IF(OR(G185="",G185=0),"Add - how much is in a pack?",IF(AE185="Out of stock","Order - none left",IF(AE185="Low stock","Order - running low",IF(AND(AD185&lt;&gt;"",AD185&gt;0.075),"Check - price jumped, re-price the products",IF(AND(P185&lt;&gt;"",TodayDate-P185&gt;365),"Check - price is over a year old","OK")))))))</f>
        <v>0</v>
      </c>
    </row>
    <row r="186" spans="1:33">
      <c r="A186" s="38">
        <f>IF(B186="","",MaterialPrefix&amp;TEXT(ROW()-4,"0000"))</f>
        <v>0</v>
      </c>
      <c r="R186" s="20">
        <f>IF(B186="","",IF(I186="","",ROUND(I186*(1-IF(K186="",0,K186))+IF(J186="",0,J186),2)))</f>
        <v>0</v>
      </c>
      <c r="S186" s="45">
        <f>IF(B186="","",IF(OR(R186="",G186="",G186=0),"",ROUND(R186/G186,4)))</f>
        <v>0</v>
      </c>
      <c r="T186" s="13">
        <f>IF(B186="","",IFERROR(INDEX(UnitBases,MATCH(H186,UnitNames,0)),""))</f>
        <v>0</v>
      </c>
      <c r="U186" s="41">
        <f>IF(B186="","",IFERROR(INDEX(UnitFactors,MATCH(H186,UnitNames,0)),""))</f>
        <v>0</v>
      </c>
      <c r="V186" s="45">
        <f>IF(B186="","",IF(OR(S186="",U186="",U186=0),"",ROUND(S186/U186,4)))</f>
        <v>0</v>
      </c>
      <c r="W186" s="33">
        <f>IF(B186="","",IF(L186="",DefaultWaste,L186))</f>
        <v>0</v>
      </c>
      <c r="X186" s="45">
        <f>IF(B186="","",IF(S186="","",ROUND(S186*(1+W186),4)))</f>
        <v>0</v>
      </c>
      <c r="Y186" s="20">
        <f>IF(B186="","",IF(OR(M186="",S186=""),"",ROUND(M186*S186,2)))</f>
        <v>0</v>
      </c>
      <c r="Z186" s="32">
        <f>IF(B186="","",COUNTIFS('Material Usage'!$C$5:$C$904,A186))</f>
        <v>0</v>
      </c>
      <c r="AA186" s="36">
        <f>IF(B186="","",SUMIFS('Material Usage'!$K$5:$K$904,'Material Usage'!$C$5:$C$904,A186))</f>
        <v>0</v>
      </c>
      <c r="AB186" s="20">
        <f>IF(B186="","",ROUND(SUMIFS('Material Usage'!$M$5:$M$904,'Material Usage'!$C$5:$C$904,A186),2))</f>
        <v>0</v>
      </c>
      <c r="AC186" s="32">
        <f>IF(B186="","",IF(OR(M186="",AA186="",AA186&lt;=0),"",ROUNDDOWN(M186/AA186,0)))</f>
        <v>0</v>
      </c>
      <c r="AD186" s="33">
        <f>IF(B186="","",IF(OR(O186="",O186=0,I186=""),"",(I186-O186)/O186))</f>
        <v>0</v>
      </c>
      <c r="AE186" s="43">
        <f>IF(B186="","",IF(M186="","Not tracked",IF(M186&lt;=0,"Out of stock",IF(AND(N186&lt;&gt;"",M186&lt;=N186),"Low stock","In stock"))))</f>
        <v>0</v>
      </c>
      <c r="AF186" s="32">
        <f>IF(B186="","",COUNTIFS($AB$5:$AB$254,"&gt;"&amp;AB186)+COUNTIFS($AB$5:AB186,AB186))</f>
        <v>0</v>
      </c>
      <c r="AG186" s="43">
        <f>IF(B186="","",IF(I186="","Add - no price yet",IF(OR(G186="",G186=0),"Add - how much is in a pack?",IF(AE186="Out of stock","Order - none left",IF(AE186="Low stock","Order - running low",IF(AND(AD186&lt;&gt;"",AD186&gt;0.075),"Check - price jumped, re-price the products",IF(AND(P186&lt;&gt;"",TodayDate-P186&gt;365),"Check - price is over a year old","OK")))))))</f>
        <v>0</v>
      </c>
    </row>
    <row r="187" spans="1:33">
      <c r="A187" s="38">
        <f>IF(B187="","",MaterialPrefix&amp;TEXT(ROW()-4,"0000"))</f>
        <v>0</v>
      </c>
      <c r="R187" s="20">
        <f>IF(B187="","",IF(I187="","",ROUND(I187*(1-IF(K187="",0,K187))+IF(J187="",0,J187),2)))</f>
        <v>0</v>
      </c>
      <c r="S187" s="45">
        <f>IF(B187="","",IF(OR(R187="",G187="",G187=0),"",ROUND(R187/G187,4)))</f>
        <v>0</v>
      </c>
      <c r="T187" s="13">
        <f>IF(B187="","",IFERROR(INDEX(UnitBases,MATCH(H187,UnitNames,0)),""))</f>
        <v>0</v>
      </c>
      <c r="U187" s="41">
        <f>IF(B187="","",IFERROR(INDEX(UnitFactors,MATCH(H187,UnitNames,0)),""))</f>
        <v>0</v>
      </c>
      <c r="V187" s="45">
        <f>IF(B187="","",IF(OR(S187="",U187="",U187=0),"",ROUND(S187/U187,4)))</f>
        <v>0</v>
      </c>
      <c r="W187" s="33">
        <f>IF(B187="","",IF(L187="",DefaultWaste,L187))</f>
        <v>0</v>
      </c>
      <c r="X187" s="45">
        <f>IF(B187="","",IF(S187="","",ROUND(S187*(1+W187),4)))</f>
        <v>0</v>
      </c>
      <c r="Y187" s="20">
        <f>IF(B187="","",IF(OR(M187="",S187=""),"",ROUND(M187*S187,2)))</f>
        <v>0</v>
      </c>
      <c r="Z187" s="32">
        <f>IF(B187="","",COUNTIFS('Material Usage'!$C$5:$C$904,A187))</f>
        <v>0</v>
      </c>
      <c r="AA187" s="36">
        <f>IF(B187="","",SUMIFS('Material Usage'!$K$5:$K$904,'Material Usage'!$C$5:$C$904,A187))</f>
        <v>0</v>
      </c>
      <c r="AB187" s="20">
        <f>IF(B187="","",ROUND(SUMIFS('Material Usage'!$M$5:$M$904,'Material Usage'!$C$5:$C$904,A187),2))</f>
        <v>0</v>
      </c>
      <c r="AC187" s="32">
        <f>IF(B187="","",IF(OR(M187="",AA187="",AA187&lt;=0),"",ROUNDDOWN(M187/AA187,0)))</f>
        <v>0</v>
      </c>
      <c r="AD187" s="33">
        <f>IF(B187="","",IF(OR(O187="",O187=0,I187=""),"",(I187-O187)/O187))</f>
        <v>0</v>
      </c>
      <c r="AE187" s="43">
        <f>IF(B187="","",IF(M187="","Not tracked",IF(M187&lt;=0,"Out of stock",IF(AND(N187&lt;&gt;"",M187&lt;=N187),"Low stock","In stock"))))</f>
        <v>0</v>
      </c>
      <c r="AF187" s="32">
        <f>IF(B187="","",COUNTIFS($AB$5:$AB$254,"&gt;"&amp;AB187)+COUNTIFS($AB$5:AB187,AB187))</f>
        <v>0</v>
      </c>
      <c r="AG187" s="43">
        <f>IF(B187="","",IF(I187="","Add - no price yet",IF(OR(G187="",G187=0),"Add - how much is in a pack?",IF(AE187="Out of stock","Order - none left",IF(AE187="Low stock","Order - running low",IF(AND(AD187&lt;&gt;"",AD187&gt;0.075),"Check - price jumped, re-price the products",IF(AND(P187&lt;&gt;"",TodayDate-P187&gt;365),"Check - price is over a year old","OK")))))))</f>
        <v>0</v>
      </c>
    </row>
    <row r="188" spans="1:33">
      <c r="A188" s="38">
        <f>IF(B188="","",MaterialPrefix&amp;TEXT(ROW()-4,"0000"))</f>
        <v>0</v>
      </c>
      <c r="R188" s="20">
        <f>IF(B188="","",IF(I188="","",ROUND(I188*(1-IF(K188="",0,K188))+IF(J188="",0,J188),2)))</f>
        <v>0</v>
      </c>
      <c r="S188" s="45">
        <f>IF(B188="","",IF(OR(R188="",G188="",G188=0),"",ROUND(R188/G188,4)))</f>
        <v>0</v>
      </c>
      <c r="T188" s="13">
        <f>IF(B188="","",IFERROR(INDEX(UnitBases,MATCH(H188,UnitNames,0)),""))</f>
        <v>0</v>
      </c>
      <c r="U188" s="41">
        <f>IF(B188="","",IFERROR(INDEX(UnitFactors,MATCH(H188,UnitNames,0)),""))</f>
        <v>0</v>
      </c>
      <c r="V188" s="45">
        <f>IF(B188="","",IF(OR(S188="",U188="",U188=0),"",ROUND(S188/U188,4)))</f>
        <v>0</v>
      </c>
      <c r="W188" s="33">
        <f>IF(B188="","",IF(L188="",DefaultWaste,L188))</f>
        <v>0</v>
      </c>
      <c r="X188" s="45">
        <f>IF(B188="","",IF(S188="","",ROUND(S188*(1+W188),4)))</f>
        <v>0</v>
      </c>
      <c r="Y188" s="20">
        <f>IF(B188="","",IF(OR(M188="",S188=""),"",ROUND(M188*S188,2)))</f>
        <v>0</v>
      </c>
      <c r="Z188" s="32">
        <f>IF(B188="","",COUNTIFS('Material Usage'!$C$5:$C$904,A188))</f>
        <v>0</v>
      </c>
      <c r="AA188" s="36">
        <f>IF(B188="","",SUMIFS('Material Usage'!$K$5:$K$904,'Material Usage'!$C$5:$C$904,A188))</f>
        <v>0</v>
      </c>
      <c r="AB188" s="20">
        <f>IF(B188="","",ROUND(SUMIFS('Material Usage'!$M$5:$M$904,'Material Usage'!$C$5:$C$904,A188),2))</f>
        <v>0</v>
      </c>
      <c r="AC188" s="32">
        <f>IF(B188="","",IF(OR(M188="",AA188="",AA188&lt;=0),"",ROUNDDOWN(M188/AA188,0)))</f>
        <v>0</v>
      </c>
      <c r="AD188" s="33">
        <f>IF(B188="","",IF(OR(O188="",O188=0,I188=""),"",(I188-O188)/O188))</f>
        <v>0</v>
      </c>
      <c r="AE188" s="43">
        <f>IF(B188="","",IF(M188="","Not tracked",IF(M188&lt;=0,"Out of stock",IF(AND(N188&lt;&gt;"",M188&lt;=N188),"Low stock","In stock"))))</f>
        <v>0</v>
      </c>
      <c r="AF188" s="32">
        <f>IF(B188="","",COUNTIFS($AB$5:$AB$254,"&gt;"&amp;AB188)+COUNTIFS($AB$5:AB188,AB188))</f>
        <v>0</v>
      </c>
      <c r="AG188" s="43">
        <f>IF(B188="","",IF(I188="","Add - no price yet",IF(OR(G188="",G188=0),"Add - how much is in a pack?",IF(AE188="Out of stock","Order - none left",IF(AE188="Low stock","Order - running low",IF(AND(AD188&lt;&gt;"",AD188&gt;0.075),"Check - price jumped, re-price the products",IF(AND(P188&lt;&gt;"",TodayDate-P188&gt;365),"Check - price is over a year old","OK")))))))</f>
        <v>0</v>
      </c>
    </row>
    <row r="189" spans="1:33">
      <c r="A189" s="38">
        <f>IF(B189="","",MaterialPrefix&amp;TEXT(ROW()-4,"0000"))</f>
        <v>0</v>
      </c>
      <c r="R189" s="20">
        <f>IF(B189="","",IF(I189="","",ROUND(I189*(1-IF(K189="",0,K189))+IF(J189="",0,J189),2)))</f>
        <v>0</v>
      </c>
      <c r="S189" s="45">
        <f>IF(B189="","",IF(OR(R189="",G189="",G189=0),"",ROUND(R189/G189,4)))</f>
        <v>0</v>
      </c>
      <c r="T189" s="13">
        <f>IF(B189="","",IFERROR(INDEX(UnitBases,MATCH(H189,UnitNames,0)),""))</f>
        <v>0</v>
      </c>
      <c r="U189" s="41">
        <f>IF(B189="","",IFERROR(INDEX(UnitFactors,MATCH(H189,UnitNames,0)),""))</f>
        <v>0</v>
      </c>
      <c r="V189" s="45">
        <f>IF(B189="","",IF(OR(S189="",U189="",U189=0),"",ROUND(S189/U189,4)))</f>
        <v>0</v>
      </c>
      <c r="W189" s="33">
        <f>IF(B189="","",IF(L189="",DefaultWaste,L189))</f>
        <v>0</v>
      </c>
      <c r="X189" s="45">
        <f>IF(B189="","",IF(S189="","",ROUND(S189*(1+W189),4)))</f>
        <v>0</v>
      </c>
      <c r="Y189" s="20">
        <f>IF(B189="","",IF(OR(M189="",S189=""),"",ROUND(M189*S189,2)))</f>
        <v>0</v>
      </c>
      <c r="Z189" s="32">
        <f>IF(B189="","",COUNTIFS('Material Usage'!$C$5:$C$904,A189))</f>
        <v>0</v>
      </c>
      <c r="AA189" s="36">
        <f>IF(B189="","",SUMIFS('Material Usage'!$K$5:$K$904,'Material Usage'!$C$5:$C$904,A189))</f>
        <v>0</v>
      </c>
      <c r="AB189" s="20">
        <f>IF(B189="","",ROUND(SUMIFS('Material Usage'!$M$5:$M$904,'Material Usage'!$C$5:$C$904,A189),2))</f>
        <v>0</v>
      </c>
      <c r="AC189" s="32">
        <f>IF(B189="","",IF(OR(M189="",AA189="",AA189&lt;=0),"",ROUNDDOWN(M189/AA189,0)))</f>
        <v>0</v>
      </c>
      <c r="AD189" s="33">
        <f>IF(B189="","",IF(OR(O189="",O189=0,I189=""),"",(I189-O189)/O189))</f>
        <v>0</v>
      </c>
      <c r="AE189" s="43">
        <f>IF(B189="","",IF(M189="","Not tracked",IF(M189&lt;=0,"Out of stock",IF(AND(N189&lt;&gt;"",M189&lt;=N189),"Low stock","In stock"))))</f>
        <v>0</v>
      </c>
      <c r="AF189" s="32">
        <f>IF(B189="","",COUNTIFS($AB$5:$AB$254,"&gt;"&amp;AB189)+COUNTIFS($AB$5:AB189,AB189))</f>
        <v>0</v>
      </c>
      <c r="AG189" s="43">
        <f>IF(B189="","",IF(I189="","Add - no price yet",IF(OR(G189="",G189=0),"Add - how much is in a pack?",IF(AE189="Out of stock","Order - none left",IF(AE189="Low stock","Order - running low",IF(AND(AD189&lt;&gt;"",AD189&gt;0.075),"Check - price jumped, re-price the products",IF(AND(P189&lt;&gt;"",TodayDate-P189&gt;365),"Check - price is over a year old","OK")))))))</f>
        <v>0</v>
      </c>
    </row>
    <row r="190" spans="1:33">
      <c r="A190" s="38">
        <f>IF(B190="","",MaterialPrefix&amp;TEXT(ROW()-4,"0000"))</f>
        <v>0</v>
      </c>
      <c r="R190" s="20">
        <f>IF(B190="","",IF(I190="","",ROUND(I190*(1-IF(K190="",0,K190))+IF(J190="",0,J190),2)))</f>
        <v>0</v>
      </c>
      <c r="S190" s="45">
        <f>IF(B190="","",IF(OR(R190="",G190="",G190=0),"",ROUND(R190/G190,4)))</f>
        <v>0</v>
      </c>
      <c r="T190" s="13">
        <f>IF(B190="","",IFERROR(INDEX(UnitBases,MATCH(H190,UnitNames,0)),""))</f>
        <v>0</v>
      </c>
      <c r="U190" s="41">
        <f>IF(B190="","",IFERROR(INDEX(UnitFactors,MATCH(H190,UnitNames,0)),""))</f>
        <v>0</v>
      </c>
      <c r="V190" s="45">
        <f>IF(B190="","",IF(OR(S190="",U190="",U190=0),"",ROUND(S190/U190,4)))</f>
        <v>0</v>
      </c>
      <c r="W190" s="33">
        <f>IF(B190="","",IF(L190="",DefaultWaste,L190))</f>
        <v>0</v>
      </c>
      <c r="X190" s="45">
        <f>IF(B190="","",IF(S190="","",ROUND(S190*(1+W190),4)))</f>
        <v>0</v>
      </c>
      <c r="Y190" s="20">
        <f>IF(B190="","",IF(OR(M190="",S190=""),"",ROUND(M190*S190,2)))</f>
        <v>0</v>
      </c>
      <c r="Z190" s="32">
        <f>IF(B190="","",COUNTIFS('Material Usage'!$C$5:$C$904,A190))</f>
        <v>0</v>
      </c>
      <c r="AA190" s="36">
        <f>IF(B190="","",SUMIFS('Material Usage'!$K$5:$K$904,'Material Usage'!$C$5:$C$904,A190))</f>
        <v>0</v>
      </c>
      <c r="AB190" s="20">
        <f>IF(B190="","",ROUND(SUMIFS('Material Usage'!$M$5:$M$904,'Material Usage'!$C$5:$C$904,A190),2))</f>
        <v>0</v>
      </c>
      <c r="AC190" s="32">
        <f>IF(B190="","",IF(OR(M190="",AA190="",AA190&lt;=0),"",ROUNDDOWN(M190/AA190,0)))</f>
        <v>0</v>
      </c>
      <c r="AD190" s="33">
        <f>IF(B190="","",IF(OR(O190="",O190=0,I190=""),"",(I190-O190)/O190))</f>
        <v>0</v>
      </c>
      <c r="AE190" s="43">
        <f>IF(B190="","",IF(M190="","Not tracked",IF(M190&lt;=0,"Out of stock",IF(AND(N190&lt;&gt;"",M190&lt;=N190),"Low stock","In stock"))))</f>
        <v>0</v>
      </c>
      <c r="AF190" s="32">
        <f>IF(B190="","",COUNTIFS($AB$5:$AB$254,"&gt;"&amp;AB190)+COUNTIFS($AB$5:AB190,AB190))</f>
        <v>0</v>
      </c>
      <c r="AG190" s="43">
        <f>IF(B190="","",IF(I190="","Add - no price yet",IF(OR(G190="",G190=0),"Add - how much is in a pack?",IF(AE190="Out of stock","Order - none left",IF(AE190="Low stock","Order - running low",IF(AND(AD190&lt;&gt;"",AD190&gt;0.075),"Check - price jumped, re-price the products",IF(AND(P190&lt;&gt;"",TodayDate-P190&gt;365),"Check - price is over a year old","OK")))))))</f>
        <v>0</v>
      </c>
    </row>
    <row r="191" spans="1:33">
      <c r="A191" s="38">
        <f>IF(B191="","",MaterialPrefix&amp;TEXT(ROW()-4,"0000"))</f>
        <v>0</v>
      </c>
      <c r="R191" s="20">
        <f>IF(B191="","",IF(I191="","",ROUND(I191*(1-IF(K191="",0,K191))+IF(J191="",0,J191),2)))</f>
        <v>0</v>
      </c>
      <c r="S191" s="45">
        <f>IF(B191="","",IF(OR(R191="",G191="",G191=0),"",ROUND(R191/G191,4)))</f>
        <v>0</v>
      </c>
      <c r="T191" s="13">
        <f>IF(B191="","",IFERROR(INDEX(UnitBases,MATCH(H191,UnitNames,0)),""))</f>
        <v>0</v>
      </c>
      <c r="U191" s="41">
        <f>IF(B191="","",IFERROR(INDEX(UnitFactors,MATCH(H191,UnitNames,0)),""))</f>
        <v>0</v>
      </c>
      <c r="V191" s="45">
        <f>IF(B191="","",IF(OR(S191="",U191="",U191=0),"",ROUND(S191/U191,4)))</f>
        <v>0</v>
      </c>
      <c r="W191" s="33">
        <f>IF(B191="","",IF(L191="",DefaultWaste,L191))</f>
        <v>0</v>
      </c>
      <c r="X191" s="45">
        <f>IF(B191="","",IF(S191="","",ROUND(S191*(1+W191),4)))</f>
        <v>0</v>
      </c>
      <c r="Y191" s="20">
        <f>IF(B191="","",IF(OR(M191="",S191=""),"",ROUND(M191*S191,2)))</f>
        <v>0</v>
      </c>
      <c r="Z191" s="32">
        <f>IF(B191="","",COUNTIFS('Material Usage'!$C$5:$C$904,A191))</f>
        <v>0</v>
      </c>
      <c r="AA191" s="36">
        <f>IF(B191="","",SUMIFS('Material Usage'!$K$5:$K$904,'Material Usage'!$C$5:$C$904,A191))</f>
        <v>0</v>
      </c>
      <c r="AB191" s="20">
        <f>IF(B191="","",ROUND(SUMIFS('Material Usage'!$M$5:$M$904,'Material Usage'!$C$5:$C$904,A191),2))</f>
        <v>0</v>
      </c>
      <c r="AC191" s="32">
        <f>IF(B191="","",IF(OR(M191="",AA191="",AA191&lt;=0),"",ROUNDDOWN(M191/AA191,0)))</f>
        <v>0</v>
      </c>
      <c r="AD191" s="33">
        <f>IF(B191="","",IF(OR(O191="",O191=0,I191=""),"",(I191-O191)/O191))</f>
        <v>0</v>
      </c>
      <c r="AE191" s="43">
        <f>IF(B191="","",IF(M191="","Not tracked",IF(M191&lt;=0,"Out of stock",IF(AND(N191&lt;&gt;"",M191&lt;=N191),"Low stock","In stock"))))</f>
        <v>0</v>
      </c>
      <c r="AF191" s="32">
        <f>IF(B191="","",COUNTIFS($AB$5:$AB$254,"&gt;"&amp;AB191)+COUNTIFS($AB$5:AB191,AB191))</f>
        <v>0</v>
      </c>
      <c r="AG191" s="43">
        <f>IF(B191="","",IF(I191="","Add - no price yet",IF(OR(G191="",G191=0),"Add - how much is in a pack?",IF(AE191="Out of stock","Order - none left",IF(AE191="Low stock","Order - running low",IF(AND(AD191&lt;&gt;"",AD191&gt;0.075),"Check - price jumped, re-price the products",IF(AND(P191&lt;&gt;"",TodayDate-P191&gt;365),"Check - price is over a year old","OK")))))))</f>
        <v>0</v>
      </c>
    </row>
    <row r="192" spans="1:33">
      <c r="A192" s="38">
        <f>IF(B192="","",MaterialPrefix&amp;TEXT(ROW()-4,"0000"))</f>
        <v>0</v>
      </c>
      <c r="R192" s="20">
        <f>IF(B192="","",IF(I192="","",ROUND(I192*(1-IF(K192="",0,K192))+IF(J192="",0,J192),2)))</f>
        <v>0</v>
      </c>
      <c r="S192" s="45">
        <f>IF(B192="","",IF(OR(R192="",G192="",G192=0),"",ROUND(R192/G192,4)))</f>
        <v>0</v>
      </c>
      <c r="T192" s="13">
        <f>IF(B192="","",IFERROR(INDEX(UnitBases,MATCH(H192,UnitNames,0)),""))</f>
        <v>0</v>
      </c>
      <c r="U192" s="41">
        <f>IF(B192="","",IFERROR(INDEX(UnitFactors,MATCH(H192,UnitNames,0)),""))</f>
        <v>0</v>
      </c>
      <c r="V192" s="45">
        <f>IF(B192="","",IF(OR(S192="",U192="",U192=0),"",ROUND(S192/U192,4)))</f>
        <v>0</v>
      </c>
      <c r="W192" s="33">
        <f>IF(B192="","",IF(L192="",DefaultWaste,L192))</f>
        <v>0</v>
      </c>
      <c r="X192" s="45">
        <f>IF(B192="","",IF(S192="","",ROUND(S192*(1+W192),4)))</f>
        <v>0</v>
      </c>
      <c r="Y192" s="20">
        <f>IF(B192="","",IF(OR(M192="",S192=""),"",ROUND(M192*S192,2)))</f>
        <v>0</v>
      </c>
      <c r="Z192" s="32">
        <f>IF(B192="","",COUNTIFS('Material Usage'!$C$5:$C$904,A192))</f>
        <v>0</v>
      </c>
      <c r="AA192" s="36">
        <f>IF(B192="","",SUMIFS('Material Usage'!$K$5:$K$904,'Material Usage'!$C$5:$C$904,A192))</f>
        <v>0</v>
      </c>
      <c r="AB192" s="20">
        <f>IF(B192="","",ROUND(SUMIFS('Material Usage'!$M$5:$M$904,'Material Usage'!$C$5:$C$904,A192),2))</f>
        <v>0</v>
      </c>
      <c r="AC192" s="32">
        <f>IF(B192="","",IF(OR(M192="",AA192="",AA192&lt;=0),"",ROUNDDOWN(M192/AA192,0)))</f>
        <v>0</v>
      </c>
      <c r="AD192" s="33">
        <f>IF(B192="","",IF(OR(O192="",O192=0,I192=""),"",(I192-O192)/O192))</f>
        <v>0</v>
      </c>
      <c r="AE192" s="43">
        <f>IF(B192="","",IF(M192="","Not tracked",IF(M192&lt;=0,"Out of stock",IF(AND(N192&lt;&gt;"",M192&lt;=N192),"Low stock","In stock"))))</f>
        <v>0</v>
      </c>
      <c r="AF192" s="32">
        <f>IF(B192="","",COUNTIFS($AB$5:$AB$254,"&gt;"&amp;AB192)+COUNTIFS($AB$5:AB192,AB192))</f>
        <v>0</v>
      </c>
      <c r="AG192" s="43">
        <f>IF(B192="","",IF(I192="","Add - no price yet",IF(OR(G192="",G192=0),"Add - how much is in a pack?",IF(AE192="Out of stock","Order - none left",IF(AE192="Low stock","Order - running low",IF(AND(AD192&lt;&gt;"",AD192&gt;0.075),"Check - price jumped, re-price the products",IF(AND(P192&lt;&gt;"",TodayDate-P192&gt;365),"Check - price is over a year old","OK")))))))</f>
        <v>0</v>
      </c>
    </row>
    <row r="193" spans="1:33">
      <c r="A193" s="38">
        <f>IF(B193="","",MaterialPrefix&amp;TEXT(ROW()-4,"0000"))</f>
        <v>0</v>
      </c>
      <c r="R193" s="20">
        <f>IF(B193="","",IF(I193="","",ROUND(I193*(1-IF(K193="",0,K193))+IF(J193="",0,J193),2)))</f>
        <v>0</v>
      </c>
      <c r="S193" s="45">
        <f>IF(B193="","",IF(OR(R193="",G193="",G193=0),"",ROUND(R193/G193,4)))</f>
        <v>0</v>
      </c>
      <c r="T193" s="13">
        <f>IF(B193="","",IFERROR(INDEX(UnitBases,MATCH(H193,UnitNames,0)),""))</f>
        <v>0</v>
      </c>
      <c r="U193" s="41">
        <f>IF(B193="","",IFERROR(INDEX(UnitFactors,MATCH(H193,UnitNames,0)),""))</f>
        <v>0</v>
      </c>
      <c r="V193" s="45">
        <f>IF(B193="","",IF(OR(S193="",U193="",U193=0),"",ROUND(S193/U193,4)))</f>
        <v>0</v>
      </c>
      <c r="W193" s="33">
        <f>IF(B193="","",IF(L193="",DefaultWaste,L193))</f>
        <v>0</v>
      </c>
      <c r="X193" s="45">
        <f>IF(B193="","",IF(S193="","",ROUND(S193*(1+W193),4)))</f>
        <v>0</v>
      </c>
      <c r="Y193" s="20">
        <f>IF(B193="","",IF(OR(M193="",S193=""),"",ROUND(M193*S193,2)))</f>
        <v>0</v>
      </c>
      <c r="Z193" s="32">
        <f>IF(B193="","",COUNTIFS('Material Usage'!$C$5:$C$904,A193))</f>
        <v>0</v>
      </c>
      <c r="AA193" s="36">
        <f>IF(B193="","",SUMIFS('Material Usage'!$K$5:$K$904,'Material Usage'!$C$5:$C$904,A193))</f>
        <v>0</v>
      </c>
      <c r="AB193" s="20">
        <f>IF(B193="","",ROUND(SUMIFS('Material Usage'!$M$5:$M$904,'Material Usage'!$C$5:$C$904,A193),2))</f>
        <v>0</v>
      </c>
      <c r="AC193" s="32">
        <f>IF(B193="","",IF(OR(M193="",AA193="",AA193&lt;=0),"",ROUNDDOWN(M193/AA193,0)))</f>
        <v>0</v>
      </c>
      <c r="AD193" s="33">
        <f>IF(B193="","",IF(OR(O193="",O193=0,I193=""),"",(I193-O193)/O193))</f>
        <v>0</v>
      </c>
      <c r="AE193" s="43">
        <f>IF(B193="","",IF(M193="","Not tracked",IF(M193&lt;=0,"Out of stock",IF(AND(N193&lt;&gt;"",M193&lt;=N193),"Low stock","In stock"))))</f>
        <v>0</v>
      </c>
      <c r="AF193" s="32">
        <f>IF(B193="","",COUNTIFS($AB$5:$AB$254,"&gt;"&amp;AB193)+COUNTIFS($AB$5:AB193,AB193))</f>
        <v>0</v>
      </c>
      <c r="AG193" s="43">
        <f>IF(B193="","",IF(I193="","Add - no price yet",IF(OR(G193="",G193=0),"Add - how much is in a pack?",IF(AE193="Out of stock","Order - none left",IF(AE193="Low stock","Order - running low",IF(AND(AD193&lt;&gt;"",AD193&gt;0.075),"Check - price jumped, re-price the products",IF(AND(P193&lt;&gt;"",TodayDate-P193&gt;365),"Check - price is over a year old","OK")))))))</f>
        <v>0</v>
      </c>
    </row>
    <row r="194" spans="1:33">
      <c r="A194" s="38">
        <f>IF(B194="","",MaterialPrefix&amp;TEXT(ROW()-4,"0000"))</f>
        <v>0</v>
      </c>
      <c r="R194" s="20">
        <f>IF(B194="","",IF(I194="","",ROUND(I194*(1-IF(K194="",0,K194))+IF(J194="",0,J194),2)))</f>
        <v>0</v>
      </c>
      <c r="S194" s="45">
        <f>IF(B194="","",IF(OR(R194="",G194="",G194=0),"",ROUND(R194/G194,4)))</f>
        <v>0</v>
      </c>
      <c r="T194" s="13">
        <f>IF(B194="","",IFERROR(INDEX(UnitBases,MATCH(H194,UnitNames,0)),""))</f>
        <v>0</v>
      </c>
      <c r="U194" s="41">
        <f>IF(B194="","",IFERROR(INDEX(UnitFactors,MATCH(H194,UnitNames,0)),""))</f>
        <v>0</v>
      </c>
      <c r="V194" s="45">
        <f>IF(B194="","",IF(OR(S194="",U194="",U194=0),"",ROUND(S194/U194,4)))</f>
        <v>0</v>
      </c>
      <c r="W194" s="33">
        <f>IF(B194="","",IF(L194="",DefaultWaste,L194))</f>
        <v>0</v>
      </c>
      <c r="X194" s="45">
        <f>IF(B194="","",IF(S194="","",ROUND(S194*(1+W194),4)))</f>
        <v>0</v>
      </c>
      <c r="Y194" s="20">
        <f>IF(B194="","",IF(OR(M194="",S194=""),"",ROUND(M194*S194,2)))</f>
        <v>0</v>
      </c>
      <c r="Z194" s="32">
        <f>IF(B194="","",COUNTIFS('Material Usage'!$C$5:$C$904,A194))</f>
        <v>0</v>
      </c>
      <c r="AA194" s="36">
        <f>IF(B194="","",SUMIFS('Material Usage'!$K$5:$K$904,'Material Usage'!$C$5:$C$904,A194))</f>
        <v>0</v>
      </c>
      <c r="AB194" s="20">
        <f>IF(B194="","",ROUND(SUMIFS('Material Usage'!$M$5:$M$904,'Material Usage'!$C$5:$C$904,A194),2))</f>
        <v>0</v>
      </c>
      <c r="AC194" s="32">
        <f>IF(B194="","",IF(OR(M194="",AA194="",AA194&lt;=0),"",ROUNDDOWN(M194/AA194,0)))</f>
        <v>0</v>
      </c>
      <c r="AD194" s="33">
        <f>IF(B194="","",IF(OR(O194="",O194=0,I194=""),"",(I194-O194)/O194))</f>
        <v>0</v>
      </c>
      <c r="AE194" s="43">
        <f>IF(B194="","",IF(M194="","Not tracked",IF(M194&lt;=0,"Out of stock",IF(AND(N194&lt;&gt;"",M194&lt;=N194),"Low stock","In stock"))))</f>
        <v>0</v>
      </c>
      <c r="AF194" s="32">
        <f>IF(B194="","",COUNTIFS($AB$5:$AB$254,"&gt;"&amp;AB194)+COUNTIFS($AB$5:AB194,AB194))</f>
        <v>0</v>
      </c>
      <c r="AG194" s="43">
        <f>IF(B194="","",IF(I194="","Add - no price yet",IF(OR(G194="",G194=0),"Add - how much is in a pack?",IF(AE194="Out of stock","Order - none left",IF(AE194="Low stock","Order - running low",IF(AND(AD194&lt;&gt;"",AD194&gt;0.075),"Check - price jumped, re-price the products",IF(AND(P194&lt;&gt;"",TodayDate-P194&gt;365),"Check - price is over a year old","OK")))))))</f>
        <v>0</v>
      </c>
    </row>
    <row r="195" spans="1:33">
      <c r="A195" s="38">
        <f>IF(B195="","",MaterialPrefix&amp;TEXT(ROW()-4,"0000"))</f>
        <v>0</v>
      </c>
      <c r="R195" s="20">
        <f>IF(B195="","",IF(I195="","",ROUND(I195*(1-IF(K195="",0,K195))+IF(J195="",0,J195),2)))</f>
        <v>0</v>
      </c>
      <c r="S195" s="45">
        <f>IF(B195="","",IF(OR(R195="",G195="",G195=0),"",ROUND(R195/G195,4)))</f>
        <v>0</v>
      </c>
      <c r="T195" s="13">
        <f>IF(B195="","",IFERROR(INDEX(UnitBases,MATCH(H195,UnitNames,0)),""))</f>
        <v>0</v>
      </c>
      <c r="U195" s="41">
        <f>IF(B195="","",IFERROR(INDEX(UnitFactors,MATCH(H195,UnitNames,0)),""))</f>
        <v>0</v>
      </c>
      <c r="V195" s="45">
        <f>IF(B195="","",IF(OR(S195="",U195="",U195=0),"",ROUND(S195/U195,4)))</f>
        <v>0</v>
      </c>
      <c r="W195" s="33">
        <f>IF(B195="","",IF(L195="",DefaultWaste,L195))</f>
        <v>0</v>
      </c>
      <c r="X195" s="45">
        <f>IF(B195="","",IF(S195="","",ROUND(S195*(1+W195),4)))</f>
        <v>0</v>
      </c>
      <c r="Y195" s="20">
        <f>IF(B195="","",IF(OR(M195="",S195=""),"",ROUND(M195*S195,2)))</f>
        <v>0</v>
      </c>
      <c r="Z195" s="32">
        <f>IF(B195="","",COUNTIFS('Material Usage'!$C$5:$C$904,A195))</f>
        <v>0</v>
      </c>
      <c r="AA195" s="36">
        <f>IF(B195="","",SUMIFS('Material Usage'!$K$5:$K$904,'Material Usage'!$C$5:$C$904,A195))</f>
        <v>0</v>
      </c>
      <c r="AB195" s="20">
        <f>IF(B195="","",ROUND(SUMIFS('Material Usage'!$M$5:$M$904,'Material Usage'!$C$5:$C$904,A195),2))</f>
        <v>0</v>
      </c>
      <c r="AC195" s="32">
        <f>IF(B195="","",IF(OR(M195="",AA195="",AA195&lt;=0),"",ROUNDDOWN(M195/AA195,0)))</f>
        <v>0</v>
      </c>
      <c r="AD195" s="33">
        <f>IF(B195="","",IF(OR(O195="",O195=0,I195=""),"",(I195-O195)/O195))</f>
        <v>0</v>
      </c>
      <c r="AE195" s="43">
        <f>IF(B195="","",IF(M195="","Not tracked",IF(M195&lt;=0,"Out of stock",IF(AND(N195&lt;&gt;"",M195&lt;=N195),"Low stock","In stock"))))</f>
        <v>0</v>
      </c>
      <c r="AF195" s="32">
        <f>IF(B195="","",COUNTIFS($AB$5:$AB$254,"&gt;"&amp;AB195)+COUNTIFS($AB$5:AB195,AB195))</f>
        <v>0</v>
      </c>
      <c r="AG195" s="43">
        <f>IF(B195="","",IF(I195="","Add - no price yet",IF(OR(G195="",G195=0),"Add - how much is in a pack?",IF(AE195="Out of stock","Order - none left",IF(AE195="Low stock","Order - running low",IF(AND(AD195&lt;&gt;"",AD195&gt;0.075),"Check - price jumped, re-price the products",IF(AND(P195&lt;&gt;"",TodayDate-P195&gt;365),"Check - price is over a year old","OK")))))))</f>
        <v>0</v>
      </c>
    </row>
    <row r="196" spans="1:33">
      <c r="A196" s="38">
        <f>IF(B196="","",MaterialPrefix&amp;TEXT(ROW()-4,"0000"))</f>
        <v>0</v>
      </c>
      <c r="R196" s="20">
        <f>IF(B196="","",IF(I196="","",ROUND(I196*(1-IF(K196="",0,K196))+IF(J196="",0,J196),2)))</f>
        <v>0</v>
      </c>
      <c r="S196" s="45">
        <f>IF(B196="","",IF(OR(R196="",G196="",G196=0),"",ROUND(R196/G196,4)))</f>
        <v>0</v>
      </c>
      <c r="T196" s="13">
        <f>IF(B196="","",IFERROR(INDEX(UnitBases,MATCH(H196,UnitNames,0)),""))</f>
        <v>0</v>
      </c>
      <c r="U196" s="41">
        <f>IF(B196="","",IFERROR(INDEX(UnitFactors,MATCH(H196,UnitNames,0)),""))</f>
        <v>0</v>
      </c>
      <c r="V196" s="45">
        <f>IF(B196="","",IF(OR(S196="",U196="",U196=0),"",ROUND(S196/U196,4)))</f>
        <v>0</v>
      </c>
      <c r="W196" s="33">
        <f>IF(B196="","",IF(L196="",DefaultWaste,L196))</f>
        <v>0</v>
      </c>
      <c r="X196" s="45">
        <f>IF(B196="","",IF(S196="","",ROUND(S196*(1+W196),4)))</f>
        <v>0</v>
      </c>
      <c r="Y196" s="20">
        <f>IF(B196="","",IF(OR(M196="",S196=""),"",ROUND(M196*S196,2)))</f>
        <v>0</v>
      </c>
      <c r="Z196" s="32">
        <f>IF(B196="","",COUNTIFS('Material Usage'!$C$5:$C$904,A196))</f>
        <v>0</v>
      </c>
      <c r="AA196" s="36">
        <f>IF(B196="","",SUMIFS('Material Usage'!$K$5:$K$904,'Material Usage'!$C$5:$C$904,A196))</f>
        <v>0</v>
      </c>
      <c r="AB196" s="20">
        <f>IF(B196="","",ROUND(SUMIFS('Material Usage'!$M$5:$M$904,'Material Usage'!$C$5:$C$904,A196),2))</f>
        <v>0</v>
      </c>
      <c r="AC196" s="32">
        <f>IF(B196="","",IF(OR(M196="",AA196="",AA196&lt;=0),"",ROUNDDOWN(M196/AA196,0)))</f>
        <v>0</v>
      </c>
      <c r="AD196" s="33">
        <f>IF(B196="","",IF(OR(O196="",O196=0,I196=""),"",(I196-O196)/O196))</f>
        <v>0</v>
      </c>
      <c r="AE196" s="43">
        <f>IF(B196="","",IF(M196="","Not tracked",IF(M196&lt;=0,"Out of stock",IF(AND(N196&lt;&gt;"",M196&lt;=N196),"Low stock","In stock"))))</f>
        <v>0</v>
      </c>
      <c r="AF196" s="32">
        <f>IF(B196="","",COUNTIFS($AB$5:$AB$254,"&gt;"&amp;AB196)+COUNTIFS($AB$5:AB196,AB196))</f>
        <v>0</v>
      </c>
      <c r="AG196" s="43">
        <f>IF(B196="","",IF(I196="","Add - no price yet",IF(OR(G196="",G196=0),"Add - how much is in a pack?",IF(AE196="Out of stock","Order - none left",IF(AE196="Low stock","Order - running low",IF(AND(AD196&lt;&gt;"",AD196&gt;0.075),"Check - price jumped, re-price the products",IF(AND(P196&lt;&gt;"",TodayDate-P196&gt;365),"Check - price is over a year old","OK")))))))</f>
        <v>0</v>
      </c>
    </row>
    <row r="197" spans="1:33">
      <c r="A197" s="38">
        <f>IF(B197="","",MaterialPrefix&amp;TEXT(ROW()-4,"0000"))</f>
        <v>0</v>
      </c>
      <c r="R197" s="20">
        <f>IF(B197="","",IF(I197="","",ROUND(I197*(1-IF(K197="",0,K197))+IF(J197="",0,J197),2)))</f>
        <v>0</v>
      </c>
      <c r="S197" s="45">
        <f>IF(B197="","",IF(OR(R197="",G197="",G197=0),"",ROUND(R197/G197,4)))</f>
        <v>0</v>
      </c>
      <c r="T197" s="13">
        <f>IF(B197="","",IFERROR(INDEX(UnitBases,MATCH(H197,UnitNames,0)),""))</f>
        <v>0</v>
      </c>
      <c r="U197" s="41">
        <f>IF(B197="","",IFERROR(INDEX(UnitFactors,MATCH(H197,UnitNames,0)),""))</f>
        <v>0</v>
      </c>
      <c r="V197" s="45">
        <f>IF(B197="","",IF(OR(S197="",U197="",U197=0),"",ROUND(S197/U197,4)))</f>
        <v>0</v>
      </c>
      <c r="W197" s="33">
        <f>IF(B197="","",IF(L197="",DefaultWaste,L197))</f>
        <v>0</v>
      </c>
      <c r="X197" s="45">
        <f>IF(B197="","",IF(S197="","",ROUND(S197*(1+W197),4)))</f>
        <v>0</v>
      </c>
      <c r="Y197" s="20">
        <f>IF(B197="","",IF(OR(M197="",S197=""),"",ROUND(M197*S197,2)))</f>
        <v>0</v>
      </c>
      <c r="Z197" s="32">
        <f>IF(B197="","",COUNTIFS('Material Usage'!$C$5:$C$904,A197))</f>
        <v>0</v>
      </c>
      <c r="AA197" s="36">
        <f>IF(B197="","",SUMIFS('Material Usage'!$K$5:$K$904,'Material Usage'!$C$5:$C$904,A197))</f>
        <v>0</v>
      </c>
      <c r="AB197" s="20">
        <f>IF(B197="","",ROUND(SUMIFS('Material Usage'!$M$5:$M$904,'Material Usage'!$C$5:$C$904,A197),2))</f>
        <v>0</v>
      </c>
      <c r="AC197" s="32">
        <f>IF(B197="","",IF(OR(M197="",AA197="",AA197&lt;=0),"",ROUNDDOWN(M197/AA197,0)))</f>
        <v>0</v>
      </c>
      <c r="AD197" s="33">
        <f>IF(B197="","",IF(OR(O197="",O197=0,I197=""),"",(I197-O197)/O197))</f>
        <v>0</v>
      </c>
      <c r="AE197" s="43">
        <f>IF(B197="","",IF(M197="","Not tracked",IF(M197&lt;=0,"Out of stock",IF(AND(N197&lt;&gt;"",M197&lt;=N197),"Low stock","In stock"))))</f>
        <v>0</v>
      </c>
      <c r="AF197" s="32">
        <f>IF(B197="","",COUNTIFS($AB$5:$AB$254,"&gt;"&amp;AB197)+COUNTIFS($AB$5:AB197,AB197))</f>
        <v>0</v>
      </c>
      <c r="AG197" s="43">
        <f>IF(B197="","",IF(I197="","Add - no price yet",IF(OR(G197="",G197=0),"Add - how much is in a pack?",IF(AE197="Out of stock","Order - none left",IF(AE197="Low stock","Order - running low",IF(AND(AD197&lt;&gt;"",AD197&gt;0.075),"Check - price jumped, re-price the products",IF(AND(P197&lt;&gt;"",TodayDate-P197&gt;365),"Check - price is over a year old","OK")))))))</f>
        <v>0</v>
      </c>
    </row>
    <row r="198" spans="1:33">
      <c r="A198" s="38">
        <f>IF(B198="","",MaterialPrefix&amp;TEXT(ROW()-4,"0000"))</f>
        <v>0</v>
      </c>
      <c r="R198" s="20">
        <f>IF(B198="","",IF(I198="","",ROUND(I198*(1-IF(K198="",0,K198))+IF(J198="",0,J198),2)))</f>
        <v>0</v>
      </c>
      <c r="S198" s="45">
        <f>IF(B198="","",IF(OR(R198="",G198="",G198=0),"",ROUND(R198/G198,4)))</f>
        <v>0</v>
      </c>
      <c r="T198" s="13">
        <f>IF(B198="","",IFERROR(INDEX(UnitBases,MATCH(H198,UnitNames,0)),""))</f>
        <v>0</v>
      </c>
      <c r="U198" s="41">
        <f>IF(B198="","",IFERROR(INDEX(UnitFactors,MATCH(H198,UnitNames,0)),""))</f>
        <v>0</v>
      </c>
      <c r="V198" s="45">
        <f>IF(B198="","",IF(OR(S198="",U198="",U198=0),"",ROUND(S198/U198,4)))</f>
        <v>0</v>
      </c>
      <c r="W198" s="33">
        <f>IF(B198="","",IF(L198="",DefaultWaste,L198))</f>
        <v>0</v>
      </c>
      <c r="X198" s="45">
        <f>IF(B198="","",IF(S198="","",ROUND(S198*(1+W198),4)))</f>
        <v>0</v>
      </c>
      <c r="Y198" s="20">
        <f>IF(B198="","",IF(OR(M198="",S198=""),"",ROUND(M198*S198,2)))</f>
        <v>0</v>
      </c>
      <c r="Z198" s="32">
        <f>IF(B198="","",COUNTIFS('Material Usage'!$C$5:$C$904,A198))</f>
        <v>0</v>
      </c>
      <c r="AA198" s="36">
        <f>IF(B198="","",SUMIFS('Material Usage'!$K$5:$K$904,'Material Usage'!$C$5:$C$904,A198))</f>
        <v>0</v>
      </c>
      <c r="AB198" s="20">
        <f>IF(B198="","",ROUND(SUMIFS('Material Usage'!$M$5:$M$904,'Material Usage'!$C$5:$C$904,A198),2))</f>
        <v>0</v>
      </c>
      <c r="AC198" s="32">
        <f>IF(B198="","",IF(OR(M198="",AA198="",AA198&lt;=0),"",ROUNDDOWN(M198/AA198,0)))</f>
        <v>0</v>
      </c>
      <c r="AD198" s="33">
        <f>IF(B198="","",IF(OR(O198="",O198=0,I198=""),"",(I198-O198)/O198))</f>
        <v>0</v>
      </c>
      <c r="AE198" s="43">
        <f>IF(B198="","",IF(M198="","Not tracked",IF(M198&lt;=0,"Out of stock",IF(AND(N198&lt;&gt;"",M198&lt;=N198),"Low stock","In stock"))))</f>
        <v>0</v>
      </c>
      <c r="AF198" s="32">
        <f>IF(B198="","",COUNTIFS($AB$5:$AB$254,"&gt;"&amp;AB198)+COUNTIFS($AB$5:AB198,AB198))</f>
        <v>0</v>
      </c>
      <c r="AG198" s="43">
        <f>IF(B198="","",IF(I198="","Add - no price yet",IF(OR(G198="",G198=0),"Add - how much is in a pack?",IF(AE198="Out of stock","Order - none left",IF(AE198="Low stock","Order - running low",IF(AND(AD198&lt;&gt;"",AD198&gt;0.075),"Check - price jumped, re-price the products",IF(AND(P198&lt;&gt;"",TodayDate-P198&gt;365),"Check - price is over a year old","OK")))))))</f>
        <v>0</v>
      </c>
    </row>
    <row r="199" spans="1:33">
      <c r="A199" s="38">
        <f>IF(B199="","",MaterialPrefix&amp;TEXT(ROW()-4,"0000"))</f>
        <v>0</v>
      </c>
      <c r="R199" s="20">
        <f>IF(B199="","",IF(I199="","",ROUND(I199*(1-IF(K199="",0,K199))+IF(J199="",0,J199),2)))</f>
        <v>0</v>
      </c>
      <c r="S199" s="45">
        <f>IF(B199="","",IF(OR(R199="",G199="",G199=0),"",ROUND(R199/G199,4)))</f>
        <v>0</v>
      </c>
      <c r="T199" s="13">
        <f>IF(B199="","",IFERROR(INDEX(UnitBases,MATCH(H199,UnitNames,0)),""))</f>
        <v>0</v>
      </c>
      <c r="U199" s="41">
        <f>IF(B199="","",IFERROR(INDEX(UnitFactors,MATCH(H199,UnitNames,0)),""))</f>
        <v>0</v>
      </c>
      <c r="V199" s="45">
        <f>IF(B199="","",IF(OR(S199="",U199="",U199=0),"",ROUND(S199/U199,4)))</f>
        <v>0</v>
      </c>
      <c r="W199" s="33">
        <f>IF(B199="","",IF(L199="",DefaultWaste,L199))</f>
        <v>0</v>
      </c>
      <c r="X199" s="45">
        <f>IF(B199="","",IF(S199="","",ROUND(S199*(1+W199),4)))</f>
        <v>0</v>
      </c>
      <c r="Y199" s="20">
        <f>IF(B199="","",IF(OR(M199="",S199=""),"",ROUND(M199*S199,2)))</f>
        <v>0</v>
      </c>
      <c r="Z199" s="32">
        <f>IF(B199="","",COUNTIFS('Material Usage'!$C$5:$C$904,A199))</f>
        <v>0</v>
      </c>
      <c r="AA199" s="36">
        <f>IF(B199="","",SUMIFS('Material Usage'!$K$5:$K$904,'Material Usage'!$C$5:$C$904,A199))</f>
        <v>0</v>
      </c>
      <c r="AB199" s="20">
        <f>IF(B199="","",ROUND(SUMIFS('Material Usage'!$M$5:$M$904,'Material Usage'!$C$5:$C$904,A199),2))</f>
        <v>0</v>
      </c>
      <c r="AC199" s="32">
        <f>IF(B199="","",IF(OR(M199="",AA199="",AA199&lt;=0),"",ROUNDDOWN(M199/AA199,0)))</f>
        <v>0</v>
      </c>
      <c r="AD199" s="33">
        <f>IF(B199="","",IF(OR(O199="",O199=0,I199=""),"",(I199-O199)/O199))</f>
        <v>0</v>
      </c>
      <c r="AE199" s="43">
        <f>IF(B199="","",IF(M199="","Not tracked",IF(M199&lt;=0,"Out of stock",IF(AND(N199&lt;&gt;"",M199&lt;=N199),"Low stock","In stock"))))</f>
        <v>0</v>
      </c>
      <c r="AF199" s="32">
        <f>IF(B199="","",COUNTIFS($AB$5:$AB$254,"&gt;"&amp;AB199)+COUNTIFS($AB$5:AB199,AB199))</f>
        <v>0</v>
      </c>
      <c r="AG199" s="43">
        <f>IF(B199="","",IF(I199="","Add - no price yet",IF(OR(G199="",G199=0),"Add - how much is in a pack?",IF(AE199="Out of stock","Order - none left",IF(AE199="Low stock","Order - running low",IF(AND(AD199&lt;&gt;"",AD199&gt;0.075),"Check - price jumped, re-price the products",IF(AND(P199&lt;&gt;"",TodayDate-P199&gt;365),"Check - price is over a year old","OK")))))))</f>
        <v>0</v>
      </c>
    </row>
    <row r="200" spans="1:33">
      <c r="A200" s="38">
        <f>IF(B200="","",MaterialPrefix&amp;TEXT(ROW()-4,"0000"))</f>
        <v>0</v>
      </c>
      <c r="R200" s="20">
        <f>IF(B200="","",IF(I200="","",ROUND(I200*(1-IF(K200="",0,K200))+IF(J200="",0,J200),2)))</f>
        <v>0</v>
      </c>
      <c r="S200" s="45">
        <f>IF(B200="","",IF(OR(R200="",G200="",G200=0),"",ROUND(R200/G200,4)))</f>
        <v>0</v>
      </c>
      <c r="T200" s="13">
        <f>IF(B200="","",IFERROR(INDEX(UnitBases,MATCH(H200,UnitNames,0)),""))</f>
        <v>0</v>
      </c>
      <c r="U200" s="41">
        <f>IF(B200="","",IFERROR(INDEX(UnitFactors,MATCH(H200,UnitNames,0)),""))</f>
        <v>0</v>
      </c>
      <c r="V200" s="45">
        <f>IF(B200="","",IF(OR(S200="",U200="",U200=0),"",ROUND(S200/U200,4)))</f>
        <v>0</v>
      </c>
      <c r="W200" s="33">
        <f>IF(B200="","",IF(L200="",DefaultWaste,L200))</f>
        <v>0</v>
      </c>
      <c r="X200" s="45">
        <f>IF(B200="","",IF(S200="","",ROUND(S200*(1+W200),4)))</f>
        <v>0</v>
      </c>
      <c r="Y200" s="20">
        <f>IF(B200="","",IF(OR(M200="",S200=""),"",ROUND(M200*S200,2)))</f>
        <v>0</v>
      </c>
      <c r="Z200" s="32">
        <f>IF(B200="","",COUNTIFS('Material Usage'!$C$5:$C$904,A200))</f>
        <v>0</v>
      </c>
      <c r="AA200" s="36">
        <f>IF(B200="","",SUMIFS('Material Usage'!$K$5:$K$904,'Material Usage'!$C$5:$C$904,A200))</f>
        <v>0</v>
      </c>
      <c r="AB200" s="20">
        <f>IF(B200="","",ROUND(SUMIFS('Material Usage'!$M$5:$M$904,'Material Usage'!$C$5:$C$904,A200),2))</f>
        <v>0</v>
      </c>
      <c r="AC200" s="32">
        <f>IF(B200="","",IF(OR(M200="",AA200="",AA200&lt;=0),"",ROUNDDOWN(M200/AA200,0)))</f>
        <v>0</v>
      </c>
      <c r="AD200" s="33">
        <f>IF(B200="","",IF(OR(O200="",O200=0,I200=""),"",(I200-O200)/O200))</f>
        <v>0</v>
      </c>
      <c r="AE200" s="43">
        <f>IF(B200="","",IF(M200="","Not tracked",IF(M200&lt;=0,"Out of stock",IF(AND(N200&lt;&gt;"",M200&lt;=N200),"Low stock","In stock"))))</f>
        <v>0</v>
      </c>
      <c r="AF200" s="32">
        <f>IF(B200="","",COUNTIFS($AB$5:$AB$254,"&gt;"&amp;AB200)+COUNTIFS($AB$5:AB200,AB200))</f>
        <v>0</v>
      </c>
      <c r="AG200" s="43">
        <f>IF(B200="","",IF(I200="","Add - no price yet",IF(OR(G200="",G200=0),"Add - how much is in a pack?",IF(AE200="Out of stock","Order - none left",IF(AE200="Low stock","Order - running low",IF(AND(AD200&lt;&gt;"",AD200&gt;0.075),"Check - price jumped, re-price the products",IF(AND(P200&lt;&gt;"",TodayDate-P200&gt;365),"Check - price is over a year old","OK")))))))</f>
        <v>0</v>
      </c>
    </row>
    <row r="201" spans="1:33">
      <c r="A201" s="38">
        <f>IF(B201="","",MaterialPrefix&amp;TEXT(ROW()-4,"0000"))</f>
        <v>0</v>
      </c>
      <c r="R201" s="20">
        <f>IF(B201="","",IF(I201="","",ROUND(I201*(1-IF(K201="",0,K201))+IF(J201="",0,J201),2)))</f>
        <v>0</v>
      </c>
      <c r="S201" s="45">
        <f>IF(B201="","",IF(OR(R201="",G201="",G201=0),"",ROUND(R201/G201,4)))</f>
        <v>0</v>
      </c>
      <c r="T201" s="13">
        <f>IF(B201="","",IFERROR(INDEX(UnitBases,MATCH(H201,UnitNames,0)),""))</f>
        <v>0</v>
      </c>
      <c r="U201" s="41">
        <f>IF(B201="","",IFERROR(INDEX(UnitFactors,MATCH(H201,UnitNames,0)),""))</f>
        <v>0</v>
      </c>
      <c r="V201" s="45">
        <f>IF(B201="","",IF(OR(S201="",U201="",U201=0),"",ROUND(S201/U201,4)))</f>
        <v>0</v>
      </c>
      <c r="W201" s="33">
        <f>IF(B201="","",IF(L201="",DefaultWaste,L201))</f>
        <v>0</v>
      </c>
      <c r="X201" s="45">
        <f>IF(B201="","",IF(S201="","",ROUND(S201*(1+W201),4)))</f>
        <v>0</v>
      </c>
      <c r="Y201" s="20">
        <f>IF(B201="","",IF(OR(M201="",S201=""),"",ROUND(M201*S201,2)))</f>
        <v>0</v>
      </c>
      <c r="Z201" s="32">
        <f>IF(B201="","",COUNTIFS('Material Usage'!$C$5:$C$904,A201))</f>
        <v>0</v>
      </c>
      <c r="AA201" s="36">
        <f>IF(B201="","",SUMIFS('Material Usage'!$K$5:$K$904,'Material Usage'!$C$5:$C$904,A201))</f>
        <v>0</v>
      </c>
      <c r="AB201" s="20">
        <f>IF(B201="","",ROUND(SUMIFS('Material Usage'!$M$5:$M$904,'Material Usage'!$C$5:$C$904,A201),2))</f>
        <v>0</v>
      </c>
      <c r="AC201" s="32">
        <f>IF(B201="","",IF(OR(M201="",AA201="",AA201&lt;=0),"",ROUNDDOWN(M201/AA201,0)))</f>
        <v>0</v>
      </c>
      <c r="AD201" s="33">
        <f>IF(B201="","",IF(OR(O201="",O201=0,I201=""),"",(I201-O201)/O201))</f>
        <v>0</v>
      </c>
      <c r="AE201" s="43">
        <f>IF(B201="","",IF(M201="","Not tracked",IF(M201&lt;=0,"Out of stock",IF(AND(N201&lt;&gt;"",M201&lt;=N201),"Low stock","In stock"))))</f>
        <v>0</v>
      </c>
      <c r="AF201" s="32">
        <f>IF(B201="","",COUNTIFS($AB$5:$AB$254,"&gt;"&amp;AB201)+COUNTIFS($AB$5:AB201,AB201))</f>
        <v>0</v>
      </c>
      <c r="AG201" s="43">
        <f>IF(B201="","",IF(I201="","Add - no price yet",IF(OR(G201="",G201=0),"Add - how much is in a pack?",IF(AE201="Out of stock","Order - none left",IF(AE201="Low stock","Order - running low",IF(AND(AD201&lt;&gt;"",AD201&gt;0.075),"Check - price jumped, re-price the products",IF(AND(P201&lt;&gt;"",TodayDate-P201&gt;365),"Check - price is over a year old","OK")))))))</f>
        <v>0</v>
      </c>
    </row>
    <row r="202" spans="1:33">
      <c r="A202" s="38">
        <f>IF(B202="","",MaterialPrefix&amp;TEXT(ROW()-4,"0000"))</f>
        <v>0</v>
      </c>
      <c r="R202" s="20">
        <f>IF(B202="","",IF(I202="","",ROUND(I202*(1-IF(K202="",0,K202))+IF(J202="",0,J202),2)))</f>
        <v>0</v>
      </c>
      <c r="S202" s="45">
        <f>IF(B202="","",IF(OR(R202="",G202="",G202=0),"",ROUND(R202/G202,4)))</f>
        <v>0</v>
      </c>
      <c r="T202" s="13">
        <f>IF(B202="","",IFERROR(INDEX(UnitBases,MATCH(H202,UnitNames,0)),""))</f>
        <v>0</v>
      </c>
      <c r="U202" s="41">
        <f>IF(B202="","",IFERROR(INDEX(UnitFactors,MATCH(H202,UnitNames,0)),""))</f>
        <v>0</v>
      </c>
      <c r="V202" s="45">
        <f>IF(B202="","",IF(OR(S202="",U202="",U202=0),"",ROUND(S202/U202,4)))</f>
        <v>0</v>
      </c>
      <c r="W202" s="33">
        <f>IF(B202="","",IF(L202="",DefaultWaste,L202))</f>
        <v>0</v>
      </c>
      <c r="X202" s="45">
        <f>IF(B202="","",IF(S202="","",ROUND(S202*(1+W202),4)))</f>
        <v>0</v>
      </c>
      <c r="Y202" s="20">
        <f>IF(B202="","",IF(OR(M202="",S202=""),"",ROUND(M202*S202,2)))</f>
        <v>0</v>
      </c>
      <c r="Z202" s="32">
        <f>IF(B202="","",COUNTIFS('Material Usage'!$C$5:$C$904,A202))</f>
        <v>0</v>
      </c>
      <c r="AA202" s="36">
        <f>IF(B202="","",SUMIFS('Material Usage'!$K$5:$K$904,'Material Usage'!$C$5:$C$904,A202))</f>
        <v>0</v>
      </c>
      <c r="AB202" s="20">
        <f>IF(B202="","",ROUND(SUMIFS('Material Usage'!$M$5:$M$904,'Material Usage'!$C$5:$C$904,A202),2))</f>
        <v>0</v>
      </c>
      <c r="AC202" s="32">
        <f>IF(B202="","",IF(OR(M202="",AA202="",AA202&lt;=0),"",ROUNDDOWN(M202/AA202,0)))</f>
        <v>0</v>
      </c>
      <c r="AD202" s="33">
        <f>IF(B202="","",IF(OR(O202="",O202=0,I202=""),"",(I202-O202)/O202))</f>
        <v>0</v>
      </c>
      <c r="AE202" s="43">
        <f>IF(B202="","",IF(M202="","Not tracked",IF(M202&lt;=0,"Out of stock",IF(AND(N202&lt;&gt;"",M202&lt;=N202),"Low stock","In stock"))))</f>
        <v>0</v>
      </c>
      <c r="AF202" s="32">
        <f>IF(B202="","",COUNTIFS($AB$5:$AB$254,"&gt;"&amp;AB202)+COUNTIFS($AB$5:AB202,AB202))</f>
        <v>0</v>
      </c>
      <c r="AG202" s="43">
        <f>IF(B202="","",IF(I202="","Add - no price yet",IF(OR(G202="",G202=0),"Add - how much is in a pack?",IF(AE202="Out of stock","Order - none left",IF(AE202="Low stock","Order - running low",IF(AND(AD202&lt;&gt;"",AD202&gt;0.075),"Check - price jumped, re-price the products",IF(AND(P202&lt;&gt;"",TodayDate-P202&gt;365),"Check - price is over a year old","OK")))))))</f>
        <v>0</v>
      </c>
    </row>
    <row r="203" spans="1:33">
      <c r="A203" s="38">
        <f>IF(B203="","",MaterialPrefix&amp;TEXT(ROW()-4,"0000"))</f>
        <v>0</v>
      </c>
      <c r="R203" s="20">
        <f>IF(B203="","",IF(I203="","",ROUND(I203*(1-IF(K203="",0,K203))+IF(J203="",0,J203),2)))</f>
        <v>0</v>
      </c>
      <c r="S203" s="45">
        <f>IF(B203="","",IF(OR(R203="",G203="",G203=0),"",ROUND(R203/G203,4)))</f>
        <v>0</v>
      </c>
      <c r="T203" s="13">
        <f>IF(B203="","",IFERROR(INDEX(UnitBases,MATCH(H203,UnitNames,0)),""))</f>
        <v>0</v>
      </c>
      <c r="U203" s="41">
        <f>IF(B203="","",IFERROR(INDEX(UnitFactors,MATCH(H203,UnitNames,0)),""))</f>
        <v>0</v>
      </c>
      <c r="V203" s="45">
        <f>IF(B203="","",IF(OR(S203="",U203="",U203=0),"",ROUND(S203/U203,4)))</f>
        <v>0</v>
      </c>
      <c r="W203" s="33">
        <f>IF(B203="","",IF(L203="",DefaultWaste,L203))</f>
        <v>0</v>
      </c>
      <c r="X203" s="45">
        <f>IF(B203="","",IF(S203="","",ROUND(S203*(1+W203),4)))</f>
        <v>0</v>
      </c>
      <c r="Y203" s="20">
        <f>IF(B203="","",IF(OR(M203="",S203=""),"",ROUND(M203*S203,2)))</f>
        <v>0</v>
      </c>
      <c r="Z203" s="32">
        <f>IF(B203="","",COUNTIFS('Material Usage'!$C$5:$C$904,A203))</f>
        <v>0</v>
      </c>
      <c r="AA203" s="36">
        <f>IF(B203="","",SUMIFS('Material Usage'!$K$5:$K$904,'Material Usage'!$C$5:$C$904,A203))</f>
        <v>0</v>
      </c>
      <c r="AB203" s="20">
        <f>IF(B203="","",ROUND(SUMIFS('Material Usage'!$M$5:$M$904,'Material Usage'!$C$5:$C$904,A203),2))</f>
        <v>0</v>
      </c>
      <c r="AC203" s="32">
        <f>IF(B203="","",IF(OR(M203="",AA203="",AA203&lt;=0),"",ROUNDDOWN(M203/AA203,0)))</f>
        <v>0</v>
      </c>
      <c r="AD203" s="33">
        <f>IF(B203="","",IF(OR(O203="",O203=0,I203=""),"",(I203-O203)/O203))</f>
        <v>0</v>
      </c>
      <c r="AE203" s="43">
        <f>IF(B203="","",IF(M203="","Not tracked",IF(M203&lt;=0,"Out of stock",IF(AND(N203&lt;&gt;"",M203&lt;=N203),"Low stock","In stock"))))</f>
        <v>0</v>
      </c>
      <c r="AF203" s="32">
        <f>IF(B203="","",COUNTIFS($AB$5:$AB$254,"&gt;"&amp;AB203)+COUNTIFS($AB$5:AB203,AB203))</f>
        <v>0</v>
      </c>
      <c r="AG203" s="43">
        <f>IF(B203="","",IF(I203="","Add - no price yet",IF(OR(G203="",G203=0),"Add - how much is in a pack?",IF(AE203="Out of stock","Order - none left",IF(AE203="Low stock","Order - running low",IF(AND(AD203&lt;&gt;"",AD203&gt;0.075),"Check - price jumped, re-price the products",IF(AND(P203&lt;&gt;"",TodayDate-P203&gt;365),"Check - price is over a year old","OK")))))))</f>
        <v>0</v>
      </c>
    </row>
    <row r="204" spans="1:33">
      <c r="A204" s="38">
        <f>IF(B204="","",MaterialPrefix&amp;TEXT(ROW()-4,"0000"))</f>
        <v>0</v>
      </c>
      <c r="R204" s="20">
        <f>IF(B204="","",IF(I204="","",ROUND(I204*(1-IF(K204="",0,K204))+IF(J204="",0,J204),2)))</f>
        <v>0</v>
      </c>
      <c r="S204" s="45">
        <f>IF(B204="","",IF(OR(R204="",G204="",G204=0),"",ROUND(R204/G204,4)))</f>
        <v>0</v>
      </c>
      <c r="T204" s="13">
        <f>IF(B204="","",IFERROR(INDEX(UnitBases,MATCH(H204,UnitNames,0)),""))</f>
        <v>0</v>
      </c>
      <c r="U204" s="41">
        <f>IF(B204="","",IFERROR(INDEX(UnitFactors,MATCH(H204,UnitNames,0)),""))</f>
        <v>0</v>
      </c>
      <c r="V204" s="45">
        <f>IF(B204="","",IF(OR(S204="",U204="",U204=0),"",ROUND(S204/U204,4)))</f>
        <v>0</v>
      </c>
      <c r="W204" s="33">
        <f>IF(B204="","",IF(L204="",DefaultWaste,L204))</f>
        <v>0</v>
      </c>
      <c r="X204" s="45">
        <f>IF(B204="","",IF(S204="","",ROUND(S204*(1+W204),4)))</f>
        <v>0</v>
      </c>
      <c r="Y204" s="20">
        <f>IF(B204="","",IF(OR(M204="",S204=""),"",ROUND(M204*S204,2)))</f>
        <v>0</v>
      </c>
      <c r="Z204" s="32">
        <f>IF(B204="","",COUNTIFS('Material Usage'!$C$5:$C$904,A204))</f>
        <v>0</v>
      </c>
      <c r="AA204" s="36">
        <f>IF(B204="","",SUMIFS('Material Usage'!$K$5:$K$904,'Material Usage'!$C$5:$C$904,A204))</f>
        <v>0</v>
      </c>
      <c r="AB204" s="20">
        <f>IF(B204="","",ROUND(SUMIFS('Material Usage'!$M$5:$M$904,'Material Usage'!$C$5:$C$904,A204),2))</f>
        <v>0</v>
      </c>
      <c r="AC204" s="32">
        <f>IF(B204="","",IF(OR(M204="",AA204="",AA204&lt;=0),"",ROUNDDOWN(M204/AA204,0)))</f>
        <v>0</v>
      </c>
      <c r="AD204" s="33">
        <f>IF(B204="","",IF(OR(O204="",O204=0,I204=""),"",(I204-O204)/O204))</f>
        <v>0</v>
      </c>
      <c r="AE204" s="43">
        <f>IF(B204="","",IF(M204="","Not tracked",IF(M204&lt;=0,"Out of stock",IF(AND(N204&lt;&gt;"",M204&lt;=N204),"Low stock","In stock"))))</f>
        <v>0</v>
      </c>
      <c r="AF204" s="32">
        <f>IF(B204="","",COUNTIFS($AB$5:$AB$254,"&gt;"&amp;AB204)+COUNTIFS($AB$5:AB204,AB204))</f>
        <v>0</v>
      </c>
      <c r="AG204" s="43">
        <f>IF(B204="","",IF(I204="","Add - no price yet",IF(OR(G204="",G204=0),"Add - how much is in a pack?",IF(AE204="Out of stock","Order - none left",IF(AE204="Low stock","Order - running low",IF(AND(AD204&lt;&gt;"",AD204&gt;0.075),"Check - price jumped, re-price the products",IF(AND(P204&lt;&gt;"",TodayDate-P204&gt;365),"Check - price is over a year old","OK")))))))</f>
        <v>0</v>
      </c>
    </row>
    <row r="205" spans="1:33">
      <c r="A205" s="38">
        <f>IF(B205="","",MaterialPrefix&amp;TEXT(ROW()-4,"0000"))</f>
        <v>0</v>
      </c>
      <c r="R205" s="20">
        <f>IF(B205="","",IF(I205="","",ROUND(I205*(1-IF(K205="",0,K205))+IF(J205="",0,J205),2)))</f>
        <v>0</v>
      </c>
      <c r="S205" s="45">
        <f>IF(B205="","",IF(OR(R205="",G205="",G205=0),"",ROUND(R205/G205,4)))</f>
        <v>0</v>
      </c>
      <c r="T205" s="13">
        <f>IF(B205="","",IFERROR(INDEX(UnitBases,MATCH(H205,UnitNames,0)),""))</f>
        <v>0</v>
      </c>
      <c r="U205" s="41">
        <f>IF(B205="","",IFERROR(INDEX(UnitFactors,MATCH(H205,UnitNames,0)),""))</f>
        <v>0</v>
      </c>
      <c r="V205" s="45">
        <f>IF(B205="","",IF(OR(S205="",U205="",U205=0),"",ROUND(S205/U205,4)))</f>
        <v>0</v>
      </c>
      <c r="W205" s="33">
        <f>IF(B205="","",IF(L205="",DefaultWaste,L205))</f>
        <v>0</v>
      </c>
      <c r="X205" s="45">
        <f>IF(B205="","",IF(S205="","",ROUND(S205*(1+W205),4)))</f>
        <v>0</v>
      </c>
      <c r="Y205" s="20">
        <f>IF(B205="","",IF(OR(M205="",S205=""),"",ROUND(M205*S205,2)))</f>
        <v>0</v>
      </c>
      <c r="Z205" s="32">
        <f>IF(B205="","",COUNTIFS('Material Usage'!$C$5:$C$904,A205))</f>
        <v>0</v>
      </c>
      <c r="AA205" s="36">
        <f>IF(B205="","",SUMIFS('Material Usage'!$K$5:$K$904,'Material Usage'!$C$5:$C$904,A205))</f>
        <v>0</v>
      </c>
      <c r="AB205" s="20">
        <f>IF(B205="","",ROUND(SUMIFS('Material Usage'!$M$5:$M$904,'Material Usage'!$C$5:$C$904,A205),2))</f>
        <v>0</v>
      </c>
      <c r="AC205" s="32">
        <f>IF(B205="","",IF(OR(M205="",AA205="",AA205&lt;=0),"",ROUNDDOWN(M205/AA205,0)))</f>
        <v>0</v>
      </c>
      <c r="AD205" s="33">
        <f>IF(B205="","",IF(OR(O205="",O205=0,I205=""),"",(I205-O205)/O205))</f>
        <v>0</v>
      </c>
      <c r="AE205" s="43">
        <f>IF(B205="","",IF(M205="","Not tracked",IF(M205&lt;=0,"Out of stock",IF(AND(N205&lt;&gt;"",M205&lt;=N205),"Low stock","In stock"))))</f>
        <v>0</v>
      </c>
      <c r="AF205" s="32">
        <f>IF(B205="","",COUNTIFS($AB$5:$AB$254,"&gt;"&amp;AB205)+COUNTIFS($AB$5:AB205,AB205))</f>
        <v>0</v>
      </c>
      <c r="AG205" s="43">
        <f>IF(B205="","",IF(I205="","Add - no price yet",IF(OR(G205="",G205=0),"Add - how much is in a pack?",IF(AE205="Out of stock","Order - none left",IF(AE205="Low stock","Order - running low",IF(AND(AD205&lt;&gt;"",AD205&gt;0.075),"Check - price jumped, re-price the products",IF(AND(P205&lt;&gt;"",TodayDate-P205&gt;365),"Check - price is over a year old","OK")))))))</f>
        <v>0</v>
      </c>
    </row>
    <row r="206" spans="1:33">
      <c r="A206" s="38">
        <f>IF(B206="","",MaterialPrefix&amp;TEXT(ROW()-4,"0000"))</f>
        <v>0</v>
      </c>
      <c r="R206" s="20">
        <f>IF(B206="","",IF(I206="","",ROUND(I206*(1-IF(K206="",0,K206))+IF(J206="",0,J206),2)))</f>
        <v>0</v>
      </c>
      <c r="S206" s="45">
        <f>IF(B206="","",IF(OR(R206="",G206="",G206=0),"",ROUND(R206/G206,4)))</f>
        <v>0</v>
      </c>
      <c r="T206" s="13">
        <f>IF(B206="","",IFERROR(INDEX(UnitBases,MATCH(H206,UnitNames,0)),""))</f>
        <v>0</v>
      </c>
      <c r="U206" s="41">
        <f>IF(B206="","",IFERROR(INDEX(UnitFactors,MATCH(H206,UnitNames,0)),""))</f>
        <v>0</v>
      </c>
      <c r="V206" s="45">
        <f>IF(B206="","",IF(OR(S206="",U206="",U206=0),"",ROUND(S206/U206,4)))</f>
        <v>0</v>
      </c>
      <c r="W206" s="33">
        <f>IF(B206="","",IF(L206="",DefaultWaste,L206))</f>
        <v>0</v>
      </c>
      <c r="X206" s="45">
        <f>IF(B206="","",IF(S206="","",ROUND(S206*(1+W206),4)))</f>
        <v>0</v>
      </c>
      <c r="Y206" s="20">
        <f>IF(B206="","",IF(OR(M206="",S206=""),"",ROUND(M206*S206,2)))</f>
        <v>0</v>
      </c>
      <c r="Z206" s="32">
        <f>IF(B206="","",COUNTIFS('Material Usage'!$C$5:$C$904,A206))</f>
        <v>0</v>
      </c>
      <c r="AA206" s="36">
        <f>IF(B206="","",SUMIFS('Material Usage'!$K$5:$K$904,'Material Usage'!$C$5:$C$904,A206))</f>
        <v>0</v>
      </c>
      <c r="AB206" s="20">
        <f>IF(B206="","",ROUND(SUMIFS('Material Usage'!$M$5:$M$904,'Material Usage'!$C$5:$C$904,A206),2))</f>
        <v>0</v>
      </c>
      <c r="AC206" s="32">
        <f>IF(B206="","",IF(OR(M206="",AA206="",AA206&lt;=0),"",ROUNDDOWN(M206/AA206,0)))</f>
        <v>0</v>
      </c>
      <c r="AD206" s="33">
        <f>IF(B206="","",IF(OR(O206="",O206=0,I206=""),"",(I206-O206)/O206))</f>
        <v>0</v>
      </c>
      <c r="AE206" s="43">
        <f>IF(B206="","",IF(M206="","Not tracked",IF(M206&lt;=0,"Out of stock",IF(AND(N206&lt;&gt;"",M206&lt;=N206),"Low stock","In stock"))))</f>
        <v>0</v>
      </c>
      <c r="AF206" s="32">
        <f>IF(B206="","",COUNTIFS($AB$5:$AB$254,"&gt;"&amp;AB206)+COUNTIFS($AB$5:AB206,AB206))</f>
        <v>0</v>
      </c>
      <c r="AG206" s="43">
        <f>IF(B206="","",IF(I206="","Add - no price yet",IF(OR(G206="",G206=0),"Add - how much is in a pack?",IF(AE206="Out of stock","Order - none left",IF(AE206="Low stock","Order - running low",IF(AND(AD206&lt;&gt;"",AD206&gt;0.075),"Check - price jumped, re-price the products",IF(AND(P206&lt;&gt;"",TodayDate-P206&gt;365),"Check - price is over a year old","OK")))))))</f>
        <v>0</v>
      </c>
    </row>
    <row r="207" spans="1:33">
      <c r="A207" s="38">
        <f>IF(B207="","",MaterialPrefix&amp;TEXT(ROW()-4,"0000"))</f>
        <v>0</v>
      </c>
      <c r="R207" s="20">
        <f>IF(B207="","",IF(I207="","",ROUND(I207*(1-IF(K207="",0,K207))+IF(J207="",0,J207),2)))</f>
        <v>0</v>
      </c>
      <c r="S207" s="45">
        <f>IF(B207="","",IF(OR(R207="",G207="",G207=0),"",ROUND(R207/G207,4)))</f>
        <v>0</v>
      </c>
      <c r="T207" s="13">
        <f>IF(B207="","",IFERROR(INDEX(UnitBases,MATCH(H207,UnitNames,0)),""))</f>
        <v>0</v>
      </c>
      <c r="U207" s="41">
        <f>IF(B207="","",IFERROR(INDEX(UnitFactors,MATCH(H207,UnitNames,0)),""))</f>
        <v>0</v>
      </c>
      <c r="V207" s="45">
        <f>IF(B207="","",IF(OR(S207="",U207="",U207=0),"",ROUND(S207/U207,4)))</f>
        <v>0</v>
      </c>
      <c r="W207" s="33">
        <f>IF(B207="","",IF(L207="",DefaultWaste,L207))</f>
        <v>0</v>
      </c>
      <c r="X207" s="45">
        <f>IF(B207="","",IF(S207="","",ROUND(S207*(1+W207),4)))</f>
        <v>0</v>
      </c>
      <c r="Y207" s="20">
        <f>IF(B207="","",IF(OR(M207="",S207=""),"",ROUND(M207*S207,2)))</f>
        <v>0</v>
      </c>
      <c r="Z207" s="32">
        <f>IF(B207="","",COUNTIFS('Material Usage'!$C$5:$C$904,A207))</f>
        <v>0</v>
      </c>
      <c r="AA207" s="36">
        <f>IF(B207="","",SUMIFS('Material Usage'!$K$5:$K$904,'Material Usage'!$C$5:$C$904,A207))</f>
        <v>0</v>
      </c>
      <c r="AB207" s="20">
        <f>IF(B207="","",ROUND(SUMIFS('Material Usage'!$M$5:$M$904,'Material Usage'!$C$5:$C$904,A207),2))</f>
        <v>0</v>
      </c>
      <c r="AC207" s="32">
        <f>IF(B207="","",IF(OR(M207="",AA207="",AA207&lt;=0),"",ROUNDDOWN(M207/AA207,0)))</f>
        <v>0</v>
      </c>
      <c r="AD207" s="33">
        <f>IF(B207="","",IF(OR(O207="",O207=0,I207=""),"",(I207-O207)/O207))</f>
        <v>0</v>
      </c>
      <c r="AE207" s="43">
        <f>IF(B207="","",IF(M207="","Not tracked",IF(M207&lt;=0,"Out of stock",IF(AND(N207&lt;&gt;"",M207&lt;=N207),"Low stock","In stock"))))</f>
        <v>0</v>
      </c>
      <c r="AF207" s="32">
        <f>IF(B207="","",COUNTIFS($AB$5:$AB$254,"&gt;"&amp;AB207)+COUNTIFS($AB$5:AB207,AB207))</f>
        <v>0</v>
      </c>
      <c r="AG207" s="43">
        <f>IF(B207="","",IF(I207="","Add - no price yet",IF(OR(G207="",G207=0),"Add - how much is in a pack?",IF(AE207="Out of stock","Order - none left",IF(AE207="Low stock","Order - running low",IF(AND(AD207&lt;&gt;"",AD207&gt;0.075),"Check - price jumped, re-price the products",IF(AND(P207&lt;&gt;"",TodayDate-P207&gt;365),"Check - price is over a year old","OK")))))))</f>
        <v>0</v>
      </c>
    </row>
    <row r="208" spans="1:33">
      <c r="A208" s="38">
        <f>IF(B208="","",MaterialPrefix&amp;TEXT(ROW()-4,"0000"))</f>
        <v>0</v>
      </c>
      <c r="R208" s="20">
        <f>IF(B208="","",IF(I208="","",ROUND(I208*(1-IF(K208="",0,K208))+IF(J208="",0,J208),2)))</f>
        <v>0</v>
      </c>
      <c r="S208" s="45">
        <f>IF(B208="","",IF(OR(R208="",G208="",G208=0),"",ROUND(R208/G208,4)))</f>
        <v>0</v>
      </c>
      <c r="T208" s="13">
        <f>IF(B208="","",IFERROR(INDEX(UnitBases,MATCH(H208,UnitNames,0)),""))</f>
        <v>0</v>
      </c>
      <c r="U208" s="41">
        <f>IF(B208="","",IFERROR(INDEX(UnitFactors,MATCH(H208,UnitNames,0)),""))</f>
        <v>0</v>
      </c>
      <c r="V208" s="45">
        <f>IF(B208="","",IF(OR(S208="",U208="",U208=0),"",ROUND(S208/U208,4)))</f>
        <v>0</v>
      </c>
      <c r="W208" s="33">
        <f>IF(B208="","",IF(L208="",DefaultWaste,L208))</f>
        <v>0</v>
      </c>
      <c r="X208" s="45">
        <f>IF(B208="","",IF(S208="","",ROUND(S208*(1+W208),4)))</f>
        <v>0</v>
      </c>
      <c r="Y208" s="20">
        <f>IF(B208="","",IF(OR(M208="",S208=""),"",ROUND(M208*S208,2)))</f>
        <v>0</v>
      </c>
      <c r="Z208" s="32">
        <f>IF(B208="","",COUNTIFS('Material Usage'!$C$5:$C$904,A208))</f>
        <v>0</v>
      </c>
      <c r="AA208" s="36">
        <f>IF(B208="","",SUMIFS('Material Usage'!$K$5:$K$904,'Material Usage'!$C$5:$C$904,A208))</f>
        <v>0</v>
      </c>
      <c r="AB208" s="20">
        <f>IF(B208="","",ROUND(SUMIFS('Material Usage'!$M$5:$M$904,'Material Usage'!$C$5:$C$904,A208),2))</f>
        <v>0</v>
      </c>
      <c r="AC208" s="32">
        <f>IF(B208="","",IF(OR(M208="",AA208="",AA208&lt;=0),"",ROUNDDOWN(M208/AA208,0)))</f>
        <v>0</v>
      </c>
      <c r="AD208" s="33">
        <f>IF(B208="","",IF(OR(O208="",O208=0,I208=""),"",(I208-O208)/O208))</f>
        <v>0</v>
      </c>
      <c r="AE208" s="43">
        <f>IF(B208="","",IF(M208="","Not tracked",IF(M208&lt;=0,"Out of stock",IF(AND(N208&lt;&gt;"",M208&lt;=N208),"Low stock","In stock"))))</f>
        <v>0</v>
      </c>
      <c r="AF208" s="32">
        <f>IF(B208="","",COUNTIFS($AB$5:$AB$254,"&gt;"&amp;AB208)+COUNTIFS($AB$5:AB208,AB208))</f>
        <v>0</v>
      </c>
      <c r="AG208" s="43">
        <f>IF(B208="","",IF(I208="","Add - no price yet",IF(OR(G208="",G208=0),"Add - how much is in a pack?",IF(AE208="Out of stock","Order - none left",IF(AE208="Low stock","Order - running low",IF(AND(AD208&lt;&gt;"",AD208&gt;0.075),"Check - price jumped, re-price the products",IF(AND(P208&lt;&gt;"",TodayDate-P208&gt;365),"Check - price is over a year old","OK")))))))</f>
        <v>0</v>
      </c>
    </row>
    <row r="209" spans="1:33">
      <c r="A209" s="38">
        <f>IF(B209="","",MaterialPrefix&amp;TEXT(ROW()-4,"0000"))</f>
        <v>0</v>
      </c>
      <c r="R209" s="20">
        <f>IF(B209="","",IF(I209="","",ROUND(I209*(1-IF(K209="",0,K209))+IF(J209="",0,J209),2)))</f>
        <v>0</v>
      </c>
      <c r="S209" s="45">
        <f>IF(B209="","",IF(OR(R209="",G209="",G209=0),"",ROUND(R209/G209,4)))</f>
        <v>0</v>
      </c>
      <c r="T209" s="13">
        <f>IF(B209="","",IFERROR(INDEX(UnitBases,MATCH(H209,UnitNames,0)),""))</f>
        <v>0</v>
      </c>
      <c r="U209" s="41">
        <f>IF(B209="","",IFERROR(INDEX(UnitFactors,MATCH(H209,UnitNames,0)),""))</f>
        <v>0</v>
      </c>
      <c r="V209" s="45">
        <f>IF(B209="","",IF(OR(S209="",U209="",U209=0),"",ROUND(S209/U209,4)))</f>
        <v>0</v>
      </c>
      <c r="W209" s="33">
        <f>IF(B209="","",IF(L209="",DefaultWaste,L209))</f>
        <v>0</v>
      </c>
      <c r="X209" s="45">
        <f>IF(B209="","",IF(S209="","",ROUND(S209*(1+W209),4)))</f>
        <v>0</v>
      </c>
      <c r="Y209" s="20">
        <f>IF(B209="","",IF(OR(M209="",S209=""),"",ROUND(M209*S209,2)))</f>
        <v>0</v>
      </c>
      <c r="Z209" s="32">
        <f>IF(B209="","",COUNTIFS('Material Usage'!$C$5:$C$904,A209))</f>
        <v>0</v>
      </c>
      <c r="AA209" s="36">
        <f>IF(B209="","",SUMIFS('Material Usage'!$K$5:$K$904,'Material Usage'!$C$5:$C$904,A209))</f>
        <v>0</v>
      </c>
      <c r="AB209" s="20">
        <f>IF(B209="","",ROUND(SUMIFS('Material Usage'!$M$5:$M$904,'Material Usage'!$C$5:$C$904,A209),2))</f>
        <v>0</v>
      </c>
      <c r="AC209" s="32">
        <f>IF(B209="","",IF(OR(M209="",AA209="",AA209&lt;=0),"",ROUNDDOWN(M209/AA209,0)))</f>
        <v>0</v>
      </c>
      <c r="AD209" s="33">
        <f>IF(B209="","",IF(OR(O209="",O209=0,I209=""),"",(I209-O209)/O209))</f>
        <v>0</v>
      </c>
      <c r="AE209" s="43">
        <f>IF(B209="","",IF(M209="","Not tracked",IF(M209&lt;=0,"Out of stock",IF(AND(N209&lt;&gt;"",M209&lt;=N209),"Low stock","In stock"))))</f>
        <v>0</v>
      </c>
      <c r="AF209" s="32">
        <f>IF(B209="","",COUNTIFS($AB$5:$AB$254,"&gt;"&amp;AB209)+COUNTIFS($AB$5:AB209,AB209))</f>
        <v>0</v>
      </c>
      <c r="AG209" s="43">
        <f>IF(B209="","",IF(I209="","Add - no price yet",IF(OR(G209="",G209=0),"Add - how much is in a pack?",IF(AE209="Out of stock","Order - none left",IF(AE209="Low stock","Order - running low",IF(AND(AD209&lt;&gt;"",AD209&gt;0.075),"Check - price jumped, re-price the products",IF(AND(P209&lt;&gt;"",TodayDate-P209&gt;365),"Check - price is over a year old","OK")))))))</f>
        <v>0</v>
      </c>
    </row>
    <row r="210" spans="1:33">
      <c r="A210" s="38">
        <f>IF(B210="","",MaterialPrefix&amp;TEXT(ROW()-4,"0000"))</f>
        <v>0</v>
      </c>
      <c r="R210" s="20">
        <f>IF(B210="","",IF(I210="","",ROUND(I210*(1-IF(K210="",0,K210))+IF(J210="",0,J210),2)))</f>
        <v>0</v>
      </c>
      <c r="S210" s="45">
        <f>IF(B210="","",IF(OR(R210="",G210="",G210=0),"",ROUND(R210/G210,4)))</f>
        <v>0</v>
      </c>
      <c r="T210" s="13">
        <f>IF(B210="","",IFERROR(INDEX(UnitBases,MATCH(H210,UnitNames,0)),""))</f>
        <v>0</v>
      </c>
      <c r="U210" s="41">
        <f>IF(B210="","",IFERROR(INDEX(UnitFactors,MATCH(H210,UnitNames,0)),""))</f>
        <v>0</v>
      </c>
      <c r="V210" s="45">
        <f>IF(B210="","",IF(OR(S210="",U210="",U210=0),"",ROUND(S210/U210,4)))</f>
        <v>0</v>
      </c>
      <c r="W210" s="33">
        <f>IF(B210="","",IF(L210="",DefaultWaste,L210))</f>
        <v>0</v>
      </c>
      <c r="X210" s="45">
        <f>IF(B210="","",IF(S210="","",ROUND(S210*(1+W210),4)))</f>
        <v>0</v>
      </c>
      <c r="Y210" s="20">
        <f>IF(B210="","",IF(OR(M210="",S210=""),"",ROUND(M210*S210,2)))</f>
        <v>0</v>
      </c>
      <c r="Z210" s="32">
        <f>IF(B210="","",COUNTIFS('Material Usage'!$C$5:$C$904,A210))</f>
        <v>0</v>
      </c>
      <c r="AA210" s="36">
        <f>IF(B210="","",SUMIFS('Material Usage'!$K$5:$K$904,'Material Usage'!$C$5:$C$904,A210))</f>
        <v>0</v>
      </c>
      <c r="AB210" s="20">
        <f>IF(B210="","",ROUND(SUMIFS('Material Usage'!$M$5:$M$904,'Material Usage'!$C$5:$C$904,A210),2))</f>
        <v>0</v>
      </c>
      <c r="AC210" s="32">
        <f>IF(B210="","",IF(OR(M210="",AA210="",AA210&lt;=0),"",ROUNDDOWN(M210/AA210,0)))</f>
        <v>0</v>
      </c>
      <c r="AD210" s="33">
        <f>IF(B210="","",IF(OR(O210="",O210=0,I210=""),"",(I210-O210)/O210))</f>
        <v>0</v>
      </c>
      <c r="AE210" s="43">
        <f>IF(B210="","",IF(M210="","Not tracked",IF(M210&lt;=0,"Out of stock",IF(AND(N210&lt;&gt;"",M210&lt;=N210),"Low stock","In stock"))))</f>
        <v>0</v>
      </c>
      <c r="AF210" s="32">
        <f>IF(B210="","",COUNTIFS($AB$5:$AB$254,"&gt;"&amp;AB210)+COUNTIFS($AB$5:AB210,AB210))</f>
        <v>0</v>
      </c>
      <c r="AG210" s="43">
        <f>IF(B210="","",IF(I210="","Add - no price yet",IF(OR(G210="",G210=0),"Add - how much is in a pack?",IF(AE210="Out of stock","Order - none left",IF(AE210="Low stock","Order - running low",IF(AND(AD210&lt;&gt;"",AD210&gt;0.075),"Check - price jumped, re-price the products",IF(AND(P210&lt;&gt;"",TodayDate-P210&gt;365),"Check - price is over a year old","OK")))))))</f>
        <v>0</v>
      </c>
    </row>
    <row r="211" spans="1:33">
      <c r="A211" s="38">
        <f>IF(B211="","",MaterialPrefix&amp;TEXT(ROW()-4,"0000"))</f>
        <v>0</v>
      </c>
      <c r="R211" s="20">
        <f>IF(B211="","",IF(I211="","",ROUND(I211*(1-IF(K211="",0,K211))+IF(J211="",0,J211),2)))</f>
        <v>0</v>
      </c>
      <c r="S211" s="45">
        <f>IF(B211="","",IF(OR(R211="",G211="",G211=0),"",ROUND(R211/G211,4)))</f>
        <v>0</v>
      </c>
      <c r="T211" s="13">
        <f>IF(B211="","",IFERROR(INDEX(UnitBases,MATCH(H211,UnitNames,0)),""))</f>
        <v>0</v>
      </c>
      <c r="U211" s="41">
        <f>IF(B211="","",IFERROR(INDEX(UnitFactors,MATCH(H211,UnitNames,0)),""))</f>
        <v>0</v>
      </c>
      <c r="V211" s="45">
        <f>IF(B211="","",IF(OR(S211="",U211="",U211=0),"",ROUND(S211/U211,4)))</f>
        <v>0</v>
      </c>
      <c r="W211" s="33">
        <f>IF(B211="","",IF(L211="",DefaultWaste,L211))</f>
        <v>0</v>
      </c>
      <c r="X211" s="45">
        <f>IF(B211="","",IF(S211="","",ROUND(S211*(1+W211),4)))</f>
        <v>0</v>
      </c>
      <c r="Y211" s="20">
        <f>IF(B211="","",IF(OR(M211="",S211=""),"",ROUND(M211*S211,2)))</f>
        <v>0</v>
      </c>
      <c r="Z211" s="32">
        <f>IF(B211="","",COUNTIFS('Material Usage'!$C$5:$C$904,A211))</f>
        <v>0</v>
      </c>
      <c r="AA211" s="36">
        <f>IF(B211="","",SUMIFS('Material Usage'!$K$5:$K$904,'Material Usage'!$C$5:$C$904,A211))</f>
        <v>0</v>
      </c>
      <c r="AB211" s="20">
        <f>IF(B211="","",ROUND(SUMIFS('Material Usage'!$M$5:$M$904,'Material Usage'!$C$5:$C$904,A211),2))</f>
        <v>0</v>
      </c>
      <c r="AC211" s="32">
        <f>IF(B211="","",IF(OR(M211="",AA211="",AA211&lt;=0),"",ROUNDDOWN(M211/AA211,0)))</f>
        <v>0</v>
      </c>
      <c r="AD211" s="33">
        <f>IF(B211="","",IF(OR(O211="",O211=0,I211=""),"",(I211-O211)/O211))</f>
        <v>0</v>
      </c>
      <c r="AE211" s="43">
        <f>IF(B211="","",IF(M211="","Not tracked",IF(M211&lt;=0,"Out of stock",IF(AND(N211&lt;&gt;"",M211&lt;=N211),"Low stock","In stock"))))</f>
        <v>0</v>
      </c>
      <c r="AF211" s="32">
        <f>IF(B211="","",COUNTIFS($AB$5:$AB$254,"&gt;"&amp;AB211)+COUNTIFS($AB$5:AB211,AB211))</f>
        <v>0</v>
      </c>
      <c r="AG211" s="43">
        <f>IF(B211="","",IF(I211="","Add - no price yet",IF(OR(G211="",G211=0),"Add - how much is in a pack?",IF(AE211="Out of stock","Order - none left",IF(AE211="Low stock","Order - running low",IF(AND(AD211&lt;&gt;"",AD211&gt;0.075),"Check - price jumped, re-price the products",IF(AND(P211&lt;&gt;"",TodayDate-P211&gt;365),"Check - price is over a year old","OK")))))))</f>
        <v>0</v>
      </c>
    </row>
    <row r="212" spans="1:33">
      <c r="A212" s="38">
        <f>IF(B212="","",MaterialPrefix&amp;TEXT(ROW()-4,"0000"))</f>
        <v>0</v>
      </c>
      <c r="R212" s="20">
        <f>IF(B212="","",IF(I212="","",ROUND(I212*(1-IF(K212="",0,K212))+IF(J212="",0,J212),2)))</f>
        <v>0</v>
      </c>
      <c r="S212" s="45">
        <f>IF(B212="","",IF(OR(R212="",G212="",G212=0),"",ROUND(R212/G212,4)))</f>
        <v>0</v>
      </c>
      <c r="T212" s="13">
        <f>IF(B212="","",IFERROR(INDEX(UnitBases,MATCH(H212,UnitNames,0)),""))</f>
        <v>0</v>
      </c>
      <c r="U212" s="41">
        <f>IF(B212="","",IFERROR(INDEX(UnitFactors,MATCH(H212,UnitNames,0)),""))</f>
        <v>0</v>
      </c>
      <c r="V212" s="45">
        <f>IF(B212="","",IF(OR(S212="",U212="",U212=0),"",ROUND(S212/U212,4)))</f>
        <v>0</v>
      </c>
      <c r="W212" s="33">
        <f>IF(B212="","",IF(L212="",DefaultWaste,L212))</f>
        <v>0</v>
      </c>
      <c r="X212" s="45">
        <f>IF(B212="","",IF(S212="","",ROUND(S212*(1+W212),4)))</f>
        <v>0</v>
      </c>
      <c r="Y212" s="20">
        <f>IF(B212="","",IF(OR(M212="",S212=""),"",ROUND(M212*S212,2)))</f>
        <v>0</v>
      </c>
      <c r="Z212" s="32">
        <f>IF(B212="","",COUNTIFS('Material Usage'!$C$5:$C$904,A212))</f>
        <v>0</v>
      </c>
      <c r="AA212" s="36">
        <f>IF(B212="","",SUMIFS('Material Usage'!$K$5:$K$904,'Material Usage'!$C$5:$C$904,A212))</f>
        <v>0</v>
      </c>
      <c r="AB212" s="20">
        <f>IF(B212="","",ROUND(SUMIFS('Material Usage'!$M$5:$M$904,'Material Usage'!$C$5:$C$904,A212),2))</f>
        <v>0</v>
      </c>
      <c r="AC212" s="32">
        <f>IF(B212="","",IF(OR(M212="",AA212="",AA212&lt;=0),"",ROUNDDOWN(M212/AA212,0)))</f>
        <v>0</v>
      </c>
      <c r="AD212" s="33">
        <f>IF(B212="","",IF(OR(O212="",O212=0,I212=""),"",(I212-O212)/O212))</f>
        <v>0</v>
      </c>
      <c r="AE212" s="43">
        <f>IF(B212="","",IF(M212="","Not tracked",IF(M212&lt;=0,"Out of stock",IF(AND(N212&lt;&gt;"",M212&lt;=N212),"Low stock","In stock"))))</f>
        <v>0</v>
      </c>
      <c r="AF212" s="32">
        <f>IF(B212="","",COUNTIFS($AB$5:$AB$254,"&gt;"&amp;AB212)+COUNTIFS($AB$5:AB212,AB212))</f>
        <v>0</v>
      </c>
      <c r="AG212" s="43">
        <f>IF(B212="","",IF(I212="","Add - no price yet",IF(OR(G212="",G212=0),"Add - how much is in a pack?",IF(AE212="Out of stock","Order - none left",IF(AE212="Low stock","Order - running low",IF(AND(AD212&lt;&gt;"",AD212&gt;0.075),"Check - price jumped, re-price the products",IF(AND(P212&lt;&gt;"",TodayDate-P212&gt;365),"Check - price is over a year old","OK")))))))</f>
        <v>0</v>
      </c>
    </row>
    <row r="213" spans="1:33">
      <c r="A213" s="38">
        <f>IF(B213="","",MaterialPrefix&amp;TEXT(ROW()-4,"0000"))</f>
        <v>0</v>
      </c>
      <c r="R213" s="20">
        <f>IF(B213="","",IF(I213="","",ROUND(I213*(1-IF(K213="",0,K213))+IF(J213="",0,J213),2)))</f>
        <v>0</v>
      </c>
      <c r="S213" s="45">
        <f>IF(B213="","",IF(OR(R213="",G213="",G213=0),"",ROUND(R213/G213,4)))</f>
        <v>0</v>
      </c>
      <c r="T213" s="13">
        <f>IF(B213="","",IFERROR(INDEX(UnitBases,MATCH(H213,UnitNames,0)),""))</f>
        <v>0</v>
      </c>
      <c r="U213" s="41">
        <f>IF(B213="","",IFERROR(INDEX(UnitFactors,MATCH(H213,UnitNames,0)),""))</f>
        <v>0</v>
      </c>
      <c r="V213" s="45">
        <f>IF(B213="","",IF(OR(S213="",U213="",U213=0),"",ROUND(S213/U213,4)))</f>
        <v>0</v>
      </c>
      <c r="W213" s="33">
        <f>IF(B213="","",IF(L213="",DefaultWaste,L213))</f>
        <v>0</v>
      </c>
      <c r="X213" s="45">
        <f>IF(B213="","",IF(S213="","",ROUND(S213*(1+W213),4)))</f>
        <v>0</v>
      </c>
      <c r="Y213" s="20">
        <f>IF(B213="","",IF(OR(M213="",S213=""),"",ROUND(M213*S213,2)))</f>
        <v>0</v>
      </c>
      <c r="Z213" s="32">
        <f>IF(B213="","",COUNTIFS('Material Usage'!$C$5:$C$904,A213))</f>
        <v>0</v>
      </c>
      <c r="AA213" s="36">
        <f>IF(B213="","",SUMIFS('Material Usage'!$K$5:$K$904,'Material Usage'!$C$5:$C$904,A213))</f>
        <v>0</v>
      </c>
      <c r="AB213" s="20">
        <f>IF(B213="","",ROUND(SUMIFS('Material Usage'!$M$5:$M$904,'Material Usage'!$C$5:$C$904,A213),2))</f>
        <v>0</v>
      </c>
      <c r="AC213" s="32">
        <f>IF(B213="","",IF(OR(M213="",AA213="",AA213&lt;=0),"",ROUNDDOWN(M213/AA213,0)))</f>
        <v>0</v>
      </c>
      <c r="AD213" s="33">
        <f>IF(B213="","",IF(OR(O213="",O213=0,I213=""),"",(I213-O213)/O213))</f>
        <v>0</v>
      </c>
      <c r="AE213" s="43">
        <f>IF(B213="","",IF(M213="","Not tracked",IF(M213&lt;=0,"Out of stock",IF(AND(N213&lt;&gt;"",M213&lt;=N213),"Low stock","In stock"))))</f>
        <v>0</v>
      </c>
      <c r="AF213" s="32">
        <f>IF(B213="","",COUNTIFS($AB$5:$AB$254,"&gt;"&amp;AB213)+COUNTIFS($AB$5:AB213,AB213))</f>
        <v>0</v>
      </c>
      <c r="AG213" s="43">
        <f>IF(B213="","",IF(I213="","Add - no price yet",IF(OR(G213="",G213=0),"Add - how much is in a pack?",IF(AE213="Out of stock","Order - none left",IF(AE213="Low stock","Order - running low",IF(AND(AD213&lt;&gt;"",AD213&gt;0.075),"Check - price jumped, re-price the products",IF(AND(P213&lt;&gt;"",TodayDate-P213&gt;365),"Check - price is over a year old","OK")))))))</f>
        <v>0</v>
      </c>
    </row>
    <row r="214" spans="1:33">
      <c r="A214" s="38">
        <f>IF(B214="","",MaterialPrefix&amp;TEXT(ROW()-4,"0000"))</f>
        <v>0</v>
      </c>
      <c r="R214" s="20">
        <f>IF(B214="","",IF(I214="","",ROUND(I214*(1-IF(K214="",0,K214))+IF(J214="",0,J214),2)))</f>
        <v>0</v>
      </c>
      <c r="S214" s="45">
        <f>IF(B214="","",IF(OR(R214="",G214="",G214=0),"",ROUND(R214/G214,4)))</f>
        <v>0</v>
      </c>
      <c r="T214" s="13">
        <f>IF(B214="","",IFERROR(INDEX(UnitBases,MATCH(H214,UnitNames,0)),""))</f>
        <v>0</v>
      </c>
      <c r="U214" s="41">
        <f>IF(B214="","",IFERROR(INDEX(UnitFactors,MATCH(H214,UnitNames,0)),""))</f>
        <v>0</v>
      </c>
      <c r="V214" s="45">
        <f>IF(B214="","",IF(OR(S214="",U214="",U214=0),"",ROUND(S214/U214,4)))</f>
        <v>0</v>
      </c>
      <c r="W214" s="33">
        <f>IF(B214="","",IF(L214="",DefaultWaste,L214))</f>
        <v>0</v>
      </c>
      <c r="X214" s="45">
        <f>IF(B214="","",IF(S214="","",ROUND(S214*(1+W214),4)))</f>
        <v>0</v>
      </c>
      <c r="Y214" s="20">
        <f>IF(B214="","",IF(OR(M214="",S214=""),"",ROUND(M214*S214,2)))</f>
        <v>0</v>
      </c>
      <c r="Z214" s="32">
        <f>IF(B214="","",COUNTIFS('Material Usage'!$C$5:$C$904,A214))</f>
        <v>0</v>
      </c>
      <c r="AA214" s="36">
        <f>IF(B214="","",SUMIFS('Material Usage'!$K$5:$K$904,'Material Usage'!$C$5:$C$904,A214))</f>
        <v>0</v>
      </c>
      <c r="AB214" s="20">
        <f>IF(B214="","",ROUND(SUMIFS('Material Usage'!$M$5:$M$904,'Material Usage'!$C$5:$C$904,A214),2))</f>
        <v>0</v>
      </c>
      <c r="AC214" s="32">
        <f>IF(B214="","",IF(OR(M214="",AA214="",AA214&lt;=0),"",ROUNDDOWN(M214/AA214,0)))</f>
        <v>0</v>
      </c>
      <c r="AD214" s="33">
        <f>IF(B214="","",IF(OR(O214="",O214=0,I214=""),"",(I214-O214)/O214))</f>
        <v>0</v>
      </c>
      <c r="AE214" s="43">
        <f>IF(B214="","",IF(M214="","Not tracked",IF(M214&lt;=0,"Out of stock",IF(AND(N214&lt;&gt;"",M214&lt;=N214),"Low stock","In stock"))))</f>
        <v>0</v>
      </c>
      <c r="AF214" s="32">
        <f>IF(B214="","",COUNTIFS($AB$5:$AB$254,"&gt;"&amp;AB214)+COUNTIFS($AB$5:AB214,AB214))</f>
        <v>0</v>
      </c>
      <c r="AG214" s="43">
        <f>IF(B214="","",IF(I214="","Add - no price yet",IF(OR(G214="",G214=0),"Add - how much is in a pack?",IF(AE214="Out of stock","Order - none left",IF(AE214="Low stock","Order - running low",IF(AND(AD214&lt;&gt;"",AD214&gt;0.075),"Check - price jumped, re-price the products",IF(AND(P214&lt;&gt;"",TodayDate-P214&gt;365),"Check - price is over a year old","OK")))))))</f>
        <v>0</v>
      </c>
    </row>
    <row r="215" spans="1:33">
      <c r="A215" s="38">
        <f>IF(B215="","",MaterialPrefix&amp;TEXT(ROW()-4,"0000"))</f>
        <v>0</v>
      </c>
      <c r="R215" s="20">
        <f>IF(B215="","",IF(I215="","",ROUND(I215*(1-IF(K215="",0,K215))+IF(J215="",0,J215),2)))</f>
        <v>0</v>
      </c>
      <c r="S215" s="45">
        <f>IF(B215="","",IF(OR(R215="",G215="",G215=0),"",ROUND(R215/G215,4)))</f>
        <v>0</v>
      </c>
      <c r="T215" s="13">
        <f>IF(B215="","",IFERROR(INDEX(UnitBases,MATCH(H215,UnitNames,0)),""))</f>
        <v>0</v>
      </c>
      <c r="U215" s="41">
        <f>IF(B215="","",IFERROR(INDEX(UnitFactors,MATCH(H215,UnitNames,0)),""))</f>
        <v>0</v>
      </c>
      <c r="V215" s="45">
        <f>IF(B215="","",IF(OR(S215="",U215="",U215=0),"",ROUND(S215/U215,4)))</f>
        <v>0</v>
      </c>
      <c r="W215" s="33">
        <f>IF(B215="","",IF(L215="",DefaultWaste,L215))</f>
        <v>0</v>
      </c>
      <c r="X215" s="45">
        <f>IF(B215="","",IF(S215="","",ROUND(S215*(1+W215),4)))</f>
        <v>0</v>
      </c>
      <c r="Y215" s="20">
        <f>IF(B215="","",IF(OR(M215="",S215=""),"",ROUND(M215*S215,2)))</f>
        <v>0</v>
      </c>
      <c r="Z215" s="32">
        <f>IF(B215="","",COUNTIFS('Material Usage'!$C$5:$C$904,A215))</f>
        <v>0</v>
      </c>
      <c r="AA215" s="36">
        <f>IF(B215="","",SUMIFS('Material Usage'!$K$5:$K$904,'Material Usage'!$C$5:$C$904,A215))</f>
        <v>0</v>
      </c>
      <c r="AB215" s="20">
        <f>IF(B215="","",ROUND(SUMIFS('Material Usage'!$M$5:$M$904,'Material Usage'!$C$5:$C$904,A215),2))</f>
        <v>0</v>
      </c>
      <c r="AC215" s="32">
        <f>IF(B215="","",IF(OR(M215="",AA215="",AA215&lt;=0),"",ROUNDDOWN(M215/AA215,0)))</f>
        <v>0</v>
      </c>
      <c r="AD215" s="33">
        <f>IF(B215="","",IF(OR(O215="",O215=0,I215=""),"",(I215-O215)/O215))</f>
        <v>0</v>
      </c>
      <c r="AE215" s="43">
        <f>IF(B215="","",IF(M215="","Not tracked",IF(M215&lt;=0,"Out of stock",IF(AND(N215&lt;&gt;"",M215&lt;=N215),"Low stock","In stock"))))</f>
        <v>0</v>
      </c>
      <c r="AF215" s="32">
        <f>IF(B215="","",COUNTIFS($AB$5:$AB$254,"&gt;"&amp;AB215)+COUNTIFS($AB$5:AB215,AB215))</f>
        <v>0</v>
      </c>
      <c r="AG215" s="43">
        <f>IF(B215="","",IF(I215="","Add - no price yet",IF(OR(G215="",G215=0),"Add - how much is in a pack?",IF(AE215="Out of stock","Order - none left",IF(AE215="Low stock","Order - running low",IF(AND(AD215&lt;&gt;"",AD215&gt;0.075),"Check - price jumped, re-price the products",IF(AND(P215&lt;&gt;"",TodayDate-P215&gt;365),"Check - price is over a year old","OK")))))))</f>
        <v>0</v>
      </c>
    </row>
    <row r="216" spans="1:33">
      <c r="A216" s="38">
        <f>IF(B216="","",MaterialPrefix&amp;TEXT(ROW()-4,"0000"))</f>
        <v>0</v>
      </c>
      <c r="R216" s="20">
        <f>IF(B216="","",IF(I216="","",ROUND(I216*(1-IF(K216="",0,K216))+IF(J216="",0,J216),2)))</f>
        <v>0</v>
      </c>
      <c r="S216" s="45">
        <f>IF(B216="","",IF(OR(R216="",G216="",G216=0),"",ROUND(R216/G216,4)))</f>
        <v>0</v>
      </c>
      <c r="T216" s="13">
        <f>IF(B216="","",IFERROR(INDEX(UnitBases,MATCH(H216,UnitNames,0)),""))</f>
        <v>0</v>
      </c>
      <c r="U216" s="41">
        <f>IF(B216="","",IFERROR(INDEX(UnitFactors,MATCH(H216,UnitNames,0)),""))</f>
        <v>0</v>
      </c>
      <c r="V216" s="45">
        <f>IF(B216="","",IF(OR(S216="",U216="",U216=0),"",ROUND(S216/U216,4)))</f>
        <v>0</v>
      </c>
      <c r="W216" s="33">
        <f>IF(B216="","",IF(L216="",DefaultWaste,L216))</f>
        <v>0</v>
      </c>
      <c r="X216" s="45">
        <f>IF(B216="","",IF(S216="","",ROUND(S216*(1+W216),4)))</f>
        <v>0</v>
      </c>
      <c r="Y216" s="20">
        <f>IF(B216="","",IF(OR(M216="",S216=""),"",ROUND(M216*S216,2)))</f>
        <v>0</v>
      </c>
      <c r="Z216" s="32">
        <f>IF(B216="","",COUNTIFS('Material Usage'!$C$5:$C$904,A216))</f>
        <v>0</v>
      </c>
      <c r="AA216" s="36">
        <f>IF(B216="","",SUMIFS('Material Usage'!$K$5:$K$904,'Material Usage'!$C$5:$C$904,A216))</f>
        <v>0</v>
      </c>
      <c r="AB216" s="20">
        <f>IF(B216="","",ROUND(SUMIFS('Material Usage'!$M$5:$M$904,'Material Usage'!$C$5:$C$904,A216),2))</f>
        <v>0</v>
      </c>
      <c r="AC216" s="32">
        <f>IF(B216="","",IF(OR(M216="",AA216="",AA216&lt;=0),"",ROUNDDOWN(M216/AA216,0)))</f>
        <v>0</v>
      </c>
      <c r="AD216" s="33">
        <f>IF(B216="","",IF(OR(O216="",O216=0,I216=""),"",(I216-O216)/O216))</f>
        <v>0</v>
      </c>
      <c r="AE216" s="43">
        <f>IF(B216="","",IF(M216="","Not tracked",IF(M216&lt;=0,"Out of stock",IF(AND(N216&lt;&gt;"",M216&lt;=N216),"Low stock","In stock"))))</f>
        <v>0</v>
      </c>
      <c r="AF216" s="32">
        <f>IF(B216="","",COUNTIFS($AB$5:$AB$254,"&gt;"&amp;AB216)+COUNTIFS($AB$5:AB216,AB216))</f>
        <v>0</v>
      </c>
      <c r="AG216" s="43">
        <f>IF(B216="","",IF(I216="","Add - no price yet",IF(OR(G216="",G216=0),"Add - how much is in a pack?",IF(AE216="Out of stock","Order - none left",IF(AE216="Low stock","Order - running low",IF(AND(AD216&lt;&gt;"",AD216&gt;0.075),"Check - price jumped, re-price the products",IF(AND(P216&lt;&gt;"",TodayDate-P216&gt;365),"Check - price is over a year old","OK")))))))</f>
        <v>0</v>
      </c>
    </row>
    <row r="217" spans="1:33">
      <c r="A217" s="38">
        <f>IF(B217="","",MaterialPrefix&amp;TEXT(ROW()-4,"0000"))</f>
        <v>0</v>
      </c>
      <c r="R217" s="20">
        <f>IF(B217="","",IF(I217="","",ROUND(I217*(1-IF(K217="",0,K217))+IF(J217="",0,J217),2)))</f>
        <v>0</v>
      </c>
      <c r="S217" s="45">
        <f>IF(B217="","",IF(OR(R217="",G217="",G217=0),"",ROUND(R217/G217,4)))</f>
        <v>0</v>
      </c>
      <c r="T217" s="13">
        <f>IF(B217="","",IFERROR(INDEX(UnitBases,MATCH(H217,UnitNames,0)),""))</f>
        <v>0</v>
      </c>
      <c r="U217" s="41">
        <f>IF(B217="","",IFERROR(INDEX(UnitFactors,MATCH(H217,UnitNames,0)),""))</f>
        <v>0</v>
      </c>
      <c r="V217" s="45">
        <f>IF(B217="","",IF(OR(S217="",U217="",U217=0),"",ROUND(S217/U217,4)))</f>
        <v>0</v>
      </c>
      <c r="W217" s="33">
        <f>IF(B217="","",IF(L217="",DefaultWaste,L217))</f>
        <v>0</v>
      </c>
      <c r="X217" s="45">
        <f>IF(B217="","",IF(S217="","",ROUND(S217*(1+W217),4)))</f>
        <v>0</v>
      </c>
      <c r="Y217" s="20">
        <f>IF(B217="","",IF(OR(M217="",S217=""),"",ROUND(M217*S217,2)))</f>
        <v>0</v>
      </c>
      <c r="Z217" s="32">
        <f>IF(B217="","",COUNTIFS('Material Usage'!$C$5:$C$904,A217))</f>
        <v>0</v>
      </c>
      <c r="AA217" s="36">
        <f>IF(B217="","",SUMIFS('Material Usage'!$K$5:$K$904,'Material Usage'!$C$5:$C$904,A217))</f>
        <v>0</v>
      </c>
      <c r="AB217" s="20">
        <f>IF(B217="","",ROUND(SUMIFS('Material Usage'!$M$5:$M$904,'Material Usage'!$C$5:$C$904,A217),2))</f>
        <v>0</v>
      </c>
      <c r="AC217" s="32">
        <f>IF(B217="","",IF(OR(M217="",AA217="",AA217&lt;=0),"",ROUNDDOWN(M217/AA217,0)))</f>
        <v>0</v>
      </c>
      <c r="AD217" s="33">
        <f>IF(B217="","",IF(OR(O217="",O217=0,I217=""),"",(I217-O217)/O217))</f>
        <v>0</v>
      </c>
      <c r="AE217" s="43">
        <f>IF(B217="","",IF(M217="","Not tracked",IF(M217&lt;=0,"Out of stock",IF(AND(N217&lt;&gt;"",M217&lt;=N217),"Low stock","In stock"))))</f>
        <v>0</v>
      </c>
      <c r="AF217" s="32">
        <f>IF(B217="","",COUNTIFS($AB$5:$AB$254,"&gt;"&amp;AB217)+COUNTIFS($AB$5:AB217,AB217))</f>
        <v>0</v>
      </c>
      <c r="AG217" s="43">
        <f>IF(B217="","",IF(I217="","Add - no price yet",IF(OR(G217="",G217=0),"Add - how much is in a pack?",IF(AE217="Out of stock","Order - none left",IF(AE217="Low stock","Order - running low",IF(AND(AD217&lt;&gt;"",AD217&gt;0.075),"Check - price jumped, re-price the products",IF(AND(P217&lt;&gt;"",TodayDate-P217&gt;365),"Check - price is over a year old","OK")))))))</f>
        <v>0</v>
      </c>
    </row>
    <row r="218" spans="1:33">
      <c r="A218" s="38">
        <f>IF(B218="","",MaterialPrefix&amp;TEXT(ROW()-4,"0000"))</f>
        <v>0</v>
      </c>
      <c r="R218" s="20">
        <f>IF(B218="","",IF(I218="","",ROUND(I218*(1-IF(K218="",0,K218))+IF(J218="",0,J218),2)))</f>
        <v>0</v>
      </c>
      <c r="S218" s="45">
        <f>IF(B218="","",IF(OR(R218="",G218="",G218=0),"",ROUND(R218/G218,4)))</f>
        <v>0</v>
      </c>
      <c r="T218" s="13">
        <f>IF(B218="","",IFERROR(INDEX(UnitBases,MATCH(H218,UnitNames,0)),""))</f>
        <v>0</v>
      </c>
      <c r="U218" s="41">
        <f>IF(B218="","",IFERROR(INDEX(UnitFactors,MATCH(H218,UnitNames,0)),""))</f>
        <v>0</v>
      </c>
      <c r="V218" s="45">
        <f>IF(B218="","",IF(OR(S218="",U218="",U218=0),"",ROUND(S218/U218,4)))</f>
        <v>0</v>
      </c>
      <c r="W218" s="33">
        <f>IF(B218="","",IF(L218="",DefaultWaste,L218))</f>
        <v>0</v>
      </c>
      <c r="X218" s="45">
        <f>IF(B218="","",IF(S218="","",ROUND(S218*(1+W218),4)))</f>
        <v>0</v>
      </c>
      <c r="Y218" s="20">
        <f>IF(B218="","",IF(OR(M218="",S218=""),"",ROUND(M218*S218,2)))</f>
        <v>0</v>
      </c>
      <c r="Z218" s="32">
        <f>IF(B218="","",COUNTIFS('Material Usage'!$C$5:$C$904,A218))</f>
        <v>0</v>
      </c>
      <c r="AA218" s="36">
        <f>IF(B218="","",SUMIFS('Material Usage'!$K$5:$K$904,'Material Usage'!$C$5:$C$904,A218))</f>
        <v>0</v>
      </c>
      <c r="AB218" s="20">
        <f>IF(B218="","",ROUND(SUMIFS('Material Usage'!$M$5:$M$904,'Material Usage'!$C$5:$C$904,A218),2))</f>
        <v>0</v>
      </c>
      <c r="AC218" s="32">
        <f>IF(B218="","",IF(OR(M218="",AA218="",AA218&lt;=0),"",ROUNDDOWN(M218/AA218,0)))</f>
        <v>0</v>
      </c>
      <c r="AD218" s="33">
        <f>IF(B218="","",IF(OR(O218="",O218=0,I218=""),"",(I218-O218)/O218))</f>
        <v>0</v>
      </c>
      <c r="AE218" s="43">
        <f>IF(B218="","",IF(M218="","Not tracked",IF(M218&lt;=0,"Out of stock",IF(AND(N218&lt;&gt;"",M218&lt;=N218),"Low stock","In stock"))))</f>
        <v>0</v>
      </c>
      <c r="AF218" s="32">
        <f>IF(B218="","",COUNTIFS($AB$5:$AB$254,"&gt;"&amp;AB218)+COUNTIFS($AB$5:AB218,AB218))</f>
        <v>0</v>
      </c>
      <c r="AG218" s="43">
        <f>IF(B218="","",IF(I218="","Add - no price yet",IF(OR(G218="",G218=0),"Add - how much is in a pack?",IF(AE218="Out of stock","Order - none left",IF(AE218="Low stock","Order - running low",IF(AND(AD218&lt;&gt;"",AD218&gt;0.075),"Check - price jumped, re-price the products",IF(AND(P218&lt;&gt;"",TodayDate-P218&gt;365),"Check - price is over a year old","OK")))))))</f>
        <v>0</v>
      </c>
    </row>
    <row r="219" spans="1:33">
      <c r="A219" s="38">
        <f>IF(B219="","",MaterialPrefix&amp;TEXT(ROW()-4,"0000"))</f>
        <v>0</v>
      </c>
      <c r="R219" s="20">
        <f>IF(B219="","",IF(I219="","",ROUND(I219*(1-IF(K219="",0,K219))+IF(J219="",0,J219),2)))</f>
        <v>0</v>
      </c>
      <c r="S219" s="45">
        <f>IF(B219="","",IF(OR(R219="",G219="",G219=0),"",ROUND(R219/G219,4)))</f>
        <v>0</v>
      </c>
      <c r="T219" s="13">
        <f>IF(B219="","",IFERROR(INDEX(UnitBases,MATCH(H219,UnitNames,0)),""))</f>
        <v>0</v>
      </c>
      <c r="U219" s="41">
        <f>IF(B219="","",IFERROR(INDEX(UnitFactors,MATCH(H219,UnitNames,0)),""))</f>
        <v>0</v>
      </c>
      <c r="V219" s="45">
        <f>IF(B219="","",IF(OR(S219="",U219="",U219=0),"",ROUND(S219/U219,4)))</f>
        <v>0</v>
      </c>
      <c r="W219" s="33">
        <f>IF(B219="","",IF(L219="",DefaultWaste,L219))</f>
        <v>0</v>
      </c>
      <c r="X219" s="45">
        <f>IF(B219="","",IF(S219="","",ROUND(S219*(1+W219),4)))</f>
        <v>0</v>
      </c>
      <c r="Y219" s="20">
        <f>IF(B219="","",IF(OR(M219="",S219=""),"",ROUND(M219*S219,2)))</f>
        <v>0</v>
      </c>
      <c r="Z219" s="32">
        <f>IF(B219="","",COUNTIFS('Material Usage'!$C$5:$C$904,A219))</f>
        <v>0</v>
      </c>
      <c r="AA219" s="36">
        <f>IF(B219="","",SUMIFS('Material Usage'!$K$5:$K$904,'Material Usage'!$C$5:$C$904,A219))</f>
        <v>0</v>
      </c>
      <c r="AB219" s="20">
        <f>IF(B219="","",ROUND(SUMIFS('Material Usage'!$M$5:$M$904,'Material Usage'!$C$5:$C$904,A219),2))</f>
        <v>0</v>
      </c>
      <c r="AC219" s="32">
        <f>IF(B219="","",IF(OR(M219="",AA219="",AA219&lt;=0),"",ROUNDDOWN(M219/AA219,0)))</f>
        <v>0</v>
      </c>
      <c r="AD219" s="33">
        <f>IF(B219="","",IF(OR(O219="",O219=0,I219=""),"",(I219-O219)/O219))</f>
        <v>0</v>
      </c>
      <c r="AE219" s="43">
        <f>IF(B219="","",IF(M219="","Not tracked",IF(M219&lt;=0,"Out of stock",IF(AND(N219&lt;&gt;"",M219&lt;=N219),"Low stock","In stock"))))</f>
        <v>0</v>
      </c>
      <c r="AF219" s="32">
        <f>IF(B219="","",COUNTIFS($AB$5:$AB$254,"&gt;"&amp;AB219)+COUNTIFS($AB$5:AB219,AB219))</f>
        <v>0</v>
      </c>
      <c r="AG219" s="43">
        <f>IF(B219="","",IF(I219="","Add - no price yet",IF(OR(G219="",G219=0),"Add - how much is in a pack?",IF(AE219="Out of stock","Order - none left",IF(AE219="Low stock","Order - running low",IF(AND(AD219&lt;&gt;"",AD219&gt;0.075),"Check - price jumped, re-price the products",IF(AND(P219&lt;&gt;"",TodayDate-P219&gt;365),"Check - price is over a year old","OK")))))))</f>
        <v>0</v>
      </c>
    </row>
    <row r="220" spans="1:33">
      <c r="A220" s="38">
        <f>IF(B220="","",MaterialPrefix&amp;TEXT(ROW()-4,"0000"))</f>
        <v>0</v>
      </c>
      <c r="R220" s="20">
        <f>IF(B220="","",IF(I220="","",ROUND(I220*(1-IF(K220="",0,K220))+IF(J220="",0,J220),2)))</f>
        <v>0</v>
      </c>
      <c r="S220" s="45">
        <f>IF(B220="","",IF(OR(R220="",G220="",G220=0),"",ROUND(R220/G220,4)))</f>
        <v>0</v>
      </c>
      <c r="T220" s="13">
        <f>IF(B220="","",IFERROR(INDEX(UnitBases,MATCH(H220,UnitNames,0)),""))</f>
        <v>0</v>
      </c>
      <c r="U220" s="41">
        <f>IF(B220="","",IFERROR(INDEX(UnitFactors,MATCH(H220,UnitNames,0)),""))</f>
        <v>0</v>
      </c>
      <c r="V220" s="45">
        <f>IF(B220="","",IF(OR(S220="",U220="",U220=0),"",ROUND(S220/U220,4)))</f>
        <v>0</v>
      </c>
      <c r="W220" s="33">
        <f>IF(B220="","",IF(L220="",DefaultWaste,L220))</f>
        <v>0</v>
      </c>
      <c r="X220" s="45">
        <f>IF(B220="","",IF(S220="","",ROUND(S220*(1+W220),4)))</f>
        <v>0</v>
      </c>
      <c r="Y220" s="20">
        <f>IF(B220="","",IF(OR(M220="",S220=""),"",ROUND(M220*S220,2)))</f>
        <v>0</v>
      </c>
      <c r="Z220" s="32">
        <f>IF(B220="","",COUNTIFS('Material Usage'!$C$5:$C$904,A220))</f>
        <v>0</v>
      </c>
      <c r="AA220" s="36">
        <f>IF(B220="","",SUMIFS('Material Usage'!$K$5:$K$904,'Material Usage'!$C$5:$C$904,A220))</f>
        <v>0</v>
      </c>
      <c r="AB220" s="20">
        <f>IF(B220="","",ROUND(SUMIFS('Material Usage'!$M$5:$M$904,'Material Usage'!$C$5:$C$904,A220),2))</f>
        <v>0</v>
      </c>
      <c r="AC220" s="32">
        <f>IF(B220="","",IF(OR(M220="",AA220="",AA220&lt;=0),"",ROUNDDOWN(M220/AA220,0)))</f>
        <v>0</v>
      </c>
      <c r="AD220" s="33">
        <f>IF(B220="","",IF(OR(O220="",O220=0,I220=""),"",(I220-O220)/O220))</f>
        <v>0</v>
      </c>
      <c r="AE220" s="43">
        <f>IF(B220="","",IF(M220="","Not tracked",IF(M220&lt;=0,"Out of stock",IF(AND(N220&lt;&gt;"",M220&lt;=N220),"Low stock","In stock"))))</f>
        <v>0</v>
      </c>
      <c r="AF220" s="32">
        <f>IF(B220="","",COUNTIFS($AB$5:$AB$254,"&gt;"&amp;AB220)+COUNTIFS($AB$5:AB220,AB220))</f>
        <v>0</v>
      </c>
      <c r="AG220" s="43">
        <f>IF(B220="","",IF(I220="","Add - no price yet",IF(OR(G220="",G220=0),"Add - how much is in a pack?",IF(AE220="Out of stock","Order - none left",IF(AE220="Low stock","Order - running low",IF(AND(AD220&lt;&gt;"",AD220&gt;0.075),"Check - price jumped, re-price the products",IF(AND(P220&lt;&gt;"",TodayDate-P220&gt;365),"Check - price is over a year old","OK")))))))</f>
        <v>0</v>
      </c>
    </row>
    <row r="221" spans="1:33">
      <c r="A221" s="38">
        <f>IF(B221="","",MaterialPrefix&amp;TEXT(ROW()-4,"0000"))</f>
        <v>0</v>
      </c>
      <c r="R221" s="20">
        <f>IF(B221="","",IF(I221="","",ROUND(I221*(1-IF(K221="",0,K221))+IF(J221="",0,J221),2)))</f>
        <v>0</v>
      </c>
      <c r="S221" s="45">
        <f>IF(B221="","",IF(OR(R221="",G221="",G221=0),"",ROUND(R221/G221,4)))</f>
        <v>0</v>
      </c>
      <c r="T221" s="13">
        <f>IF(B221="","",IFERROR(INDEX(UnitBases,MATCH(H221,UnitNames,0)),""))</f>
        <v>0</v>
      </c>
      <c r="U221" s="41">
        <f>IF(B221="","",IFERROR(INDEX(UnitFactors,MATCH(H221,UnitNames,0)),""))</f>
        <v>0</v>
      </c>
      <c r="V221" s="45">
        <f>IF(B221="","",IF(OR(S221="",U221="",U221=0),"",ROUND(S221/U221,4)))</f>
        <v>0</v>
      </c>
      <c r="W221" s="33">
        <f>IF(B221="","",IF(L221="",DefaultWaste,L221))</f>
        <v>0</v>
      </c>
      <c r="X221" s="45">
        <f>IF(B221="","",IF(S221="","",ROUND(S221*(1+W221),4)))</f>
        <v>0</v>
      </c>
      <c r="Y221" s="20">
        <f>IF(B221="","",IF(OR(M221="",S221=""),"",ROUND(M221*S221,2)))</f>
        <v>0</v>
      </c>
      <c r="Z221" s="32">
        <f>IF(B221="","",COUNTIFS('Material Usage'!$C$5:$C$904,A221))</f>
        <v>0</v>
      </c>
      <c r="AA221" s="36">
        <f>IF(B221="","",SUMIFS('Material Usage'!$K$5:$K$904,'Material Usage'!$C$5:$C$904,A221))</f>
        <v>0</v>
      </c>
      <c r="AB221" s="20">
        <f>IF(B221="","",ROUND(SUMIFS('Material Usage'!$M$5:$M$904,'Material Usage'!$C$5:$C$904,A221),2))</f>
        <v>0</v>
      </c>
      <c r="AC221" s="32">
        <f>IF(B221="","",IF(OR(M221="",AA221="",AA221&lt;=0),"",ROUNDDOWN(M221/AA221,0)))</f>
        <v>0</v>
      </c>
      <c r="AD221" s="33">
        <f>IF(B221="","",IF(OR(O221="",O221=0,I221=""),"",(I221-O221)/O221))</f>
        <v>0</v>
      </c>
      <c r="AE221" s="43">
        <f>IF(B221="","",IF(M221="","Not tracked",IF(M221&lt;=0,"Out of stock",IF(AND(N221&lt;&gt;"",M221&lt;=N221),"Low stock","In stock"))))</f>
        <v>0</v>
      </c>
      <c r="AF221" s="32">
        <f>IF(B221="","",COUNTIFS($AB$5:$AB$254,"&gt;"&amp;AB221)+COUNTIFS($AB$5:AB221,AB221))</f>
        <v>0</v>
      </c>
      <c r="AG221" s="43">
        <f>IF(B221="","",IF(I221="","Add - no price yet",IF(OR(G221="",G221=0),"Add - how much is in a pack?",IF(AE221="Out of stock","Order - none left",IF(AE221="Low stock","Order - running low",IF(AND(AD221&lt;&gt;"",AD221&gt;0.075),"Check - price jumped, re-price the products",IF(AND(P221&lt;&gt;"",TodayDate-P221&gt;365),"Check - price is over a year old","OK")))))))</f>
        <v>0</v>
      </c>
    </row>
    <row r="222" spans="1:33">
      <c r="A222" s="38">
        <f>IF(B222="","",MaterialPrefix&amp;TEXT(ROW()-4,"0000"))</f>
        <v>0</v>
      </c>
      <c r="R222" s="20">
        <f>IF(B222="","",IF(I222="","",ROUND(I222*(1-IF(K222="",0,K222))+IF(J222="",0,J222),2)))</f>
        <v>0</v>
      </c>
      <c r="S222" s="45">
        <f>IF(B222="","",IF(OR(R222="",G222="",G222=0),"",ROUND(R222/G222,4)))</f>
        <v>0</v>
      </c>
      <c r="T222" s="13">
        <f>IF(B222="","",IFERROR(INDEX(UnitBases,MATCH(H222,UnitNames,0)),""))</f>
        <v>0</v>
      </c>
      <c r="U222" s="41">
        <f>IF(B222="","",IFERROR(INDEX(UnitFactors,MATCH(H222,UnitNames,0)),""))</f>
        <v>0</v>
      </c>
      <c r="V222" s="45">
        <f>IF(B222="","",IF(OR(S222="",U222="",U222=0),"",ROUND(S222/U222,4)))</f>
        <v>0</v>
      </c>
      <c r="W222" s="33">
        <f>IF(B222="","",IF(L222="",DefaultWaste,L222))</f>
        <v>0</v>
      </c>
      <c r="X222" s="45">
        <f>IF(B222="","",IF(S222="","",ROUND(S222*(1+W222),4)))</f>
        <v>0</v>
      </c>
      <c r="Y222" s="20">
        <f>IF(B222="","",IF(OR(M222="",S222=""),"",ROUND(M222*S222,2)))</f>
        <v>0</v>
      </c>
      <c r="Z222" s="32">
        <f>IF(B222="","",COUNTIFS('Material Usage'!$C$5:$C$904,A222))</f>
        <v>0</v>
      </c>
      <c r="AA222" s="36">
        <f>IF(B222="","",SUMIFS('Material Usage'!$K$5:$K$904,'Material Usage'!$C$5:$C$904,A222))</f>
        <v>0</v>
      </c>
      <c r="AB222" s="20">
        <f>IF(B222="","",ROUND(SUMIFS('Material Usage'!$M$5:$M$904,'Material Usage'!$C$5:$C$904,A222),2))</f>
        <v>0</v>
      </c>
      <c r="AC222" s="32">
        <f>IF(B222="","",IF(OR(M222="",AA222="",AA222&lt;=0),"",ROUNDDOWN(M222/AA222,0)))</f>
        <v>0</v>
      </c>
      <c r="AD222" s="33">
        <f>IF(B222="","",IF(OR(O222="",O222=0,I222=""),"",(I222-O222)/O222))</f>
        <v>0</v>
      </c>
      <c r="AE222" s="43">
        <f>IF(B222="","",IF(M222="","Not tracked",IF(M222&lt;=0,"Out of stock",IF(AND(N222&lt;&gt;"",M222&lt;=N222),"Low stock","In stock"))))</f>
        <v>0</v>
      </c>
      <c r="AF222" s="32">
        <f>IF(B222="","",COUNTIFS($AB$5:$AB$254,"&gt;"&amp;AB222)+COUNTIFS($AB$5:AB222,AB222))</f>
        <v>0</v>
      </c>
      <c r="AG222" s="43">
        <f>IF(B222="","",IF(I222="","Add - no price yet",IF(OR(G222="",G222=0),"Add - how much is in a pack?",IF(AE222="Out of stock","Order - none left",IF(AE222="Low stock","Order - running low",IF(AND(AD222&lt;&gt;"",AD222&gt;0.075),"Check - price jumped, re-price the products",IF(AND(P222&lt;&gt;"",TodayDate-P222&gt;365),"Check - price is over a year old","OK")))))))</f>
        <v>0</v>
      </c>
    </row>
    <row r="223" spans="1:33">
      <c r="A223" s="38">
        <f>IF(B223="","",MaterialPrefix&amp;TEXT(ROW()-4,"0000"))</f>
        <v>0</v>
      </c>
      <c r="R223" s="20">
        <f>IF(B223="","",IF(I223="","",ROUND(I223*(1-IF(K223="",0,K223))+IF(J223="",0,J223),2)))</f>
        <v>0</v>
      </c>
      <c r="S223" s="45">
        <f>IF(B223="","",IF(OR(R223="",G223="",G223=0),"",ROUND(R223/G223,4)))</f>
        <v>0</v>
      </c>
      <c r="T223" s="13">
        <f>IF(B223="","",IFERROR(INDEX(UnitBases,MATCH(H223,UnitNames,0)),""))</f>
        <v>0</v>
      </c>
      <c r="U223" s="41">
        <f>IF(B223="","",IFERROR(INDEX(UnitFactors,MATCH(H223,UnitNames,0)),""))</f>
        <v>0</v>
      </c>
      <c r="V223" s="45">
        <f>IF(B223="","",IF(OR(S223="",U223="",U223=0),"",ROUND(S223/U223,4)))</f>
        <v>0</v>
      </c>
      <c r="W223" s="33">
        <f>IF(B223="","",IF(L223="",DefaultWaste,L223))</f>
        <v>0</v>
      </c>
      <c r="X223" s="45">
        <f>IF(B223="","",IF(S223="","",ROUND(S223*(1+W223),4)))</f>
        <v>0</v>
      </c>
      <c r="Y223" s="20">
        <f>IF(B223="","",IF(OR(M223="",S223=""),"",ROUND(M223*S223,2)))</f>
        <v>0</v>
      </c>
      <c r="Z223" s="32">
        <f>IF(B223="","",COUNTIFS('Material Usage'!$C$5:$C$904,A223))</f>
        <v>0</v>
      </c>
      <c r="AA223" s="36">
        <f>IF(B223="","",SUMIFS('Material Usage'!$K$5:$K$904,'Material Usage'!$C$5:$C$904,A223))</f>
        <v>0</v>
      </c>
      <c r="AB223" s="20">
        <f>IF(B223="","",ROUND(SUMIFS('Material Usage'!$M$5:$M$904,'Material Usage'!$C$5:$C$904,A223),2))</f>
        <v>0</v>
      </c>
      <c r="AC223" s="32">
        <f>IF(B223="","",IF(OR(M223="",AA223="",AA223&lt;=0),"",ROUNDDOWN(M223/AA223,0)))</f>
        <v>0</v>
      </c>
      <c r="AD223" s="33">
        <f>IF(B223="","",IF(OR(O223="",O223=0,I223=""),"",(I223-O223)/O223))</f>
        <v>0</v>
      </c>
      <c r="AE223" s="43">
        <f>IF(B223="","",IF(M223="","Not tracked",IF(M223&lt;=0,"Out of stock",IF(AND(N223&lt;&gt;"",M223&lt;=N223),"Low stock","In stock"))))</f>
        <v>0</v>
      </c>
      <c r="AF223" s="32">
        <f>IF(B223="","",COUNTIFS($AB$5:$AB$254,"&gt;"&amp;AB223)+COUNTIFS($AB$5:AB223,AB223))</f>
        <v>0</v>
      </c>
      <c r="AG223" s="43">
        <f>IF(B223="","",IF(I223="","Add - no price yet",IF(OR(G223="",G223=0),"Add - how much is in a pack?",IF(AE223="Out of stock","Order - none left",IF(AE223="Low stock","Order - running low",IF(AND(AD223&lt;&gt;"",AD223&gt;0.075),"Check - price jumped, re-price the products",IF(AND(P223&lt;&gt;"",TodayDate-P223&gt;365),"Check - price is over a year old","OK")))))))</f>
        <v>0</v>
      </c>
    </row>
    <row r="224" spans="1:33">
      <c r="A224" s="38">
        <f>IF(B224="","",MaterialPrefix&amp;TEXT(ROW()-4,"0000"))</f>
        <v>0</v>
      </c>
      <c r="R224" s="20">
        <f>IF(B224="","",IF(I224="","",ROUND(I224*(1-IF(K224="",0,K224))+IF(J224="",0,J224),2)))</f>
        <v>0</v>
      </c>
      <c r="S224" s="45">
        <f>IF(B224="","",IF(OR(R224="",G224="",G224=0),"",ROUND(R224/G224,4)))</f>
        <v>0</v>
      </c>
      <c r="T224" s="13">
        <f>IF(B224="","",IFERROR(INDEX(UnitBases,MATCH(H224,UnitNames,0)),""))</f>
        <v>0</v>
      </c>
      <c r="U224" s="41">
        <f>IF(B224="","",IFERROR(INDEX(UnitFactors,MATCH(H224,UnitNames,0)),""))</f>
        <v>0</v>
      </c>
      <c r="V224" s="45">
        <f>IF(B224="","",IF(OR(S224="",U224="",U224=0),"",ROUND(S224/U224,4)))</f>
        <v>0</v>
      </c>
      <c r="W224" s="33">
        <f>IF(B224="","",IF(L224="",DefaultWaste,L224))</f>
        <v>0</v>
      </c>
      <c r="X224" s="45">
        <f>IF(B224="","",IF(S224="","",ROUND(S224*(1+W224),4)))</f>
        <v>0</v>
      </c>
      <c r="Y224" s="20">
        <f>IF(B224="","",IF(OR(M224="",S224=""),"",ROUND(M224*S224,2)))</f>
        <v>0</v>
      </c>
      <c r="Z224" s="32">
        <f>IF(B224="","",COUNTIFS('Material Usage'!$C$5:$C$904,A224))</f>
        <v>0</v>
      </c>
      <c r="AA224" s="36">
        <f>IF(B224="","",SUMIFS('Material Usage'!$K$5:$K$904,'Material Usage'!$C$5:$C$904,A224))</f>
        <v>0</v>
      </c>
      <c r="AB224" s="20">
        <f>IF(B224="","",ROUND(SUMIFS('Material Usage'!$M$5:$M$904,'Material Usage'!$C$5:$C$904,A224),2))</f>
        <v>0</v>
      </c>
      <c r="AC224" s="32">
        <f>IF(B224="","",IF(OR(M224="",AA224="",AA224&lt;=0),"",ROUNDDOWN(M224/AA224,0)))</f>
        <v>0</v>
      </c>
      <c r="AD224" s="33">
        <f>IF(B224="","",IF(OR(O224="",O224=0,I224=""),"",(I224-O224)/O224))</f>
        <v>0</v>
      </c>
      <c r="AE224" s="43">
        <f>IF(B224="","",IF(M224="","Not tracked",IF(M224&lt;=0,"Out of stock",IF(AND(N224&lt;&gt;"",M224&lt;=N224),"Low stock","In stock"))))</f>
        <v>0</v>
      </c>
      <c r="AF224" s="32">
        <f>IF(B224="","",COUNTIFS($AB$5:$AB$254,"&gt;"&amp;AB224)+COUNTIFS($AB$5:AB224,AB224))</f>
        <v>0</v>
      </c>
      <c r="AG224" s="43">
        <f>IF(B224="","",IF(I224="","Add - no price yet",IF(OR(G224="",G224=0),"Add - how much is in a pack?",IF(AE224="Out of stock","Order - none left",IF(AE224="Low stock","Order - running low",IF(AND(AD224&lt;&gt;"",AD224&gt;0.075),"Check - price jumped, re-price the products",IF(AND(P224&lt;&gt;"",TodayDate-P224&gt;365),"Check - price is over a year old","OK")))))))</f>
        <v>0</v>
      </c>
    </row>
    <row r="225" spans="1:33">
      <c r="A225" s="38">
        <f>IF(B225="","",MaterialPrefix&amp;TEXT(ROW()-4,"0000"))</f>
        <v>0</v>
      </c>
      <c r="R225" s="20">
        <f>IF(B225="","",IF(I225="","",ROUND(I225*(1-IF(K225="",0,K225))+IF(J225="",0,J225),2)))</f>
        <v>0</v>
      </c>
      <c r="S225" s="45">
        <f>IF(B225="","",IF(OR(R225="",G225="",G225=0),"",ROUND(R225/G225,4)))</f>
        <v>0</v>
      </c>
      <c r="T225" s="13">
        <f>IF(B225="","",IFERROR(INDEX(UnitBases,MATCH(H225,UnitNames,0)),""))</f>
        <v>0</v>
      </c>
      <c r="U225" s="41">
        <f>IF(B225="","",IFERROR(INDEX(UnitFactors,MATCH(H225,UnitNames,0)),""))</f>
        <v>0</v>
      </c>
      <c r="V225" s="45">
        <f>IF(B225="","",IF(OR(S225="",U225="",U225=0),"",ROUND(S225/U225,4)))</f>
        <v>0</v>
      </c>
      <c r="W225" s="33">
        <f>IF(B225="","",IF(L225="",DefaultWaste,L225))</f>
        <v>0</v>
      </c>
      <c r="X225" s="45">
        <f>IF(B225="","",IF(S225="","",ROUND(S225*(1+W225),4)))</f>
        <v>0</v>
      </c>
      <c r="Y225" s="20">
        <f>IF(B225="","",IF(OR(M225="",S225=""),"",ROUND(M225*S225,2)))</f>
        <v>0</v>
      </c>
      <c r="Z225" s="32">
        <f>IF(B225="","",COUNTIFS('Material Usage'!$C$5:$C$904,A225))</f>
        <v>0</v>
      </c>
      <c r="AA225" s="36">
        <f>IF(B225="","",SUMIFS('Material Usage'!$K$5:$K$904,'Material Usage'!$C$5:$C$904,A225))</f>
        <v>0</v>
      </c>
      <c r="AB225" s="20">
        <f>IF(B225="","",ROUND(SUMIFS('Material Usage'!$M$5:$M$904,'Material Usage'!$C$5:$C$904,A225),2))</f>
        <v>0</v>
      </c>
      <c r="AC225" s="32">
        <f>IF(B225="","",IF(OR(M225="",AA225="",AA225&lt;=0),"",ROUNDDOWN(M225/AA225,0)))</f>
        <v>0</v>
      </c>
      <c r="AD225" s="33">
        <f>IF(B225="","",IF(OR(O225="",O225=0,I225=""),"",(I225-O225)/O225))</f>
        <v>0</v>
      </c>
      <c r="AE225" s="43">
        <f>IF(B225="","",IF(M225="","Not tracked",IF(M225&lt;=0,"Out of stock",IF(AND(N225&lt;&gt;"",M225&lt;=N225),"Low stock","In stock"))))</f>
        <v>0</v>
      </c>
      <c r="AF225" s="32">
        <f>IF(B225="","",COUNTIFS($AB$5:$AB$254,"&gt;"&amp;AB225)+COUNTIFS($AB$5:AB225,AB225))</f>
        <v>0</v>
      </c>
      <c r="AG225" s="43">
        <f>IF(B225="","",IF(I225="","Add - no price yet",IF(OR(G225="",G225=0),"Add - how much is in a pack?",IF(AE225="Out of stock","Order - none left",IF(AE225="Low stock","Order - running low",IF(AND(AD225&lt;&gt;"",AD225&gt;0.075),"Check - price jumped, re-price the products",IF(AND(P225&lt;&gt;"",TodayDate-P225&gt;365),"Check - price is over a year old","OK")))))))</f>
        <v>0</v>
      </c>
    </row>
    <row r="226" spans="1:33">
      <c r="A226" s="38">
        <f>IF(B226="","",MaterialPrefix&amp;TEXT(ROW()-4,"0000"))</f>
        <v>0</v>
      </c>
      <c r="R226" s="20">
        <f>IF(B226="","",IF(I226="","",ROUND(I226*(1-IF(K226="",0,K226))+IF(J226="",0,J226),2)))</f>
        <v>0</v>
      </c>
      <c r="S226" s="45">
        <f>IF(B226="","",IF(OR(R226="",G226="",G226=0),"",ROUND(R226/G226,4)))</f>
        <v>0</v>
      </c>
      <c r="T226" s="13">
        <f>IF(B226="","",IFERROR(INDEX(UnitBases,MATCH(H226,UnitNames,0)),""))</f>
        <v>0</v>
      </c>
      <c r="U226" s="41">
        <f>IF(B226="","",IFERROR(INDEX(UnitFactors,MATCH(H226,UnitNames,0)),""))</f>
        <v>0</v>
      </c>
      <c r="V226" s="45">
        <f>IF(B226="","",IF(OR(S226="",U226="",U226=0),"",ROUND(S226/U226,4)))</f>
        <v>0</v>
      </c>
      <c r="W226" s="33">
        <f>IF(B226="","",IF(L226="",DefaultWaste,L226))</f>
        <v>0</v>
      </c>
      <c r="X226" s="45">
        <f>IF(B226="","",IF(S226="","",ROUND(S226*(1+W226),4)))</f>
        <v>0</v>
      </c>
      <c r="Y226" s="20">
        <f>IF(B226="","",IF(OR(M226="",S226=""),"",ROUND(M226*S226,2)))</f>
        <v>0</v>
      </c>
      <c r="Z226" s="32">
        <f>IF(B226="","",COUNTIFS('Material Usage'!$C$5:$C$904,A226))</f>
        <v>0</v>
      </c>
      <c r="AA226" s="36">
        <f>IF(B226="","",SUMIFS('Material Usage'!$K$5:$K$904,'Material Usage'!$C$5:$C$904,A226))</f>
        <v>0</v>
      </c>
      <c r="AB226" s="20">
        <f>IF(B226="","",ROUND(SUMIFS('Material Usage'!$M$5:$M$904,'Material Usage'!$C$5:$C$904,A226),2))</f>
        <v>0</v>
      </c>
      <c r="AC226" s="32">
        <f>IF(B226="","",IF(OR(M226="",AA226="",AA226&lt;=0),"",ROUNDDOWN(M226/AA226,0)))</f>
        <v>0</v>
      </c>
      <c r="AD226" s="33">
        <f>IF(B226="","",IF(OR(O226="",O226=0,I226=""),"",(I226-O226)/O226))</f>
        <v>0</v>
      </c>
      <c r="AE226" s="43">
        <f>IF(B226="","",IF(M226="","Not tracked",IF(M226&lt;=0,"Out of stock",IF(AND(N226&lt;&gt;"",M226&lt;=N226),"Low stock","In stock"))))</f>
        <v>0</v>
      </c>
      <c r="AF226" s="32">
        <f>IF(B226="","",COUNTIFS($AB$5:$AB$254,"&gt;"&amp;AB226)+COUNTIFS($AB$5:AB226,AB226))</f>
        <v>0</v>
      </c>
      <c r="AG226" s="43">
        <f>IF(B226="","",IF(I226="","Add - no price yet",IF(OR(G226="",G226=0),"Add - how much is in a pack?",IF(AE226="Out of stock","Order - none left",IF(AE226="Low stock","Order - running low",IF(AND(AD226&lt;&gt;"",AD226&gt;0.075),"Check - price jumped, re-price the products",IF(AND(P226&lt;&gt;"",TodayDate-P226&gt;365),"Check - price is over a year old","OK")))))))</f>
        <v>0</v>
      </c>
    </row>
    <row r="227" spans="1:33">
      <c r="A227" s="38">
        <f>IF(B227="","",MaterialPrefix&amp;TEXT(ROW()-4,"0000"))</f>
        <v>0</v>
      </c>
      <c r="R227" s="20">
        <f>IF(B227="","",IF(I227="","",ROUND(I227*(1-IF(K227="",0,K227))+IF(J227="",0,J227),2)))</f>
        <v>0</v>
      </c>
      <c r="S227" s="45">
        <f>IF(B227="","",IF(OR(R227="",G227="",G227=0),"",ROUND(R227/G227,4)))</f>
        <v>0</v>
      </c>
      <c r="T227" s="13">
        <f>IF(B227="","",IFERROR(INDEX(UnitBases,MATCH(H227,UnitNames,0)),""))</f>
        <v>0</v>
      </c>
      <c r="U227" s="41">
        <f>IF(B227="","",IFERROR(INDEX(UnitFactors,MATCH(H227,UnitNames,0)),""))</f>
        <v>0</v>
      </c>
      <c r="V227" s="45">
        <f>IF(B227="","",IF(OR(S227="",U227="",U227=0),"",ROUND(S227/U227,4)))</f>
        <v>0</v>
      </c>
      <c r="W227" s="33">
        <f>IF(B227="","",IF(L227="",DefaultWaste,L227))</f>
        <v>0</v>
      </c>
      <c r="X227" s="45">
        <f>IF(B227="","",IF(S227="","",ROUND(S227*(1+W227),4)))</f>
        <v>0</v>
      </c>
      <c r="Y227" s="20">
        <f>IF(B227="","",IF(OR(M227="",S227=""),"",ROUND(M227*S227,2)))</f>
        <v>0</v>
      </c>
      <c r="Z227" s="32">
        <f>IF(B227="","",COUNTIFS('Material Usage'!$C$5:$C$904,A227))</f>
        <v>0</v>
      </c>
      <c r="AA227" s="36">
        <f>IF(B227="","",SUMIFS('Material Usage'!$K$5:$K$904,'Material Usage'!$C$5:$C$904,A227))</f>
        <v>0</v>
      </c>
      <c r="AB227" s="20">
        <f>IF(B227="","",ROUND(SUMIFS('Material Usage'!$M$5:$M$904,'Material Usage'!$C$5:$C$904,A227),2))</f>
        <v>0</v>
      </c>
      <c r="AC227" s="32">
        <f>IF(B227="","",IF(OR(M227="",AA227="",AA227&lt;=0),"",ROUNDDOWN(M227/AA227,0)))</f>
        <v>0</v>
      </c>
      <c r="AD227" s="33">
        <f>IF(B227="","",IF(OR(O227="",O227=0,I227=""),"",(I227-O227)/O227))</f>
        <v>0</v>
      </c>
      <c r="AE227" s="43">
        <f>IF(B227="","",IF(M227="","Not tracked",IF(M227&lt;=0,"Out of stock",IF(AND(N227&lt;&gt;"",M227&lt;=N227),"Low stock","In stock"))))</f>
        <v>0</v>
      </c>
      <c r="AF227" s="32">
        <f>IF(B227="","",COUNTIFS($AB$5:$AB$254,"&gt;"&amp;AB227)+COUNTIFS($AB$5:AB227,AB227))</f>
        <v>0</v>
      </c>
      <c r="AG227" s="43">
        <f>IF(B227="","",IF(I227="","Add - no price yet",IF(OR(G227="",G227=0),"Add - how much is in a pack?",IF(AE227="Out of stock","Order - none left",IF(AE227="Low stock","Order - running low",IF(AND(AD227&lt;&gt;"",AD227&gt;0.075),"Check - price jumped, re-price the products",IF(AND(P227&lt;&gt;"",TodayDate-P227&gt;365),"Check - price is over a year old","OK")))))))</f>
        <v>0</v>
      </c>
    </row>
    <row r="228" spans="1:33">
      <c r="A228" s="38">
        <f>IF(B228="","",MaterialPrefix&amp;TEXT(ROW()-4,"0000"))</f>
        <v>0</v>
      </c>
      <c r="R228" s="20">
        <f>IF(B228="","",IF(I228="","",ROUND(I228*(1-IF(K228="",0,K228))+IF(J228="",0,J228),2)))</f>
        <v>0</v>
      </c>
      <c r="S228" s="45">
        <f>IF(B228="","",IF(OR(R228="",G228="",G228=0),"",ROUND(R228/G228,4)))</f>
        <v>0</v>
      </c>
      <c r="T228" s="13">
        <f>IF(B228="","",IFERROR(INDEX(UnitBases,MATCH(H228,UnitNames,0)),""))</f>
        <v>0</v>
      </c>
      <c r="U228" s="41">
        <f>IF(B228="","",IFERROR(INDEX(UnitFactors,MATCH(H228,UnitNames,0)),""))</f>
        <v>0</v>
      </c>
      <c r="V228" s="45">
        <f>IF(B228="","",IF(OR(S228="",U228="",U228=0),"",ROUND(S228/U228,4)))</f>
        <v>0</v>
      </c>
      <c r="W228" s="33">
        <f>IF(B228="","",IF(L228="",DefaultWaste,L228))</f>
        <v>0</v>
      </c>
      <c r="X228" s="45">
        <f>IF(B228="","",IF(S228="","",ROUND(S228*(1+W228),4)))</f>
        <v>0</v>
      </c>
      <c r="Y228" s="20">
        <f>IF(B228="","",IF(OR(M228="",S228=""),"",ROUND(M228*S228,2)))</f>
        <v>0</v>
      </c>
      <c r="Z228" s="32">
        <f>IF(B228="","",COUNTIFS('Material Usage'!$C$5:$C$904,A228))</f>
        <v>0</v>
      </c>
      <c r="AA228" s="36">
        <f>IF(B228="","",SUMIFS('Material Usage'!$K$5:$K$904,'Material Usage'!$C$5:$C$904,A228))</f>
        <v>0</v>
      </c>
      <c r="AB228" s="20">
        <f>IF(B228="","",ROUND(SUMIFS('Material Usage'!$M$5:$M$904,'Material Usage'!$C$5:$C$904,A228),2))</f>
        <v>0</v>
      </c>
      <c r="AC228" s="32">
        <f>IF(B228="","",IF(OR(M228="",AA228="",AA228&lt;=0),"",ROUNDDOWN(M228/AA228,0)))</f>
        <v>0</v>
      </c>
      <c r="AD228" s="33">
        <f>IF(B228="","",IF(OR(O228="",O228=0,I228=""),"",(I228-O228)/O228))</f>
        <v>0</v>
      </c>
      <c r="AE228" s="43">
        <f>IF(B228="","",IF(M228="","Not tracked",IF(M228&lt;=0,"Out of stock",IF(AND(N228&lt;&gt;"",M228&lt;=N228),"Low stock","In stock"))))</f>
        <v>0</v>
      </c>
      <c r="AF228" s="32">
        <f>IF(B228="","",COUNTIFS($AB$5:$AB$254,"&gt;"&amp;AB228)+COUNTIFS($AB$5:AB228,AB228))</f>
        <v>0</v>
      </c>
      <c r="AG228" s="43">
        <f>IF(B228="","",IF(I228="","Add - no price yet",IF(OR(G228="",G228=0),"Add - how much is in a pack?",IF(AE228="Out of stock","Order - none left",IF(AE228="Low stock","Order - running low",IF(AND(AD228&lt;&gt;"",AD228&gt;0.075),"Check - price jumped, re-price the products",IF(AND(P228&lt;&gt;"",TodayDate-P228&gt;365),"Check - price is over a year old","OK")))))))</f>
        <v>0</v>
      </c>
    </row>
    <row r="229" spans="1:33">
      <c r="A229" s="38">
        <f>IF(B229="","",MaterialPrefix&amp;TEXT(ROW()-4,"0000"))</f>
        <v>0</v>
      </c>
      <c r="R229" s="20">
        <f>IF(B229="","",IF(I229="","",ROUND(I229*(1-IF(K229="",0,K229))+IF(J229="",0,J229),2)))</f>
        <v>0</v>
      </c>
      <c r="S229" s="45">
        <f>IF(B229="","",IF(OR(R229="",G229="",G229=0),"",ROUND(R229/G229,4)))</f>
        <v>0</v>
      </c>
      <c r="T229" s="13">
        <f>IF(B229="","",IFERROR(INDEX(UnitBases,MATCH(H229,UnitNames,0)),""))</f>
        <v>0</v>
      </c>
      <c r="U229" s="41">
        <f>IF(B229="","",IFERROR(INDEX(UnitFactors,MATCH(H229,UnitNames,0)),""))</f>
        <v>0</v>
      </c>
      <c r="V229" s="45">
        <f>IF(B229="","",IF(OR(S229="",U229="",U229=0),"",ROUND(S229/U229,4)))</f>
        <v>0</v>
      </c>
      <c r="W229" s="33">
        <f>IF(B229="","",IF(L229="",DefaultWaste,L229))</f>
        <v>0</v>
      </c>
      <c r="X229" s="45">
        <f>IF(B229="","",IF(S229="","",ROUND(S229*(1+W229),4)))</f>
        <v>0</v>
      </c>
      <c r="Y229" s="20">
        <f>IF(B229="","",IF(OR(M229="",S229=""),"",ROUND(M229*S229,2)))</f>
        <v>0</v>
      </c>
      <c r="Z229" s="32">
        <f>IF(B229="","",COUNTIFS('Material Usage'!$C$5:$C$904,A229))</f>
        <v>0</v>
      </c>
      <c r="AA229" s="36">
        <f>IF(B229="","",SUMIFS('Material Usage'!$K$5:$K$904,'Material Usage'!$C$5:$C$904,A229))</f>
        <v>0</v>
      </c>
      <c r="AB229" s="20">
        <f>IF(B229="","",ROUND(SUMIFS('Material Usage'!$M$5:$M$904,'Material Usage'!$C$5:$C$904,A229),2))</f>
        <v>0</v>
      </c>
      <c r="AC229" s="32">
        <f>IF(B229="","",IF(OR(M229="",AA229="",AA229&lt;=0),"",ROUNDDOWN(M229/AA229,0)))</f>
        <v>0</v>
      </c>
      <c r="AD229" s="33">
        <f>IF(B229="","",IF(OR(O229="",O229=0,I229=""),"",(I229-O229)/O229))</f>
        <v>0</v>
      </c>
      <c r="AE229" s="43">
        <f>IF(B229="","",IF(M229="","Not tracked",IF(M229&lt;=0,"Out of stock",IF(AND(N229&lt;&gt;"",M229&lt;=N229),"Low stock","In stock"))))</f>
        <v>0</v>
      </c>
      <c r="AF229" s="32">
        <f>IF(B229="","",COUNTIFS($AB$5:$AB$254,"&gt;"&amp;AB229)+COUNTIFS($AB$5:AB229,AB229))</f>
        <v>0</v>
      </c>
      <c r="AG229" s="43">
        <f>IF(B229="","",IF(I229="","Add - no price yet",IF(OR(G229="",G229=0),"Add - how much is in a pack?",IF(AE229="Out of stock","Order - none left",IF(AE229="Low stock","Order - running low",IF(AND(AD229&lt;&gt;"",AD229&gt;0.075),"Check - price jumped, re-price the products",IF(AND(P229&lt;&gt;"",TodayDate-P229&gt;365),"Check - price is over a year old","OK")))))))</f>
        <v>0</v>
      </c>
    </row>
    <row r="230" spans="1:33">
      <c r="A230" s="38">
        <f>IF(B230="","",MaterialPrefix&amp;TEXT(ROW()-4,"0000"))</f>
        <v>0</v>
      </c>
      <c r="R230" s="20">
        <f>IF(B230="","",IF(I230="","",ROUND(I230*(1-IF(K230="",0,K230))+IF(J230="",0,J230),2)))</f>
        <v>0</v>
      </c>
      <c r="S230" s="45">
        <f>IF(B230="","",IF(OR(R230="",G230="",G230=0),"",ROUND(R230/G230,4)))</f>
        <v>0</v>
      </c>
      <c r="T230" s="13">
        <f>IF(B230="","",IFERROR(INDEX(UnitBases,MATCH(H230,UnitNames,0)),""))</f>
        <v>0</v>
      </c>
      <c r="U230" s="41">
        <f>IF(B230="","",IFERROR(INDEX(UnitFactors,MATCH(H230,UnitNames,0)),""))</f>
        <v>0</v>
      </c>
      <c r="V230" s="45">
        <f>IF(B230="","",IF(OR(S230="",U230="",U230=0),"",ROUND(S230/U230,4)))</f>
        <v>0</v>
      </c>
      <c r="W230" s="33">
        <f>IF(B230="","",IF(L230="",DefaultWaste,L230))</f>
        <v>0</v>
      </c>
      <c r="X230" s="45">
        <f>IF(B230="","",IF(S230="","",ROUND(S230*(1+W230),4)))</f>
        <v>0</v>
      </c>
      <c r="Y230" s="20">
        <f>IF(B230="","",IF(OR(M230="",S230=""),"",ROUND(M230*S230,2)))</f>
        <v>0</v>
      </c>
      <c r="Z230" s="32">
        <f>IF(B230="","",COUNTIFS('Material Usage'!$C$5:$C$904,A230))</f>
        <v>0</v>
      </c>
      <c r="AA230" s="36">
        <f>IF(B230="","",SUMIFS('Material Usage'!$K$5:$K$904,'Material Usage'!$C$5:$C$904,A230))</f>
        <v>0</v>
      </c>
      <c r="AB230" s="20">
        <f>IF(B230="","",ROUND(SUMIFS('Material Usage'!$M$5:$M$904,'Material Usage'!$C$5:$C$904,A230),2))</f>
        <v>0</v>
      </c>
      <c r="AC230" s="32">
        <f>IF(B230="","",IF(OR(M230="",AA230="",AA230&lt;=0),"",ROUNDDOWN(M230/AA230,0)))</f>
        <v>0</v>
      </c>
      <c r="AD230" s="33">
        <f>IF(B230="","",IF(OR(O230="",O230=0,I230=""),"",(I230-O230)/O230))</f>
        <v>0</v>
      </c>
      <c r="AE230" s="43">
        <f>IF(B230="","",IF(M230="","Not tracked",IF(M230&lt;=0,"Out of stock",IF(AND(N230&lt;&gt;"",M230&lt;=N230),"Low stock","In stock"))))</f>
        <v>0</v>
      </c>
      <c r="AF230" s="32">
        <f>IF(B230="","",COUNTIFS($AB$5:$AB$254,"&gt;"&amp;AB230)+COUNTIFS($AB$5:AB230,AB230))</f>
        <v>0</v>
      </c>
      <c r="AG230" s="43">
        <f>IF(B230="","",IF(I230="","Add - no price yet",IF(OR(G230="",G230=0),"Add - how much is in a pack?",IF(AE230="Out of stock","Order - none left",IF(AE230="Low stock","Order - running low",IF(AND(AD230&lt;&gt;"",AD230&gt;0.075),"Check - price jumped, re-price the products",IF(AND(P230&lt;&gt;"",TodayDate-P230&gt;365),"Check - price is over a year old","OK")))))))</f>
        <v>0</v>
      </c>
    </row>
    <row r="231" spans="1:33">
      <c r="A231" s="38">
        <f>IF(B231="","",MaterialPrefix&amp;TEXT(ROW()-4,"0000"))</f>
        <v>0</v>
      </c>
      <c r="R231" s="20">
        <f>IF(B231="","",IF(I231="","",ROUND(I231*(1-IF(K231="",0,K231))+IF(J231="",0,J231),2)))</f>
        <v>0</v>
      </c>
      <c r="S231" s="45">
        <f>IF(B231="","",IF(OR(R231="",G231="",G231=0),"",ROUND(R231/G231,4)))</f>
        <v>0</v>
      </c>
      <c r="T231" s="13">
        <f>IF(B231="","",IFERROR(INDEX(UnitBases,MATCH(H231,UnitNames,0)),""))</f>
        <v>0</v>
      </c>
      <c r="U231" s="41">
        <f>IF(B231="","",IFERROR(INDEX(UnitFactors,MATCH(H231,UnitNames,0)),""))</f>
        <v>0</v>
      </c>
      <c r="V231" s="45">
        <f>IF(B231="","",IF(OR(S231="",U231="",U231=0),"",ROUND(S231/U231,4)))</f>
        <v>0</v>
      </c>
      <c r="W231" s="33">
        <f>IF(B231="","",IF(L231="",DefaultWaste,L231))</f>
        <v>0</v>
      </c>
      <c r="X231" s="45">
        <f>IF(B231="","",IF(S231="","",ROUND(S231*(1+W231),4)))</f>
        <v>0</v>
      </c>
      <c r="Y231" s="20">
        <f>IF(B231="","",IF(OR(M231="",S231=""),"",ROUND(M231*S231,2)))</f>
        <v>0</v>
      </c>
      <c r="Z231" s="32">
        <f>IF(B231="","",COUNTIFS('Material Usage'!$C$5:$C$904,A231))</f>
        <v>0</v>
      </c>
      <c r="AA231" s="36">
        <f>IF(B231="","",SUMIFS('Material Usage'!$K$5:$K$904,'Material Usage'!$C$5:$C$904,A231))</f>
        <v>0</v>
      </c>
      <c r="AB231" s="20">
        <f>IF(B231="","",ROUND(SUMIFS('Material Usage'!$M$5:$M$904,'Material Usage'!$C$5:$C$904,A231),2))</f>
        <v>0</v>
      </c>
      <c r="AC231" s="32">
        <f>IF(B231="","",IF(OR(M231="",AA231="",AA231&lt;=0),"",ROUNDDOWN(M231/AA231,0)))</f>
        <v>0</v>
      </c>
      <c r="AD231" s="33">
        <f>IF(B231="","",IF(OR(O231="",O231=0,I231=""),"",(I231-O231)/O231))</f>
        <v>0</v>
      </c>
      <c r="AE231" s="43">
        <f>IF(B231="","",IF(M231="","Not tracked",IF(M231&lt;=0,"Out of stock",IF(AND(N231&lt;&gt;"",M231&lt;=N231),"Low stock","In stock"))))</f>
        <v>0</v>
      </c>
      <c r="AF231" s="32">
        <f>IF(B231="","",COUNTIFS($AB$5:$AB$254,"&gt;"&amp;AB231)+COUNTIFS($AB$5:AB231,AB231))</f>
        <v>0</v>
      </c>
      <c r="AG231" s="43">
        <f>IF(B231="","",IF(I231="","Add - no price yet",IF(OR(G231="",G231=0),"Add - how much is in a pack?",IF(AE231="Out of stock","Order - none left",IF(AE231="Low stock","Order - running low",IF(AND(AD231&lt;&gt;"",AD231&gt;0.075),"Check - price jumped, re-price the products",IF(AND(P231&lt;&gt;"",TodayDate-P231&gt;365),"Check - price is over a year old","OK")))))))</f>
        <v>0</v>
      </c>
    </row>
    <row r="232" spans="1:33">
      <c r="A232" s="38">
        <f>IF(B232="","",MaterialPrefix&amp;TEXT(ROW()-4,"0000"))</f>
        <v>0</v>
      </c>
      <c r="R232" s="20">
        <f>IF(B232="","",IF(I232="","",ROUND(I232*(1-IF(K232="",0,K232))+IF(J232="",0,J232),2)))</f>
        <v>0</v>
      </c>
      <c r="S232" s="45">
        <f>IF(B232="","",IF(OR(R232="",G232="",G232=0),"",ROUND(R232/G232,4)))</f>
        <v>0</v>
      </c>
      <c r="T232" s="13">
        <f>IF(B232="","",IFERROR(INDEX(UnitBases,MATCH(H232,UnitNames,0)),""))</f>
        <v>0</v>
      </c>
      <c r="U232" s="41">
        <f>IF(B232="","",IFERROR(INDEX(UnitFactors,MATCH(H232,UnitNames,0)),""))</f>
        <v>0</v>
      </c>
      <c r="V232" s="45">
        <f>IF(B232="","",IF(OR(S232="",U232="",U232=0),"",ROUND(S232/U232,4)))</f>
        <v>0</v>
      </c>
      <c r="W232" s="33">
        <f>IF(B232="","",IF(L232="",DefaultWaste,L232))</f>
        <v>0</v>
      </c>
      <c r="X232" s="45">
        <f>IF(B232="","",IF(S232="","",ROUND(S232*(1+W232),4)))</f>
        <v>0</v>
      </c>
      <c r="Y232" s="20">
        <f>IF(B232="","",IF(OR(M232="",S232=""),"",ROUND(M232*S232,2)))</f>
        <v>0</v>
      </c>
      <c r="Z232" s="32">
        <f>IF(B232="","",COUNTIFS('Material Usage'!$C$5:$C$904,A232))</f>
        <v>0</v>
      </c>
      <c r="AA232" s="36">
        <f>IF(B232="","",SUMIFS('Material Usage'!$K$5:$K$904,'Material Usage'!$C$5:$C$904,A232))</f>
        <v>0</v>
      </c>
      <c r="AB232" s="20">
        <f>IF(B232="","",ROUND(SUMIFS('Material Usage'!$M$5:$M$904,'Material Usage'!$C$5:$C$904,A232),2))</f>
        <v>0</v>
      </c>
      <c r="AC232" s="32">
        <f>IF(B232="","",IF(OR(M232="",AA232="",AA232&lt;=0),"",ROUNDDOWN(M232/AA232,0)))</f>
        <v>0</v>
      </c>
      <c r="AD232" s="33">
        <f>IF(B232="","",IF(OR(O232="",O232=0,I232=""),"",(I232-O232)/O232))</f>
        <v>0</v>
      </c>
      <c r="AE232" s="43">
        <f>IF(B232="","",IF(M232="","Not tracked",IF(M232&lt;=0,"Out of stock",IF(AND(N232&lt;&gt;"",M232&lt;=N232),"Low stock","In stock"))))</f>
        <v>0</v>
      </c>
      <c r="AF232" s="32">
        <f>IF(B232="","",COUNTIFS($AB$5:$AB$254,"&gt;"&amp;AB232)+COUNTIFS($AB$5:AB232,AB232))</f>
        <v>0</v>
      </c>
      <c r="AG232" s="43">
        <f>IF(B232="","",IF(I232="","Add - no price yet",IF(OR(G232="",G232=0),"Add - how much is in a pack?",IF(AE232="Out of stock","Order - none left",IF(AE232="Low stock","Order - running low",IF(AND(AD232&lt;&gt;"",AD232&gt;0.075),"Check - price jumped, re-price the products",IF(AND(P232&lt;&gt;"",TodayDate-P232&gt;365),"Check - price is over a year old","OK")))))))</f>
        <v>0</v>
      </c>
    </row>
    <row r="233" spans="1:33">
      <c r="A233" s="38">
        <f>IF(B233="","",MaterialPrefix&amp;TEXT(ROW()-4,"0000"))</f>
        <v>0</v>
      </c>
      <c r="R233" s="20">
        <f>IF(B233="","",IF(I233="","",ROUND(I233*(1-IF(K233="",0,K233))+IF(J233="",0,J233),2)))</f>
        <v>0</v>
      </c>
      <c r="S233" s="45">
        <f>IF(B233="","",IF(OR(R233="",G233="",G233=0),"",ROUND(R233/G233,4)))</f>
        <v>0</v>
      </c>
      <c r="T233" s="13">
        <f>IF(B233="","",IFERROR(INDEX(UnitBases,MATCH(H233,UnitNames,0)),""))</f>
        <v>0</v>
      </c>
      <c r="U233" s="41">
        <f>IF(B233="","",IFERROR(INDEX(UnitFactors,MATCH(H233,UnitNames,0)),""))</f>
        <v>0</v>
      </c>
      <c r="V233" s="45">
        <f>IF(B233="","",IF(OR(S233="",U233="",U233=0),"",ROUND(S233/U233,4)))</f>
        <v>0</v>
      </c>
      <c r="W233" s="33">
        <f>IF(B233="","",IF(L233="",DefaultWaste,L233))</f>
        <v>0</v>
      </c>
      <c r="X233" s="45">
        <f>IF(B233="","",IF(S233="","",ROUND(S233*(1+W233),4)))</f>
        <v>0</v>
      </c>
      <c r="Y233" s="20">
        <f>IF(B233="","",IF(OR(M233="",S233=""),"",ROUND(M233*S233,2)))</f>
        <v>0</v>
      </c>
      <c r="Z233" s="32">
        <f>IF(B233="","",COUNTIFS('Material Usage'!$C$5:$C$904,A233))</f>
        <v>0</v>
      </c>
      <c r="AA233" s="36">
        <f>IF(B233="","",SUMIFS('Material Usage'!$K$5:$K$904,'Material Usage'!$C$5:$C$904,A233))</f>
        <v>0</v>
      </c>
      <c r="AB233" s="20">
        <f>IF(B233="","",ROUND(SUMIFS('Material Usage'!$M$5:$M$904,'Material Usage'!$C$5:$C$904,A233),2))</f>
        <v>0</v>
      </c>
      <c r="AC233" s="32">
        <f>IF(B233="","",IF(OR(M233="",AA233="",AA233&lt;=0),"",ROUNDDOWN(M233/AA233,0)))</f>
        <v>0</v>
      </c>
      <c r="AD233" s="33">
        <f>IF(B233="","",IF(OR(O233="",O233=0,I233=""),"",(I233-O233)/O233))</f>
        <v>0</v>
      </c>
      <c r="AE233" s="43">
        <f>IF(B233="","",IF(M233="","Not tracked",IF(M233&lt;=0,"Out of stock",IF(AND(N233&lt;&gt;"",M233&lt;=N233),"Low stock","In stock"))))</f>
        <v>0</v>
      </c>
      <c r="AF233" s="32">
        <f>IF(B233="","",COUNTIFS($AB$5:$AB$254,"&gt;"&amp;AB233)+COUNTIFS($AB$5:AB233,AB233))</f>
        <v>0</v>
      </c>
      <c r="AG233" s="43">
        <f>IF(B233="","",IF(I233="","Add - no price yet",IF(OR(G233="",G233=0),"Add - how much is in a pack?",IF(AE233="Out of stock","Order - none left",IF(AE233="Low stock","Order - running low",IF(AND(AD233&lt;&gt;"",AD233&gt;0.075),"Check - price jumped, re-price the products",IF(AND(P233&lt;&gt;"",TodayDate-P233&gt;365),"Check - price is over a year old","OK")))))))</f>
        <v>0</v>
      </c>
    </row>
    <row r="234" spans="1:33">
      <c r="A234" s="38">
        <f>IF(B234="","",MaterialPrefix&amp;TEXT(ROW()-4,"0000"))</f>
        <v>0</v>
      </c>
      <c r="R234" s="20">
        <f>IF(B234="","",IF(I234="","",ROUND(I234*(1-IF(K234="",0,K234))+IF(J234="",0,J234),2)))</f>
        <v>0</v>
      </c>
      <c r="S234" s="45">
        <f>IF(B234="","",IF(OR(R234="",G234="",G234=0),"",ROUND(R234/G234,4)))</f>
        <v>0</v>
      </c>
      <c r="T234" s="13">
        <f>IF(B234="","",IFERROR(INDEX(UnitBases,MATCH(H234,UnitNames,0)),""))</f>
        <v>0</v>
      </c>
      <c r="U234" s="41">
        <f>IF(B234="","",IFERROR(INDEX(UnitFactors,MATCH(H234,UnitNames,0)),""))</f>
        <v>0</v>
      </c>
      <c r="V234" s="45">
        <f>IF(B234="","",IF(OR(S234="",U234="",U234=0),"",ROUND(S234/U234,4)))</f>
        <v>0</v>
      </c>
      <c r="W234" s="33">
        <f>IF(B234="","",IF(L234="",DefaultWaste,L234))</f>
        <v>0</v>
      </c>
      <c r="X234" s="45">
        <f>IF(B234="","",IF(S234="","",ROUND(S234*(1+W234),4)))</f>
        <v>0</v>
      </c>
      <c r="Y234" s="20">
        <f>IF(B234="","",IF(OR(M234="",S234=""),"",ROUND(M234*S234,2)))</f>
        <v>0</v>
      </c>
      <c r="Z234" s="32">
        <f>IF(B234="","",COUNTIFS('Material Usage'!$C$5:$C$904,A234))</f>
        <v>0</v>
      </c>
      <c r="AA234" s="36">
        <f>IF(B234="","",SUMIFS('Material Usage'!$K$5:$K$904,'Material Usage'!$C$5:$C$904,A234))</f>
        <v>0</v>
      </c>
      <c r="AB234" s="20">
        <f>IF(B234="","",ROUND(SUMIFS('Material Usage'!$M$5:$M$904,'Material Usage'!$C$5:$C$904,A234),2))</f>
        <v>0</v>
      </c>
      <c r="AC234" s="32">
        <f>IF(B234="","",IF(OR(M234="",AA234="",AA234&lt;=0),"",ROUNDDOWN(M234/AA234,0)))</f>
        <v>0</v>
      </c>
      <c r="AD234" s="33">
        <f>IF(B234="","",IF(OR(O234="",O234=0,I234=""),"",(I234-O234)/O234))</f>
        <v>0</v>
      </c>
      <c r="AE234" s="43">
        <f>IF(B234="","",IF(M234="","Not tracked",IF(M234&lt;=0,"Out of stock",IF(AND(N234&lt;&gt;"",M234&lt;=N234),"Low stock","In stock"))))</f>
        <v>0</v>
      </c>
      <c r="AF234" s="32">
        <f>IF(B234="","",COUNTIFS($AB$5:$AB$254,"&gt;"&amp;AB234)+COUNTIFS($AB$5:AB234,AB234))</f>
        <v>0</v>
      </c>
      <c r="AG234" s="43">
        <f>IF(B234="","",IF(I234="","Add - no price yet",IF(OR(G234="",G234=0),"Add - how much is in a pack?",IF(AE234="Out of stock","Order - none left",IF(AE234="Low stock","Order - running low",IF(AND(AD234&lt;&gt;"",AD234&gt;0.075),"Check - price jumped, re-price the products",IF(AND(P234&lt;&gt;"",TodayDate-P234&gt;365),"Check - price is over a year old","OK")))))))</f>
        <v>0</v>
      </c>
    </row>
    <row r="235" spans="1:33">
      <c r="A235" s="38">
        <f>IF(B235="","",MaterialPrefix&amp;TEXT(ROW()-4,"0000"))</f>
        <v>0</v>
      </c>
      <c r="R235" s="20">
        <f>IF(B235="","",IF(I235="","",ROUND(I235*(1-IF(K235="",0,K235))+IF(J235="",0,J235),2)))</f>
        <v>0</v>
      </c>
      <c r="S235" s="45">
        <f>IF(B235="","",IF(OR(R235="",G235="",G235=0),"",ROUND(R235/G235,4)))</f>
        <v>0</v>
      </c>
      <c r="T235" s="13">
        <f>IF(B235="","",IFERROR(INDEX(UnitBases,MATCH(H235,UnitNames,0)),""))</f>
        <v>0</v>
      </c>
      <c r="U235" s="41">
        <f>IF(B235="","",IFERROR(INDEX(UnitFactors,MATCH(H235,UnitNames,0)),""))</f>
        <v>0</v>
      </c>
      <c r="V235" s="45">
        <f>IF(B235="","",IF(OR(S235="",U235="",U235=0),"",ROUND(S235/U235,4)))</f>
        <v>0</v>
      </c>
      <c r="W235" s="33">
        <f>IF(B235="","",IF(L235="",DefaultWaste,L235))</f>
        <v>0</v>
      </c>
      <c r="X235" s="45">
        <f>IF(B235="","",IF(S235="","",ROUND(S235*(1+W235),4)))</f>
        <v>0</v>
      </c>
      <c r="Y235" s="20">
        <f>IF(B235="","",IF(OR(M235="",S235=""),"",ROUND(M235*S235,2)))</f>
        <v>0</v>
      </c>
      <c r="Z235" s="32">
        <f>IF(B235="","",COUNTIFS('Material Usage'!$C$5:$C$904,A235))</f>
        <v>0</v>
      </c>
      <c r="AA235" s="36">
        <f>IF(B235="","",SUMIFS('Material Usage'!$K$5:$K$904,'Material Usage'!$C$5:$C$904,A235))</f>
        <v>0</v>
      </c>
      <c r="AB235" s="20">
        <f>IF(B235="","",ROUND(SUMIFS('Material Usage'!$M$5:$M$904,'Material Usage'!$C$5:$C$904,A235),2))</f>
        <v>0</v>
      </c>
      <c r="AC235" s="32">
        <f>IF(B235="","",IF(OR(M235="",AA235="",AA235&lt;=0),"",ROUNDDOWN(M235/AA235,0)))</f>
        <v>0</v>
      </c>
      <c r="AD235" s="33">
        <f>IF(B235="","",IF(OR(O235="",O235=0,I235=""),"",(I235-O235)/O235))</f>
        <v>0</v>
      </c>
      <c r="AE235" s="43">
        <f>IF(B235="","",IF(M235="","Not tracked",IF(M235&lt;=0,"Out of stock",IF(AND(N235&lt;&gt;"",M235&lt;=N235),"Low stock","In stock"))))</f>
        <v>0</v>
      </c>
      <c r="AF235" s="32">
        <f>IF(B235="","",COUNTIFS($AB$5:$AB$254,"&gt;"&amp;AB235)+COUNTIFS($AB$5:AB235,AB235))</f>
        <v>0</v>
      </c>
      <c r="AG235" s="43">
        <f>IF(B235="","",IF(I235="","Add - no price yet",IF(OR(G235="",G235=0),"Add - how much is in a pack?",IF(AE235="Out of stock","Order - none left",IF(AE235="Low stock","Order - running low",IF(AND(AD235&lt;&gt;"",AD235&gt;0.075),"Check - price jumped, re-price the products",IF(AND(P235&lt;&gt;"",TodayDate-P235&gt;365),"Check - price is over a year old","OK")))))))</f>
        <v>0</v>
      </c>
    </row>
    <row r="236" spans="1:33">
      <c r="A236" s="38">
        <f>IF(B236="","",MaterialPrefix&amp;TEXT(ROW()-4,"0000"))</f>
        <v>0</v>
      </c>
      <c r="R236" s="20">
        <f>IF(B236="","",IF(I236="","",ROUND(I236*(1-IF(K236="",0,K236))+IF(J236="",0,J236),2)))</f>
        <v>0</v>
      </c>
      <c r="S236" s="45">
        <f>IF(B236="","",IF(OR(R236="",G236="",G236=0),"",ROUND(R236/G236,4)))</f>
        <v>0</v>
      </c>
      <c r="T236" s="13">
        <f>IF(B236="","",IFERROR(INDEX(UnitBases,MATCH(H236,UnitNames,0)),""))</f>
        <v>0</v>
      </c>
      <c r="U236" s="41">
        <f>IF(B236="","",IFERROR(INDEX(UnitFactors,MATCH(H236,UnitNames,0)),""))</f>
        <v>0</v>
      </c>
      <c r="V236" s="45">
        <f>IF(B236="","",IF(OR(S236="",U236="",U236=0),"",ROUND(S236/U236,4)))</f>
        <v>0</v>
      </c>
      <c r="W236" s="33">
        <f>IF(B236="","",IF(L236="",DefaultWaste,L236))</f>
        <v>0</v>
      </c>
      <c r="X236" s="45">
        <f>IF(B236="","",IF(S236="","",ROUND(S236*(1+W236),4)))</f>
        <v>0</v>
      </c>
      <c r="Y236" s="20">
        <f>IF(B236="","",IF(OR(M236="",S236=""),"",ROUND(M236*S236,2)))</f>
        <v>0</v>
      </c>
      <c r="Z236" s="32">
        <f>IF(B236="","",COUNTIFS('Material Usage'!$C$5:$C$904,A236))</f>
        <v>0</v>
      </c>
      <c r="AA236" s="36">
        <f>IF(B236="","",SUMIFS('Material Usage'!$K$5:$K$904,'Material Usage'!$C$5:$C$904,A236))</f>
        <v>0</v>
      </c>
      <c r="AB236" s="20">
        <f>IF(B236="","",ROUND(SUMIFS('Material Usage'!$M$5:$M$904,'Material Usage'!$C$5:$C$904,A236),2))</f>
        <v>0</v>
      </c>
      <c r="AC236" s="32">
        <f>IF(B236="","",IF(OR(M236="",AA236="",AA236&lt;=0),"",ROUNDDOWN(M236/AA236,0)))</f>
        <v>0</v>
      </c>
      <c r="AD236" s="33">
        <f>IF(B236="","",IF(OR(O236="",O236=0,I236=""),"",(I236-O236)/O236))</f>
        <v>0</v>
      </c>
      <c r="AE236" s="43">
        <f>IF(B236="","",IF(M236="","Not tracked",IF(M236&lt;=0,"Out of stock",IF(AND(N236&lt;&gt;"",M236&lt;=N236),"Low stock","In stock"))))</f>
        <v>0</v>
      </c>
      <c r="AF236" s="32">
        <f>IF(B236="","",COUNTIFS($AB$5:$AB$254,"&gt;"&amp;AB236)+COUNTIFS($AB$5:AB236,AB236))</f>
        <v>0</v>
      </c>
      <c r="AG236" s="43">
        <f>IF(B236="","",IF(I236="","Add - no price yet",IF(OR(G236="",G236=0),"Add - how much is in a pack?",IF(AE236="Out of stock","Order - none left",IF(AE236="Low stock","Order - running low",IF(AND(AD236&lt;&gt;"",AD236&gt;0.075),"Check - price jumped, re-price the products",IF(AND(P236&lt;&gt;"",TodayDate-P236&gt;365),"Check - price is over a year old","OK")))))))</f>
        <v>0</v>
      </c>
    </row>
    <row r="237" spans="1:33">
      <c r="A237" s="38">
        <f>IF(B237="","",MaterialPrefix&amp;TEXT(ROW()-4,"0000"))</f>
        <v>0</v>
      </c>
      <c r="R237" s="20">
        <f>IF(B237="","",IF(I237="","",ROUND(I237*(1-IF(K237="",0,K237))+IF(J237="",0,J237),2)))</f>
        <v>0</v>
      </c>
      <c r="S237" s="45">
        <f>IF(B237="","",IF(OR(R237="",G237="",G237=0),"",ROUND(R237/G237,4)))</f>
        <v>0</v>
      </c>
      <c r="T237" s="13">
        <f>IF(B237="","",IFERROR(INDEX(UnitBases,MATCH(H237,UnitNames,0)),""))</f>
        <v>0</v>
      </c>
      <c r="U237" s="41">
        <f>IF(B237="","",IFERROR(INDEX(UnitFactors,MATCH(H237,UnitNames,0)),""))</f>
        <v>0</v>
      </c>
      <c r="V237" s="45">
        <f>IF(B237="","",IF(OR(S237="",U237="",U237=0),"",ROUND(S237/U237,4)))</f>
        <v>0</v>
      </c>
      <c r="W237" s="33">
        <f>IF(B237="","",IF(L237="",DefaultWaste,L237))</f>
        <v>0</v>
      </c>
      <c r="X237" s="45">
        <f>IF(B237="","",IF(S237="","",ROUND(S237*(1+W237),4)))</f>
        <v>0</v>
      </c>
      <c r="Y237" s="20">
        <f>IF(B237="","",IF(OR(M237="",S237=""),"",ROUND(M237*S237,2)))</f>
        <v>0</v>
      </c>
      <c r="Z237" s="32">
        <f>IF(B237="","",COUNTIFS('Material Usage'!$C$5:$C$904,A237))</f>
        <v>0</v>
      </c>
      <c r="AA237" s="36">
        <f>IF(B237="","",SUMIFS('Material Usage'!$K$5:$K$904,'Material Usage'!$C$5:$C$904,A237))</f>
        <v>0</v>
      </c>
      <c r="AB237" s="20">
        <f>IF(B237="","",ROUND(SUMIFS('Material Usage'!$M$5:$M$904,'Material Usage'!$C$5:$C$904,A237),2))</f>
        <v>0</v>
      </c>
      <c r="AC237" s="32">
        <f>IF(B237="","",IF(OR(M237="",AA237="",AA237&lt;=0),"",ROUNDDOWN(M237/AA237,0)))</f>
        <v>0</v>
      </c>
      <c r="AD237" s="33">
        <f>IF(B237="","",IF(OR(O237="",O237=0,I237=""),"",(I237-O237)/O237))</f>
        <v>0</v>
      </c>
      <c r="AE237" s="43">
        <f>IF(B237="","",IF(M237="","Not tracked",IF(M237&lt;=0,"Out of stock",IF(AND(N237&lt;&gt;"",M237&lt;=N237),"Low stock","In stock"))))</f>
        <v>0</v>
      </c>
      <c r="AF237" s="32">
        <f>IF(B237="","",COUNTIFS($AB$5:$AB$254,"&gt;"&amp;AB237)+COUNTIFS($AB$5:AB237,AB237))</f>
        <v>0</v>
      </c>
      <c r="AG237" s="43">
        <f>IF(B237="","",IF(I237="","Add - no price yet",IF(OR(G237="",G237=0),"Add - how much is in a pack?",IF(AE237="Out of stock","Order - none left",IF(AE237="Low stock","Order - running low",IF(AND(AD237&lt;&gt;"",AD237&gt;0.075),"Check - price jumped, re-price the products",IF(AND(P237&lt;&gt;"",TodayDate-P237&gt;365),"Check - price is over a year old","OK")))))))</f>
        <v>0</v>
      </c>
    </row>
    <row r="238" spans="1:33">
      <c r="A238" s="38">
        <f>IF(B238="","",MaterialPrefix&amp;TEXT(ROW()-4,"0000"))</f>
        <v>0</v>
      </c>
      <c r="R238" s="20">
        <f>IF(B238="","",IF(I238="","",ROUND(I238*(1-IF(K238="",0,K238))+IF(J238="",0,J238),2)))</f>
        <v>0</v>
      </c>
      <c r="S238" s="45">
        <f>IF(B238="","",IF(OR(R238="",G238="",G238=0),"",ROUND(R238/G238,4)))</f>
        <v>0</v>
      </c>
      <c r="T238" s="13">
        <f>IF(B238="","",IFERROR(INDEX(UnitBases,MATCH(H238,UnitNames,0)),""))</f>
        <v>0</v>
      </c>
      <c r="U238" s="41">
        <f>IF(B238="","",IFERROR(INDEX(UnitFactors,MATCH(H238,UnitNames,0)),""))</f>
        <v>0</v>
      </c>
      <c r="V238" s="45">
        <f>IF(B238="","",IF(OR(S238="",U238="",U238=0),"",ROUND(S238/U238,4)))</f>
        <v>0</v>
      </c>
      <c r="W238" s="33">
        <f>IF(B238="","",IF(L238="",DefaultWaste,L238))</f>
        <v>0</v>
      </c>
      <c r="X238" s="45">
        <f>IF(B238="","",IF(S238="","",ROUND(S238*(1+W238),4)))</f>
        <v>0</v>
      </c>
      <c r="Y238" s="20">
        <f>IF(B238="","",IF(OR(M238="",S238=""),"",ROUND(M238*S238,2)))</f>
        <v>0</v>
      </c>
      <c r="Z238" s="32">
        <f>IF(B238="","",COUNTIFS('Material Usage'!$C$5:$C$904,A238))</f>
        <v>0</v>
      </c>
      <c r="AA238" s="36">
        <f>IF(B238="","",SUMIFS('Material Usage'!$K$5:$K$904,'Material Usage'!$C$5:$C$904,A238))</f>
        <v>0</v>
      </c>
      <c r="AB238" s="20">
        <f>IF(B238="","",ROUND(SUMIFS('Material Usage'!$M$5:$M$904,'Material Usage'!$C$5:$C$904,A238),2))</f>
        <v>0</v>
      </c>
      <c r="AC238" s="32">
        <f>IF(B238="","",IF(OR(M238="",AA238="",AA238&lt;=0),"",ROUNDDOWN(M238/AA238,0)))</f>
        <v>0</v>
      </c>
      <c r="AD238" s="33">
        <f>IF(B238="","",IF(OR(O238="",O238=0,I238=""),"",(I238-O238)/O238))</f>
        <v>0</v>
      </c>
      <c r="AE238" s="43">
        <f>IF(B238="","",IF(M238="","Not tracked",IF(M238&lt;=0,"Out of stock",IF(AND(N238&lt;&gt;"",M238&lt;=N238),"Low stock","In stock"))))</f>
        <v>0</v>
      </c>
      <c r="AF238" s="32">
        <f>IF(B238="","",COUNTIFS($AB$5:$AB$254,"&gt;"&amp;AB238)+COUNTIFS($AB$5:AB238,AB238))</f>
        <v>0</v>
      </c>
      <c r="AG238" s="43">
        <f>IF(B238="","",IF(I238="","Add - no price yet",IF(OR(G238="",G238=0),"Add - how much is in a pack?",IF(AE238="Out of stock","Order - none left",IF(AE238="Low stock","Order - running low",IF(AND(AD238&lt;&gt;"",AD238&gt;0.075),"Check - price jumped, re-price the products",IF(AND(P238&lt;&gt;"",TodayDate-P238&gt;365),"Check - price is over a year old","OK")))))))</f>
        <v>0</v>
      </c>
    </row>
    <row r="239" spans="1:33">
      <c r="A239" s="38">
        <f>IF(B239="","",MaterialPrefix&amp;TEXT(ROW()-4,"0000"))</f>
        <v>0</v>
      </c>
      <c r="R239" s="20">
        <f>IF(B239="","",IF(I239="","",ROUND(I239*(1-IF(K239="",0,K239))+IF(J239="",0,J239),2)))</f>
        <v>0</v>
      </c>
      <c r="S239" s="45">
        <f>IF(B239="","",IF(OR(R239="",G239="",G239=0),"",ROUND(R239/G239,4)))</f>
        <v>0</v>
      </c>
      <c r="T239" s="13">
        <f>IF(B239="","",IFERROR(INDEX(UnitBases,MATCH(H239,UnitNames,0)),""))</f>
        <v>0</v>
      </c>
      <c r="U239" s="41">
        <f>IF(B239="","",IFERROR(INDEX(UnitFactors,MATCH(H239,UnitNames,0)),""))</f>
        <v>0</v>
      </c>
      <c r="V239" s="45">
        <f>IF(B239="","",IF(OR(S239="",U239="",U239=0),"",ROUND(S239/U239,4)))</f>
        <v>0</v>
      </c>
      <c r="W239" s="33">
        <f>IF(B239="","",IF(L239="",DefaultWaste,L239))</f>
        <v>0</v>
      </c>
      <c r="X239" s="45">
        <f>IF(B239="","",IF(S239="","",ROUND(S239*(1+W239),4)))</f>
        <v>0</v>
      </c>
      <c r="Y239" s="20">
        <f>IF(B239="","",IF(OR(M239="",S239=""),"",ROUND(M239*S239,2)))</f>
        <v>0</v>
      </c>
      <c r="Z239" s="32">
        <f>IF(B239="","",COUNTIFS('Material Usage'!$C$5:$C$904,A239))</f>
        <v>0</v>
      </c>
      <c r="AA239" s="36">
        <f>IF(B239="","",SUMIFS('Material Usage'!$K$5:$K$904,'Material Usage'!$C$5:$C$904,A239))</f>
        <v>0</v>
      </c>
      <c r="AB239" s="20">
        <f>IF(B239="","",ROUND(SUMIFS('Material Usage'!$M$5:$M$904,'Material Usage'!$C$5:$C$904,A239),2))</f>
        <v>0</v>
      </c>
      <c r="AC239" s="32">
        <f>IF(B239="","",IF(OR(M239="",AA239="",AA239&lt;=0),"",ROUNDDOWN(M239/AA239,0)))</f>
        <v>0</v>
      </c>
      <c r="AD239" s="33">
        <f>IF(B239="","",IF(OR(O239="",O239=0,I239=""),"",(I239-O239)/O239))</f>
        <v>0</v>
      </c>
      <c r="AE239" s="43">
        <f>IF(B239="","",IF(M239="","Not tracked",IF(M239&lt;=0,"Out of stock",IF(AND(N239&lt;&gt;"",M239&lt;=N239),"Low stock","In stock"))))</f>
        <v>0</v>
      </c>
      <c r="AF239" s="32">
        <f>IF(B239="","",COUNTIFS($AB$5:$AB$254,"&gt;"&amp;AB239)+COUNTIFS($AB$5:AB239,AB239))</f>
        <v>0</v>
      </c>
      <c r="AG239" s="43">
        <f>IF(B239="","",IF(I239="","Add - no price yet",IF(OR(G239="",G239=0),"Add - how much is in a pack?",IF(AE239="Out of stock","Order - none left",IF(AE239="Low stock","Order - running low",IF(AND(AD239&lt;&gt;"",AD239&gt;0.075),"Check - price jumped, re-price the products",IF(AND(P239&lt;&gt;"",TodayDate-P239&gt;365),"Check - price is over a year old","OK")))))))</f>
        <v>0</v>
      </c>
    </row>
    <row r="240" spans="1:33">
      <c r="A240" s="38">
        <f>IF(B240="","",MaterialPrefix&amp;TEXT(ROW()-4,"0000"))</f>
        <v>0</v>
      </c>
      <c r="R240" s="20">
        <f>IF(B240="","",IF(I240="","",ROUND(I240*(1-IF(K240="",0,K240))+IF(J240="",0,J240),2)))</f>
        <v>0</v>
      </c>
      <c r="S240" s="45">
        <f>IF(B240="","",IF(OR(R240="",G240="",G240=0),"",ROUND(R240/G240,4)))</f>
        <v>0</v>
      </c>
      <c r="T240" s="13">
        <f>IF(B240="","",IFERROR(INDEX(UnitBases,MATCH(H240,UnitNames,0)),""))</f>
        <v>0</v>
      </c>
      <c r="U240" s="41">
        <f>IF(B240="","",IFERROR(INDEX(UnitFactors,MATCH(H240,UnitNames,0)),""))</f>
        <v>0</v>
      </c>
      <c r="V240" s="45">
        <f>IF(B240="","",IF(OR(S240="",U240="",U240=0),"",ROUND(S240/U240,4)))</f>
        <v>0</v>
      </c>
      <c r="W240" s="33">
        <f>IF(B240="","",IF(L240="",DefaultWaste,L240))</f>
        <v>0</v>
      </c>
      <c r="X240" s="45">
        <f>IF(B240="","",IF(S240="","",ROUND(S240*(1+W240),4)))</f>
        <v>0</v>
      </c>
      <c r="Y240" s="20">
        <f>IF(B240="","",IF(OR(M240="",S240=""),"",ROUND(M240*S240,2)))</f>
        <v>0</v>
      </c>
      <c r="Z240" s="32">
        <f>IF(B240="","",COUNTIFS('Material Usage'!$C$5:$C$904,A240))</f>
        <v>0</v>
      </c>
      <c r="AA240" s="36">
        <f>IF(B240="","",SUMIFS('Material Usage'!$K$5:$K$904,'Material Usage'!$C$5:$C$904,A240))</f>
        <v>0</v>
      </c>
      <c r="AB240" s="20">
        <f>IF(B240="","",ROUND(SUMIFS('Material Usage'!$M$5:$M$904,'Material Usage'!$C$5:$C$904,A240),2))</f>
        <v>0</v>
      </c>
      <c r="AC240" s="32">
        <f>IF(B240="","",IF(OR(M240="",AA240="",AA240&lt;=0),"",ROUNDDOWN(M240/AA240,0)))</f>
        <v>0</v>
      </c>
      <c r="AD240" s="33">
        <f>IF(B240="","",IF(OR(O240="",O240=0,I240=""),"",(I240-O240)/O240))</f>
        <v>0</v>
      </c>
      <c r="AE240" s="43">
        <f>IF(B240="","",IF(M240="","Not tracked",IF(M240&lt;=0,"Out of stock",IF(AND(N240&lt;&gt;"",M240&lt;=N240),"Low stock","In stock"))))</f>
        <v>0</v>
      </c>
      <c r="AF240" s="32">
        <f>IF(B240="","",COUNTIFS($AB$5:$AB$254,"&gt;"&amp;AB240)+COUNTIFS($AB$5:AB240,AB240))</f>
        <v>0</v>
      </c>
      <c r="AG240" s="43">
        <f>IF(B240="","",IF(I240="","Add - no price yet",IF(OR(G240="",G240=0),"Add - how much is in a pack?",IF(AE240="Out of stock","Order - none left",IF(AE240="Low stock","Order - running low",IF(AND(AD240&lt;&gt;"",AD240&gt;0.075),"Check - price jumped, re-price the products",IF(AND(P240&lt;&gt;"",TodayDate-P240&gt;365),"Check - price is over a year old","OK")))))))</f>
        <v>0</v>
      </c>
    </row>
    <row r="241" spans="1:33">
      <c r="A241" s="38">
        <f>IF(B241="","",MaterialPrefix&amp;TEXT(ROW()-4,"0000"))</f>
        <v>0</v>
      </c>
      <c r="R241" s="20">
        <f>IF(B241="","",IF(I241="","",ROUND(I241*(1-IF(K241="",0,K241))+IF(J241="",0,J241),2)))</f>
        <v>0</v>
      </c>
      <c r="S241" s="45">
        <f>IF(B241="","",IF(OR(R241="",G241="",G241=0),"",ROUND(R241/G241,4)))</f>
        <v>0</v>
      </c>
      <c r="T241" s="13">
        <f>IF(B241="","",IFERROR(INDEX(UnitBases,MATCH(H241,UnitNames,0)),""))</f>
        <v>0</v>
      </c>
      <c r="U241" s="41">
        <f>IF(B241="","",IFERROR(INDEX(UnitFactors,MATCH(H241,UnitNames,0)),""))</f>
        <v>0</v>
      </c>
      <c r="V241" s="45">
        <f>IF(B241="","",IF(OR(S241="",U241="",U241=0),"",ROUND(S241/U241,4)))</f>
        <v>0</v>
      </c>
      <c r="W241" s="33">
        <f>IF(B241="","",IF(L241="",DefaultWaste,L241))</f>
        <v>0</v>
      </c>
      <c r="X241" s="45">
        <f>IF(B241="","",IF(S241="","",ROUND(S241*(1+W241),4)))</f>
        <v>0</v>
      </c>
      <c r="Y241" s="20">
        <f>IF(B241="","",IF(OR(M241="",S241=""),"",ROUND(M241*S241,2)))</f>
        <v>0</v>
      </c>
      <c r="Z241" s="32">
        <f>IF(B241="","",COUNTIFS('Material Usage'!$C$5:$C$904,A241))</f>
        <v>0</v>
      </c>
      <c r="AA241" s="36">
        <f>IF(B241="","",SUMIFS('Material Usage'!$K$5:$K$904,'Material Usage'!$C$5:$C$904,A241))</f>
        <v>0</v>
      </c>
      <c r="AB241" s="20">
        <f>IF(B241="","",ROUND(SUMIFS('Material Usage'!$M$5:$M$904,'Material Usage'!$C$5:$C$904,A241),2))</f>
        <v>0</v>
      </c>
      <c r="AC241" s="32">
        <f>IF(B241="","",IF(OR(M241="",AA241="",AA241&lt;=0),"",ROUNDDOWN(M241/AA241,0)))</f>
        <v>0</v>
      </c>
      <c r="AD241" s="33">
        <f>IF(B241="","",IF(OR(O241="",O241=0,I241=""),"",(I241-O241)/O241))</f>
        <v>0</v>
      </c>
      <c r="AE241" s="43">
        <f>IF(B241="","",IF(M241="","Not tracked",IF(M241&lt;=0,"Out of stock",IF(AND(N241&lt;&gt;"",M241&lt;=N241),"Low stock","In stock"))))</f>
        <v>0</v>
      </c>
      <c r="AF241" s="32">
        <f>IF(B241="","",COUNTIFS($AB$5:$AB$254,"&gt;"&amp;AB241)+COUNTIFS($AB$5:AB241,AB241))</f>
        <v>0</v>
      </c>
      <c r="AG241" s="43">
        <f>IF(B241="","",IF(I241="","Add - no price yet",IF(OR(G241="",G241=0),"Add - how much is in a pack?",IF(AE241="Out of stock","Order - none left",IF(AE241="Low stock","Order - running low",IF(AND(AD241&lt;&gt;"",AD241&gt;0.075),"Check - price jumped, re-price the products",IF(AND(P241&lt;&gt;"",TodayDate-P241&gt;365),"Check - price is over a year old","OK")))))))</f>
        <v>0</v>
      </c>
    </row>
    <row r="242" spans="1:33">
      <c r="A242" s="38">
        <f>IF(B242="","",MaterialPrefix&amp;TEXT(ROW()-4,"0000"))</f>
        <v>0</v>
      </c>
      <c r="R242" s="20">
        <f>IF(B242="","",IF(I242="","",ROUND(I242*(1-IF(K242="",0,K242))+IF(J242="",0,J242),2)))</f>
        <v>0</v>
      </c>
      <c r="S242" s="45">
        <f>IF(B242="","",IF(OR(R242="",G242="",G242=0),"",ROUND(R242/G242,4)))</f>
        <v>0</v>
      </c>
      <c r="T242" s="13">
        <f>IF(B242="","",IFERROR(INDEX(UnitBases,MATCH(H242,UnitNames,0)),""))</f>
        <v>0</v>
      </c>
      <c r="U242" s="41">
        <f>IF(B242="","",IFERROR(INDEX(UnitFactors,MATCH(H242,UnitNames,0)),""))</f>
        <v>0</v>
      </c>
      <c r="V242" s="45">
        <f>IF(B242="","",IF(OR(S242="",U242="",U242=0),"",ROUND(S242/U242,4)))</f>
        <v>0</v>
      </c>
      <c r="W242" s="33">
        <f>IF(B242="","",IF(L242="",DefaultWaste,L242))</f>
        <v>0</v>
      </c>
      <c r="X242" s="45">
        <f>IF(B242="","",IF(S242="","",ROUND(S242*(1+W242),4)))</f>
        <v>0</v>
      </c>
      <c r="Y242" s="20">
        <f>IF(B242="","",IF(OR(M242="",S242=""),"",ROUND(M242*S242,2)))</f>
        <v>0</v>
      </c>
      <c r="Z242" s="32">
        <f>IF(B242="","",COUNTIFS('Material Usage'!$C$5:$C$904,A242))</f>
        <v>0</v>
      </c>
      <c r="AA242" s="36">
        <f>IF(B242="","",SUMIFS('Material Usage'!$K$5:$K$904,'Material Usage'!$C$5:$C$904,A242))</f>
        <v>0</v>
      </c>
      <c r="AB242" s="20">
        <f>IF(B242="","",ROUND(SUMIFS('Material Usage'!$M$5:$M$904,'Material Usage'!$C$5:$C$904,A242),2))</f>
        <v>0</v>
      </c>
      <c r="AC242" s="32">
        <f>IF(B242="","",IF(OR(M242="",AA242="",AA242&lt;=0),"",ROUNDDOWN(M242/AA242,0)))</f>
        <v>0</v>
      </c>
      <c r="AD242" s="33">
        <f>IF(B242="","",IF(OR(O242="",O242=0,I242=""),"",(I242-O242)/O242))</f>
        <v>0</v>
      </c>
      <c r="AE242" s="43">
        <f>IF(B242="","",IF(M242="","Not tracked",IF(M242&lt;=0,"Out of stock",IF(AND(N242&lt;&gt;"",M242&lt;=N242),"Low stock","In stock"))))</f>
        <v>0</v>
      </c>
      <c r="AF242" s="32">
        <f>IF(B242="","",COUNTIFS($AB$5:$AB$254,"&gt;"&amp;AB242)+COUNTIFS($AB$5:AB242,AB242))</f>
        <v>0</v>
      </c>
      <c r="AG242" s="43">
        <f>IF(B242="","",IF(I242="","Add - no price yet",IF(OR(G242="",G242=0),"Add - how much is in a pack?",IF(AE242="Out of stock","Order - none left",IF(AE242="Low stock","Order - running low",IF(AND(AD242&lt;&gt;"",AD242&gt;0.075),"Check - price jumped, re-price the products",IF(AND(P242&lt;&gt;"",TodayDate-P242&gt;365),"Check - price is over a year old","OK")))))))</f>
        <v>0</v>
      </c>
    </row>
    <row r="243" spans="1:33">
      <c r="A243" s="38">
        <f>IF(B243="","",MaterialPrefix&amp;TEXT(ROW()-4,"0000"))</f>
        <v>0</v>
      </c>
      <c r="R243" s="20">
        <f>IF(B243="","",IF(I243="","",ROUND(I243*(1-IF(K243="",0,K243))+IF(J243="",0,J243),2)))</f>
        <v>0</v>
      </c>
      <c r="S243" s="45">
        <f>IF(B243="","",IF(OR(R243="",G243="",G243=0),"",ROUND(R243/G243,4)))</f>
        <v>0</v>
      </c>
      <c r="T243" s="13">
        <f>IF(B243="","",IFERROR(INDEX(UnitBases,MATCH(H243,UnitNames,0)),""))</f>
        <v>0</v>
      </c>
      <c r="U243" s="41">
        <f>IF(B243="","",IFERROR(INDEX(UnitFactors,MATCH(H243,UnitNames,0)),""))</f>
        <v>0</v>
      </c>
      <c r="V243" s="45">
        <f>IF(B243="","",IF(OR(S243="",U243="",U243=0),"",ROUND(S243/U243,4)))</f>
        <v>0</v>
      </c>
      <c r="W243" s="33">
        <f>IF(B243="","",IF(L243="",DefaultWaste,L243))</f>
        <v>0</v>
      </c>
      <c r="X243" s="45">
        <f>IF(B243="","",IF(S243="","",ROUND(S243*(1+W243),4)))</f>
        <v>0</v>
      </c>
      <c r="Y243" s="20">
        <f>IF(B243="","",IF(OR(M243="",S243=""),"",ROUND(M243*S243,2)))</f>
        <v>0</v>
      </c>
      <c r="Z243" s="32">
        <f>IF(B243="","",COUNTIFS('Material Usage'!$C$5:$C$904,A243))</f>
        <v>0</v>
      </c>
      <c r="AA243" s="36">
        <f>IF(B243="","",SUMIFS('Material Usage'!$K$5:$K$904,'Material Usage'!$C$5:$C$904,A243))</f>
        <v>0</v>
      </c>
      <c r="AB243" s="20">
        <f>IF(B243="","",ROUND(SUMIFS('Material Usage'!$M$5:$M$904,'Material Usage'!$C$5:$C$904,A243),2))</f>
        <v>0</v>
      </c>
      <c r="AC243" s="32">
        <f>IF(B243="","",IF(OR(M243="",AA243="",AA243&lt;=0),"",ROUNDDOWN(M243/AA243,0)))</f>
        <v>0</v>
      </c>
      <c r="AD243" s="33">
        <f>IF(B243="","",IF(OR(O243="",O243=0,I243=""),"",(I243-O243)/O243))</f>
        <v>0</v>
      </c>
      <c r="AE243" s="43">
        <f>IF(B243="","",IF(M243="","Not tracked",IF(M243&lt;=0,"Out of stock",IF(AND(N243&lt;&gt;"",M243&lt;=N243),"Low stock","In stock"))))</f>
        <v>0</v>
      </c>
      <c r="AF243" s="32">
        <f>IF(B243="","",COUNTIFS($AB$5:$AB$254,"&gt;"&amp;AB243)+COUNTIFS($AB$5:AB243,AB243))</f>
        <v>0</v>
      </c>
      <c r="AG243" s="43">
        <f>IF(B243="","",IF(I243="","Add - no price yet",IF(OR(G243="",G243=0),"Add - how much is in a pack?",IF(AE243="Out of stock","Order - none left",IF(AE243="Low stock","Order - running low",IF(AND(AD243&lt;&gt;"",AD243&gt;0.075),"Check - price jumped, re-price the products",IF(AND(P243&lt;&gt;"",TodayDate-P243&gt;365),"Check - price is over a year old","OK")))))))</f>
        <v>0</v>
      </c>
    </row>
    <row r="244" spans="1:33">
      <c r="A244" s="38">
        <f>IF(B244="","",MaterialPrefix&amp;TEXT(ROW()-4,"0000"))</f>
        <v>0</v>
      </c>
      <c r="R244" s="20">
        <f>IF(B244="","",IF(I244="","",ROUND(I244*(1-IF(K244="",0,K244))+IF(J244="",0,J244),2)))</f>
        <v>0</v>
      </c>
      <c r="S244" s="45">
        <f>IF(B244="","",IF(OR(R244="",G244="",G244=0),"",ROUND(R244/G244,4)))</f>
        <v>0</v>
      </c>
      <c r="T244" s="13">
        <f>IF(B244="","",IFERROR(INDEX(UnitBases,MATCH(H244,UnitNames,0)),""))</f>
        <v>0</v>
      </c>
      <c r="U244" s="41">
        <f>IF(B244="","",IFERROR(INDEX(UnitFactors,MATCH(H244,UnitNames,0)),""))</f>
        <v>0</v>
      </c>
      <c r="V244" s="45">
        <f>IF(B244="","",IF(OR(S244="",U244="",U244=0),"",ROUND(S244/U244,4)))</f>
        <v>0</v>
      </c>
      <c r="W244" s="33">
        <f>IF(B244="","",IF(L244="",DefaultWaste,L244))</f>
        <v>0</v>
      </c>
      <c r="X244" s="45">
        <f>IF(B244="","",IF(S244="","",ROUND(S244*(1+W244),4)))</f>
        <v>0</v>
      </c>
      <c r="Y244" s="20">
        <f>IF(B244="","",IF(OR(M244="",S244=""),"",ROUND(M244*S244,2)))</f>
        <v>0</v>
      </c>
      <c r="Z244" s="32">
        <f>IF(B244="","",COUNTIFS('Material Usage'!$C$5:$C$904,A244))</f>
        <v>0</v>
      </c>
      <c r="AA244" s="36">
        <f>IF(B244="","",SUMIFS('Material Usage'!$K$5:$K$904,'Material Usage'!$C$5:$C$904,A244))</f>
        <v>0</v>
      </c>
      <c r="AB244" s="20">
        <f>IF(B244="","",ROUND(SUMIFS('Material Usage'!$M$5:$M$904,'Material Usage'!$C$5:$C$904,A244),2))</f>
        <v>0</v>
      </c>
      <c r="AC244" s="32">
        <f>IF(B244="","",IF(OR(M244="",AA244="",AA244&lt;=0),"",ROUNDDOWN(M244/AA244,0)))</f>
        <v>0</v>
      </c>
      <c r="AD244" s="33">
        <f>IF(B244="","",IF(OR(O244="",O244=0,I244=""),"",(I244-O244)/O244))</f>
        <v>0</v>
      </c>
      <c r="AE244" s="43">
        <f>IF(B244="","",IF(M244="","Not tracked",IF(M244&lt;=0,"Out of stock",IF(AND(N244&lt;&gt;"",M244&lt;=N244),"Low stock","In stock"))))</f>
        <v>0</v>
      </c>
      <c r="AF244" s="32">
        <f>IF(B244="","",COUNTIFS($AB$5:$AB$254,"&gt;"&amp;AB244)+COUNTIFS($AB$5:AB244,AB244))</f>
        <v>0</v>
      </c>
      <c r="AG244" s="43">
        <f>IF(B244="","",IF(I244="","Add - no price yet",IF(OR(G244="",G244=0),"Add - how much is in a pack?",IF(AE244="Out of stock","Order - none left",IF(AE244="Low stock","Order - running low",IF(AND(AD244&lt;&gt;"",AD244&gt;0.075),"Check - price jumped, re-price the products",IF(AND(P244&lt;&gt;"",TodayDate-P244&gt;365),"Check - price is over a year old","OK")))))))</f>
        <v>0</v>
      </c>
    </row>
    <row r="245" spans="1:33">
      <c r="A245" s="38">
        <f>IF(B245="","",MaterialPrefix&amp;TEXT(ROW()-4,"0000"))</f>
        <v>0</v>
      </c>
      <c r="R245" s="20">
        <f>IF(B245="","",IF(I245="","",ROUND(I245*(1-IF(K245="",0,K245))+IF(J245="",0,J245),2)))</f>
        <v>0</v>
      </c>
      <c r="S245" s="45">
        <f>IF(B245="","",IF(OR(R245="",G245="",G245=0),"",ROUND(R245/G245,4)))</f>
        <v>0</v>
      </c>
      <c r="T245" s="13">
        <f>IF(B245="","",IFERROR(INDEX(UnitBases,MATCH(H245,UnitNames,0)),""))</f>
        <v>0</v>
      </c>
      <c r="U245" s="41">
        <f>IF(B245="","",IFERROR(INDEX(UnitFactors,MATCH(H245,UnitNames,0)),""))</f>
        <v>0</v>
      </c>
      <c r="V245" s="45">
        <f>IF(B245="","",IF(OR(S245="",U245="",U245=0),"",ROUND(S245/U245,4)))</f>
        <v>0</v>
      </c>
      <c r="W245" s="33">
        <f>IF(B245="","",IF(L245="",DefaultWaste,L245))</f>
        <v>0</v>
      </c>
      <c r="X245" s="45">
        <f>IF(B245="","",IF(S245="","",ROUND(S245*(1+W245),4)))</f>
        <v>0</v>
      </c>
      <c r="Y245" s="20">
        <f>IF(B245="","",IF(OR(M245="",S245=""),"",ROUND(M245*S245,2)))</f>
        <v>0</v>
      </c>
      <c r="Z245" s="32">
        <f>IF(B245="","",COUNTIFS('Material Usage'!$C$5:$C$904,A245))</f>
        <v>0</v>
      </c>
      <c r="AA245" s="36">
        <f>IF(B245="","",SUMIFS('Material Usage'!$K$5:$K$904,'Material Usage'!$C$5:$C$904,A245))</f>
        <v>0</v>
      </c>
      <c r="AB245" s="20">
        <f>IF(B245="","",ROUND(SUMIFS('Material Usage'!$M$5:$M$904,'Material Usage'!$C$5:$C$904,A245),2))</f>
        <v>0</v>
      </c>
      <c r="AC245" s="32">
        <f>IF(B245="","",IF(OR(M245="",AA245="",AA245&lt;=0),"",ROUNDDOWN(M245/AA245,0)))</f>
        <v>0</v>
      </c>
      <c r="AD245" s="33">
        <f>IF(B245="","",IF(OR(O245="",O245=0,I245=""),"",(I245-O245)/O245))</f>
        <v>0</v>
      </c>
      <c r="AE245" s="43">
        <f>IF(B245="","",IF(M245="","Not tracked",IF(M245&lt;=0,"Out of stock",IF(AND(N245&lt;&gt;"",M245&lt;=N245),"Low stock","In stock"))))</f>
        <v>0</v>
      </c>
      <c r="AF245" s="32">
        <f>IF(B245="","",COUNTIFS($AB$5:$AB$254,"&gt;"&amp;AB245)+COUNTIFS($AB$5:AB245,AB245))</f>
        <v>0</v>
      </c>
      <c r="AG245" s="43">
        <f>IF(B245="","",IF(I245="","Add - no price yet",IF(OR(G245="",G245=0),"Add - how much is in a pack?",IF(AE245="Out of stock","Order - none left",IF(AE245="Low stock","Order - running low",IF(AND(AD245&lt;&gt;"",AD245&gt;0.075),"Check - price jumped, re-price the products",IF(AND(P245&lt;&gt;"",TodayDate-P245&gt;365),"Check - price is over a year old","OK")))))))</f>
        <v>0</v>
      </c>
    </row>
    <row r="246" spans="1:33">
      <c r="A246" s="38">
        <f>IF(B246="","",MaterialPrefix&amp;TEXT(ROW()-4,"0000"))</f>
        <v>0</v>
      </c>
      <c r="R246" s="20">
        <f>IF(B246="","",IF(I246="","",ROUND(I246*(1-IF(K246="",0,K246))+IF(J246="",0,J246),2)))</f>
        <v>0</v>
      </c>
      <c r="S246" s="45">
        <f>IF(B246="","",IF(OR(R246="",G246="",G246=0),"",ROUND(R246/G246,4)))</f>
        <v>0</v>
      </c>
      <c r="T246" s="13">
        <f>IF(B246="","",IFERROR(INDEX(UnitBases,MATCH(H246,UnitNames,0)),""))</f>
        <v>0</v>
      </c>
      <c r="U246" s="41">
        <f>IF(B246="","",IFERROR(INDEX(UnitFactors,MATCH(H246,UnitNames,0)),""))</f>
        <v>0</v>
      </c>
      <c r="V246" s="45">
        <f>IF(B246="","",IF(OR(S246="",U246="",U246=0),"",ROUND(S246/U246,4)))</f>
        <v>0</v>
      </c>
      <c r="W246" s="33">
        <f>IF(B246="","",IF(L246="",DefaultWaste,L246))</f>
        <v>0</v>
      </c>
      <c r="X246" s="45">
        <f>IF(B246="","",IF(S246="","",ROUND(S246*(1+W246),4)))</f>
        <v>0</v>
      </c>
      <c r="Y246" s="20">
        <f>IF(B246="","",IF(OR(M246="",S246=""),"",ROUND(M246*S246,2)))</f>
        <v>0</v>
      </c>
      <c r="Z246" s="32">
        <f>IF(B246="","",COUNTIFS('Material Usage'!$C$5:$C$904,A246))</f>
        <v>0</v>
      </c>
      <c r="AA246" s="36">
        <f>IF(B246="","",SUMIFS('Material Usage'!$K$5:$K$904,'Material Usage'!$C$5:$C$904,A246))</f>
        <v>0</v>
      </c>
      <c r="AB246" s="20">
        <f>IF(B246="","",ROUND(SUMIFS('Material Usage'!$M$5:$M$904,'Material Usage'!$C$5:$C$904,A246),2))</f>
        <v>0</v>
      </c>
      <c r="AC246" s="32">
        <f>IF(B246="","",IF(OR(M246="",AA246="",AA246&lt;=0),"",ROUNDDOWN(M246/AA246,0)))</f>
        <v>0</v>
      </c>
      <c r="AD246" s="33">
        <f>IF(B246="","",IF(OR(O246="",O246=0,I246=""),"",(I246-O246)/O246))</f>
        <v>0</v>
      </c>
      <c r="AE246" s="43">
        <f>IF(B246="","",IF(M246="","Not tracked",IF(M246&lt;=0,"Out of stock",IF(AND(N246&lt;&gt;"",M246&lt;=N246),"Low stock","In stock"))))</f>
        <v>0</v>
      </c>
      <c r="AF246" s="32">
        <f>IF(B246="","",COUNTIFS($AB$5:$AB$254,"&gt;"&amp;AB246)+COUNTIFS($AB$5:AB246,AB246))</f>
        <v>0</v>
      </c>
      <c r="AG246" s="43">
        <f>IF(B246="","",IF(I246="","Add - no price yet",IF(OR(G246="",G246=0),"Add - how much is in a pack?",IF(AE246="Out of stock","Order - none left",IF(AE246="Low stock","Order - running low",IF(AND(AD246&lt;&gt;"",AD246&gt;0.075),"Check - price jumped, re-price the products",IF(AND(P246&lt;&gt;"",TodayDate-P246&gt;365),"Check - price is over a year old","OK")))))))</f>
        <v>0</v>
      </c>
    </row>
    <row r="247" spans="1:33">
      <c r="A247" s="38">
        <f>IF(B247="","",MaterialPrefix&amp;TEXT(ROW()-4,"0000"))</f>
        <v>0</v>
      </c>
      <c r="R247" s="20">
        <f>IF(B247="","",IF(I247="","",ROUND(I247*(1-IF(K247="",0,K247))+IF(J247="",0,J247),2)))</f>
        <v>0</v>
      </c>
      <c r="S247" s="45">
        <f>IF(B247="","",IF(OR(R247="",G247="",G247=0),"",ROUND(R247/G247,4)))</f>
        <v>0</v>
      </c>
      <c r="T247" s="13">
        <f>IF(B247="","",IFERROR(INDEX(UnitBases,MATCH(H247,UnitNames,0)),""))</f>
        <v>0</v>
      </c>
      <c r="U247" s="41">
        <f>IF(B247="","",IFERROR(INDEX(UnitFactors,MATCH(H247,UnitNames,0)),""))</f>
        <v>0</v>
      </c>
      <c r="V247" s="45">
        <f>IF(B247="","",IF(OR(S247="",U247="",U247=0),"",ROUND(S247/U247,4)))</f>
        <v>0</v>
      </c>
      <c r="W247" s="33">
        <f>IF(B247="","",IF(L247="",DefaultWaste,L247))</f>
        <v>0</v>
      </c>
      <c r="X247" s="45">
        <f>IF(B247="","",IF(S247="","",ROUND(S247*(1+W247),4)))</f>
        <v>0</v>
      </c>
      <c r="Y247" s="20">
        <f>IF(B247="","",IF(OR(M247="",S247=""),"",ROUND(M247*S247,2)))</f>
        <v>0</v>
      </c>
      <c r="Z247" s="32">
        <f>IF(B247="","",COUNTIFS('Material Usage'!$C$5:$C$904,A247))</f>
        <v>0</v>
      </c>
      <c r="AA247" s="36">
        <f>IF(B247="","",SUMIFS('Material Usage'!$K$5:$K$904,'Material Usage'!$C$5:$C$904,A247))</f>
        <v>0</v>
      </c>
      <c r="AB247" s="20">
        <f>IF(B247="","",ROUND(SUMIFS('Material Usage'!$M$5:$M$904,'Material Usage'!$C$5:$C$904,A247),2))</f>
        <v>0</v>
      </c>
      <c r="AC247" s="32">
        <f>IF(B247="","",IF(OR(M247="",AA247="",AA247&lt;=0),"",ROUNDDOWN(M247/AA247,0)))</f>
        <v>0</v>
      </c>
      <c r="AD247" s="33">
        <f>IF(B247="","",IF(OR(O247="",O247=0,I247=""),"",(I247-O247)/O247))</f>
        <v>0</v>
      </c>
      <c r="AE247" s="43">
        <f>IF(B247="","",IF(M247="","Not tracked",IF(M247&lt;=0,"Out of stock",IF(AND(N247&lt;&gt;"",M247&lt;=N247),"Low stock","In stock"))))</f>
        <v>0</v>
      </c>
      <c r="AF247" s="32">
        <f>IF(B247="","",COUNTIFS($AB$5:$AB$254,"&gt;"&amp;AB247)+COUNTIFS($AB$5:AB247,AB247))</f>
        <v>0</v>
      </c>
      <c r="AG247" s="43">
        <f>IF(B247="","",IF(I247="","Add - no price yet",IF(OR(G247="",G247=0),"Add - how much is in a pack?",IF(AE247="Out of stock","Order - none left",IF(AE247="Low stock","Order - running low",IF(AND(AD247&lt;&gt;"",AD247&gt;0.075),"Check - price jumped, re-price the products",IF(AND(P247&lt;&gt;"",TodayDate-P247&gt;365),"Check - price is over a year old","OK")))))))</f>
        <v>0</v>
      </c>
    </row>
    <row r="248" spans="1:33">
      <c r="A248" s="38">
        <f>IF(B248="","",MaterialPrefix&amp;TEXT(ROW()-4,"0000"))</f>
        <v>0</v>
      </c>
      <c r="R248" s="20">
        <f>IF(B248="","",IF(I248="","",ROUND(I248*(1-IF(K248="",0,K248))+IF(J248="",0,J248),2)))</f>
        <v>0</v>
      </c>
      <c r="S248" s="45">
        <f>IF(B248="","",IF(OR(R248="",G248="",G248=0),"",ROUND(R248/G248,4)))</f>
        <v>0</v>
      </c>
      <c r="T248" s="13">
        <f>IF(B248="","",IFERROR(INDEX(UnitBases,MATCH(H248,UnitNames,0)),""))</f>
        <v>0</v>
      </c>
      <c r="U248" s="41">
        <f>IF(B248="","",IFERROR(INDEX(UnitFactors,MATCH(H248,UnitNames,0)),""))</f>
        <v>0</v>
      </c>
      <c r="V248" s="45">
        <f>IF(B248="","",IF(OR(S248="",U248="",U248=0),"",ROUND(S248/U248,4)))</f>
        <v>0</v>
      </c>
      <c r="W248" s="33">
        <f>IF(B248="","",IF(L248="",DefaultWaste,L248))</f>
        <v>0</v>
      </c>
      <c r="X248" s="45">
        <f>IF(B248="","",IF(S248="","",ROUND(S248*(1+W248),4)))</f>
        <v>0</v>
      </c>
      <c r="Y248" s="20">
        <f>IF(B248="","",IF(OR(M248="",S248=""),"",ROUND(M248*S248,2)))</f>
        <v>0</v>
      </c>
      <c r="Z248" s="32">
        <f>IF(B248="","",COUNTIFS('Material Usage'!$C$5:$C$904,A248))</f>
        <v>0</v>
      </c>
      <c r="AA248" s="36">
        <f>IF(B248="","",SUMIFS('Material Usage'!$K$5:$K$904,'Material Usage'!$C$5:$C$904,A248))</f>
        <v>0</v>
      </c>
      <c r="AB248" s="20">
        <f>IF(B248="","",ROUND(SUMIFS('Material Usage'!$M$5:$M$904,'Material Usage'!$C$5:$C$904,A248),2))</f>
        <v>0</v>
      </c>
      <c r="AC248" s="32">
        <f>IF(B248="","",IF(OR(M248="",AA248="",AA248&lt;=0),"",ROUNDDOWN(M248/AA248,0)))</f>
        <v>0</v>
      </c>
      <c r="AD248" s="33">
        <f>IF(B248="","",IF(OR(O248="",O248=0,I248=""),"",(I248-O248)/O248))</f>
        <v>0</v>
      </c>
      <c r="AE248" s="43">
        <f>IF(B248="","",IF(M248="","Not tracked",IF(M248&lt;=0,"Out of stock",IF(AND(N248&lt;&gt;"",M248&lt;=N248),"Low stock","In stock"))))</f>
        <v>0</v>
      </c>
      <c r="AF248" s="32">
        <f>IF(B248="","",COUNTIFS($AB$5:$AB$254,"&gt;"&amp;AB248)+COUNTIFS($AB$5:AB248,AB248))</f>
        <v>0</v>
      </c>
      <c r="AG248" s="43">
        <f>IF(B248="","",IF(I248="","Add - no price yet",IF(OR(G248="",G248=0),"Add - how much is in a pack?",IF(AE248="Out of stock","Order - none left",IF(AE248="Low stock","Order - running low",IF(AND(AD248&lt;&gt;"",AD248&gt;0.075),"Check - price jumped, re-price the products",IF(AND(P248&lt;&gt;"",TodayDate-P248&gt;365),"Check - price is over a year old","OK")))))))</f>
        <v>0</v>
      </c>
    </row>
    <row r="249" spans="1:33">
      <c r="A249" s="38">
        <f>IF(B249="","",MaterialPrefix&amp;TEXT(ROW()-4,"0000"))</f>
        <v>0</v>
      </c>
      <c r="R249" s="20">
        <f>IF(B249="","",IF(I249="","",ROUND(I249*(1-IF(K249="",0,K249))+IF(J249="",0,J249),2)))</f>
        <v>0</v>
      </c>
      <c r="S249" s="45">
        <f>IF(B249="","",IF(OR(R249="",G249="",G249=0),"",ROUND(R249/G249,4)))</f>
        <v>0</v>
      </c>
      <c r="T249" s="13">
        <f>IF(B249="","",IFERROR(INDEX(UnitBases,MATCH(H249,UnitNames,0)),""))</f>
        <v>0</v>
      </c>
      <c r="U249" s="41">
        <f>IF(B249="","",IFERROR(INDEX(UnitFactors,MATCH(H249,UnitNames,0)),""))</f>
        <v>0</v>
      </c>
      <c r="V249" s="45">
        <f>IF(B249="","",IF(OR(S249="",U249="",U249=0),"",ROUND(S249/U249,4)))</f>
        <v>0</v>
      </c>
      <c r="W249" s="33">
        <f>IF(B249="","",IF(L249="",DefaultWaste,L249))</f>
        <v>0</v>
      </c>
      <c r="X249" s="45">
        <f>IF(B249="","",IF(S249="","",ROUND(S249*(1+W249),4)))</f>
        <v>0</v>
      </c>
      <c r="Y249" s="20">
        <f>IF(B249="","",IF(OR(M249="",S249=""),"",ROUND(M249*S249,2)))</f>
        <v>0</v>
      </c>
      <c r="Z249" s="32">
        <f>IF(B249="","",COUNTIFS('Material Usage'!$C$5:$C$904,A249))</f>
        <v>0</v>
      </c>
      <c r="AA249" s="36">
        <f>IF(B249="","",SUMIFS('Material Usage'!$K$5:$K$904,'Material Usage'!$C$5:$C$904,A249))</f>
        <v>0</v>
      </c>
      <c r="AB249" s="20">
        <f>IF(B249="","",ROUND(SUMIFS('Material Usage'!$M$5:$M$904,'Material Usage'!$C$5:$C$904,A249),2))</f>
        <v>0</v>
      </c>
      <c r="AC249" s="32">
        <f>IF(B249="","",IF(OR(M249="",AA249="",AA249&lt;=0),"",ROUNDDOWN(M249/AA249,0)))</f>
        <v>0</v>
      </c>
      <c r="AD249" s="33">
        <f>IF(B249="","",IF(OR(O249="",O249=0,I249=""),"",(I249-O249)/O249))</f>
        <v>0</v>
      </c>
      <c r="AE249" s="43">
        <f>IF(B249="","",IF(M249="","Not tracked",IF(M249&lt;=0,"Out of stock",IF(AND(N249&lt;&gt;"",M249&lt;=N249),"Low stock","In stock"))))</f>
        <v>0</v>
      </c>
      <c r="AF249" s="32">
        <f>IF(B249="","",COUNTIFS($AB$5:$AB$254,"&gt;"&amp;AB249)+COUNTIFS($AB$5:AB249,AB249))</f>
        <v>0</v>
      </c>
      <c r="AG249" s="43">
        <f>IF(B249="","",IF(I249="","Add - no price yet",IF(OR(G249="",G249=0),"Add - how much is in a pack?",IF(AE249="Out of stock","Order - none left",IF(AE249="Low stock","Order - running low",IF(AND(AD249&lt;&gt;"",AD249&gt;0.075),"Check - price jumped, re-price the products",IF(AND(P249&lt;&gt;"",TodayDate-P249&gt;365),"Check - price is over a year old","OK")))))))</f>
        <v>0</v>
      </c>
    </row>
    <row r="250" spans="1:33">
      <c r="A250" s="38">
        <f>IF(B250="","",MaterialPrefix&amp;TEXT(ROW()-4,"0000"))</f>
        <v>0</v>
      </c>
      <c r="R250" s="20">
        <f>IF(B250="","",IF(I250="","",ROUND(I250*(1-IF(K250="",0,K250))+IF(J250="",0,J250),2)))</f>
        <v>0</v>
      </c>
      <c r="S250" s="45">
        <f>IF(B250="","",IF(OR(R250="",G250="",G250=0),"",ROUND(R250/G250,4)))</f>
        <v>0</v>
      </c>
      <c r="T250" s="13">
        <f>IF(B250="","",IFERROR(INDEX(UnitBases,MATCH(H250,UnitNames,0)),""))</f>
        <v>0</v>
      </c>
      <c r="U250" s="41">
        <f>IF(B250="","",IFERROR(INDEX(UnitFactors,MATCH(H250,UnitNames,0)),""))</f>
        <v>0</v>
      </c>
      <c r="V250" s="45">
        <f>IF(B250="","",IF(OR(S250="",U250="",U250=0),"",ROUND(S250/U250,4)))</f>
        <v>0</v>
      </c>
      <c r="W250" s="33">
        <f>IF(B250="","",IF(L250="",DefaultWaste,L250))</f>
        <v>0</v>
      </c>
      <c r="X250" s="45">
        <f>IF(B250="","",IF(S250="","",ROUND(S250*(1+W250),4)))</f>
        <v>0</v>
      </c>
      <c r="Y250" s="20">
        <f>IF(B250="","",IF(OR(M250="",S250=""),"",ROUND(M250*S250,2)))</f>
        <v>0</v>
      </c>
      <c r="Z250" s="32">
        <f>IF(B250="","",COUNTIFS('Material Usage'!$C$5:$C$904,A250))</f>
        <v>0</v>
      </c>
      <c r="AA250" s="36">
        <f>IF(B250="","",SUMIFS('Material Usage'!$K$5:$K$904,'Material Usage'!$C$5:$C$904,A250))</f>
        <v>0</v>
      </c>
      <c r="AB250" s="20">
        <f>IF(B250="","",ROUND(SUMIFS('Material Usage'!$M$5:$M$904,'Material Usage'!$C$5:$C$904,A250),2))</f>
        <v>0</v>
      </c>
      <c r="AC250" s="32">
        <f>IF(B250="","",IF(OR(M250="",AA250="",AA250&lt;=0),"",ROUNDDOWN(M250/AA250,0)))</f>
        <v>0</v>
      </c>
      <c r="AD250" s="33">
        <f>IF(B250="","",IF(OR(O250="",O250=0,I250=""),"",(I250-O250)/O250))</f>
        <v>0</v>
      </c>
      <c r="AE250" s="43">
        <f>IF(B250="","",IF(M250="","Not tracked",IF(M250&lt;=0,"Out of stock",IF(AND(N250&lt;&gt;"",M250&lt;=N250),"Low stock","In stock"))))</f>
        <v>0</v>
      </c>
      <c r="AF250" s="32">
        <f>IF(B250="","",COUNTIFS($AB$5:$AB$254,"&gt;"&amp;AB250)+COUNTIFS($AB$5:AB250,AB250))</f>
        <v>0</v>
      </c>
      <c r="AG250" s="43">
        <f>IF(B250="","",IF(I250="","Add - no price yet",IF(OR(G250="",G250=0),"Add - how much is in a pack?",IF(AE250="Out of stock","Order - none left",IF(AE250="Low stock","Order - running low",IF(AND(AD250&lt;&gt;"",AD250&gt;0.075),"Check - price jumped, re-price the products",IF(AND(P250&lt;&gt;"",TodayDate-P250&gt;365),"Check - price is over a year old","OK")))))))</f>
        <v>0</v>
      </c>
    </row>
    <row r="251" spans="1:33">
      <c r="A251" s="38">
        <f>IF(B251="","",MaterialPrefix&amp;TEXT(ROW()-4,"0000"))</f>
        <v>0</v>
      </c>
      <c r="R251" s="20">
        <f>IF(B251="","",IF(I251="","",ROUND(I251*(1-IF(K251="",0,K251))+IF(J251="",0,J251),2)))</f>
        <v>0</v>
      </c>
      <c r="S251" s="45">
        <f>IF(B251="","",IF(OR(R251="",G251="",G251=0),"",ROUND(R251/G251,4)))</f>
        <v>0</v>
      </c>
      <c r="T251" s="13">
        <f>IF(B251="","",IFERROR(INDEX(UnitBases,MATCH(H251,UnitNames,0)),""))</f>
        <v>0</v>
      </c>
      <c r="U251" s="41">
        <f>IF(B251="","",IFERROR(INDEX(UnitFactors,MATCH(H251,UnitNames,0)),""))</f>
        <v>0</v>
      </c>
      <c r="V251" s="45">
        <f>IF(B251="","",IF(OR(S251="",U251="",U251=0),"",ROUND(S251/U251,4)))</f>
        <v>0</v>
      </c>
      <c r="W251" s="33">
        <f>IF(B251="","",IF(L251="",DefaultWaste,L251))</f>
        <v>0</v>
      </c>
      <c r="X251" s="45">
        <f>IF(B251="","",IF(S251="","",ROUND(S251*(1+W251),4)))</f>
        <v>0</v>
      </c>
      <c r="Y251" s="20">
        <f>IF(B251="","",IF(OR(M251="",S251=""),"",ROUND(M251*S251,2)))</f>
        <v>0</v>
      </c>
      <c r="Z251" s="32">
        <f>IF(B251="","",COUNTIFS('Material Usage'!$C$5:$C$904,A251))</f>
        <v>0</v>
      </c>
      <c r="AA251" s="36">
        <f>IF(B251="","",SUMIFS('Material Usage'!$K$5:$K$904,'Material Usage'!$C$5:$C$904,A251))</f>
        <v>0</v>
      </c>
      <c r="AB251" s="20">
        <f>IF(B251="","",ROUND(SUMIFS('Material Usage'!$M$5:$M$904,'Material Usage'!$C$5:$C$904,A251),2))</f>
        <v>0</v>
      </c>
      <c r="AC251" s="32">
        <f>IF(B251="","",IF(OR(M251="",AA251="",AA251&lt;=0),"",ROUNDDOWN(M251/AA251,0)))</f>
        <v>0</v>
      </c>
      <c r="AD251" s="33">
        <f>IF(B251="","",IF(OR(O251="",O251=0,I251=""),"",(I251-O251)/O251))</f>
        <v>0</v>
      </c>
      <c r="AE251" s="43">
        <f>IF(B251="","",IF(M251="","Not tracked",IF(M251&lt;=0,"Out of stock",IF(AND(N251&lt;&gt;"",M251&lt;=N251),"Low stock","In stock"))))</f>
        <v>0</v>
      </c>
      <c r="AF251" s="32">
        <f>IF(B251="","",COUNTIFS($AB$5:$AB$254,"&gt;"&amp;AB251)+COUNTIFS($AB$5:AB251,AB251))</f>
        <v>0</v>
      </c>
      <c r="AG251" s="43">
        <f>IF(B251="","",IF(I251="","Add - no price yet",IF(OR(G251="",G251=0),"Add - how much is in a pack?",IF(AE251="Out of stock","Order - none left",IF(AE251="Low stock","Order - running low",IF(AND(AD251&lt;&gt;"",AD251&gt;0.075),"Check - price jumped, re-price the products",IF(AND(P251&lt;&gt;"",TodayDate-P251&gt;365),"Check - price is over a year old","OK")))))))</f>
        <v>0</v>
      </c>
    </row>
    <row r="252" spans="1:33">
      <c r="A252" s="38">
        <f>IF(B252="","",MaterialPrefix&amp;TEXT(ROW()-4,"0000"))</f>
        <v>0</v>
      </c>
      <c r="R252" s="20">
        <f>IF(B252="","",IF(I252="","",ROUND(I252*(1-IF(K252="",0,K252))+IF(J252="",0,J252),2)))</f>
        <v>0</v>
      </c>
      <c r="S252" s="45">
        <f>IF(B252="","",IF(OR(R252="",G252="",G252=0),"",ROUND(R252/G252,4)))</f>
        <v>0</v>
      </c>
      <c r="T252" s="13">
        <f>IF(B252="","",IFERROR(INDEX(UnitBases,MATCH(H252,UnitNames,0)),""))</f>
        <v>0</v>
      </c>
      <c r="U252" s="41">
        <f>IF(B252="","",IFERROR(INDEX(UnitFactors,MATCH(H252,UnitNames,0)),""))</f>
        <v>0</v>
      </c>
      <c r="V252" s="45">
        <f>IF(B252="","",IF(OR(S252="",U252="",U252=0),"",ROUND(S252/U252,4)))</f>
        <v>0</v>
      </c>
      <c r="W252" s="33">
        <f>IF(B252="","",IF(L252="",DefaultWaste,L252))</f>
        <v>0</v>
      </c>
      <c r="X252" s="45">
        <f>IF(B252="","",IF(S252="","",ROUND(S252*(1+W252),4)))</f>
        <v>0</v>
      </c>
      <c r="Y252" s="20">
        <f>IF(B252="","",IF(OR(M252="",S252=""),"",ROUND(M252*S252,2)))</f>
        <v>0</v>
      </c>
      <c r="Z252" s="32">
        <f>IF(B252="","",COUNTIFS('Material Usage'!$C$5:$C$904,A252))</f>
        <v>0</v>
      </c>
      <c r="AA252" s="36">
        <f>IF(B252="","",SUMIFS('Material Usage'!$K$5:$K$904,'Material Usage'!$C$5:$C$904,A252))</f>
        <v>0</v>
      </c>
      <c r="AB252" s="20">
        <f>IF(B252="","",ROUND(SUMIFS('Material Usage'!$M$5:$M$904,'Material Usage'!$C$5:$C$904,A252),2))</f>
        <v>0</v>
      </c>
      <c r="AC252" s="32">
        <f>IF(B252="","",IF(OR(M252="",AA252="",AA252&lt;=0),"",ROUNDDOWN(M252/AA252,0)))</f>
        <v>0</v>
      </c>
      <c r="AD252" s="33">
        <f>IF(B252="","",IF(OR(O252="",O252=0,I252=""),"",(I252-O252)/O252))</f>
        <v>0</v>
      </c>
      <c r="AE252" s="43">
        <f>IF(B252="","",IF(M252="","Not tracked",IF(M252&lt;=0,"Out of stock",IF(AND(N252&lt;&gt;"",M252&lt;=N252),"Low stock","In stock"))))</f>
        <v>0</v>
      </c>
      <c r="AF252" s="32">
        <f>IF(B252="","",COUNTIFS($AB$5:$AB$254,"&gt;"&amp;AB252)+COUNTIFS($AB$5:AB252,AB252))</f>
        <v>0</v>
      </c>
      <c r="AG252" s="43">
        <f>IF(B252="","",IF(I252="","Add - no price yet",IF(OR(G252="",G252=0),"Add - how much is in a pack?",IF(AE252="Out of stock","Order - none left",IF(AE252="Low stock","Order - running low",IF(AND(AD252&lt;&gt;"",AD252&gt;0.075),"Check - price jumped, re-price the products",IF(AND(P252&lt;&gt;"",TodayDate-P252&gt;365),"Check - price is over a year old","OK")))))))</f>
        <v>0</v>
      </c>
    </row>
    <row r="253" spans="1:33">
      <c r="A253" s="38">
        <f>IF(B253="","",MaterialPrefix&amp;TEXT(ROW()-4,"0000"))</f>
        <v>0</v>
      </c>
      <c r="R253" s="20">
        <f>IF(B253="","",IF(I253="","",ROUND(I253*(1-IF(K253="",0,K253))+IF(J253="",0,J253),2)))</f>
        <v>0</v>
      </c>
      <c r="S253" s="45">
        <f>IF(B253="","",IF(OR(R253="",G253="",G253=0),"",ROUND(R253/G253,4)))</f>
        <v>0</v>
      </c>
      <c r="T253" s="13">
        <f>IF(B253="","",IFERROR(INDEX(UnitBases,MATCH(H253,UnitNames,0)),""))</f>
        <v>0</v>
      </c>
      <c r="U253" s="41">
        <f>IF(B253="","",IFERROR(INDEX(UnitFactors,MATCH(H253,UnitNames,0)),""))</f>
        <v>0</v>
      </c>
      <c r="V253" s="45">
        <f>IF(B253="","",IF(OR(S253="",U253="",U253=0),"",ROUND(S253/U253,4)))</f>
        <v>0</v>
      </c>
      <c r="W253" s="33">
        <f>IF(B253="","",IF(L253="",DefaultWaste,L253))</f>
        <v>0</v>
      </c>
      <c r="X253" s="45">
        <f>IF(B253="","",IF(S253="","",ROUND(S253*(1+W253),4)))</f>
        <v>0</v>
      </c>
      <c r="Y253" s="20">
        <f>IF(B253="","",IF(OR(M253="",S253=""),"",ROUND(M253*S253,2)))</f>
        <v>0</v>
      </c>
      <c r="Z253" s="32">
        <f>IF(B253="","",COUNTIFS('Material Usage'!$C$5:$C$904,A253))</f>
        <v>0</v>
      </c>
      <c r="AA253" s="36">
        <f>IF(B253="","",SUMIFS('Material Usage'!$K$5:$K$904,'Material Usage'!$C$5:$C$904,A253))</f>
        <v>0</v>
      </c>
      <c r="AB253" s="20">
        <f>IF(B253="","",ROUND(SUMIFS('Material Usage'!$M$5:$M$904,'Material Usage'!$C$5:$C$904,A253),2))</f>
        <v>0</v>
      </c>
      <c r="AC253" s="32">
        <f>IF(B253="","",IF(OR(M253="",AA253="",AA253&lt;=0),"",ROUNDDOWN(M253/AA253,0)))</f>
        <v>0</v>
      </c>
      <c r="AD253" s="33">
        <f>IF(B253="","",IF(OR(O253="",O253=0,I253=""),"",(I253-O253)/O253))</f>
        <v>0</v>
      </c>
      <c r="AE253" s="43">
        <f>IF(B253="","",IF(M253="","Not tracked",IF(M253&lt;=0,"Out of stock",IF(AND(N253&lt;&gt;"",M253&lt;=N253),"Low stock","In stock"))))</f>
        <v>0</v>
      </c>
      <c r="AF253" s="32">
        <f>IF(B253="","",COUNTIFS($AB$5:$AB$254,"&gt;"&amp;AB253)+COUNTIFS($AB$5:AB253,AB253))</f>
        <v>0</v>
      </c>
      <c r="AG253" s="43">
        <f>IF(B253="","",IF(I253="","Add - no price yet",IF(OR(G253="",G253=0),"Add - how much is in a pack?",IF(AE253="Out of stock","Order - none left",IF(AE253="Low stock","Order - running low",IF(AND(AD253&lt;&gt;"",AD253&gt;0.075),"Check - price jumped, re-price the products",IF(AND(P253&lt;&gt;"",TodayDate-P253&gt;365),"Check - price is over a year old","OK")))))))</f>
        <v>0</v>
      </c>
    </row>
    <row r="254" spans="1:33">
      <c r="A254" s="38">
        <f>IF(B254="","",MaterialPrefix&amp;TEXT(ROW()-4,"0000"))</f>
        <v>0</v>
      </c>
      <c r="R254" s="20">
        <f>IF(B254="","",IF(I254="","",ROUND(I254*(1-IF(K254="",0,K254))+IF(J254="",0,J254),2)))</f>
        <v>0</v>
      </c>
      <c r="S254" s="45">
        <f>IF(B254="","",IF(OR(R254="",G254="",G254=0),"",ROUND(R254/G254,4)))</f>
        <v>0</v>
      </c>
      <c r="T254" s="13">
        <f>IF(B254="","",IFERROR(INDEX(UnitBases,MATCH(H254,UnitNames,0)),""))</f>
        <v>0</v>
      </c>
      <c r="U254" s="41">
        <f>IF(B254="","",IFERROR(INDEX(UnitFactors,MATCH(H254,UnitNames,0)),""))</f>
        <v>0</v>
      </c>
      <c r="V254" s="45">
        <f>IF(B254="","",IF(OR(S254="",U254="",U254=0),"",ROUND(S254/U254,4)))</f>
        <v>0</v>
      </c>
      <c r="W254" s="33">
        <f>IF(B254="","",IF(L254="",DefaultWaste,L254))</f>
        <v>0</v>
      </c>
      <c r="X254" s="45">
        <f>IF(B254="","",IF(S254="","",ROUND(S254*(1+W254),4)))</f>
        <v>0</v>
      </c>
      <c r="Y254" s="20">
        <f>IF(B254="","",IF(OR(M254="",S254=""),"",ROUND(M254*S254,2)))</f>
        <v>0</v>
      </c>
      <c r="Z254" s="32">
        <f>IF(B254="","",COUNTIFS('Material Usage'!$C$5:$C$904,A254))</f>
        <v>0</v>
      </c>
      <c r="AA254" s="36">
        <f>IF(B254="","",SUMIFS('Material Usage'!$K$5:$K$904,'Material Usage'!$C$5:$C$904,A254))</f>
        <v>0</v>
      </c>
      <c r="AB254" s="20">
        <f>IF(B254="","",ROUND(SUMIFS('Material Usage'!$M$5:$M$904,'Material Usage'!$C$5:$C$904,A254),2))</f>
        <v>0</v>
      </c>
      <c r="AC254" s="32">
        <f>IF(B254="","",IF(OR(M254="",AA254="",AA254&lt;=0),"",ROUNDDOWN(M254/AA254,0)))</f>
        <v>0</v>
      </c>
      <c r="AD254" s="33">
        <f>IF(B254="","",IF(OR(O254="",O254=0,I254=""),"",(I254-O254)/O254))</f>
        <v>0</v>
      </c>
      <c r="AE254" s="43">
        <f>IF(B254="","",IF(M254="","Not tracked",IF(M254&lt;=0,"Out of stock",IF(AND(N254&lt;&gt;"",M254&lt;=N254),"Low stock","In stock"))))</f>
        <v>0</v>
      </c>
      <c r="AF254" s="32">
        <f>IF(B254="","",COUNTIFS($AB$5:$AB$254,"&gt;"&amp;AB254)+COUNTIFS($AB$5:AB254,AB254))</f>
        <v>0</v>
      </c>
      <c r="AG254" s="43">
        <f>IF(B254="","",IF(I254="","Add - no price yet",IF(OR(G254="",G254=0),"Add - how much is in a pack?",IF(AE254="Out of stock","Order - none left",IF(AE254="Low stock","Order - running low",IF(AND(AD254&lt;&gt;"",AD254&gt;0.075),"Check - price jumped, re-price the products",IF(AND(P254&lt;&gt;"",TodayDate-P254&gt;365),"Check - price is over a year old","OK")))))))</f>
        <v>0</v>
      </c>
    </row>
    <row r="256" spans="1:33" ht="20" customHeight="1">
      <c r="A256" s="7" t="s">
        <v>709</v>
      </c>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row>
    <row r="257" spans="1:7" ht="26" customHeight="1">
      <c r="A257" s="8" t="s">
        <v>710</v>
      </c>
      <c r="B257" s="9" t="s">
        <v>711</v>
      </c>
      <c r="C257" s="9" t="s">
        <v>712</v>
      </c>
      <c r="D257" s="9" t="s">
        <v>713</v>
      </c>
      <c r="E257" s="9" t="s">
        <v>714</v>
      </c>
      <c r="F257" s="9" t="s">
        <v>715</v>
      </c>
      <c r="G257" s="9" t="s">
        <v>716</v>
      </c>
    </row>
    <row r="258" spans="1:7">
      <c r="A258" s="32">
        <f>COUNTIF(Materials!$B$5:$B$254,"&lt;&gt;")</f>
        <v>0</v>
      </c>
      <c r="B258" s="32">
        <f>COUNTIFS(Materials!$B$5:$B$254,"&lt;&gt;",Materials!$I$5:$I$254,"&lt;&gt;")</f>
        <v>0</v>
      </c>
      <c r="C258" s="32">
        <f>COUNTIFS(Materials!$B$5:$B$254,"&lt;&gt;",Materials!$I$5:$I$254,"")</f>
        <v>0</v>
      </c>
      <c r="D258" s="20">
        <f>SUM(Materials!$Y$5:$Y$254)</f>
        <v>0</v>
      </c>
      <c r="E258" s="32">
        <f>COUNTIFS(Materials!$AE$5:$AE$254,"Low stock")+COUNTIFS(Materials!$AE$5:$AE$254,"Out of stock")</f>
        <v>0</v>
      </c>
      <c r="F258" s="32">
        <f>COUNTIFS(Materials!$AD$5:$AD$254,"&gt;0")</f>
        <v>0</v>
      </c>
      <c r="G258" s="32">
        <f>COUNTIFS(Materials!$B$5:$B$254,"&lt;&gt;",Materials!$P$5:$P$254,"&lt;"&amp;TodayDate-365)</f>
        <v>0</v>
      </c>
    </row>
  </sheetData>
  <sheetProtection password="EC7C" sheet="1" objects="1" scenarios="1" formatCells="0" formatColumns="0" formatRows="0" insertRows="0" insertHyperlinks="0" deleteRows="0" autoFilter="0"/>
  <autoFilter ref="A4:AG254"/>
  <mergeCells count="14">
    <mergeCell ref="A1:AD1"/>
    <mergeCell ref="AE1:AG1"/>
    <mergeCell ref="A2:AG2"/>
    <mergeCell ref="A3:B3"/>
    <mergeCell ref="C3:D3"/>
    <mergeCell ref="E3:F3"/>
    <mergeCell ref="G3:H3"/>
    <mergeCell ref="I3:J3"/>
    <mergeCell ref="K3:L3"/>
    <mergeCell ref="M3:N3"/>
    <mergeCell ref="O3:P3"/>
    <mergeCell ref="Q3:R3"/>
    <mergeCell ref="S3:AG3"/>
    <mergeCell ref="A256:AG256"/>
  </mergeCells>
  <conditionalFormatting sqref="AD5:AD254">
    <cfRule type="cellIs" dxfId="2" priority="1" operator="greaterThan">
      <formula>0.075</formula>
    </cfRule>
    <cfRule type="cellIs" dxfId="1" priority="2" operator="lessThan">
      <formula>0</formula>
    </cfRule>
  </conditionalFormatting>
  <conditionalFormatting sqref="AE5:AE254">
    <cfRule type="containsText" dxfId="1" priority="3" operator="containsText" text="Completed">
      <formula>NOT(ISERROR(SEARCH("Completed",AE5)))</formula>
    </cfRule>
    <cfRule type="containsText" dxfId="1" priority="4" operator="containsText" text="Complete">
      <formula>NOT(ISERROR(SEARCH("Complete",AE5)))</formula>
    </cfRule>
    <cfRule type="containsText" dxfId="1" priority="5" operator="containsText" text="Done">
      <formula>NOT(ISERROR(SEARCH("Done",AE5)))</formula>
    </cfRule>
    <cfRule type="containsText" dxfId="1" priority="6" operator="containsText" text="Paid">
      <formula>NOT(ISERROR(SEARCH("Paid",AE5)))</formula>
    </cfRule>
    <cfRule type="containsText" dxfId="1" priority="7" operator="containsText" text="Accepted">
      <formula>NOT(ISERROR(SEARCH("Accepted",AE5)))</formula>
    </cfRule>
    <cfRule type="containsText" dxfId="1" priority="8" operator="containsText" text="Won">
      <formula>NOT(ISERROR(SEARCH("Won",AE5)))</formula>
    </cfRule>
    <cfRule type="containsText" dxfId="1" priority="9" operator="containsText" text="Active">
      <formula>NOT(ISERROR(SEARCH("Active",AE5)))</formula>
    </cfRule>
    <cfRule type="containsText" dxfId="1" priority="10" operator="containsText" text="In stock">
      <formula>NOT(ISERROR(SEARCH("In stock",AE5)))</formula>
    </cfRule>
    <cfRule type="containsText" dxfId="1" priority="11" operator="containsText" text="Resolved">
      <formula>NOT(ISERROR(SEARCH("Resolved",AE5)))</formula>
    </cfRule>
    <cfRule type="containsText" dxfId="1" priority="12" operator="containsText" text="Signed">
      <formula>NOT(ISERROR(SEARCH("Signed",AE5)))</formula>
    </cfRule>
    <cfRule type="containsText" dxfId="1" priority="13" operator="containsText" text="Yes">
      <formula>NOT(ISERROR(SEARCH("Yes",AE5)))</formula>
    </cfRule>
    <cfRule type="containsText" dxfId="3" priority="14" operator="containsText" text="Booked">
      <formula>NOT(ISERROR(SEARCH("Booked",AE5)))</formula>
    </cfRule>
    <cfRule type="containsText" dxfId="3" priority="15" operator="containsText" text="Confirmed">
      <formula>NOT(ISERROR(SEARCH("Confirmed",AE5)))</formula>
    </cfRule>
    <cfRule type="containsText" dxfId="3" priority="16" operator="containsText" text="Scheduled">
      <formula>NOT(ISERROR(SEARCH("Scheduled",AE5)))</formula>
    </cfRule>
    <cfRule type="containsText" dxfId="3" priority="17" operator="containsText" text="In progress">
      <formula>NOT(ISERROR(SEARCH("In progress",AE5)))</formula>
    </cfRule>
    <cfRule type="containsText" dxfId="3" priority="18" operator="containsText" text="Sent">
      <formula>NOT(ISERROR(SEARCH("Sent",AE5)))</formula>
    </cfRule>
    <cfRule type="containsText" dxfId="3" priority="19" operator="containsText" text="Invoiced">
      <formula>NOT(ISERROR(SEARCH("Invoiced",AE5)))</formula>
    </cfRule>
    <cfRule type="containsText" dxfId="3" priority="20" operator="containsText" text="Quoted">
      <formula>NOT(ISERROR(SEARCH("Quoted",AE5)))</formula>
    </cfRule>
    <cfRule type="containsText" dxfId="3" priority="21" operator="containsText" text="Prospect">
      <formula>NOT(ISERROR(SEARCH("Prospect",AE5)))</formula>
    </cfRule>
    <cfRule type="containsText" dxfId="0" priority="22" operator="containsText" text="Draft">
      <formula>NOT(ISERROR(SEARCH("Draft",AE5)))</formula>
    </cfRule>
    <cfRule type="containsText" dxfId="0" priority="23" operator="containsText" text="Enquiry">
      <formula>NOT(ISERROR(SEARCH("Enquiry",AE5)))</formula>
    </cfRule>
    <cfRule type="containsText" dxfId="0" priority="24" operator="containsText" text="Pending">
      <formula>NOT(ISERROR(SEARCH("Pending",AE5)))</formula>
    </cfRule>
    <cfRule type="containsText" dxfId="0" priority="25" operator="containsText" text="Part paid">
      <formula>NOT(ISERROR(SEARCH("Part paid",AE5)))</formula>
    </cfRule>
    <cfRule type="containsText" dxfId="0" priority="26" operator="containsText" text="Followed up">
      <formula>NOT(ISERROR(SEARCH("Followed up",AE5)))</formula>
    </cfRule>
    <cfRule type="containsText" dxfId="0" priority="27" operator="containsText" text="Low stock">
      <formula>NOT(ISERROR(SEARCH("Low stock",AE5)))</formula>
    </cfRule>
    <cfRule type="containsText" dxfId="0" priority="28" operator="containsText" text="Due soon">
      <formula>NOT(ISERROR(SEARCH("Due soon",AE5)))</formula>
    </cfRule>
    <cfRule type="containsText" dxfId="0" priority="29" operator="containsText" text="On hold">
      <formula>NOT(ISERROR(SEARCH("On hold",AE5)))</formula>
    </cfRule>
    <cfRule type="containsText" dxfId="0" priority="30" operator="containsText" text="Unassigned">
      <formula>NOT(ISERROR(SEARCH("Unassigned",AE5)))</formula>
    </cfRule>
    <cfRule type="containsText" dxfId="2" priority="31" operator="containsText" text="Overdue">
      <formula>NOT(ISERROR(SEARCH("Overdue",AE5)))</formula>
    </cfRule>
    <cfRule type="containsText" dxfId="2" priority="32" operator="containsText" text="Cancelled">
      <formula>NOT(ISERROR(SEARCH("Cancelled",AE5)))</formula>
    </cfRule>
    <cfRule type="containsText" dxfId="2" priority="33" operator="containsText" text="Declined">
      <formula>NOT(ISERROR(SEARCH("Declined",AE5)))</formula>
    </cfRule>
    <cfRule type="containsText" dxfId="2" priority="34" operator="containsText" text="Lost">
      <formula>NOT(ISERROR(SEARCH("Lost",AE5)))</formula>
    </cfRule>
    <cfRule type="containsText" dxfId="2" priority="35" operator="containsText" text="No access">
      <formula>NOT(ISERROR(SEARCH("No access",AE5)))</formula>
    </cfRule>
    <cfRule type="containsText" dxfId="2" priority="36" operator="containsText" text="Out of stock">
      <formula>NOT(ISERROR(SEARCH("Out of stock",AE5)))</formula>
    </cfRule>
    <cfRule type="containsText" dxfId="2" priority="37" operator="containsText" text="Written off">
      <formula>NOT(ISERROR(SEARCH("Written off",AE5)))</formula>
    </cfRule>
    <cfRule type="containsText" dxfId="2" priority="38" operator="containsText" text="Expired">
      <formula>NOT(ISERROR(SEARCH("Expired",AE5)))</formula>
    </cfRule>
    <cfRule type="containsText" dxfId="4" priority="39" operator="containsText" text="Discontinued">
      <formula>NOT(ISERROR(SEARCH("Discontinued",AE5)))</formula>
    </cfRule>
    <cfRule type="containsText" dxfId="4" priority="40" operator="containsText" text="Idea">
      <formula>NOT(ISERROR(SEARCH("Idea",AE5)))</formula>
    </cfRule>
    <cfRule type="containsText" dxfId="0" priority="41" operator="containsText" text="Prototype">
      <formula>NOT(ISERROR(SEARCH("Prototype",AE5)))</formula>
    </cfRule>
    <cfRule type="containsText" dxfId="3" priority="42" operator="containsText" text="Made to order">
      <formula>NOT(ISERROR(SEARCH("Made to order",AE5)))</formula>
    </cfRule>
    <cfRule type="containsText" dxfId="3" priority="43" operator="containsText" text="Seasonal">
      <formula>NOT(ISERROR(SEARCH("Seasonal",AE5)))</formula>
    </cfRule>
    <cfRule type="containsText" dxfId="0" priority="44" operator="containsText" text="Review">
      <formula>NOT(ISERROR(SEARCH("Review",AE5)))</formula>
    </cfRule>
    <cfRule type="containsText" dxfId="0" priority="45" operator="containsText" text="Raise price">
      <formula>NOT(ISERROR(SEARCH("Raise price",AE5)))</formula>
    </cfRule>
    <cfRule type="containsText" dxfId="4" priority="46" operator="containsText" text="Inactive">
      <formula>NOT(ISERROR(SEARCH("Inactive",AE5)))</formula>
    </cfRule>
    <cfRule type="containsText" dxfId="4" priority="47" operator="containsText" text="Archived">
      <formula>NOT(ISERROR(SEARCH("Archived",AE5)))</formula>
    </cfRule>
    <cfRule type="containsText" dxfId="4" priority="48" operator="containsText" text="Not needed">
      <formula>NOT(ISERROR(SEARCH("Not needed",AE5)))</formula>
    </cfRule>
  </conditionalFormatting>
  <conditionalFormatting sqref="AG5:AG254">
    <cfRule type="beginsWith" dxfId="1" priority="49" operator="beginsWith" text="OK">
      <formula>LEFT(AG5,2)="OK"</formula>
    </cfRule>
    <cfRule type="containsText" dxfId="2" priority="50" operator="containsText" text="Overdue">
      <formula>NOT(ISERROR(SEARCH("Overdue",AG5)))</formula>
    </cfRule>
    <cfRule type="containsText" dxfId="2" priority="51" operator="containsText" text="Late">
      <formula>NOT(ISERROR(SEARCH("Late",AG5)))</formula>
    </cfRule>
    <cfRule type="containsText" dxfId="2" priority="52" operator="containsText" text="Missing">
      <formula>NOT(ISERROR(SEARCH("Missing",AG5)))</formula>
    </cfRule>
    <cfRule type="containsText" dxfId="2" priority="53" operator="containsText" text="Conflict">
      <formula>NOT(ISERROR(SEARCH("Conflict",AG5)))</formula>
    </cfRule>
    <cfRule type="containsText" dxfId="2" priority="54" operator="containsText" text="Clash">
      <formula>NOT(ISERROR(SEARCH("Clash",AG5)))</formula>
    </cfRule>
    <cfRule type="containsText" dxfId="2" priority="55" operator="containsText" text="Expired">
      <formula>NOT(ISERROR(SEARCH("Expired",AG5)))</formula>
    </cfRule>
    <cfRule type="containsText" dxfId="2" priority="56" operator="containsText" text="Duplicate">
      <formula>NOT(ISERROR(SEARCH("Duplicate",AG5)))</formula>
    </cfRule>
    <cfRule type="containsText" dxfId="2" priority="57" operator="containsText" text="Unpaid">
      <formula>NOT(ISERROR(SEARCH("Unpaid",AG5)))</formula>
    </cfRule>
    <cfRule type="containsText" dxfId="2" priority="58" operator="containsText" text="Loss">
      <formula>NOT(ISERROR(SEARCH("Loss",AG5)))</formula>
    </cfRule>
    <cfRule type="containsText" dxfId="2" priority="59" operator="containsText" text="Below">
      <formula>NOT(ISERROR(SEARCH("Below",AG5)))</formula>
    </cfRule>
    <cfRule type="containsText" dxfId="0" priority="60" operator="containsText" text="Action">
      <formula>NOT(ISERROR(SEARCH("Action",AG5)))</formula>
    </cfRule>
    <cfRule type="containsText" dxfId="0" priority="61" operator="containsText" text="Due">
      <formula>NOT(ISERROR(SEARCH("Due",AG5)))</formula>
    </cfRule>
    <cfRule type="containsText" dxfId="0" priority="62" operator="containsText" text="Check">
      <formula>NOT(ISERROR(SEARCH("Check",AG5)))</formula>
    </cfRule>
    <cfRule type="containsText" dxfId="0" priority="63" operator="containsText" text="Chase">
      <formula>NOT(ISERROR(SEARCH("Chase",AG5)))</formula>
    </cfRule>
    <cfRule type="containsText" dxfId="0" priority="64" operator="containsText" text="Assign">
      <formula>NOT(ISERROR(SEARCH("Assign",AG5)))</formula>
    </cfRule>
    <cfRule type="containsText" dxfId="0" priority="65" operator="containsText" text="Confirm">
      <formula>NOT(ISERROR(SEARCH("Confirm",AG5)))</formula>
    </cfRule>
    <cfRule type="containsText" dxfId="0" priority="66" operator="containsText" text="Order">
      <formula>NOT(ISERROR(SEARCH("Order",AG5)))</formula>
    </cfRule>
    <cfRule type="containsText" dxfId="3" priority="67" operator="containsText" text="Today">
      <formula>NOT(ISERROR(SEARCH("Today",AG5)))</formula>
    </cfRule>
    <cfRule type="containsText" dxfId="3" priority="68" operator="containsText" text="Upcoming">
      <formula>NOT(ISERROR(SEARCH("Upcoming",AG5)))</formula>
    </cfRule>
    <cfRule type="containsText" dxfId="3" priority="69" operator="containsText" text="Tomorrow">
      <formula>NOT(ISERROR(SEARCH("Tomorrow",AG5)))</formula>
    </cfRule>
  </conditionalFormatting>
  <dataValidations count="11">
    <dataValidation type="list" allowBlank="1" showInputMessage="1" showErrorMessage="1" sqref="C5:C254">
      <formula1>MaterialTypeList</formula1>
    </dataValidation>
    <dataValidation type="decimal" allowBlank="1" showInputMessage="1" showErrorMessage="1" errorTitle="Check the value" error="Enter a number between 0 and 1000000." promptTitle="Quantity in a pack" prompt="How much one purchase contains: 100 (g in a skein), 144 (beads in a gross), 2.4 (metres on a board)." sqref="G5:G254">
      <formula1>0</formula1>
      <formula2>1000000</formula2>
    </dataValidation>
    <dataValidation type="list" allowBlank="1" showInputMessage="1" showErrorMessage="1" promptTitle="Unit" prompt="The unit that quantity is measured in. The unit table on the Lists tab converts it to a base unit." sqref="H5:H254">
      <formula1>UnitList</formula1>
    </dataValidation>
    <dataValidation type="decimal" allowBlank="1" showInputMessage="1" showErrorMessage="1" errorTitle="Check the value" error="Enter a number between 0 and 1000000." promptTitle="Pack price" prompt="What the supplier charges for one pack, before any trade discount and before delivery." sqref="I5:I254">
      <formula1>0</formula1>
      <formula2>1000000</formula2>
    </dataValidation>
    <dataValidation type="decimal" allowBlank="1" showInputMessage="1" showErrorMessage="1" errorTitle="Check the value" error="Enter a number between 0 and 100000." promptTitle="Delivery per pack" prompt="Postage, divided by how many packs were on the order. It is part of what the material costs you." sqref="J5:J254">
      <formula1>0</formula1>
      <formula2>100000</formula2>
    </dataValidation>
    <dataValidation type="decimal" allowBlank="1" showInputMessage="1" showErrorMessage="1" errorTitle="Check the value" error="Enter a number between 0 and 1." sqref="K5:K254">
      <formula1>0</formula1>
      <formula2>1</formula2>
    </dataValidation>
    <dataValidation type="decimal" allowBlank="1" showInputMessage="1" showErrorMessage="1" errorTitle="Check the value" error="Enter a number between 0 and 1." promptTitle="Waste allowance" prompt="Leave blank to use the default on Settings. This is the share that becomes offcuts and mistakes - it is applied on the usage line, never here." sqref="L5:L254">
      <formula1>0</formula1>
      <formula2>1</formula2>
    </dataValidation>
    <dataValidation type="decimal" allowBlank="1" showInputMessage="1" showErrorMessage="1" errorTitle="Check the value" error="Enter a number between 0 and 10000000." promptTitle="Stock on hand" prompt="In the unit above. Count the shelf now and again." sqref="M5:M254">
      <formula1>0</formula1>
      <formula2>10000000</formula2>
    </dataValidation>
    <dataValidation type="decimal" allowBlank="1" showInputMessage="1" showErrorMessage="1" errorTitle="Check the value" error="Enter a number between 0 and 10000000." sqref="N5:N254">
      <formula1>0</formula1>
      <formula2>10000000</formula2>
    </dataValidation>
    <dataValidation type="decimal" allowBlank="1" showInputMessage="1" showErrorMessage="1" errorTitle="Check the value" error="Enter a number between 0 and 1000000." promptTitle="Previous pack price" prompt="The price before the last rise. The workbook shows you how far it has moved." sqref="O5:O254">
      <formula1>0</formula1>
      <formula2>1000000</formula2>
    </dataValidation>
    <dataValidation type="date" allowBlank="1" showInputMessage="1" showErrorMessage="1" errorTitle="Check the date" error="Enter a real date between 2000 and 2100." promptTitle="Price checked" prompt="When you last confirmed this price. Material costs drift upwards quietly." sqref="P5:P254">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&amp;L&amp;"Calibri,Bold"&amp;12&amp;C&amp;"Calibri,Bold"&amp;11Materials&amp;R&amp;"Calibri,Italic"&amp;9Handmade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B5704F"/>
    <pageSetUpPr fitToPage="1"/>
  </sheetPr>
  <dimension ref="A1:R9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6.7109375" style="13" customWidth="1"/>
    <col min="3" max="3" width="12.7109375" style="46" customWidth="1"/>
    <col min="4" max="4" width="26.7109375" style="13" customWidth="1"/>
    <col min="5" max="5" width="9.7109375" style="13" customWidth="1"/>
    <col min="6" max="6" width="12.7109375" style="21" customWidth="1"/>
    <col min="7" max="7" width="9.7109375" style="19" customWidth="1"/>
    <col min="8" max="8" width="10.7109375" style="47" customWidth="1"/>
    <col min="9" max="9" width="26.7109375" style="40" customWidth="1"/>
    <col min="10" max="10" width="9.7109375" style="33" hidden="1" customWidth="1"/>
    <col min="11" max="11" width="13.7109375" style="36" customWidth="1"/>
    <col min="12" max="12" width="11.7109375" style="45" customWidth="1"/>
    <col min="13" max="13" width="11.7109375" style="45" customWidth="1"/>
    <col min="14" max="14" width="14.7109375" style="20" hidden="1" customWidth="1"/>
    <col min="15" max="15" width="11.7109375" style="33" customWidth="1"/>
    <col min="16" max="16" width="7.7109375" style="32" hidden="1" customWidth="1"/>
    <col min="17" max="17" width="14.7109375" style="13" hidden="1" customWidth="1"/>
    <col min="18" max="18" width="24.7109375" style="43" customWidth="1"/>
    <col min="1" max="1" width="14.7109375" customWidth="1"/>
    <col min="2" max="2" width="17.7109375" customWidth="1"/>
    <col min="3" max="3" width="16.7109375" customWidth="1"/>
    <col min="4" max="4" width="19.7109375" customWidth="1"/>
    <col min="5" max="5" width="16.7109375" customWidth="1"/>
    <col min="6" max="6" width="20.7109375" customWidth="1"/>
  </cols>
  <sheetData>
    <row r="1" spans="1:18" ht="34" customHeight="1">
      <c r="A1" s="2" t="s">
        <v>717</v>
      </c>
      <c r="B1" s="2"/>
      <c r="C1" s="2"/>
      <c r="D1" s="2"/>
      <c r="E1" s="2"/>
      <c r="F1" s="2"/>
      <c r="G1" s="2"/>
      <c r="H1" s="2"/>
      <c r="I1" s="2"/>
      <c r="J1" s="2"/>
      <c r="K1" s="2"/>
      <c r="L1" s="2"/>
      <c r="M1" s="2"/>
      <c r="N1" s="2"/>
      <c r="O1" s="2"/>
      <c r="P1" s="3" t="s">
        <v>1</v>
      </c>
      <c r="Q1" s="3"/>
      <c r="R1" s="3"/>
    </row>
    <row r="2" spans="1:18" ht="18" customHeight="1">
      <c r="A2" s="4" t="s">
        <v>718</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367</v>
      </c>
      <c r="L3" s="5"/>
      <c r="M3" s="5" t="s">
        <v>368</v>
      </c>
      <c r="N3" s="5"/>
      <c r="O3" s="5" t="s">
        <v>448</v>
      </c>
      <c r="P3" s="5"/>
      <c r="Q3" s="5" t="s">
        <v>449</v>
      </c>
      <c r="R3" s="5"/>
    </row>
    <row r="4" spans="1:18" ht="30" customHeight="1">
      <c r="A4" s="8" t="s">
        <v>354</v>
      </c>
      <c r="B4" s="8" t="s">
        <v>719</v>
      </c>
      <c r="C4" s="9" t="s">
        <v>568</v>
      </c>
      <c r="D4" s="9" t="s">
        <v>720</v>
      </c>
      <c r="E4" s="9" t="s">
        <v>574</v>
      </c>
      <c r="F4" s="9" t="s">
        <v>721</v>
      </c>
      <c r="G4" s="9" t="s">
        <v>722</v>
      </c>
      <c r="H4" s="9" t="s">
        <v>723</v>
      </c>
      <c r="I4" s="9" t="s">
        <v>466</v>
      </c>
      <c r="J4" s="9" t="s">
        <v>588</v>
      </c>
      <c r="K4" s="9" t="s">
        <v>724</v>
      </c>
      <c r="L4" s="9" t="s">
        <v>584</v>
      </c>
      <c r="M4" s="9" t="s">
        <v>725</v>
      </c>
      <c r="N4" s="9" t="s">
        <v>726</v>
      </c>
      <c r="O4" s="9" t="s">
        <v>727</v>
      </c>
      <c r="P4" s="9" t="s">
        <v>728</v>
      </c>
      <c r="Q4" s="9" t="s">
        <v>434</v>
      </c>
      <c r="R4" s="9" t="s">
        <v>729</v>
      </c>
    </row>
    <row r="5" spans="1:18">
      <c r="A5" s="46" t="s">
        <v>730</v>
      </c>
      <c r="B5" s="13">
        <f>IF(A5="","",IFERROR(INDEX(Products!$B$5:$B$304,MATCH(A5,Products!$A$5:$A$304,0)),"Not found"))</f>
        <v>0</v>
      </c>
      <c r="C5" s="46" t="s">
        <v>731</v>
      </c>
      <c r="D5" s="13">
        <f>IF(C5="","",IFERROR(INDEX(Materials!$B$5:$B$254,MATCH(C5,Materials!$A$5:$A$254,0)),"Add to Materials"))</f>
        <v>0</v>
      </c>
      <c r="E5" s="13">
        <f>IF(C5="","",IFERROR(INDEX(Materials!$H$5:$H$254,MATCH(C5,Materials!$A$5:$A$254,0)),"Add to Materials"))</f>
        <v>0</v>
      </c>
      <c r="F5" s="21">
        <v>240</v>
      </c>
      <c r="G5" s="19">
        <v>0.03</v>
      </c>
      <c r="H5" s="47" t="s">
        <v>281</v>
      </c>
      <c r="I5" s="40" t="s">
        <v>732</v>
      </c>
      <c r="J5" s="33">
        <f>IF(C5="","",IF(G5&lt;&gt;"",G5,IFERROR(INDEX(Materials!$W$5:$W$254,MATCH(C5,Materials!$A$5:$A$254,0)),DefaultWaste)))</f>
        <v>0</v>
      </c>
      <c r="K5" s="36">
        <f>IF(C5="","",IF(F5="","",ROUND(F5*(1+J5),4)))</f>
        <v>0</v>
      </c>
      <c r="L5" s="45">
        <f>IF(C5="","",IFERROR(INDEX(Materials!$S$5:$S$254,MATCH(C5,Materials!$A$5:$A$254,0)),""))</f>
        <v>0</v>
      </c>
      <c r="M5" s="45">
        <f>IF(C5="","",IF(OR(K5="",L5=""),"",ROUND(K5*L5,4)))</f>
        <v>0</v>
      </c>
      <c r="N5" s="20">
        <f>IF(A5="","",ROUND(SUMIFS('Material Usage'!$M$5:$M$904,'Material Usage'!$A$5:$A$904,A5),2))</f>
        <v>0</v>
      </c>
      <c r="O5" s="33">
        <f>IF(A5="","",IF(OR(M5="",N5="",N5=0),"",M5/N5))</f>
        <v>0</v>
      </c>
      <c r="P5" s="32">
        <f>IF(A5="","",COUNTIFS($A$5:A5,A5))</f>
        <v>0</v>
      </c>
      <c r="Q5" s="13">
        <f>IF(A5="","",A5&amp;"|"&amp;P5)</f>
        <v>0</v>
      </c>
      <c r="R5" s="43">
        <f>IF(AND(A5="",C5=""),"",IF(A5="","Add - which product?",IF(C5="","Add - which material?",IF(B5="Not found","Check - no such product ID",IF(D5="Add to Materials","Check - no such material ID",IF(OR(F5="",F5=0),"Add - how much?",IF(L5="","Check - that material has no price","OK")))))))</f>
        <v>0</v>
      </c>
    </row>
    <row r="6" spans="1:18">
      <c r="A6" s="46" t="s">
        <v>730</v>
      </c>
      <c r="B6" s="13">
        <f>IF(A6="","",IFERROR(INDEX(Products!$B$5:$B$304,MATCH(A6,Products!$A$5:$A$304,0)),"Not found"))</f>
        <v>0</v>
      </c>
      <c r="C6" s="46" t="s">
        <v>733</v>
      </c>
      <c r="D6" s="13">
        <f>IF(C6="","",IFERROR(INDEX(Materials!$B$5:$B$254,MATCH(C6,Materials!$A$5:$A$254,0)),"Add to Materials"))</f>
        <v>0</v>
      </c>
      <c r="E6" s="13">
        <f>IF(C6="","",IFERROR(INDEX(Materials!$H$5:$H$254,MATCH(C6,Materials!$A$5:$A$254,0)),"Add to Materials"))</f>
        <v>0</v>
      </c>
      <c r="F6" s="21">
        <v>1</v>
      </c>
      <c r="H6" s="47" t="s">
        <v>281</v>
      </c>
      <c r="I6" s="40" t="s">
        <v>734</v>
      </c>
      <c r="J6" s="33">
        <f>IF(C6="","",IF(G6&lt;&gt;"",G6,IFERROR(INDEX(Materials!$W$5:$W$254,MATCH(C6,Materials!$A$5:$A$254,0)),DefaultWaste)))</f>
        <v>0</v>
      </c>
      <c r="K6" s="36">
        <f>IF(C6="","",IF(F6="","",ROUND(F6*(1+J6),4)))</f>
        <v>0</v>
      </c>
      <c r="L6" s="45">
        <f>IF(C6="","",IFERROR(INDEX(Materials!$S$5:$S$254,MATCH(C6,Materials!$A$5:$A$254,0)),""))</f>
        <v>0</v>
      </c>
      <c r="M6" s="45">
        <f>IF(C6="","",IF(OR(K6="",L6=""),"",ROUND(K6*L6,4)))</f>
        <v>0</v>
      </c>
      <c r="N6" s="20">
        <f>IF(A6="","",ROUND(SUMIFS('Material Usage'!$M$5:$M$904,'Material Usage'!$A$5:$A$904,A6),2))</f>
        <v>0</v>
      </c>
      <c r="O6" s="33">
        <f>IF(A6="","",IF(OR(M6="",N6="",N6=0),"",M6/N6))</f>
        <v>0</v>
      </c>
      <c r="P6" s="32">
        <f>IF(A6="","",COUNTIFS($A$5:A6,A6))</f>
        <v>0</v>
      </c>
      <c r="Q6" s="13">
        <f>IF(A6="","",A6&amp;"|"&amp;P6)</f>
        <v>0</v>
      </c>
      <c r="R6" s="43">
        <f>IF(AND(A6="",C6=""),"",IF(A6="","Add - which product?",IF(C6="","Add - which material?",IF(B6="Not found","Check - no such product ID",IF(D6="Add to Materials","Check - no such material ID",IF(OR(F6="",F6=0),"Add - how much?",IF(L6="","Check - that material has no price","OK")))))))</f>
        <v>0</v>
      </c>
    </row>
    <row r="7" spans="1:18">
      <c r="A7" s="46" t="s">
        <v>735</v>
      </c>
      <c r="B7" s="13">
        <f>IF(A7="","",IFERROR(INDEX(Products!$B$5:$B$304,MATCH(A7,Products!$A$5:$A$304,0)),"Not found"))</f>
        <v>0</v>
      </c>
      <c r="C7" s="46" t="s">
        <v>736</v>
      </c>
      <c r="D7" s="13">
        <f>IF(C7="","",IFERROR(INDEX(Materials!$B$5:$B$254,MATCH(C7,Materials!$A$5:$A$254,0)),"Add to Materials"))</f>
        <v>0</v>
      </c>
      <c r="E7" s="13">
        <f>IF(C7="","",IFERROR(INDEX(Materials!$H$5:$H$254,MATCH(C7,Materials!$A$5:$A$254,0)),"Add to Materials"))</f>
        <v>0</v>
      </c>
      <c r="F7" s="21">
        <v>85</v>
      </c>
      <c r="G7" s="19">
        <v>0.08</v>
      </c>
      <c r="H7" s="47" t="s">
        <v>281</v>
      </c>
      <c r="I7" s="40" t="s">
        <v>737</v>
      </c>
      <c r="J7" s="33">
        <f>IF(C7="","",IF(G7&lt;&gt;"",G7,IFERROR(INDEX(Materials!$W$5:$W$254,MATCH(C7,Materials!$A$5:$A$254,0)),DefaultWaste)))</f>
        <v>0</v>
      </c>
      <c r="K7" s="36">
        <f>IF(C7="","",IF(F7="","",ROUND(F7*(1+J7),4)))</f>
        <v>0</v>
      </c>
      <c r="L7" s="45">
        <f>IF(C7="","",IFERROR(INDEX(Materials!$S$5:$S$254,MATCH(C7,Materials!$A$5:$A$254,0)),""))</f>
        <v>0</v>
      </c>
      <c r="M7" s="45">
        <f>IF(C7="","",IF(OR(K7="",L7=""),"",ROUND(K7*L7,4)))</f>
        <v>0</v>
      </c>
      <c r="N7" s="20">
        <f>IF(A7="","",ROUND(SUMIFS('Material Usage'!$M$5:$M$904,'Material Usage'!$A$5:$A$904,A7),2))</f>
        <v>0</v>
      </c>
      <c r="O7" s="33">
        <f>IF(A7="","",IF(OR(M7="",N7="",N7=0),"",M7/N7))</f>
        <v>0</v>
      </c>
      <c r="P7" s="32">
        <f>IF(A7="","",COUNTIFS($A$5:A7,A7))</f>
        <v>0</v>
      </c>
      <c r="Q7" s="13">
        <f>IF(A7="","",A7&amp;"|"&amp;P7)</f>
        <v>0</v>
      </c>
      <c r="R7" s="43">
        <f>IF(AND(A7="",C7=""),"",IF(A7="","Add - which product?",IF(C7="","Add - which material?",IF(B7="Not found","Check - no such product ID",IF(D7="Add to Materials","Check - no such material ID",IF(OR(F7="",F7=0),"Add - how much?",IF(L7="","Check - that material has no price","OK")))))))</f>
        <v>0</v>
      </c>
    </row>
    <row r="8" spans="1:18">
      <c r="A8" s="46" t="s">
        <v>735</v>
      </c>
      <c r="B8" s="13">
        <f>IF(A8="","",IFERROR(INDEX(Products!$B$5:$B$304,MATCH(A8,Products!$A$5:$A$304,0)),"Not found"))</f>
        <v>0</v>
      </c>
      <c r="C8" s="46" t="s">
        <v>738</v>
      </c>
      <c r="D8" s="13">
        <f>IF(C8="","",IFERROR(INDEX(Materials!$B$5:$B$254,MATCH(C8,Materials!$A$5:$A$254,0)),"Add to Materials"))</f>
        <v>0</v>
      </c>
      <c r="E8" s="13">
        <f>IF(C8="","",IFERROR(INDEX(Materials!$H$5:$H$254,MATCH(C8,Materials!$A$5:$A$254,0)),"Add to Materials"))</f>
        <v>0</v>
      </c>
      <c r="F8" s="21">
        <v>60</v>
      </c>
      <c r="H8" s="47" t="s">
        <v>281</v>
      </c>
      <c r="J8" s="33">
        <f>IF(C8="","",IF(G8&lt;&gt;"",G8,IFERROR(INDEX(Materials!$W$5:$W$254,MATCH(C8,Materials!$A$5:$A$254,0)),DefaultWaste)))</f>
        <v>0</v>
      </c>
      <c r="K8" s="36">
        <f>IF(C8="","",IF(F8="","",ROUND(F8*(1+J8),4)))</f>
        <v>0</v>
      </c>
      <c r="L8" s="45">
        <f>IF(C8="","",IFERROR(INDEX(Materials!$S$5:$S$254,MATCH(C8,Materials!$A$5:$A$254,0)),""))</f>
        <v>0</v>
      </c>
      <c r="M8" s="45">
        <f>IF(C8="","",IF(OR(K8="",L8=""),"",ROUND(K8*L8,4)))</f>
        <v>0</v>
      </c>
      <c r="N8" s="20">
        <f>IF(A8="","",ROUND(SUMIFS('Material Usage'!$M$5:$M$904,'Material Usage'!$A$5:$A$904,A8),2))</f>
        <v>0</v>
      </c>
      <c r="O8" s="33">
        <f>IF(A8="","",IF(OR(M8="",N8="",N8=0),"",M8/N8))</f>
        <v>0</v>
      </c>
      <c r="P8" s="32">
        <f>IF(A8="","",COUNTIFS($A$5:A8,A8))</f>
        <v>0</v>
      </c>
      <c r="Q8" s="13">
        <f>IF(A8="","",A8&amp;"|"&amp;P8)</f>
        <v>0</v>
      </c>
      <c r="R8" s="43">
        <f>IF(AND(A8="",C8=""),"",IF(A8="","Add - which product?",IF(C8="","Add - which material?",IF(B8="Not found","Check - no such product ID",IF(D8="Add to Materials","Check - no such material ID",IF(OR(F8="",F8=0),"Add - how much?",IF(L8="","Check - that material has no price","OK")))))))</f>
        <v>0</v>
      </c>
    </row>
    <row r="9" spans="1:18">
      <c r="A9" s="46" t="s">
        <v>735</v>
      </c>
      <c r="B9" s="13">
        <f>IF(A9="","",IFERROR(INDEX(Products!$B$5:$B$304,MATCH(A9,Products!$A$5:$A$304,0)),"Not found"))</f>
        <v>0</v>
      </c>
      <c r="C9" s="46" t="s">
        <v>739</v>
      </c>
      <c r="D9" s="13">
        <f>IF(C9="","",IFERROR(INDEX(Materials!$B$5:$B$254,MATCH(C9,Materials!$A$5:$A$254,0)),"Add to Materials"))</f>
        <v>0</v>
      </c>
      <c r="E9" s="13">
        <f>IF(C9="","",IFERROR(INDEX(Materials!$H$5:$H$254,MATCH(C9,Materials!$A$5:$A$254,0)),"Add to Materials"))</f>
        <v>0</v>
      </c>
      <c r="F9" s="21">
        <v>1</v>
      </c>
      <c r="H9" s="47" t="s">
        <v>281</v>
      </c>
      <c r="I9" s="40" t="s">
        <v>740</v>
      </c>
      <c r="J9" s="33">
        <f>IF(C9="","",IF(G9&lt;&gt;"",G9,IFERROR(INDEX(Materials!$W$5:$W$254,MATCH(C9,Materials!$A$5:$A$254,0)),DefaultWaste)))</f>
        <v>0</v>
      </c>
      <c r="K9" s="36">
        <f>IF(C9="","",IF(F9="","",ROUND(F9*(1+J9),4)))</f>
        <v>0</v>
      </c>
      <c r="L9" s="45">
        <f>IF(C9="","",IFERROR(INDEX(Materials!$S$5:$S$254,MATCH(C9,Materials!$A$5:$A$254,0)),""))</f>
        <v>0</v>
      </c>
      <c r="M9" s="45">
        <f>IF(C9="","",IF(OR(K9="",L9=""),"",ROUND(K9*L9,4)))</f>
        <v>0</v>
      </c>
      <c r="N9" s="20">
        <f>IF(A9="","",ROUND(SUMIFS('Material Usage'!$M$5:$M$904,'Material Usage'!$A$5:$A$904,A9),2))</f>
        <v>0</v>
      </c>
      <c r="O9" s="33">
        <f>IF(A9="","",IF(OR(M9="",N9="",N9=0),"",M9/N9))</f>
        <v>0</v>
      </c>
      <c r="P9" s="32">
        <f>IF(A9="","",COUNTIFS($A$5:A9,A9))</f>
        <v>0</v>
      </c>
      <c r="Q9" s="13">
        <f>IF(A9="","",A9&amp;"|"&amp;P9)</f>
        <v>0</v>
      </c>
      <c r="R9" s="43">
        <f>IF(AND(A9="",C9=""),"",IF(A9="","Add - which product?",IF(C9="","Add - which material?",IF(B9="Not found","Check - no such product ID",IF(D9="Add to Materials","Check - no such material ID",IF(OR(F9="",F9=0),"Add - how much?",IF(L9="","Check - that material has no price","OK")))))))</f>
        <v>0</v>
      </c>
    </row>
    <row r="10" spans="1:18">
      <c r="A10" s="46" t="s">
        <v>735</v>
      </c>
      <c r="B10" s="13">
        <f>IF(A10="","",IFERROR(INDEX(Products!$B$5:$B$304,MATCH(A10,Products!$A$5:$A$304,0)),"Not found"))</f>
        <v>0</v>
      </c>
      <c r="C10" s="46" t="s">
        <v>733</v>
      </c>
      <c r="D10" s="13">
        <f>IF(C10="","",IFERROR(INDEX(Materials!$B$5:$B$254,MATCH(C10,Materials!$A$5:$A$254,0)),"Add to Materials"))</f>
        <v>0</v>
      </c>
      <c r="E10" s="13">
        <f>IF(C10="","",IFERROR(INDEX(Materials!$H$5:$H$254,MATCH(C10,Materials!$A$5:$A$254,0)),"Add to Materials"))</f>
        <v>0</v>
      </c>
      <c r="F10" s="21">
        <v>1</v>
      </c>
      <c r="H10" s="47" t="s">
        <v>281</v>
      </c>
      <c r="J10" s="33">
        <f>IF(C10="","",IF(G10&lt;&gt;"",G10,IFERROR(INDEX(Materials!$W$5:$W$254,MATCH(C10,Materials!$A$5:$A$254,0)),DefaultWaste)))</f>
        <v>0</v>
      </c>
      <c r="K10" s="36">
        <f>IF(C10="","",IF(F10="","",ROUND(F10*(1+J10),4)))</f>
        <v>0</v>
      </c>
      <c r="L10" s="45">
        <f>IF(C10="","",IFERROR(INDEX(Materials!$S$5:$S$254,MATCH(C10,Materials!$A$5:$A$254,0)),""))</f>
        <v>0</v>
      </c>
      <c r="M10" s="45">
        <f>IF(C10="","",IF(OR(K10="",L10=""),"",ROUND(K10*L10,4)))</f>
        <v>0</v>
      </c>
      <c r="N10" s="20">
        <f>IF(A10="","",ROUND(SUMIFS('Material Usage'!$M$5:$M$904,'Material Usage'!$A$5:$A$904,A10),2))</f>
        <v>0</v>
      </c>
      <c r="O10" s="33">
        <f>IF(A10="","",IF(OR(M10="",N10="",N10=0),"",M10/N10))</f>
        <v>0</v>
      </c>
      <c r="P10" s="32">
        <f>IF(A10="","",COUNTIFS($A$5:A10,A10))</f>
        <v>0</v>
      </c>
      <c r="Q10" s="13">
        <f>IF(A10="","",A10&amp;"|"&amp;P10)</f>
        <v>0</v>
      </c>
      <c r="R10" s="43">
        <f>IF(AND(A10="",C10=""),"",IF(A10="","Add - which product?",IF(C10="","Add - which material?",IF(B10="Not found","Check - no such product ID",IF(D10="Add to Materials","Check - no such material ID",IF(OR(F10="",F10=0),"Add - how much?",IF(L10="","Check - that material has no price","OK")))))))</f>
        <v>0</v>
      </c>
    </row>
    <row r="11" spans="1:18">
      <c r="A11" s="46" t="s">
        <v>741</v>
      </c>
      <c r="B11" s="13">
        <f>IF(A11="","",IFERROR(INDEX(Products!$B$5:$B$304,MATCH(A11,Products!$A$5:$A$304,0)),"Not found"))</f>
        <v>0</v>
      </c>
      <c r="C11" s="46" t="s">
        <v>742</v>
      </c>
      <c r="D11" s="13">
        <f>IF(C11="","",IFERROR(INDEX(Materials!$B$5:$B$254,MATCH(C11,Materials!$A$5:$A$254,0)),"Add to Materials"))</f>
        <v>0</v>
      </c>
      <c r="E11" s="13">
        <f>IF(C11="","",IFERROR(INDEX(Materials!$H$5:$H$254,MATCH(C11,Materials!$A$5:$A$254,0)),"Add to Materials"))</f>
        <v>0</v>
      </c>
      <c r="F11" s="21">
        <v>70</v>
      </c>
      <c r="G11" s="19">
        <v>0.12</v>
      </c>
      <c r="H11" s="47" t="s">
        <v>281</v>
      </c>
      <c r="I11" s="40" t="s">
        <v>743</v>
      </c>
      <c r="J11" s="33">
        <f>IF(C11="","",IF(G11&lt;&gt;"",G11,IFERROR(INDEX(Materials!$W$5:$W$254,MATCH(C11,Materials!$A$5:$A$254,0)),DefaultWaste)))</f>
        <v>0</v>
      </c>
      <c r="K11" s="36">
        <f>IF(C11="","",IF(F11="","",ROUND(F11*(1+J11),4)))</f>
        <v>0</v>
      </c>
      <c r="L11" s="45">
        <f>IF(C11="","",IFERROR(INDEX(Materials!$S$5:$S$254,MATCH(C11,Materials!$A$5:$A$254,0)),""))</f>
        <v>0</v>
      </c>
      <c r="M11" s="45">
        <f>IF(C11="","",IF(OR(K11="",L11=""),"",ROUND(K11*L11,4)))</f>
        <v>0</v>
      </c>
      <c r="N11" s="20">
        <f>IF(A11="","",ROUND(SUMIFS('Material Usage'!$M$5:$M$904,'Material Usage'!$A$5:$A$904,A11),2))</f>
        <v>0</v>
      </c>
      <c r="O11" s="33">
        <f>IF(A11="","",IF(OR(M11="",N11="",N11=0),"",M11/N11))</f>
        <v>0</v>
      </c>
      <c r="P11" s="32">
        <f>IF(A11="","",COUNTIFS($A$5:A11,A11))</f>
        <v>0</v>
      </c>
      <c r="Q11" s="13">
        <f>IF(A11="","",A11&amp;"|"&amp;P11)</f>
        <v>0</v>
      </c>
      <c r="R11" s="43">
        <f>IF(AND(A11="",C11=""),"",IF(A11="","Add - which product?",IF(C11="","Add - which material?",IF(B11="Not found","Check - no such product ID",IF(D11="Add to Materials","Check - no such material ID",IF(OR(F11="",F11=0),"Add - how much?",IF(L11="","Check - that material has no price","OK")))))))</f>
        <v>0</v>
      </c>
    </row>
    <row r="12" spans="1:18">
      <c r="A12" s="46" t="s">
        <v>741</v>
      </c>
      <c r="B12" s="13">
        <f>IF(A12="","",IFERROR(INDEX(Products!$B$5:$B$304,MATCH(A12,Products!$A$5:$A$304,0)),"Not found"))</f>
        <v>0</v>
      </c>
      <c r="C12" s="46" t="s">
        <v>744</v>
      </c>
      <c r="D12" s="13">
        <f>IF(C12="","",IFERROR(INDEX(Materials!$B$5:$B$254,MATCH(C12,Materials!$A$5:$A$254,0)),"Add to Materials"))</f>
        <v>0</v>
      </c>
      <c r="E12" s="13">
        <f>IF(C12="","",IFERROR(INDEX(Materials!$H$5:$H$254,MATCH(C12,Materials!$A$5:$A$254,0)),"Add to Materials"))</f>
        <v>0</v>
      </c>
      <c r="F12" s="21">
        <v>60</v>
      </c>
      <c r="G12" s="19">
        <v>0.08</v>
      </c>
      <c r="H12" s="47" t="s">
        <v>281</v>
      </c>
      <c r="I12" s="40" t="s">
        <v>745</v>
      </c>
      <c r="J12" s="33">
        <f>IF(C12="","",IF(G12&lt;&gt;"",G12,IFERROR(INDEX(Materials!$W$5:$W$254,MATCH(C12,Materials!$A$5:$A$254,0)),DefaultWaste)))</f>
        <v>0</v>
      </c>
      <c r="K12" s="36">
        <f>IF(C12="","",IF(F12="","",ROUND(F12*(1+J12),4)))</f>
        <v>0</v>
      </c>
      <c r="L12" s="45">
        <f>IF(C12="","",IFERROR(INDEX(Materials!$S$5:$S$254,MATCH(C12,Materials!$A$5:$A$254,0)),""))</f>
        <v>0</v>
      </c>
      <c r="M12" s="45">
        <f>IF(C12="","",IF(OR(K12="",L12=""),"",ROUND(K12*L12,4)))</f>
        <v>0</v>
      </c>
      <c r="N12" s="20">
        <f>IF(A12="","",ROUND(SUMIFS('Material Usage'!$M$5:$M$904,'Material Usage'!$A$5:$A$904,A12),2))</f>
        <v>0</v>
      </c>
      <c r="O12" s="33">
        <f>IF(A12="","",IF(OR(M12="",N12="",N12=0),"",M12/N12))</f>
        <v>0</v>
      </c>
      <c r="P12" s="32">
        <f>IF(A12="","",COUNTIFS($A$5:A12,A12))</f>
        <v>0</v>
      </c>
      <c r="Q12" s="13">
        <f>IF(A12="","",A12&amp;"|"&amp;P12)</f>
        <v>0</v>
      </c>
      <c r="R12" s="43">
        <f>IF(AND(A12="",C12=""),"",IF(A12="","Add - which product?",IF(C12="","Add - which material?",IF(B12="Not found","Check - no such product ID",IF(D12="Add to Materials","Check - no such material ID",IF(OR(F12="",F12=0),"Add - how much?",IF(L12="","Check - that material has no price","OK")))))))</f>
        <v>0</v>
      </c>
    </row>
    <row r="13" spans="1:18">
      <c r="A13" s="46" t="s">
        <v>741</v>
      </c>
      <c r="B13" s="13">
        <f>IF(A13="","",IFERROR(INDEX(Products!$B$5:$B$304,MATCH(A13,Products!$A$5:$A$304,0)),"Not found"))</f>
        <v>0</v>
      </c>
      <c r="C13" s="46" t="s">
        <v>746</v>
      </c>
      <c r="D13" s="13">
        <f>IF(C13="","",IFERROR(INDEX(Materials!$B$5:$B$254,MATCH(C13,Materials!$A$5:$A$254,0)),"Add to Materials"))</f>
        <v>0</v>
      </c>
      <c r="E13" s="13">
        <f>IF(C13="","",IFERROR(INDEX(Materials!$H$5:$H$254,MATCH(C13,Materials!$A$5:$A$254,0)),"Add to Materials"))</f>
        <v>0</v>
      </c>
      <c r="F13" s="21">
        <v>1</v>
      </c>
      <c r="H13" s="47" t="s">
        <v>281</v>
      </c>
      <c r="I13" s="40" t="s">
        <v>747</v>
      </c>
      <c r="J13" s="33">
        <f>IF(C13="","",IF(G13&lt;&gt;"",G13,IFERROR(INDEX(Materials!$W$5:$W$254,MATCH(C13,Materials!$A$5:$A$254,0)),DefaultWaste)))</f>
        <v>0</v>
      </c>
      <c r="K13" s="36">
        <f>IF(C13="","",IF(F13="","",ROUND(F13*(1+J13),4)))</f>
        <v>0</v>
      </c>
      <c r="L13" s="45">
        <f>IF(C13="","",IFERROR(INDEX(Materials!$S$5:$S$254,MATCH(C13,Materials!$A$5:$A$254,0)),""))</f>
        <v>0</v>
      </c>
      <c r="M13" s="45">
        <f>IF(C13="","",IF(OR(K13="",L13=""),"",ROUND(K13*L13,4)))</f>
        <v>0</v>
      </c>
      <c r="N13" s="20">
        <f>IF(A13="","",ROUND(SUMIFS('Material Usage'!$M$5:$M$904,'Material Usage'!$A$5:$A$904,A13),2))</f>
        <v>0</v>
      </c>
      <c r="O13" s="33">
        <f>IF(A13="","",IF(OR(M13="",N13="",N13=0),"",M13/N13))</f>
        <v>0</v>
      </c>
      <c r="P13" s="32">
        <f>IF(A13="","",COUNTIFS($A$5:A13,A13))</f>
        <v>0</v>
      </c>
      <c r="Q13" s="13">
        <f>IF(A13="","",A13&amp;"|"&amp;P13)</f>
        <v>0</v>
      </c>
      <c r="R13" s="43">
        <f>IF(AND(A13="",C13=""),"",IF(A13="","Add - which product?",IF(C13="","Add - which material?",IF(B13="Not found","Check - no such product ID",IF(D13="Add to Materials","Check - no such material ID",IF(OR(F13="",F13=0),"Add - how much?",IF(L13="","Check - that material has no price","OK")))))))</f>
        <v>0</v>
      </c>
    </row>
    <row r="14" spans="1:18">
      <c r="A14" s="46" t="s">
        <v>741</v>
      </c>
      <c r="B14" s="13">
        <f>IF(A14="","",IFERROR(INDEX(Products!$B$5:$B$304,MATCH(A14,Products!$A$5:$A$304,0)),"Not found"))</f>
        <v>0</v>
      </c>
      <c r="C14" s="46" t="s">
        <v>733</v>
      </c>
      <c r="D14" s="13">
        <f>IF(C14="","",IFERROR(INDEX(Materials!$B$5:$B$254,MATCH(C14,Materials!$A$5:$A$254,0)),"Add to Materials"))</f>
        <v>0</v>
      </c>
      <c r="E14" s="13">
        <f>IF(C14="","",IFERROR(INDEX(Materials!$H$5:$H$254,MATCH(C14,Materials!$A$5:$A$254,0)),"Add to Materials"))</f>
        <v>0</v>
      </c>
      <c r="F14" s="21">
        <v>1</v>
      </c>
      <c r="H14" s="47" t="s">
        <v>281</v>
      </c>
      <c r="J14" s="33">
        <f>IF(C14="","",IF(G14&lt;&gt;"",G14,IFERROR(INDEX(Materials!$W$5:$W$254,MATCH(C14,Materials!$A$5:$A$254,0)),DefaultWaste)))</f>
        <v>0</v>
      </c>
      <c r="K14" s="36">
        <f>IF(C14="","",IF(F14="","",ROUND(F14*(1+J14),4)))</f>
        <v>0</v>
      </c>
      <c r="L14" s="45">
        <f>IF(C14="","",IFERROR(INDEX(Materials!$S$5:$S$254,MATCH(C14,Materials!$A$5:$A$254,0)),""))</f>
        <v>0</v>
      </c>
      <c r="M14" s="45">
        <f>IF(C14="","",IF(OR(K14="",L14=""),"",ROUND(K14*L14,4)))</f>
        <v>0</v>
      </c>
      <c r="N14" s="20">
        <f>IF(A14="","",ROUND(SUMIFS('Material Usage'!$M$5:$M$904,'Material Usage'!$A$5:$A$904,A14),2))</f>
        <v>0</v>
      </c>
      <c r="O14" s="33">
        <f>IF(A14="","",IF(OR(M14="",N14="",N14=0),"",M14/N14))</f>
        <v>0</v>
      </c>
      <c r="P14" s="32">
        <f>IF(A14="","",COUNTIFS($A$5:A14,A14))</f>
        <v>0</v>
      </c>
      <c r="Q14" s="13">
        <f>IF(A14="","",A14&amp;"|"&amp;P14)</f>
        <v>0</v>
      </c>
      <c r="R14" s="43">
        <f>IF(AND(A14="",C14=""),"",IF(A14="","Add - which product?",IF(C14="","Add - which material?",IF(B14="Not found","Check - no such product ID",IF(D14="Add to Materials","Check - no such material ID",IF(OR(F14="",F14=0),"Add - how much?",IF(L14="","Check - that material has no price","OK")))))))</f>
        <v>0</v>
      </c>
    </row>
    <row r="15" spans="1:18">
      <c r="A15" s="46" t="s">
        <v>748</v>
      </c>
      <c r="B15" s="13">
        <f>IF(A15="","",IFERROR(INDEX(Products!$B$5:$B$304,MATCH(A15,Products!$A$5:$A$304,0)),"Not found"))</f>
        <v>0</v>
      </c>
      <c r="C15" s="46" t="s">
        <v>749</v>
      </c>
      <c r="D15" s="13">
        <f>IF(C15="","",IFERROR(INDEX(Materials!$B$5:$B$254,MATCH(C15,Materials!$A$5:$A$254,0)),"Add to Materials"))</f>
        <v>0</v>
      </c>
      <c r="E15" s="13">
        <f>IF(C15="","",IFERROR(INDEX(Materials!$H$5:$H$254,MATCH(C15,Materials!$A$5:$A$254,0)),"Add to Materials"))</f>
        <v>0</v>
      </c>
      <c r="F15" s="21">
        <v>55</v>
      </c>
      <c r="G15" s="19">
        <v>0.25</v>
      </c>
      <c r="H15" s="47" t="s">
        <v>281</v>
      </c>
      <c r="I15" s="40" t="s">
        <v>750</v>
      </c>
      <c r="J15" s="33">
        <f>IF(C15="","",IF(G15&lt;&gt;"",G15,IFERROR(INDEX(Materials!$W$5:$W$254,MATCH(C15,Materials!$A$5:$A$254,0)),DefaultWaste)))</f>
        <v>0</v>
      </c>
      <c r="K15" s="36">
        <f>IF(C15="","",IF(F15="","",ROUND(F15*(1+J15),4)))</f>
        <v>0</v>
      </c>
      <c r="L15" s="45">
        <f>IF(C15="","",IFERROR(INDEX(Materials!$S$5:$S$254,MATCH(C15,Materials!$A$5:$A$254,0)),""))</f>
        <v>0</v>
      </c>
      <c r="M15" s="45">
        <f>IF(C15="","",IF(OR(K15="",L15=""),"",ROUND(K15*L15,4)))</f>
        <v>0</v>
      </c>
      <c r="N15" s="20">
        <f>IF(A15="","",ROUND(SUMIFS('Material Usage'!$M$5:$M$904,'Material Usage'!$A$5:$A$904,A15),2))</f>
        <v>0</v>
      </c>
      <c r="O15" s="33">
        <f>IF(A15="","",IF(OR(M15="",N15="",N15=0),"",M15/N15))</f>
        <v>0</v>
      </c>
      <c r="P15" s="32">
        <f>IF(A15="","",COUNTIFS($A$5:A15,A15))</f>
        <v>0</v>
      </c>
      <c r="Q15" s="13">
        <f>IF(A15="","",A15&amp;"|"&amp;P15)</f>
        <v>0</v>
      </c>
      <c r="R15" s="43">
        <f>IF(AND(A15="",C15=""),"",IF(A15="","Add - which product?",IF(C15="","Add - which material?",IF(B15="Not found","Check - no such product ID",IF(D15="Add to Materials","Check - no such material ID",IF(OR(F15="",F15=0),"Add - how much?",IF(L15="","Check - that material has no price","OK")))))))</f>
        <v>0</v>
      </c>
    </row>
    <row r="16" spans="1:18">
      <c r="A16" s="46" t="s">
        <v>748</v>
      </c>
      <c r="B16" s="13">
        <f>IF(A16="","",IFERROR(INDEX(Products!$B$5:$B$304,MATCH(A16,Products!$A$5:$A$304,0)),"Not found"))</f>
        <v>0</v>
      </c>
      <c r="C16" s="46" t="s">
        <v>751</v>
      </c>
      <c r="D16" s="13">
        <f>IF(C16="","",IFERROR(INDEX(Materials!$B$5:$B$254,MATCH(C16,Materials!$A$5:$A$254,0)),"Add to Materials"))</f>
        <v>0</v>
      </c>
      <c r="E16" s="13">
        <f>IF(C16="","",IFERROR(INDEX(Materials!$H$5:$H$254,MATCH(C16,Materials!$A$5:$A$254,0)),"Add to Materials"))</f>
        <v>0</v>
      </c>
      <c r="F16" s="21">
        <v>18</v>
      </c>
      <c r="G16" s="19">
        <v>0.05</v>
      </c>
      <c r="H16" s="47" t="s">
        <v>281</v>
      </c>
      <c r="I16" s="40" t="s">
        <v>752</v>
      </c>
      <c r="J16" s="33">
        <f>IF(C16="","",IF(G16&lt;&gt;"",G16,IFERROR(INDEX(Materials!$W$5:$W$254,MATCH(C16,Materials!$A$5:$A$254,0)),DefaultWaste)))</f>
        <v>0</v>
      </c>
      <c r="K16" s="36">
        <f>IF(C16="","",IF(F16="","",ROUND(F16*(1+J16),4)))</f>
        <v>0</v>
      </c>
      <c r="L16" s="45">
        <f>IF(C16="","",IFERROR(INDEX(Materials!$S$5:$S$254,MATCH(C16,Materials!$A$5:$A$254,0)),""))</f>
        <v>0</v>
      </c>
      <c r="M16" s="45">
        <f>IF(C16="","",IF(OR(K16="",L16=""),"",ROUND(K16*L16,4)))</f>
        <v>0</v>
      </c>
      <c r="N16" s="20">
        <f>IF(A16="","",ROUND(SUMIFS('Material Usage'!$M$5:$M$904,'Material Usage'!$A$5:$A$904,A16),2))</f>
        <v>0</v>
      </c>
      <c r="O16" s="33">
        <f>IF(A16="","",IF(OR(M16="",N16="",N16=0),"",M16/N16))</f>
        <v>0</v>
      </c>
      <c r="P16" s="32">
        <f>IF(A16="","",COUNTIFS($A$5:A16,A16))</f>
        <v>0</v>
      </c>
      <c r="Q16" s="13">
        <f>IF(A16="","",A16&amp;"|"&amp;P16)</f>
        <v>0</v>
      </c>
      <c r="R16" s="43">
        <f>IF(AND(A16="",C16=""),"",IF(A16="","Add - which product?",IF(C16="","Add - which material?",IF(B16="Not found","Check - no such product ID",IF(D16="Add to Materials","Check - no such material ID",IF(OR(F16="",F16=0),"Add - how much?",IF(L16="","Check - that material has no price","OK")))))))</f>
        <v>0</v>
      </c>
    </row>
    <row r="17" spans="1:18">
      <c r="A17" s="46" t="s">
        <v>748</v>
      </c>
      <c r="B17" s="13">
        <f>IF(A17="","",IFERROR(INDEX(Products!$B$5:$B$304,MATCH(A17,Products!$A$5:$A$304,0)),"Not found"))</f>
        <v>0</v>
      </c>
      <c r="C17" s="46" t="s">
        <v>753</v>
      </c>
      <c r="D17" s="13">
        <f>IF(C17="","",IFERROR(INDEX(Materials!$B$5:$B$254,MATCH(C17,Materials!$A$5:$A$254,0)),"Add to Materials"))</f>
        <v>0</v>
      </c>
      <c r="E17" s="13">
        <f>IF(C17="","",IFERROR(INDEX(Materials!$H$5:$H$254,MATCH(C17,Materials!$A$5:$A$254,0)),"Add to Materials"))</f>
        <v>0</v>
      </c>
      <c r="F17" s="21">
        <v>1.5</v>
      </c>
      <c r="H17" s="47" t="s">
        <v>281</v>
      </c>
      <c r="I17" s="40" t="s">
        <v>754</v>
      </c>
      <c r="J17" s="33">
        <f>IF(C17="","",IF(G17&lt;&gt;"",G17,IFERROR(INDEX(Materials!$W$5:$W$254,MATCH(C17,Materials!$A$5:$A$254,0)),DefaultWaste)))</f>
        <v>0</v>
      </c>
      <c r="K17" s="36">
        <f>IF(C17="","",IF(F17="","",ROUND(F17*(1+J17),4)))</f>
        <v>0</v>
      </c>
      <c r="L17" s="45">
        <f>IF(C17="","",IFERROR(INDEX(Materials!$S$5:$S$254,MATCH(C17,Materials!$A$5:$A$254,0)),""))</f>
        <v>0</v>
      </c>
      <c r="M17" s="45">
        <f>IF(C17="","",IF(OR(K17="",L17=""),"",ROUND(K17*L17,4)))</f>
        <v>0</v>
      </c>
      <c r="N17" s="20">
        <f>IF(A17="","",ROUND(SUMIFS('Material Usage'!$M$5:$M$904,'Material Usage'!$A$5:$A$904,A17),2))</f>
        <v>0</v>
      </c>
      <c r="O17" s="33">
        <f>IF(A17="","",IF(OR(M17="",N17="",N17=0),"",M17/N17))</f>
        <v>0</v>
      </c>
      <c r="P17" s="32">
        <f>IF(A17="","",COUNTIFS($A$5:A17,A17))</f>
        <v>0</v>
      </c>
      <c r="Q17" s="13">
        <f>IF(A17="","",A17&amp;"|"&amp;P17)</f>
        <v>0</v>
      </c>
      <c r="R17" s="43">
        <f>IF(AND(A17="",C17=""),"",IF(A17="","Add - which product?",IF(C17="","Add - which material?",IF(B17="Not found","Check - no such product ID",IF(D17="Add to Materials","Check - no such material ID",IF(OR(F17="",F17=0),"Add - how much?",IF(L17="","Check - that material has no price","OK")))))))</f>
        <v>0</v>
      </c>
    </row>
    <row r="18" spans="1:18">
      <c r="A18" s="46" t="s">
        <v>748</v>
      </c>
      <c r="B18" s="13">
        <f>IF(A18="","",IFERROR(INDEX(Products!$B$5:$B$304,MATCH(A18,Products!$A$5:$A$304,0)),"Not found"))</f>
        <v>0</v>
      </c>
      <c r="C18" s="46" t="s">
        <v>733</v>
      </c>
      <c r="D18" s="13">
        <f>IF(C18="","",IFERROR(INDEX(Materials!$B$5:$B$254,MATCH(C18,Materials!$A$5:$A$254,0)),"Add to Materials"))</f>
        <v>0</v>
      </c>
      <c r="E18" s="13">
        <f>IF(C18="","",IFERROR(INDEX(Materials!$H$5:$H$254,MATCH(C18,Materials!$A$5:$A$254,0)),"Add to Materials"))</f>
        <v>0</v>
      </c>
      <c r="F18" s="21">
        <v>1</v>
      </c>
      <c r="H18" s="47" t="s">
        <v>278</v>
      </c>
      <c r="I18" s="40" t="s">
        <v>755</v>
      </c>
      <c r="J18" s="33">
        <f>IF(C18="","",IF(G18&lt;&gt;"",G18,IFERROR(INDEX(Materials!$W$5:$W$254,MATCH(C18,Materials!$A$5:$A$254,0)),DefaultWaste)))</f>
        <v>0</v>
      </c>
      <c r="K18" s="36">
        <f>IF(C18="","",IF(F18="","",ROUND(F18*(1+J18),4)))</f>
        <v>0</v>
      </c>
      <c r="L18" s="45">
        <f>IF(C18="","",IFERROR(INDEX(Materials!$S$5:$S$254,MATCH(C18,Materials!$A$5:$A$254,0)),""))</f>
        <v>0</v>
      </c>
      <c r="M18" s="45">
        <f>IF(C18="","",IF(OR(K18="",L18=""),"",ROUND(K18*L18,4)))</f>
        <v>0</v>
      </c>
      <c r="N18" s="20">
        <f>IF(A18="","",ROUND(SUMIFS('Material Usage'!$M$5:$M$904,'Material Usage'!$A$5:$A$904,A18),2))</f>
        <v>0</v>
      </c>
      <c r="O18" s="33">
        <f>IF(A18="","",IF(OR(M18="",N18="",N18=0),"",M18/N18))</f>
        <v>0</v>
      </c>
      <c r="P18" s="32">
        <f>IF(A18="","",COUNTIFS($A$5:A18,A18))</f>
        <v>0</v>
      </c>
      <c r="Q18" s="13">
        <f>IF(A18="","",A18&amp;"|"&amp;P18)</f>
        <v>0</v>
      </c>
      <c r="R18" s="43">
        <f>IF(AND(A18="",C18=""),"",IF(A18="","Add - which product?",IF(C18="","Add - which material?",IF(B18="Not found","Check - no such product ID",IF(D18="Add to Materials","Check - no such material ID",IF(OR(F18="",F18=0),"Add - how much?",IF(L18="","Check - that material has no price","OK")))))))</f>
        <v>0</v>
      </c>
    </row>
    <row r="19" spans="1:18">
      <c r="B19" s="13">
        <f>IF(A19="","",IFERROR(INDEX(Products!$B$5:$B$304,MATCH(A19,Products!$A$5:$A$304,0)),"Not found"))</f>
        <v>0</v>
      </c>
      <c r="D19" s="13">
        <f>IF(C19="","",IFERROR(INDEX(Materials!$B$5:$B$254,MATCH(C19,Materials!$A$5:$A$254,0)),"Add to Materials"))</f>
        <v>0</v>
      </c>
      <c r="E19" s="13">
        <f>IF(C19="","",IFERROR(INDEX(Materials!$H$5:$H$254,MATCH(C19,Materials!$A$5:$A$254,0)),"Add to Materials"))</f>
        <v>0</v>
      </c>
      <c r="J19" s="33">
        <f>IF(C19="","",IF(G19&lt;&gt;"",G19,IFERROR(INDEX(Materials!$W$5:$W$254,MATCH(C19,Materials!$A$5:$A$254,0)),DefaultWaste)))</f>
        <v>0</v>
      </c>
      <c r="K19" s="36">
        <f>IF(C19="","",IF(F19="","",ROUND(F19*(1+J19),4)))</f>
        <v>0</v>
      </c>
      <c r="L19" s="45">
        <f>IF(C19="","",IFERROR(INDEX(Materials!$S$5:$S$254,MATCH(C19,Materials!$A$5:$A$254,0)),""))</f>
        <v>0</v>
      </c>
      <c r="M19" s="45">
        <f>IF(C19="","",IF(OR(K19="",L19=""),"",ROUND(K19*L19,4)))</f>
        <v>0</v>
      </c>
      <c r="N19" s="20">
        <f>IF(A19="","",ROUND(SUMIFS('Material Usage'!$M$5:$M$904,'Material Usage'!$A$5:$A$904,A19),2))</f>
        <v>0</v>
      </c>
      <c r="O19" s="33">
        <f>IF(A19="","",IF(OR(M19="",N19="",N19=0),"",M19/N19))</f>
        <v>0</v>
      </c>
      <c r="P19" s="32">
        <f>IF(A19="","",COUNTIFS($A$5:A19,A19))</f>
        <v>0</v>
      </c>
      <c r="Q19" s="13">
        <f>IF(A19="","",A19&amp;"|"&amp;P19)</f>
        <v>0</v>
      </c>
      <c r="R19" s="43">
        <f>IF(AND(A19="",C19=""),"",IF(A19="","Add - which product?",IF(C19="","Add - which material?",IF(B19="Not found","Check - no such product ID",IF(D19="Add to Materials","Check - no such material ID",IF(OR(F19="",F19=0),"Add - how much?",IF(L19="","Check - that material has no price","OK")))))))</f>
        <v>0</v>
      </c>
    </row>
    <row r="20" spans="1:18">
      <c r="B20" s="13">
        <f>IF(A20="","",IFERROR(INDEX(Products!$B$5:$B$304,MATCH(A20,Products!$A$5:$A$304,0)),"Not found"))</f>
        <v>0</v>
      </c>
      <c r="D20" s="13">
        <f>IF(C20="","",IFERROR(INDEX(Materials!$B$5:$B$254,MATCH(C20,Materials!$A$5:$A$254,0)),"Add to Materials"))</f>
        <v>0</v>
      </c>
      <c r="E20" s="13">
        <f>IF(C20="","",IFERROR(INDEX(Materials!$H$5:$H$254,MATCH(C20,Materials!$A$5:$A$254,0)),"Add to Materials"))</f>
        <v>0</v>
      </c>
      <c r="J20" s="33">
        <f>IF(C20="","",IF(G20&lt;&gt;"",G20,IFERROR(INDEX(Materials!$W$5:$W$254,MATCH(C20,Materials!$A$5:$A$254,0)),DefaultWaste)))</f>
        <v>0</v>
      </c>
      <c r="K20" s="36">
        <f>IF(C20="","",IF(F20="","",ROUND(F20*(1+J20),4)))</f>
        <v>0</v>
      </c>
      <c r="L20" s="45">
        <f>IF(C20="","",IFERROR(INDEX(Materials!$S$5:$S$254,MATCH(C20,Materials!$A$5:$A$254,0)),""))</f>
        <v>0</v>
      </c>
      <c r="M20" s="45">
        <f>IF(C20="","",IF(OR(K20="",L20=""),"",ROUND(K20*L20,4)))</f>
        <v>0</v>
      </c>
      <c r="N20" s="20">
        <f>IF(A20="","",ROUND(SUMIFS('Material Usage'!$M$5:$M$904,'Material Usage'!$A$5:$A$904,A20),2))</f>
        <v>0</v>
      </c>
      <c r="O20" s="33">
        <f>IF(A20="","",IF(OR(M20="",N20="",N20=0),"",M20/N20))</f>
        <v>0</v>
      </c>
      <c r="P20" s="32">
        <f>IF(A20="","",COUNTIFS($A$5:A20,A20))</f>
        <v>0</v>
      </c>
      <c r="Q20" s="13">
        <f>IF(A20="","",A20&amp;"|"&amp;P20)</f>
        <v>0</v>
      </c>
      <c r="R20" s="43">
        <f>IF(AND(A20="",C20=""),"",IF(A20="","Add - which product?",IF(C20="","Add - which material?",IF(B20="Not found","Check - no such product ID",IF(D20="Add to Materials","Check - no such material ID",IF(OR(F20="",F20=0),"Add - how much?",IF(L20="","Check - that material has no price","OK")))))))</f>
        <v>0</v>
      </c>
    </row>
    <row r="21" spans="1:18">
      <c r="B21" s="13">
        <f>IF(A21="","",IFERROR(INDEX(Products!$B$5:$B$304,MATCH(A21,Products!$A$5:$A$304,0)),"Not found"))</f>
        <v>0</v>
      </c>
      <c r="D21" s="13">
        <f>IF(C21="","",IFERROR(INDEX(Materials!$B$5:$B$254,MATCH(C21,Materials!$A$5:$A$254,0)),"Add to Materials"))</f>
        <v>0</v>
      </c>
      <c r="E21" s="13">
        <f>IF(C21="","",IFERROR(INDEX(Materials!$H$5:$H$254,MATCH(C21,Materials!$A$5:$A$254,0)),"Add to Materials"))</f>
        <v>0</v>
      </c>
      <c r="J21" s="33">
        <f>IF(C21="","",IF(G21&lt;&gt;"",G21,IFERROR(INDEX(Materials!$W$5:$W$254,MATCH(C21,Materials!$A$5:$A$254,0)),DefaultWaste)))</f>
        <v>0</v>
      </c>
      <c r="K21" s="36">
        <f>IF(C21="","",IF(F21="","",ROUND(F21*(1+J21),4)))</f>
        <v>0</v>
      </c>
      <c r="L21" s="45">
        <f>IF(C21="","",IFERROR(INDEX(Materials!$S$5:$S$254,MATCH(C21,Materials!$A$5:$A$254,0)),""))</f>
        <v>0</v>
      </c>
      <c r="M21" s="45">
        <f>IF(C21="","",IF(OR(K21="",L21=""),"",ROUND(K21*L21,4)))</f>
        <v>0</v>
      </c>
      <c r="N21" s="20">
        <f>IF(A21="","",ROUND(SUMIFS('Material Usage'!$M$5:$M$904,'Material Usage'!$A$5:$A$904,A21),2))</f>
        <v>0</v>
      </c>
      <c r="O21" s="33">
        <f>IF(A21="","",IF(OR(M21="",N21="",N21=0),"",M21/N21))</f>
        <v>0</v>
      </c>
      <c r="P21" s="32">
        <f>IF(A21="","",COUNTIFS($A$5:A21,A21))</f>
        <v>0</v>
      </c>
      <c r="Q21" s="13">
        <f>IF(A21="","",A21&amp;"|"&amp;P21)</f>
        <v>0</v>
      </c>
      <c r="R21" s="43">
        <f>IF(AND(A21="",C21=""),"",IF(A21="","Add - which product?",IF(C21="","Add - which material?",IF(B21="Not found","Check - no such product ID",IF(D21="Add to Materials","Check - no such material ID",IF(OR(F21="",F21=0),"Add - how much?",IF(L21="","Check - that material has no price","OK")))))))</f>
        <v>0</v>
      </c>
    </row>
    <row r="22" spans="1:18">
      <c r="B22" s="13">
        <f>IF(A22="","",IFERROR(INDEX(Products!$B$5:$B$304,MATCH(A22,Products!$A$5:$A$304,0)),"Not found"))</f>
        <v>0</v>
      </c>
      <c r="D22" s="13">
        <f>IF(C22="","",IFERROR(INDEX(Materials!$B$5:$B$254,MATCH(C22,Materials!$A$5:$A$254,0)),"Add to Materials"))</f>
        <v>0</v>
      </c>
      <c r="E22" s="13">
        <f>IF(C22="","",IFERROR(INDEX(Materials!$H$5:$H$254,MATCH(C22,Materials!$A$5:$A$254,0)),"Add to Materials"))</f>
        <v>0</v>
      </c>
      <c r="J22" s="33">
        <f>IF(C22="","",IF(G22&lt;&gt;"",G22,IFERROR(INDEX(Materials!$W$5:$W$254,MATCH(C22,Materials!$A$5:$A$254,0)),DefaultWaste)))</f>
        <v>0</v>
      </c>
      <c r="K22" s="36">
        <f>IF(C22="","",IF(F22="","",ROUND(F22*(1+J22),4)))</f>
        <v>0</v>
      </c>
      <c r="L22" s="45">
        <f>IF(C22="","",IFERROR(INDEX(Materials!$S$5:$S$254,MATCH(C22,Materials!$A$5:$A$254,0)),""))</f>
        <v>0</v>
      </c>
      <c r="M22" s="45">
        <f>IF(C22="","",IF(OR(K22="",L22=""),"",ROUND(K22*L22,4)))</f>
        <v>0</v>
      </c>
      <c r="N22" s="20">
        <f>IF(A22="","",ROUND(SUMIFS('Material Usage'!$M$5:$M$904,'Material Usage'!$A$5:$A$904,A22),2))</f>
        <v>0</v>
      </c>
      <c r="O22" s="33">
        <f>IF(A22="","",IF(OR(M22="",N22="",N22=0),"",M22/N22))</f>
        <v>0</v>
      </c>
      <c r="P22" s="32">
        <f>IF(A22="","",COUNTIFS($A$5:A22,A22))</f>
        <v>0</v>
      </c>
      <c r="Q22" s="13">
        <f>IF(A22="","",A22&amp;"|"&amp;P22)</f>
        <v>0</v>
      </c>
      <c r="R22" s="43">
        <f>IF(AND(A22="",C22=""),"",IF(A22="","Add - which product?",IF(C22="","Add - which material?",IF(B22="Not found","Check - no such product ID",IF(D22="Add to Materials","Check - no such material ID",IF(OR(F22="",F22=0),"Add - how much?",IF(L22="","Check - that material has no price","OK")))))))</f>
        <v>0</v>
      </c>
    </row>
    <row r="23" spans="1:18">
      <c r="B23" s="13">
        <f>IF(A23="","",IFERROR(INDEX(Products!$B$5:$B$304,MATCH(A23,Products!$A$5:$A$304,0)),"Not found"))</f>
        <v>0</v>
      </c>
      <c r="D23" s="13">
        <f>IF(C23="","",IFERROR(INDEX(Materials!$B$5:$B$254,MATCH(C23,Materials!$A$5:$A$254,0)),"Add to Materials"))</f>
        <v>0</v>
      </c>
      <c r="E23" s="13">
        <f>IF(C23="","",IFERROR(INDEX(Materials!$H$5:$H$254,MATCH(C23,Materials!$A$5:$A$254,0)),"Add to Materials"))</f>
        <v>0</v>
      </c>
      <c r="J23" s="33">
        <f>IF(C23="","",IF(G23&lt;&gt;"",G23,IFERROR(INDEX(Materials!$W$5:$W$254,MATCH(C23,Materials!$A$5:$A$254,0)),DefaultWaste)))</f>
        <v>0</v>
      </c>
      <c r="K23" s="36">
        <f>IF(C23="","",IF(F23="","",ROUND(F23*(1+J23),4)))</f>
        <v>0</v>
      </c>
      <c r="L23" s="45">
        <f>IF(C23="","",IFERROR(INDEX(Materials!$S$5:$S$254,MATCH(C23,Materials!$A$5:$A$254,0)),""))</f>
        <v>0</v>
      </c>
      <c r="M23" s="45">
        <f>IF(C23="","",IF(OR(K23="",L23=""),"",ROUND(K23*L23,4)))</f>
        <v>0</v>
      </c>
      <c r="N23" s="20">
        <f>IF(A23="","",ROUND(SUMIFS('Material Usage'!$M$5:$M$904,'Material Usage'!$A$5:$A$904,A23),2))</f>
        <v>0</v>
      </c>
      <c r="O23" s="33">
        <f>IF(A23="","",IF(OR(M23="",N23="",N23=0),"",M23/N23))</f>
        <v>0</v>
      </c>
      <c r="P23" s="32">
        <f>IF(A23="","",COUNTIFS($A$5:A23,A23))</f>
        <v>0</v>
      </c>
      <c r="Q23" s="13">
        <f>IF(A23="","",A23&amp;"|"&amp;P23)</f>
        <v>0</v>
      </c>
      <c r="R23" s="43">
        <f>IF(AND(A23="",C23=""),"",IF(A23="","Add - which product?",IF(C23="","Add - which material?",IF(B23="Not found","Check - no such product ID",IF(D23="Add to Materials","Check - no such material ID",IF(OR(F23="",F23=0),"Add - how much?",IF(L23="","Check - that material has no price","OK")))))))</f>
        <v>0</v>
      </c>
    </row>
    <row r="24" spans="1:18">
      <c r="B24" s="13">
        <f>IF(A24="","",IFERROR(INDEX(Products!$B$5:$B$304,MATCH(A24,Products!$A$5:$A$304,0)),"Not found"))</f>
        <v>0</v>
      </c>
      <c r="D24" s="13">
        <f>IF(C24="","",IFERROR(INDEX(Materials!$B$5:$B$254,MATCH(C24,Materials!$A$5:$A$254,0)),"Add to Materials"))</f>
        <v>0</v>
      </c>
      <c r="E24" s="13">
        <f>IF(C24="","",IFERROR(INDEX(Materials!$H$5:$H$254,MATCH(C24,Materials!$A$5:$A$254,0)),"Add to Materials"))</f>
        <v>0</v>
      </c>
      <c r="J24" s="33">
        <f>IF(C24="","",IF(G24&lt;&gt;"",G24,IFERROR(INDEX(Materials!$W$5:$W$254,MATCH(C24,Materials!$A$5:$A$254,0)),DefaultWaste)))</f>
        <v>0</v>
      </c>
      <c r="K24" s="36">
        <f>IF(C24="","",IF(F24="","",ROUND(F24*(1+J24),4)))</f>
        <v>0</v>
      </c>
      <c r="L24" s="45">
        <f>IF(C24="","",IFERROR(INDEX(Materials!$S$5:$S$254,MATCH(C24,Materials!$A$5:$A$254,0)),""))</f>
        <v>0</v>
      </c>
      <c r="M24" s="45">
        <f>IF(C24="","",IF(OR(K24="",L24=""),"",ROUND(K24*L24,4)))</f>
        <v>0</v>
      </c>
      <c r="N24" s="20">
        <f>IF(A24="","",ROUND(SUMIFS('Material Usage'!$M$5:$M$904,'Material Usage'!$A$5:$A$904,A24),2))</f>
        <v>0</v>
      </c>
      <c r="O24" s="33">
        <f>IF(A24="","",IF(OR(M24="",N24="",N24=0),"",M24/N24))</f>
        <v>0</v>
      </c>
      <c r="P24" s="32">
        <f>IF(A24="","",COUNTIFS($A$5:A24,A24))</f>
        <v>0</v>
      </c>
      <c r="Q24" s="13">
        <f>IF(A24="","",A24&amp;"|"&amp;P24)</f>
        <v>0</v>
      </c>
      <c r="R24" s="43">
        <f>IF(AND(A24="",C24=""),"",IF(A24="","Add - which product?",IF(C24="","Add - which material?",IF(B24="Not found","Check - no such product ID",IF(D24="Add to Materials","Check - no such material ID",IF(OR(F24="",F24=0),"Add - how much?",IF(L24="","Check - that material has no price","OK")))))))</f>
        <v>0</v>
      </c>
    </row>
    <row r="25" spans="1:18">
      <c r="B25" s="13">
        <f>IF(A25="","",IFERROR(INDEX(Products!$B$5:$B$304,MATCH(A25,Products!$A$5:$A$304,0)),"Not found"))</f>
        <v>0</v>
      </c>
      <c r="D25" s="13">
        <f>IF(C25="","",IFERROR(INDEX(Materials!$B$5:$B$254,MATCH(C25,Materials!$A$5:$A$254,0)),"Add to Materials"))</f>
        <v>0</v>
      </c>
      <c r="E25" s="13">
        <f>IF(C25="","",IFERROR(INDEX(Materials!$H$5:$H$254,MATCH(C25,Materials!$A$5:$A$254,0)),"Add to Materials"))</f>
        <v>0</v>
      </c>
      <c r="J25" s="33">
        <f>IF(C25="","",IF(G25&lt;&gt;"",G25,IFERROR(INDEX(Materials!$W$5:$W$254,MATCH(C25,Materials!$A$5:$A$254,0)),DefaultWaste)))</f>
        <v>0</v>
      </c>
      <c r="K25" s="36">
        <f>IF(C25="","",IF(F25="","",ROUND(F25*(1+J25),4)))</f>
        <v>0</v>
      </c>
      <c r="L25" s="45">
        <f>IF(C25="","",IFERROR(INDEX(Materials!$S$5:$S$254,MATCH(C25,Materials!$A$5:$A$254,0)),""))</f>
        <v>0</v>
      </c>
      <c r="M25" s="45">
        <f>IF(C25="","",IF(OR(K25="",L25=""),"",ROUND(K25*L25,4)))</f>
        <v>0</v>
      </c>
      <c r="N25" s="20">
        <f>IF(A25="","",ROUND(SUMIFS('Material Usage'!$M$5:$M$904,'Material Usage'!$A$5:$A$904,A25),2))</f>
        <v>0</v>
      </c>
      <c r="O25" s="33">
        <f>IF(A25="","",IF(OR(M25="",N25="",N25=0),"",M25/N25))</f>
        <v>0</v>
      </c>
      <c r="P25" s="32">
        <f>IF(A25="","",COUNTIFS($A$5:A25,A25))</f>
        <v>0</v>
      </c>
      <c r="Q25" s="13">
        <f>IF(A25="","",A25&amp;"|"&amp;P25)</f>
        <v>0</v>
      </c>
      <c r="R25" s="43">
        <f>IF(AND(A25="",C25=""),"",IF(A25="","Add - which product?",IF(C25="","Add - which material?",IF(B25="Not found","Check - no such product ID",IF(D25="Add to Materials","Check - no such material ID",IF(OR(F25="",F25=0),"Add - how much?",IF(L25="","Check - that material has no price","OK")))))))</f>
        <v>0</v>
      </c>
    </row>
    <row r="26" spans="1:18">
      <c r="B26" s="13">
        <f>IF(A26="","",IFERROR(INDEX(Products!$B$5:$B$304,MATCH(A26,Products!$A$5:$A$304,0)),"Not found"))</f>
        <v>0</v>
      </c>
      <c r="D26" s="13">
        <f>IF(C26="","",IFERROR(INDEX(Materials!$B$5:$B$254,MATCH(C26,Materials!$A$5:$A$254,0)),"Add to Materials"))</f>
        <v>0</v>
      </c>
      <c r="E26" s="13">
        <f>IF(C26="","",IFERROR(INDEX(Materials!$H$5:$H$254,MATCH(C26,Materials!$A$5:$A$254,0)),"Add to Materials"))</f>
        <v>0</v>
      </c>
      <c r="J26" s="33">
        <f>IF(C26="","",IF(G26&lt;&gt;"",G26,IFERROR(INDEX(Materials!$W$5:$W$254,MATCH(C26,Materials!$A$5:$A$254,0)),DefaultWaste)))</f>
        <v>0</v>
      </c>
      <c r="K26" s="36">
        <f>IF(C26="","",IF(F26="","",ROUND(F26*(1+J26),4)))</f>
        <v>0</v>
      </c>
      <c r="L26" s="45">
        <f>IF(C26="","",IFERROR(INDEX(Materials!$S$5:$S$254,MATCH(C26,Materials!$A$5:$A$254,0)),""))</f>
        <v>0</v>
      </c>
      <c r="M26" s="45">
        <f>IF(C26="","",IF(OR(K26="",L26=""),"",ROUND(K26*L26,4)))</f>
        <v>0</v>
      </c>
      <c r="N26" s="20">
        <f>IF(A26="","",ROUND(SUMIFS('Material Usage'!$M$5:$M$904,'Material Usage'!$A$5:$A$904,A26),2))</f>
        <v>0</v>
      </c>
      <c r="O26" s="33">
        <f>IF(A26="","",IF(OR(M26="",N26="",N26=0),"",M26/N26))</f>
        <v>0</v>
      </c>
      <c r="P26" s="32">
        <f>IF(A26="","",COUNTIFS($A$5:A26,A26))</f>
        <v>0</v>
      </c>
      <c r="Q26" s="13">
        <f>IF(A26="","",A26&amp;"|"&amp;P26)</f>
        <v>0</v>
      </c>
      <c r="R26" s="43">
        <f>IF(AND(A26="",C26=""),"",IF(A26="","Add - which product?",IF(C26="","Add - which material?",IF(B26="Not found","Check - no such product ID",IF(D26="Add to Materials","Check - no such material ID",IF(OR(F26="",F26=0),"Add - how much?",IF(L26="","Check - that material has no price","OK")))))))</f>
        <v>0</v>
      </c>
    </row>
    <row r="27" spans="1:18">
      <c r="B27" s="13">
        <f>IF(A27="","",IFERROR(INDEX(Products!$B$5:$B$304,MATCH(A27,Products!$A$5:$A$304,0)),"Not found"))</f>
        <v>0</v>
      </c>
      <c r="D27" s="13">
        <f>IF(C27="","",IFERROR(INDEX(Materials!$B$5:$B$254,MATCH(C27,Materials!$A$5:$A$254,0)),"Add to Materials"))</f>
        <v>0</v>
      </c>
      <c r="E27" s="13">
        <f>IF(C27="","",IFERROR(INDEX(Materials!$H$5:$H$254,MATCH(C27,Materials!$A$5:$A$254,0)),"Add to Materials"))</f>
        <v>0</v>
      </c>
      <c r="J27" s="33">
        <f>IF(C27="","",IF(G27&lt;&gt;"",G27,IFERROR(INDEX(Materials!$W$5:$W$254,MATCH(C27,Materials!$A$5:$A$254,0)),DefaultWaste)))</f>
        <v>0</v>
      </c>
      <c r="K27" s="36">
        <f>IF(C27="","",IF(F27="","",ROUND(F27*(1+J27),4)))</f>
        <v>0</v>
      </c>
      <c r="L27" s="45">
        <f>IF(C27="","",IFERROR(INDEX(Materials!$S$5:$S$254,MATCH(C27,Materials!$A$5:$A$254,0)),""))</f>
        <v>0</v>
      </c>
      <c r="M27" s="45">
        <f>IF(C27="","",IF(OR(K27="",L27=""),"",ROUND(K27*L27,4)))</f>
        <v>0</v>
      </c>
      <c r="N27" s="20">
        <f>IF(A27="","",ROUND(SUMIFS('Material Usage'!$M$5:$M$904,'Material Usage'!$A$5:$A$904,A27),2))</f>
        <v>0</v>
      </c>
      <c r="O27" s="33">
        <f>IF(A27="","",IF(OR(M27="",N27="",N27=0),"",M27/N27))</f>
        <v>0</v>
      </c>
      <c r="P27" s="32">
        <f>IF(A27="","",COUNTIFS($A$5:A27,A27))</f>
        <v>0</v>
      </c>
      <c r="Q27" s="13">
        <f>IF(A27="","",A27&amp;"|"&amp;P27)</f>
        <v>0</v>
      </c>
      <c r="R27" s="43">
        <f>IF(AND(A27="",C27=""),"",IF(A27="","Add - which product?",IF(C27="","Add - which material?",IF(B27="Not found","Check - no such product ID",IF(D27="Add to Materials","Check - no such material ID",IF(OR(F27="",F27=0),"Add - how much?",IF(L27="","Check - that material has no price","OK")))))))</f>
        <v>0</v>
      </c>
    </row>
    <row r="28" spans="1:18">
      <c r="B28" s="13">
        <f>IF(A28="","",IFERROR(INDEX(Products!$B$5:$B$304,MATCH(A28,Products!$A$5:$A$304,0)),"Not found"))</f>
        <v>0</v>
      </c>
      <c r="D28" s="13">
        <f>IF(C28="","",IFERROR(INDEX(Materials!$B$5:$B$254,MATCH(C28,Materials!$A$5:$A$254,0)),"Add to Materials"))</f>
        <v>0</v>
      </c>
      <c r="E28" s="13">
        <f>IF(C28="","",IFERROR(INDEX(Materials!$H$5:$H$254,MATCH(C28,Materials!$A$5:$A$254,0)),"Add to Materials"))</f>
        <v>0</v>
      </c>
      <c r="J28" s="33">
        <f>IF(C28="","",IF(G28&lt;&gt;"",G28,IFERROR(INDEX(Materials!$W$5:$W$254,MATCH(C28,Materials!$A$5:$A$254,0)),DefaultWaste)))</f>
        <v>0</v>
      </c>
      <c r="K28" s="36">
        <f>IF(C28="","",IF(F28="","",ROUND(F28*(1+J28),4)))</f>
        <v>0</v>
      </c>
      <c r="L28" s="45">
        <f>IF(C28="","",IFERROR(INDEX(Materials!$S$5:$S$254,MATCH(C28,Materials!$A$5:$A$254,0)),""))</f>
        <v>0</v>
      </c>
      <c r="M28" s="45">
        <f>IF(C28="","",IF(OR(K28="",L28=""),"",ROUND(K28*L28,4)))</f>
        <v>0</v>
      </c>
      <c r="N28" s="20">
        <f>IF(A28="","",ROUND(SUMIFS('Material Usage'!$M$5:$M$904,'Material Usage'!$A$5:$A$904,A28),2))</f>
        <v>0</v>
      </c>
      <c r="O28" s="33">
        <f>IF(A28="","",IF(OR(M28="",N28="",N28=0),"",M28/N28))</f>
        <v>0</v>
      </c>
      <c r="P28" s="32">
        <f>IF(A28="","",COUNTIFS($A$5:A28,A28))</f>
        <v>0</v>
      </c>
      <c r="Q28" s="13">
        <f>IF(A28="","",A28&amp;"|"&amp;P28)</f>
        <v>0</v>
      </c>
      <c r="R28" s="43">
        <f>IF(AND(A28="",C28=""),"",IF(A28="","Add - which product?",IF(C28="","Add - which material?",IF(B28="Not found","Check - no such product ID",IF(D28="Add to Materials","Check - no such material ID",IF(OR(F28="",F28=0),"Add - how much?",IF(L28="","Check - that material has no price","OK")))))))</f>
        <v>0</v>
      </c>
    </row>
    <row r="29" spans="1:18">
      <c r="B29" s="13">
        <f>IF(A29="","",IFERROR(INDEX(Products!$B$5:$B$304,MATCH(A29,Products!$A$5:$A$304,0)),"Not found"))</f>
        <v>0</v>
      </c>
      <c r="D29" s="13">
        <f>IF(C29="","",IFERROR(INDEX(Materials!$B$5:$B$254,MATCH(C29,Materials!$A$5:$A$254,0)),"Add to Materials"))</f>
        <v>0</v>
      </c>
      <c r="E29" s="13">
        <f>IF(C29="","",IFERROR(INDEX(Materials!$H$5:$H$254,MATCH(C29,Materials!$A$5:$A$254,0)),"Add to Materials"))</f>
        <v>0</v>
      </c>
      <c r="J29" s="33">
        <f>IF(C29="","",IF(G29&lt;&gt;"",G29,IFERROR(INDEX(Materials!$W$5:$W$254,MATCH(C29,Materials!$A$5:$A$254,0)),DefaultWaste)))</f>
        <v>0</v>
      </c>
      <c r="K29" s="36">
        <f>IF(C29="","",IF(F29="","",ROUND(F29*(1+J29),4)))</f>
        <v>0</v>
      </c>
      <c r="L29" s="45">
        <f>IF(C29="","",IFERROR(INDEX(Materials!$S$5:$S$254,MATCH(C29,Materials!$A$5:$A$254,0)),""))</f>
        <v>0</v>
      </c>
      <c r="M29" s="45">
        <f>IF(C29="","",IF(OR(K29="",L29=""),"",ROUND(K29*L29,4)))</f>
        <v>0</v>
      </c>
      <c r="N29" s="20">
        <f>IF(A29="","",ROUND(SUMIFS('Material Usage'!$M$5:$M$904,'Material Usage'!$A$5:$A$904,A29),2))</f>
        <v>0</v>
      </c>
      <c r="O29" s="33">
        <f>IF(A29="","",IF(OR(M29="",N29="",N29=0),"",M29/N29))</f>
        <v>0</v>
      </c>
      <c r="P29" s="32">
        <f>IF(A29="","",COUNTIFS($A$5:A29,A29))</f>
        <v>0</v>
      </c>
      <c r="Q29" s="13">
        <f>IF(A29="","",A29&amp;"|"&amp;P29)</f>
        <v>0</v>
      </c>
      <c r="R29" s="43">
        <f>IF(AND(A29="",C29=""),"",IF(A29="","Add - which product?",IF(C29="","Add - which material?",IF(B29="Not found","Check - no such product ID",IF(D29="Add to Materials","Check - no such material ID",IF(OR(F29="",F29=0),"Add - how much?",IF(L29="","Check - that material has no price","OK")))))))</f>
        <v>0</v>
      </c>
    </row>
    <row r="30" spans="1:18">
      <c r="B30" s="13">
        <f>IF(A30="","",IFERROR(INDEX(Products!$B$5:$B$304,MATCH(A30,Products!$A$5:$A$304,0)),"Not found"))</f>
        <v>0</v>
      </c>
      <c r="D30" s="13">
        <f>IF(C30="","",IFERROR(INDEX(Materials!$B$5:$B$254,MATCH(C30,Materials!$A$5:$A$254,0)),"Add to Materials"))</f>
        <v>0</v>
      </c>
      <c r="E30" s="13">
        <f>IF(C30="","",IFERROR(INDEX(Materials!$H$5:$H$254,MATCH(C30,Materials!$A$5:$A$254,0)),"Add to Materials"))</f>
        <v>0</v>
      </c>
      <c r="J30" s="33">
        <f>IF(C30="","",IF(G30&lt;&gt;"",G30,IFERROR(INDEX(Materials!$W$5:$W$254,MATCH(C30,Materials!$A$5:$A$254,0)),DefaultWaste)))</f>
        <v>0</v>
      </c>
      <c r="K30" s="36">
        <f>IF(C30="","",IF(F30="","",ROUND(F30*(1+J30),4)))</f>
        <v>0</v>
      </c>
      <c r="L30" s="45">
        <f>IF(C30="","",IFERROR(INDEX(Materials!$S$5:$S$254,MATCH(C30,Materials!$A$5:$A$254,0)),""))</f>
        <v>0</v>
      </c>
      <c r="M30" s="45">
        <f>IF(C30="","",IF(OR(K30="",L30=""),"",ROUND(K30*L30,4)))</f>
        <v>0</v>
      </c>
      <c r="N30" s="20">
        <f>IF(A30="","",ROUND(SUMIFS('Material Usage'!$M$5:$M$904,'Material Usage'!$A$5:$A$904,A30),2))</f>
        <v>0</v>
      </c>
      <c r="O30" s="33">
        <f>IF(A30="","",IF(OR(M30="",N30="",N30=0),"",M30/N30))</f>
        <v>0</v>
      </c>
      <c r="P30" s="32">
        <f>IF(A30="","",COUNTIFS($A$5:A30,A30))</f>
        <v>0</v>
      </c>
      <c r="Q30" s="13">
        <f>IF(A30="","",A30&amp;"|"&amp;P30)</f>
        <v>0</v>
      </c>
      <c r="R30" s="43">
        <f>IF(AND(A30="",C30=""),"",IF(A30="","Add - which product?",IF(C30="","Add - which material?",IF(B30="Not found","Check - no such product ID",IF(D30="Add to Materials","Check - no such material ID",IF(OR(F30="",F30=0),"Add - how much?",IF(L30="","Check - that material has no price","OK")))))))</f>
        <v>0</v>
      </c>
    </row>
    <row r="31" spans="1:18">
      <c r="B31" s="13">
        <f>IF(A31="","",IFERROR(INDEX(Products!$B$5:$B$304,MATCH(A31,Products!$A$5:$A$304,0)),"Not found"))</f>
        <v>0</v>
      </c>
      <c r="D31" s="13">
        <f>IF(C31="","",IFERROR(INDEX(Materials!$B$5:$B$254,MATCH(C31,Materials!$A$5:$A$254,0)),"Add to Materials"))</f>
        <v>0</v>
      </c>
      <c r="E31" s="13">
        <f>IF(C31="","",IFERROR(INDEX(Materials!$H$5:$H$254,MATCH(C31,Materials!$A$5:$A$254,0)),"Add to Materials"))</f>
        <v>0</v>
      </c>
      <c r="J31" s="33">
        <f>IF(C31="","",IF(G31&lt;&gt;"",G31,IFERROR(INDEX(Materials!$W$5:$W$254,MATCH(C31,Materials!$A$5:$A$254,0)),DefaultWaste)))</f>
        <v>0</v>
      </c>
      <c r="K31" s="36">
        <f>IF(C31="","",IF(F31="","",ROUND(F31*(1+J31),4)))</f>
        <v>0</v>
      </c>
      <c r="L31" s="45">
        <f>IF(C31="","",IFERROR(INDEX(Materials!$S$5:$S$254,MATCH(C31,Materials!$A$5:$A$254,0)),""))</f>
        <v>0</v>
      </c>
      <c r="M31" s="45">
        <f>IF(C31="","",IF(OR(K31="",L31=""),"",ROUND(K31*L31,4)))</f>
        <v>0</v>
      </c>
      <c r="N31" s="20">
        <f>IF(A31="","",ROUND(SUMIFS('Material Usage'!$M$5:$M$904,'Material Usage'!$A$5:$A$904,A31),2))</f>
        <v>0</v>
      </c>
      <c r="O31" s="33">
        <f>IF(A31="","",IF(OR(M31="",N31="",N31=0),"",M31/N31))</f>
        <v>0</v>
      </c>
      <c r="P31" s="32">
        <f>IF(A31="","",COUNTIFS($A$5:A31,A31))</f>
        <v>0</v>
      </c>
      <c r="Q31" s="13">
        <f>IF(A31="","",A31&amp;"|"&amp;P31)</f>
        <v>0</v>
      </c>
      <c r="R31" s="43">
        <f>IF(AND(A31="",C31=""),"",IF(A31="","Add - which product?",IF(C31="","Add - which material?",IF(B31="Not found","Check - no such product ID",IF(D31="Add to Materials","Check - no such material ID",IF(OR(F31="",F31=0),"Add - how much?",IF(L31="","Check - that material has no price","OK")))))))</f>
        <v>0</v>
      </c>
    </row>
    <row r="32" spans="1:18">
      <c r="B32" s="13">
        <f>IF(A32="","",IFERROR(INDEX(Products!$B$5:$B$304,MATCH(A32,Products!$A$5:$A$304,0)),"Not found"))</f>
        <v>0</v>
      </c>
      <c r="D32" s="13">
        <f>IF(C32="","",IFERROR(INDEX(Materials!$B$5:$B$254,MATCH(C32,Materials!$A$5:$A$254,0)),"Add to Materials"))</f>
        <v>0</v>
      </c>
      <c r="E32" s="13">
        <f>IF(C32="","",IFERROR(INDEX(Materials!$H$5:$H$254,MATCH(C32,Materials!$A$5:$A$254,0)),"Add to Materials"))</f>
        <v>0</v>
      </c>
      <c r="J32" s="33">
        <f>IF(C32="","",IF(G32&lt;&gt;"",G32,IFERROR(INDEX(Materials!$W$5:$W$254,MATCH(C32,Materials!$A$5:$A$254,0)),DefaultWaste)))</f>
        <v>0</v>
      </c>
      <c r="K32" s="36">
        <f>IF(C32="","",IF(F32="","",ROUND(F32*(1+J32),4)))</f>
        <v>0</v>
      </c>
      <c r="L32" s="45">
        <f>IF(C32="","",IFERROR(INDEX(Materials!$S$5:$S$254,MATCH(C32,Materials!$A$5:$A$254,0)),""))</f>
        <v>0</v>
      </c>
      <c r="M32" s="45">
        <f>IF(C32="","",IF(OR(K32="",L32=""),"",ROUND(K32*L32,4)))</f>
        <v>0</v>
      </c>
      <c r="N32" s="20">
        <f>IF(A32="","",ROUND(SUMIFS('Material Usage'!$M$5:$M$904,'Material Usage'!$A$5:$A$904,A32),2))</f>
        <v>0</v>
      </c>
      <c r="O32" s="33">
        <f>IF(A32="","",IF(OR(M32="",N32="",N32=0),"",M32/N32))</f>
        <v>0</v>
      </c>
      <c r="P32" s="32">
        <f>IF(A32="","",COUNTIFS($A$5:A32,A32))</f>
        <v>0</v>
      </c>
      <c r="Q32" s="13">
        <f>IF(A32="","",A32&amp;"|"&amp;P32)</f>
        <v>0</v>
      </c>
      <c r="R32" s="43">
        <f>IF(AND(A32="",C32=""),"",IF(A32="","Add - which product?",IF(C32="","Add - which material?",IF(B32="Not found","Check - no such product ID",IF(D32="Add to Materials","Check - no such material ID",IF(OR(F32="",F32=0),"Add - how much?",IF(L32="","Check - that material has no price","OK")))))))</f>
        <v>0</v>
      </c>
    </row>
    <row r="33" spans="2:18">
      <c r="B33" s="13">
        <f>IF(A33="","",IFERROR(INDEX(Products!$B$5:$B$304,MATCH(A33,Products!$A$5:$A$304,0)),"Not found"))</f>
        <v>0</v>
      </c>
      <c r="D33" s="13">
        <f>IF(C33="","",IFERROR(INDEX(Materials!$B$5:$B$254,MATCH(C33,Materials!$A$5:$A$254,0)),"Add to Materials"))</f>
        <v>0</v>
      </c>
      <c r="E33" s="13">
        <f>IF(C33="","",IFERROR(INDEX(Materials!$H$5:$H$254,MATCH(C33,Materials!$A$5:$A$254,0)),"Add to Materials"))</f>
        <v>0</v>
      </c>
      <c r="J33" s="33">
        <f>IF(C33="","",IF(G33&lt;&gt;"",G33,IFERROR(INDEX(Materials!$W$5:$W$254,MATCH(C33,Materials!$A$5:$A$254,0)),DefaultWaste)))</f>
        <v>0</v>
      </c>
      <c r="K33" s="36">
        <f>IF(C33="","",IF(F33="","",ROUND(F33*(1+J33),4)))</f>
        <v>0</v>
      </c>
      <c r="L33" s="45">
        <f>IF(C33="","",IFERROR(INDEX(Materials!$S$5:$S$254,MATCH(C33,Materials!$A$5:$A$254,0)),""))</f>
        <v>0</v>
      </c>
      <c r="M33" s="45">
        <f>IF(C33="","",IF(OR(K33="",L33=""),"",ROUND(K33*L33,4)))</f>
        <v>0</v>
      </c>
      <c r="N33" s="20">
        <f>IF(A33="","",ROUND(SUMIFS('Material Usage'!$M$5:$M$904,'Material Usage'!$A$5:$A$904,A33),2))</f>
        <v>0</v>
      </c>
      <c r="O33" s="33">
        <f>IF(A33="","",IF(OR(M33="",N33="",N33=0),"",M33/N33))</f>
        <v>0</v>
      </c>
      <c r="P33" s="32">
        <f>IF(A33="","",COUNTIFS($A$5:A33,A33))</f>
        <v>0</v>
      </c>
      <c r="Q33" s="13">
        <f>IF(A33="","",A33&amp;"|"&amp;P33)</f>
        <v>0</v>
      </c>
      <c r="R33" s="43">
        <f>IF(AND(A33="",C33=""),"",IF(A33="","Add - which product?",IF(C33="","Add - which material?",IF(B33="Not found","Check - no such product ID",IF(D33="Add to Materials","Check - no such material ID",IF(OR(F33="",F33=0),"Add - how much?",IF(L33="","Check - that material has no price","OK")))))))</f>
        <v>0</v>
      </c>
    </row>
    <row r="34" spans="2:18">
      <c r="B34" s="13">
        <f>IF(A34="","",IFERROR(INDEX(Products!$B$5:$B$304,MATCH(A34,Products!$A$5:$A$304,0)),"Not found"))</f>
        <v>0</v>
      </c>
      <c r="D34" s="13">
        <f>IF(C34="","",IFERROR(INDEX(Materials!$B$5:$B$254,MATCH(C34,Materials!$A$5:$A$254,0)),"Add to Materials"))</f>
        <v>0</v>
      </c>
      <c r="E34" s="13">
        <f>IF(C34="","",IFERROR(INDEX(Materials!$H$5:$H$254,MATCH(C34,Materials!$A$5:$A$254,0)),"Add to Materials"))</f>
        <v>0</v>
      </c>
      <c r="J34" s="33">
        <f>IF(C34="","",IF(G34&lt;&gt;"",G34,IFERROR(INDEX(Materials!$W$5:$W$254,MATCH(C34,Materials!$A$5:$A$254,0)),DefaultWaste)))</f>
        <v>0</v>
      </c>
      <c r="K34" s="36">
        <f>IF(C34="","",IF(F34="","",ROUND(F34*(1+J34),4)))</f>
        <v>0</v>
      </c>
      <c r="L34" s="45">
        <f>IF(C34="","",IFERROR(INDEX(Materials!$S$5:$S$254,MATCH(C34,Materials!$A$5:$A$254,0)),""))</f>
        <v>0</v>
      </c>
      <c r="M34" s="45">
        <f>IF(C34="","",IF(OR(K34="",L34=""),"",ROUND(K34*L34,4)))</f>
        <v>0</v>
      </c>
      <c r="N34" s="20">
        <f>IF(A34="","",ROUND(SUMIFS('Material Usage'!$M$5:$M$904,'Material Usage'!$A$5:$A$904,A34),2))</f>
        <v>0</v>
      </c>
      <c r="O34" s="33">
        <f>IF(A34="","",IF(OR(M34="",N34="",N34=0),"",M34/N34))</f>
        <v>0</v>
      </c>
      <c r="P34" s="32">
        <f>IF(A34="","",COUNTIFS($A$5:A34,A34))</f>
        <v>0</v>
      </c>
      <c r="Q34" s="13">
        <f>IF(A34="","",A34&amp;"|"&amp;P34)</f>
        <v>0</v>
      </c>
      <c r="R34" s="43">
        <f>IF(AND(A34="",C34=""),"",IF(A34="","Add - which product?",IF(C34="","Add - which material?",IF(B34="Not found","Check - no such product ID",IF(D34="Add to Materials","Check - no such material ID",IF(OR(F34="",F34=0),"Add - how much?",IF(L34="","Check - that material has no price","OK")))))))</f>
        <v>0</v>
      </c>
    </row>
    <row r="35" spans="2:18">
      <c r="B35" s="13">
        <f>IF(A35="","",IFERROR(INDEX(Products!$B$5:$B$304,MATCH(A35,Products!$A$5:$A$304,0)),"Not found"))</f>
        <v>0</v>
      </c>
      <c r="D35" s="13">
        <f>IF(C35="","",IFERROR(INDEX(Materials!$B$5:$B$254,MATCH(C35,Materials!$A$5:$A$254,0)),"Add to Materials"))</f>
        <v>0</v>
      </c>
      <c r="E35" s="13">
        <f>IF(C35="","",IFERROR(INDEX(Materials!$H$5:$H$254,MATCH(C35,Materials!$A$5:$A$254,0)),"Add to Materials"))</f>
        <v>0</v>
      </c>
      <c r="J35" s="33">
        <f>IF(C35="","",IF(G35&lt;&gt;"",G35,IFERROR(INDEX(Materials!$W$5:$W$254,MATCH(C35,Materials!$A$5:$A$254,0)),DefaultWaste)))</f>
        <v>0</v>
      </c>
      <c r="K35" s="36">
        <f>IF(C35="","",IF(F35="","",ROUND(F35*(1+J35),4)))</f>
        <v>0</v>
      </c>
      <c r="L35" s="45">
        <f>IF(C35="","",IFERROR(INDEX(Materials!$S$5:$S$254,MATCH(C35,Materials!$A$5:$A$254,0)),""))</f>
        <v>0</v>
      </c>
      <c r="M35" s="45">
        <f>IF(C35="","",IF(OR(K35="",L35=""),"",ROUND(K35*L35,4)))</f>
        <v>0</v>
      </c>
      <c r="N35" s="20">
        <f>IF(A35="","",ROUND(SUMIFS('Material Usage'!$M$5:$M$904,'Material Usage'!$A$5:$A$904,A35),2))</f>
        <v>0</v>
      </c>
      <c r="O35" s="33">
        <f>IF(A35="","",IF(OR(M35="",N35="",N35=0),"",M35/N35))</f>
        <v>0</v>
      </c>
      <c r="P35" s="32">
        <f>IF(A35="","",COUNTIFS($A$5:A35,A35))</f>
        <v>0</v>
      </c>
      <c r="Q35" s="13">
        <f>IF(A35="","",A35&amp;"|"&amp;P35)</f>
        <v>0</v>
      </c>
      <c r="R35" s="43">
        <f>IF(AND(A35="",C35=""),"",IF(A35="","Add - which product?",IF(C35="","Add - which material?",IF(B35="Not found","Check - no such product ID",IF(D35="Add to Materials","Check - no such material ID",IF(OR(F35="",F35=0),"Add - how much?",IF(L35="","Check - that material has no price","OK")))))))</f>
        <v>0</v>
      </c>
    </row>
    <row r="36" spans="2:18">
      <c r="B36" s="13">
        <f>IF(A36="","",IFERROR(INDEX(Products!$B$5:$B$304,MATCH(A36,Products!$A$5:$A$304,0)),"Not found"))</f>
        <v>0</v>
      </c>
      <c r="D36" s="13">
        <f>IF(C36="","",IFERROR(INDEX(Materials!$B$5:$B$254,MATCH(C36,Materials!$A$5:$A$254,0)),"Add to Materials"))</f>
        <v>0</v>
      </c>
      <c r="E36" s="13">
        <f>IF(C36="","",IFERROR(INDEX(Materials!$H$5:$H$254,MATCH(C36,Materials!$A$5:$A$254,0)),"Add to Materials"))</f>
        <v>0</v>
      </c>
      <c r="J36" s="33">
        <f>IF(C36="","",IF(G36&lt;&gt;"",G36,IFERROR(INDEX(Materials!$W$5:$W$254,MATCH(C36,Materials!$A$5:$A$254,0)),DefaultWaste)))</f>
        <v>0</v>
      </c>
      <c r="K36" s="36">
        <f>IF(C36="","",IF(F36="","",ROUND(F36*(1+J36),4)))</f>
        <v>0</v>
      </c>
      <c r="L36" s="45">
        <f>IF(C36="","",IFERROR(INDEX(Materials!$S$5:$S$254,MATCH(C36,Materials!$A$5:$A$254,0)),""))</f>
        <v>0</v>
      </c>
      <c r="M36" s="45">
        <f>IF(C36="","",IF(OR(K36="",L36=""),"",ROUND(K36*L36,4)))</f>
        <v>0</v>
      </c>
      <c r="N36" s="20">
        <f>IF(A36="","",ROUND(SUMIFS('Material Usage'!$M$5:$M$904,'Material Usage'!$A$5:$A$904,A36),2))</f>
        <v>0</v>
      </c>
      <c r="O36" s="33">
        <f>IF(A36="","",IF(OR(M36="",N36="",N36=0),"",M36/N36))</f>
        <v>0</v>
      </c>
      <c r="P36" s="32">
        <f>IF(A36="","",COUNTIFS($A$5:A36,A36))</f>
        <v>0</v>
      </c>
      <c r="Q36" s="13">
        <f>IF(A36="","",A36&amp;"|"&amp;P36)</f>
        <v>0</v>
      </c>
      <c r="R36" s="43">
        <f>IF(AND(A36="",C36=""),"",IF(A36="","Add - which product?",IF(C36="","Add - which material?",IF(B36="Not found","Check - no such product ID",IF(D36="Add to Materials","Check - no such material ID",IF(OR(F36="",F36=0),"Add - how much?",IF(L36="","Check - that material has no price","OK")))))))</f>
        <v>0</v>
      </c>
    </row>
    <row r="37" spans="2:18">
      <c r="B37" s="13">
        <f>IF(A37="","",IFERROR(INDEX(Products!$B$5:$B$304,MATCH(A37,Products!$A$5:$A$304,0)),"Not found"))</f>
        <v>0</v>
      </c>
      <c r="D37" s="13">
        <f>IF(C37="","",IFERROR(INDEX(Materials!$B$5:$B$254,MATCH(C37,Materials!$A$5:$A$254,0)),"Add to Materials"))</f>
        <v>0</v>
      </c>
      <c r="E37" s="13">
        <f>IF(C37="","",IFERROR(INDEX(Materials!$H$5:$H$254,MATCH(C37,Materials!$A$5:$A$254,0)),"Add to Materials"))</f>
        <v>0</v>
      </c>
      <c r="J37" s="33">
        <f>IF(C37="","",IF(G37&lt;&gt;"",G37,IFERROR(INDEX(Materials!$W$5:$W$254,MATCH(C37,Materials!$A$5:$A$254,0)),DefaultWaste)))</f>
        <v>0</v>
      </c>
      <c r="K37" s="36">
        <f>IF(C37="","",IF(F37="","",ROUND(F37*(1+J37),4)))</f>
        <v>0</v>
      </c>
      <c r="L37" s="45">
        <f>IF(C37="","",IFERROR(INDEX(Materials!$S$5:$S$254,MATCH(C37,Materials!$A$5:$A$254,0)),""))</f>
        <v>0</v>
      </c>
      <c r="M37" s="45">
        <f>IF(C37="","",IF(OR(K37="",L37=""),"",ROUND(K37*L37,4)))</f>
        <v>0</v>
      </c>
      <c r="N37" s="20">
        <f>IF(A37="","",ROUND(SUMIFS('Material Usage'!$M$5:$M$904,'Material Usage'!$A$5:$A$904,A37),2))</f>
        <v>0</v>
      </c>
      <c r="O37" s="33">
        <f>IF(A37="","",IF(OR(M37="",N37="",N37=0),"",M37/N37))</f>
        <v>0</v>
      </c>
      <c r="P37" s="32">
        <f>IF(A37="","",COUNTIFS($A$5:A37,A37))</f>
        <v>0</v>
      </c>
      <c r="Q37" s="13">
        <f>IF(A37="","",A37&amp;"|"&amp;P37)</f>
        <v>0</v>
      </c>
      <c r="R37" s="43">
        <f>IF(AND(A37="",C37=""),"",IF(A37="","Add - which product?",IF(C37="","Add - which material?",IF(B37="Not found","Check - no such product ID",IF(D37="Add to Materials","Check - no such material ID",IF(OR(F37="",F37=0),"Add - how much?",IF(L37="","Check - that material has no price","OK")))))))</f>
        <v>0</v>
      </c>
    </row>
    <row r="38" spans="2:18">
      <c r="B38" s="13">
        <f>IF(A38="","",IFERROR(INDEX(Products!$B$5:$B$304,MATCH(A38,Products!$A$5:$A$304,0)),"Not found"))</f>
        <v>0</v>
      </c>
      <c r="D38" s="13">
        <f>IF(C38="","",IFERROR(INDEX(Materials!$B$5:$B$254,MATCH(C38,Materials!$A$5:$A$254,0)),"Add to Materials"))</f>
        <v>0</v>
      </c>
      <c r="E38" s="13">
        <f>IF(C38="","",IFERROR(INDEX(Materials!$H$5:$H$254,MATCH(C38,Materials!$A$5:$A$254,0)),"Add to Materials"))</f>
        <v>0</v>
      </c>
      <c r="J38" s="33">
        <f>IF(C38="","",IF(G38&lt;&gt;"",G38,IFERROR(INDEX(Materials!$W$5:$W$254,MATCH(C38,Materials!$A$5:$A$254,0)),DefaultWaste)))</f>
        <v>0</v>
      </c>
      <c r="K38" s="36">
        <f>IF(C38="","",IF(F38="","",ROUND(F38*(1+J38),4)))</f>
        <v>0</v>
      </c>
      <c r="L38" s="45">
        <f>IF(C38="","",IFERROR(INDEX(Materials!$S$5:$S$254,MATCH(C38,Materials!$A$5:$A$254,0)),""))</f>
        <v>0</v>
      </c>
      <c r="M38" s="45">
        <f>IF(C38="","",IF(OR(K38="",L38=""),"",ROUND(K38*L38,4)))</f>
        <v>0</v>
      </c>
      <c r="N38" s="20">
        <f>IF(A38="","",ROUND(SUMIFS('Material Usage'!$M$5:$M$904,'Material Usage'!$A$5:$A$904,A38),2))</f>
        <v>0</v>
      </c>
      <c r="O38" s="33">
        <f>IF(A38="","",IF(OR(M38="",N38="",N38=0),"",M38/N38))</f>
        <v>0</v>
      </c>
      <c r="P38" s="32">
        <f>IF(A38="","",COUNTIFS($A$5:A38,A38))</f>
        <v>0</v>
      </c>
      <c r="Q38" s="13">
        <f>IF(A38="","",A38&amp;"|"&amp;P38)</f>
        <v>0</v>
      </c>
      <c r="R38" s="43">
        <f>IF(AND(A38="",C38=""),"",IF(A38="","Add - which product?",IF(C38="","Add - which material?",IF(B38="Not found","Check - no such product ID",IF(D38="Add to Materials","Check - no such material ID",IF(OR(F38="",F38=0),"Add - how much?",IF(L38="","Check - that material has no price","OK")))))))</f>
        <v>0</v>
      </c>
    </row>
    <row r="39" spans="2:18">
      <c r="B39" s="13">
        <f>IF(A39="","",IFERROR(INDEX(Products!$B$5:$B$304,MATCH(A39,Products!$A$5:$A$304,0)),"Not found"))</f>
        <v>0</v>
      </c>
      <c r="D39" s="13">
        <f>IF(C39="","",IFERROR(INDEX(Materials!$B$5:$B$254,MATCH(C39,Materials!$A$5:$A$254,0)),"Add to Materials"))</f>
        <v>0</v>
      </c>
      <c r="E39" s="13">
        <f>IF(C39="","",IFERROR(INDEX(Materials!$H$5:$H$254,MATCH(C39,Materials!$A$5:$A$254,0)),"Add to Materials"))</f>
        <v>0</v>
      </c>
      <c r="J39" s="33">
        <f>IF(C39="","",IF(G39&lt;&gt;"",G39,IFERROR(INDEX(Materials!$W$5:$W$254,MATCH(C39,Materials!$A$5:$A$254,0)),DefaultWaste)))</f>
        <v>0</v>
      </c>
      <c r="K39" s="36">
        <f>IF(C39="","",IF(F39="","",ROUND(F39*(1+J39),4)))</f>
        <v>0</v>
      </c>
      <c r="L39" s="45">
        <f>IF(C39="","",IFERROR(INDEX(Materials!$S$5:$S$254,MATCH(C39,Materials!$A$5:$A$254,0)),""))</f>
        <v>0</v>
      </c>
      <c r="M39" s="45">
        <f>IF(C39="","",IF(OR(K39="",L39=""),"",ROUND(K39*L39,4)))</f>
        <v>0</v>
      </c>
      <c r="N39" s="20">
        <f>IF(A39="","",ROUND(SUMIFS('Material Usage'!$M$5:$M$904,'Material Usage'!$A$5:$A$904,A39),2))</f>
        <v>0</v>
      </c>
      <c r="O39" s="33">
        <f>IF(A39="","",IF(OR(M39="",N39="",N39=0),"",M39/N39))</f>
        <v>0</v>
      </c>
      <c r="P39" s="32">
        <f>IF(A39="","",COUNTIFS($A$5:A39,A39))</f>
        <v>0</v>
      </c>
      <c r="Q39" s="13">
        <f>IF(A39="","",A39&amp;"|"&amp;P39)</f>
        <v>0</v>
      </c>
      <c r="R39" s="43">
        <f>IF(AND(A39="",C39=""),"",IF(A39="","Add - which product?",IF(C39="","Add - which material?",IF(B39="Not found","Check - no such product ID",IF(D39="Add to Materials","Check - no such material ID",IF(OR(F39="",F39=0),"Add - how much?",IF(L39="","Check - that material has no price","OK")))))))</f>
        <v>0</v>
      </c>
    </row>
    <row r="40" spans="2:18">
      <c r="B40" s="13">
        <f>IF(A40="","",IFERROR(INDEX(Products!$B$5:$B$304,MATCH(A40,Products!$A$5:$A$304,0)),"Not found"))</f>
        <v>0</v>
      </c>
      <c r="D40" s="13">
        <f>IF(C40="","",IFERROR(INDEX(Materials!$B$5:$B$254,MATCH(C40,Materials!$A$5:$A$254,0)),"Add to Materials"))</f>
        <v>0</v>
      </c>
      <c r="E40" s="13">
        <f>IF(C40="","",IFERROR(INDEX(Materials!$H$5:$H$254,MATCH(C40,Materials!$A$5:$A$254,0)),"Add to Materials"))</f>
        <v>0</v>
      </c>
      <c r="J40" s="33">
        <f>IF(C40="","",IF(G40&lt;&gt;"",G40,IFERROR(INDEX(Materials!$W$5:$W$254,MATCH(C40,Materials!$A$5:$A$254,0)),DefaultWaste)))</f>
        <v>0</v>
      </c>
      <c r="K40" s="36">
        <f>IF(C40="","",IF(F40="","",ROUND(F40*(1+J40),4)))</f>
        <v>0</v>
      </c>
      <c r="L40" s="45">
        <f>IF(C40="","",IFERROR(INDEX(Materials!$S$5:$S$254,MATCH(C40,Materials!$A$5:$A$254,0)),""))</f>
        <v>0</v>
      </c>
      <c r="M40" s="45">
        <f>IF(C40="","",IF(OR(K40="",L40=""),"",ROUND(K40*L40,4)))</f>
        <v>0</v>
      </c>
      <c r="N40" s="20">
        <f>IF(A40="","",ROUND(SUMIFS('Material Usage'!$M$5:$M$904,'Material Usage'!$A$5:$A$904,A40),2))</f>
        <v>0</v>
      </c>
      <c r="O40" s="33">
        <f>IF(A40="","",IF(OR(M40="",N40="",N40=0),"",M40/N40))</f>
        <v>0</v>
      </c>
      <c r="P40" s="32">
        <f>IF(A40="","",COUNTIFS($A$5:A40,A40))</f>
        <v>0</v>
      </c>
      <c r="Q40" s="13">
        <f>IF(A40="","",A40&amp;"|"&amp;P40)</f>
        <v>0</v>
      </c>
      <c r="R40" s="43">
        <f>IF(AND(A40="",C40=""),"",IF(A40="","Add - which product?",IF(C40="","Add - which material?",IF(B40="Not found","Check - no such product ID",IF(D40="Add to Materials","Check - no such material ID",IF(OR(F40="",F40=0),"Add - how much?",IF(L40="","Check - that material has no price","OK")))))))</f>
        <v>0</v>
      </c>
    </row>
    <row r="41" spans="2:18">
      <c r="B41" s="13">
        <f>IF(A41="","",IFERROR(INDEX(Products!$B$5:$B$304,MATCH(A41,Products!$A$5:$A$304,0)),"Not found"))</f>
        <v>0</v>
      </c>
      <c r="D41" s="13">
        <f>IF(C41="","",IFERROR(INDEX(Materials!$B$5:$B$254,MATCH(C41,Materials!$A$5:$A$254,0)),"Add to Materials"))</f>
        <v>0</v>
      </c>
      <c r="E41" s="13">
        <f>IF(C41="","",IFERROR(INDEX(Materials!$H$5:$H$254,MATCH(C41,Materials!$A$5:$A$254,0)),"Add to Materials"))</f>
        <v>0</v>
      </c>
      <c r="J41" s="33">
        <f>IF(C41="","",IF(G41&lt;&gt;"",G41,IFERROR(INDEX(Materials!$W$5:$W$254,MATCH(C41,Materials!$A$5:$A$254,0)),DefaultWaste)))</f>
        <v>0</v>
      </c>
      <c r="K41" s="36">
        <f>IF(C41="","",IF(F41="","",ROUND(F41*(1+J41),4)))</f>
        <v>0</v>
      </c>
      <c r="L41" s="45">
        <f>IF(C41="","",IFERROR(INDEX(Materials!$S$5:$S$254,MATCH(C41,Materials!$A$5:$A$254,0)),""))</f>
        <v>0</v>
      </c>
      <c r="M41" s="45">
        <f>IF(C41="","",IF(OR(K41="",L41=""),"",ROUND(K41*L41,4)))</f>
        <v>0</v>
      </c>
      <c r="N41" s="20">
        <f>IF(A41="","",ROUND(SUMIFS('Material Usage'!$M$5:$M$904,'Material Usage'!$A$5:$A$904,A41),2))</f>
        <v>0</v>
      </c>
      <c r="O41" s="33">
        <f>IF(A41="","",IF(OR(M41="",N41="",N41=0),"",M41/N41))</f>
        <v>0</v>
      </c>
      <c r="P41" s="32">
        <f>IF(A41="","",COUNTIFS($A$5:A41,A41))</f>
        <v>0</v>
      </c>
      <c r="Q41" s="13">
        <f>IF(A41="","",A41&amp;"|"&amp;P41)</f>
        <v>0</v>
      </c>
      <c r="R41" s="43">
        <f>IF(AND(A41="",C41=""),"",IF(A41="","Add - which product?",IF(C41="","Add - which material?",IF(B41="Not found","Check - no such product ID",IF(D41="Add to Materials","Check - no such material ID",IF(OR(F41="",F41=0),"Add - how much?",IF(L41="","Check - that material has no price","OK")))))))</f>
        <v>0</v>
      </c>
    </row>
    <row r="42" spans="2:18">
      <c r="B42" s="13">
        <f>IF(A42="","",IFERROR(INDEX(Products!$B$5:$B$304,MATCH(A42,Products!$A$5:$A$304,0)),"Not found"))</f>
        <v>0</v>
      </c>
      <c r="D42" s="13">
        <f>IF(C42="","",IFERROR(INDEX(Materials!$B$5:$B$254,MATCH(C42,Materials!$A$5:$A$254,0)),"Add to Materials"))</f>
        <v>0</v>
      </c>
      <c r="E42" s="13">
        <f>IF(C42="","",IFERROR(INDEX(Materials!$H$5:$H$254,MATCH(C42,Materials!$A$5:$A$254,0)),"Add to Materials"))</f>
        <v>0</v>
      </c>
      <c r="J42" s="33">
        <f>IF(C42="","",IF(G42&lt;&gt;"",G42,IFERROR(INDEX(Materials!$W$5:$W$254,MATCH(C42,Materials!$A$5:$A$254,0)),DefaultWaste)))</f>
        <v>0</v>
      </c>
      <c r="K42" s="36">
        <f>IF(C42="","",IF(F42="","",ROUND(F42*(1+J42),4)))</f>
        <v>0</v>
      </c>
      <c r="L42" s="45">
        <f>IF(C42="","",IFERROR(INDEX(Materials!$S$5:$S$254,MATCH(C42,Materials!$A$5:$A$254,0)),""))</f>
        <v>0</v>
      </c>
      <c r="M42" s="45">
        <f>IF(C42="","",IF(OR(K42="",L42=""),"",ROUND(K42*L42,4)))</f>
        <v>0</v>
      </c>
      <c r="N42" s="20">
        <f>IF(A42="","",ROUND(SUMIFS('Material Usage'!$M$5:$M$904,'Material Usage'!$A$5:$A$904,A42),2))</f>
        <v>0</v>
      </c>
      <c r="O42" s="33">
        <f>IF(A42="","",IF(OR(M42="",N42="",N42=0),"",M42/N42))</f>
        <v>0</v>
      </c>
      <c r="P42" s="32">
        <f>IF(A42="","",COUNTIFS($A$5:A42,A42))</f>
        <v>0</v>
      </c>
      <c r="Q42" s="13">
        <f>IF(A42="","",A42&amp;"|"&amp;P42)</f>
        <v>0</v>
      </c>
      <c r="R42" s="43">
        <f>IF(AND(A42="",C42=""),"",IF(A42="","Add - which product?",IF(C42="","Add - which material?",IF(B42="Not found","Check - no such product ID",IF(D42="Add to Materials","Check - no such material ID",IF(OR(F42="",F42=0),"Add - how much?",IF(L42="","Check - that material has no price","OK")))))))</f>
        <v>0</v>
      </c>
    </row>
    <row r="43" spans="2:18">
      <c r="B43" s="13">
        <f>IF(A43="","",IFERROR(INDEX(Products!$B$5:$B$304,MATCH(A43,Products!$A$5:$A$304,0)),"Not found"))</f>
        <v>0</v>
      </c>
      <c r="D43" s="13">
        <f>IF(C43="","",IFERROR(INDEX(Materials!$B$5:$B$254,MATCH(C43,Materials!$A$5:$A$254,0)),"Add to Materials"))</f>
        <v>0</v>
      </c>
      <c r="E43" s="13">
        <f>IF(C43="","",IFERROR(INDEX(Materials!$H$5:$H$254,MATCH(C43,Materials!$A$5:$A$254,0)),"Add to Materials"))</f>
        <v>0</v>
      </c>
      <c r="J43" s="33">
        <f>IF(C43="","",IF(G43&lt;&gt;"",G43,IFERROR(INDEX(Materials!$W$5:$W$254,MATCH(C43,Materials!$A$5:$A$254,0)),DefaultWaste)))</f>
        <v>0</v>
      </c>
      <c r="K43" s="36">
        <f>IF(C43="","",IF(F43="","",ROUND(F43*(1+J43),4)))</f>
        <v>0</v>
      </c>
      <c r="L43" s="45">
        <f>IF(C43="","",IFERROR(INDEX(Materials!$S$5:$S$254,MATCH(C43,Materials!$A$5:$A$254,0)),""))</f>
        <v>0</v>
      </c>
      <c r="M43" s="45">
        <f>IF(C43="","",IF(OR(K43="",L43=""),"",ROUND(K43*L43,4)))</f>
        <v>0</v>
      </c>
      <c r="N43" s="20">
        <f>IF(A43="","",ROUND(SUMIFS('Material Usage'!$M$5:$M$904,'Material Usage'!$A$5:$A$904,A43),2))</f>
        <v>0</v>
      </c>
      <c r="O43" s="33">
        <f>IF(A43="","",IF(OR(M43="",N43="",N43=0),"",M43/N43))</f>
        <v>0</v>
      </c>
      <c r="P43" s="32">
        <f>IF(A43="","",COUNTIFS($A$5:A43,A43))</f>
        <v>0</v>
      </c>
      <c r="Q43" s="13">
        <f>IF(A43="","",A43&amp;"|"&amp;P43)</f>
        <v>0</v>
      </c>
      <c r="R43" s="43">
        <f>IF(AND(A43="",C43=""),"",IF(A43="","Add - which product?",IF(C43="","Add - which material?",IF(B43="Not found","Check - no such product ID",IF(D43="Add to Materials","Check - no such material ID",IF(OR(F43="",F43=0),"Add - how much?",IF(L43="","Check - that material has no price","OK")))))))</f>
        <v>0</v>
      </c>
    </row>
    <row r="44" spans="2:18">
      <c r="B44" s="13">
        <f>IF(A44="","",IFERROR(INDEX(Products!$B$5:$B$304,MATCH(A44,Products!$A$5:$A$304,0)),"Not found"))</f>
        <v>0</v>
      </c>
      <c r="D44" s="13">
        <f>IF(C44="","",IFERROR(INDEX(Materials!$B$5:$B$254,MATCH(C44,Materials!$A$5:$A$254,0)),"Add to Materials"))</f>
        <v>0</v>
      </c>
      <c r="E44" s="13">
        <f>IF(C44="","",IFERROR(INDEX(Materials!$H$5:$H$254,MATCH(C44,Materials!$A$5:$A$254,0)),"Add to Materials"))</f>
        <v>0</v>
      </c>
      <c r="J44" s="33">
        <f>IF(C44="","",IF(G44&lt;&gt;"",G44,IFERROR(INDEX(Materials!$W$5:$W$254,MATCH(C44,Materials!$A$5:$A$254,0)),DefaultWaste)))</f>
        <v>0</v>
      </c>
      <c r="K44" s="36">
        <f>IF(C44="","",IF(F44="","",ROUND(F44*(1+J44),4)))</f>
        <v>0</v>
      </c>
      <c r="L44" s="45">
        <f>IF(C44="","",IFERROR(INDEX(Materials!$S$5:$S$254,MATCH(C44,Materials!$A$5:$A$254,0)),""))</f>
        <v>0</v>
      </c>
      <c r="M44" s="45">
        <f>IF(C44="","",IF(OR(K44="",L44=""),"",ROUND(K44*L44,4)))</f>
        <v>0</v>
      </c>
      <c r="N44" s="20">
        <f>IF(A44="","",ROUND(SUMIFS('Material Usage'!$M$5:$M$904,'Material Usage'!$A$5:$A$904,A44),2))</f>
        <v>0</v>
      </c>
      <c r="O44" s="33">
        <f>IF(A44="","",IF(OR(M44="",N44="",N44=0),"",M44/N44))</f>
        <v>0</v>
      </c>
      <c r="P44" s="32">
        <f>IF(A44="","",COUNTIFS($A$5:A44,A44))</f>
        <v>0</v>
      </c>
      <c r="Q44" s="13">
        <f>IF(A44="","",A44&amp;"|"&amp;P44)</f>
        <v>0</v>
      </c>
      <c r="R44" s="43">
        <f>IF(AND(A44="",C44=""),"",IF(A44="","Add - which product?",IF(C44="","Add - which material?",IF(B44="Not found","Check - no such product ID",IF(D44="Add to Materials","Check - no such material ID",IF(OR(F44="",F44=0),"Add - how much?",IF(L44="","Check - that material has no price","OK")))))))</f>
        <v>0</v>
      </c>
    </row>
    <row r="45" spans="2:18">
      <c r="B45" s="13">
        <f>IF(A45="","",IFERROR(INDEX(Products!$B$5:$B$304,MATCH(A45,Products!$A$5:$A$304,0)),"Not found"))</f>
        <v>0</v>
      </c>
      <c r="D45" s="13">
        <f>IF(C45="","",IFERROR(INDEX(Materials!$B$5:$B$254,MATCH(C45,Materials!$A$5:$A$254,0)),"Add to Materials"))</f>
        <v>0</v>
      </c>
      <c r="E45" s="13">
        <f>IF(C45="","",IFERROR(INDEX(Materials!$H$5:$H$254,MATCH(C45,Materials!$A$5:$A$254,0)),"Add to Materials"))</f>
        <v>0</v>
      </c>
      <c r="J45" s="33">
        <f>IF(C45="","",IF(G45&lt;&gt;"",G45,IFERROR(INDEX(Materials!$W$5:$W$254,MATCH(C45,Materials!$A$5:$A$254,0)),DefaultWaste)))</f>
        <v>0</v>
      </c>
      <c r="K45" s="36">
        <f>IF(C45="","",IF(F45="","",ROUND(F45*(1+J45),4)))</f>
        <v>0</v>
      </c>
      <c r="L45" s="45">
        <f>IF(C45="","",IFERROR(INDEX(Materials!$S$5:$S$254,MATCH(C45,Materials!$A$5:$A$254,0)),""))</f>
        <v>0</v>
      </c>
      <c r="M45" s="45">
        <f>IF(C45="","",IF(OR(K45="",L45=""),"",ROUND(K45*L45,4)))</f>
        <v>0</v>
      </c>
      <c r="N45" s="20">
        <f>IF(A45="","",ROUND(SUMIFS('Material Usage'!$M$5:$M$904,'Material Usage'!$A$5:$A$904,A45),2))</f>
        <v>0</v>
      </c>
      <c r="O45" s="33">
        <f>IF(A45="","",IF(OR(M45="",N45="",N45=0),"",M45/N45))</f>
        <v>0</v>
      </c>
      <c r="P45" s="32">
        <f>IF(A45="","",COUNTIFS($A$5:A45,A45))</f>
        <v>0</v>
      </c>
      <c r="Q45" s="13">
        <f>IF(A45="","",A45&amp;"|"&amp;P45)</f>
        <v>0</v>
      </c>
      <c r="R45" s="43">
        <f>IF(AND(A45="",C45=""),"",IF(A45="","Add - which product?",IF(C45="","Add - which material?",IF(B45="Not found","Check - no such product ID",IF(D45="Add to Materials","Check - no such material ID",IF(OR(F45="",F45=0),"Add - how much?",IF(L45="","Check - that material has no price","OK")))))))</f>
        <v>0</v>
      </c>
    </row>
    <row r="46" spans="2:18">
      <c r="B46" s="13">
        <f>IF(A46="","",IFERROR(INDEX(Products!$B$5:$B$304,MATCH(A46,Products!$A$5:$A$304,0)),"Not found"))</f>
        <v>0</v>
      </c>
      <c r="D46" s="13">
        <f>IF(C46="","",IFERROR(INDEX(Materials!$B$5:$B$254,MATCH(C46,Materials!$A$5:$A$254,0)),"Add to Materials"))</f>
        <v>0</v>
      </c>
      <c r="E46" s="13">
        <f>IF(C46="","",IFERROR(INDEX(Materials!$H$5:$H$254,MATCH(C46,Materials!$A$5:$A$254,0)),"Add to Materials"))</f>
        <v>0</v>
      </c>
      <c r="J46" s="33">
        <f>IF(C46="","",IF(G46&lt;&gt;"",G46,IFERROR(INDEX(Materials!$W$5:$W$254,MATCH(C46,Materials!$A$5:$A$254,0)),DefaultWaste)))</f>
        <v>0</v>
      </c>
      <c r="K46" s="36">
        <f>IF(C46="","",IF(F46="","",ROUND(F46*(1+J46),4)))</f>
        <v>0</v>
      </c>
      <c r="L46" s="45">
        <f>IF(C46="","",IFERROR(INDEX(Materials!$S$5:$S$254,MATCH(C46,Materials!$A$5:$A$254,0)),""))</f>
        <v>0</v>
      </c>
      <c r="M46" s="45">
        <f>IF(C46="","",IF(OR(K46="",L46=""),"",ROUND(K46*L46,4)))</f>
        <v>0</v>
      </c>
      <c r="N46" s="20">
        <f>IF(A46="","",ROUND(SUMIFS('Material Usage'!$M$5:$M$904,'Material Usage'!$A$5:$A$904,A46),2))</f>
        <v>0</v>
      </c>
      <c r="O46" s="33">
        <f>IF(A46="","",IF(OR(M46="",N46="",N46=0),"",M46/N46))</f>
        <v>0</v>
      </c>
      <c r="P46" s="32">
        <f>IF(A46="","",COUNTIFS($A$5:A46,A46))</f>
        <v>0</v>
      </c>
      <c r="Q46" s="13">
        <f>IF(A46="","",A46&amp;"|"&amp;P46)</f>
        <v>0</v>
      </c>
      <c r="R46" s="43">
        <f>IF(AND(A46="",C46=""),"",IF(A46="","Add - which product?",IF(C46="","Add - which material?",IF(B46="Not found","Check - no such product ID",IF(D46="Add to Materials","Check - no such material ID",IF(OR(F46="",F46=0),"Add - how much?",IF(L46="","Check - that material has no price","OK")))))))</f>
        <v>0</v>
      </c>
    </row>
    <row r="47" spans="2:18">
      <c r="B47" s="13">
        <f>IF(A47="","",IFERROR(INDEX(Products!$B$5:$B$304,MATCH(A47,Products!$A$5:$A$304,0)),"Not found"))</f>
        <v>0</v>
      </c>
      <c r="D47" s="13">
        <f>IF(C47="","",IFERROR(INDEX(Materials!$B$5:$B$254,MATCH(C47,Materials!$A$5:$A$254,0)),"Add to Materials"))</f>
        <v>0</v>
      </c>
      <c r="E47" s="13">
        <f>IF(C47="","",IFERROR(INDEX(Materials!$H$5:$H$254,MATCH(C47,Materials!$A$5:$A$254,0)),"Add to Materials"))</f>
        <v>0</v>
      </c>
      <c r="J47" s="33">
        <f>IF(C47="","",IF(G47&lt;&gt;"",G47,IFERROR(INDEX(Materials!$W$5:$W$254,MATCH(C47,Materials!$A$5:$A$254,0)),DefaultWaste)))</f>
        <v>0</v>
      </c>
      <c r="K47" s="36">
        <f>IF(C47="","",IF(F47="","",ROUND(F47*(1+J47),4)))</f>
        <v>0</v>
      </c>
      <c r="L47" s="45">
        <f>IF(C47="","",IFERROR(INDEX(Materials!$S$5:$S$254,MATCH(C47,Materials!$A$5:$A$254,0)),""))</f>
        <v>0</v>
      </c>
      <c r="M47" s="45">
        <f>IF(C47="","",IF(OR(K47="",L47=""),"",ROUND(K47*L47,4)))</f>
        <v>0</v>
      </c>
      <c r="N47" s="20">
        <f>IF(A47="","",ROUND(SUMIFS('Material Usage'!$M$5:$M$904,'Material Usage'!$A$5:$A$904,A47),2))</f>
        <v>0</v>
      </c>
      <c r="O47" s="33">
        <f>IF(A47="","",IF(OR(M47="",N47="",N47=0),"",M47/N47))</f>
        <v>0</v>
      </c>
      <c r="P47" s="32">
        <f>IF(A47="","",COUNTIFS($A$5:A47,A47))</f>
        <v>0</v>
      </c>
      <c r="Q47" s="13">
        <f>IF(A47="","",A47&amp;"|"&amp;P47)</f>
        <v>0</v>
      </c>
      <c r="R47" s="43">
        <f>IF(AND(A47="",C47=""),"",IF(A47="","Add - which product?",IF(C47="","Add - which material?",IF(B47="Not found","Check - no such product ID",IF(D47="Add to Materials","Check - no such material ID",IF(OR(F47="",F47=0),"Add - how much?",IF(L47="","Check - that material has no price","OK")))))))</f>
        <v>0</v>
      </c>
    </row>
    <row r="48" spans="2:18">
      <c r="B48" s="13">
        <f>IF(A48="","",IFERROR(INDEX(Products!$B$5:$B$304,MATCH(A48,Products!$A$5:$A$304,0)),"Not found"))</f>
        <v>0</v>
      </c>
      <c r="D48" s="13">
        <f>IF(C48="","",IFERROR(INDEX(Materials!$B$5:$B$254,MATCH(C48,Materials!$A$5:$A$254,0)),"Add to Materials"))</f>
        <v>0</v>
      </c>
      <c r="E48" s="13">
        <f>IF(C48="","",IFERROR(INDEX(Materials!$H$5:$H$254,MATCH(C48,Materials!$A$5:$A$254,0)),"Add to Materials"))</f>
        <v>0</v>
      </c>
      <c r="J48" s="33">
        <f>IF(C48="","",IF(G48&lt;&gt;"",G48,IFERROR(INDEX(Materials!$W$5:$W$254,MATCH(C48,Materials!$A$5:$A$254,0)),DefaultWaste)))</f>
        <v>0</v>
      </c>
      <c r="K48" s="36">
        <f>IF(C48="","",IF(F48="","",ROUND(F48*(1+J48),4)))</f>
        <v>0</v>
      </c>
      <c r="L48" s="45">
        <f>IF(C48="","",IFERROR(INDEX(Materials!$S$5:$S$254,MATCH(C48,Materials!$A$5:$A$254,0)),""))</f>
        <v>0</v>
      </c>
      <c r="M48" s="45">
        <f>IF(C48="","",IF(OR(K48="",L48=""),"",ROUND(K48*L48,4)))</f>
        <v>0</v>
      </c>
      <c r="N48" s="20">
        <f>IF(A48="","",ROUND(SUMIFS('Material Usage'!$M$5:$M$904,'Material Usage'!$A$5:$A$904,A48),2))</f>
        <v>0</v>
      </c>
      <c r="O48" s="33">
        <f>IF(A48="","",IF(OR(M48="",N48="",N48=0),"",M48/N48))</f>
        <v>0</v>
      </c>
      <c r="P48" s="32">
        <f>IF(A48="","",COUNTIFS($A$5:A48,A48))</f>
        <v>0</v>
      </c>
      <c r="Q48" s="13">
        <f>IF(A48="","",A48&amp;"|"&amp;P48)</f>
        <v>0</v>
      </c>
      <c r="R48" s="43">
        <f>IF(AND(A48="",C48=""),"",IF(A48="","Add - which product?",IF(C48="","Add - which material?",IF(B48="Not found","Check - no such product ID",IF(D48="Add to Materials","Check - no such material ID",IF(OR(F48="",F48=0),"Add - how much?",IF(L48="","Check - that material has no price","OK")))))))</f>
        <v>0</v>
      </c>
    </row>
    <row r="49" spans="2:18">
      <c r="B49" s="13">
        <f>IF(A49="","",IFERROR(INDEX(Products!$B$5:$B$304,MATCH(A49,Products!$A$5:$A$304,0)),"Not found"))</f>
        <v>0</v>
      </c>
      <c r="D49" s="13">
        <f>IF(C49="","",IFERROR(INDEX(Materials!$B$5:$B$254,MATCH(C49,Materials!$A$5:$A$254,0)),"Add to Materials"))</f>
        <v>0</v>
      </c>
      <c r="E49" s="13">
        <f>IF(C49="","",IFERROR(INDEX(Materials!$H$5:$H$254,MATCH(C49,Materials!$A$5:$A$254,0)),"Add to Materials"))</f>
        <v>0</v>
      </c>
      <c r="J49" s="33">
        <f>IF(C49="","",IF(G49&lt;&gt;"",G49,IFERROR(INDEX(Materials!$W$5:$W$254,MATCH(C49,Materials!$A$5:$A$254,0)),DefaultWaste)))</f>
        <v>0</v>
      </c>
      <c r="K49" s="36">
        <f>IF(C49="","",IF(F49="","",ROUND(F49*(1+J49),4)))</f>
        <v>0</v>
      </c>
      <c r="L49" s="45">
        <f>IF(C49="","",IFERROR(INDEX(Materials!$S$5:$S$254,MATCH(C49,Materials!$A$5:$A$254,0)),""))</f>
        <v>0</v>
      </c>
      <c r="M49" s="45">
        <f>IF(C49="","",IF(OR(K49="",L49=""),"",ROUND(K49*L49,4)))</f>
        <v>0</v>
      </c>
      <c r="N49" s="20">
        <f>IF(A49="","",ROUND(SUMIFS('Material Usage'!$M$5:$M$904,'Material Usage'!$A$5:$A$904,A49),2))</f>
        <v>0</v>
      </c>
      <c r="O49" s="33">
        <f>IF(A49="","",IF(OR(M49="",N49="",N49=0),"",M49/N49))</f>
        <v>0</v>
      </c>
      <c r="P49" s="32">
        <f>IF(A49="","",COUNTIFS($A$5:A49,A49))</f>
        <v>0</v>
      </c>
      <c r="Q49" s="13">
        <f>IF(A49="","",A49&amp;"|"&amp;P49)</f>
        <v>0</v>
      </c>
      <c r="R49" s="43">
        <f>IF(AND(A49="",C49=""),"",IF(A49="","Add - which product?",IF(C49="","Add - which material?",IF(B49="Not found","Check - no such product ID",IF(D49="Add to Materials","Check - no such material ID",IF(OR(F49="",F49=0),"Add - how much?",IF(L49="","Check - that material has no price","OK")))))))</f>
        <v>0</v>
      </c>
    </row>
    <row r="50" spans="2:18">
      <c r="B50" s="13">
        <f>IF(A50="","",IFERROR(INDEX(Products!$B$5:$B$304,MATCH(A50,Products!$A$5:$A$304,0)),"Not found"))</f>
        <v>0</v>
      </c>
      <c r="D50" s="13">
        <f>IF(C50="","",IFERROR(INDEX(Materials!$B$5:$B$254,MATCH(C50,Materials!$A$5:$A$254,0)),"Add to Materials"))</f>
        <v>0</v>
      </c>
      <c r="E50" s="13">
        <f>IF(C50="","",IFERROR(INDEX(Materials!$H$5:$H$254,MATCH(C50,Materials!$A$5:$A$254,0)),"Add to Materials"))</f>
        <v>0</v>
      </c>
      <c r="J50" s="33">
        <f>IF(C50="","",IF(G50&lt;&gt;"",G50,IFERROR(INDEX(Materials!$W$5:$W$254,MATCH(C50,Materials!$A$5:$A$254,0)),DefaultWaste)))</f>
        <v>0</v>
      </c>
      <c r="K50" s="36">
        <f>IF(C50="","",IF(F50="","",ROUND(F50*(1+J50),4)))</f>
        <v>0</v>
      </c>
      <c r="L50" s="45">
        <f>IF(C50="","",IFERROR(INDEX(Materials!$S$5:$S$254,MATCH(C50,Materials!$A$5:$A$254,0)),""))</f>
        <v>0</v>
      </c>
      <c r="M50" s="45">
        <f>IF(C50="","",IF(OR(K50="",L50=""),"",ROUND(K50*L50,4)))</f>
        <v>0</v>
      </c>
      <c r="N50" s="20">
        <f>IF(A50="","",ROUND(SUMIFS('Material Usage'!$M$5:$M$904,'Material Usage'!$A$5:$A$904,A50),2))</f>
        <v>0</v>
      </c>
      <c r="O50" s="33">
        <f>IF(A50="","",IF(OR(M50="",N50="",N50=0),"",M50/N50))</f>
        <v>0</v>
      </c>
      <c r="P50" s="32">
        <f>IF(A50="","",COUNTIFS($A$5:A50,A50))</f>
        <v>0</v>
      </c>
      <c r="Q50" s="13">
        <f>IF(A50="","",A50&amp;"|"&amp;P50)</f>
        <v>0</v>
      </c>
      <c r="R50" s="43">
        <f>IF(AND(A50="",C50=""),"",IF(A50="","Add - which product?",IF(C50="","Add - which material?",IF(B50="Not found","Check - no such product ID",IF(D50="Add to Materials","Check - no such material ID",IF(OR(F50="",F50=0),"Add - how much?",IF(L50="","Check - that material has no price","OK")))))))</f>
        <v>0</v>
      </c>
    </row>
    <row r="51" spans="2:18">
      <c r="B51" s="13">
        <f>IF(A51="","",IFERROR(INDEX(Products!$B$5:$B$304,MATCH(A51,Products!$A$5:$A$304,0)),"Not found"))</f>
        <v>0</v>
      </c>
      <c r="D51" s="13">
        <f>IF(C51="","",IFERROR(INDEX(Materials!$B$5:$B$254,MATCH(C51,Materials!$A$5:$A$254,0)),"Add to Materials"))</f>
        <v>0</v>
      </c>
      <c r="E51" s="13">
        <f>IF(C51="","",IFERROR(INDEX(Materials!$H$5:$H$254,MATCH(C51,Materials!$A$5:$A$254,0)),"Add to Materials"))</f>
        <v>0</v>
      </c>
      <c r="J51" s="33">
        <f>IF(C51="","",IF(G51&lt;&gt;"",G51,IFERROR(INDEX(Materials!$W$5:$W$254,MATCH(C51,Materials!$A$5:$A$254,0)),DefaultWaste)))</f>
        <v>0</v>
      </c>
      <c r="K51" s="36">
        <f>IF(C51="","",IF(F51="","",ROUND(F51*(1+J51),4)))</f>
        <v>0</v>
      </c>
      <c r="L51" s="45">
        <f>IF(C51="","",IFERROR(INDEX(Materials!$S$5:$S$254,MATCH(C51,Materials!$A$5:$A$254,0)),""))</f>
        <v>0</v>
      </c>
      <c r="M51" s="45">
        <f>IF(C51="","",IF(OR(K51="",L51=""),"",ROUND(K51*L51,4)))</f>
        <v>0</v>
      </c>
      <c r="N51" s="20">
        <f>IF(A51="","",ROUND(SUMIFS('Material Usage'!$M$5:$M$904,'Material Usage'!$A$5:$A$904,A51),2))</f>
        <v>0</v>
      </c>
      <c r="O51" s="33">
        <f>IF(A51="","",IF(OR(M51="",N51="",N51=0),"",M51/N51))</f>
        <v>0</v>
      </c>
      <c r="P51" s="32">
        <f>IF(A51="","",COUNTIFS($A$5:A51,A51))</f>
        <v>0</v>
      </c>
      <c r="Q51" s="13">
        <f>IF(A51="","",A51&amp;"|"&amp;P51)</f>
        <v>0</v>
      </c>
      <c r="R51" s="43">
        <f>IF(AND(A51="",C51=""),"",IF(A51="","Add - which product?",IF(C51="","Add - which material?",IF(B51="Not found","Check - no such product ID",IF(D51="Add to Materials","Check - no such material ID",IF(OR(F51="",F51=0),"Add - how much?",IF(L51="","Check - that material has no price","OK")))))))</f>
        <v>0</v>
      </c>
    </row>
    <row r="52" spans="2:18">
      <c r="B52" s="13">
        <f>IF(A52="","",IFERROR(INDEX(Products!$B$5:$B$304,MATCH(A52,Products!$A$5:$A$304,0)),"Not found"))</f>
        <v>0</v>
      </c>
      <c r="D52" s="13">
        <f>IF(C52="","",IFERROR(INDEX(Materials!$B$5:$B$254,MATCH(C52,Materials!$A$5:$A$254,0)),"Add to Materials"))</f>
        <v>0</v>
      </c>
      <c r="E52" s="13">
        <f>IF(C52="","",IFERROR(INDEX(Materials!$H$5:$H$254,MATCH(C52,Materials!$A$5:$A$254,0)),"Add to Materials"))</f>
        <v>0</v>
      </c>
      <c r="J52" s="33">
        <f>IF(C52="","",IF(G52&lt;&gt;"",G52,IFERROR(INDEX(Materials!$W$5:$W$254,MATCH(C52,Materials!$A$5:$A$254,0)),DefaultWaste)))</f>
        <v>0</v>
      </c>
      <c r="K52" s="36">
        <f>IF(C52="","",IF(F52="","",ROUND(F52*(1+J52),4)))</f>
        <v>0</v>
      </c>
      <c r="L52" s="45">
        <f>IF(C52="","",IFERROR(INDEX(Materials!$S$5:$S$254,MATCH(C52,Materials!$A$5:$A$254,0)),""))</f>
        <v>0</v>
      </c>
      <c r="M52" s="45">
        <f>IF(C52="","",IF(OR(K52="",L52=""),"",ROUND(K52*L52,4)))</f>
        <v>0</v>
      </c>
      <c r="N52" s="20">
        <f>IF(A52="","",ROUND(SUMIFS('Material Usage'!$M$5:$M$904,'Material Usage'!$A$5:$A$904,A52),2))</f>
        <v>0</v>
      </c>
      <c r="O52" s="33">
        <f>IF(A52="","",IF(OR(M52="",N52="",N52=0),"",M52/N52))</f>
        <v>0</v>
      </c>
      <c r="P52" s="32">
        <f>IF(A52="","",COUNTIFS($A$5:A52,A52))</f>
        <v>0</v>
      </c>
      <c r="Q52" s="13">
        <f>IF(A52="","",A52&amp;"|"&amp;P52)</f>
        <v>0</v>
      </c>
      <c r="R52" s="43">
        <f>IF(AND(A52="",C52=""),"",IF(A52="","Add - which product?",IF(C52="","Add - which material?",IF(B52="Not found","Check - no such product ID",IF(D52="Add to Materials","Check - no such material ID",IF(OR(F52="",F52=0),"Add - how much?",IF(L52="","Check - that material has no price","OK")))))))</f>
        <v>0</v>
      </c>
    </row>
    <row r="53" spans="2:18">
      <c r="B53" s="13">
        <f>IF(A53="","",IFERROR(INDEX(Products!$B$5:$B$304,MATCH(A53,Products!$A$5:$A$304,0)),"Not found"))</f>
        <v>0</v>
      </c>
      <c r="D53" s="13">
        <f>IF(C53="","",IFERROR(INDEX(Materials!$B$5:$B$254,MATCH(C53,Materials!$A$5:$A$254,0)),"Add to Materials"))</f>
        <v>0</v>
      </c>
      <c r="E53" s="13">
        <f>IF(C53="","",IFERROR(INDEX(Materials!$H$5:$H$254,MATCH(C53,Materials!$A$5:$A$254,0)),"Add to Materials"))</f>
        <v>0</v>
      </c>
      <c r="J53" s="33">
        <f>IF(C53="","",IF(G53&lt;&gt;"",G53,IFERROR(INDEX(Materials!$W$5:$W$254,MATCH(C53,Materials!$A$5:$A$254,0)),DefaultWaste)))</f>
        <v>0</v>
      </c>
      <c r="K53" s="36">
        <f>IF(C53="","",IF(F53="","",ROUND(F53*(1+J53),4)))</f>
        <v>0</v>
      </c>
      <c r="L53" s="45">
        <f>IF(C53="","",IFERROR(INDEX(Materials!$S$5:$S$254,MATCH(C53,Materials!$A$5:$A$254,0)),""))</f>
        <v>0</v>
      </c>
      <c r="M53" s="45">
        <f>IF(C53="","",IF(OR(K53="",L53=""),"",ROUND(K53*L53,4)))</f>
        <v>0</v>
      </c>
      <c r="N53" s="20">
        <f>IF(A53="","",ROUND(SUMIFS('Material Usage'!$M$5:$M$904,'Material Usage'!$A$5:$A$904,A53),2))</f>
        <v>0</v>
      </c>
      <c r="O53" s="33">
        <f>IF(A53="","",IF(OR(M53="",N53="",N53=0),"",M53/N53))</f>
        <v>0</v>
      </c>
      <c r="P53" s="32">
        <f>IF(A53="","",COUNTIFS($A$5:A53,A53))</f>
        <v>0</v>
      </c>
      <c r="Q53" s="13">
        <f>IF(A53="","",A53&amp;"|"&amp;P53)</f>
        <v>0</v>
      </c>
      <c r="R53" s="43">
        <f>IF(AND(A53="",C53=""),"",IF(A53="","Add - which product?",IF(C53="","Add - which material?",IF(B53="Not found","Check - no such product ID",IF(D53="Add to Materials","Check - no such material ID",IF(OR(F53="",F53=0),"Add - how much?",IF(L53="","Check - that material has no price","OK")))))))</f>
        <v>0</v>
      </c>
    </row>
    <row r="54" spans="2:18">
      <c r="B54" s="13">
        <f>IF(A54="","",IFERROR(INDEX(Products!$B$5:$B$304,MATCH(A54,Products!$A$5:$A$304,0)),"Not found"))</f>
        <v>0</v>
      </c>
      <c r="D54" s="13">
        <f>IF(C54="","",IFERROR(INDEX(Materials!$B$5:$B$254,MATCH(C54,Materials!$A$5:$A$254,0)),"Add to Materials"))</f>
        <v>0</v>
      </c>
      <c r="E54" s="13">
        <f>IF(C54="","",IFERROR(INDEX(Materials!$H$5:$H$254,MATCH(C54,Materials!$A$5:$A$254,0)),"Add to Materials"))</f>
        <v>0</v>
      </c>
      <c r="J54" s="33">
        <f>IF(C54="","",IF(G54&lt;&gt;"",G54,IFERROR(INDEX(Materials!$W$5:$W$254,MATCH(C54,Materials!$A$5:$A$254,0)),DefaultWaste)))</f>
        <v>0</v>
      </c>
      <c r="K54" s="36">
        <f>IF(C54="","",IF(F54="","",ROUND(F54*(1+J54),4)))</f>
        <v>0</v>
      </c>
      <c r="L54" s="45">
        <f>IF(C54="","",IFERROR(INDEX(Materials!$S$5:$S$254,MATCH(C54,Materials!$A$5:$A$254,0)),""))</f>
        <v>0</v>
      </c>
      <c r="M54" s="45">
        <f>IF(C54="","",IF(OR(K54="",L54=""),"",ROUND(K54*L54,4)))</f>
        <v>0</v>
      </c>
      <c r="N54" s="20">
        <f>IF(A54="","",ROUND(SUMIFS('Material Usage'!$M$5:$M$904,'Material Usage'!$A$5:$A$904,A54),2))</f>
        <v>0</v>
      </c>
      <c r="O54" s="33">
        <f>IF(A54="","",IF(OR(M54="",N54="",N54=0),"",M54/N54))</f>
        <v>0</v>
      </c>
      <c r="P54" s="32">
        <f>IF(A54="","",COUNTIFS($A$5:A54,A54))</f>
        <v>0</v>
      </c>
      <c r="Q54" s="13">
        <f>IF(A54="","",A54&amp;"|"&amp;P54)</f>
        <v>0</v>
      </c>
      <c r="R54" s="43">
        <f>IF(AND(A54="",C54=""),"",IF(A54="","Add - which product?",IF(C54="","Add - which material?",IF(B54="Not found","Check - no such product ID",IF(D54="Add to Materials","Check - no such material ID",IF(OR(F54="",F54=0),"Add - how much?",IF(L54="","Check - that material has no price","OK")))))))</f>
        <v>0</v>
      </c>
    </row>
    <row r="55" spans="2:18">
      <c r="B55" s="13">
        <f>IF(A55="","",IFERROR(INDEX(Products!$B$5:$B$304,MATCH(A55,Products!$A$5:$A$304,0)),"Not found"))</f>
        <v>0</v>
      </c>
      <c r="D55" s="13">
        <f>IF(C55="","",IFERROR(INDEX(Materials!$B$5:$B$254,MATCH(C55,Materials!$A$5:$A$254,0)),"Add to Materials"))</f>
        <v>0</v>
      </c>
      <c r="E55" s="13">
        <f>IF(C55="","",IFERROR(INDEX(Materials!$H$5:$H$254,MATCH(C55,Materials!$A$5:$A$254,0)),"Add to Materials"))</f>
        <v>0</v>
      </c>
      <c r="J55" s="33">
        <f>IF(C55="","",IF(G55&lt;&gt;"",G55,IFERROR(INDEX(Materials!$W$5:$W$254,MATCH(C55,Materials!$A$5:$A$254,0)),DefaultWaste)))</f>
        <v>0</v>
      </c>
      <c r="K55" s="36">
        <f>IF(C55="","",IF(F55="","",ROUND(F55*(1+J55),4)))</f>
        <v>0</v>
      </c>
      <c r="L55" s="45">
        <f>IF(C55="","",IFERROR(INDEX(Materials!$S$5:$S$254,MATCH(C55,Materials!$A$5:$A$254,0)),""))</f>
        <v>0</v>
      </c>
      <c r="M55" s="45">
        <f>IF(C55="","",IF(OR(K55="",L55=""),"",ROUND(K55*L55,4)))</f>
        <v>0</v>
      </c>
      <c r="N55" s="20">
        <f>IF(A55="","",ROUND(SUMIFS('Material Usage'!$M$5:$M$904,'Material Usage'!$A$5:$A$904,A55),2))</f>
        <v>0</v>
      </c>
      <c r="O55" s="33">
        <f>IF(A55="","",IF(OR(M55="",N55="",N55=0),"",M55/N55))</f>
        <v>0</v>
      </c>
      <c r="P55" s="32">
        <f>IF(A55="","",COUNTIFS($A$5:A55,A55))</f>
        <v>0</v>
      </c>
      <c r="Q55" s="13">
        <f>IF(A55="","",A55&amp;"|"&amp;P55)</f>
        <v>0</v>
      </c>
      <c r="R55" s="43">
        <f>IF(AND(A55="",C55=""),"",IF(A55="","Add - which product?",IF(C55="","Add - which material?",IF(B55="Not found","Check - no such product ID",IF(D55="Add to Materials","Check - no such material ID",IF(OR(F55="",F55=0),"Add - how much?",IF(L55="","Check - that material has no price","OK")))))))</f>
        <v>0</v>
      </c>
    </row>
    <row r="56" spans="2:18">
      <c r="B56" s="13">
        <f>IF(A56="","",IFERROR(INDEX(Products!$B$5:$B$304,MATCH(A56,Products!$A$5:$A$304,0)),"Not found"))</f>
        <v>0</v>
      </c>
      <c r="D56" s="13">
        <f>IF(C56="","",IFERROR(INDEX(Materials!$B$5:$B$254,MATCH(C56,Materials!$A$5:$A$254,0)),"Add to Materials"))</f>
        <v>0</v>
      </c>
      <c r="E56" s="13">
        <f>IF(C56="","",IFERROR(INDEX(Materials!$H$5:$H$254,MATCH(C56,Materials!$A$5:$A$254,0)),"Add to Materials"))</f>
        <v>0</v>
      </c>
      <c r="J56" s="33">
        <f>IF(C56="","",IF(G56&lt;&gt;"",G56,IFERROR(INDEX(Materials!$W$5:$W$254,MATCH(C56,Materials!$A$5:$A$254,0)),DefaultWaste)))</f>
        <v>0</v>
      </c>
      <c r="K56" s="36">
        <f>IF(C56="","",IF(F56="","",ROUND(F56*(1+J56),4)))</f>
        <v>0</v>
      </c>
      <c r="L56" s="45">
        <f>IF(C56="","",IFERROR(INDEX(Materials!$S$5:$S$254,MATCH(C56,Materials!$A$5:$A$254,0)),""))</f>
        <v>0</v>
      </c>
      <c r="M56" s="45">
        <f>IF(C56="","",IF(OR(K56="",L56=""),"",ROUND(K56*L56,4)))</f>
        <v>0</v>
      </c>
      <c r="N56" s="20">
        <f>IF(A56="","",ROUND(SUMIFS('Material Usage'!$M$5:$M$904,'Material Usage'!$A$5:$A$904,A56),2))</f>
        <v>0</v>
      </c>
      <c r="O56" s="33">
        <f>IF(A56="","",IF(OR(M56="",N56="",N56=0),"",M56/N56))</f>
        <v>0</v>
      </c>
      <c r="P56" s="32">
        <f>IF(A56="","",COUNTIFS($A$5:A56,A56))</f>
        <v>0</v>
      </c>
      <c r="Q56" s="13">
        <f>IF(A56="","",A56&amp;"|"&amp;P56)</f>
        <v>0</v>
      </c>
      <c r="R56" s="43">
        <f>IF(AND(A56="",C56=""),"",IF(A56="","Add - which product?",IF(C56="","Add - which material?",IF(B56="Not found","Check - no such product ID",IF(D56="Add to Materials","Check - no such material ID",IF(OR(F56="",F56=0),"Add - how much?",IF(L56="","Check - that material has no price","OK")))))))</f>
        <v>0</v>
      </c>
    </row>
    <row r="57" spans="2:18">
      <c r="B57" s="13">
        <f>IF(A57="","",IFERROR(INDEX(Products!$B$5:$B$304,MATCH(A57,Products!$A$5:$A$304,0)),"Not found"))</f>
        <v>0</v>
      </c>
      <c r="D57" s="13">
        <f>IF(C57="","",IFERROR(INDEX(Materials!$B$5:$B$254,MATCH(C57,Materials!$A$5:$A$254,0)),"Add to Materials"))</f>
        <v>0</v>
      </c>
      <c r="E57" s="13">
        <f>IF(C57="","",IFERROR(INDEX(Materials!$H$5:$H$254,MATCH(C57,Materials!$A$5:$A$254,0)),"Add to Materials"))</f>
        <v>0</v>
      </c>
      <c r="J57" s="33">
        <f>IF(C57="","",IF(G57&lt;&gt;"",G57,IFERROR(INDEX(Materials!$W$5:$W$254,MATCH(C57,Materials!$A$5:$A$254,0)),DefaultWaste)))</f>
        <v>0</v>
      </c>
      <c r="K57" s="36">
        <f>IF(C57="","",IF(F57="","",ROUND(F57*(1+J57),4)))</f>
        <v>0</v>
      </c>
      <c r="L57" s="45">
        <f>IF(C57="","",IFERROR(INDEX(Materials!$S$5:$S$254,MATCH(C57,Materials!$A$5:$A$254,0)),""))</f>
        <v>0</v>
      </c>
      <c r="M57" s="45">
        <f>IF(C57="","",IF(OR(K57="",L57=""),"",ROUND(K57*L57,4)))</f>
        <v>0</v>
      </c>
      <c r="N57" s="20">
        <f>IF(A57="","",ROUND(SUMIFS('Material Usage'!$M$5:$M$904,'Material Usage'!$A$5:$A$904,A57),2))</f>
        <v>0</v>
      </c>
      <c r="O57" s="33">
        <f>IF(A57="","",IF(OR(M57="",N57="",N57=0),"",M57/N57))</f>
        <v>0</v>
      </c>
      <c r="P57" s="32">
        <f>IF(A57="","",COUNTIFS($A$5:A57,A57))</f>
        <v>0</v>
      </c>
      <c r="Q57" s="13">
        <f>IF(A57="","",A57&amp;"|"&amp;P57)</f>
        <v>0</v>
      </c>
      <c r="R57" s="43">
        <f>IF(AND(A57="",C57=""),"",IF(A57="","Add - which product?",IF(C57="","Add - which material?",IF(B57="Not found","Check - no such product ID",IF(D57="Add to Materials","Check - no such material ID",IF(OR(F57="",F57=0),"Add - how much?",IF(L57="","Check - that material has no price","OK")))))))</f>
        <v>0</v>
      </c>
    </row>
    <row r="58" spans="2:18">
      <c r="B58" s="13">
        <f>IF(A58="","",IFERROR(INDEX(Products!$B$5:$B$304,MATCH(A58,Products!$A$5:$A$304,0)),"Not found"))</f>
        <v>0</v>
      </c>
      <c r="D58" s="13">
        <f>IF(C58="","",IFERROR(INDEX(Materials!$B$5:$B$254,MATCH(C58,Materials!$A$5:$A$254,0)),"Add to Materials"))</f>
        <v>0</v>
      </c>
      <c r="E58" s="13">
        <f>IF(C58="","",IFERROR(INDEX(Materials!$H$5:$H$254,MATCH(C58,Materials!$A$5:$A$254,0)),"Add to Materials"))</f>
        <v>0</v>
      </c>
      <c r="J58" s="33">
        <f>IF(C58="","",IF(G58&lt;&gt;"",G58,IFERROR(INDEX(Materials!$W$5:$W$254,MATCH(C58,Materials!$A$5:$A$254,0)),DefaultWaste)))</f>
        <v>0</v>
      </c>
      <c r="K58" s="36">
        <f>IF(C58="","",IF(F58="","",ROUND(F58*(1+J58),4)))</f>
        <v>0</v>
      </c>
      <c r="L58" s="45">
        <f>IF(C58="","",IFERROR(INDEX(Materials!$S$5:$S$254,MATCH(C58,Materials!$A$5:$A$254,0)),""))</f>
        <v>0</v>
      </c>
      <c r="M58" s="45">
        <f>IF(C58="","",IF(OR(K58="",L58=""),"",ROUND(K58*L58,4)))</f>
        <v>0</v>
      </c>
      <c r="N58" s="20">
        <f>IF(A58="","",ROUND(SUMIFS('Material Usage'!$M$5:$M$904,'Material Usage'!$A$5:$A$904,A58),2))</f>
        <v>0</v>
      </c>
      <c r="O58" s="33">
        <f>IF(A58="","",IF(OR(M58="",N58="",N58=0),"",M58/N58))</f>
        <v>0</v>
      </c>
      <c r="P58" s="32">
        <f>IF(A58="","",COUNTIFS($A$5:A58,A58))</f>
        <v>0</v>
      </c>
      <c r="Q58" s="13">
        <f>IF(A58="","",A58&amp;"|"&amp;P58)</f>
        <v>0</v>
      </c>
      <c r="R58" s="43">
        <f>IF(AND(A58="",C58=""),"",IF(A58="","Add - which product?",IF(C58="","Add - which material?",IF(B58="Not found","Check - no such product ID",IF(D58="Add to Materials","Check - no such material ID",IF(OR(F58="",F58=0),"Add - how much?",IF(L58="","Check - that material has no price","OK")))))))</f>
        <v>0</v>
      </c>
    </row>
    <row r="59" spans="2:18">
      <c r="B59" s="13">
        <f>IF(A59="","",IFERROR(INDEX(Products!$B$5:$B$304,MATCH(A59,Products!$A$5:$A$304,0)),"Not found"))</f>
        <v>0</v>
      </c>
      <c r="D59" s="13">
        <f>IF(C59="","",IFERROR(INDEX(Materials!$B$5:$B$254,MATCH(C59,Materials!$A$5:$A$254,0)),"Add to Materials"))</f>
        <v>0</v>
      </c>
      <c r="E59" s="13">
        <f>IF(C59="","",IFERROR(INDEX(Materials!$H$5:$H$254,MATCH(C59,Materials!$A$5:$A$254,0)),"Add to Materials"))</f>
        <v>0</v>
      </c>
      <c r="J59" s="33">
        <f>IF(C59="","",IF(G59&lt;&gt;"",G59,IFERROR(INDEX(Materials!$W$5:$W$254,MATCH(C59,Materials!$A$5:$A$254,0)),DefaultWaste)))</f>
        <v>0</v>
      </c>
      <c r="K59" s="36">
        <f>IF(C59="","",IF(F59="","",ROUND(F59*(1+J59),4)))</f>
        <v>0</v>
      </c>
      <c r="L59" s="45">
        <f>IF(C59="","",IFERROR(INDEX(Materials!$S$5:$S$254,MATCH(C59,Materials!$A$5:$A$254,0)),""))</f>
        <v>0</v>
      </c>
      <c r="M59" s="45">
        <f>IF(C59="","",IF(OR(K59="",L59=""),"",ROUND(K59*L59,4)))</f>
        <v>0</v>
      </c>
      <c r="N59" s="20">
        <f>IF(A59="","",ROUND(SUMIFS('Material Usage'!$M$5:$M$904,'Material Usage'!$A$5:$A$904,A59),2))</f>
        <v>0</v>
      </c>
      <c r="O59" s="33">
        <f>IF(A59="","",IF(OR(M59="",N59="",N59=0),"",M59/N59))</f>
        <v>0</v>
      </c>
      <c r="P59" s="32">
        <f>IF(A59="","",COUNTIFS($A$5:A59,A59))</f>
        <v>0</v>
      </c>
      <c r="Q59" s="13">
        <f>IF(A59="","",A59&amp;"|"&amp;P59)</f>
        <v>0</v>
      </c>
      <c r="R59" s="43">
        <f>IF(AND(A59="",C59=""),"",IF(A59="","Add - which product?",IF(C59="","Add - which material?",IF(B59="Not found","Check - no such product ID",IF(D59="Add to Materials","Check - no such material ID",IF(OR(F59="",F59=0),"Add - how much?",IF(L59="","Check - that material has no price","OK")))))))</f>
        <v>0</v>
      </c>
    </row>
    <row r="60" spans="2:18">
      <c r="B60" s="13">
        <f>IF(A60="","",IFERROR(INDEX(Products!$B$5:$B$304,MATCH(A60,Products!$A$5:$A$304,0)),"Not found"))</f>
        <v>0</v>
      </c>
      <c r="D60" s="13">
        <f>IF(C60="","",IFERROR(INDEX(Materials!$B$5:$B$254,MATCH(C60,Materials!$A$5:$A$254,0)),"Add to Materials"))</f>
        <v>0</v>
      </c>
      <c r="E60" s="13">
        <f>IF(C60="","",IFERROR(INDEX(Materials!$H$5:$H$254,MATCH(C60,Materials!$A$5:$A$254,0)),"Add to Materials"))</f>
        <v>0</v>
      </c>
      <c r="J60" s="33">
        <f>IF(C60="","",IF(G60&lt;&gt;"",G60,IFERROR(INDEX(Materials!$W$5:$W$254,MATCH(C60,Materials!$A$5:$A$254,0)),DefaultWaste)))</f>
        <v>0</v>
      </c>
      <c r="K60" s="36">
        <f>IF(C60="","",IF(F60="","",ROUND(F60*(1+J60),4)))</f>
        <v>0</v>
      </c>
      <c r="L60" s="45">
        <f>IF(C60="","",IFERROR(INDEX(Materials!$S$5:$S$254,MATCH(C60,Materials!$A$5:$A$254,0)),""))</f>
        <v>0</v>
      </c>
      <c r="M60" s="45">
        <f>IF(C60="","",IF(OR(K60="",L60=""),"",ROUND(K60*L60,4)))</f>
        <v>0</v>
      </c>
      <c r="N60" s="20">
        <f>IF(A60="","",ROUND(SUMIFS('Material Usage'!$M$5:$M$904,'Material Usage'!$A$5:$A$904,A60),2))</f>
        <v>0</v>
      </c>
      <c r="O60" s="33">
        <f>IF(A60="","",IF(OR(M60="",N60="",N60=0),"",M60/N60))</f>
        <v>0</v>
      </c>
      <c r="P60" s="32">
        <f>IF(A60="","",COUNTIFS($A$5:A60,A60))</f>
        <v>0</v>
      </c>
      <c r="Q60" s="13">
        <f>IF(A60="","",A60&amp;"|"&amp;P60)</f>
        <v>0</v>
      </c>
      <c r="R60" s="43">
        <f>IF(AND(A60="",C60=""),"",IF(A60="","Add - which product?",IF(C60="","Add - which material?",IF(B60="Not found","Check - no such product ID",IF(D60="Add to Materials","Check - no such material ID",IF(OR(F60="",F60=0),"Add - how much?",IF(L60="","Check - that material has no price","OK")))))))</f>
        <v>0</v>
      </c>
    </row>
    <row r="61" spans="2:18">
      <c r="B61" s="13">
        <f>IF(A61="","",IFERROR(INDEX(Products!$B$5:$B$304,MATCH(A61,Products!$A$5:$A$304,0)),"Not found"))</f>
        <v>0</v>
      </c>
      <c r="D61" s="13">
        <f>IF(C61="","",IFERROR(INDEX(Materials!$B$5:$B$254,MATCH(C61,Materials!$A$5:$A$254,0)),"Add to Materials"))</f>
        <v>0</v>
      </c>
      <c r="E61" s="13">
        <f>IF(C61="","",IFERROR(INDEX(Materials!$H$5:$H$254,MATCH(C61,Materials!$A$5:$A$254,0)),"Add to Materials"))</f>
        <v>0</v>
      </c>
      <c r="J61" s="33">
        <f>IF(C61="","",IF(G61&lt;&gt;"",G61,IFERROR(INDEX(Materials!$W$5:$W$254,MATCH(C61,Materials!$A$5:$A$254,0)),DefaultWaste)))</f>
        <v>0</v>
      </c>
      <c r="K61" s="36">
        <f>IF(C61="","",IF(F61="","",ROUND(F61*(1+J61),4)))</f>
        <v>0</v>
      </c>
      <c r="L61" s="45">
        <f>IF(C61="","",IFERROR(INDEX(Materials!$S$5:$S$254,MATCH(C61,Materials!$A$5:$A$254,0)),""))</f>
        <v>0</v>
      </c>
      <c r="M61" s="45">
        <f>IF(C61="","",IF(OR(K61="",L61=""),"",ROUND(K61*L61,4)))</f>
        <v>0</v>
      </c>
      <c r="N61" s="20">
        <f>IF(A61="","",ROUND(SUMIFS('Material Usage'!$M$5:$M$904,'Material Usage'!$A$5:$A$904,A61),2))</f>
        <v>0</v>
      </c>
      <c r="O61" s="33">
        <f>IF(A61="","",IF(OR(M61="",N61="",N61=0),"",M61/N61))</f>
        <v>0</v>
      </c>
      <c r="P61" s="32">
        <f>IF(A61="","",COUNTIFS($A$5:A61,A61))</f>
        <v>0</v>
      </c>
      <c r="Q61" s="13">
        <f>IF(A61="","",A61&amp;"|"&amp;P61)</f>
        <v>0</v>
      </c>
      <c r="R61" s="43">
        <f>IF(AND(A61="",C61=""),"",IF(A61="","Add - which product?",IF(C61="","Add - which material?",IF(B61="Not found","Check - no such product ID",IF(D61="Add to Materials","Check - no such material ID",IF(OR(F61="",F61=0),"Add - how much?",IF(L61="","Check - that material has no price","OK")))))))</f>
        <v>0</v>
      </c>
    </row>
    <row r="62" spans="2:18">
      <c r="B62" s="13">
        <f>IF(A62="","",IFERROR(INDEX(Products!$B$5:$B$304,MATCH(A62,Products!$A$5:$A$304,0)),"Not found"))</f>
        <v>0</v>
      </c>
      <c r="D62" s="13">
        <f>IF(C62="","",IFERROR(INDEX(Materials!$B$5:$B$254,MATCH(C62,Materials!$A$5:$A$254,0)),"Add to Materials"))</f>
        <v>0</v>
      </c>
      <c r="E62" s="13">
        <f>IF(C62="","",IFERROR(INDEX(Materials!$H$5:$H$254,MATCH(C62,Materials!$A$5:$A$254,0)),"Add to Materials"))</f>
        <v>0</v>
      </c>
      <c r="J62" s="33">
        <f>IF(C62="","",IF(G62&lt;&gt;"",G62,IFERROR(INDEX(Materials!$W$5:$W$254,MATCH(C62,Materials!$A$5:$A$254,0)),DefaultWaste)))</f>
        <v>0</v>
      </c>
      <c r="K62" s="36">
        <f>IF(C62="","",IF(F62="","",ROUND(F62*(1+J62),4)))</f>
        <v>0</v>
      </c>
      <c r="L62" s="45">
        <f>IF(C62="","",IFERROR(INDEX(Materials!$S$5:$S$254,MATCH(C62,Materials!$A$5:$A$254,0)),""))</f>
        <v>0</v>
      </c>
      <c r="M62" s="45">
        <f>IF(C62="","",IF(OR(K62="",L62=""),"",ROUND(K62*L62,4)))</f>
        <v>0</v>
      </c>
      <c r="N62" s="20">
        <f>IF(A62="","",ROUND(SUMIFS('Material Usage'!$M$5:$M$904,'Material Usage'!$A$5:$A$904,A62),2))</f>
        <v>0</v>
      </c>
      <c r="O62" s="33">
        <f>IF(A62="","",IF(OR(M62="",N62="",N62=0),"",M62/N62))</f>
        <v>0</v>
      </c>
      <c r="P62" s="32">
        <f>IF(A62="","",COUNTIFS($A$5:A62,A62))</f>
        <v>0</v>
      </c>
      <c r="Q62" s="13">
        <f>IF(A62="","",A62&amp;"|"&amp;P62)</f>
        <v>0</v>
      </c>
      <c r="R62" s="43">
        <f>IF(AND(A62="",C62=""),"",IF(A62="","Add - which product?",IF(C62="","Add - which material?",IF(B62="Not found","Check - no such product ID",IF(D62="Add to Materials","Check - no such material ID",IF(OR(F62="",F62=0),"Add - how much?",IF(L62="","Check - that material has no price","OK")))))))</f>
        <v>0</v>
      </c>
    </row>
    <row r="63" spans="2:18">
      <c r="B63" s="13">
        <f>IF(A63="","",IFERROR(INDEX(Products!$B$5:$B$304,MATCH(A63,Products!$A$5:$A$304,0)),"Not found"))</f>
        <v>0</v>
      </c>
      <c r="D63" s="13">
        <f>IF(C63="","",IFERROR(INDEX(Materials!$B$5:$B$254,MATCH(C63,Materials!$A$5:$A$254,0)),"Add to Materials"))</f>
        <v>0</v>
      </c>
      <c r="E63" s="13">
        <f>IF(C63="","",IFERROR(INDEX(Materials!$H$5:$H$254,MATCH(C63,Materials!$A$5:$A$254,0)),"Add to Materials"))</f>
        <v>0</v>
      </c>
      <c r="J63" s="33">
        <f>IF(C63="","",IF(G63&lt;&gt;"",G63,IFERROR(INDEX(Materials!$W$5:$W$254,MATCH(C63,Materials!$A$5:$A$254,0)),DefaultWaste)))</f>
        <v>0</v>
      </c>
      <c r="K63" s="36">
        <f>IF(C63="","",IF(F63="","",ROUND(F63*(1+J63),4)))</f>
        <v>0</v>
      </c>
      <c r="L63" s="45">
        <f>IF(C63="","",IFERROR(INDEX(Materials!$S$5:$S$254,MATCH(C63,Materials!$A$5:$A$254,0)),""))</f>
        <v>0</v>
      </c>
      <c r="M63" s="45">
        <f>IF(C63="","",IF(OR(K63="",L63=""),"",ROUND(K63*L63,4)))</f>
        <v>0</v>
      </c>
      <c r="N63" s="20">
        <f>IF(A63="","",ROUND(SUMIFS('Material Usage'!$M$5:$M$904,'Material Usage'!$A$5:$A$904,A63),2))</f>
        <v>0</v>
      </c>
      <c r="O63" s="33">
        <f>IF(A63="","",IF(OR(M63="",N63="",N63=0),"",M63/N63))</f>
        <v>0</v>
      </c>
      <c r="P63" s="32">
        <f>IF(A63="","",COUNTIFS($A$5:A63,A63))</f>
        <v>0</v>
      </c>
      <c r="Q63" s="13">
        <f>IF(A63="","",A63&amp;"|"&amp;P63)</f>
        <v>0</v>
      </c>
      <c r="R63" s="43">
        <f>IF(AND(A63="",C63=""),"",IF(A63="","Add - which product?",IF(C63="","Add - which material?",IF(B63="Not found","Check - no such product ID",IF(D63="Add to Materials","Check - no such material ID",IF(OR(F63="",F63=0),"Add - how much?",IF(L63="","Check - that material has no price","OK")))))))</f>
        <v>0</v>
      </c>
    </row>
    <row r="64" spans="2:18">
      <c r="B64" s="13">
        <f>IF(A64="","",IFERROR(INDEX(Products!$B$5:$B$304,MATCH(A64,Products!$A$5:$A$304,0)),"Not found"))</f>
        <v>0</v>
      </c>
      <c r="D64" s="13">
        <f>IF(C64="","",IFERROR(INDEX(Materials!$B$5:$B$254,MATCH(C64,Materials!$A$5:$A$254,0)),"Add to Materials"))</f>
        <v>0</v>
      </c>
      <c r="E64" s="13">
        <f>IF(C64="","",IFERROR(INDEX(Materials!$H$5:$H$254,MATCH(C64,Materials!$A$5:$A$254,0)),"Add to Materials"))</f>
        <v>0</v>
      </c>
      <c r="J64" s="33">
        <f>IF(C64="","",IF(G64&lt;&gt;"",G64,IFERROR(INDEX(Materials!$W$5:$W$254,MATCH(C64,Materials!$A$5:$A$254,0)),DefaultWaste)))</f>
        <v>0</v>
      </c>
      <c r="K64" s="36">
        <f>IF(C64="","",IF(F64="","",ROUND(F64*(1+J64),4)))</f>
        <v>0</v>
      </c>
      <c r="L64" s="45">
        <f>IF(C64="","",IFERROR(INDEX(Materials!$S$5:$S$254,MATCH(C64,Materials!$A$5:$A$254,0)),""))</f>
        <v>0</v>
      </c>
      <c r="M64" s="45">
        <f>IF(C64="","",IF(OR(K64="",L64=""),"",ROUND(K64*L64,4)))</f>
        <v>0</v>
      </c>
      <c r="N64" s="20">
        <f>IF(A64="","",ROUND(SUMIFS('Material Usage'!$M$5:$M$904,'Material Usage'!$A$5:$A$904,A64),2))</f>
        <v>0</v>
      </c>
      <c r="O64" s="33">
        <f>IF(A64="","",IF(OR(M64="",N64="",N64=0),"",M64/N64))</f>
        <v>0</v>
      </c>
      <c r="P64" s="32">
        <f>IF(A64="","",COUNTIFS($A$5:A64,A64))</f>
        <v>0</v>
      </c>
      <c r="Q64" s="13">
        <f>IF(A64="","",A64&amp;"|"&amp;P64)</f>
        <v>0</v>
      </c>
      <c r="R64" s="43">
        <f>IF(AND(A64="",C64=""),"",IF(A64="","Add - which product?",IF(C64="","Add - which material?",IF(B64="Not found","Check - no such product ID",IF(D64="Add to Materials","Check - no such material ID",IF(OR(F64="",F64=0),"Add - how much?",IF(L64="","Check - that material has no price","OK")))))))</f>
        <v>0</v>
      </c>
    </row>
    <row r="65" spans="2:18">
      <c r="B65" s="13">
        <f>IF(A65="","",IFERROR(INDEX(Products!$B$5:$B$304,MATCH(A65,Products!$A$5:$A$304,0)),"Not found"))</f>
        <v>0</v>
      </c>
      <c r="D65" s="13">
        <f>IF(C65="","",IFERROR(INDEX(Materials!$B$5:$B$254,MATCH(C65,Materials!$A$5:$A$254,0)),"Add to Materials"))</f>
        <v>0</v>
      </c>
      <c r="E65" s="13">
        <f>IF(C65="","",IFERROR(INDEX(Materials!$H$5:$H$254,MATCH(C65,Materials!$A$5:$A$254,0)),"Add to Materials"))</f>
        <v>0</v>
      </c>
      <c r="J65" s="33">
        <f>IF(C65="","",IF(G65&lt;&gt;"",G65,IFERROR(INDEX(Materials!$W$5:$W$254,MATCH(C65,Materials!$A$5:$A$254,0)),DefaultWaste)))</f>
        <v>0</v>
      </c>
      <c r="K65" s="36">
        <f>IF(C65="","",IF(F65="","",ROUND(F65*(1+J65),4)))</f>
        <v>0</v>
      </c>
      <c r="L65" s="45">
        <f>IF(C65="","",IFERROR(INDEX(Materials!$S$5:$S$254,MATCH(C65,Materials!$A$5:$A$254,0)),""))</f>
        <v>0</v>
      </c>
      <c r="M65" s="45">
        <f>IF(C65="","",IF(OR(K65="",L65=""),"",ROUND(K65*L65,4)))</f>
        <v>0</v>
      </c>
      <c r="N65" s="20">
        <f>IF(A65="","",ROUND(SUMIFS('Material Usage'!$M$5:$M$904,'Material Usage'!$A$5:$A$904,A65),2))</f>
        <v>0</v>
      </c>
      <c r="O65" s="33">
        <f>IF(A65="","",IF(OR(M65="",N65="",N65=0),"",M65/N65))</f>
        <v>0</v>
      </c>
      <c r="P65" s="32">
        <f>IF(A65="","",COUNTIFS($A$5:A65,A65))</f>
        <v>0</v>
      </c>
      <c r="Q65" s="13">
        <f>IF(A65="","",A65&amp;"|"&amp;P65)</f>
        <v>0</v>
      </c>
      <c r="R65" s="43">
        <f>IF(AND(A65="",C65=""),"",IF(A65="","Add - which product?",IF(C65="","Add - which material?",IF(B65="Not found","Check - no such product ID",IF(D65="Add to Materials","Check - no such material ID",IF(OR(F65="",F65=0),"Add - how much?",IF(L65="","Check - that material has no price","OK")))))))</f>
        <v>0</v>
      </c>
    </row>
    <row r="66" spans="2:18">
      <c r="B66" s="13">
        <f>IF(A66="","",IFERROR(INDEX(Products!$B$5:$B$304,MATCH(A66,Products!$A$5:$A$304,0)),"Not found"))</f>
        <v>0</v>
      </c>
      <c r="D66" s="13">
        <f>IF(C66="","",IFERROR(INDEX(Materials!$B$5:$B$254,MATCH(C66,Materials!$A$5:$A$254,0)),"Add to Materials"))</f>
        <v>0</v>
      </c>
      <c r="E66" s="13">
        <f>IF(C66="","",IFERROR(INDEX(Materials!$H$5:$H$254,MATCH(C66,Materials!$A$5:$A$254,0)),"Add to Materials"))</f>
        <v>0</v>
      </c>
      <c r="J66" s="33">
        <f>IF(C66="","",IF(G66&lt;&gt;"",G66,IFERROR(INDEX(Materials!$W$5:$W$254,MATCH(C66,Materials!$A$5:$A$254,0)),DefaultWaste)))</f>
        <v>0</v>
      </c>
      <c r="K66" s="36">
        <f>IF(C66="","",IF(F66="","",ROUND(F66*(1+J66),4)))</f>
        <v>0</v>
      </c>
      <c r="L66" s="45">
        <f>IF(C66="","",IFERROR(INDEX(Materials!$S$5:$S$254,MATCH(C66,Materials!$A$5:$A$254,0)),""))</f>
        <v>0</v>
      </c>
      <c r="M66" s="45">
        <f>IF(C66="","",IF(OR(K66="",L66=""),"",ROUND(K66*L66,4)))</f>
        <v>0</v>
      </c>
      <c r="N66" s="20">
        <f>IF(A66="","",ROUND(SUMIFS('Material Usage'!$M$5:$M$904,'Material Usage'!$A$5:$A$904,A66),2))</f>
        <v>0</v>
      </c>
      <c r="O66" s="33">
        <f>IF(A66="","",IF(OR(M66="",N66="",N66=0),"",M66/N66))</f>
        <v>0</v>
      </c>
      <c r="P66" s="32">
        <f>IF(A66="","",COUNTIFS($A$5:A66,A66))</f>
        <v>0</v>
      </c>
      <c r="Q66" s="13">
        <f>IF(A66="","",A66&amp;"|"&amp;P66)</f>
        <v>0</v>
      </c>
      <c r="R66" s="43">
        <f>IF(AND(A66="",C66=""),"",IF(A66="","Add - which product?",IF(C66="","Add - which material?",IF(B66="Not found","Check - no such product ID",IF(D66="Add to Materials","Check - no such material ID",IF(OR(F66="",F66=0),"Add - how much?",IF(L66="","Check - that material has no price","OK")))))))</f>
        <v>0</v>
      </c>
    </row>
    <row r="67" spans="2:18">
      <c r="B67" s="13">
        <f>IF(A67="","",IFERROR(INDEX(Products!$B$5:$B$304,MATCH(A67,Products!$A$5:$A$304,0)),"Not found"))</f>
        <v>0</v>
      </c>
      <c r="D67" s="13">
        <f>IF(C67="","",IFERROR(INDEX(Materials!$B$5:$B$254,MATCH(C67,Materials!$A$5:$A$254,0)),"Add to Materials"))</f>
        <v>0</v>
      </c>
      <c r="E67" s="13">
        <f>IF(C67="","",IFERROR(INDEX(Materials!$H$5:$H$254,MATCH(C67,Materials!$A$5:$A$254,0)),"Add to Materials"))</f>
        <v>0</v>
      </c>
      <c r="J67" s="33">
        <f>IF(C67="","",IF(G67&lt;&gt;"",G67,IFERROR(INDEX(Materials!$W$5:$W$254,MATCH(C67,Materials!$A$5:$A$254,0)),DefaultWaste)))</f>
        <v>0</v>
      </c>
      <c r="K67" s="36">
        <f>IF(C67="","",IF(F67="","",ROUND(F67*(1+J67),4)))</f>
        <v>0</v>
      </c>
      <c r="L67" s="45">
        <f>IF(C67="","",IFERROR(INDEX(Materials!$S$5:$S$254,MATCH(C67,Materials!$A$5:$A$254,0)),""))</f>
        <v>0</v>
      </c>
      <c r="M67" s="45">
        <f>IF(C67="","",IF(OR(K67="",L67=""),"",ROUND(K67*L67,4)))</f>
        <v>0</v>
      </c>
      <c r="N67" s="20">
        <f>IF(A67="","",ROUND(SUMIFS('Material Usage'!$M$5:$M$904,'Material Usage'!$A$5:$A$904,A67),2))</f>
        <v>0</v>
      </c>
      <c r="O67" s="33">
        <f>IF(A67="","",IF(OR(M67="",N67="",N67=0),"",M67/N67))</f>
        <v>0</v>
      </c>
      <c r="P67" s="32">
        <f>IF(A67="","",COUNTIFS($A$5:A67,A67))</f>
        <v>0</v>
      </c>
      <c r="Q67" s="13">
        <f>IF(A67="","",A67&amp;"|"&amp;P67)</f>
        <v>0</v>
      </c>
      <c r="R67" s="43">
        <f>IF(AND(A67="",C67=""),"",IF(A67="","Add - which product?",IF(C67="","Add - which material?",IF(B67="Not found","Check - no such product ID",IF(D67="Add to Materials","Check - no such material ID",IF(OR(F67="",F67=0),"Add - how much?",IF(L67="","Check - that material has no price","OK")))))))</f>
        <v>0</v>
      </c>
    </row>
    <row r="68" spans="2:18">
      <c r="B68" s="13">
        <f>IF(A68="","",IFERROR(INDEX(Products!$B$5:$B$304,MATCH(A68,Products!$A$5:$A$304,0)),"Not found"))</f>
        <v>0</v>
      </c>
      <c r="D68" s="13">
        <f>IF(C68="","",IFERROR(INDEX(Materials!$B$5:$B$254,MATCH(C68,Materials!$A$5:$A$254,0)),"Add to Materials"))</f>
        <v>0</v>
      </c>
      <c r="E68" s="13">
        <f>IF(C68="","",IFERROR(INDEX(Materials!$H$5:$H$254,MATCH(C68,Materials!$A$5:$A$254,0)),"Add to Materials"))</f>
        <v>0</v>
      </c>
      <c r="J68" s="33">
        <f>IF(C68="","",IF(G68&lt;&gt;"",G68,IFERROR(INDEX(Materials!$W$5:$W$254,MATCH(C68,Materials!$A$5:$A$254,0)),DefaultWaste)))</f>
        <v>0</v>
      </c>
      <c r="K68" s="36">
        <f>IF(C68="","",IF(F68="","",ROUND(F68*(1+J68),4)))</f>
        <v>0</v>
      </c>
      <c r="L68" s="45">
        <f>IF(C68="","",IFERROR(INDEX(Materials!$S$5:$S$254,MATCH(C68,Materials!$A$5:$A$254,0)),""))</f>
        <v>0</v>
      </c>
      <c r="M68" s="45">
        <f>IF(C68="","",IF(OR(K68="",L68=""),"",ROUND(K68*L68,4)))</f>
        <v>0</v>
      </c>
      <c r="N68" s="20">
        <f>IF(A68="","",ROUND(SUMIFS('Material Usage'!$M$5:$M$904,'Material Usage'!$A$5:$A$904,A68),2))</f>
        <v>0</v>
      </c>
      <c r="O68" s="33">
        <f>IF(A68="","",IF(OR(M68="",N68="",N68=0),"",M68/N68))</f>
        <v>0</v>
      </c>
      <c r="P68" s="32">
        <f>IF(A68="","",COUNTIFS($A$5:A68,A68))</f>
        <v>0</v>
      </c>
      <c r="Q68" s="13">
        <f>IF(A68="","",A68&amp;"|"&amp;P68)</f>
        <v>0</v>
      </c>
      <c r="R68" s="43">
        <f>IF(AND(A68="",C68=""),"",IF(A68="","Add - which product?",IF(C68="","Add - which material?",IF(B68="Not found","Check - no such product ID",IF(D68="Add to Materials","Check - no such material ID",IF(OR(F68="",F68=0),"Add - how much?",IF(L68="","Check - that material has no price","OK")))))))</f>
        <v>0</v>
      </c>
    </row>
    <row r="69" spans="2:18">
      <c r="B69" s="13">
        <f>IF(A69="","",IFERROR(INDEX(Products!$B$5:$B$304,MATCH(A69,Products!$A$5:$A$304,0)),"Not found"))</f>
        <v>0</v>
      </c>
      <c r="D69" s="13">
        <f>IF(C69="","",IFERROR(INDEX(Materials!$B$5:$B$254,MATCH(C69,Materials!$A$5:$A$254,0)),"Add to Materials"))</f>
        <v>0</v>
      </c>
      <c r="E69" s="13">
        <f>IF(C69="","",IFERROR(INDEX(Materials!$H$5:$H$254,MATCH(C69,Materials!$A$5:$A$254,0)),"Add to Materials"))</f>
        <v>0</v>
      </c>
      <c r="J69" s="33">
        <f>IF(C69="","",IF(G69&lt;&gt;"",G69,IFERROR(INDEX(Materials!$W$5:$W$254,MATCH(C69,Materials!$A$5:$A$254,0)),DefaultWaste)))</f>
        <v>0</v>
      </c>
      <c r="K69" s="36">
        <f>IF(C69="","",IF(F69="","",ROUND(F69*(1+J69),4)))</f>
        <v>0</v>
      </c>
      <c r="L69" s="45">
        <f>IF(C69="","",IFERROR(INDEX(Materials!$S$5:$S$254,MATCH(C69,Materials!$A$5:$A$254,0)),""))</f>
        <v>0</v>
      </c>
      <c r="M69" s="45">
        <f>IF(C69="","",IF(OR(K69="",L69=""),"",ROUND(K69*L69,4)))</f>
        <v>0</v>
      </c>
      <c r="N69" s="20">
        <f>IF(A69="","",ROUND(SUMIFS('Material Usage'!$M$5:$M$904,'Material Usage'!$A$5:$A$904,A69),2))</f>
        <v>0</v>
      </c>
      <c r="O69" s="33">
        <f>IF(A69="","",IF(OR(M69="",N69="",N69=0),"",M69/N69))</f>
        <v>0</v>
      </c>
      <c r="P69" s="32">
        <f>IF(A69="","",COUNTIFS($A$5:A69,A69))</f>
        <v>0</v>
      </c>
      <c r="Q69" s="13">
        <f>IF(A69="","",A69&amp;"|"&amp;P69)</f>
        <v>0</v>
      </c>
      <c r="R69" s="43">
        <f>IF(AND(A69="",C69=""),"",IF(A69="","Add - which product?",IF(C69="","Add - which material?",IF(B69="Not found","Check - no such product ID",IF(D69="Add to Materials","Check - no such material ID",IF(OR(F69="",F69=0),"Add - how much?",IF(L69="","Check - that material has no price","OK")))))))</f>
        <v>0</v>
      </c>
    </row>
    <row r="70" spans="2:18">
      <c r="B70" s="13">
        <f>IF(A70="","",IFERROR(INDEX(Products!$B$5:$B$304,MATCH(A70,Products!$A$5:$A$304,0)),"Not found"))</f>
        <v>0</v>
      </c>
      <c r="D70" s="13">
        <f>IF(C70="","",IFERROR(INDEX(Materials!$B$5:$B$254,MATCH(C70,Materials!$A$5:$A$254,0)),"Add to Materials"))</f>
        <v>0</v>
      </c>
      <c r="E70" s="13">
        <f>IF(C70="","",IFERROR(INDEX(Materials!$H$5:$H$254,MATCH(C70,Materials!$A$5:$A$254,0)),"Add to Materials"))</f>
        <v>0</v>
      </c>
      <c r="J70" s="33">
        <f>IF(C70="","",IF(G70&lt;&gt;"",G70,IFERROR(INDEX(Materials!$W$5:$W$254,MATCH(C70,Materials!$A$5:$A$254,0)),DefaultWaste)))</f>
        <v>0</v>
      </c>
      <c r="K70" s="36">
        <f>IF(C70="","",IF(F70="","",ROUND(F70*(1+J70),4)))</f>
        <v>0</v>
      </c>
      <c r="L70" s="45">
        <f>IF(C70="","",IFERROR(INDEX(Materials!$S$5:$S$254,MATCH(C70,Materials!$A$5:$A$254,0)),""))</f>
        <v>0</v>
      </c>
      <c r="M70" s="45">
        <f>IF(C70="","",IF(OR(K70="",L70=""),"",ROUND(K70*L70,4)))</f>
        <v>0</v>
      </c>
      <c r="N70" s="20">
        <f>IF(A70="","",ROUND(SUMIFS('Material Usage'!$M$5:$M$904,'Material Usage'!$A$5:$A$904,A70),2))</f>
        <v>0</v>
      </c>
      <c r="O70" s="33">
        <f>IF(A70="","",IF(OR(M70="",N70="",N70=0),"",M70/N70))</f>
        <v>0</v>
      </c>
      <c r="P70" s="32">
        <f>IF(A70="","",COUNTIFS($A$5:A70,A70))</f>
        <v>0</v>
      </c>
      <c r="Q70" s="13">
        <f>IF(A70="","",A70&amp;"|"&amp;P70)</f>
        <v>0</v>
      </c>
      <c r="R70" s="43">
        <f>IF(AND(A70="",C70=""),"",IF(A70="","Add - which product?",IF(C70="","Add - which material?",IF(B70="Not found","Check - no such product ID",IF(D70="Add to Materials","Check - no such material ID",IF(OR(F70="",F70=0),"Add - how much?",IF(L70="","Check - that material has no price","OK")))))))</f>
        <v>0</v>
      </c>
    </row>
    <row r="71" spans="2:18">
      <c r="B71" s="13">
        <f>IF(A71="","",IFERROR(INDEX(Products!$B$5:$B$304,MATCH(A71,Products!$A$5:$A$304,0)),"Not found"))</f>
        <v>0</v>
      </c>
      <c r="D71" s="13">
        <f>IF(C71="","",IFERROR(INDEX(Materials!$B$5:$B$254,MATCH(C71,Materials!$A$5:$A$254,0)),"Add to Materials"))</f>
        <v>0</v>
      </c>
      <c r="E71" s="13">
        <f>IF(C71="","",IFERROR(INDEX(Materials!$H$5:$H$254,MATCH(C71,Materials!$A$5:$A$254,0)),"Add to Materials"))</f>
        <v>0</v>
      </c>
      <c r="J71" s="33">
        <f>IF(C71="","",IF(G71&lt;&gt;"",G71,IFERROR(INDEX(Materials!$W$5:$W$254,MATCH(C71,Materials!$A$5:$A$254,0)),DefaultWaste)))</f>
        <v>0</v>
      </c>
      <c r="K71" s="36">
        <f>IF(C71="","",IF(F71="","",ROUND(F71*(1+J71),4)))</f>
        <v>0</v>
      </c>
      <c r="L71" s="45">
        <f>IF(C71="","",IFERROR(INDEX(Materials!$S$5:$S$254,MATCH(C71,Materials!$A$5:$A$254,0)),""))</f>
        <v>0</v>
      </c>
      <c r="M71" s="45">
        <f>IF(C71="","",IF(OR(K71="",L71=""),"",ROUND(K71*L71,4)))</f>
        <v>0</v>
      </c>
      <c r="N71" s="20">
        <f>IF(A71="","",ROUND(SUMIFS('Material Usage'!$M$5:$M$904,'Material Usage'!$A$5:$A$904,A71),2))</f>
        <v>0</v>
      </c>
      <c r="O71" s="33">
        <f>IF(A71="","",IF(OR(M71="",N71="",N71=0),"",M71/N71))</f>
        <v>0</v>
      </c>
      <c r="P71" s="32">
        <f>IF(A71="","",COUNTIFS($A$5:A71,A71))</f>
        <v>0</v>
      </c>
      <c r="Q71" s="13">
        <f>IF(A71="","",A71&amp;"|"&amp;P71)</f>
        <v>0</v>
      </c>
      <c r="R71" s="43">
        <f>IF(AND(A71="",C71=""),"",IF(A71="","Add - which product?",IF(C71="","Add - which material?",IF(B71="Not found","Check - no such product ID",IF(D71="Add to Materials","Check - no such material ID",IF(OR(F71="",F71=0),"Add - how much?",IF(L71="","Check - that material has no price","OK")))))))</f>
        <v>0</v>
      </c>
    </row>
    <row r="72" spans="2:18">
      <c r="B72" s="13">
        <f>IF(A72="","",IFERROR(INDEX(Products!$B$5:$B$304,MATCH(A72,Products!$A$5:$A$304,0)),"Not found"))</f>
        <v>0</v>
      </c>
      <c r="D72" s="13">
        <f>IF(C72="","",IFERROR(INDEX(Materials!$B$5:$B$254,MATCH(C72,Materials!$A$5:$A$254,0)),"Add to Materials"))</f>
        <v>0</v>
      </c>
      <c r="E72" s="13">
        <f>IF(C72="","",IFERROR(INDEX(Materials!$H$5:$H$254,MATCH(C72,Materials!$A$5:$A$254,0)),"Add to Materials"))</f>
        <v>0</v>
      </c>
      <c r="J72" s="33">
        <f>IF(C72="","",IF(G72&lt;&gt;"",G72,IFERROR(INDEX(Materials!$W$5:$W$254,MATCH(C72,Materials!$A$5:$A$254,0)),DefaultWaste)))</f>
        <v>0</v>
      </c>
      <c r="K72" s="36">
        <f>IF(C72="","",IF(F72="","",ROUND(F72*(1+J72),4)))</f>
        <v>0</v>
      </c>
      <c r="L72" s="45">
        <f>IF(C72="","",IFERROR(INDEX(Materials!$S$5:$S$254,MATCH(C72,Materials!$A$5:$A$254,0)),""))</f>
        <v>0</v>
      </c>
      <c r="M72" s="45">
        <f>IF(C72="","",IF(OR(K72="",L72=""),"",ROUND(K72*L72,4)))</f>
        <v>0</v>
      </c>
      <c r="N72" s="20">
        <f>IF(A72="","",ROUND(SUMIFS('Material Usage'!$M$5:$M$904,'Material Usage'!$A$5:$A$904,A72),2))</f>
        <v>0</v>
      </c>
      <c r="O72" s="33">
        <f>IF(A72="","",IF(OR(M72="",N72="",N72=0),"",M72/N72))</f>
        <v>0</v>
      </c>
      <c r="P72" s="32">
        <f>IF(A72="","",COUNTIFS($A$5:A72,A72))</f>
        <v>0</v>
      </c>
      <c r="Q72" s="13">
        <f>IF(A72="","",A72&amp;"|"&amp;P72)</f>
        <v>0</v>
      </c>
      <c r="R72" s="43">
        <f>IF(AND(A72="",C72=""),"",IF(A72="","Add - which product?",IF(C72="","Add - which material?",IF(B72="Not found","Check - no such product ID",IF(D72="Add to Materials","Check - no such material ID",IF(OR(F72="",F72=0),"Add - how much?",IF(L72="","Check - that material has no price","OK")))))))</f>
        <v>0</v>
      </c>
    </row>
    <row r="73" spans="2:18">
      <c r="B73" s="13">
        <f>IF(A73="","",IFERROR(INDEX(Products!$B$5:$B$304,MATCH(A73,Products!$A$5:$A$304,0)),"Not found"))</f>
        <v>0</v>
      </c>
      <c r="D73" s="13">
        <f>IF(C73="","",IFERROR(INDEX(Materials!$B$5:$B$254,MATCH(C73,Materials!$A$5:$A$254,0)),"Add to Materials"))</f>
        <v>0</v>
      </c>
      <c r="E73" s="13">
        <f>IF(C73="","",IFERROR(INDEX(Materials!$H$5:$H$254,MATCH(C73,Materials!$A$5:$A$254,0)),"Add to Materials"))</f>
        <v>0</v>
      </c>
      <c r="J73" s="33">
        <f>IF(C73="","",IF(G73&lt;&gt;"",G73,IFERROR(INDEX(Materials!$W$5:$W$254,MATCH(C73,Materials!$A$5:$A$254,0)),DefaultWaste)))</f>
        <v>0</v>
      </c>
      <c r="K73" s="36">
        <f>IF(C73="","",IF(F73="","",ROUND(F73*(1+J73),4)))</f>
        <v>0</v>
      </c>
      <c r="L73" s="45">
        <f>IF(C73="","",IFERROR(INDEX(Materials!$S$5:$S$254,MATCH(C73,Materials!$A$5:$A$254,0)),""))</f>
        <v>0</v>
      </c>
      <c r="M73" s="45">
        <f>IF(C73="","",IF(OR(K73="",L73=""),"",ROUND(K73*L73,4)))</f>
        <v>0</v>
      </c>
      <c r="N73" s="20">
        <f>IF(A73="","",ROUND(SUMIFS('Material Usage'!$M$5:$M$904,'Material Usage'!$A$5:$A$904,A73),2))</f>
        <v>0</v>
      </c>
      <c r="O73" s="33">
        <f>IF(A73="","",IF(OR(M73="",N73="",N73=0),"",M73/N73))</f>
        <v>0</v>
      </c>
      <c r="P73" s="32">
        <f>IF(A73="","",COUNTIFS($A$5:A73,A73))</f>
        <v>0</v>
      </c>
      <c r="Q73" s="13">
        <f>IF(A73="","",A73&amp;"|"&amp;P73)</f>
        <v>0</v>
      </c>
      <c r="R73" s="43">
        <f>IF(AND(A73="",C73=""),"",IF(A73="","Add - which product?",IF(C73="","Add - which material?",IF(B73="Not found","Check - no such product ID",IF(D73="Add to Materials","Check - no such material ID",IF(OR(F73="",F73=0),"Add - how much?",IF(L73="","Check - that material has no price","OK")))))))</f>
        <v>0</v>
      </c>
    </row>
    <row r="74" spans="2:18">
      <c r="B74" s="13">
        <f>IF(A74="","",IFERROR(INDEX(Products!$B$5:$B$304,MATCH(A74,Products!$A$5:$A$304,0)),"Not found"))</f>
        <v>0</v>
      </c>
      <c r="D74" s="13">
        <f>IF(C74="","",IFERROR(INDEX(Materials!$B$5:$B$254,MATCH(C74,Materials!$A$5:$A$254,0)),"Add to Materials"))</f>
        <v>0</v>
      </c>
      <c r="E74" s="13">
        <f>IF(C74="","",IFERROR(INDEX(Materials!$H$5:$H$254,MATCH(C74,Materials!$A$5:$A$254,0)),"Add to Materials"))</f>
        <v>0</v>
      </c>
      <c r="J74" s="33">
        <f>IF(C74="","",IF(G74&lt;&gt;"",G74,IFERROR(INDEX(Materials!$W$5:$W$254,MATCH(C74,Materials!$A$5:$A$254,0)),DefaultWaste)))</f>
        <v>0</v>
      </c>
      <c r="K74" s="36">
        <f>IF(C74="","",IF(F74="","",ROUND(F74*(1+J74),4)))</f>
        <v>0</v>
      </c>
      <c r="L74" s="45">
        <f>IF(C74="","",IFERROR(INDEX(Materials!$S$5:$S$254,MATCH(C74,Materials!$A$5:$A$254,0)),""))</f>
        <v>0</v>
      </c>
      <c r="M74" s="45">
        <f>IF(C74="","",IF(OR(K74="",L74=""),"",ROUND(K74*L74,4)))</f>
        <v>0</v>
      </c>
      <c r="N74" s="20">
        <f>IF(A74="","",ROUND(SUMIFS('Material Usage'!$M$5:$M$904,'Material Usage'!$A$5:$A$904,A74),2))</f>
        <v>0</v>
      </c>
      <c r="O74" s="33">
        <f>IF(A74="","",IF(OR(M74="",N74="",N74=0),"",M74/N74))</f>
        <v>0</v>
      </c>
      <c r="P74" s="32">
        <f>IF(A74="","",COUNTIFS($A$5:A74,A74))</f>
        <v>0</v>
      </c>
      <c r="Q74" s="13">
        <f>IF(A74="","",A74&amp;"|"&amp;P74)</f>
        <v>0</v>
      </c>
      <c r="R74" s="43">
        <f>IF(AND(A74="",C74=""),"",IF(A74="","Add - which product?",IF(C74="","Add - which material?",IF(B74="Not found","Check - no such product ID",IF(D74="Add to Materials","Check - no such material ID",IF(OR(F74="",F74=0),"Add - how much?",IF(L74="","Check - that material has no price","OK")))))))</f>
        <v>0</v>
      </c>
    </row>
    <row r="75" spans="2:18">
      <c r="B75" s="13">
        <f>IF(A75="","",IFERROR(INDEX(Products!$B$5:$B$304,MATCH(A75,Products!$A$5:$A$304,0)),"Not found"))</f>
        <v>0</v>
      </c>
      <c r="D75" s="13">
        <f>IF(C75="","",IFERROR(INDEX(Materials!$B$5:$B$254,MATCH(C75,Materials!$A$5:$A$254,0)),"Add to Materials"))</f>
        <v>0</v>
      </c>
      <c r="E75" s="13">
        <f>IF(C75="","",IFERROR(INDEX(Materials!$H$5:$H$254,MATCH(C75,Materials!$A$5:$A$254,0)),"Add to Materials"))</f>
        <v>0</v>
      </c>
      <c r="J75" s="33">
        <f>IF(C75="","",IF(G75&lt;&gt;"",G75,IFERROR(INDEX(Materials!$W$5:$W$254,MATCH(C75,Materials!$A$5:$A$254,0)),DefaultWaste)))</f>
        <v>0</v>
      </c>
      <c r="K75" s="36">
        <f>IF(C75="","",IF(F75="","",ROUND(F75*(1+J75),4)))</f>
        <v>0</v>
      </c>
      <c r="L75" s="45">
        <f>IF(C75="","",IFERROR(INDEX(Materials!$S$5:$S$254,MATCH(C75,Materials!$A$5:$A$254,0)),""))</f>
        <v>0</v>
      </c>
      <c r="M75" s="45">
        <f>IF(C75="","",IF(OR(K75="",L75=""),"",ROUND(K75*L75,4)))</f>
        <v>0</v>
      </c>
      <c r="N75" s="20">
        <f>IF(A75="","",ROUND(SUMIFS('Material Usage'!$M$5:$M$904,'Material Usage'!$A$5:$A$904,A75),2))</f>
        <v>0</v>
      </c>
      <c r="O75" s="33">
        <f>IF(A75="","",IF(OR(M75="",N75="",N75=0),"",M75/N75))</f>
        <v>0</v>
      </c>
      <c r="P75" s="32">
        <f>IF(A75="","",COUNTIFS($A$5:A75,A75))</f>
        <v>0</v>
      </c>
      <c r="Q75" s="13">
        <f>IF(A75="","",A75&amp;"|"&amp;P75)</f>
        <v>0</v>
      </c>
      <c r="R75" s="43">
        <f>IF(AND(A75="",C75=""),"",IF(A75="","Add - which product?",IF(C75="","Add - which material?",IF(B75="Not found","Check - no such product ID",IF(D75="Add to Materials","Check - no such material ID",IF(OR(F75="",F75=0),"Add - how much?",IF(L75="","Check - that material has no price","OK")))))))</f>
        <v>0</v>
      </c>
    </row>
    <row r="76" spans="2:18">
      <c r="B76" s="13">
        <f>IF(A76="","",IFERROR(INDEX(Products!$B$5:$B$304,MATCH(A76,Products!$A$5:$A$304,0)),"Not found"))</f>
        <v>0</v>
      </c>
      <c r="D76" s="13">
        <f>IF(C76="","",IFERROR(INDEX(Materials!$B$5:$B$254,MATCH(C76,Materials!$A$5:$A$254,0)),"Add to Materials"))</f>
        <v>0</v>
      </c>
      <c r="E76" s="13">
        <f>IF(C76="","",IFERROR(INDEX(Materials!$H$5:$H$254,MATCH(C76,Materials!$A$5:$A$254,0)),"Add to Materials"))</f>
        <v>0</v>
      </c>
      <c r="J76" s="33">
        <f>IF(C76="","",IF(G76&lt;&gt;"",G76,IFERROR(INDEX(Materials!$W$5:$W$254,MATCH(C76,Materials!$A$5:$A$254,0)),DefaultWaste)))</f>
        <v>0</v>
      </c>
      <c r="K76" s="36">
        <f>IF(C76="","",IF(F76="","",ROUND(F76*(1+J76),4)))</f>
        <v>0</v>
      </c>
      <c r="L76" s="45">
        <f>IF(C76="","",IFERROR(INDEX(Materials!$S$5:$S$254,MATCH(C76,Materials!$A$5:$A$254,0)),""))</f>
        <v>0</v>
      </c>
      <c r="M76" s="45">
        <f>IF(C76="","",IF(OR(K76="",L76=""),"",ROUND(K76*L76,4)))</f>
        <v>0</v>
      </c>
      <c r="N76" s="20">
        <f>IF(A76="","",ROUND(SUMIFS('Material Usage'!$M$5:$M$904,'Material Usage'!$A$5:$A$904,A76),2))</f>
        <v>0</v>
      </c>
      <c r="O76" s="33">
        <f>IF(A76="","",IF(OR(M76="",N76="",N76=0),"",M76/N76))</f>
        <v>0</v>
      </c>
      <c r="P76" s="32">
        <f>IF(A76="","",COUNTIFS($A$5:A76,A76))</f>
        <v>0</v>
      </c>
      <c r="Q76" s="13">
        <f>IF(A76="","",A76&amp;"|"&amp;P76)</f>
        <v>0</v>
      </c>
      <c r="R76" s="43">
        <f>IF(AND(A76="",C76=""),"",IF(A76="","Add - which product?",IF(C76="","Add - which material?",IF(B76="Not found","Check - no such product ID",IF(D76="Add to Materials","Check - no such material ID",IF(OR(F76="",F76=0),"Add - how much?",IF(L76="","Check - that material has no price","OK")))))))</f>
        <v>0</v>
      </c>
    </row>
    <row r="77" spans="2:18">
      <c r="B77" s="13">
        <f>IF(A77="","",IFERROR(INDEX(Products!$B$5:$B$304,MATCH(A77,Products!$A$5:$A$304,0)),"Not found"))</f>
        <v>0</v>
      </c>
      <c r="D77" s="13">
        <f>IF(C77="","",IFERROR(INDEX(Materials!$B$5:$B$254,MATCH(C77,Materials!$A$5:$A$254,0)),"Add to Materials"))</f>
        <v>0</v>
      </c>
      <c r="E77" s="13">
        <f>IF(C77="","",IFERROR(INDEX(Materials!$H$5:$H$254,MATCH(C77,Materials!$A$5:$A$254,0)),"Add to Materials"))</f>
        <v>0</v>
      </c>
      <c r="J77" s="33">
        <f>IF(C77="","",IF(G77&lt;&gt;"",G77,IFERROR(INDEX(Materials!$W$5:$W$254,MATCH(C77,Materials!$A$5:$A$254,0)),DefaultWaste)))</f>
        <v>0</v>
      </c>
      <c r="K77" s="36">
        <f>IF(C77="","",IF(F77="","",ROUND(F77*(1+J77),4)))</f>
        <v>0</v>
      </c>
      <c r="L77" s="45">
        <f>IF(C77="","",IFERROR(INDEX(Materials!$S$5:$S$254,MATCH(C77,Materials!$A$5:$A$254,0)),""))</f>
        <v>0</v>
      </c>
      <c r="M77" s="45">
        <f>IF(C77="","",IF(OR(K77="",L77=""),"",ROUND(K77*L77,4)))</f>
        <v>0</v>
      </c>
      <c r="N77" s="20">
        <f>IF(A77="","",ROUND(SUMIFS('Material Usage'!$M$5:$M$904,'Material Usage'!$A$5:$A$904,A77),2))</f>
        <v>0</v>
      </c>
      <c r="O77" s="33">
        <f>IF(A77="","",IF(OR(M77="",N77="",N77=0),"",M77/N77))</f>
        <v>0</v>
      </c>
      <c r="P77" s="32">
        <f>IF(A77="","",COUNTIFS($A$5:A77,A77))</f>
        <v>0</v>
      </c>
      <c r="Q77" s="13">
        <f>IF(A77="","",A77&amp;"|"&amp;P77)</f>
        <v>0</v>
      </c>
      <c r="R77" s="43">
        <f>IF(AND(A77="",C77=""),"",IF(A77="","Add - which product?",IF(C77="","Add - which material?",IF(B77="Not found","Check - no such product ID",IF(D77="Add to Materials","Check - no such material ID",IF(OR(F77="",F77=0),"Add - how much?",IF(L77="","Check - that material has no price","OK")))))))</f>
        <v>0</v>
      </c>
    </row>
    <row r="78" spans="2:18">
      <c r="B78" s="13">
        <f>IF(A78="","",IFERROR(INDEX(Products!$B$5:$B$304,MATCH(A78,Products!$A$5:$A$304,0)),"Not found"))</f>
        <v>0</v>
      </c>
      <c r="D78" s="13">
        <f>IF(C78="","",IFERROR(INDEX(Materials!$B$5:$B$254,MATCH(C78,Materials!$A$5:$A$254,0)),"Add to Materials"))</f>
        <v>0</v>
      </c>
      <c r="E78" s="13">
        <f>IF(C78="","",IFERROR(INDEX(Materials!$H$5:$H$254,MATCH(C78,Materials!$A$5:$A$254,0)),"Add to Materials"))</f>
        <v>0</v>
      </c>
      <c r="J78" s="33">
        <f>IF(C78="","",IF(G78&lt;&gt;"",G78,IFERROR(INDEX(Materials!$W$5:$W$254,MATCH(C78,Materials!$A$5:$A$254,0)),DefaultWaste)))</f>
        <v>0</v>
      </c>
      <c r="K78" s="36">
        <f>IF(C78="","",IF(F78="","",ROUND(F78*(1+J78),4)))</f>
        <v>0</v>
      </c>
      <c r="L78" s="45">
        <f>IF(C78="","",IFERROR(INDEX(Materials!$S$5:$S$254,MATCH(C78,Materials!$A$5:$A$254,0)),""))</f>
        <v>0</v>
      </c>
      <c r="M78" s="45">
        <f>IF(C78="","",IF(OR(K78="",L78=""),"",ROUND(K78*L78,4)))</f>
        <v>0</v>
      </c>
      <c r="N78" s="20">
        <f>IF(A78="","",ROUND(SUMIFS('Material Usage'!$M$5:$M$904,'Material Usage'!$A$5:$A$904,A78),2))</f>
        <v>0</v>
      </c>
      <c r="O78" s="33">
        <f>IF(A78="","",IF(OR(M78="",N78="",N78=0),"",M78/N78))</f>
        <v>0</v>
      </c>
      <c r="P78" s="32">
        <f>IF(A78="","",COUNTIFS($A$5:A78,A78))</f>
        <v>0</v>
      </c>
      <c r="Q78" s="13">
        <f>IF(A78="","",A78&amp;"|"&amp;P78)</f>
        <v>0</v>
      </c>
      <c r="R78" s="43">
        <f>IF(AND(A78="",C78=""),"",IF(A78="","Add - which product?",IF(C78="","Add - which material?",IF(B78="Not found","Check - no such product ID",IF(D78="Add to Materials","Check - no such material ID",IF(OR(F78="",F78=0),"Add - how much?",IF(L78="","Check - that material has no price","OK")))))))</f>
        <v>0</v>
      </c>
    </row>
    <row r="79" spans="2:18">
      <c r="B79" s="13">
        <f>IF(A79="","",IFERROR(INDEX(Products!$B$5:$B$304,MATCH(A79,Products!$A$5:$A$304,0)),"Not found"))</f>
        <v>0</v>
      </c>
      <c r="D79" s="13">
        <f>IF(C79="","",IFERROR(INDEX(Materials!$B$5:$B$254,MATCH(C79,Materials!$A$5:$A$254,0)),"Add to Materials"))</f>
        <v>0</v>
      </c>
      <c r="E79" s="13">
        <f>IF(C79="","",IFERROR(INDEX(Materials!$H$5:$H$254,MATCH(C79,Materials!$A$5:$A$254,0)),"Add to Materials"))</f>
        <v>0</v>
      </c>
      <c r="J79" s="33">
        <f>IF(C79="","",IF(G79&lt;&gt;"",G79,IFERROR(INDEX(Materials!$W$5:$W$254,MATCH(C79,Materials!$A$5:$A$254,0)),DefaultWaste)))</f>
        <v>0</v>
      </c>
      <c r="K79" s="36">
        <f>IF(C79="","",IF(F79="","",ROUND(F79*(1+J79),4)))</f>
        <v>0</v>
      </c>
      <c r="L79" s="45">
        <f>IF(C79="","",IFERROR(INDEX(Materials!$S$5:$S$254,MATCH(C79,Materials!$A$5:$A$254,0)),""))</f>
        <v>0</v>
      </c>
      <c r="M79" s="45">
        <f>IF(C79="","",IF(OR(K79="",L79=""),"",ROUND(K79*L79,4)))</f>
        <v>0</v>
      </c>
      <c r="N79" s="20">
        <f>IF(A79="","",ROUND(SUMIFS('Material Usage'!$M$5:$M$904,'Material Usage'!$A$5:$A$904,A79),2))</f>
        <v>0</v>
      </c>
      <c r="O79" s="33">
        <f>IF(A79="","",IF(OR(M79="",N79="",N79=0),"",M79/N79))</f>
        <v>0</v>
      </c>
      <c r="P79" s="32">
        <f>IF(A79="","",COUNTIFS($A$5:A79,A79))</f>
        <v>0</v>
      </c>
      <c r="Q79" s="13">
        <f>IF(A79="","",A79&amp;"|"&amp;P79)</f>
        <v>0</v>
      </c>
      <c r="R79" s="43">
        <f>IF(AND(A79="",C79=""),"",IF(A79="","Add - which product?",IF(C79="","Add - which material?",IF(B79="Not found","Check - no such product ID",IF(D79="Add to Materials","Check - no such material ID",IF(OR(F79="",F79=0),"Add - how much?",IF(L79="","Check - that material has no price","OK")))))))</f>
        <v>0</v>
      </c>
    </row>
    <row r="80" spans="2:18">
      <c r="B80" s="13">
        <f>IF(A80="","",IFERROR(INDEX(Products!$B$5:$B$304,MATCH(A80,Products!$A$5:$A$304,0)),"Not found"))</f>
        <v>0</v>
      </c>
      <c r="D80" s="13">
        <f>IF(C80="","",IFERROR(INDEX(Materials!$B$5:$B$254,MATCH(C80,Materials!$A$5:$A$254,0)),"Add to Materials"))</f>
        <v>0</v>
      </c>
      <c r="E80" s="13">
        <f>IF(C80="","",IFERROR(INDEX(Materials!$H$5:$H$254,MATCH(C80,Materials!$A$5:$A$254,0)),"Add to Materials"))</f>
        <v>0</v>
      </c>
      <c r="J80" s="33">
        <f>IF(C80="","",IF(G80&lt;&gt;"",G80,IFERROR(INDEX(Materials!$W$5:$W$254,MATCH(C80,Materials!$A$5:$A$254,0)),DefaultWaste)))</f>
        <v>0</v>
      </c>
      <c r="K80" s="36">
        <f>IF(C80="","",IF(F80="","",ROUND(F80*(1+J80),4)))</f>
        <v>0</v>
      </c>
      <c r="L80" s="45">
        <f>IF(C80="","",IFERROR(INDEX(Materials!$S$5:$S$254,MATCH(C80,Materials!$A$5:$A$254,0)),""))</f>
        <v>0</v>
      </c>
      <c r="M80" s="45">
        <f>IF(C80="","",IF(OR(K80="",L80=""),"",ROUND(K80*L80,4)))</f>
        <v>0</v>
      </c>
      <c r="N80" s="20">
        <f>IF(A80="","",ROUND(SUMIFS('Material Usage'!$M$5:$M$904,'Material Usage'!$A$5:$A$904,A80),2))</f>
        <v>0</v>
      </c>
      <c r="O80" s="33">
        <f>IF(A80="","",IF(OR(M80="",N80="",N80=0),"",M80/N80))</f>
        <v>0</v>
      </c>
      <c r="P80" s="32">
        <f>IF(A80="","",COUNTIFS($A$5:A80,A80))</f>
        <v>0</v>
      </c>
      <c r="Q80" s="13">
        <f>IF(A80="","",A80&amp;"|"&amp;P80)</f>
        <v>0</v>
      </c>
      <c r="R80" s="43">
        <f>IF(AND(A80="",C80=""),"",IF(A80="","Add - which product?",IF(C80="","Add - which material?",IF(B80="Not found","Check - no such product ID",IF(D80="Add to Materials","Check - no such material ID",IF(OR(F80="",F80=0),"Add - how much?",IF(L80="","Check - that material has no price","OK")))))))</f>
        <v>0</v>
      </c>
    </row>
    <row r="81" spans="2:18">
      <c r="B81" s="13">
        <f>IF(A81="","",IFERROR(INDEX(Products!$B$5:$B$304,MATCH(A81,Products!$A$5:$A$304,0)),"Not found"))</f>
        <v>0</v>
      </c>
      <c r="D81" s="13">
        <f>IF(C81="","",IFERROR(INDEX(Materials!$B$5:$B$254,MATCH(C81,Materials!$A$5:$A$254,0)),"Add to Materials"))</f>
        <v>0</v>
      </c>
      <c r="E81" s="13">
        <f>IF(C81="","",IFERROR(INDEX(Materials!$H$5:$H$254,MATCH(C81,Materials!$A$5:$A$254,0)),"Add to Materials"))</f>
        <v>0</v>
      </c>
      <c r="J81" s="33">
        <f>IF(C81="","",IF(G81&lt;&gt;"",G81,IFERROR(INDEX(Materials!$W$5:$W$254,MATCH(C81,Materials!$A$5:$A$254,0)),DefaultWaste)))</f>
        <v>0</v>
      </c>
      <c r="K81" s="36">
        <f>IF(C81="","",IF(F81="","",ROUND(F81*(1+J81),4)))</f>
        <v>0</v>
      </c>
      <c r="L81" s="45">
        <f>IF(C81="","",IFERROR(INDEX(Materials!$S$5:$S$254,MATCH(C81,Materials!$A$5:$A$254,0)),""))</f>
        <v>0</v>
      </c>
      <c r="M81" s="45">
        <f>IF(C81="","",IF(OR(K81="",L81=""),"",ROUND(K81*L81,4)))</f>
        <v>0</v>
      </c>
      <c r="N81" s="20">
        <f>IF(A81="","",ROUND(SUMIFS('Material Usage'!$M$5:$M$904,'Material Usage'!$A$5:$A$904,A81),2))</f>
        <v>0</v>
      </c>
      <c r="O81" s="33">
        <f>IF(A81="","",IF(OR(M81="",N81="",N81=0),"",M81/N81))</f>
        <v>0</v>
      </c>
      <c r="P81" s="32">
        <f>IF(A81="","",COUNTIFS($A$5:A81,A81))</f>
        <v>0</v>
      </c>
      <c r="Q81" s="13">
        <f>IF(A81="","",A81&amp;"|"&amp;P81)</f>
        <v>0</v>
      </c>
      <c r="R81" s="43">
        <f>IF(AND(A81="",C81=""),"",IF(A81="","Add - which product?",IF(C81="","Add - which material?",IF(B81="Not found","Check - no such product ID",IF(D81="Add to Materials","Check - no such material ID",IF(OR(F81="",F81=0),"Add - how much?",IF(L81="","Check - that material has no price","OK")))))))</f>
        <v>0</v>
      </c>
    </row>
    <row r="82" spans="2:18">
      <c r="B82" s="13">
        <f>IF(A82="","",IFERROR(INDEX(Products!$B$5:$B$304,MATCH(A82,Products!$A$5:$A$304,0)),"Not found"))</f>
        <v>0</v>
      </c>
      <c r="D82" s="13">
        <f>IF(C82="","",IFERROR(INDEX(Materials!$B$5:$B$254,MATCH(C82,Materials!$A$5:$A$254,0)),"Add to Materials"))</f>
        <v>0</v>
      </c>
      <c r="E82" s="13">
        <f>IF(C82="","",IFERROR(INDEX(Materials!$H$5:$H$254,MATCH(C82,Materials!$A$5:$A$254,0)),"Add to Materials"))</f>
        <v>0</v>
      </c>
      <c r="J82" s="33">
        <f>IF(C82="","",IF(G82&lt;&gt;"",G82,IFERROR(INDEX(Materials!$W$5:$W$254,MATCH(C82,Materials!$A$5:$A$254,0)),DefaultWaste)))</f>
        <v>0</v>
      </c>
      <c r="K82" s="36">
        <f>IF(C82="","",IF(F82="","",ROUND(F82*(1+J82),4)))</f>
        <v>0</v>
      </c>
      <c r="L82" s="45">
        <f>IF(C82="","",IFERROR(INDEX(Materials!$S$5:$S$254,MATCH(C82,Materials!$A$5:$A$254,0)),""))</f>
        <v>0</v>
      </c>
      <c r="M82" s="45">
        <f>IF(C82="","",IF(OR(K82="",L82=""),"",ROUND(K82*L82,4)))</f>
        <v>0</v>
      </c>
      <c r="N82" s="20">
        <f>IF(A82="","",ROUND(SUMIFS('Material Usage'!$M$5:$M$904,'Material Usage'!$A$5:$A$904,A82),2))</f>
        <v>0</v>
      </c>
      <c r="O82" s="33">
        <f>IF(A82="","",IF(OR(M82="",N82="",N82=0),"",M82/N82))</f>
        <v>0</v>
      </c>
      <c r="P82" s="32">
        <f>IF(A82="","",COUNTIFS($A$5:A82,A82))</f>
        <v>0</v>
      </c>
      <c r="Q82" s="13">
        <f>IF(A82="","",A82&amp;"|"&amp;P82)</f>
        <v>0</v>
      </c>
      <c r="R82" s="43">
        <f>IF(AND(A82="",C82=""),"",IF(A82="","Add - which product?",IF(C82="","Add - which material?",IF(B82="Not found","Check - no such product ID",IF(D82="Add to Materials","Check - no such material ID",IF(OR(F82="",F82=0),"Add - how much?",IF(L82="","Check - that material has no price","OK")))))))</f>
        <v>0</v>
      </c>
    </row>
    <row r="83" spans="2:18">
      <c r="B83" s="13">
        <f>IF(A83="","",IFERROR(INDEX(Products!$B$5:$B$304,MATCH(A83,Products!$A$5:$A$304,0)),"Not found"))</f>
        <v>0</v>
      </c>
      <c r="D83" s="13">
        <f>IF(C83="","",IFERROR(INDEX(Materials!$B$5:$B$254,MATCH(C83,Materials!$A$5:$A$254,0)),"Add to Materials"))</f>
        <v>0</v>
      </c>
      <c r="E83" s="13">
        <f>IF(C83="","",IFERROR(INDEX(Materials!$H$5:$H$254,MATCH(C83,Materials!$A$5:$A$254,0)),"Add to Materials"))</f>
        <v>0</v>
      </c>
      <c r="J83" s="33">
        <f>IF(C83="","",IF(G83&lt;&gt;"",G83,IFERROR(INDEX(Materials!$W$5:$W$254,MATCH(C83,Materials!$A$5:$A$254,0)),DefaultWaste)))</f>
        <v>0</v>
      </c>
      <c r="K83" s="36">
        <f>IF(C83="","",IF(F83="","",ROUND(F83*(1+J83),4)))</f>
        <v>0</v>
      </c>
      <c r="L83" s="45">
        <f>IF(C83="","",IFERROR(INDEX(Materials!$S$5:$S$254,MATCH(C83,Materials!$A$5:$A$254,0)),""))</f>
        <v>0</v>
      </c>
      <c r="M83" s="45">
        <f>IF(C83="","",IF(OR(K83="",L83=""),"",ROUND(K83*L83,4)))</f>
        <v>0</v>
      </c>
      <c r="N83" s="20">
        <f>IF(A83="","",ROUND(SUMIFS('Material Usage'!$M$5:$M$904,'Material Usage'!$A$5:$A$904,A83),2))</f>
        <v>0</v>
      </c>
      <c r="O83" s="33">
        <f>IF(A83="","",IF(OR(M83="",N83="",N83=0),"",M83/N83))</f>
        <v>0</v>
      </c>
      <c r="P83" s="32">
        <f>IF(A83="","",COUNTIFS($A$5:A83,A83))</f>
        <v>0</v>
      </c>
      <c r="Q83" s="13">
        <f>IF(A83="","",A83&amp;"|"&amp;P83)</f>
        <v>0</v>
      </c>
      <c r="R83" s="43">
        <f>IF(AND(A83="",C83=""),"",IF(A83="","Add - which product?",IF(C83="","Add - which material?",IF(B83="Not found","Check - no such product ID",IF(D83="Add to Materials","Check - no such material ID",IF(OR(F83="",F83=0),"Add - how much?",IF(L83="","Check - that material has no price","OK")))))))</f>
        <v>0</v>
      </c>
    </row>
    <row r="84" spans="2:18">
      <c r="B84" s="13">
        <f>IF(A84="","",IFERROR(INDEX(Products!$B$5:$B$304,MATCH(A84,Products!$A$5:$A$304,0)),"Not found"))</f>
        <v>0</v>
      </c>
      <c r="D84" s="13">
        <f>IF(C84="","",IFERROR(INDEX(Materials!$B$5:$B$254,MATCH(C84,Materials!$A$5:$A$254,0)),"Add to Materials"))</f>
        <v>0</v>
      </c>
      <c r="E84" s="13">
        <f>IF(C84="","",IFERROR(INDEX(Materials!$H$5:$H$254,MATCH(C84,Materials!$A$5:$A$254,0)),"Add to Materials"))</f>
        <v>0</v>
      </c>
      <c r="J84" s="33">
        <f>IF(C84="","",IF(G84&lt;&gt;"",G84,IFERROR(INDEX(Materials!$W$5:$W$254,MATCH(C84,Materials!$A$5:$A$254,0)),DefaultWaste)))</f>
        <v>0</v>
      </c>
      <c r="K84" s="36">
        <f>IF(C84="","",IF(F84="","",ROUND(F84*(1+J84),4)))</f>
        <v>0</v>
      </c>
      <c r="L84" s="45">
        <f>IF(C84="","",IFERROR(INDEX(Materials!$S$5:$S$254,MATCH(C84,Materials!$A$5:$A$254,0)),""))</f>
        <v>0</v>
      </c>
      <c r="M84" s="45">
        <f>IF(C84="","",IF(OR(K84="",L84=""),"",ROUND(K84*L84,4)))</f>
        <v>0</v>
      </c>
      <c r="N84" s="20">
        <f>IF(A84="","",ROUND(SUMIFS('Material Usage'!$M$5:$M$904,'Material Usage'!$A$5:$A$904,A84),2))</f>
        <v>0</v>
      </c>
      <c r="O84" s="33">
        <f>IF(A84="","",IF(OR(M84="",N84="",N84=0),"",M84/N84))</f>
        <v>0</v>
      </c>
      <c r="P84" s="32">
        <f>IF(A84="","",COUNTIFS($A$5:A84,A84))</f>
        <v>0</v>
      </c>
      <c r="Q84" s="13">
        <f>IF(A84="","",A84&amp;"|"&amp;P84)</f>
        <v>0</v>
      </c>
      <c r="R84" s="43">
        <f>IF(AND(A84="",C84=""),"",IF(A84="","Add - which product?",IF(C84="","Add - which material?",IF(B84="Not found","Check - no such product ID",IF(D84="Add to Materials","Check - no such material ID",IF(OR(F84="",F84=0),"Add - how much?",IF(L84="","Check - that material has no price","OK")))))))</f>
        <v>0</v>
      </c>
    </row>
    <row r="85" spans="2:18">
      <c r="B85" s="13">
        <f>IF(A85="","",IFERROR(INDEX(Products!$B$5:$B$304,MATCH(A85,Products!$A$5:$A$304,0)),"Not found"))</f>
        <v>0</v>
      </c>
      <c r="D85" s="13">
        <f>IF(C85="","",IFERROR(INDEX(Materials!$B$5:$B$254,MATCH(C85,Materials!$A$5:$A$254,0)),"Add to Materials"))</f>
        <v>0</v>
      </c>
      <c r="E85" s="13">
        <f>IF(C85="","",IFERROR(INDEX(Materials!$H$5:$H$254,MATCH(C85,Materials!$A$5:$A$254,0)),"Add to Materials"))</f>
        <v>0</v>
      </c>
      <c r="J85" s="33">
        <f>IF(C85="","",IF(G85&lt;&gt;"",G85,IFERROR(INDEX(Materials!$W$5:$W$254,MATCH(C85,Materials!$A$5:$A$254,0)),DefaultWaste)))</f>
        <v>0</v>
      </c>
      <c r="K85" s="36">
        <f>IF(C85="","",IF(F85="","",ROUND(F85*(1+J85),4)))</f>
        <v>0</v>
      </c>
      <c r="L85" s="45">
        <f>IF(C85="","",IFERROR(INDEX(Materials!$S$5:$S$254,MATCH(C85,Materials!$A$5:$A$254,0)),""))</f>
        <v>0</v>
      </c>
      <c r="M85" s="45">
        <f>IF(C85="","",IF(OR(K85="",L85=""),"",ROUND(K85*L85,4)))</f>
        <v>0</v>
      </c>
      <c r="N85" s="20">
        <f>IF(A85="","",ROUND(SUMIFS('Material Usage'!$M$5:$M$904,'Material Usage'!$A$5:$A$904,A85),2))</f>
        <v>0</v>
      </c>
      <c r="O85" s="33">
        <f>IF(A85="","",IF(OR(M85="",N85="",N85=0),"",M85/N85))</f>
        <v>0</v>
      </c>
      <c r="P85" s="32">
        <f>IF(A85="","",COUNTIFS($A$5:A85,A85))</f>
        <v>0</v>
      </c>
      <c r="Q85" s="13">
        <f>IF(A85="","",A85&amp;"|"&amp;P85)</f>
        <v>0</v>
      </c>
      <c r="R85" s="43">
        <f>IF(AND(A85="",C85=""),"",IF(A85="","Add - which product?",IF(C85="","Add - which material?",IF(B85="Not found","Check - no such product ID",IF(D85="Add to Materials","Check - no such material ID",IF(OR(F85="",F85=0),"Add - how much?",IF(L85="","Check - that material has no price","OK")))))))</f>
        <v>0</v>
      </c>
    </row>
    <row r="86" spans="2:18">
      <c r="B86" s="13">
        <f>IF(A86="","",IFERROR(INDEX(Products!$B$5:$B$304,MATCH(A86,Products!$A$5:$A$304,0)),"Not found"))</f>
        <v>0</v>
      </c>
      <c r="D86" s="13">
        <f>IF(C86="","",IFERROR(INDEX(Materials!$B$5:$B$254,MATCH(C86,Materials!$A$5:$A$254,0)),"Add to Materials"))</f>
        <v>0</v>
      </c>
      <c r="E86" s="13">
        <f>IF(C86="","",IFERROR(INDEX(Materials!$H$5:$H$254,MATCH(C86,Materials!$A$5:$A$254,0)),"Add to Materials"))</f>
        <v>0</v>
      </c>
      <c r="J86" s="33">
        <f>IF(C86="","",IF(G86&lt;&gt;"",G86,IFERROR(INDEX(Materials!$W$5:$W$254,MATCH(C86,Materials!$A$5:$A$254,0)),DefaultWaste)))</f>
        <v>0</v>
      </c>
      <c r="K86" s="36">
        <f>IF(C86="","",IF(F86="","",ROUND(F86*(1+J86),4)))</f>
        <v>0</v>
      </c>
      <c r="L86" s="45">
        <f>IF(C86="","",IFERROR(INDEX(Materials!$S$5:$S$254,MATCH(C86,Materials!$A$5:$A$254,0)),""))</f>
        <v>0</v>
      </c>
      <c r="M86" s="45">
        <f>IF(C86="","",IF(OR(K86="",L86=""),"",ROUND(K86*L86,4)))</f>
        <v>0</v>
      </c>
      <c r="N86" s="20">
        <f>IF(A86="","",ROUND(SUMIFS('Material Usage'!$M$5:$M$904,'Material Usage'!$A$5:$A$904,A86),2))</f>
        <v>0</v>
      </c>
      <c r="O86" s="33">
        <f>IF(A86="","",IF(OR(M86="",N86="",N86=0),"",M86/N86))</f>
        <v>0</v>
      </c>
      <c r="P86" s="32">
        <f>IF(A86="","",COUNTIFS($A$5:A86,A86))</f>
        <v>0</v>
      </c>
      <c r="Q86" s="13">
        <f>IF(A86="","",A86&amp;"|"&amp;P86)</f>
        <v>0</v>
      </c>
      <c r="R86" s="43">
        <f>IF(AND(A86="",C86=""),"",IF(A86="","Add - which product?",IF(C86="","Add - which material?",IF(B86="Not found","Check - no such product ID",IF(D86="Add to Materials","Check - no such material ID",IF(OR(F86="",F86=0),"Add - how much?",IF(L86="","Check - that material has no price","OK")))))))</f>
        <v>0</v>
      </c>
    </row>
    <row r="87" spans="2:18">
      <c r="B87" s="13">
        <f>IF(A87="","",IFERROR(INDEX(Products!$B$5:$B$304,MATCH(A87,Products!$A$5:$A$304,0)),"Not found"))</f>
        <v>0</v>
      </c>
      <c r="D87" s="13">
        <f>IF(C87="","",IFERROR(INDEX(Materials!$B$5:$B$254,MATCH(C87,Materials!$A$5:$A$254,0)),"Add to Materials"))</f>
        <v>0</v>
      </c>
      <c r="E87" s="13">
        <f>IF(C87="","",IFERROR(INDEX(Materials!$H$5:$H$254,MATCH(C87,Materials!$A$5:$A$254,0)),"Add to Materials"))</f>
        <v>0</v>
      </c>
      <c r="J87" s="33">
        <f>IF(C87="","",IF(G87&lt;&gt;"",G87,IFERROR(INDEX(Materials!$W$5:$W$254,MATCH(C87,Materials!$A$5:$A$254,0)),DefaultWaste)))</f>
        <v>0</v>
      </c>
      <c r="K87" s="36">
        <f>IF(C87="","",IF(F87="","",ROUND(F87*(1+J87),4)))</f>
        <v>0</v>
      </c>
      <c r="L87" s="45">
        <f>IF(C87="","",IFERROR(INDEX(Materials!$S$5:$S$254,MATCH(C87,Materials!$A$5:$A$254,0)),""))</f>
        <v>0</v>
      </c>
      <c r="M87" s="45">
        <f>IF(C87="","",IF(OR(K87="",L87=""),"",ROUND(K87*L87,4)))</f>
        <v>0</v>
      </c>
      <c r="N87" s="20">
        <f>IF(A87="","",ROUND(SUMIFS('Material Usage'!$M$5:$M$904,'Material Usage'!$A$5:$A$904,A87),2))</f>
        <v>0</v>
      </c>
      <c r="O87" s="33">
        <f>IF(A87="","",IF(OR(M87="",N87="",N87=0),"",M87/N87))</f>
        <v>0</v>
      </c>
      <c r="P87" s="32">
        <f>IF(A87="","",COUNTIFS($A$5:A87,A87))</f>
        <v>0</v>
      </c>
      <c r="Q87" s="13">
        <f>IF(A87="","",A87&amp;"|"&amp;P87)</f>
        <v>0</v>
      </c>
      <c r="R87" s="43">
        <f>IF(AND(A87="",C87=""),"",IF(A87="","Add - which product?",IF(C87="","Add - which material?",IF(B87="Not found","Check - no such product ID",IF(D87="Add to Materials","Check - no such material ID",IF(OR(F87="",F87=0),"Add - how much?",IF(L87="","Check - that material has no price","OK")))))))</f>
        <v>0</v>
      </c>
    </row>
    <row r="88" spans="2:18">
      <c r="B88" s="13">
        <f>IF(A88="","",IFERROR(INDEX(Products!$B$5:$B$304,MATCH(A88,Products!$A$5:$A$304,0)),"Not found"))</f>
        <v>0</v>
      </c>
      <c r="D88" s="13">
        <f>IF(C88="","",IFERROR(INDEX(Materials!$B$5:$B$254,MATCH(C88,Materials!$A$5:$A$254,0)),"Add to Materials"))</f>
        <v>0</v>
      </c>
      <c r="E88" s="13">
        <f>IF(C88="","",IFERROR(INDEX(Materials!$H$5:$H$254,MATCH(C88,Materials!$A$5:$A$254,0)),"Add to Materials"))</f>
        <v>0</v>
      </c>
      <c r="J88" s="33">
        <f>IF(C88="","",IF(G88&lt;&gt;"",G88,IFERROR(INDEX(Materials!$W$5:$W$254,MATCH(C88,Materials!$A$5:$A$254,0)),DefaultWaste)))</f>
        <v>0</v>
      </c>
      <c r="K88" s="36">
        <f>IF(C88="","",IF(F88="","",ROUND(F88*(1+J88),4)))</f>
        <v>0</v>
      </c>
      <c r="L88" s="45">
        <f>IF(C88="","",IFERROR(INDEX(Materials!$S$5:$S$254,MATCH(C88,Materials!$A$5:$A$254,0)),""))</f>
        <v>0</v>
      </c>
      <c r="M88" s="45">
        <f>IF(C88="","",IF(OR(K88="",L88=""),"",ROUND(K88*L88,4)))</f>
        <v>0</v>
      </c>
      <c r="N88" s="20">
        <f>IF(A88="","",ROUND(SUMIFS('Material Usage'!$M$5:$M$904,'Material Usage'!$A$5:$A$904,A88),2))</f>
        <v>0</v>
      </c>
      <c r="O88" s="33">
        <f>IF(A88="","",IF(OR(M88="",N88="",N88=0),"",M88/N88))</f>
        <v>0</v>
      </c>
      <c r="P88" s="32">
        <f>IF(A88="","",COUNTIFS($A$5:A88,A88))</f>
        <v>0</v>
      </c>
      <c r="Q88" s="13">
        <f>IF(A88="","",A88&amp;"|"&amp;P88)</f>
        <v>0</v>
      </c>
      <c r="R88" s="43">
        <f>IF(AND(A88="",C88=""),"",IF(A88="","Add - which product?",IF(C88="","Add - which material?",IF(B88="Not found","Check - no such product ID",IF(D88="Add to Materials","Check - no such material ID",IF(OR(F88="",F88=0),"Add - how much?",IF(L88="","Check - that material has no price","OK")))))))</f>
        <v>0</v>
      </c>
    </row>
    <row r="89" spans="2:18">
      <c r="B89" s="13">
        <f>IF(A89="","",IFERROR(INDEX(Products!$B$5:$B$304,MATCH(A89,Products!$A$5:$A$304,0)),"Not found"))</f>
        <v>0</v>
      </c>
      <c r="D89" s="13">
        <f>IF(C89="","",IFERROR(INDEX(Materials!$B$5:$B$254,MATCH(C89,Materials!$A$5:$A$254,0)),"Add to Materials"))</f>
        <v>0</v>
      </c>
      <c r="E89" s="13">
        <f>IF(C89="","",IFERROR(INDEX(Materials!$H$5:$H$254,MATCH(C89,Materials!$A$5:$A$254,0)),"Add to Materials"))</f>
        <v>0</v>
      </c>
      <c r="J89" s="33">
        <f>IF(C89="","",IF(G89&lt;&gt;"",G89,IFERROR(INDEX(Materials!$W$5:$W$254,MATCH(C89,Materials!$A$5:$A$254,0)),DefaultWaste)))</f>
        <v>0</v>
      </c>
      <c r="K89" s="36">
        <f>IF(C89="","",IF(F89="","",ROUND(F89*(1+J89),4)))</f>
        <v>0</v>
      </c>
      <c r="L89" s="45">
        <f>IF(C89="","",IFERROR(INDEX(Materials!$S$5:$S$254,MATCH(C89,Materials!$A$5:$A$254,0)),""))</f>
        <v>0</v>
      </c>
      <c r="M89" s="45">
        <f>IF(C89="","",IF(OR(K89="",L89=""),"",ROUND(K89*L89,4)))</f>
        <v>0</v>
      </c>
      <c r="N89" s="20">
        <f>IF(A89="","",ROUND(SUMIFS('Material Usage'!$M$5:$M$904,'Material Usage'!$A$5:$A$904,A89),2))</f>
        <v>0</v>
      </c>
      <c r="O89" s="33">
        <f>IF(A89="","",IF(OR(M89="",N89="",N89=0),"",M89/N89))</f>
        <v>0</v>
      </c>
      <c r="P89" s="32">
        <f>IF(A89="","",COUNTIFS($A$5:A89,A89))</f>
        <v>0</v>
      </c>
      <c r="Q89" s="13">
        <f>IF(A89="","",A89&amp;"|"&amp;P89)</f>
        <v>0</v>
      </c>
      <c r="R89" s="43">
        <f>IF(AND(A89="",C89=""),"",IF(A89="","Add - which product?",IF(C89="","Add - which material?",IF(B89="Not found","Check - no such product ID",IF(D89="Add to Materials","Check - no such material ID",IF(OR(F89="",F89=0),"Add - how much?",IF(L89="","Check - that material has no price","OK")))))))</f>
        <v>0</v>
      </c>
    </row>
    <row r="90" spans="2:18">
      <c r="B90" s="13">
        <f>IF(A90="","",IFERROR(INDEX(Products!$B$5:$B$304,MATCH(A90,Products!$A$5:$A$304,0)),"Not found"))</f>
        <v>0</v>
      </c>
      <c r="D90" s="13">
        <f>IF(C90="","",IFERROR(INDEX(Materials!$B$5:$B$254,MATCH(C90,Materials!$A$5:$A$254,0)),"Add to Materials"))</f>
        <v>0</v>
      </c>
      <c r="E90" s="13">
        <f>IF(C90="","",IFERROR(INDEX(Materials!$H$5:$H$254,MATCH(C90,Materials!$A$5:$A$254,0)),"Add to Materials"))</f>
        <v>0</v>
      </c>
      <c r="J90" s="33">
        <f>IF(C90="","",IF(G90&lt;&gt;"",G90,IFERROR(INDEX(Materials!$W$5:$W$254,MATCH(C90,Materials!$A$5:$A$254,0)),DefaultWaste)))</f>
        <v>0</v>
      </c>
      <c r="K90" s="36">
        <f>IF(C90="","",IF(F90="","",ROUND(F90*(1+J90),4)))</f>
        <v>0</v>
      </c>
      <c r="L90" s="45">
        <f>IF(C90="","",IFERROR(INDEX(Materials!$S$5:$S$254,MATCH(C90,Materials!$A$5:$A$254,0)),""))</f>
        <v>0</v>
      </c>
      <c r="M90" s="45">
        <f>IF(C90="","",IF(OR(K90="",L90=""),"",ROUND(K90*L90,4)))</f>
        <v>0</v>
      </c>
      <c r="N90" s="20">
        <f>IF(A90="","",ROUND(SUMIFS('Material Usage'!$M$5:$M$904,'Material Usage'!$A$5:$A$904,A90),2))</f>
        <v>0</v>
      </c>
      <c r="O90" s="33">
        <f>IF(A90="","",IF(OR(M90="",N90="",N90=0),"",M90/N90))</f>
        <v>0</v>
      </c>
      <c r="P90" s="32">
        <f>IF(A90="","",COUNTIFS($A$5:A90,A90))</f>
        <v>0</v>
      </c>
      <c r="Q90" s="13">
        <f>IF(A90="","",A90&amp;"|"&amp;P90)</f>
        <v>0</v>
      </c>
      <c r="R90" s="43">
        <f>IF(AND(A90="",C90=""),"",IF(A90="","Add - which product?",IF(C90="","Add - which material?",IF(B90="Not found","Check - no such product ID",IF(D90="Add to Materials","Check - no such material ID",IF(OR(F90="",F90=0),"Add - how much?",IF(L90="","Check - that material has no price","OK")))))))</f>
        <v>0</v>
      </c>
    </row>
    <row r="91" spans="2:18">
      <c r="B91" s="13">
        <f>IF(A91="","",IFERROR(INDEX(Products!$B$5:$B$304,MATCH(A91,Products!$A$5:$A$304,0)),"Not found"))</f>
        <v>0</v>
      </c>
      <c r="D91" s="13">
        <f>IF(C91="","",IFERROR(INDEX(Materials!$B$5:$B$254,MATCH(C91,Materials!$A$5:$A$254,0)),"Add to Materials"))</f>
        <v>0</v>
      </c>
      <c r="E91" s="13">
        <f>IF(C91="","",IFERROR(INDEX(Materials!$H$5:$H$254,MATCH(C91,Materials!$A$5:$A$254,0)),"Add to Materials"))</f>
        <v>0</v>
      </c>
      <c r="J91" s="33">
        <f>IF(C91="","",IF(G91&lt;&gt;"",G91,IFERROR(INDEX(Materials!$W$5:$W$254,MATCH(C91,Materials!$A$5:$A$254,0)),DefaultWaste)))</f>
        <v>0</v>
      </c>
      <c r="K91" s="36">
        <f>IF(C91="","",IF(F91="","",ROUND(F91*(1+J91),4)))</f>
        <v>0</v>
      </c>
      <c r="L91" s="45">
        <f>IF(C91="","",IFERROR(INDEX(Materials!$S$5:$S$254,MATCH(C91,Materials!$A$5:$A$254,0)),""))</f>
        <v>0</v>
      </c>
      <c r="M91" s="45">
        <f>IF(C91="","",IF(OR(K91="",L91=""),"",ROUND(K91*L91,4)))</f>
        <v>0</v>
      </c>
      <c r="N91" s="20">
        <f>IF(A91="","",ROUND(SUMIFS('Material Usage'!$M$5:$M$904,'Material Usage'!$A$5:$A$904,A91),2))</f>
        <v>0</v>
      </c>
      <c r="O91" s="33">
        <f>IF(A91="","",IF(OR(M91="",N91="",N91=0),"",M91/N91))</f>
        <v>0</v>
      </c>
      <c r="P91" s="32">
        <f>IF(A91="","",COUNTIFS($A$5:A91,A91))</f>
        <v>0</v>
      </c>
      <c r="Q91" s="13">
        <f>IF(A91="","",A91&amp;"|"&amp;P91)</f>
        <v>0</v>
      </c>
      <c r="R91" s="43">
        <f>IF(AND(A91="",C91=""),"",IF(A91="","Add - which product?",IF(C91="","Add - which material?",IF(B91="Not found","Check - no such product ID",IF(D91="Add to Materials","Check - no such material ID",IF(OR(F91="",F91=0),"Add - how much?",IF(L91="","Check - that material has no price","OK")))))))</f>
        <v>0</v>
      </c>
    </row>
    <row r="92" spans="2:18">
      <c r="B92" s="13">
        <f>IF(A92="","",IFERROR(INDEX(Products!$B$5:$B$304,MATCH(A92,Products!$A$5:$A$304,0)),"Not found"))</f>
        <v>0</v>
      </c>
      <c r="D92" s="13">
        <f>IF(C92="","",IFERROR(INDEX(Materials!$B$5:$B$254,MATCH(C92,Materials!$A$5:$A$254,0)),"Add to Materials"))</f>
        <v>0</v>
      </c>
      <c r="E92" s="13">
        <f>IF(C92="","",IFERROR(INDEX(Materials!$H$5:$H$254,MATCH(C92,Materials!$A$5:$A$254,0)),"Add to Materials"))</f>
        <v>0</v>
      </c>
      <c r="J92" s="33">
        <f>IF(C92="","",IF(G92&lt;&gt;"",G92,IFERROR(INDEX(Materials!$W$5:$W$254,MATCH(C92,Materials!$A$5:$A$254,0)),DefaultWaste)))</f>
        <v>0</v>
      </c>
      <c r="K92" s="36">
        <f>IF(C92="","",IF(F92="","",ROUND(F92*(1+J92),4)))</f>
        <v>0</v>
      </c>
      <c r="L92" s="45">
        <f>IF(C92="","",IFERROR(INDEX(Materials!$S$5:$S$254,MATCH(C92,Materials!$A$5:$A$254,0)),""))</f>
        <v>0</v>
      </c>
      <c r="M92" s="45">
        <f>IF(C92="","",IF(OR(K92="",L92=""),"",ROUND(K92*L92,4)))</f>
        <v>0</v>
      </c>
      <c r="N92" s="20">
        <f>IF(A92="","",ROUND(SUMIFS('Material Usage'!$M$5:$M$904,'Material Usage'!$A$5:$A$904,A92),2))</f>
        <v>0</v>
      </c>
      <c r="O92" s="33">
        <f>IF(A92="","",IF(OR(M92="",N92="",N92=0),"",M92/N92))</f>
        <v>0</v>
      </c>
      <c r="P92" s="32">
        <f>IF(A92="","",COUNTIFS($A$5:A92,A92))</f>
        <v>0</v>
      </c>
      <c r="Q92" s="13">
        <f>IF(A92="","",A92&amp;"|"&amp;P92)</f>
        <v>0</v>
      </c>
      <c r="R92" s="43">
        <f>IF(AND(A92="",C92=""),"",IF(A92="","Add - which product?",IF(C92="","Add - which material?",IF(B92="Not found","Check - no such product ID",IF(D92="Add to Materials","Check - no such material ID",IF(OR(F92="",F92=0),"Add - how much?",IF(L92="","Check - that material has no price","OK")))))))</f>
        <v>0</v>
      </c>
    </row>
    <row r="93" spans="2:18">
      <c r="B93" s="13">
        <f>IF(A93="","",IFERROR(INDEX(Products!$B$5:$B$304,MATCH(A93,Products!$A$5:$A$304,0)),"Not found"))</f>
        <v>0</v>
      </c>
      <c r="D93" s="13">
        <f>IF(C93="","",IFERROR(INDEX(Materials!$B$5:$B$254,MATCH(C93,Materials!$A$5:$A$254,0)),"Add to Materials"))</f>
        <v>0</v>
      </c>
      <c r="E93" s="13">
        <f>IF(C93="","",IFERROR(INDEX(Materials!$H$5:$H$254,MATCH(C93,Materials!$A$5:$A$254,0)),"Add to Materials"))</f>
        <v>0</v>
      </c>
      <c r="J93" s="33">
        <f>IF(C93="","",IF(G93&lt;&gt;"",G93,IFERROR(INDEX(Materials!$W$5:$W$254,MATCH(C93,Materials!$A$5:$A$254,0)),DefaultWaste)))</f>
        <v>0</v>
      </c>
      <c r="K93" s="36">
        <f>IF(C93="","",IF(F93="","",ROUND(F93*(1+J93),4)))</f>
        <v>0</v>
      </c>
      <c r="L93" s="45">
        <f>IF(C93="","",IFERROR(INDEX(Materials!$S$5:$S$254,MATCH(C93,Materials!$A$5:$A$254,0)),""))</f>
        <v>0</v>
      </c>
      <c r="M93" s="45">
        <f>IF(C93="","",IF(OR(K93="",L93=""),"",ROUND(K93*L93,4)))</f>
        <v>0</v>
      </c>
      <c r="N93" s="20">
        <f>IF(A93="","",ROUND(SUMIFS('Material Usage'!$M$5:$M$904,'Material Usage'!$A$5:$A$904,A93),2))</f>
        <v>0</v>
      </c>
      <c r="O93" s="33">
        <f>IF(A93="","",IF(OR(M93="",N93="",N93=0),"",M93/N93))</f>
        <v>0</v>
      </c>
      <c r="P93" s="32">
        <f>IF(A93="","",COUNTIFS($A$5:A93,A93))</f>
        <v>0</v>
      </c>
      <c r="Q93" s="13">
        <f>IF(A93="","",A93&amp;"|"&amp;P93)</f>
        <v>0</v>
      </c>
      <c r="R93" s="43">
        <f>IF(AND(A93="",C93=""),"",IF(A93="","Add - which product?",IF(C93="","Add - which material?",IF(B93="Not found","Check - no such product ID",IF(D93="Add to Materials","Check - no such material ID",IF(OR(F93="",F93=0),"Add - how much?",IF(L93="","Check - that material has no price","OK")))))))</f>
        <v>0</v>
      </c>
    </row>
    <row r="94" spans="2:18">
      <c r="B94" s="13">
        <f>IF(A94="","",IFERROR(INDEX(Products!$B$5:$B$304,MATCH(A94,Products!$A$5:$A$304,0)),"Not found"))</f>
        <v>0</v>
      </c>
      <c r="D94" s="13">
        <f>IF(C94="","",IFERROR(INDEX(Materials!$B$5:$B$254,MATCH(C94,Materials!$A$5:$A$254,0)),"Add to Materials"))</f>
        <v>0</v>
      </c>
      <c r="E94" s="13">
        <f>IF(C94="","",IFERROR(INDEX(Materials!$H$5:$H$254,MATCH(C94,Materials!$A$5:$A$254,0)),"Add to Materials"))</f>
        <v>0</v>
      </c>
      <c r="J94" s="33">
        <f>IF(C94="","",IF(G94&lt;&gt;"",G94,IFERROR(INDEX(Materials!$W$5:$W$254,MATCH(C94,Materials!$A$5:$A$254,0)),DefaultWaste)))</f>
        <v>0</v>
      </c>
      <c r="K94" s="36">
        <f>IF(C94="","",IF(F94="","",ROUND(F94*(1+J94),4)))</f>
        <v>0</v>
      </c>
      <c r="L94" s="45">
        <f>IF(C94="","",IFERROR(INDEX(Materials!$S$5:$S$254,MATCH(C94,Materials!$A$5:$A$254,0)),""))</f>
        <v>0</v>
      </c>
      <c r="M94" s="45">
        <f>IF(C94="","",IF(OR(K94="",L94=""),"",ROUND(K94*L94,4)))</f>
        <v>0</v>
      </c>
      <c r="N94" s="20">
        <f>IF(A94="","",ROUND(SUMIFS('Material Usage'!$M$5:$M$904,'Material Usage'!$A$5:$A$904,A94),2))</f>
        <v>0</v>
      </c>
      <c r="O94" s="33">
        <f>IF(A94="","",IF(OR(M94="",N94="",N94=0),"",M94/N94))</f>
        <v>0</v>
      </c>
      <c r="P94" s="32">
        <f>IF(A94="","",COUNTIFS($A$5:A94,A94))</f>
        <v>0</v>
      </c>
      <c r="Q94" s="13">
        <f>IF(A94="","",A94&amp;"|"&amp;P94)</f>
        <v>0</v>
      </c>
      <c r="R94" s="43">
        <f>IF(AND(A94="",C94=""),"",IF(A94="","Add - which product?",IF(C94="","Add - which material?",IF(B94="Not found","Check - no such product ID",IF(D94="Add to Materials","Check - no such material ID",IF(OR(F94="",F94=0),"Add - how much?",IF(L94="","Check - that material has no price","OK")))))))</f>
        <v>0</v>
      </c>
    </row>
    <row r="95" spans="2:18">
      <c r="B95" s="13">
        <f>IF(A95="","",IFERROR(INDEX(Products!$B$5:$B$304,MATCH(A95,Products!$A$5:$A$304,0)),"Not found"))</f>
        <v>0</v>
      </c>
      <c r="D95" s="13">
        <f>IF(C95="","",IFERROR(INDEX(Materials!$B$5:$B$254,MATCH(C95,Materials!$A$5:$A$254,0)),"Add to Materials"))</f>
        <v>0</v>
      </c>
      <c r="E95" s="13">
        <f>IF(C95="","",IFERROR(INDEX(Materials!$H$5:$H$254,MATCH(C95,Materials!$A$5:$A$254,0)),"Add to Materials"))</f>
        <v>0</v>
      </c>
      <c r="J95" s="33">
        <f>IF(C95="","",IF(G95&lt;&gt;"",G95,IFERROR(INDEX(Materials!$W$5:$W$254,MATCH(C95,Materials!$A$5:$A$254,0)),DefaultWaste)))</f>
        <v>0</v>
      </c>
      <c r="K95" s="36">
        <f>IF(C95="","",IF(F95="","",ROUND(F95*(1+J95),4)))</f>
        <v>0</v>
      </c>
      <c r="L95" s="45">
        <f>IF(C95="","",IFERROR(INDEX(Materials!$S$5:$S$254,MATCH(C95,Materials!$A$5:$A$254,0)),""))</f>
        <v>0</v>
      </c>
      <c r="M95" s="45">
        <f>IF(C95="","",IF(OR(K95="",L95=""),"",ROUND(K95*L95,4)))</f>
        <v>0</v>
      </c>
      <c r="N95" s="20">
        <f>IF(A95="","",ROUND(SUMIFS('Material Usage'!$M$5:$M$904,'Material Usage'!$A$5:$A$904,A95),2))</f>
        <v>0</v>
      </c>
      <c r="O95" s="33">
        <f>IF(A95="","",IF(OR(M95="",N95="",N95=0),"",M95/N95))</f>
        <v>0</v>
      </c>
      <c r="P95" s="32">
        <f>IF(A95="","",COUNTIFS($A$5:A95,A95))</f>
        <v>0</v>
      </c>
      <c r="Q95" s="13">
        <f>IF(A95="","",A95&amp;"|"&amp;P95)</f>
        <v>0</v>
      </c>
      <c r="R95" s="43">
        <f>IF(AND(A95="",C95=""),"",IF(A95="","Add - which product?",IF(C95="","Add - which material?",IF(B95="Not found","Check - no such product ID",IF(D95="Add to Materials","Check - no such material ID",IF(OR(F95="",F95=0),"Add - how much?",IF(L95="","Check - that material has no price","OK")))))))</f>
        <v>0</v>
      </c>
    </row>
    <row r="96" spans="2:18">
      <c r="B96" s="13">
        <f>IF(A96="","",IFERROR(INDEX(Products!$B$5:$B$304,MATCH(A96,Products!$A$5:$A$304,0)),"Not found"))</f>
        <v>0</v>
      </c>
      <c r="D96" s="13">
        <f>IF(C96="","",IFERROR(INDEX(Materials!$B$5:$B$254,MATCH(C96,Materials!$A$5:$A$254,0)),"Add to Materials"))</f>
        <v>0</v>
      </c>
      <c r="E96" s="13">
        <f>IF(C96="","",IFERROR(INDEX(Materials!$H$5:$H$254,MATCH(C96,Materials!$A$5:$A$254,0)),"Add to Materials"))</f>
        <v>0</v>
      </c>
      <c r="J96" s="33">
        <f>IF(C96="","",IF(G96&lt;&gt;"",G96,IFERROR(INDEX(Materials!$W$5:$W$254,MATCH(C96,Materials!$A$5:$A$254,0)),DefaultWaste)))</f>
        <v>0</v>
      </c>
      <c r="K96" s="36">
        <f>IF(C96="","",IF(F96="","",ROUND(F96*(1+J96),4)))</f>
        <v>0</v>
      </c>
      <c r="L96" s="45">
        <f>IF(C96="","",IFERROR(INDEX(Materials!$S$5:$S$254,MATCH(C96,Materials!$A$5:$A$254,0)),""))</f>
        <v>0</v>
      </c>
      <c r="M96" s="45">
        <f>IF(C96="","",IF(OR(K96="",L96=""),"",ROUND(K96*L96,4)))</f>
        <v>0</v>
      </c>
      <c r="N96" s="20">
        <f>IF(A96="","",ROUND(SUMIFS('Material Usage'!$M$5:$M$904,'Material Usage'!$A$5:$A$904,A96),2))</f>
        <v>0</v>
      </c>
      <c r="O96" s="33">
        <f>IF(A96="","",IF(OR(M96="",N96="",N96=0),"",M96/N96))</f>
        <v>0</v>
      </c>
      <c r="P96" s="32">
        <f>IF(A96="","",COUNTIFS($A$5:A96,A96))</f>
        <v>0</v>
      </c>
      <c r="Q96" s="13">
        <f>IF(A96="","",A96&amp;"|"&amp;P96)</f>
        <v>0</v>
      </c>
      <c r="R96" s="43">
        <f>IF(AND(A96="",C96=""),"",IF(A96="","Add - which product?",IF(C96="","Add - which material?",IF(B96="Not found","Check - no such product ID",IF(D96="Add to Materials","Check - no such material ID",IF(OR(F96="",F96=0),"Add - how much?",IF(L96="","Check - that material has no price","OK")))))))</f>
        <v>0</v>
      </c>
    </row>
    <row r="97" spans="2:18">
      <c r="B97" s="13">
        <f>IF(A97="","",IFERROR(INDEX(Products!$B$5:$B$304,MATCH(A97,Products!$A$5:$A$304,0)),"Not found"))</f>
        <v>0</v>
      </c>
      <c r="D97" s="13">
        <f>IF(C97="","",IFERROR(INDEX(Materials!$B$5:$B$254,MATCH(C97,Materials!$A$5:$A$254,0)),"Add to Materials"))</f>
        <v>0</v>
      </c>
      <c r="E97" s="13">
        <f>IF(C97="","",IFERROR(INDEX(Materials!$H$5:$H$254,MATCH(C97,Materials!$A$5:$A$254,0)),"Add to Materials"))</f>
        <v>0</v>
      </c>
      <c r="J97" s="33">
        <f>IF(C97="","",IF(G97&lt;&gt;"",G97,IFERROR(INDEX(Materials!$W$5:$W$254,MATCH(C97,Materials!$A$5:$A$254,0)),DefaultWaste)))</f>
        <v>0</v>
      </c>
      <c r="K97" s="36">
        <f>IF(C97="","",IF(F97="","",ROUND(F97*(1+J97),4)))</f>
        <v>0</v>
      </c>
      <c r="L97" s="45">
        <f>IF(C97="","",IFERROR(INDEX(Materials!$S$5:$S$254,MATCH(C97,Materials!$A$5:$A$254,0)),""))</f>
        <v>0</v>
      </c>
      <c r="M97" s="45">
        <f>IF(C97="","",IF(OR(K97="",L97=""),"",ROUND(K97*L97,4)))</f>
        <v>0</v>
      </c>
      <c r="N97" s="20">
        <f>IF(A97="","",ROUND(SUMIFS('Material Usage'!$M$5:$M$904,'Material Usage'!$A$5:$A$904,A97),2))</f>
        <v>0</v>
      </c>
      <c r="O97" s="33">
        <f>IF(A97="","",IF(OR(M97="",N97="",N97=0),"",M97/N97))</f>
        <v>0</v>
      </c>
      <c r="P97" s="32">
        <f>IF(A97="","",COUNTIFS($A$5:A97,A97))</f>
        <v>0</v>
      </c>
      <c r="Q97" s="13">
        <f>IF(A97="","",A97&amp;"|"&amp;P97)</f>
        <v>0</v>
      </c>
      <c r="R97" s="43">
        <f>IF(AND(A97="",C97=""),"",IF(A97="","Add - which product?",IF(C97="","Add - which material?",IF(B97="Not found","Check - no such product ID",IF(D97="Add to Materials","Check - no such material ID",IF(OR(F97="",F97=0),"Add - how much?",IF(L97="","Check - that material has no price","OK")))))))</f>
        <v>0</v>
      </c>
    </row>
    <row r="98" spans="2:18">
      <c r="B98" s="13">
        <f>IF(A98="","",IFERROR(INDEX(Products!$B$5:$B$304,MATCH(A98,Products!$A$5:$A$304,0)),"Not found"))</f>
        <v>0</v>
      </c>
      <c r="D98" s="13">
        <f>IF(C98="","",IFERROR(INDEX(Materials!$B$5:$B$254,MATCH(C98,Materials!$A$5:$A$254,0)),"Add to Materials"))</f>
        <v>0</v>
      </c>
      <c r="E98" s="13">
        <f>IF(C98="","",IFERROR(INDEX(Materials!$H$5:$H$254,MATCH(C98,Materials!$A$5:$A$254,0)),"Add to Materials"))</f>
        <v>0</v>
      </c>
      <c r="J98" s="33">
        <f>IF(C98="","",IF(G98&lt;&gt;"",G98,IFERROR(INDEX(Materials!$W$5:$W$254,MATCH(C98,Materials!$A$5:$A$254,0)),DefaultWaste)))</f>
        <v>0</v>
      </c>
      <c r="K98" s="36">
        <f>IF(C98="","",IF(F98="","",ROUND(F98*(1+J98),4)))</f>
        <v>0</v>
      </c>
      <c r="L98" s="45">
        <f>IF(C98="","",IFERROR(INDEX(Materials!$S$5:$S$254,MATCH(C98,Materials!$A$5:$A$254,0)),""))</f>
        <v>0</v>
      </c>
      <c r="M98" s="45">
        <f>IF(C98="","",IF(OR(K98="",L98=""),"",ROUND(K98*L98,4)))</f>
        <v>0</v>
      </c>
      <c r="N98" s="20">
        <f>IF(A98="","",ROUND(SUMIFS('Material Usage'!$M$5:$M$904,'Material Usage'!$A$5:$A$904,A98),2))</f>
        <v>0</v>
      </c>
      <c r="O98" s="33">
        <f>IF(A98="","",IF(OR(M98="",N98="",N98=0),"",M98/N98))</f>
        <v>0</v>
      </c>
      <c r="P98" s="32">
        <f>IF(A98="","",COUNTIFS($A$5:A98,A98))</f>
        <v>0</v>
      </c>
      <c r="Q98" s="13">
        <f>IF(A98="","",A98&amp;"|"&amp;P98)</f>
        <v>0</v>
      </c>
      <c r="R98" s="43">
        <f>IF(AND(A98="",C98=""),"",IF(A98="","Add - which product?",IF(C98="","Add - which material?",IF(B98="Not found","Check - no such product ID",IF(D98="Add to Materials","Check - no such material ID",IF(OR(F98="",F98=0),"Add - how much?",IF(L98="","Check - that material has no price","OK")))))))</f>
        <v>0</v>
      </c>
    </row>
    <row r="99" spans="2:18">
      <c r="B99" s="13">
        <f>IF(A99="","",IFERROR(INDEX(Products!$B$5:$B$304,MATCH(A99,Products!$A$5:$A$304,0)),"Not found"))</f>
        <v>0</v>
      </c>
      <c r="D99" s="13">
        <f>IF(C99="","",IFERROR(INDEX(Materials!$B$5:$B$254,MATCH(C99,Materials!$A$5:$A$254,0)),"Add to Materials"))</f>
        <v>0</v>
      </c>
      <c r="E99" s="13">
        <f>IF(C99="","",IFERROR(INDEX(Materials!$H$5:$H$254,MATCH(C99,Materials!$A$5:$A$254,0)),"Add to Materials"))</f>
        <v>0</v>
      </c>
      <c r="J99" s="33">
        <f>IF(C99="","",IF(G99&lt;&gt;"",G99,IFERROR(INDEX(Materials!$W$5:$W$254,MATCH(C99,Materials!$A$5:$A$254,0)),DefaultWaste)))</f>
        <v>0</v>
      </c>
      <c r="K99" s="36">
        <f>IF(C99="","",IF(F99="","",ROUND(F99*(1+J99),4)))</f>
        <v>0</v>
      </c>
      <c r="L99" s="45">
        <f>IF(C99="","",IFERROR(INDEX(Materials!$S$5:$S$254,MATCH(C99,Materials!$A$5:$A$254,0)),""))</f>
        <v>0</v>
      </c>
      <c r="M99" s="45">
        <f>IF(C99="","",IF(OR(K99="",L99=""),"",ROUND(K99*L99,4)))</f>
        <v>0</v>
      </c>
      <c r="N99" s="20">
        <f>IF(A99="","",ROUND(SUMIFS('Material Usage'!$M$5:$M$904,'Material Usage'!$A$5:$A$904,A99),2))</f>
        <v>0</v>
      </c>
      <c r="O99" s="33">
        <f>IF(A99="","",IF(OR(M99="",N99="",N99=0),"",M99/N99))</f>
        <v>0</v>
      </c>
      <c r="P99" s="32">
        <f>IF(A99="","",COUNTIFS($A$5:A99,A99))</f>
        <v>0</v>
      </c>
      <c r="Q99" s="13">
        <f>IF(A99="","",A99&amp;"|"&amp;P99)</f>
        <v>0</v>
      </c>
      <c r="R99" s="43">
        <f>IF(AND(A99="",C99=""),"",IF(A99="","Add - which product?",IF(C99="","Add - which material?",IF(B99="Not found","Check - no such product ID",IF(D99="Add to Materials","Check - no such material ID",IF(OR(F99="",F99=0),"Add - how much?",IF(L99="","Check - that material has no price","OK")))))))</f>
        <v>0</v>
      </c>
    </row>
    <row r="100" spans="2:18">
      <c r="B100" s="13">
        <f>IF(A100="","",IFERROR(INDEX(Products!$B$5:$B$304,MATCH(A100,Products!$A$5:$A$304,0)),"Not found"))</f>
        <v>0</v>
      </c>
      <c r="D100" s="13">
        <f>IF(C100="","",IFERROR(INDEX(Materials!$B$5:$B$254,MATCH(C100,Materials!$A$5:$A$254,0)),"Add to Materials"))</f>
        <v>0</v>
      </c>
      <c r="E100" s="13">
        <f>IF(C100="","",IFERROR(INDEX(Materials!$H$5:$H$254,MATCH(C100,Materials!$A$5:$A$254,0)),"Add to Materials"))</f>
        <v>0</v>
      </c>
      <c r="J100" s="33">
        <f>IF(C100="","",IF(G100&lt;&gt;"",G100,IFERROR(INDEX(Materials!$W$5:$W$254,MATCH(C100,Materials!$A$5:$A$254,0)),DefaultWaste)))</f>
        <v>0</v>
      </c>
      <c r="K100" s="36">
        <f>IF(C100="","",IF(F100="","",ROUND(F100*(1+J100),4)))</f>
        <v>0</v>
      </c>
      <c r="L100" s="45">
        <f>IF(C100="","",IFERROR(INDEX(Materials!$S$5:$S$254,MATCH(C100,Materials!$A$5:$A$254,0)),""))</f>
        <v>0</v>
      </c>
      <c r="M100" s="45">
        <f>IF(C100="","",IF(OR(K100="",L100=""),"",ROUND(K100*L100,4)))</f>
        <v>0</v>
      </c>
      <c r="N100" s="20">
        <f>IF(A100="","",ROUND(SUMIFS('Material Usage'!$M$5:$M$904,'Material Usage'!$A$5:$A$904,A100),2))</f>
        <v>0</v>
      </c>
      <c r="O100" s="33">
        <f>IF(A100="","",IF(OR(M100="",N100="",N100=0),"",M100/N100))</f>
        <v>0</v>
      </c>
      <c r="P100" s="32">
        <f>IF(A100="","",COUNTIFS($A$5:A100,A100))</f>
        <v>0</v>
      </c>
      <c r="Q100" s="13">
        <f>IF(A100="","",A100&amp;"|"&amp;P100)</f>
        <v>0</v>
      </c>
      <c r="R100" s="43">
        <f>IF(AND(A100="",C100=""),"",IF(A100="","Add - which product?",IF(C100="","Add - which material?",IF(B100="Not found","Check - no such product ID",IF(D100="Add to Materials","Check - no such material ID",IF(OR(F100="",F100=0),"Add - how much?",IF(L100="","Check - that material has no price","OK")))))))</f>
        <v>0</v>
      </c>
    </row>
    <row r="101" spans="2:18">
      <c r="B101" s="13">
        <f>IF(A101="","",IFERROR(INDEX(Products!$B$5:$B$304,MATCH(A101,Products!$A$5:$A$304,0)),"Not found"))</f>
        <v>0</v>
      </c>
      <c r="D101" s="13">
        <f>IF(C101="","",IFERROR(INDEX(Materials!$B$5:$B$254,MATCH(C101,Materials!$A$5:$A$254,0)),"Add to Materials"))</f>
        <v>0</v>
      </c>
      <c r="E101" s="13">
        <f>IF(C101="","",IFERROR(INDEX(Materials!$H$5:$H$254,MATCH(C101,Materials!$A$5:$A$254,0)),"Add to Materials"))</f>
        <v>0</v>
      </c>
      <c r="J101" s="33">
        <f>IF(C101="","",IF(G101&lt;&gt;"",G101,IFERROR(INDEX(Materials!$W$5:$W$254,MATCH(C101,Materials!$A$5:$A$254,0)),DefaultWaste)))</f>
        <v>0</v>
      </c>
      <c r="K101" s="36">
        <f>IF(C101="","",IF(F101="","",ROUND(F101*(1+J101),4)))</f>
        <v>0</v>
      </c>
      <c r="L101" s="45">
        <f>IF(C101="","",IFERROR(INDEX(Materials!$S$5:$S$254,MATCH(C101,Materials!$A$5:$A$254,0)),""))</f>
        <v>0</v>
      </c>
      <c r="M101" s="45">
        <f>IF(C101="","",IF(OR(K101="",L101=""),"",ROUND(K101*L101,4)))</f>
        <v>0</v>
      </c>
      <c r="N101" s="20">
        <f>IF(A101="","",ROUND(SUMIFS('Material Usage'!$M$5:$M$904,'Material Usage'!$A$5:$A$904,A101),2))</f>
        <v>0</v>
      </c>
      <c r="O101" s="33">
        <f>IF(A101="","",IF(OR(M101="",N101="",N101=0),"",M101/N101))</f>
        <v>0</v>
      </c>
      <c r="P101" s="32">
        <f>IF(A101="","",COUNTIFS($A$5:A101,A101))</f>
        <v>0</v>
      </c>
      <c r="Q101" s="13">
        <f>IF(A101="","",A101&amp;"|"&amp;P101)</f>
        <v>0</v>
      </c>
      <c r="R101" s="43">
        <f>IF(AND(A101="",C101=""),"",IF(A101="","Add - which product?",IF(C101="","Add - which material?",IF(B101="Not found","Check - no such product ID",IF(D101="Add to Materials","Check - no such material ID",IF(OR(F101="",F101=0),"Add - how much?",IF(L101="","Check - that material has no price","OK")))))))</f>
        <v>0</v>
      </c>
    </row>
    <row r="102" spans="2:18">
      <c r="B102" s="13">
        <f>IF(A102="","",IFERROR(INDEX(Products!$B$5:$B$304,MATCH(A102,Products!$A$5:$A$304,0)),"Not found"))</f>
        <v>0</v>
      </c>
      <c r="D102" s="13">
        <f>IF(C102="","",IFERROR(INDEX(Materials!$B$5:$B$254,MATCH(C102,Materials!$A$5:$A$254,0)),"Add to Materials"))</f>
        <v>0</v>
      </c>
      <c r="E102" s="13">
        <f>IF(C102="","",IFERROR(INDEX(Materials!$H$5:$H$254,MATCH(C102,Materials!$A$5:$A$254,0)),"Add to Materials"))</f>
        <v>0</v>
      </c>
      <c r="J102" s="33">
        <f>IF(C102="","",IF(G102&lt;&gt;"",G102,IFERROR(INDEX(Materials!$W$5:$W$254,MATCH(C102,Materials!$A$5:$A$254,0)),DefaultWaste)))</f>
        <v>0</v>
      </c>
      <c r="K102" s="36">
        <f>IF(C102="","",IF(F102="","",ROUND(F102*(1+J102),4)))</f>
        <v>0</v>
      </c>
      <c r="L102" s="45">
        <f>IF(C102="","",IFERROR(INDEX(Materials!$S$5:$S$254,MATCH(C102,Materials!$A$5:$A$254,0)),""))</f>
        <v>0</v>
      </c>
      <c r="M102" s="45">
        <f>IF(C102="","",IF(OR(K102="",L102=""),"",ROUND(K102*L102,4)))</f>
        <v>0</v>
      </c>
      <c r="N102" s="20">
        <f>IF(A102="","",ROUND(SUMIFS('Material Usage'!$M$5:$M$904,'Material Usage'!$A$5:$A$904,A102),2))</f>
        <v>0</v>
      </c>
      <c r="O102" s="33">
        <f>IF(A102="","",IF(OR(M102="",N102="",N102=0),"",M102/N102))</f>
        <v>0</v>
      </c>
      <c r="P102" s="32">
        <f>IF(A102="","",COUNTIFS($A$5:A102,A102))</f>
        <v>0</v>
      </c>
      <c r="Q102" s="13">
        <f>IF(A102="","",A102&amp;"|"&amp;P102)</f>
        <v>0</v>
      </c>
      <c r="R102" s="43">
        <f>IF(AND(A102="",C102=""),"",IF(A102="","Add - which product?",IF(C102="","Add - which material?",IF(B102="Not found","Check - no such product ID",IF(D102="Add to Materials","Check - no such material ID",IF(OR(F102="",F102=0),"Add - how much?",IF(L102="","Check - that material has no price","OK")))))))</f>
        <v>0</v>
      </c>
    </row>
    <row r="103" spans="2:18">
      <c r="B103" s="13">
        <f>IF(A103="","",IFERROR(INDEX(Products!$B$5:$B$304,MATCH(A103,Products!$A$5:$A$304,0)),"Not found"))</f>
        <v>0</v>
      </c>
      <c r="D103" s="13">
        <f>IF(C103="","",IFERROR(INDEX(Materials!$B$5:$B$254,MATCH(C103,Materials!$A$5:$A$254,0)),"Add to Materials"))</f>
        <v>0</v>
      </c>
      <c r="E103" s="13">
        <f>IF(C103="","",IFERROR(INDEX(Materials!$H$5:$H$254,MATCH(C103,Materials!$A$5:$A$254,0)),"Add to Materials"))</f>
        <v>0</v>
      </c>
      <c r="J103" s="33">
        <f>IF(C103="","",IF(G103&lt;&gt;"",G103,IFERROR(INDEX(Materials!$W$5:$W$254,MATCH(C103,Materials!$A$5:$A$254,0)),DefaultWaste)))</f>
        <v>0</v>
      </c>
      <c r="K103" s="36">
        <f>IF(C103="","",IF(F103="","",ROUND(F103*(1+J103),4)))</f>
        <v>0</v>
      </c>
      <c r="L103" s="45">
        <f>IF(C103="","",IFERROR(INDEX(Materials!$S$5:$S$254,MATCH(C103,Materials!$A$5:$A$254,0)),""))</f>
        <v>0</v>
      </c>
      <c r="M103" s="45">
        <f>IF(C103="","",IF(OR(K103="",L103=""),"",ROUND(K103*L103,4)))</f>
        <v>0</v>
      </c>
      <c r="N103" s="20">
        <f>IF(A103="","",ROUND(SUMIFS('Material Usage'!$M$5:$M$904,'Material Usage'!$A$5:$A$904,A103),2))</f>
        <v>0</v>
      </c>
      <c r="O103" s="33">
        <f>IF(A103="","",IF(OR(M103="",N103="",N103=0),"",M103/N103))</f>
        <v>0</v>
      </c>
      <c r="P103" s="32">
        <f>IF(A103="","",COUNTIFS($A$5:A103,A103))</f>
        <v>0</v>
      </c>
      <c r="Q103" s="13">
        <f>IF(A103="","",A103&amp;"|"&amp;P103)</f>
        <v>0</v>
      </c>
      <c r="R103" s="43">
        <f>IF(AND(A103="",C103=""),"",IF(A103="","Add - which product?",IF(C103="","Add - which material?",IF(B103="Not found","Check - no such product ID",IF(D103="Add to Materials","Check - no such material ID",IF(OR(F103="",F103=0),"Add - how much?",IF(L103="","Check - that material has no price","OK")))))))</f>
        <v>0</v>
      </c>
    </row>
    <row r="104" spans="2:18">
      <c r="B104" s="13">
        <f>IF(A104="","",IFERROR(INDEX(Products!$B$5:$B$304,MATCH(A104,Products!$A$5:$A$304,0)),"Not found"))</f>
        <v>0</v>
      </c>
      <c r="D104" s="13">
        <f>IF(C104="","",IFERROR(INDEX(Materials!$B$5:$B$254,MATCH(C104,Materials!$A$5:$A$254,0)),"Add to Materials"))</f>
        <v>0</v>
      </c>
      <c r="E104" s="13">
        <f>IF(C104="","",IFERROR(INDEX(Materials!$H$5:$H$254,MATCH(C104,Materials!$A$5:$A$254,0)),"Add to Materials"))</f>
        <v>0</v>
      </c>
      <c r="J104" s="33">
        <f>IF(C104="","",IF(G104&lt;&gt;"",G104,IFERROR(INDEX(Materials!$W$5:$W$254,MATCH(C104,Materials!$A$5:$A$254,0)),DefaultWaste)))</f>
        <v>0</v>
      </c>
      <c r="K104" s="36">
        <f>IF(C104="","",IF(F104="","",ROUND(F104*(1+J104),4)))</f>
        <v>0</v>
      </c>
      <c r="L104" s="45">
        <f>IF(C104="","",IFERROR(INDEX(Materials!$S$5:$S$254,MATCH(C104,Materials!$A$5:$A$254,0)),""))</f>
        <v>0</v>
      </c>
      <c r="M104" s="45">
        <f>IF(C104="","",IF(OR(K104="",L104=""),"",ROUND(K104*L104,4)))</f>
        <v>0</v>
      </c>
      <c r="N104" s="20">
        <f>IF(A104="","",ROUND(SUMIFS('Material Usage'!$M$5:$M$904,'Material Usage'!$A$5:$A$904,A104),2))</f>
        <v>0</v>
      </c>
      <c r="O104" s="33">
        <f>IF(A104="","",IF(OR(M104="",N104="",N104=0),"",M104/N104))</f>
        <v>0</v>
      </c>
      <c r="P104" s="32">
        <f>IF(A104="","",COUNTIFS($A$5:A104,A104))</f>
        <v>0</v>
      </c>
      <c r="Q104" s="13">
        <f>IF(A104="","",A104&amp;"|"&amp;P104)</f>
        <v>0</v>
      </c>
      <c r="R104" s="43">
        <f>IF(AND(A104="",C104=""),"",IF(A104="","Add - which product?",IF(C104="","Add - which material?",IF(B104="Not found","Check - no such product ID",IF(D104="Add to Materials","Check - no such material ID",IF(OR(F104="",F104=0),"Add - how much?",IF(L104="","Check - that material has no price","OK")))))))</f>
        <v>0</v>
      </c>
    </row>
    <row r="105" spans="2:18">
      <c r="B105" s="13">
        <f>IF(A105="","",IFERROR(INDEX(Products!$B$5:$B$304,MATCH(A105,Products!$A$5:$A$304,0)),"Not found"))</f>
        <v>0</v>
      </c>
      <c r="D105" s="13">
        <f>IF(C105="","",IFERROR(INDEX(Materials!$B$5:$B$254,MATCH(C105,Materials!$A$5:$A$254,0)),"Add to Materials"))</f>
        <v>0</v>
      </c>
      <c r="E105" s="13">
        <f>IF(C105="","",IFERROR(INDEX(Materials!$H$5:$H$254,MATCH(C105,Materials!$A$5:$A$254,0)),"Add to Materials"))</f>
        <v>0</v>
      </c>
      <c r="J105" s="33">
        <f>IF(C105="","",IF(G105&lt;&gt;"",G105,IFERROR(INDEX(Materials!$W$5:$W$254,MATCH(C105,Materials!$A$5:$A$254,0)),DefaultWaste)))</f>
        <v>0</v>
      </c>
      <c r="K105" s="36">
        <f>IF(C105="","",IF(F105="","",ROUND(F105*(1+J105),4)))</f>
        <v>0</v>
      </c>
      <c r="L105" s="45">
        <f>IF(C105="","",IFERROR(INDEX(Materials!$S$5:$S$254,MATCH(C105,Materials!$A$5:$A$254,0)),""))</f>
        <v>0</v>
      </c>
      <c r="M105" s="45">
        <f>IF(C105="","",IF(OR(K105="",L105=""),"",ROUND(K105*L105,4)))</f>
        <v>0</v>
      </c>
      <c r="N105" s="20">
        <f>IF(A105="","",ROUND(SUMIFS('Material Usage'!$M$5:$M$904,'Material Usage'!$A$5:$A$904,A105),2))</f>
        <v>0</v>
      </c>
      <c r="O105" s="33">
        <f>IF(A105="","",IF(OR(M105="",N105="",N105=0),"",M105/N105))</f>
        <v>0</v>
      </c>
      <c r="P105" s="32">
        <f>IF(A105="","",COUNTIFS($A$5:A105,A105))</f>
        <v>0</v>
      </c>
      <c r="Q105" s="13">
        <f>IF(A105="","",A105&amp;"|"&amp;P105)</f>
        <v>0</v>
      </c>
      <c r="R105" s="43">
        <f>IF(AND(A105="",C105=""),"",IF(A105="","Add - which product?",IF(C105="","Add - which material?",IF(B105="Not found","Check - no such product ID",IF(D105="Add to Materials","Check - no such material ID",IF(OR(F105="",F105=0),"Add - how much?",IF(L105="","Check - that material has no price","OK")))))))</f>
        <v>0</v>
      </c>
    </row>
    <row r="106" spans="2:18">
      <c r="B106" s="13">
        <f>IF(A106="","",IFERROR(INDEX(Products!$B$5:$B$304,MATCH(A106,Products!$A$5:$A$304,0)),"Not found"))</f>
        <v>0</v>
      </c>
      <c r="D106" s="13">
        <f>IF(C106="","",IFERROR(INDEX(Materials!$B$5:$B$254,MATCH(C106,Materials!$A$5:$A$254,0)),"Add to Materials"))</f>
        <v>0</v>
      </c>
      <c r="E106" s="13">
        <f>IF(C106="","",IFERROR(INDEX(Materials!$H$5:$H$254,MATCH(C106,Materials!$A$5:$A$254,0)),"Add to Materials"))</f>
        <v>0</v>
      </c>
      <c r="J106" s="33">
        <f>IF(C106="","",IF(G106&lt;&gt;"",G106,IFERROR(INDEX(Materials!$W$5:$W$254,MATCH(C106,Materials!$A$5:$A$254,0)),DefaultWaste)))</f>
        <v>0</v>
      </c>
      <c r="K106" s="36">
        <f>IF(C106="","",IF(F106="","",ROUND(F106*(1+J106),4)))</f>
        <v>0</v>
      </c>
      <c r="L106" s="45">
        <f>IF(C106="","",IFERROR(INDEX(Materials!$S$5:$S$254,MATCH(C106,Materials!$A$5:$A$254,0)),""))</f>
        <v>0</v>
      </c>
      <c r="M106" s="45">
        <f>IF(C106="","",IF(OR(K106="",L106=""),"",ROUND(K106*L106,4)))</f>
        <v>0</v>
      </c>
      <c r="N106" s="20">
        <f>IF(A106="","",ROUND(SUMIFS('Material Usage'!$M$5:$M$904,'Material Usage'!$A$5:$A$904,A106),2))</f>
        <v>0</v>
      </c>
      <c r="O106" s="33">
        <f>IF(A106="","",IF(OR(M106="",N106="",N106=0),"",M106/N106))</f>
        <v>0</v>
      </c>
      <c r="P106" s="32">
        <f>IF(A106="","",COUNTIFS($A$5:A106,A106))</f>
        <v>0</v>
      </c>
      <c r="Q106" s="13">
        <f>IF(A106="","",A106&amp;"|"&amp;P106)</f>
        <v>0</v>
      </c>
      <c r="R106" s="43">
        <f>IF(AND(A106="",C106=""),"",IF(A106="","Add - which product?",IF(C106="","Add - which material?",IF(B106="Not found","Check - no such product ID",IF(D106="Add to Materials","Check - no such material ID",IF(OR(F106="",F106=0),"Add - how much?",IF(L106="","Check - that material has no price","OK")))))))</f>
        <v>0</v>
      </c>
    </row>
    <row r="107" spans="2:18">
      <c r="B107" s="13">
        <f>IF(A107="","",IFERROR(INDEX(Products!$B$5:$B$304,MATCH(A107,Products!$A$5:$A$304,0)),"Not found"))</f>
        <v>0</v>
      </c>
      <c r="D107" s="13">
        <f>IF(C107="","",IFERROR(INDEX(Materials!$B$5:$B$254,MATCH(C107,Materials!$A$5:$A$254,0)),"Add to Materials"))</f>
        <v>0</v>
      </c>
      <c r="E107" s="13">
        <f>IF(C107="","",IFERROR(INDEX(Materials!$H$5:$H$254,MATCH(C107,Materials!$A$5:$A$254,0)),"Add to Materials"))</f>
        <v>0</v>
      </c>
      <c r="J107" s="33">
        <f>IF(C107="","",IF(G107&lt;&gt;"",G107,IFERROR(INDEX(Materials!$W$5:$W$254,MATCH(C107,Materials!$A$5:$A$254,0)),DefaultWaste)))</f>
        <v>0</v>
      </c>
      <c r="K107" s="36">
        <f>IF(C107="","",IF(F107="","",ROUND(F107*(1+J107),4)))</f>
        <v>0</v>
      </c>
      <c r="L107" s="45">
        <f>IF(C107="","",IFERROR(INDEX(Materials!$S$5:$S$254,MATCH(C107,Materials!$A$5:$A$254,0)),""))</f>
        <v>0</v>
      </c>
      <c r="M107" s="45">
        <f>IF(C107="","",IF(OR(K107="",L107=""),"",ROUND(K107*L107,4)))</f>
        <v>0</v>
      </c>
      <c r="N107" s="20">
        <f>IF(A107="","",ROUND(SUMIFS('Material Usage'!$M$5:$M$904,'Material Usage'!$A$5:$A$904,A107),2))</f>
        <v>0</v>
      </c>
      <c r="O107" s="33">
        <f>IF(A107="","",IF(OR(M107="",N107="",N107=0),"",M107/N107))</f>
        <v>0</v>
      </c>
      <c r="P107" s="32">
        <f>IF(A107="","",COUNTIFS($A$5:A107,A107))</f>
        <v>0</v>
      </c>
      <c r="Q107" s="13">
        <f>IF(A107="","",A107&amp;"|"&amp;P107)</f>
        <v>0</v>
      </c>
      <c r="R107" s="43">
        <f>IF(AND(A107="",C107=""),"",IF(A107="","Add - which product?",IF(C107="","Add - which material?",IF(B107="Not found","Check - no such product ID",IF(D107="Add to Materials","Check - no such material ID",IF(OR(F107="",F107=0),"Add - how much?",IF(L107="","Check - that material has no price","OK")))))))</f>
        <v>0</v>
      </c>
    </row>
    <row r="108" spans="2:18">
      <c r="B108" s="13">
        <f>IF(A108="","",IFERROR(INDEX(Products!$B$5:$B$304,MATCH(A108,Products!$A$5:$A$304,0)),"Not found"))</f>
        <v>0</v>
      </c>
      <c r="D108" s="13">
        <f>IF(C108="","",IFERROR(INDEX(Materials!$B$5:$B$254,MATCH(C108,Materials!$A$5:$A$254,0)),"Add to Materials"))</f>
        <v>0</v>
      </c>
      <c r="E108" s="13">
        <f>IF(C108="","",IFERROR(INDEX(Materials!$H$5:$H$254,MATCH(C108,Materials!$A$5:$A$254,0)),"Add to Materials"))</f>
        <v>0</v>
      </c>
      <c r="J108" s="33">
        <f>IF(C108="","",IF(G108&lt;&gt;"",G108,IFERROR(INDEX(Materials!$W$5:$W$254,MATCH(C108,Materials!$A$5:$A$254,0)),DefaultWaste)))</f>
        <v>0</v>
      </c>
      <c r="K108" s="36">
        <f>IF(C108="","",IF(F108="","",ROUND(F108*(1+J108),4)))</f>
        <v>0</v>
      </c>
      <c r="L108" s="45">
        <f>IF(C108="","",IFERROR(INDEX(Materials!$S$5:$S$254,MATCH(C108,Materials!$A$5:$A$254,0)),""))</f>
        <v>0</v>
      </c>
      <c r="M108" s="45">
        <f>IF(C108="","",IF(OR(K108="",L108=""),"",ROUND(K108*L108,4)))</f>
        <v>0</v>
      </c>
      <c r="N108" s="20">
        <f>IF(A108="","",ROUND(SUMIFS('Material Usage'!$M$5:$M$904,'Material Usage'!$A$5:$A$904,A108),2))</f>
        <v>0</v>
      </c>
      <c r="O108" s="33">
        <f>IF(A108="","",IF(OR(M108="",N108="",N108=0),"",M108/N108))</f>
        <v>0</v>
      </c>
      <c r="P108" s="32">
        <f>IF(A108="","",COUNTIFS($A$5:A108,A108))</f>
        <v>0</v>
      </c>
      <c r="Q108" s="13">
        <f>IF(A108="","",A108&amp;"|"&amp;P108)</f>
        <v>0</v>
      </c>
      <c r="R108" s="43">
        <f>IF(AND(A108="",C108=""),"",IF(A108="","Add - which product?",IF(C108="","Add - which material?",IF(B108="Not found","Check - no such product ID",IF(D108="Add to Materials","Check - no such material ID",IF(OR(F108="",F108=0),"Add - how much?",IF(L108="","Check - that material has no price","OK")))))))</f>
        <v>0</v>
      </c>
    </row>
    <row r="109" spans="2:18">
      <c r="B109" s="13">
        <f>IF(A109="","",IFERROR(INDEX(Products!$B$5:$B$304,MATCH(A109,Products!$A$5:$A$304,0)),"Not found"))</f>
        <v>0</v>
      </c>
      <c r="D109" s="13">
        <f>IF(C109="","",IFERROR(INDEX(Materials!$B$5:$B$254,MATCH(C109,Materials!$A$5:$A$254,0)),"Add to Materials"))</f>
        <v>0</v>
      </c>
      <c r="E109" s="13">
        <f>IF(C109="","",IFERROR(INDEX(Materials!$H$5:$H$254,MATCH(C109,Materials!$A$5:$A$254,0)),"Add to Materials"))</f>
        <v>0</v>
      </c>
      <c r="J109" s="33">
        <f>IF(C109="","",IF(G109&lt;&gt;"",G109,IFERROR(INDEX(Materials!$W$5:$W$254,MATCH(C109,Materials!$A$5:$A$254,0)),DefaultWaste)))</f>
        <v>0</v>
      </c>
      <c r="K109" s="36">
        <f>IF(C109="","",IF(F109="","",ROUND(F109*(1+J109),4)))</f>
        <v>0</v>
      </c>
      <c r="L109" s="45">
        <f>IF(C109="","",IFERROR(INDEX(Materials!$S$5:$S$254,MATCH(C109,Materials!$A$5:$A$254,0)),""))</f>
        <v>0</v>
      </c>
      <c r="M109" s="45">
        <f>IF(C109="","",IF(OR(K109="",L109=""),"",ROUND(K109*L109,4)))</f>
        <v>0</v>
      </c>
      <c r="N109" s="20">
        <f>IF(A109="","",ROUND(SUMIFS('Material Usage'!$M$5:$M$904,'Material Usage'!$A$5:$A$904,A109),2))</f>
        <v>0</v>
      </c>
      <c r="O109" s="33">
        <f>IF(A109="","",IF(OR(M109="",N109="",N109=0),"",M109/N109))</f>
        <v>0</v>
      </c>
      <c r="P109" s="32">
        <f>IF(A109="","",COUNTIFS($A$5:A109,A109))</f>
        <v>0</v>
      </c>
      <c r="Q109" s="13">
        <f>IF(A109="","",A109&amp;"|"&amp;P109)</f>
        <v>0</v>
      </c>
      <c r="R109" s="43">
        <f>IF(AND(A109="",C109=""),"",IF(A109="","Add - which product?",IF(C109="","Add - which material?",IF(B109="Not found","Check - no such product ID",IF(D109="Add to Materials","Check - no such material ID",IF(OR(F109="",F109=0),"Add - how much?",IF(L109="","Check - that material has no price","OK")))))))</f>
        <v>0</v>
      </c>
    </row>
    <row r="110" spans="2:18">
      <c r="B110" s="13">
        <f>IF(A110="","",IFERROR(INDEX(Products!$B$5:$B$304,MATCH(A110,Products!$A$5:$A$304,0)),"Not found"))</f>
        <v>0</v>
      </c>
      <c r="D110" s="13">
        <f>IF(C110="","",IFERROR(INDEX(Materials!$B$5:$B$254,MATCH(C110,Materials!$A$5:$A$254,0)),"Add to Materials"))</f>
        <v>0</v>
      </c>
      <c r="E110" s="13">
        <f>IF(C110="","",IFERROR(INDEX(Materials!$H$5:$H$254,MATCH(C110,Materials!$A$5:$A$254,0)),"Add to Materials"))</f>
        <v>0</v>
      </c>
      <c r="J110" s="33">
        <f>IF(C110="","",IF(G110&lt;&gt;"",G110,IFERROR(INDEX(Materials!$W$5:$W$254,MATCH(C110,Materials!$A$5:$A$254,0)),DefaultWaste)))</f>
        <v>0</v>
      </c>
      <c r="K110" s="36">
        <f>IF(C110="","",IF(F110="","",ROUND(F110*(1+J110),4)))</f>
        <v>0</v>
      </c>
      <c r="L110" s="45">
        <f>IF(C110="","",IFERROR(INDEX(Materials!$S$5:$S$254,MATCH(C110,Materials!$A$5:$A$254,0)),""))</f>
        <v>0</v>
      </c>
      <c r="M110" s="45">
        <f>IF(C110="","",IF(OR(K110="",L110=""),"",ROUND(K110*L110,4)))</f>
        <v>0</v>
      </c>
      <c r="N110" s="20">
        <f>IF(A110="","",ROUND(SUMIFS('Material Usage'!$M$5:$M$904,'Material Usage'!$A$5:$A$904,A110),2))</f>
        <v>0</v>
      </c>
      <c r="O110" s="33">
        <f>IF(A110="","",IF(OR(M110="",N110="",N110=0),"",M110/N110))</f>
        <v>0</v>
      </c>
      <c r="P110" s="32">
        <f>IF(A110="","",COUNTIFS($A$5:A110,A110))</f>
        <v>0</v>
      </c>
      <c r="Q110" s="13">
        <f>IF(A110="","",A110&amp;"|"&amp;P110)</f>
        <v>0</v>
      </c>
      <c r="R110" s="43">
        <f>IF(AND(A110="",C110=""),"",IF(A110="","Add - which product?",IF(C110="","Add - which material?",IF(B110="Not found","Check - no such product ID",IF(D110="Add to Materials","Check - no such material ID",IF(OR(F110="",F110=0),"Add - how much?",IF(L110="","Check - that material has no price","OK")))))))</f>
        <v>0</v>
      </c>
    </row>
    <row r="111" spans="2:18">
      <c r="B111" s="13">
        <f>IF(A111="","",IFERROR(INDEX(Products!$B$5:$B$304,MATCH(A111,Products!$A$5:$A$304,0)),"Not found"))</f>
        <v>0</v>
      </c>
      <c r="D111" s="13">
        <f>IF(C111="","",IFERROR(INDEX(Materials!$B$5:$B$254,MATCH(C111,Materials!$A$5:$A$254,0)),"Add to Materials"))</f>
        <v>0</v>
      </c>
      <c r="E111" s="13">
        <f>IF(C111="","",IFERROR(INDEX(Materials!$H$5:$H$254,MATCH(C111,Materials!$A$5:$A$254,0)),"Add to Materials"))</f>
        <v>0</v>
      </c>
      <c r="J111" s="33">
        <f>IF(C111="","",IF(G111&lt;&gt;"",G111,IFERROR(INDEX(Materials!$W$5:$W$254,MATCH(C111,Materials!$A$5:$A$254,0)),DefaultWaste)))</f>
        <v>0</v>
      </c>
      <c r="K111" s="36">
        <f>IF(C111="","",IF(F111="","",ROUND(F111*(1+J111),4)))</f>
        <v>0</v>
      </c>
      <c r="L111" s="45">
        <f>IF(C111="","",IFERROR(INDEX(Materials!$S$5:$S$254,MATCH(C111,Materials!$A$5:$A$254,0)),""))</f>
        <v>0</v>
      </c>
      <c r="M111" s="45">
        <f>IF(C111="","",IF(OR(K111="",L111=""),"",ROUND(K111*L111,4)))</f>
        <v>0</v>
      </c>
      <c r="N111" s="20">
        <f>IF(A111="","",ROUND(SUMIFS('Material Usage'!$M$5:$M$904,'Material Usage'!$A$5:$A$904,A111),2))</f>
        <v>0</v>
      </c>
      <c r="O111" s="33">
        <f>IF(A111="","",IF(OR(M111="",N111="",N111=0),"",M111/N111))</f>
        <v>0</v>
      </c>
      <c r="P111" s="32">
        <f>IF(A111="","",COUNTIFS($A$5:A111,A111))</f>
        <v>0</v>
      </c>
      <c r="Q111" s="13">
        <f>IF(A111="","",A111&amp;"|"&amp;P111)</f>
        <v>0</v>
      </c>
      <c r="R111" s="43">
        <f>IF(AND(A111="",C111=""),"",IF(A111="","Add - which product?",IF(C111="","Add - which material?",IF(B111="Not found","Check - no such product ID",IF(D111="Add to Materials","Check - no such material ID",IF(OR(F111="",F111=0),"Add - how much?",IF(L111="","Check - that material has no price","OK")))))))</f>
        <v>0</v>
      </c>
    </row>
    <row r="112" spans="2:18">
      <c r="B112" s="13">
        <f>IF(A112="","",IFERROR(INDEX(Products!$B$5:$B$304,MATCH(A112,Products!$A$5:$A$304,0)),"Not found"))</f>
        <v>0</v>
      </c>
      <c r="D112" s="13">
        <f>IF(C112="","",IFERROR(INDEX(Materials!$B$5:$B$254,MATCH(C112,Materials!$A$5:$A$254,0)),"Add to Materials"))</f>
        <v>0</v>
      </c>
      <c r="E112" s="13">
        <f>IF(C112="","",IFERROR(INDEX(Materials!$H$5:$H$254,MATCH(C112,Materials!$A$5:$A$254,0)),"Add to Materials"))</f>
        <v>0</v>
      </c>
      <c r="J112" s="33">
        <f>IF(C112="","",IF(G112&lt;&gt;"",G112,IFERROR(INDEX(Materials!$W$5:$W$254,MATCH(C112,Materials!$A$5:$A$254,0)),DefaultWaste)))</f>
        <v>0</v>
      </c>
      <c r="K112" s="36">
        <f>IF(C112="","",IF(F112="","",ROUND(F112*(1+J112),4)))</f>
        <v>0</v>
      </c>
      <c r="L112" s="45">
        <f>IF(C112="","",IFERROR(INDEX(Materials!$S$5:$S$254,MATCH(C112,Materials!$A$5:$A$254,0)),""))</f>
        <v>0</v>
      </c>
      <c r="M112" s="45">
        <f>IF(C112="","",IF(OR(K112="",L112=""),"",ROUND(K112*L112,4)))</f>
        <v>0</v>
      </c>
      <c r="N112" s="20">
        <f>IF(A112="","",ROUND(SUMIFS('Material Usage'!$M$5:$M$904,'Material Usage'!$A$5:$A$904,A112),2))</f>
        <v>0</v>
      </c>
      <c r="O112" s="33">
        <f>IF(A112="","",IF(OR(M112="",N112="",N112=0),"",M112/N112))</f>
        <v>0</v>
      </c>
      <c r="P112" s="32">
        <f>IF(A112="","",COUNTIFS($A$5:A112,A112))</f>
        <v>0</v>
      </c>
      <c r="Q112" s="13">
        <f>IF(A112="","",A112&amp;"|"&amp;P112)</f>
        <v>0</v>
      </c>
      <c r="R112" s="43">
        <f>IF(AND(A112="",C112=""),"",IF(A112="","Add - which product?",IF(C112="","Add - which material?",IF(B112="Not found","Check - no such product ID",IF(D112="Add to Materials","Check - no such material ID",IF(OR(F112="",F112=0),"Add - how much?",IF(L112="","Check - that material has no price","OK")))))))</f>
        <v>0</v>
      </c>
    </row>
    <row r="113" spans="2:18">
      <c r="B113" s="13">
        <f>IF(A113="","",IFERROR(INDEX(Products!$B$5:$B$304,MATCH(A113,Products!$A$5:$A$304,0)),"Not found"))</f>
        <v>0</v>
      </c>
      <c r="D113" s="13">
        <f>IF(C113="","",IFERROR(INDEX(Materials!$B$5:$B$254,MATCH(C113,Materials!$A$5:$A$254,0)),"Add to Materials"))</f>
        <v>0</v>
      </c>
      <c r="E113" s="13">
        <f>IF(C113="","",IFERROR(INDEX(Materials!$H$5:$H$254,MATCH(C113,Materials!$A$5:$A$254,0)),"Add to Materials"))</f>
        <v>0</v>
      </c>
      <c r="J113" s="33">
        <f>IF(C113="","",IF(G113&lt;&gt;"",G113,IFERROR(INDEX(Materials!$W$5:$W$254,MATCH(C113,Materials!$A$5:$A$254,0)),DefaultWaste)))</f>
        <v>0</v>
      </c>
      <c r="K113" s="36">
        <f>IF(C113="","",IF(F113="","",ROUND(F113*(1+J113),4)))</f>
        <v>0</v>
      </c>
      <c r="L113" s="45">
        <f>IF(C113="","",IFERROR(INDEX(Materials!$S$5:$S$254,MATCH(C113,Materials!$A$5:$A$254,0)),""))</f>
        <v>0</v>
      </c>
      <c r="M113" s="45">
        <f>IF(C113="","",IF(OR(K113="",L113=""),"",ROUND(K113*L113,4)))</f>
        <v>0</v>
      </c>
      <c r="N113" s="20">
        <f>IF(A113="","",ROUND(SUMIFS('Material Usage'!$M$5:$M$904,'Material Usage'!$A$5:$A$904,A113),2))</f>
        <v>0</v>
      </c>
      <c r="O113" s="33">
        <f>IF(A113="","",IF(OR(M113="",N113="",N113=0),"",M113/N113))</f>
        <v>0</v>
      </c>
      <c r="P113" s="32">
        <f>IF(A113="","",COUNTIFS($A$5:A113,A113))</f>
        <v>0</v>
      </c>
      <c r="Q113" s="13">
        <f>IF(A113="","",A113&amp;"|"&amp;P113)</f>
        <v>0</v>
      </c>
      <c r="R113" s="43">
        <f>IF(AND(A113="",C113=""),"",IF(A113="","Add - which product?",IF(C113="","Add - which material?",IF(B113="Not found","Check - no such product ID",IF(D113="Add to Materials","Check - no such material ID",IF(OR(F113="",F113=0),"Add - how much?",IF(L113="","Check - that material has no price","OK")))))))</f>
        <v>0</v>
      </c>
    </row>
    <row r="114" spans="2:18">
      <c r="B114" s="13">
        <f>IF(A114="","",IFERROR(INDEX(Products!$B$5:$B$304,MATCH(A114,Products!$A$5:$A$304,0)),"Not found"))</f>
        <v>0</v>
      </c>
      <c r="D114" s="13">
        <f>IF(C114="","",IFERROR(INDEX(Materials!$B$5:$B$254,MATCH(C114,Materials!$A$5:$A$254,0)),"Add to Materials"))</f>
        <v>0</v>
      </c>
      <c r="E114" s="13">
        <f>IF(C114="","",IFERROR(INDEX(Materials!$H$5:$H$254,MATCH(C114,Materials!$A$5:$A$254,0)),"Add to Materials"))</f>
        <v>0</v>
      </c>
      <c r="J114" s="33">
        <f>IF(C114="","",IF(G114&lt;&gt;"",G114,IFERROR(INDEX(Materials!$W$5:$W$254,MATCH(C114,Materials!$A$5:$A$254,0)),DefaultWaste)))</f>
        <v>0</v>
      </c>
      <c r="K114" s="36">
        <f>IF(C114="","",IF(F114="","",ROUND(F114*(1+J114),4)))</f>
        <v>0</v>
      </c>
      <c r="L114" s="45">
        <f>IF(C114="","",IFERROR(INDEX(Materials!$S$5:$S$254,MATCH(C114,Materials!$A$5:$A$254,0)),""))</f>
        <v>0</v>
      </c>
      <c r="M114" s="45">
        <f>IF(C114="","",IF(OR(K114="",L114=""),"",ROUND(K114*L114,4)))</f>
        <v>0</v>
      </c>
      <c r="N114" s="20">
        <f>IF(A114="","",ROUND(SUMIFS('Material Usage'!$M$5:$M$904,'Material Usage'!$A$5:$A$904,A114),2))</f>
        <v>0</v>
      </c>
      <c r="O114" s="33">
        <f>IF(A114="","",IF(OR(M114="",N114="",N114=0),"",M114/N114))</f>
        <v>0</v>
      </c>
      <c r="P114" s="32">
        <f>IF(A114="","",COUNTIFS($A$5:A114,A114))</f>
        <v>0</v>
      </c>
      <c r="Q114" s="13">
        <f>IF(A114="","",A114&amp;"|"&amp;P114)</f>
        <v>0</v>
      </c>
      <c r="R114" s="43">
        <f>IF(AND(A114="",C114=""),"",IF(A114="","Add - which product?",IF(C114="","Add - which material?",IF(B114="Not found","Check - no such product ID",IF(D114="Add to Materials","Check - no such material ID",IF(OR(F114="",F114=0),"Add - how much?",IF(L114="","Check - that material has no price","OK")))))))</f>
        <v>0</v>
      </c>
    </row>
    <row r="115" spans="2:18">
      <c r="B115" s="13">
        <f>IF(A115="","",IFERROR(INDEX(Products!$B$5:$B$304,MATCH(A115,Products!$A$5:$A$304,0)),"Not found"))</f>
        <v>0</v>
      </c>
      <c r="D115" s="13">
        <f>IF(C115="","",IFERROR(INDEX(Materials!$B$5:$B$254,MATCH(C115,Materials!$A$5:$A$254,0)),"Add to Materials"))</f>
        <v>0</v>
      </c>
      <c r="E115" s="13">
        <f>IF(C115="","",IFERROR(INDEX(Materials!$H$5:$H$254,MATCH(C115,Materials!$A$5:$A$254,0)),"Add to Materials"))</f>
        <v>0</v>
      </c>
      <c r="J115" s="33">
        <f>IF(C115="","",IF(G115&lt;&gt;"",G115,IFERROR(INDEX(Materials!$W$5:$W$254,MATCH(C115,Materials!$A$5:$A$254,0)),DefaultWaste)))</f>
        <v>0</v>
      </c>
      <c r="K115" s="36">
        <f>IF(C115="","",IF(F115="","",ROUND(F115*(1+J115),4)))</f>
        <v>0</v>
      </c>
      <c r="L115" s="45">
        <f>IF(C115="","",IFERROR(INDEX(Materials!$S$5:$S$254,MATCH(C115,Materials!$A$5:$A$254,0)),""))</f>
        <v>0</v>
      </c>
      <c r="M115" s="45">
        <f>IF(C115="","",IF(OR(K115="",L115=""),"",ROUND(K115*L115,4)))</f>
        <v>0</v>
      </c>
      <c r="N115" s="20">
        <f>IF(A115="","",ROUND(SUMIFS('Material Usage'!$M$5:$M$904,'Material Usage'!$A$5:$A$904,A115),2))</f>
        <v>0</v>
      </c>
      <c r="O115" s="33">
        <f>IF(A115="","",IF(OR(M115="",N115="",N115=0),"",M115/N115))</f>
        <v>0</v>
      </c>
      <c r="P115" s="32">
        <f>IF(A115="","",COUNTIFS($A$5:A115,A115))</f>
        <v>0</v>
      </c>
      <c r="Q115" s="13">
        <f>IF(A115="","",A115&amp;"|"&amp;P115)</f>
        <v>0</v>
      </c>
      <c r="R115" s="43">
        <f>IF(AND(A115="",C115=""),"",IF(A115="","Add - which product?",IF(C115="","Add - which material?",IF(B115="Not found","Check - no such product ID",IF(D115="Add to Materials","Check - no such material ID",IF(OR(F115="",F115=0),"Add - how much?",IF(L115="","Check - that material has no price","OK")))))))</f>
        <v>0</v>
      </c>
    </row>
    <row r="116" spans="2:18">
      <c r="B116" s="13">
        <f>IF(A116="","",IFERROR(INDEX(Products!$B$5:$B$304,MATCH(A116,Products!$A$5:$A$304,0)),"Not found"))</f>
        <v>0</v>
      </c>
      <c r="D116" s="13">
        <f>IF(C116="","",IFERROR(INDEX(Materials!$B$5:$B$254,MATCH(C116,Materials!$A$5:$A$254,0)),"Add to Materials"))</f>
        <v>0</v>
      </c>
      <c r="E116" s="13">
        <f>IF(C116="","",IFERROR(INDEX(Materials!$H$5:$H$254,MATCH(C116,Materials!$A$5:$A$254,0)),"Add to Materials"))</f>
        <v>0</v>
      </c>
      <c r="J116" s="33">
        <f>IF(C116="","",IF(G116&lt;&gt;"",G116,IFERROR(INDEX(Materials!$W$5:$W$254,MATCH(C116,Materials!$A$5:$A$254,0)),DefaultWaste)))</f>
        <v>0</v>
      </c>
      <c r="K116" s="36">
        <f>IF(C116="","",IF(F116="","",ROUND(F116*(1+J116),4)))</f>
        <v>0</v>
      </c>
      <c r="L116" s="45">
        <f>IF(C116="","",IFERROR(INDEX(Materials!$S$5:$S$254,MATCH(C116,Materials!$A$5:$A$254,0)),""))</f>
        <v>0</v>
      </c>
      <c r="M116" s="45">
        <f>IF(C116="","",IF(OR(K116="",L116=""),"",ROUND(K116*L116,4)))</f>
        <v>0</v>
      </c>
      <c r="N116" s="20">
        <f>IF(A116="","",ROUND(SUMIFS('Material Usage'!$M$5:$M$904,'Material Usage'!$A$5:$A$904,A116),2))</f>
        <v>0</v>
      </c>
      <c r="O116" s="33">
        <f>IF(A116="","",IF(OR(M116="",N116="",N116=0),"",M116/N116))</f>
        <v>0</v>
      </c>
      <c r="P116" s="32">
        <f>IF(A116="","",COUNTIFS($A$5:A116,A116))</f>
        <v>0</v>
      </c>
      <c r="Q116" s="13">
        <f>IF(A116="","",A116&amp;"|"&amp;P116)</f>
        <v>0</v>
      </c>
      <c r="R116" s="43">
        <f>IF(AND(A116="",C116=""),"",IF(A116="","Add - which product?",IF(C116="","Add - which material?",IF(B116="Not found","Check - no such product ID",IF(D116="Add to Materials","Check - no such material ID",IF(OR(F116="",F116=0),"Add - how much?",IF(L116="","Check - that material has no price","OK")))))))</f>
        <v>0</v>
      </c>
    </row>
    <row r="117" spans="2:18">
      <c r="B117" s="13">
        <f>IF(A117="","",IFERROR(INDEX(Products!$B$5:$B$304,MATCH(A117,Products!$A$5:$A$304,0)),"Not found"))</f>
        <v>0</v>
      </c>
      <c r="D117" s="13">
        <f>IF(C117="","",IFERROR(INDEX(Materials!$B$5:$B$254,MATCH(C117,Materials!$A$5:$A$254,0)),"Add to Materials"))</f>
        <v>0</v>
      </c>
      <c r="E117" s="13">
        <f>IF(C117="","",IFERROR(INDEX(Materials!$H$5:$H$254,MATCH(C117,Materials!$A$5:$A$254,0)),"Add to Materials"))</f>
        <v>0</v>
      </c>
      <c r="J117" s="33">
        <f>IF(C117="","",IF(G117&lt;&gt;"",G117,IFERROR(INDEX(Materials!$W$5:$W$254,MATCH(C117,Materials!$A$5:$A$254,0)),DefaultWaste)))</f>
        <v>0</v>
      </c>
      <c r="K117" s="36">
        <f>IF(C117="","",IF(F117="","",ROUND(F117*(1+J117),4)))</f>
        <v>0</v>
      </c>
      <c r="L117" s="45">
        <f>IF(C117="","",IFERROR(INDEX(Materials!$S$5:$S$254,MATCH(C117,Materials!$A$5:$A$254,0)),""))</f>
        <v>0</v>
      </c>
      <c r="M117" s="45">
        <f>IF(C117="","",IF(OR(K117="",L117=""),"",ROUND(K117*L117,4)))</f>
        <v>0</v>
      </c>
      <c r="N117" s="20">
        <f>IF(A117="","",ROUND(SUMIFS('Material Usage'!$M$5:$M$904,'Material Usage'!$A$5:$A$904,A117),2))</f>
        <v>0</v>
      </c>
      <c r="O117" s="33">
        <f>IF(A117="","",IF(OR(M117="",N117="",N117=0),"",M117/N117))</f>
        <v>0</v>
      </c>
      <c r="P117" s="32">
        <f>IF(A117="","",COUNTIFS($A$5:A117,A117))</f>
        <v>0</v>
      </c>
      <c r="Q117" s="13">
        <f>IF(A117="","",A117&amp;"|"&amp;P117)</f>
        <v>0</v>
      </c>
      <c r="R117" s="43">
        <f>IF(AND(A117="",C117=""),"",IF(A117="","Add - which product?",IF(C117="","Add - which material?",IF(B117="Not found","Check - no such product ID",IF(D117="Add to Materials","Check - no such material ID",IF(OR(F117="",F117=0),"Add - how much?",IF(L117="","Check - that material has no price","OK")))))))</f>
        <v>0</v>
      </c>
    </row>
    <row r="118" spans="2:18">
      <c r="B118" s="13">
        <f>IF(A118="","",IFERROR(INDEX(Products!$B$5:$B$304,MATCH(A118,Products!$A$5:$A$304,0)),"Not found"))</f>
        <v>0</v>
      </c>
      <c r="D118" s="13">
        <f>IF(C118="","",IFERROR(INDEX(Materials!$B$5:$B$254,MATCH(C118,Materials!$A$5:$A$254,0)),"Add to Materials"))</f>
        <v>0</v>
      </c>
      <c r="E118" s="13">
        <f>IF(C118="","",IFERROR(INDEX(Materials!$H$5:$H$254,MATCH(C118,Materials!$A$5:$A$254,0)),"Add to Materials"))</f>
        <v>0</v>
      </c>
      <c r="J118" s="33">
        <f>IF(C118="","",IF(G118&lt;&gt;"",G118,IFERROR(INDEX(Materials!$W$5:$W$254,MATCH(C118,Materials!$A$5:$A$254,0)),DefaultWaste)))</f>
        <v>0</v>
      </c>
      <c r="K118" s="36">
        <f>IF(C118="","",IF(F118="","",ROUND(F118*(1+J118),4)))</f>
        <v>0</v>
      </c>
      <c r="L118" s="45">
        <f>IF(C118="","",IFERROR(INDEX(Materials!$S$5:$S$254,MATCH(C118,Materials!$A$5:$A$254,0)),""))</f>
        <v>0</v>
      </c>
      <c r="M118" s="45">
        <f>IF(C118="","",IF(OR(K118="",L118=""),"",ROUND(K118*L118,4)))</f>
        <v>0</v>
      </c>
      <c r="N118" s="20">
        <f>IF(A118="","",ROUND(SUMIFS('Material Usage'!$M$5:$M$904,'Material Usage'!$A$5:$A$904,A118),2))</f>
        <v>0</v>
      </c>
      <c r="O118" s="33">
        <f>IF(A118="","",IF(OR(M118="",N118="",N118=0),"",M118/N118))</f>
        <v>0</v>
      </c>
      <c r="P118" s="32">
        <f>IF(A118="","",COUNTIFS($A$5:A118,A118))</f>
        <v>0</v>
      </c>
      <c r="Q118" s="13">
        <f>IF(A118="","",A118&amp;"|"&amp;P118)</f>
        <v>0</v>
      </c>
      <c r="R118" s="43">
        <f>IF(AND(A118="",C118=""),"",IF(A118="","Add - which product?",IF(C118="","Add - which material?",IF(B118="Not found","Check - no such product ID",IF(D118="Add to Materials","Check - no such material ID",IF(OR(F118="",F118=0),"Add - how much?",IF(L118="","Check - that material has no price","OK")))))))</f>
        <v>0</v>
      </c>
    </row>
    <row r="119" spans="2:18">
      <c r="B119" s="13">
        <f>IF(A119="","",IFERROR(INDEX(Products!$B$5:$B$304,MATCH(A119,Products!$A$5:$A$304,0)),"Not found"))</f>
        <v>0</v>
      </c>
      <c r="D119" s="13">
        <f>IF(C119="","",IFERROR(INDEX(Materials!$B$5:$B$254,MATCH(C119,Materials!$A$5:$A$254,0)),"Add to Materials"))</f>
        <v>0</v>
      </c>
      <c r="E119" s="13">
        <f>IF(C119="","",IFERROR(INDEX(Materials!$H$5:$H$254,MATCH(C119,Materials!$A$5:$A$254,0)),"Add to Materials"))</f>
        <v>0</v>
      </c>
      <c r="J119" s="33">
        <f>IF(C119="","",IF(G119&lt;&gt;"",G119,IFERROR(INDEX(Materials!$W$5:$W$254,MATCH(C119,Materials!$A$5:$A$254,0)),DefaultWaste)))</f>
        <v>0</v>
      </c>
      <c r="K119" s="36">
        <f>IF(C119="","",IF(F119="","",ROUND(F119*(1+J119),4)))</f>
        <v>0</v>
      </c>
      <c r="L119" s="45">
        <f>IF(C119="","",IFERROR(INDEX(Materials!$S$5:$S$254,MATCH(C119,Materials!$A$5:$A$254,0)),""))</f>
        <v>0</v>
      </c>
      <c r="M119" s="45">
        <f>IF(C119="","",IF(OR(K119="",L119=""),"",ROUND(K119*L119,4)))</f>
        <v>0</v>
      </c>
      <c r="N119" s="20">
        <f>IF(A119="","",ROUND(SUMIFS('Material Usage'!$M$5:$M$904,'Material Usage'!$A$5:$A$904,A119),2))</f>
        <v>0</v>
      </c>
      <c r="O119" s="33">
        <f>IF(A119="","",IF(OR(M119="",N119="",N119=0),"",M119/N119))</f>
        <v>0</v>
      </c>
      <c r="P119" s="32">
        <f>IF(A119="","",COUNTIFS($A$5:A119,A119))</f>
        <v>0</v>
      </c>
      <c r="Q119" s="13">
        <f>IF(A119="","",A119&amp;"|"&amp;P119)</f>
        <v>0</v>
      </c>
      <c r="R119" s="43">
        <f>IF(AND(A119="",C119=""),"",IF(A119="","Add - which product?",IF(C119="","Add - which material?",IF(B119="Not found","Check - no such product ID",IF(D119="Add to Materials","Check - no such material ID",IF(OR(F119="",F119=0),"Add - how much?",IF(L119="","Check - that material has no price","OK")))))))</f>
        <v>0</v>
      </c>
    </row>
    <row r="120" spans="2:18">
      <c r="B120" s="13">
        <f>IF(A120="","",IFERROR(INDEX(Products!$B$5:$B$304,MATCH(A120,Products!$A$5:$A$304,0)),"Not found"))</f>
        <v>0</v>
      </c>
      <c r="D120" s="13">
        <f>IF(C120="","",IFERROR(INDEX(Materials!$B$5:$B$254,MATCH(C120,Materials!$A$5:$A$254,0)),"Add to Materials"))</f>
        <v>0</v>
      </c>
      <c r="E120" s="13">
        <f>IF(C120="","",IFERROR(INDEX(Materials!$H$5:$H$254,MATCH(C120,Materials!$A$5:$A$254,0)),"Add to Materials"))</f>
        <v>0</v>
      </c>
      <c r="J120" s="33">
        <f>IF(C120="","",IF(G120&lt;&gt;"",G120,IFERROR(INDEX(Materials!$W$5:$W$254,MATCH(C120,Materials!$A$5:$A$254,0)),DefaultWaste)))</f>
        <v>0</v>
      </c>
      <c r="K120" s="36">
        <f>IF(C120="","",IF(F120="","",ROUND(F120*(1+J120),4)))</f>
        <v>0</v>
      </c>
      <c r="L120" s="45">
        <f>IF(C120="","",IFERROR(INDEX(Materials!$S$5:$S$254,MATCH(C120,Materials!$A$5:$A$254,0)),""))</f>
        <v>0</v>
      </c>
      <c r="M120" s="45">
        <f>IF(C120="","",IF(OR(K120="",L120=""),"",ROUND(K120*L120,4)))</f>
        <v>0</v>
      </c>
      <c r="N120" s="20">
        <f>IF(A120="","",ROUND(SUMIFS('Material Usage'!$M$5:$M$904,'Material Usage'!$A$5:$A$904,A120),2))</f>
        <v>0</v>
      </c>
      <c r="O120" s="33">
        <f>IF(A120="","",IF(OR(M120="",N120="",N120=0),"",M120/N120))</f>
        <v>0</v>
      </c>
      <c r="P120" s="32">
        <f>IF(A120="","",COUNTIFS($A$5:A120,A120))</f>
        <v>0</v>
      </c>
      <c r="Q120" s="13">
        <f>IF(A120="","",A120&amp;"|"&amp;P120)</f>
        <v>0</v>
      </c>
      <c r="R120" s="43">
        <f>IF(AND(A120="",C120=""),"",IF(A120="","Add - which product?",IF(C120="","Add - which material?",IF(B120="Not found","Check - no such product ID",IF(D120="Add to Materials","Check - no such material ID",IF(OR(F120="",F120=0),"Add - how much?",IF(L120="","Check - that material has no price","OK")))))))</f>
        <v>0</v>
      </c>
    </row>
    <row r="121" spans="2:18">
      <c r="B121" s="13">
        <f>IF(A121="","",IFERROR(INDEX(Products!$B$5:$B$304,MATCH(A121,Products!$A$5:$A$304,0)),"Not found"))</f>
        <v>0</v>
      </c>
      <c r="D121" s="13">
        <f>IF(C121="","",IFERROR(INDEX(Materials!$B$5:$B$254,MATCH(C121,Materials!$A$5:$A$254,0)),"Add to Materials"))</f>
        <v>0</v>
      </c>
      <c r="E121" s="13">
        <f>IF(C121="","",IFERROR(INDEX(Materials!$H$5:$H$254,MATCH(C121,Materials!$A$5:$A$254,0)),"Add to Materials"))</f>
        <v>0</v>
      </c>
      <c r="J121" s="33">
        <f>IF(C121="","",IF(G121&lt;&gt;"",G121,IFERROR(INDEX(Materials!$W$5:$W$254,MATCH(C121,Materials!$A$5:$A$254,0)),DefaultWaste)))</f>
        <v>0</v>
      </c>
      <c r="K121" s="36">
        <f>IF(C121="","",IF(F121="","",ROUND(F121*(1+J121),4)))</f>
        <v>0</v>
      </c>
      <c r="L121" s="45">
        <f>IF(C121="","",IFERROR(INDEX(Materials!$S$5:$S$254,MATCH(C121,Materials!$A$5:$A$254,0)),""))</f>
        <v>0</v>
      </c>
      <c r="M121" s="45">
        <f>IF(C121="","",IF(OR(K121="",L121=""),"",ROUND(K121*L121,4)))</f>
        <v>0</v>
      </c>
      <c r="N121" s="20">
        <f>IF(A121="","",ROUND(SUMIFS('Material Usage'!$M$5:$M$904,'Material Usage'!$A$5:$A$904,A121),2))</f>
        <v>0</v>
      </c>
      <c r="O121" s="33">
        <f>IF(A121="","",IF(OR(M121="",N121="",N121=0),"",M121/N121))</f>
        <v>0</v>
      </c>
      <c r="P121" s="32">
        <f>IF(A121="","",COUNTIFS($A$5:A121,A121))</f>
        <v>0</v>
      </c>
      <c r="Q121" s="13">
        <f>IF(A121="","",A121&amp;"|"&amp;P121)</f>
        <v>0</v>
      </c>
      <c r="R121" s="43">
        <f>IF(AND(A121="",C121=""),"",IF(A121="","Add - which product?",IF(C121="","Add - which material?",IF(B121="Not found","Check - no such product ID",IF(D121="Add to Materials","Check - no such material ID",IF(OR(F121="",F121=0),"Add - how much?",IF(L121="","Check - that material has no price","OK")))))))</f>
        <v>0</v>
      </c>
    </row>
    <row r="122" spans="2:18">
      <c r="B122" s="13">
        <f>IF(A122="","",IFERROR(INDEX(Products!$B$5:$B$304,MATCH(A122,Products!$A$5:$A$304,0)),"Not found"))</f>
        <v>0</v>
      </c>
      <c r="D122" s="13">
        <f>IF(C122="","",IFERROR(INDEX(Materials!$B$5:$B$254,MATCH(C122,Materials!$A$5:$A$254,0)),"Add to Materials"))</f>
        <v>0</v>
      </c>
      <c r="E122" s="13">
        <f>IF(C122="","",IFERROR(INDEX(Materials!$H$5:$H$254,MATCH(C122,Materials!$A$5:$A$254,0)),"Add to Materials"))</f>
        <v>0</v>
      </c>
      <c r="J122" s="33">
        <f>IF(C122="","",IF(G122&lt;&gt;"",G122,IFERROR(INDEX(Materials!$W$5:$W$254,MATCH(C122,Materials!$A$5:$A$254,0)),DefaultWaste)))</f>
        <v>0</v>
      </c>
      <c r="K122" s="36">
        <f>IF(C122="","",IF(F122="","",ROUND(F122*(1+J122),4)))</f>
        <v>0</v>
      </c>
      <c r="L122" s="45">
        <f>IF(C122="","",IFERROR(INDEX(Materials!$S$5:$S$254,MATCH(C122,Materials!$A$5:$A$254,0)),""))</f>
        <v>0</v>
      </c>
      <c r="M122" s="45">
        <f>IF(C122="","",IF(OR(K122="",L122=""),"",ROUND(K122*L122,4)))</f>
        <v>0</v>
      </c>
      <c r="N122" s="20">
        <f>IF(A122="","",ROUND(SUMIFS('Material Usage'!$M$5:$M$904,'Material Usage'!$A$5:$A$904,A122),2))</f>
        <v>0</v>
      </c>
      <c r="O122" s="33">
        <f>IF(A122="","",IF(OR(M122="",N122="",N122=0),"",M122/N122))</f>
        <v>0</v>
      </c>
      <c r="P122" s="32">
        <f>IF(A122="","",COUNTIFS($A$5:A122,A122))</f>
        <v>0</v>
      </c>
      <c r="Q122" s="13">
        <f>IF(A122="","",A122&amp;"|"&amp;P122)</f>
        <v>0</v>
      </c>
      <c r="R122" s="43">
        <f>IF(AND(A122="",C122=""),"",IF(A122="","Add - which product?",IF(C122="","Add - which material?",IF(B122="Not found","Check - no such product ID",IF(D122="Add to Materials","Check - no such material ID",IF(OR(F122="",F122=0),"Add - how much?",IF(L122="","Check - that material has no price","OK")))))))</f>
        <v>0</v>
      </c>
    </row>
    <row r="123" spans="2:18">
      <c r="B123" s="13">
        <f>IF(A123="","",IFERROR(INDEX(Products!$B$5:$B$304,MATCH(A123,Products!$A$5:$A$304,0)),"Not found"))</f>
        <v>0</v>
      </c>
      <c r="D123" s="13">
        <f>IF(C123="","",IFERROR(INDEX(Materials!$B$5:$B$254,MATCH(C123,Materials!$A$5:$A$254,0)),"Add to Materials"))</f>
        <v>0</v>
      </c>
      <c r="E123" s="13">
        <f>IF(C123="","",IFERROR(INDEX(Materials!$H$5:$H$254,MATCH(C123,Materials!$A$5:$A$254,0)),"Add to Materials"))</f>
        <v>0</v>
      </c>
      <c r="J123" s="33">
        <f>IF(C123="","",IF(G123&lt;&gt;"",G123,IFERROR(INDEX(Materials!$W$5:$W$254,MATCH(C123,Materials!$A$5:$A$254,0)),DefaultWaste)))</f>
        <v>0</v>
      </c>
      <c r="K123" s="36">
        <f>IF(C123="","",IF(F123="","",ROUND(F123*(1+J123),4)))</f>
        <v>0</v>
      </c>
      <c r="L123" s="45">
        <f>IF(C123="","",IFERROR(INDEX(Materials!$S$5:$S$254,MATCH(C123,Materials!$A$5:$A$254,0)),""))</f>
        <v>0</v>
      </c>
      <c r="M123" s="45">
        <f>IF(C123="","",IF(OR(K123="",L123=""),"",ROUND(K123*L123,4)))</f>
        <v>0</v>
      </c>
      <c r="N123" s="20">
        <f>IF(A123="","",ROUND(SUMIFS('Material Usage'!$M$5:$M$904,'Material Usage'!$A$5:$A$904,A123),2))</f>
        <v>0</v>
      </c>
      <c r="O123" s="33">
        <f>IF(A123="","",IF(OR(M123="",N123="",N123=0),"",M123/N123))</f>
        <v>0</v>
      </c>
      <c r="P123" s="32">
        <f>IF(A123="","",COUNTIFS($A$5:A123,A123))</f>
        <v>0</v>
      </c>
      <c r="Q123" s="13">
        <f>IF(A123="","",A123&amp;"|"&amp;P123)</f>
        <v>0</v>
      </c>
      <c r="R123" s="43">
        <f>IF(AND(A123="",C123=""),"",IF(A123="","Add - which product?",IF(C123="","Add - which material?",IF(B123="Not found","Check - no such product ID",IF(D123="Add to Materials","Check - no such material ID",IF(OR(F123="",F123=0),"Add - how much?",IF(L123="","Check - that material has no price","OK")))))))</f>
        <v>0</v>
      </c>
    </row>
    <row r="124" spans="2:18">
      <c r="B124" s="13">
        <f>IF(A124="","",IFERROR(INDEX(Products!$B$5:$B$304,MATCH(A124,Products!$A$5:$A$304,0)),"Not found"))</f>
        <v>0</v>
      </c>
      <c r="D124" s="13">
        <f>IF(C124="","",IFERROR(INDEX(Materials!$B$5:$B$254,MATCH(C124,Materials!$A$5:$A$254,0)),"Add to Materials"))</f>
        <v>0</v>
      </c>
      <c r="E124" s="13">
        <f>IF(C124="","",IFERROR(INDEX(Materials!$H$5:$H$254,MATCH(C124,Materials!$A$5:$A$254,0)),"Add to Materials"))</f>
        <v>0</v>
      </c>
      <c r="J124" s="33">
        <f>IF(C124="","",IF(G124&lt;&gt;"",G124,IFERROR(INDEX(Materials!$W$5:$W$254,MATCH(C124,Materials!$A$5:$A$254,0)),DefaultWaste)))</f>
        <v>0</v>
      </c>
      <c r="K124" s="36">
        <f>IF(C124="","",IF(F124="","",ROUND(F124*(1+J124),4)))</f>
        <v>0</v>
      </c>
      <c r="L124" s="45">
        <f>IF(C124="","",IFERROR(INDEX(Materials!$S$5:$S$254,MATCH(C124,Materials!$A$5:$A$254,0)),""))</f>
        <v>0</v>
      </c>
      <c r="M124" s="45">
        <f>IF(C124="","",IF(OR(K124="",L124=""),"",ROUND(K124*L124,4)))</f>
        <v>0</v>
      </c>
      <c r="N124" s="20">
        <f>IF(A124="","",ROUND(SUMIFS('Material Usage'!$M$5:$M$904,'Material Usage'!$A$5:$A$904,A124),2))</f>
        <v>0</v>
      </c>
      <c r="O124" s="33">
        <f>IF(A124="","",IF(OR(M124="",N124="",N124=0),"",M124/N124))</f>
        <v>0</v>
      </c>
      <c r="P124" s="32">
        <f>IF(A124="","",COUNTIFS($A$5:A124,A124))</f>
        <v>0</v>
      </c>
      <c r="Q124" s="13">
        <f>IF(A124="","",A124&amp;"|"&amp;P124)</f>
        <v>0</v>
      </c>
      <c r="R124" s="43">
        <f>IF(AND(A124="",C124=""),"",IF(A124="","Add - which product?",IF(C124="","Add - which material?",IF(B124="Not found","Check - no such product ID",IF(D124="Add to Materials","Check - no such material ID",IF(OR(F124="",F124=0),"Add - how much?",IF(L124="","Check - that material has no price","OK")))))))</f>
        <v>0</v>
      </c>
    </row>
    <row r="125" spans="2:18">
      <c r="B125" s="13">
        <f>IF(A125="","",IFERROR(INDEX(Products!$B$5:$B$304,MATCH(A125,Products!$A$5:$A$304,0)),"Not found"))</f>
        <v>0</v>
      </c>
      <c r="D125" s="13">
        <f>IF(C125="","",IFERROR(INDEX(Materials!$B$5:$B$254,MATCH(C125,Materials!$A$5:$A$254,0)),"Add to Materials"))</f>
        <v>0</v>
      </c>
      <c r="E125" s="13">
        <f>IF(C125="","",IFERROR(INDEX(Materials!$H$5:$H$254,MATCH(C125,Materials!$A$5:$A$254,0)),"Add to Materials"))</f>
        <v>0</v>
      </c>
      <c r="J125" s="33">
        <f>IF(C125="","",IF(G125&lt;&gt;"",G125,IFERROR(INDEX(Materials!$W$5:$W$254,MATCH(C125,Materials!$A$5:$A$254,0)),DefaultWaste)))</f>
        <v>0</v>
      </c>
      <c r="K125" s="36">
        <f>IF(C125="","",IF(F125="","",ROUND(F125*(1+J125),4)))</f>
        <v>0</v>
      </c>
      <c r="L125" s="45">
        <f>IF(C125="","",IFERROR(INDEX(Materials!$S$5:$S$254,MATCH(C125,Materials!$A$5:$A$254,0)),""))</f>
        <v>0</v>
      </c>
      <c r="M125" s="45">
        <f>IF(C125="","",IF(OR(K125="",L125=""),"",ROUND(K125*L125,4)))</f>
        <v>0</v>
      </c>
      <c r="N125" s="20">
        <f>IF(A125="","",ROUND(SUMIFS('Material Usage'!$M$5:$M$904,'Material Usage'!$A$5:$A$904,A125),2))</f>
        <v>0</v>
      </c>
      <c r="O125" s="33">
        <f>IF(A125="","",IF(OR(M125="",N125="",N125=0),"",M125/N125))</f>
        <v>0</v>
      </c>
      <c r="P125" s="32">
        <f>IF(A125="","",COUNTIFS($A$5:A125,A125))</f>
        <v>0</v>
      </c>
      <c r="Q125" s="13">
        <f>IF(A125="","",A125&amp;"|"&amp;P125)</f>
        <v>0</v>
      </c>
      <c r="R125" s="43">
        <f>IF(AND(A125="",C125=""),"",IF(A125="","Add - which product?",IF(C125="","Add - which material?",IF(B125="Not found","Check - no such product ID",IF(D125="Add to Materials","Check - no such material ID",IF(OR(F125="",F125=0),"Add - how much?",IF(L125="","Check - that material has no price","OK")))))))</f>
        <v>0</v>
      </c>
    </row>
    <row r="126" spans="2:18">
      <c r="B126" s="13">
        <f>IF(A126="","",IFERROR(INDEX(Products!$B$5:$B$304,MATCH(A126,Products!$A$5:$A$304,0)),"Not found"))</f>
        <v>0</v>
      </c>
      <c r="D126" s="13">
        <f>IF(C126="","",IFERROR(INDEX(Materials!$B$5:$B$254,MATCH(C126,Materials!$A$5:$A$254,0)),"Add to Materials"))</f>
        <v>0</v>
      </c>
      <c r="E126" s="13">
        <f>IF(C126="","",IFERROR(INDEX(Materials!$H$5:$H$254,MATCH(C126,Materials!$A$5:$A$254,0)),"Add to Materials"))</f>
        <v>0</v>
      </c>
      <c r="J126" s="33">
        <f>IF(C126="","",IF(G126&lt;&gt;"",G126,IFERROR(INDEX(Materials!$W$5:$W$254,MATCH(C126,Materials!$A$5:$A$254,0)),DefaultWaste)))</f>
        <v>0</v>
      </c>
      <c r="K126" s="36">
        <f>IF(C126="","",IF(F126="","",ROUND(F126*(1+J126),4)))</f>
        <v>0</v>
      </c>
      <c r="L126" s="45">
        <f>IF(C126="","",IFERROR(INDEX(Materials!$S$5:$S$254,MATCH(C126,Materials!$A$5:$A$254,0)),""))</f>
        <v>0</v>
      </c>
      <c r="M126" s="45">
        <f>IF(C126="","",IF(OR(K126="",L126=""),"",ROUND(K126*L126,4)))</f>
        <v>0</v>
      </c>
      <c r="N126" s="20">
        <f>IF(A126="","",ROUND(SUMIFS('Material Usage'!$M$5:$M$904,'Material Usage'!$A$5:$A$904,A126),2))</f>
        <v>0</v>
      </c>
      <c r="O126" s="33">
        <f>IF(A126="","",IF(OR(M126="",N126="",N126=0),"",M126/N126))</f>
        <v>0</v>
      </c>
      <c r="P126" s="32">
        <f>IF(A126="","",COUNTIFS($A$5:A126,A126))</f>
        <v>0</v>
      </c>
      <c r="Q126" s="13">
        <f>IF(A126="","",A126&amp;"|"&amp;P126)</f>
        <v>0</v>
      </c>
      <c r="R126" s="43">
        <f>IF(AND(A126="",C126=""),"",IF(A126="","Add - which product?",IF(C126="","Add - which material?",IF(B126="Not found","Check - no such product ID",IF(D126="Add to Materials","Check - no such material ID",IF(OR(F126="",F126=0),"Add - how much?",IF(L126="","Check - that material has no price","OK")))))))</f>
        <v>0</v>
      </c>
    </row>
    <row r="127" spans="2:18">
      <c r="B127" s="13">
        <f>IF(A127="","",IFERROR(INDEX(Products!$B$5:$B$304,MATCH(A127,Products!$A$5:$A$304,0)),"Not found"))</f>
        <v>0</v>
      </c>
      <c r="D127" s="13">
        <f>IF(C127="","",IFERROR(INDEX(Materials!$B$5:$B$254,MATCH(C127,Materials!$A$5:$A$254,0)),"Add to Materials"))</f>
        <v>0</v>
      </c>
      <c r="E127" s="13">
        <f>IF(C127="","",IFERROR(INDEX(Materials!$H$5:$H$254,MATCH(C127,Materials!$A$5:$A$254,0)),"Add to Materials"))</f>
        <v>0</v>
      </c>
      <c r="J127" s="33">
        <f>IF(C127="","",IF(G127&lt;&gt;"",G127,IFERROR(INDEX(Materials!$W$5:$W$254,MATCH(C127,Materials!$A$5:$A$254,0)),DefaultWaste)))</f>
        <v>0</v>
      </c>
      <c r="K127" s="36">
        <f>IF(C127="","",IF(F127="","",ROUND(F127*(1+J127),4)))</f>
        <v>0</v>
      </c>
      <c r="L127" s="45">
        <f>IF(C127="","",IFERROR(INDEX(Materials!$S$5:$S$254,MATCH(C127,Materials!$A$5:$A$254,0)),""))</f>
        <v>0</v>
      </c>
      <c r="M127" s="45">
        <f>IF(C127="","",IF(OR(K127="",L127=""),"",ROUND(K127*L127,4)))</f>
        <v>0</v>
      </c>
      <c r="N127" s="20">
        <f>IF(A127="","",ROUND(SUMIFS('Material Usage'!$M$5:$M$904,'Material Usage'!$A$5:$A$904,A127),2))</f>
        <v>0</v>
      </c>
      <c r="O127" s="33">
        <f>IF(A127="","",IF(OR(M127="",N127="",N127=0),"",M127/N127))</f>
        <v>0</v>
      </c>
      <c r="P127" s="32">
        <f>IF(A127="","",COUNTIFS($A$5:A127,A127))</f>
        <v>0</v>
      </c>
      <c r="Q127" s="13">
        <f>IF(A127="","",A127&amp;"|"&amp;P127)</f>
        <v>0</v>
      </c>
      <c r="R127" s="43">
        <f>IF(AND(A127="",C127=""),"",IF(A127="","Add - which product?",IF(C127="","Add - which material?",IF(B127="Not found","Check - no such product ID",IF(D127="Add to Materials","Check - no such material ID",IF(OR(F127="",F127=0),"Add - how much?",IF(L127="","Check - that material has no price","OK")))))))</f>
        <v>0</v>
      </c>
    </row>
    <row r="128" spans="2:18">
      <c r="B128" s="13">
        <f>IF(A128="","",IFERROR(INDEX(Products!$B$5:$B$304,MATCH(A128,Products!$A$5:$A$304,0)),"Not found"))</f>
        <v>0</v>
      </c>
      <c r="D128" s="13">
        <f>IF(C128="","",IFERROR(INDEX(Materials!$B$5:$B$254,MATCH(C128,Materials!$A$5:$A$254,0)),"Add to Materials"))</f>
        <v>0</v>
      </c>
      <c r="E128" s="13">
        <f>IF(C128="","",IFERROR(INDEX(Materials!$H$5:$H$254,MATCH(C128,Materials!$A$5:$A$254,0)),"Add to Materials"))</f>
        <v>0</v>
      </c>
      <c r="J128" s="33">
        <f>IF(C128="","",IF(G128&lt;&gt;"",G128,IFERROR(INDEX(Materials!$W$5:$W$254,MATCH(C128,Materials!$A$5:$A$254,0)),DefaultWaste)))</f>
        <v>0</v>
      </c>
      <c r="K128" s="36">
        <f>IF(C128="","",IF(F128="","",ROUND(F128*(1+J128),4)))</f>
        <v>0</v>
      </c>
      <c r="L128" s="45">
        <f>IF(C128="","",IFERROR(INDEX(Materials!$S$5:$S$254,MATCH(C128,Materials!$A$5:$A$254,0)),""))</f>
        <v>0</v>
      </c>
      <c r="M128" s="45">
        <f>IF(C128="","",IF(OR(K128="",L128=""),"",ROUND(K128*L128,4)))</f>
        <v>0</v>
      </c>
      <c r="N128" s="20">
        <f>IF(A128="","",ROUND(SUMIFS('Material Usage'!$M$5:$M$904,'Material Usage'!$A$5:$A$904,A128),2))</f>
        <v>0</v>
      </c>
      <c r="O128" s="33">
        <f>IF(A128="","",IF(OR(M128="",N128="",N128=0),"",M128/N128))</f>
        <v>0</v>
      </c>
      <c r="P128" s="32">
        <f>IF(A128="","",COUNTIFS($A$5:A128,A128))</f>
        <v>0</v>
      </c>
      <c r="Q128" s="13">
        <f>IF(A128="","",A128&amp;"|"&amp;P128)</f>
        <v>0</v>
      </c>
      <c r="R128" s="43">
        <f>IF(AND(A128="",C128=""),"",IF(A128="","Add - which product?",IF(C128="","Add - which material?",IF(B128="Not found","Check - no such product ID",IF(D128="Add to Materials","Check - no such material ID",IF(OR(F128="",F128=0),"Add - how much?",IF(L128="","Check - that material has no price","OK")))))))</f>
        <v>0</v>
      </c>
    </row>
    <row r="129" spans="2:18">
      <c r="B129" s="13">
        <f>IF(A129="","",IFERROR(INDEX(Products!$B$5:$B$304,MATCH(A129,Products!$A$5:$A$304,0)),"Not found"))</f>
        <v>0</v>
      </c>
      <c r="D129" s="13">
        <f>IF(C129="","",IFERROR(INDEX(Materials!$B$5:$B$254,MATCH(C129,Materials!$A$5:$A$254,0)),"Add to Materials"))</f>
        <v>0</v>
      </c>
      <c r="E129" s="13">
        <f>IF(C129="","",IFERROR(INDEX(Materials!$H$5:$H$254,MATCH(C129,Materials!$A$5:$A$254,0)),"Add to Materials"))</f>
        <v>0</v>
      </c>
      <c r="J129" s="33">
        <f>IF(C129="","",IF(G129&lt;&gt;"",G129,IFERROR(INDEX(Materials!$W$5:$W$254,MATCH(C129,Materials!$A$5:$A$254,0)),DefaultWaste)))</f>
        <v>0</v>
      </c>
      <c r="K129" s="36">
        <f>IF(C129="","",IF(F129="","",ROUND(F129*(1+J129),4)))</f>
        <v>0</v>
      </c>
      <c r="L129" s="45">
        <f>IF(C129="","",IFERROR(INDEX(Materials!$S$5:$S$254,MATCH(C129,Materials!$A$5:$A$254,0)),""))</f>
        <v>0</v>
      </c>
      <c r="M129" s="45">
        <f>IF(C129="","",IF(OR(K129="",L129=""),"",ROUND(K129*L129,4)))</f>
        <v>0</v>
      </c>
      <c r="N129" s="20">
        <f>IF(A129="","",ROUND(SUMIFS('Material Usage'!$M$5:$M$904,'Material Usage'!$A$5:$A$904,A129),2))</f>
        <v>0</v>
      </c>
      <c r="O129" s="33">
        <f>IF(A129="","",IF(OR(M129="",N129="",N129=0),"",M129/N129))</f>
        <v>0</v>
      </c>
      <c r="P129" s="32">
        <f>IF(A129="","",COUNTIFS($A$5:A129,A129))</f>
        <v>0</v>
      </c>
      <c r="Q129" s="13">
        <f>IF(A129="","",A129&amp;"|"&amp;P129)</f>
        <v>0</v>
      </c>
      <c r="R129" s="43">
        <f>IF(AND(A129="",C129=""),"",IF(A129="","Add - which product?",IF(C129="","Add - which material?",IF(B129="Not found","Check - no such product ID",IF(D129="Add to Materials","Check - no such material ID",IF(OR(F129="",F129=0),"Add - how much?",IF(L129="","Check - that material has no price","OK")))))))</f>
        <v>0</v>
      </c>
    </row>
    <row r="130" spans="2:18">
      <c r="B130" s="13">
        <f>IF(A130="","",IFERROR(INDEX(Products!$B$5:$B$304,MATCH(A130,Products!$A$5:$A$304,0)),"Not found"))</f>
        <v>0</v>
      </c>
      <c r="D130" s="13">
        <f>IF(C130="","",IFERROR(INDEX(Materials!$B$5:$B$254,MATCH(C130,Materials!$A$5:$A$254,0)),"Add to Materials"))</f>
        <v>0</v>
      </c>
      <c r="E130" s="13">
        <f>IF(C130="","",IFERROR(INDEX(Materials!$H$5:$H$254,MATCH(C130,Materials!$A$5:$A$254,0)),"Add to Materials"))</f>
        <v>0</v>
      </c>
      <c r="J130" s="33">
        <f>IF(C130="","",IF(G130&lt;&gt;"",G130,IFERROR(INDEX(Materials!$W$5:$W$254,MATCH(C130,Materials!$A$5:$A$254,0)),DefaultWaste)))</f>
        <v>0</v>
      </c>
      <c r="K130" s="36">
        <f>IF(C130="","",IF(F130="","",ROUND(F130*(1+J130),4)))</f>
        <v>0</v>
      </c>
      <c r="L130" s="45">
        <f>IF(C130="","",IFERROR(INDEX(Materials!$S$5:$S$254,MATCH(C130,Materials!$A$5:$A$254,0)),""))</f>
        <v>0</v>
      </c>
      <c r="M130" s="45">
        <f>IF(C130="","",IF(OR(K130="",L130=""),"",ROUND(K130*L130,4)))</f>
        <v>0</v>
      </c>
      <c r="N130" s="20">
        <f>IF(A130="","",ROUND(SUMIFS('Material Usage'!$M$5:$M$904,'Material Usage'!$A$5:$A$904,A130),2))</f>
        <v>0</v>
      </c>
      <c r="O130" s="33">
        <f>IF(A130="","",IF(OR(M130="",N130="",N130=0),"",M130/N130))</f>
        <v>0</v>
      </c>
      <c r="P130" s="32">
        <f>IF(A130="","",COUNTIFS($A$5:A130,A130))</f>
        <v>0</v>
      </c>
      <c r="Q130" s="13">
        <f>IF(A130="","",A130&amp;"|"&amp;P130)</f>
        <v>0</v>
      </c>
      <c r="R130" s="43">
        <f>IF(AND(A130="",C130=""),"",IF(A130="","Add - which product?",IF(C130="","Add - which material?",IF(B130="Not found","Check - no such product ID",IF(D130="Add to Materials","Check - no such material ID",IF(OR(F130="",F130=0),"Add - how much?",IF(L130="","Check - that material has no price","OK")))))))</f>
        <v>0</v>
      </c>
    </row>
    <row r="131" spans="2:18">
      <c r="B131" s="13">
        <f>IF(A131="","",IFERROR(INDEX(Products!$B$5:$B$304,MATCH(A131,Products!$A$5:$A$304,0)),"Not found"))</f>
        <v>0</v>
      </c>
      <c r="D131" s="13">
        <f>IF(C131="","",IFERROR(INDEX(Materials!$B$5:$B$254,MATCH(C131,Materials!$A$5:$A$254,0)),"Add to Materials"))</f>
        <v>0</v>
      </c>
      <c r="E131" s="13">
        <f>IF(C131="","",IFERROR(INDEX(Materials!$H$5:$H$254,MATCH(C131,Materials!$A$5:$A$254,0)),"Add to Materials"))</f>
        <v>0</v>
      </c>
      <c r="J131" s="33">
        <f>IF(C131="","",IF(G131&lt;&gt;"",G131,IFERROR(INDEX(Materials!$W$5:$W$254,MATCH(C131,Materials!$A$5:$A$254,0)),DefaultWaste)))</f>
        <v>0</v>
      </c>
      <c r="K131" s="36">
        <f>IF(C131="","",IF(F131="","",ROUND(F131*(1+J131),4)))</f>
        <v>0</v>
      </c>
      <c r="L131" s="45">
        <f>IF(C131="","",IFERROR(INDEX(Materials!$S$5:$S$254,MATCH(C131,Materials!$A$5:$A$254,0)),""))</f>
        <v>0</v>
      </c>
      <c r="M131" s="45">
        <f>IF(C131="","",IF(OR(K131="",L131=""),"",ROUND(K131*L131,4)))</f>
        <v>0</v>
      </c>
      <c r="N131" s="20">
        <f>IF(A131="","",ROUND(SUMIFS('Material Usage'!$M$5:$M$904,'Material Usage'!$A$5:$A$904,A131),2))</f>
        <v>0</v>
      </c>
      <c r="O131" s="33">
        <f>IF(A131="","",IF(OR(M131="",N131="",N131=0),"",M131/N131))</f>
        <v>0</v>
      </c>
      <c r="P131" s="32">
        <f>IF(A131="","",COUNTIFS($A$5:A131,A131))</f>
        <v>0</v>
      </c>
      <c r="Q131" s="13">
        <f>IF(A131="","",A131&amp;"|"&amp;P131)</f>
        <v>0</v>
      </c>
      <c r="R131" s="43">
        <f>IF(AND(A131="",C131=""),"",IF(A131="","Add - which product?",IF(C131="","Add - which material?",IF(B131="Not found","Check - no such product ID",IF(D131="Add to Materials","Check - no such material ID",IF(OR(F131="",F131=0),"Add - how much?",IF(L131="","Check - that material has no price","OK")))))))</f>
        <v>0</v>
      </c>
    </row>
    <row r="132" spans="2:18">
      <c r="B132" s="13">
        <f>IF(A132="","",IFERROR(INDEX(Products!$B$5:$B$304,MATCH(A132,Products!$A$5:$A$304,0)),"Not found"))</f>
        <v>0</v>
      </c>
      <c r="D132" s="13">
        <f>IF(C132="","",IFERROR(INDEX(Materials!$B$5:$B$254,MATCH(C132,Materials!$A$5:$A$254,0)),"Add to Materials"))</f>
        <v>0</v>
      </c>
      <c r="E132" s="13">
        <f>IF(C132="","",IFERROR(INDEX(Materials!$H$5:$H$254,MATCH(C132,Materials!$A$5:$A$254,0)),"Add to Materials"))</f>
        <v>0</v>
      </c>
      <c r="J132" s="33">
        <f>IF(C132="","",IF(G132&lt;&gt;"",G132,IFERROR(INDEX(Materials!$W$5:$W$254,MATCH(C132,Materials!$A$5:$A$254,0)),DefaultWaste)))</f>
        <v>0</v>
      </c>
      <c r="K132" s="36">
        <f>IF(C132="","",IF(F132="","",ROUND(F132*(1+J132),4)))</f>
        <v>0</v>
      </c>
      <c r="L132" s="45">
        <f>IF(C132="","",IFERROR(INDEX(Materials!$S$5:$S$254,MATCH(C132,Materials!$A$5:$A$254,0)),""))</f>
        <v>0</v>
      </c>
      <c r="M132" s="45">
        <f>IF(C132="","",IF(OR(K132="",L132=""),"",ROUND(K132*L132,4)))</f>
        <v>0</v>
      </c>
      <c r="N132" s="20">
        <f>IF(A132="","",ROUND(SUMIFS('Material Usage'!$M$5:$M$904,'Material Usage'!$A$5:$A$904,A132),2))</f>
        <v>0</v>
      </c>
      <c r="O132" s="33">
        <f>IF(A132="","",IF(OR(M132="",N132="",N132=0),"",M132/N132))</f>
        <v>0</v>
      </c>
      <c r="P132" s="32">
        <f>IF(A132="","",COUNTIFS($A$5:A132,A132))</f>
        <v>0</v>
      </c>
      <c r="Q132" s="13">
        <f>IF(A132="","",A132&amp;"|"&amp;P132)</f>
        <v>0</v>
      </c>
      <c r="R132" s="43">
        <f>IF(AND(A132="",C132=""),"",IF(A132="","Add - which product?",IF(C132="","Add - which material?",IF(B132="Not found","Check - no such product ID",IF(D132="Add to Materials","Check - no such material ID",IF(OR(F132="",F132=0),"Add - how much?",IF(L132="","Check - that material has no price","OK")))))))</f>
        <v>0</v>
      </c>
    </row>
    <row r="133" spans="2:18">
      <c r="B133" s="13">
        <f>IF(A133="","",IFERROR(INDEX(Products!$B$5:$B$304,MATCH(A133,Products!$A$5:$A$304,0)),"Not found"))</f>
        <v>0</v>
      </c>
      <c r="D133" s="13">
        <f>IF(C133="","",IFERROR(INDEX(Materials!$B$5:$B$254,MATCH(C133,Materials!$A$5:$A$254,0)),"Add to Materials"))</f>
        <v>0</v>
      </c>
      <c r="E133" s="13">
        <f>IF(C133="","",IFERROR(INDEX(Materials!$H$5:$H$254,MATCH(C133,Materials!$A$5:$A$254,0)),"Add to Materials"))</f>
        <v>0</v>
      </c>
      <c r="J133" s="33">
        <f>IF(C133="","",IF(G133&lt;&gt;"",G133,IFERROR(INDEX(Materials!$W$5:$W$254,MATCH(C133,Materials!$A$5:$A$254,0)),DefaultWaste)))</f>
        <v>0</v>
      </c>
      <c r="K133" s="36">
        <f>IF(C133="","",IF(F133="","",ROUND(F133*(1+J133),4)))</f>
        <v>0</v>
      </c>
      <c r="L133" s="45">
        <f>IF(C133="","",IFERROR(INDEX(Materials!$S$5:$S$254,MATCH(C133,Materials!$A$5:$A$254,0)),""))</f>
        <v>0</v>
      </c>
      <c r="M133" s="45">
        <f>IF(C133="","",IF(OR(K133="",L133=""),"",ROUND(K133*L133,4)))</f>
        <v>0</v>
      </c>
      <c r="N133" s="20">
        <f>IF(A133="","",ROUND(SUMIFS('Material Usage'!$M$5:$M$904,'Material Usage'!$A$5:$A$904,A133),2))</f>
        <v>0</v>
      </c>
      <c r="O133" s="33">
        <f>IF(A133="","",IF(OR(M133="",N133="",N133=0),"",M133/N133))</f>
        <v>0</v>
      </c>
      <c r="P133" s="32">
        <f>IF(A133="","",COUNTIFS($A$5:A133,A133))</f>
        <v>0</v>
      </c>
      <c r="Q133" s="13">
        <f>IF(A133="","",A133&amp;"|"&amp;P133)</f>
        <v>0</v>
      </c>
      <c r="R133" s="43">
        <f>IF(AND(A133="",C133=""),"",IF(A133="","Add - which product?",IF(C133="","Add - which material?",IF(B133="Not found","Check - no such product ID",IF(D133="Add to Materials","Check - no such material ID",IF(OR(F133="",F133=0),"Add - how much?",IF(L133="","Check - that material has no price","OK")))))))</f>
        <v>0</v>
      </c>
    </row>
    <row r="134" spans="2:18">
      <c r="B134" s="13">
        <f>IF(A134="","",IFERROR(INDEX(Products!$B$5:$B$304,MATCH(A134,Products!$A$5:$A$304,0)),"Not found"))</f>
        <v>0</v>
      </c>
      <c r="D134" s="13">
        <f>IF(C134="","",IFERROR(INDEX(Materials!$B$5:$B$254,MATCH(C134,Materials!$A$5:$A$254,0)),"Add to Materials"))</f>
        <v>0</v>
      </c>
      <c r="E134" s="13">
        <f>IF(C134="","",IFERROR(INDEX(Materials!$H$5:$H$254,MATCH(C134,Materials!$A$5:$A$254,0)),"Add to Materials"))</f>
        <v>0</v>
      </c>
      <c r="J134" s="33">
        <f>IF(C134="","",IF(G134&lt;&gt;"",G134,IFERROR(INDEX(Materials!$W$5:$W$254,MATCH(C134,Materials!$A$5:$A$254,0)),DefaultWaste)))</f>
        <v>0</v>
      </c>
      <c r="K134" s="36">
        <f>IF(C134="","",IF(F134="","",ROUND(F134*(1+J134),4)))</f>
        <v>0</v>
      </c>
      <c r="L134" s="45">
        <f>IF(C134="","",IFERROR(INDEX(Materials!$S$5:$S$254,MATCH(C134,Materials!$A$5:$A$254,0)),""))</f>
        <v>0</v>
      </c>
      <c r="M134" s="45">
        <f>IF(C134="","",IF(OR(K134="",L134=""),"",ROUND(K134*L134,4)))</f>
        <v>0</v>
      </c>
      <c r="N134" s="20">
        <f>IF(A134="","",ROUND(SUMIFS('Material Usage'!$M$5:$M$904,'Material Usage'!$A$5:$A$904,A134),2))</f>
        <v>0</v>
      </c>
      <c r="O134" s="33">
        <f>IF(A134="","",IF(OR(M134="",N134="",N134=0),"",M134/N134))</f>
        <v>0</v>
      </c>
      <c r="P134" s="32">
        <f>IF(A134="","",COUNTIFS($A$5:A134,A134))</f>
        <v>0</v>
      </c>
      <c r="Q134" s="13">
        <f>IF(A134="","",A134&amp;"|"&amp;P134)</f>
        <v>0</v>
      </c>
      <c r="R134" s="43">
        <f>IF(AND(A134="",C134=""),"",IF(A134="","Add - which product?",IF(C134="","Add - which material?",IF(B134="Not found","Check - no such product ID",IF(D134="Add to Materials","Check - no such material ID",IF(OR(F134="",F134=0),"Add - how much?",IF(L134="","Check - that material has no price","OK")))))))</f>
        <v>0</v>
      </c>
    </row>
    <row r="135" spans="2:18">
      <c r="B135" s="13">
        <f>IF(A135="","",IFERROR(INDEX(Products!$B$5:$B$304,MATCH(A135,Products!$A$5:$A$304,0)),"Not found"))</f>
        <v>0</v>
      </c>
      <c r="D135" s="13">
        <f>IF(C135="","",IFERROR(INDEX(Materials!$B$5:$B$254,MATCH(C135,Materials!$A$5:$A$254,0)),"Add to Materials"))</f>
        <v>0</v>
      </c>
      <c r="E135" s="13">
        <f>IF(C135="","",IFERROR(INDEX(Materials!$H$5:$H$254,MATCH(C135,Materials!$A$5:$A$254,0)),"Add to Materials"))</f>
        <v>0</v>
      </c>
      <c r="J135" s="33">
        <f>IF(C135="","",IF(G135&lt;&gt;"",G135,IFERROR(INDEX(Materials!$W$5:$W$254,MATCH(C135,Materials!$A$5:$A$254,0)),DefaultWaste)))</f>
        <v>0</v>
      </c>
      <c r="K135" s="36">
        <f>IF(C135="","",IF(F135="","",ROUND(F135*(1+J135),4)))</f>
        <v>0</v>
      </c>
      <c r="L135" s="45">
        <f>IF(C135="","",IFERROR(INDEX(Materials!$S$5:$S$254,MATCH(C135,Materials!$A$5:$A$254,0)),""))</f>
        <v>0</v>
      </c>
      <c r="M135" s="45">
        <f>IF(C135="","",IF(OR(K135="",L135=""),"",ROUND(K135*L135,4)))</f>
        <v>0</v>
      </c>
      <c r="N135" s="20">
        <f>IF(A135="","",ROUND(SUMIFS('Material Usage'!$M$5:$M$904,'Material Usage'!$A$5:$A$904,A135),2))</f>
        <v>0</v>
      </c>
      <c r="O135" s="33">
        <f>IF(A135="","",IF(OR(M135="",N135="",N135=0),"",M135/N135))</f>
        <v>0</v>
      </c>
      <c r="P135" s="32">
        <f>IF(A135="","",COUNTIFS($A$5:A135,A135))</f>
        <v>0</v>
      </c>
      <c r="Q135" s="13">
        <f>IF(A135="","",A135&amp;"|"&amp;P135)</f>
        <v>0</v>
      </c>
      <c r="R135" s="43">
        <f>IF(AND(A135="",C135=""),"",IF(A135="","Add - which product?",IF(C135="","Add - which material?",IF(B135="Not found","Check - no such product ID",IF(D135="Add to Materials","Check - no such material ID",IF(OR(F135="",F135=0),"Add - how much?",IF(L135="","Check - that material has no price","OK")))))))</f>
        <v>0</v>
      </c>
    </row>
    <row r="136" spans="2:18">
      <c r="B136" s="13">
        <f>IF(A136="","",IFERROR(INDEX(Products!$B$5:$B$304,MATCH(A136,Products!$A$5:$A$304,0)),"Not found"))</f>
        <v>0</v>
      </c>
      <c r="D136" s="13">
        <f>IF(C136="","",IFERROR(INDEX(Materials!$B$5:$B$254,MATCH(C136,Materials!$A$5:$A$254,0)),"Add to Materials"))</f>
        <v>0</v>
      </c>
      <c r="E136" s="13">
        <f>IF(C136="","",IFERROR(INDEX(Materials!$H$5:$H$254,MATCH(C136,Materials!$A$5:$A$254,0)),"Add to Materials"))</f>
        <v>0</v>
      </c>
      <c r="J136" s="33">
        <f>IF(C136="","",IF(G136&lt;&gt;"",G136,IFERROR(INDEX(Materials!$W$5:$W$254,MATCH(C136,Materials!$A$5:$A$254,0)),DefaultWaste)))</f>
        <v>0</v>
      </c>
      <c r="K136" s="36">
        <f>IF(C136="","",IF(F136="","",ROUND(F136*(1+J136),4)))</f>
        <v>0</v>
      </c>
      <c r="L136" s="45">
        <f>IF(C136="","",IFERROR(INDEX(Materials!$S$5:$S$254,MATCH(C136,Materials!$A$5:$A$254,0)),""))</f>
        <v>0</v>
      </c>
      <c r="M136" s="45">
        <f>IF(C136="","",IF(OR(K136="",L136=""),"",ROUND(K136*L136,4)))</f>
        <v>0</v>
      </c>
      <c r="N136" s="20">
        <f>IF(A136="","",ROUND(SUMIFS('Material Usage'!$M$5:$M$904,'Material Usage'!$A$5:$A$904,A136),2))</f>
        <v>0</v>
      </c>
      <c r="O136" s="33">
        <f>IF(A136="","",IF(OR(M136="",N136="",N136=0),"",M136/N136))</f>
        <v>0</v>
      </c>
      <c r="P136" s="32">
        <f>IF(A136="","",COUNTIFS($A$5:A136,A136))</f>
        <v>0</v>
      </c>
      <c r="Q136" s="13">
        <f>IF(A136="","",A136&amp;"|"&amp;P136)</f>
        <v>0</v>
      </c>
      <c r="R136" s="43">
        <f>IF(AND(A136="",C136=""),"",IF(A136="","Add - which product?",IF(C136="","Add - which material?",IF(B136="Not found","Check - no such product ID",IF(D136="Add to Materials","Check - no such material ID",IF(OR(F136="",F136=0),"Add - how much?",IF(L136="","Check - that material has no price","OK")))))))</f>
        <v>0</v>
      </c>
    </row>
    <row r="137" spans="2:18">
      <c r="B137" s="13">
        <f>IF(A137="","",IFERROR(INDEX(Products!$B$5:$B$304,MATCH(A137,Products!$A$5:$A$304,0)),"Not found"))</f>
        <v>0</v>
      </c>
      <c r="D137" s="13">
        <f>IF(C137="","",IFERROR(INDEX(Materials!$B$5:$B$254,MATCH(C137,Materials!$A$5:$A$254,0)),"Add to Materials"))</f>
        <v>0</v>
      </c>
      <c r="E137" s="13">
        <f>IF(C137="","",IFERROR(INDEX(Materials!$H$5:$H$254,MATCH(C137,Materials!$A$5:$A$254,0)),"Add to Materials"))</f>
        <v>0</v>
      </c>
      <c r="J137" s="33">
        <f>IF(C137="","",IF(G137&lt;&gt;"",G137,IFERROR(INDEX(Materials!$W$5:$W$254,MATCH(C137,Materials!$A$5:$A$254,0)),DefaultWaste)))</f>
        <v>0</v>
      </c>
      <c r="K137" s="36">
        <f>IF(C137="","",IF(F137="","",ROUND(F137*(1+J137),4)))</f>
        <v>0</v>
      </c>
      <c r="L137" s="45">
        <f>IF(C137="","",IFERROR(INDEX(Materials!$S$5:$S$254,MATCH(C137,Materials!$A$5:$A$254,0)),""))</f>
        <v>0</v>
      </c>
      <c r="M137" s="45">
        <f>IF(C137="","",IF(OR(K137="",L137=""),"",ROUND(K137*L137,4)))</f>
        <v>0</v>
      </c>
      <c r="N137" s="20">
        <f>IF(A137="","",ROUND(SUMIFS('Material Usage'!$M$5:$M$904,'Material Usage'!$A$5:$A$904,A137),2))</f>
        <v>0</v>
      </c>
      <c r="O137" s="33">
        <f>IF(A137="","",IF(OR(M137="",N137="",N137=0),"",M137/N137))</f>
        <v>0</v>
      </c>
      <c r="P137" s="32">
        <f>IF(A137="","",COUNTIFS($A$5:A137,A137))</f>
        <v>0</v>
      </c>
      <c r="Q137" s="13">
        <f>IF(A137="","",A137&amp;"|"&amp;P137)</f>
        <v>0</v>
      </c>
      <c r="R137" s="43">
        <f>IF(AND(A137="",C137=""),"",IF(A137="","Add - which product?",IF(C137="","Add - which material?",IF(B137="Not found","Check - no such product ID",IF(D137="Add to Materials","Check - no such material ID",IF(OR(F137="",F137=0),"Add - how much?",IF(L137="","Check - that material has no price","OK")))))))</f>
        <v>0</v>
      </c>
    </row>
    <row r="138" spans="2:18">
      <c r="B138" s="13">
        <f>IF(A138="","",IFERROR(INDEX(Products!$B$5:$B$304,MATCH(A138,Products!$A$5:$A$304,0)),"Not found"))</f>
        <v>0</v>
      </c>
      <c r="D138" s="13">
        <f>IF(C138="","",IFERROR(INDEX(Materials!$B$5:$B$254,MATCH(C138,Materials!$A$5:$A$254,0)),"Add to Materials"))</f>
        <v>0</v>
      </c>
      <c r="E138" s="13">
        <f>IF(C138="","",IFERROR(INDEX(Materials!$H$5:$H$254,MATCH(C138,Materials!$A$5:$A$254,0)),"Add to Materials"))</f>
        <v>0</v>
      </c>
      <c r="J138" s="33">
        <f>IF(C138="","",IF(G138&lt;&gt;"",G138,IFERROR(INDEX(Materials!$W$5:$W$254,MATCH(C138,Materials!$A$5:$A$254,0)),DefaultWaste)))</f>
        <v>0</v>
      </c>
      <c r="K138" s="36">
        <f>IF(C138="","",IF(F138="","",ROUND(F138*(1+J138),4)))</f>
        <v>0</v>
      </c>
      <c r="L138" s="45">
        <f>IF(C138="","",IFERROR(INDEX(Materials!$S$5:$S$254,MATCH(C138,Materials!$A$5:$A$254,0)),""))</f>
        <v>0</v>
      </c>
      <c r="M138" s="45">
        <f>IF(C138="","",IF(OR(K138="",L138=""),"",ROUND(K138*L138,4)))</f>
        <v>0</v>
      </c>
      <c r="N138" s="20">
        <f>IF(A138="","",ROUND(SUMIFS('Material Usage'!$M$5:$M$904,'Material Usage'!$A$5:$A$904,A138),2))</f>
        <v>0</v>
      </c>
      <c r="O138" s="33">
        <f>IF(A138="","",IF(OR(M138="",N138="",N138=0),"",M138/N138))</f>
        <v>0</v>
      </c>
      <c r="P138" s="32">
        <f>IF(A138="","",COUNTIFS($A$5:A138,A138))</f>
        <v>0</v>
      </c>
      <c r="Q138" s="13">
        <f>IF(A138="","",A138&amp;"|"&amp;P138)</f>
        <v>0</v>
      </c>
      <c r="R138" s="43">
        <f>IF(AND(A138="",C138=""),"",IF(A138="","Add - which product?",IF(C138="","Add - which material?",IF(B138="Not found","Check - no such product ID",IF(D138="Add to Materials","Check - no such material ID",IF(OR(F138="",F138=0),"Add - how much?",IF(L138="","Check - that material has no price","OK")))))))</f>
        <v>0</v>
      </c>
    </row>
    <row r="139" spans="2:18">
      <c r="B139" s="13">
        <f>IF(A139="","",IFERROR(INDEX(Products!$B$5:$B$304,MATCH(A139,Products!$A$5:$A$304,0)),"Not found"))</f>
        <v>0</v>
      </c>
      <c r="D139" s="13">
        <f>IF(C139="","",IFERROR(INDEX(Materials!$B$5:$B$254,MATCH(C139,Materials!$A$5:$A$254,0)),"Add to Materials"))</f>
        <v>0</v>
      </c>
      <c r="E139" s="13">
        <f>IF(C139="","",IFERROR(INDEX(Materials!$H$5:$H$254,MATCH(C139,Materials!$A$5:$A$254,0)),"Add to Materials"))</f>
        <v>0</v>
      </c>
      <c r="J139" s="33">
        <f>IF(C139="","",IF(G139&lt;&gt;"",G139,IFERROR(INDEX(Materials!$W$5:$W$254,MATCH(C139,Materials!$A$5:$A$254,0)),DefaultWaste)))</f>
        <v>0</v>
      </c>
      <c r="K139" s="36">
        <f>IF(C139="","",IF(F139="","",ROUND(F139*(1+J139),4)))</f>
        <v>0</v>
      </c>
      <c r="L139" s="45">
        <f>IF(C139="","",IFERROR(INDEX(Materials!$S$5:$S$254,MATCH(C139,Materials!$A$5:$A$254,0)),""))</f>
        <v>0</v>
      </c>
      <c r="M139" s="45">
        <f>IF(C139="","",IF(OR(K139="",L139=""),"",ROUND(K139*L139,4)))</f>
        <v>0</v>
      </c>
      <c r="N139" s="20">
        <f>IF(A139="","",ROUND(SUMIFS('Material Usage'!$M$5:$M$904,'Material Usage'!$A$5:$A$904,A139),2))</f>
        <v>0</v>
      </c>
      <c r="O139" s="33">
        <f>IF(A139="","",IF(OR(M139="",N139="",N139=0),"",M139/N139))</f>
        <v>0</v>
      </c>
      <c r="P139" s="32">
        <f>IF(A139="","",COUNTIFS($A$5:A139,A139))</f>
        <v>0</v>
      </c>
      <c r="Q139" s="13">
        <f>IF(A139="","",A139&amp;"|"&amp;P139)</f>
        <v>0</v>
      </c>
      <c r="R139" s="43">
        <f>IF(AND(A139="",C139=""),"",IF(A139="","Add - which product?",IF(C139="","Add - which material?",IF(B139="Not found","Check - no such product ID",IF(D139="Add to Materials","Check - no such material ID",IF(OR(F139="",F139=0),"Add - how much?",IF(L139="","Check - that material has no price","OK")))))))</f>
        <v>0</v>
      </c>
    </row>
    <row r="140" spans="2:18">
      <c r="B140" s="13">
        <f>IF(A140="","",IFERROR(INDEX(Products!$B$5:$B$304,MATCH(A140,Products!$A$5:$A$304,0)),"Not found"))</f>
        <v>0</v>
      </c>
      <c r="D140" s="13">
        <f>IF(C140="","",IFERROR(INDEX(Materials!$B$5:$B$254,MATCH(C140,Materials!$A$5:$A$254,0)),"Add to Materials"))</f>
        <v>0</v>
      </c>
      <c r="E140" s="13">
        <f>IF(C140="","",IFERROR(INDEX(Materials!$H$5:$H$254,MATCH(C140,Materials!$A$5:$A$254,0)),"Add to Materials"))</f>
        <v>0</v>
      </c>
      <c r="J140" s="33">
        <f>IF(C140="","",IF(G140&lt;&gt;"",G140,IFERROR(INDEX(Materials!$W$5:$W$254,MATCH(C140,Materials!$A$5:$A$254,0)),DefaultWaste)))</f>
        <v>0</v>
      </c>
      <c r="K140" s="36">
        <f>IF(C140="","",IF(F140="","",ROUND(F140*(1+J140),4)))</f>
        <v>0</v>
      </c>
      <c r="L140" s="45">
        <f>IF(C140="","",IFERROR(INDEX(Materials!$S$5:$S$254,MATCH(C140,Materials!$A$5:$A$254,0)),""))</f>
        <v>0</v>
      </c>
      <c r="M140" s="45">
        <f>IF(C140="","",IF(OR(K140="",L140=""),"",ROUND(K140*L140,4)))</f>
        <v>0</v>
      </c>
      <c r="N140" s="20">
        <f>IF(A140="","",ROUND(SUMIFS('Material Usage'!$M$5:$M$904,'Material Usage'!$A$5:$A$904,A140),2))</f>
        <v>0</v>
      </c>
      <c r="O140" s="33">
        <f>IF(A140="","",IF(OR(M140="",N140="",N140=0),"",M140/N140))</f>
        <v>0</v>
      </c>
      <c r="P140" s="32">
        <f>IF(A140="","",COUNTIFS($A$5:A140,A140))</f>
        <v>0</v>
      </c>
      <c r="Q140" s="13">
        <f>IF(A140="","",A140&amp;"|"&amp;P140)</f>
        <v>0</v>
      </c>
      <c r="R140" s="43">
        <f>IF(AND(A140="",C140=""),"",IF(A140="","Add - which product?",IF(C140="","Add - which material?",IF(B140="Not found","Check - no such product ID",IF(D140="Add to Materials","Check - no such material ID",IF(OR(F140="",F140=0),"Add - how much?",IF(L140="","Check - that material has no price","OK")))))))</f>
        <v>0</v>
      </c>
    </row>
    <row r="141" spans="2:18">
      <c r="B141" s="13">
        <f>IF(A141="","",IFERROR(INDEX(Products!$B$5:$B$304,MATCH(A141,Products!$A$5:$A$304,0)),"Not found"))</f>
        <v>0</v>
      </c>
      <c r="D141" s="13">
        <f>IF(C141="","",IFERROR(INDEX(Materials!$B$5:$B$254,MATCH(C141,Materials!$A$5:$A$254,0)),"Add to Materials"))</f>
        <v>0</v>
      </c>
      <c r="E141" s="13">
        <f>IF(C141="","",IFERROR(INDEX(Materials!$H$5:$H$254,MATCH(C141,Materials!$A$5:$A$254,0)),"Add to Materials"))</f>
        <v>0</v>
      </c>
      <c r="J141" s="33">
        <f>IF(C141="","",IF(G141&lt;&gt;"",G141,IFERROR(INDEX(Materials!$W$5:$W$254,MATCH(C141,Materials!$A$5:$A$254,0)),DefaultWaste)))</f>
        <v>0</v>
      </c>
      <c r="K141" s="36">
        <f>IF(C141="","",IF(F141="","",ROUND(F141*(1+J141),4)))</f>
        <v>0</v>
      </c>
      <c r="L141" s="45">
        <f>IF(C141="","",IFERROR(INDEX(Materials!$S$5:$S$254,MATCH(C141,Materials!$A$5:$A$254,0)),""))</f>
        <v>0</v>
      </c>
      <c r="M141" s="45">
        <f>IF(C141="","",IF(OR(K141="",L141=""),"",ROUND(K141*L141,4)))</f>
        <v>0</v>
      </c>
      <c r="N141" s="20">
        <f>IF(A141="","",ROUND(SUMIFS('Material Usage'!$M$5:$M$904,'Material Usage'!$A$5:$A$904,A141),2))</f>
        <v>0</v>
      </c>
      <c r="O141" s="33">
        <f>IF(A141="","",IF(OR(M141="",N141="",N141=0),"",M141/N141))</f>
        <v>0</v>
      </c>
      <c r="P141" s="32">
        <f>IF(A141="","",COUNTIFS($A$5:A141,A141))</f>
        <v>0</v>
      </c>
      <c r="Q141" s="13">
        <f>IF(A141="","",A141&amp;"|"&amp;P141)</f>
        <v>0</v>
      </c>
      <c r="R141" s="43">
        <f>IF(AND(A141="",C141=""),"",IF(A141="","Add - which product?",IF(C141="","Add - which material?",IF(B141="Not found","Check - no such product ID",IF(D141="Add to Materials","Check - no such material ID",IF(OR(F141="",F141=0),"Add - how much?",IF(L141="","Check - that material has no price","OK")))))))</f>
        <v>0</v>
      </c>
    </row>
    <row r="142" spans="2:18">
      <c r="B142" s="13">
        <f>IF(A142="","",IFERROR(INDEX(Products!$B$5:$B$304,MATCH(A142,Products!$A$5:$A$304,0)),"Not found"))</f>
        <v>0</v>
      </c>
      <c r="D142" s="13">
        <f>IF(C142="","",IFERROR(INDEX(Materials!$B$5:$B$254,MATCH(C142,Materials!$A$5:$A$254,0)),"Add to Materials"))</f>
        <v>0</v>
      </c>
      <c r="E142" s="13">
        <f>IF(C142="","",IFERROR(INDEX(Materials!$H$5:$H$254,MATCH(C142,Materials!$A$5:$A$254,0)),"Add to Materials"))</f>
        <v>0</v>
      </c>
      <c r="J142" s="33">
        <f>IF(C142="","",IF(G142&lt;&gt;"",G142,IFERROR(INDEX(Materials!$W$5:$W$254,MATCH(C142,Materials!$A$5:$A$254,0)),DefaultWaste)))</f>
        <v>0</v>
      </c>
      <c r="K142" s="36">
        <f>IF(C142="","",IF(F142="","",ROUND(F142*(1+J142),4)))</f>
        <v>0</v>
      </c>
      <c r="L142" s="45">
        <f>IF(C142="","",IFERROR(INDEX(Materials!$S$5:$S$254,MATCH(C142,Materials!$A$5:$A$254,0)),""))</f>
        <v>0</v>
      </c>
      <c r="M142" s="45">
        <f>IF(C142="","",IF(OR(K142="",L142=""),"",ROUND(K142*L142,4)))</f>
        <v>0</v>
      </c>
      <c r="N142" s="20">
        <f>IF(A142="","",ROUND(SUMIFS('Material Usage'!$M$5:$M$904,'Material Usage'!$A$5:$A$904,A142),2))</f>
        <v>0</v>
      </c>
      <c r="O142" s="33">
        <f>IF(A142="","",IF(OR(M142="",N142="",N142=0),"",M142/N142))</f>
        <v>0</v>
      </c>
      <c r="P142" s="32">
        <f>IF(A142="","",COUNTIFS($A$5:A142,A142))</f>
        <v>0</v>
      </c>
      <c r="Q142" s="13">
        <f>IF(A142="","",A142&amp;"|"&amp;P142)</f>
        <v>0</v>
      </c>
      <c r="R142" s="43">
        <f>IF(AND(A142="",C142=""),"",IF(A142="","Add - which product?",IF(C142="","Add - which material?",IF(B142="Not found","Check - no such product ID",IF(D142="Add to Materials","Check - no such material ID",IF(OR(F142="",F142=0),"Add - how much?",IF(L142="","Check - that material has no price","OK")))))))</f>
        <v>0</v>
      </c>
    </row>
    <row r="143" spans="2:18">
      <c r="B143" s="13">
        <f>IF(A143="","",IFERROR(INDEX(Products!$B$5:$B$304,MATCH(A143,Products!$A$5:$A$304,0)),"Not found"))</f>
        <v>0</v>
      </c>
      <c r="D143" s="13">
        <f>IF(C143="","",IFERROR(INDEX(Materials!$B$5:$B$254,MATCH(C143,Materials!$A$5:$A$254,0)),"Add to Materials"))</f>
        <v>0</v>
      </c>
      <c r="E143" s="13">
        <f>IF(C143="","",IFERROR(INDEX(Materials!$H$5:$H$254,MATCH(C143,Materials!$A$5:$A$254,0)),"Add to Materials"))</f>
        <v>0</v>
      </c>
      <c r="J143" s="33">
        <f>IF(C143="","",IF(G143&lt;&gt;"",G143,IFERROR(INDEX(Materials!$W$5:$W$254,MATCH(C143,Materials!$A$5:$A$254,0)),DefaultWaste)))</f>
        <v>0</v>
      </c>
      <c r="K143" s="36">
        <f>IF(C143="","",IF(F143="","",ROUND(F143*(1+J143),4)))</f>
        <v>0</v>
      </c>
      <c r="L143" s="45">
        <f>IF(C143="","",IFERROR(INDEX(Materials!$S$5:$S$254,MATCH(C143,Materials!$A$5:$A$254,0)),""))</f>
        <v>0</v>
      </c>
      <c r="M143" s="45">
        <f>IF(C143="","",IF(OR(K143="",L143=""),"",ROUND(K143*L143,4)))</f>
        <v>0</v>
      </c>
      <c r="N143" s="20">
        <f>IF(A143="","",ROUND(SUMIFS('Material Usage'!$M$5:$M$904,'Material Usage'!$A$5:$A$904,A143),2))</f>
        <v>0</v>
      </c>
      <c r="O143" s="33">
        <f>IF(A143="","",IF(OR(M143="",N143="",N143=0),"",M143/N143))</f>
        <v>0</v>
      </c>
      <c r="P143" s="32">
        <f>IF(A143="","",COUNTIFS($A$5:A143,A143))</f>
        <v>0</v>
      </c>
      <c r="Q143" s="13">
        <f>IF(A143="","",A143&amp;"|"&amp;P143)</f>
        <v>0</v>
      </c>
      <c r="R143" s="43">
        <f>IF(AND(A143="",C143=""),"",IF(A143="","Add - which product?",IF(C143="","Add - which material?",IF(B143="Not found","Check - no such product ID",IF(D143="Add to Materials","Check - no such material ID",IF(OR(F143="",F143=0),"Add - how much?",IF(L143="","Check - that material has no price","OK")))))))</f>
        <v>0</v>
      </c>
    </row>
    <row r="144" spans="2:18">
      <c r="B144" s="13">
        <f>IF(A144="","",IFERROR(INDEX(Products!$B$5:$B$304,MATCH(A144,Products!$A$5:$A$304,0)),"Not found"))</f>
        <v>0</v>
      </c>
      <c r="D144" s="13">
        <f>IF(C144="","",IFERROR(INDEX(Materials!$B$5:$B$254,MATCH(C144,Materials!$A$5:$A$254,0)),"Add to Materials"))</f>
        <v>0</v>
      </c>
      <c r="E144" s="13">
        <f>IF(C144="","",IFERROR(INDEX(Materials!$H$5:$H$254,MATCH(C144,Materials!$A$5:$A$254,0)),"Add to Materials"))</f>
        <v>0</v>
      </c>
      <c r="J144" s="33">
        <f>IF(C144="","",IF(G144&lt;&gt;"",G144,IFERROR(INDEX(Materials!$W$5:$W$254,MATCH(C144,Materials!$A$5:$A$254,0)),DefaultWaste)))</f>
        <v>0</v>
      </c>
      <c r="K144" s="36">
        <f>IF(C144="","",IF(F144="","",ROUND(F144*(1+J144),4)))</f>
        <v>0</v>
      </c>
      <c r="L144" s="45">
        <f>IF(C144="","",IFERROR(INDEX(Materials!$S$5:$S$254,MATCH(C144,Materials!$A$5:$A$254,0)),""))</f>
        <v>0</v>
      </c>
      <c r="M144" s="45">
        <f>IF(C144="","",IF(OR(K144="",L144=""),"",ROUND(K144*L144,4)))</f>
        <v>0</v>
      </c>
      <c r="N144" s="20">
        <f>IF(A144="","",ROUND(SUMIFS('Material Usage'!$M$5:$M$904,'Material Usage'!$A$5:$A$904,A144),2))</f>
        <v>0</v>
      </c>
      <c r="O144" s="33">
        <f>IF(A144="","",IF(OR(M144="",N144="",N144=0),"",M144/N144))</f>
        <v>0</v>
      </c>
      <c r="P144" s="32">
        <f>IF(A144="","",COUNTIFS($A$5:A144,A144))</f>
        <v>0</v>
      </c>
      <c r="Q144" s="13">
        <f>IF(A144="","",A144&amp;"|"&amp;P144)</f>
        <v>0</v>
      </c>
      <c r="R144" s="43">
        <f>IF(AND(A144="",C144=""),"",IF(A144="","Add - which product?",IF(C144="","Add - which material?",IF(B144="Not found","Check - no such product ID",IF(D144="Add to Materials","Check - no such material ID",IF(OR(F144="",F144=0),"Add - how much?",IF(L144="","Check - that material has no price","OK")))))))</f>
        <v>0</v>
      </c>
    </row>
    <row r="145" spans="2:18">
      <c r="B145" s="13">
        <f>IF(A145="","",IFERROR(INDEX(Products!$B$5:$B$304,MATCH(A145,Products!$A$5:$A$304,0)),"Not found"))</f>
        <v>0</v>
      </c>
      <c r="D145" s="13">
        <f>IF(C145="","",IFERROR(INDEX(Materials!$B$5:$B$254,MATCH(C145,Materials!$A$5:$A$254,0)),"Add to Materials"))</f>
        <v>0</v>
      </c>
      <c r="E145" s="13">
        <f>IF(C145="","",IFERROR(INDEX(Materials!$H$5:$H$254,MATCH(C145,Materials!$A$5:$A$254,0)),"Add to Materials"))</f>
        <v>0</v>
      </c>
      <c r="J145" s="33">
        <f>IF(C145="","",IF(G145&lt;&gt;"",G145,IFERROR(INDEX(Materials!$W$5:$W$254,MATCH(C145,Materials!$A$5:$A$254,0)),DefaultWaste)))</f>
        <v>0</v>
      </c>
      <c r="K145" s="36">
        <f>IF(C145="","",IF(F145="","",ROUND(F145*(1+J145),4)))</f>
        <v>0</v>
      </c>
      <c r="L145" s="45">
        <f>IF(C145="","",IFERROR(INDEX(Materials!$S$5:$S$254,MATCH(C145,Materials!$A$5:$A$254,0)),""))</f>
        <v>0</v>
      </c>
      <c r="M145" s="45">
        <f>IF(C145="","",IF(OR(K145="",L145=""),"",ROUND(K145*L145,4)))</f>
        <v>0</v>
      </c>
      <c r="N145" s="20">
        <f>IF(A145="","",ROUND(SUMIFS('Material Usage'!$M$5:$M$904,'Material Usage'!$A$5:$A$904,A145),2))</f>
        <v>0</v>
      </c>
      <c r="O145" s="33">
        <f>IF(A145="","",IF(OR(M145="",N145="",N145=0),"",M145/N145))</f>
        <v>0</v>
      </c>
      <c r="P145" s="32">
        <f>IF(A145="","",COUNTIFS($A$5:A145,A145))</f>
        <v>0</v>
      </c>
      <c r="Q145" s="13">
        <f>IF(A145="","",A145&amp;"|"&amp;P145)</f>
        <v>0</v>
      </c>
      <c r="R145" s="43">
        <f>IF(AND(A145="",C145=""),"",IF(A145="","Add - which product?",IF(C145="","Add - which material?",IF(B145="Not found","Check - no such product ID",IF(D145="Add to Materials","Check - no such material ID",IF(OR(F145="",F145=0),"Add - how much?",IF(L145="","Check - that material has no price","OK")))))))</f>
        <v>0</v>
      </c>
    </row>
    <row r="146" spans="2:18">
      <c r="B146" s="13">
        <f>IF(A146="","",IFERROR(INDEX(Products!$B$5:$B$304,MATCH(A146,Products!$A$5:$A$304,0)),"Not found"))</f>
        <v>0</v>
      </c>
      <c r="D146" s="13">
        <f>IF(C146="","",IFERROR(INDEX(Materials!$B$5:$B$254,MATCH(C146,Materials!$A$5:$A$254,0)),"Add to Materials"))</f>
        <v>0</v>
      </c>
      <c r="E146" s="13">
        <f>IF(C146="","",IFERROR(INDEX(Materials!$H$5:$H$254,MATCH(C146,Materials!$A$5:$A$254,0)),"Add to Materials"))</f>
        <v>0</v>
      </c>
      <c r="J146" s="33">
        <f>IF(C146="","",IF(G146&lt;&gt;"",G146,IFERROR(INDEX(Materials!$W$5:$W$254,MATCH(C146,Materials!$A$5:$A$254,0)),DefaultWaste)))</f>
        <v>0</v>
      </c>
      <c r="K146" s="36">
        <f>IF(C146="","",IF(F146="","",ROUND(F146*(1+J146),4)))</f>
        <v>0</v>
      </c>
      <c r="L146" s="45">
        <f>IF(C146="","",IFERROR(INDEX(Materials!$S$5:$S$254,MATCH(C146,Materials!$A$5:$A$254,0)),""))</f>
        <v>0</v>
      </c>
      <c r="M146" s="45">
        <f>IF(C146="","",IF(OR(K146="",L146=""),"",ROUND(K146*L146,4)))</f>
        <v>0</v>
      </c>
      <c r="N146" s="20">
        <f>IF(A146="","",ROUND(SUMIFS('Material Usage'!$M$5:$M$904,'Material Usage'!$A$5:$A$904,A146),2))</f>
        <v>0</v>
      </c>
      <c r="O146" s="33">
        <f>IF(A146="","",IF(OR(M146="",N146="",N146=0),"",M146/N146))</f>
        <v>0</v>
      </c>
      <c r="P146" s="32">
        <f>IF(A146="","",COUNTIFS($A$5:A146,A146))</f>
        <v>0</v>
      </c>
      <c r="Q146" s="13">
        <f>IF(A146="","",A146&amp;"|"&amp;P146)</f>
        <v>0</v>
      </c>
      <c r="R146" s="43">
        <f>IF(AND(A146="",C146=""),"",IF(A146="","Add - which product?",IF(C146="","Add - which material?",IF(B146="Not found","Check - no such product ID",IF(D146="Add to Materials","Check - no such material ID",IF(OR(F146="",F146=0),"Add - how much?",IF(L146="","Check - that material has no price","OK")))))))</f>
        <v>0</v>
      </c>
    </row>
    <row r="147" spans="2:18">
      <c r="B147" s="13">
        <f>IF(A147="","",IFERROR(INDEX(Products!$B$5:$B$304,MATCH(A147,Products!$A$5:$A$304,0)),"Not found"))</f>
        <v>0</v>
      </c>
      <c r="D147" s="13">
        <f>IF(C147="","",IFERROR(INDEX(Materials!$B$5:$B$254,MATCH(C147,Materials!$A$5:$A$254,0)),"Add to Materials"))</f>
        <v>0</v>
      </c>
      <c r="E147" s="13">
        <f>IF(C147="","",IFERROR(INDEX(Materials!$H$5:$H$254,MATCH(C147,Materials!$A$5:$A$254,0)),"Add to Materials"))</f>
        <v>0</v>
      </c>
      <c r="J147" s="33">
        <f>IF(C147="","",IF(G147&lt;&gt;"",G147,IFERROR(INDEX(Materials!$W$5:$W$254,MATCH(C147,Materials!$A$5:$A$254,0)),DefaultWaste)))</f>
        <v>0</v>
      </c>
      <c r="K147" s="36">
        <f>IF(C147="","",IF(F147="","",ROUND(F147*(1+J147),4)))</f>
        <v>0</v>
      </c>
      <c r="L147" s="45">
        <f>IF(C147="","",IFERROR(INDEX(Materials!$S$5:$S$254,MATCH(C147,Materials!$A$5:$A$254,0)),""))</f>
        <v>0</v>
      </c>
      <c r="M147" s="45">
        <f>IF(C147="","",IF(OR(K147="",L147=""),"",ROUND(K147*L147,4)))</f>
        <v>0</v>
      </c>
      <c r="N147" s="20">
        <f>IF(A147="","",ROUND(SUMIFS('Material Usage'!$M$5:$M$904,'Material Usage'!$A$5:$A$904,A147),2))</f>
        <v>0</v>
      </c>
      <c r="O147" s="33">
        <f>IF(A147="","",IF(OR(M147="",N147="",N147=0),"",M147/N147))</f>
        <v>0</v>
      </c>
      <c r="P147" s="32">
        <f>IF(A147="","",COUNTIFS($A$5:A147,A147))</f>
        <v>0</v>
      </c>
      <c r="Q147" s="13">
        <f>IF(A147="","",A147&amp;"|"&amp;P147)</f>
        <v>0</v>
      </c>
      <c r="R147" s="43">
        <f>IF(AND(A147="",C147=""),"",IF(A147="","Add - which product?",IF(C147="","Add - which material?",IF(B147="Not found","Check - no such product ID",IF(D147="Add to Materials","Check - no such material ID",IF(OR(F147="",F147=0),"Add - how much?",IF(L147="","Check - that material has no price","OK")))))))</f>
        <v>0</v>
      </c>
    </row>
    <row r="148" spans="2:18">
      <c r="B148" s="13">
        <f>IF(A148="","",IFERROR(INDEX(Products!$B$5:$B$304,MATCH(A148,Products!$A$5:$A$304,0)),"Not found"))</f>
        <v>0</v>
      </c>
      <c r="D148" s="13">
        <f>IF(C148="","",IFERROR(INDEX(Materials!$B$5:$B$254,MATCH(C148,Materials!$A$5:$A$254,0)),"Add to Materials"))</f>
        <v>0</v>
      </c>
      <c r="E148" s="13">
        <f>IF(C148="","",IFERROR(INDEX(Materials!$H$5:$H$254,MATCH(C148,Materials!$A$5:$A$254,0)),"Add to Materials"))</f>
        <v>0</v>
      </c>
      <c r="J148" s="33">
        <f>IF(C148="","",IF(G148&lt;&gt;"",G148,IFERROR(INDEX(Materials!$W$5:$W$254,MATCH(C148,Materials!$A$5:$A$254,0)),DefaultWaste)))</f>
        <v>0</v>
      </c>
      <c r="K148" s="36">
        <f>IF(C148="","",IF(F148="","",ROUND(F148*(1+J148),4)))</f>
        <v>0</v>
      </c>
      <c r="L148" s="45">
        <f>IF(C148="","",IFERROR(INDEX(Materials!$S$5:$S$254,MATCH(C148,Materials!$A$5:$A$254,0)),""))</f>
        <v>0</v>
      </c>
      <c r="M148" s="45">
        <f>IF(C148="","",IF(OR(K148="",L148=""),"",ROUND(K148*L148,4)))</f>
        <v>0</v>
      </c>
      <c r="N148" s="20">
        <f>IF(A148="","",ROUND(SUMIFS('Material Usage'!$M$5:$M$904,'Material Usage'!$A$5:$A$904,A148),2))</f>
        <v>0</v>
      </c>
      <c r="O148" s="33">
        <f>IF(A148="","",IF(OR(M148="",N148="",N148=0),"",M148/N148))</f>
        <v>0</v>
      </c>
      <c r="P148" s="32">
        <f>IF(A148="","",COUNTIFS($A$5:A148,A148))</f>
        <v>0</v>
      </c>
      <c r="Q148" s="13">
        <f>IF(A148="","",A148&amp;"|"&amp;P148)</f>
        <v>0</v>
      </c>
      <c r="R148" s="43">
        <f>IF(AND(A148="",C148=""),"",IF(A148="","Add - which product?",IF(C148="","Add - which material?",IF(B148="Not found","Check - no such product ID",IF(D148="Add to Materials","Check - no such material ID",IF(OR(F148="",F148=0),"Add - how much?",IF(L148="","Check - that material has no price","OK")))))))</f>
        <v>0</v>
      </c>
    </row>
    <row r="149" spans="2:18">
      <c r="B149" s="13">
        <f>IF(A149="","",IFERROR(INDEX(Products!$B$5:$B$304,MATCH(A149,Products!$A$5:$A$304,0)),"Not found"))</f>
        <v>0</v>
      </c>
      <c r="D149" s="13">
        <f>IF(C149="","",IFERROR(INDEX(Materials!$B$5:$B$254,MATCH(C149,Materials!$A$5:$A$254,0)),"Add to Materials"))</f>
        <v>0</v>
      </c>
      <c r="E149" s="13">
        <f>IF(C149="","",IFERROR(INDEX(Materials!$H$5:$H$254,MATCH(C149,Materials!$A$5:$A$254,0)),"Add to Materials"))</f>
        <v>0</v>
      </c>
      <c r="J149" s="33">
        <f>IF(C149="","",IF(G149&lt;&gt;"",G149,IFERROR(INDEX(Materials!$W$5:$W$254,MATCH(C149,Materials!$A$5:$A$254,0)),DefaultWaste)))</f>
        <v>0</v>
      </c>
      <c r="K149" s="36">
        <f>IF(C149="","",IF(F149="","",ROUND(F149*(1+J149),4)))</f>
        <v>0</v>
      </c>
      <c r="L149" s="45">
        <f>IF(C149="","",IFERROR(INDEX(Materials!$S$5:$S$254,MATCH(C149,Materials!$A$5:$A$254,0)),""))</f>
        <v>0</v>
      </c>
      <c r="M149" s="45">
        <f>IF(C149="","",IF(OR(K149="",L149=""),"",ROUND(K149*L149,4)))</f>
        <v>0</v>
      </c>
      <c r="N149" s="20">
        <f>IF(A149="","",ROUND(SUMIFS('Material Usage'!$M$5:$M$904,'Material Usage'!$A$5:$A$904,A149),2))</f>
        <v>0</v>
      </c>
      <c r="O149" s="33">
        <f>IF(A149="","",IF(OR(M149="",N149="",N149=0),"",M149/N149))</f>
        <v>0</v>
      </c>
      <c r="P149" s="32">
        <f>IF(A149="","",COUNTIFS($A$5:A149,A149))</f>
        <v>0</v>
      </c>
      <c r="Q149" s="13">
        <f>IF(A149="","",A149&amp;"|"&amp;P149)</f>
        <v>0</v>
      </c>
      <c r="R149" s="43">
        <f>IF(AND(A149="",C149=""),"",IF(A149="","Add - which product?",IF(C149="","Add - which material?",IF(B149="Not found","Check - no such product ID",IF(D149="Add to Materials","Check - no such material ID",IF(OR(F149="",F149=0),"Add - how much?",IF(L149="","Check - that material has no price","OK")))))))</f>
        <v>0</v>
      </c>
    </row>
    <row r="150" spans="2:18">
      <c r="B150" s="13">
        <f>IF(A150="","",IFERROR(INDEX(Products!$B$5:$B$304,MATCH(A150,Products!$A$5:$A$304,0)),"Not found"))</f>
        <v>0</v>
      </c>
      <c r="D150" s="13">
        <f>IF(C150="","",IFERROR(INDEX(Materials!$B$5:$B$254,MATCH(C150,Materials!$A$5:$A$254,0)),"Add to Materials"))</f>
        <v>0</v>
      </c>
      <c r="E150" s="13">
        <f>IF(C150="","",IFERROR(INDEX(Materials!$H$5:$H$254,MATCH(C150,Materials!$A$5:$A$254,0)),"Add to Materials"))</f>
        <v>0</v>
      </c>
      <c r="J150" s="33">
        <f>IF(C150="","",IF(G150&lt;&gt;"",G150,IFERROR(INDEX(Materials!$W$5:$W$254,MATCH(C150,Materials!$A$5:$A$254,0)),DefaultWaste)))</f>
        <v>0</v>
      </c>
      <c r="K150" s="36">
        <f>IF(C150="","",IF(F150="","",ROUND(F150*(1+J150),4)))</f>
        <v>0</v>
      </c>
      <c r="L150" s="45">
        <f>IF(C150="","",IFERROR(INDEX(Materials!$S$5:$S$254,MATCH(C150,Materials!$A$5:$A$254,0)),""))</f>
        <v>0</v>
      </c>
      <c r="M150" s="45">
        <f>IF(C150="","",IF(OR(K150="",L150=""),"",ROUND(K150*L150,4)))</f>
        <v>0</v>
      </c>
      <c r="N150" s="20">
        <f>IF(A150="","",ROUND(SUMIFS('Material Usage'!$M$5:$M$904,'Material Usage'!$A$5:$A$904,A150),2))</f>
        <v>0</v>
      </c>
      <c r="O150" s="33">
        <f>IF(A150="","",IF(OR(M150="",N150="",N150=0),"",M150/N150))</f>
        <v>0</v>
      </c>
      <c r="P150" s="32">
        <f>IF(A150="","",COUNTIFS($A$5:A150,A150))</f>
        <v>0</v>
      </c>
      <c r="Q150" s="13">
        <f>IF(A150="","",A150&amp;"|"&amp;P150)</f>
        <v>0</v>
      </c>
      <c r="R150" s="43">
        <f>IF(AND(A150="",C150=""),"",IF(A150="","Add - which product?",IF(C150="","Add - which material?",IF(B150="Not found","Check - no such product ID",IF(D150="Add to Materials","Check - no such material ID",IF(OR(F150="",F150=0),"Add - how much?",IF(L150="","Check - that material has no price","OK")))))))</f>
        <v>0</v>
      </c>
    </row>
    <row r="151" spans="2:18">
      <c r="B151" s="13">
        <f>IF(A151="","",IFERROR(INDEX(Products!$B$5:$B$304,MATCH(A151,Products!$A$5:$A$304,0)),"Not found"))</f>
        <v>0</v>
      </c>
      <c r="D151" s="13">
        <f>IF(C151="","",IFERROR(INDEX(Materials!$B$5:$B$254,MATCH(C151,Materials!$A$5:$A$254,0)),"Add to Materials"))</f>
        <v>0</v>
      </c>
      <c r="E151" s="13">
        <f>IF(C151="","",IFERROR(INDEX(Materials!$H$5:$H$254,MATCH(C151,Materials!$A$5:$A$254,0)),"Add to Materials"))</f>
        <v>0</v>
      </c>
      <c r="J151" s="33">
        <f>IF(C151="","",IF(G151&lt;&gt;"",G151,IFERROR(INDEX(Materials!$W$5:$W$254,MATCH(C151,Materials!$A$5:$A$254,0)),DefaultWaste)))</f>
        <v>0</v>
      </c>
      <c r="K151" s="36">
        <f>IF(C151="","",IF(F151="","",ROUND(F151*(1+J151),4)))</f>
        <v>0</v>
      </c>
      <c r="L151" s="45">
        <f>IF(C151="","",IFERROR(INDEX(Materials!$S$5:$S$254,MATCH(C151,Materials!$A$5:$A$254,0)),""))</f>
        <v>0</v>
      </c>
      <c r="M151" s="45">
        <f>IF(C151="","",IF(OR(K151="",L151=""),"",ROUND(K151*L151,4)))</f>
        <v>0</v>
      </c>
      <c r="N151" s="20">
        <f>IF(A151="","",ROUND(SUMIFS('Material Usage'!$M$5:$M$904,'Material Usage'!$A$5:$A$904,A151),2))</f>
        <v>0</v>
      </c>
      <c r="O151" s="33">
        <f>IF(A151="","",IF(OR(M151="",N151="",N151=0),"",M151/N151))</f>
        <v>0</v>
      </c>
      <c r="P151" s="32">
        <f>IF(A151="","",COUNTIFS($A$5:A151,A151))</f>
        <v>0</v>
      </c>
      <c r="Q151" s="13">
        <f>IF(A151="","",A151&amp;"|"&amp;P151)</f>
        <v>0</v>
      </c>
      <c r="R151" s="43">
        <f>IF(AND(A151="",C151=""),"",IF(A151="","Add - which product?",IF(C151="","Add - which material?",IF(B151="Not found","Check - no such product ID",IF(D151="Add to Materials","Check - no such material ID",IF(OR(F151="",F151=0),"Add - how much?",IF(L151="","Check - that material has no price","OK")))))))</f>
        <v>0</v>
      </c>
    </row>
    <row r="152" spans="2:18">
      <c r="B152" s="13">
        <f>IF(A152="","",IFERROR(INDEX(Products!$B$5:$B$304,MATCH(A152,Products!$A$5:$A$304,0)),"Not found"))</f>
        <v>0</v>
      </c>
      <c r="D152" s="13">
        <f>IF(C152="","",IFERROR(INDEX(Materials!$B$5:$B$254,MATCH(C152,Materials!$A$5:$A$254,0)),"Add to Materials"))</f>
        <v>0</v>
      </c>
      <c r="E152" s="13">
        <f>IF(C152="","",IFERROR(INDEX(Materials!$H$5:$H$254,MATCH(C152,Materials!$A$5:$A$254,0)),"Add to Materials"))</f>
        <v>0</v>
      </c>
      <c r="J152" s="33">
        <f>IF(C152="","",IF(G152&lt;&gt;"",G152,IFERROR(INDEX(Materials!$W$5:$W$254,MATCH(C152,Materials!$A$5:$A$254,0)),DefaultWaste)))</f>
        <v>0</v>
      </c>
      <c r="K152" s="36">
        <f>IF(C152="","",IF(F152="","",ROUND(F152*(1+J152),4)))</f>
        <v>0</v>
      </c>
      <c r="L152" s="45">
        <f>IF(C152="","",IFERROR(INDEX(Materials!$S$5:$S$254,MATCH(C152,Materials!$A$5:$A$254,0)),""))</f>
        <v>0</v>
      </c>
      <c r="M152" s="45">
        <f>IF(C152="","",IF(OR(K152="",L152=""),"",ROUND(K152*L152,4)))</f>
        <v>0</v>
      </c>
      <c r="N152" s="20">
        <f>IF(A152="","",ROUND(SUMIFS('Material Usage'!$M$5:$M$904,'Material Usage'!$A$5:$A$904,A152),2))</f>
        <v>0</v>
      </c>
      <c r="O152" s="33">
        <f>IF(A152="","",IF(OR(M152="",N152="",N152=0),"",M152/N152))</f>
        <v>0</v>
      </c>
      <c r="P152" s="32">
        <f>IF(A152="","",COUNTIFS($A$5:A152,A152))</f>
        <v>0</v>
      </c>
      <c r="Q152" s="13">
        <f>IF(A152="","",A152&amp;"|"&amp;P152)</f>
        <v>0</v>
      </c>
      <c r="R152" s="43">
        <f>IF(AND(A152="",C152=""),"",IF(A152="","Add - which product?",IF(C152="","Add - which material?",IF(B152="Not found","Check - no such product ID",IF(D152="Add to Materials","Check - no such material ID",IF(OR(F152="",F152=0),"Add - how much?",IF(L152="","Check - that material has no price","OK")))))))</f>
        <v>0</v>
      </c>
    </row>
    <row r="153" spans="2:18">
      <c r="B153" s="13">
        <f>IF(A153="","",IFERROR(INDEX(Products!$B$5:$B$304,MATCH(A153,Products!$A$5:$A$304,0)),"Not found"))</f>
        <v>0</v>
      </c>
      <c r="D153" s="13">
        <f>IF(C153="","",IFERROR(INDEX(Materials!$B$5:$B$254,MATCH(C153,Materials!$A$5:$A$254,0)),"Add to Materials"))</f>
        <v>0</v>
      </c>
      <c r="E153" s="13">
        <f>IF(C153="","",IFERROR(INDEX(Materials!$H$5:$H$254,MATCH(C153,Materials!$A$5:$A$254,0)),"Add to Materials"))</f>
        <v>0</v>
      </c>
      <c r="J153" s="33">
        <f>IF(C153="","",IF(G153&lt;&gt;"",G153,IFERROR(INDEX(Materials!$W$5:$W$254,MATCH(C153,Materials!$A$5:$A$254,0)),DefaultWaste)))</f>
        <v>0</v>
      </c>
      <c r="K153" s="36">
        <f>IF(C153="","",IF(F153="","",ROUND(F153*(1+J153),4)))</f>
        <v>0</v>
      </c>
      <c r="L153" s="45">
        <f>IF(C153="","",IFERROR(INDEX(Materials!$S$5:$S$254,MATCH(C153,Materials!$A$5:$A$254,0)),""))</f>
        <v>0</v>
      </c>
      <c r="M153" s="45">
        <f>IF(C153="","",IF(OR(K153="",L153=""),"",ROUND(K153*L153,4)))</f>
        <v>0</v>
      </c>
      <c r="N153" s="20">
        <f>IF(A153="","",ROUND(SUMIFS('Material Usage'!$M$5:$M$904,'Material Usage'!$A$5:$A$904,A153),2))</f>
        <v>0</v>
      </c>
      <c r="O153" s="33">
        <f>IF(A153="","",IF(OR(M153="",N153="",N153=0),"",M153/N153))</f>
        <v>0</v>
      </c>
      <c r="P153" s="32">
        <f>IF(A153="","",COUNTIFS($A$5:A153,A153))</f>
        <v>0</v>
      </c>
      <c r="Q153" s="13">
        <f>IF(A153="","",A153&amp;"|"&amp;P153)</f>
        <v>0</v>
      </c>
      <c r="R153" s="43">
        <f>IF(AND(A153="",C153=""),"",IF(A153="","Add - which product?",IF(C153="","Add - which material?",IF(B153="Not found","Check - no such product ID",IF(D153="Add to Materials","Check - no such material ID",IF(OR(F153="",F153=0),"Add - how much?",IF(L153="","Check - that material has no price","OK")))))))</f>
        <v>0</v>
      </c>
    </row>
    <row r="154" spans="2:18">
      <c r="B154" s="13">
        <f>IF(A154="","",IFERROR(INDEX(Products!$B$5:$B$304,MATCH(A154,Products!$A$5:$A$304,0)),"Not found"))</f>
        <v>0</v>
      </c>
      <c r="D154" s="13">
        <f>IF(C154="","",IFERROR(INDEX(Materials!$B$5:$B$254,MATCH(C154,Materials!$A$5:$A$254,0)),"Add to Materials"))</f>
        <v>0</v>
      </c>
      <c r="E154" s="13">
        <f>IF(C154="","",IFERROR(INDEX(Materials!$H$5:$H$254,MATCH(C154,Materials!$A$5:$A$254,0)),"Add to Materials"))</f>
        <v>0</v>
      </c>
      <c r="J154" s="33">
        <f>IF(C154="","",IF(G154&lt;&gt;"",G154,IFERROR(INDEX(Materials!$W$5:$W$254,MATCH(C154,Materials!$A$5:$A$254,0)),DefaultWaste)))</f>
        <v>0</v>
      </c>
      <c r="K154" s="36">
        <f>IF(C154="","",IF(F154="","",ROUND(F154*(1+J154),4)))</f>
        <v>0</v>
      </c>
      <c r="L154" s="45">
        <f>IF(C154="","",IFERROR(INDEX(Materials!$S$5:$S$254,MATCH(C154,Materials!$A$5:$A$254,0)),""))</f>
        <v>0</v>
      </c>
      <c r="M154" s="45">
        <f>IF(C154="","",IF(OR(K154="",L154=""),"",ROUND(K154*L154,4)))</f>
        <v>0</v>
      </c>
      <c r="N154" s="20">
        <f>IF(A154="","",ROUND(SUMIFS('Material Usage'!$M$5:$M$904,'Material Usage'!$A$5:$A$904,A154),2))</f>
        <v>0</v>
      </c>
      <c r="O154" s="33">
        <f>IF(A154="","",IF(OR(M154="",N154="",N154=0),"",M154/N154))</f>
        <v>0</v>
      </c>
      <c r="P154" s="32">
        <f>IF(A154="","",COUNTIFS($A$5:A154,A154))</f>
        <v>0</v>
      </c>
      <c r="Q154" s="13">
        <f>IF(A154="","",A154&amp;"|"&amp;P154)</f>
        <v>0</v>
      </c>
      <c r="R154" s="43">
        <f>IF(AND(A154="",C154=""),"",IF(A154="","Add - which product?",IF(C154="","Add - which material?",IF(B154="Not found","Check - no such product ID",IF(D154="Add to Materials","Check - no such material ID",IF(OR(F154="",F154=0),"Add - how much?",IF(L154="","Check - that material has no price","OK")))))))</f>
        <v>0</v>
      </c>
    </row>
    <row r="155" spans="2:18">
      <c r="B155" s="13">
        <f>IF(A155="","",IFERROR(INDEX(Products!$B$5:$B$304,MATCH(A155,Products!$A$5:$A$304,0)),"Not found"))</f>
        <v>0</v>
      </c>
      <c r="D155" s="13">
        <f>IF(C155="","",IFERROR(INDEX(Materials!$B$5:$B$254,MATCH(C155,Materials!$A$5:$A$254,0)),"Add to Materials"))</f>
        <v>0</v>
      </c>
      <c r="E155" s="13">
        <f>IF(C155="","",IFERROR(INDEX(Materials!$H$5:$H$254,MATCH(C155,Materials!$A$5:$A$254,0)),"Add to Materials"))</f>
        <v>0</v>
      </c>
      <c r="J155" s="33">
        <f>IF(C155="","",IF(G155&lt;&gt;"",G155,IFERROR(INDEX(Materials!$W$5:$W$254,MATCH(C155,Materials!$A$5:$A$254,0)),DefaultWaste)))</f>
        <v>0</v>
      </c>
      <c r="K155" s="36">
        <f>IF(C155="","",IF(F155="","",ROUND(F155*(1+J155),4)))</f>
        <v>0</v>
      </c>
      <c r="L155" s="45">
        <f>IF(C155="","",IFERROR(INDEX(Materials!$S$5:$S$254,MATCH(C155,Materials!$A$5:$A$254,0)),""))</f>
        <v>0</v>
      </c>
      <c r="M155" s="45">
        <f>IF(C155="","",IF(OR(K155="",L155=""),"",ROUND(K155*L155,4)))</f>
        <v>0</v>
      </c>
      <c r="N155" s="20">
        <f>IF(A155="","",ROUND(SUMIFS('Material Usage'!$M$5:$M$904,'Material Usage'!$A$5:$A$904,A155),2))</f>
        <v>0</v>
      </c>
      <c r="O155" s="33">
        <f>IF(A155="","",IF(OR(M155="",N155="",N155=0),"",M155/N155))</f>
        <v>0</v>
      </c>
      <c r="P155" s="32">
        <f>IF(A155="","",COUNTIFS($A$5:A155,A155))</f>
        <v>0</v>
      </c>
      <c r="Q155" s="13">
        <f>IF(A155="","",A155&amp;"|"&amp;P155)</f>
        <v>0</v>
      </c>
      <c r="R155" s="43">
        <f>IF(AND(A155="",C155=""),"",IF(A155="","Add - which product?",IF(C155="","Add - which material?",IF(B155="Not found","Check - no such product ID",IF(D155="Add to Materials","Check - no such material ID",IF(OR(F155="",F155=0),"Add - how much?",IF(L155="","Check - that material has no price","OK")))))))</f>
        <v>0</v>
      </c>
    </row>
    <row r="156" spans="2:18">
      <c r="B156" s="13">
        <f>IF(A156="","",IFERROR(INDEX(Products!$B$5:$B$304,MATCH(A156,Products!$A$5:$A$304,0)),"Not found"))</f>
        <v>0</v>
      </c>
      <c r="D156" s="13">
        <f>IF(C156="","",IFERROR(INDEX(Materials!$B$5:$B$254,MATCH(C156,Materials!$A$5:$A$254,0)),"Add to Materials"))</f>
        <v>0</v>
      </c>
      <c r="E156" s="13">
        <f>IF(C156="","",IFERROR(INDEX(Materials!$H$5:$H$254,MATCH(C156,Materials!$A$5:$A$254,0)),"Add to Materials"))</f>
        <v>0</v>
      </c>
      <c r="J156" s="33">
        <f>IF(C156="","",IF(G156&lt;&gt;"",G156,IFERROR(INDEX(Materials!$W$5:$W$254,MATCH(C156,Materials!$A$5:$A$254,0)),DefaultWaste)))</f>
        <v>0</v>
      </c>
      <c r="K156" s="36">
        <f>IF(C156="","",IF(F156="","",ROUND(F156*(1+J156),4)))</f>
        <v>0</v>
      </c>
      <c r="L156" s="45">
        <f>IF(C156="","",IFERROR(INDEX(Materials!$S$5:$S$254,MATCH(C156,Materials!$A$5:$A$254,0)),""))</f>
        <v>0</v>
      </c>
      <c r="M156" s="45">
        <f>IF(C156="","",IF(OR(K156="",L156=""),"",ROUND(K156*L156,4)))</f>
        <v>0</v>
      </c>
      <c r="N156" s="20">
        <f>IF(A156="","",ROUND(SUMIFS('Material Usage'!$M$5:$M$904,'Material Usage'!$A$5:$A$904,A156),2))</f>
        <v>0</v>
      </c>
      <c r="O156" s="33">
        <f>IF(A156="","",IF(OR(M156="",N156="",N156=0),"",M156/N156))</f>
        <v>0</v>
      </c>
      <c r="P156" s="32">
        <f>IF(A156="","",COUNTIFS($A$5:A156,A156))</f>
        <v>0</v>
      </c>
      <c r="Q156" s="13">
        <f>IF(A156="","",A156&amp;"|"&amp;P156)</f>
        <v>0</v>
      </c>
      <c r="R156" s="43">
        <f>IF(AND(A156="",C156=""),"",IF(A156="","Add - which product?",IF(C156="","Add - which material?",IF(B156="Not found","Check - no such product ID",IF(D156="Add to Materials","Check - no such material ID",IF(OR(F156="",F156=0),"Add - how much?",IF(L156="","Check - that material has no price","OK")))))))</f>
        <v>0</v>
      </c>
    </row>
    <row r="157" spans="2:18">
      <c r="B157" s="13">
        <f>IF(A157="","",IFERROR(INDEX(Products!$B$5:$B$304,MATCH(A157,Products!$A$5:$A$304,0)),"Not found"))</f>
        <v>0</v>
      </c>
      <c r="D157" s="13">
        <f>IF(C157="","",IFERROR(INDEX(Materials!$B$5:$B$254,MATCH(C157,Materials!$A$5:$A$254,0)),"Add to Materials"))</f>
        <v>0</v>
      </c>
      <c r="E157" s="13">
        <f>IF(C157="","",IFERROR(INDEX(Materials!$H$5:$H$254,MATCH(C157,Materials!$A$5:$A$254,0)),"Add to Materials"))</f>
        <v>0</v>
      </c>
      <c r="J157" s="33">
        <f>IF(C157="","",IF(G157&lt;&gt;"",G157,IFERROR(INDEX(Materials!$W$5:$W$254,MATCH(C157,Materials!$A$5:$A$254,0)),DefaultWaste)))</f>
        <v>0</v>
      </c>
      <c r="K157" s="36">
        <f>IF(C157="","",IF(F157="","",ROUND(F157*(1+J157),4)))</f>
        <v>0</v>
      </c>
      <c r="L157" s="45">
        <f>IF(C157="","",IFERROR(INDEX(Materials!$S$5:$S$254,MATCH(C157,Materials!$A$5:$A$254,0)),""))</f>
        <v>0</v>
      </c>
      <c r="M157" s="45">
        <f>IF(C157="","",IF(OR(K157="",L157=""),"",ROUND(K157*L157,4)))</f>
        <v>0</v>
      </c>
      <c r="N157" s="20">
        <f>IF(A157="","",ROUND(SUMIFS('Material Usage'!$M$5:$M$904,'Material Usage'!$A$5:$A$904,A157),2))</f>
        <v>0</v>
      </c>
      <c r="O157" s="33">
        <f>IF(A157="","",IF(OR(M157="",N157="",N157=0),"",M157/N157))</f>
        <v>0</v>
      </c>
      <c r="P157" s="32">
        <f>IF(A157="","",COUNTIFS($A$5:A157,A157))</f>
        <v>0</v>
      </c>
      <c r="Q157" s="13">
        <f>IF(A157="","",A157&amp;"|"&amp;P157)</f>
        <v>0</v>
      </c>
      <c r="R157" s="43">
        <f>IF(AND(A157="",C157=""),"",IF(A157="","Add - which product?",IF(C157="","Add - which material?",IF(B157="Not found","Check - no such product ID",IF(D157="Add to Materials","Check - no such material ID",IF(OR(F157="",F157=0),"Add - how much?",IF(L157="","Check - that material has no price","OK")))))))</f>
        <v>0</v>
      </c>
    </row>
    <row r="158" spans="2:18">
      <c r="B158" s="13">
        <f>IF(A158="","",IFERROR(INDEX(Products!$B$5:$B$304,MATCH(A158,Products!$A$5:$A$304,0)),"Not found"))</f>
        <v>0</v>
      </c>
      <c r="D158" s="13">
        <f>IF(C158="","",IFERROR(INDEX(Materials!$B$5:$B$254,MATCH(C158,Materials!$A$5:$A$254,0)),"Add to Materials"))</f>
        <v>0</v>
      </c>
      <c r="E158" s="13">
        <f>IF(C158="","",IFERROR(INDEX(Materials!$H$5:$H$254,MATCH(C158,Materials!$A$5:$A$254,0)),"Add to Materials"))</f>
        <v>0</v>
      </c>
      <c r="J158" s="33">
        <f>IF(C158="","",IF(G158&lt;&gt;"",G158,IFERROR(INDEX(Materials!$W$5:$W$254,MATCH(C158,Materials!$A$5:$A$254,0)),DefaultWaste)))</f>
        <v>0</v>
      </c>
      <c r="K158" s="36">
        <f>IF(C158="","",IF(F158="","",ROUND(F158*(1+J158),4)))</f>
        <v>0</v>
      </c>
      <c r="L158" s="45">
        <f>IF(C158="","",IFERROR(INDEX(Materials!$S$5:$S$254,MATCH(C158,Materials!$A$5:$A$254,0)),""))</f>
        <v>0</v>
      </c>
      <c r="M158" s="45">
        <f>IF(C158="","",IF(OR(K158="",L158=""),"",ROUND(K158*L158,4)))</f>
        <v>0</v>
      </c>
      <c r="N158" s="20">
        <f>IF(A158="","",ROUND(SUMIFS('Material Usage'!$M$5:$M$904,'Material Usage'!$A$5:$A$904,A158),2))</f>
        <v>0</v>
      </c>
      <c r="O158" s="33">
        <f>IF(A158="","",IF(OR(M158="",N158="",N158=0),"",M158/N158))</f>
        <v>0</v>
      </c>
      <c r="P158" s="32">
        <f>IF(A158="","",COUNTIFS($A$5:A158,A158))</f>
        <v>0</v>
      </c>
      <c r="Q158" s="13">
        <f>IF(A158="","",A158&amp;"|"&amp;P158)</f>
        <v>0</v>
      </c>
      <c r="R158" s="43">
        <f>IF(AND(A158="",C158=""),"",IF(A158="","Add - which product?",IF(C158="","Add - which material?",IF(B158="Not found","Check - no such product ID",IF(D158="Add to Materials","Check - no such material ID",IF(OR(F158="",F158=0),"Add - how much?",IF(L158="","Check - that material has no price","OK")))))))</f>
        <v>0</v>
      </c>
    </row>
    <row r="159" spans="2:18">
      <c r="B159" s="13">
        <f>IF(A159="","",IFERROR(INDEX(Products!$B$5:$B$304,MATCH(A159,Products!$A$5:$A$304,0)),"Not found"))</f>
        <v>0</v>
      </c>
      <c r="D159" s="13">
        <f>IF(C159="","",IFERROR(INDEX(Materials!$B$5:$B$254,MATCH(C159,Materials!$A$5:$A$254,0)),"Add to Materials"))</f>
        <v>0</v>
      </c>
      <c r="E159" s="13">
        <f>IF(C159="","",IFERROR(INDEX(Materials!$H$5:$H$254,MATCH(C159,Materials!$A$5:$A$254,0)),"Add to Materials"))</f>
        <v>0</v>
      </c>
      <c r="J159" s="33">
        <f>IF(C159="","",IF(G159&lt;&gt;"",G159,IFERROR(INDEX(Materials!$W$5:$W$254,MATCH(C159,Materials!$A$5:$A$254,0)),DefaultWaste)))</f>
        <v>0</v>
      </c>
      <c r="K159" s="36">
        <f>IF(C159="","",IF(F159="","",ROUND(F159*(1+J159),4)))</f>
        <v>0</v>
      </c>
      <c r="L159" s="45">
        <f>IF(C159="","",IFERROR(INDEX(Materials!$S$5:$S$254,MATCH(C159,Materials!$A$5:$A$254,0)),""))</f>
        <v>0</v>
      </c>
      <c r="M159" s="45">
        <f>IF(C159="","",IF(OR(K159="",L159=""),"",ROUND(K159*L159,4)))</f>
        <v>0</v>
      </c>
      <c r="N159" s="20">
        <f>IF(A159="","",ROUND(SUMIFS('Material Usage'!$M$5:$M$904,'Material Usage'!$A$5:$A$904,A159),2))</f>
        <v>0</v>
      </c>
      <c r="O159" s="33">
        <f>IF(A159="","",IF(OR(M159="",N159="",N159=0),"",M159/N159))</f>
        <v>0</v>
      </c>
      <c r="P159" s="32">
        <f>IF(A159="","",COUNTIFS($A$5:A159,A159))</f>
        <v>0</v>
      </c>
      <c r="Q159" s="13">
        <f>IF(A159="","",A159&amp;"|"&amp;P159)</f>
        <v>0</v>
      </c>
      <c r="R159" s="43">
        <f>IF(AND(A159="",C159=""),"",IF(A159="","Add - which product?",IF(C159="","Add - which material?",IF(B159="Not found","Check - no such product ID",IF(D159="Add to Materials","Check - no such material ID",IF(OR(F159="",F159=0),"Add - how much?",IF(L159="","Check - that material has no price","OK")))))))</f>
        <v>0</v>
      </c>
    </row>
    <row r="160" spans="2:18">
      <c r="B160" s="13">
        <f>IF(A160="","",IFERROR(INDEX(Products!$B$5:$B$304,MATCH(A160,Products!$A$5:$A$304,0)),"Not found"))</f>
        <v>0</v>
      </c>
      <c r="D160" s="13">
        <f>IF(C160="","",IFERROR(INDEX(Materials!$B$5:$B$254,MATCH(C160,Materials!$A$5:$A$254,0)),"Add to Materials"))</f>
        <v>0</v>
      </c>
      <c r="E160" s="13">
        <f>IF(C160="","",IFERROR(INDEX(Materials!$H$5:$H$254,MATCH(C160,Materials!$A$5:$A$254,0)),"Add to Materials"))</f>
        <v>0</v>
      </c>
      <c r="J160" s="33">
        <f>IF(C160="","",IF(G160&lt;&gt;"",G160,IFERROR(INDEX(Materials!$W$5:$W$254,MATCH(C160,Materials!$A$5:$A$254,0)),DefaultWaste)))</f>
        <v>0</v>
      </c>
      <c r="K160" s="36">
        <f>IF(C160="","",IF(F160="","",ROUND(F160*(1+J160),4)))</f>
        <v>0</v>
      </c>
      <c r="L160" s="45">
        <f>IF(C160="","",IFERROR(INDEX(Materials!$S$5:$S$254,MATCH(C160,Materials!$A$5:$A$254,0)),""))</f>
        <v>0</v>
      </c>
      <c r="M160" s="45">
        <f>IF(C160="","",IF(OR(K160="",L160=""),"",ROUND(K160*L160,4)))</f>
        <v>0</v>
      </c>
      <c r="N160" s="20">
        <f>IF(A160="","",ROUND(SUMIFS('Material Usage'!$M$5:$M$904,'Material Usage'!$A$5:$A$904,A160),2))</f>
        <v>0</v>
      </c>
      <c r="O160" s="33">
        <f>IF(A160="","",IF(OR(M160="",N160="",N160=0),"",M160/N160))</f>
        <v>0</v>
      </c>
      <c r="P160" s="32">
        <f>IF(A160="","",COUNTIFS($A$5:A160,A160))</f>
        <v>0</v>
      </c>
      <c r="Q160" s="13">
        <f>IF(A160="","",A160&amp;"|"&amp;P160)</f>
        <v>0</v>
      </c>
      <c r="R160" s="43">
        <f>IF(AND(A160="",C160=""),"",IF(A160="","Add - which product?",IF(C160="","Add - which material?",IF(B160="Not found","Check - no such product ID",IF(D160="Add to Materials","Check - no such material ID",IF(OR(F160="",F160=0),"Add - how much?",IF(L160="","Check - that material has no price","OK")))))))</f>
        <v>0</v>
      </c>
    </row>
    <row r="161" spans="2:18">
      <c r="B161" s="13">
        <f>IF(A161="","",IFERROR(INDEX(Products!$B$5:$B$304,MATCH(A161,Products!$A$5:$A$304,0)),"Not found"))</f>
        <v>0</v>
      </c>
      <c r="D161" s="13">
        <f>IF(C161="","",IFERROR(INDEX(Materials!$B$5:$B$254,MATCH(C161,Materials!$A$5:$A$254,0)),"Add to Materials"))</f>
        <v>0</v>
      </c>
      <c r="E161" s="13">
        <f>IF(C161="","",IFERROR(INDEX(Materials!$H$5:$H$254,MATCH(C161,Materials!$A$5:$A$254,0)),"Add to Materials"))</f>
        <v>0</v>
      </c>
      <c r="J161" s="33">
        <f>IF(C161="","",IF(G161&lt;&gt;"",G161,IFERROR(INDEX(Materials!$W$5:$W$254,MATCH(C161,Materials!$A$5:$A$254,0)),DefaultWaste)))</f>
        <v>0</v>
      </c>
      <c r="K161" s="36">
        <f>IF(C161="","",IF(F161="","",ROUND(F161*(1+J161),4)))</f>
        <v>0</v>
      </c>
      <c r="L161" s="45">
        <f>IF(C161="","",IFERROR(INDEX(Materials!$S$5:$S$254,MATCH(C161,Materials!$A$5:$A$254,0)),""))</f>
        <v>0</v>
      </c>
      <c r="M161" s="45">
        <f>IF(C161="","",IF(OR(K161="",L161=""),"",ROUND(K161*L161,4)))</f>
        <v>0</v>
      </c>
      <c r="N161" s="20">
        <f>IF(A161="","",ROUND(SUMIFS('Material Usage'!$M$5:$M$904,'Material Usage'!$A$5:$A$904,A161),2))</f>
        <v>0</v>
      </c>
      <c r="O161" s="33">
        <f>IF(A161="","",IF(OR(M161="",N161="",N161=0),"",M161/N161))</f>
        <v>0</v>
      </c>
      <c r="P161" s="32">
        <f>IF(A161="","",COUNTIFS($A$5:A161,A161))</f>
        <v>0</v>
      </c>
      <c r="Q161" s="13">
        <f>IF(A161="","",A161&amp;"|"&amp;P161)</f>
        <v>0</v>
      </c>
      <c r="R161" s="43">
        <f>IF(AND(A161="",C161=""),"",IF(A161="","Add - which product?",IF(C161="","Add - which material?",IF(B161="Not found","Check - no such product ID",IF(D161="Add to Materials","Check - no such material ID",IF(OR(F161="",F161=0),"Add - how much?",IF(L161="","Check - that material has no price","OK")))))))</f>
        <v>0</v>
      </c>
    </row>
    <row r="162" spans="2:18">
      <c r="B162" s="13">
        <f>IF(A162="","",IFERROR(INDEX(Products!$B$5:$B$304,MATCH(A162,Products!$A$5:$A$304,0)),"Not found"))</f>
        <v>0</v>
      </c>
      <c r="D162" s="13">
        <f>IF(C162="","",IFERROR(INDEX(Materials!$B$5:$B$254,MATCH(C162,Materials!$A$5:$A$254,0)),"Add to Materials"))</f>
        <v>0</v>
      </c>
      <c r="E162" s="13">
        <f>IF(C162="","",IFERROR(INDEX(Materials!$H$5:$H$254,MATCH(C162,Materials!$A$5:$A$254,0)),"Add to Materials"))</f>
        <v>0</v>
      </c>
      <c r="J162" s="33">
        <f>IF(C162="","",IF(G162&lt;&gt;"",G162,IFERROR(INDEX(Materials!$W$5:$W$254,MATCH(C162,Materials!$A$5:$A$254,0)),DefaultWaste)))</f>
        <v>0</v>
      </c>
      <c r="K162" s="36">
        <f>IF(C162="","",IF(F162="","",ROUND(F162*(1+J162),4)))</f>
        <v>0</v>
      </c>
      <c r="L162" s="45">
        <f>IF(C162="","",IFERROR(INDEX(Materials!$S$5:$S$254,MATCH(C162,Materials!$A$5:$A$254,0)),""))</f>
        <v>0</v>
      </c>
      <c r="M162" s="45">
        <f>IF(C162="","",IF(OR(K162="",L162=""),"",ROUND(K162*L162,4)))</f>
        <v>0</v>
      </c>
      <c r="N162" s="20">
        <f>IF(A162="","",ROUND(SUMIFS('Material Usage'!$M$5:$M$904,'Material Usage'!$A$5:$A$904,A162),2))</f>
        <v>0</v>
      </c>
      <c r="O162" s="33">
        <f>IF(A162="","",IF(OR(M162="",N162="",N162=0),"",M162/N162))</f>
        <v>0</v>
      </c>
      <c r="P162" s="32">
        <f>IF(A162="","",COUNTIFS($A$5:A162,A162))</f>
        <v>0</v>
      </c>
      <c r="Q162" s="13">
        <f>IF(A162="","",A162&amp;"|"&amp;P162)</f>
        <v>0</v>
      </c>
      <c r="R162" s="43">
        <f>IF(AND(A162="",C162=""),"",IF(A162="","Add - which product?",IF(C162="","Add - which material?",IF(B162="Not found","Check - no such product ID",IF(D162="Add to Materials","Check - no such material ID",IF(OR(F162="",F162=0),"Add - how much?",IF(L162="","Check - that material has no price","OK")))))))</f>
        <v>0</v>
      </c>
    </row>
    <row r="163" spans="2:18">
      <c r="B163" s="13">
        <f>IF(A163="","",IFERROR(INDEX(Products!$B$5:$B$304,MATCH(A163,Products!$A$5:$A$304,0)),"Not found"))</f>
        <v>0</v>
      </c>
      <c r="D163" s="13">
        <f>IF(C163="","",IFERROR(INDEX(Materials!$B$5:$B$254,MATCH(C163,Materials!$A$5:$A$254,0)),"Add to Materials"))</f>
        <v>0</v>
      </c>
      <c r="E163" s="13">
        <f>IF(C163="","",IFERROR(INDEX(Materials!$H$5:$H$254,MATCH(C163,Materials!$A$5:$A$254,0)),"Add to Materials"))</f>
        <v>0</v>
      </c>
      <c r="J163" s="33">
        <f>IF(C163="","",IF(G163&lt;&gt;"",G163,IFERROR(INDEX(Materials!$W$5:$W$254,MATCH(C163,Materials!$A$5:$A$254,0)),DefaultWaste)))</f>
        <v>0</v>
      </c>
      <c r="K163" s="36">
        <f>IF(C163="","",IF(F163="","",ROUND(F163*(1+J163),4)))</f>
        <v>0</v>
      </c>
      <c r="L163" s="45">
        <f>IF(C163="","",IFERROR(INDEX(Materials!$S$5:$S$254,MATCH(C163,Materials!$A$5:$A$254,0)),""))</f>
        <v>0</v>
      </c>
      <c r="M163" s="45">
        <f>IF(C163="","",IF(OR(K163="",L163=""),"",ROUND(K163*L163,4)))</f>
        <v>0</v>
      </c>
      <c r="N163" s="20">
        <f>IF(A163="","",ROUND(SUMIFS('Material Usage'!$M$5:$M$904,'Material Usage'!$A$5:$A$904,A163),2))</f>
        <v>0</v>
      </c>
      <c r="O163" s="33">
        <f>IF(A163="","",IF(OR(M163="",N163="",N163=0),"",M163/N163))</f>
        <v>0</v>
      </c>
      <c r="P163" s="32">
        <f>IF(A163="","",COUNTIFS($A$5:A163,A163))</f>
        <v>0</v>
      </c>
      <c r="Q163" s="13">
        <f>IF(A163="","",A163&amp;"|"&amp;P163)</f>
        <v>0</v>
      </c>
      <c r="R163" s="43">
        <f>IF(AND(A163="",C163=""),"",IF(A163="","Add - which product?",IF(C163="","Add - which material?",IF(B163="Not found","Check - no such product ID",IF(D163="Add to Materials","Check - no such material ID",IF(OR(F163="",F163=0),"Add - how much?",IF(L163="","Check - that material has no price","OK")))))))</f>
        <v>0</v>
      </c>
    </row>
    <row r="164" spans="2:18">
      <c r="B164" s="13">
        <f>IF(A164="","",IFERROR(INDEX(Products!$B$5:$B$304,MATCH(A164,Products!$A$5:$A$304,0)),"Not found"))</f>
        <v>0</v>
      </c>
      <c r="D164" s="13">
        <f>IF(C164="","",IFERROR(INDEX(Materials!$B$5:$B$254,MATCH(C164,Materials!$A$5:$A$254,0)),"Add to Materials"))</f>
        <v>0</v>
      </c>
      <c r="E164" s="13">
        <f>IF(C164="","",IFERROR(INDEX(Materials!$H$5:$H$254,MATCH(C164,Materials!$A$5:$A$254,0)),"Add to Materials"))</f>
        <v>0</v>
      </c>
      <c r="J164" s="33">
        <f>IF(C164="","",IF(G164&lt;&gt;"",G164,IFERROR(INDEX(Materials!$W$5:$W$254,MATCH(C164,Materials!$A$5:$A$254,0)),DefaultWaste)))</f>
        <v>0</v>
      </c>
      <c r="K164" s="36">
        <f>IF(C164="","",IF(F164="","",ROUND(F164*(1+J164),4)))</f>
        <v>0</v>
      </c>
      <c r="L164" s="45">
        <f>IF(C164="","",IFERROR(INDEX(Materials!$S$5:$S$254,MATCH(C164,Materials!$A$5:$A$254,0)),""))</f>
        <v>0</v>
      </c>
      <c r="M164" s="45">
        <f>IF(C164="","",IF(OR(K164="",L164=""),"",ROUND(K164*L164,4)))</f>
        <v>0</v>
      </c>
      <c r="N164" s="20">
        <f>IF(A164="","",ROUND(SUMIFS('Material Usage'!$M$5:$M$904,'Material Usage'!$A$5:$A$904,A164),2))</f>
        <v>0</v>
      </c>
      <c r="O164" s="33">
        <f>IF(A164="","",IF(OR(M164="",N164="",N164=0),"",M164/N164))</f>
        <v>0</v>
      </c>
      <c r="P164" s="32">
        <f>IF(A164="","",COUNTIFS($A$5:A164,A164))</f>
        <v>0</v>
      </c>
      <c r="Q164" s="13">
        <f>IF(A164="","",A164&amp;"|"&amp;P164)</f>
        <v>0</v>
      </c>
      <c r="R164" s="43">
        <f>IF(AND(A164="",C164=""),"",IF(A164="","Add - which product?",IF(C164="","Add - which material?",IF(B164="Not found","Check - no such product ID",IF(D164="Add to Materials","Check - no such material ID",IF(OR(F164="",F164=0),"Add - how much?",IF(L164="","Check - that material has no price","OK")))))))</f>
        <v>0</v>
      </c>
    </row>
    <row r="165" spans="2:18">
      <c r="B165" s="13">
        <f>IF(A165="","",IFERROR(INDEX(Products!$B$5:$B$304,MATCH(A165,Products!$A$5:$A$304,0)),"Not found"))</f>
        <v>0</v>
      </c>
      <c r="D165" s="13">
        <f>IF(C165="","",IFERROR(INDEX(Materials!$B$5:$B$254,MATCH(C165,Materials!$A$5:$A$254,0)),"Add to Materials"))</f>
        <v>0</v>
      </c>
      <c r="E165" s="13">
        <f>IF(C165="","",IFERROR(INDEX(Materials!$H$5:$H$254,MATCH(C165,Materials!$A$5:$A$254,0)),"Add to Materials"))</f>
        <v>0</v>
      </c>
      <c r="J165" s="33">
        <f>IF(C165="","",IF(G165&lt;&gt;"",G165,IFERROR(INDEX(Materials!$W$5:$W$254,MATCH(C165,Materials!$A$5:$A$254,0)),DefaultWaste)))</f>
        <v>0</v>
      </c>
      <c r="K165" s="36">
        <f>IF(C165="","",IF(F165="","",ROUND(F165*(1+J165),4)))</f>
        <v>0</v>
      </c>
      <c r="L165" s="45">
        <f>IF(C165="","",IFERROR(INDEX(Materials!$S$5:$S$254,MATCH(C165,Materials!$A$5:$A$254,0)),""))</f>
        <v>0</v>
      </c>
      <c r="M165" s="45">
        <f>IF(C165="","",IF(OR(K165="",L165=""),"",ROUND(K165*L165,4)))</f>
        <v>0</v>
      </c>
      <c r="N165" s="20">
        <f>IF(A165="","",ROUND(SUMIFS('Material Usage'!$M$5:$M$904,'Material Usage'!$A$5:$A$904,A165),2))</f>
        <v>0</v>
      </c>
      <c r="O165" s="33">
        <f>IF(A165="","",IF(OR(M165="",N165="",N165=0),"",M165/N165))</f>
        <v>0</v>
      </c>
      <c r="P165" s="32">
        <f>IF(A165="","",COUNTIFS($A$5:A165,A165))</f>
        <v>0</v>
      </c>
      <c r="Q165" s="13">
        <f>IF(A165="","",A165&amp;"|"&amp;P165)</f>
        <v>0</v>
      </c>
      <c r="R165" s="43">
        <f>IF(AND(A165="",C165=""),"",IF(A165="","Add - which product?",IF(C165="","Add - which material?",IF(B165="Not found","Check - no such product ID",IF(D165="Add to Materials","Check - no such material ID",IF(OR(F165="",F165=0),"Add - how much?",IF(L165="","Check - that material has no price","OK")))))))</f>
        <v>0</v>
      </c>
    </row>
    <row r="166" spans="2:18">
      <c r="B166" s="13">
        <f>IF(A166="","",IFERROR(INDEX(Products!$B$5:$B$304,MATCH(A166,Products!$A$5:$A$304,0)),"Not found"))</f>
        <v>0</v>
      </c>
      <c r="D166" s="13">
        <f>IF(C166="","",IFERROR(INDEX(Materials!$B$5:$B$254,MATCH(C166,Materials!$A$5:$A$254,0)),"Add to Materials"))</f>
        <v>0</v>
      </c>
      <c r="E166" s="13">
        <f>IF(C166="","",IFERROR(INDEX(Materials!$H$5:$H$254,MATCH(C166,Materials!$A$5:$A$254,0)),"Add to Materials"))</f>
        <v>0</v>
      </c>
      <c r="J166" s="33">
        <f>IF(C166="","",IF(G166&lt;&gt;"",G166,IFERROR(INDEX(Materials!$W$5:$W$254,MATCH(C166,Materials!$A$5:$A$254,0)),DefaultWaste)))</f>
        <v>0</v>
      </c>
      <c r="K166" s="36">
        <f>IF(C166="","",IF(F166="","",ROUND(F166*(1+J166),4)))</f>
        <v>0</v>
      </c>
      <c r="L166" s="45">
        <f>IF(C166="","",IFERROR(INDEX(Materials!$S$5:$S$254,MATCH(C166,Materials!$A$5:$A$254,0)),""))</f>
        <v>0</v>
      </c>
      <c r="M166" s="45">
        <f>IF(C166="","",IF(OR(K166="",L166=""),"",ROUND(K166*L166,4)))</f>
        <v>0</v>
      </c>
      <c r="N166" s="20">
        <f>IF(A166="","",ROUND(SUMIFS('Material Usage'!$M$5:$M$904,'Material Usage'!$A$5:$A$904,A166),2))</f>
        <v>0</v>
      </c>
      <c r="O166" s="33">
        <f>IF(A166="","",IF(OR(M166="",N166="",N166=0),"",M166/N166))</f>
        <v>0</v>
      </c>
      <c r="P166" s="32">
        <f>IF(A166="","",COUNTIFS($A$5:A166,A166))</f>
        <v>0</v>
      </c>
      <c r="Q166" s="13">
        <f>IF(A166="","",A166&amp;"|"&amp;P166)</f>
        <v>0</v>
      </c>
      <c r="R166" s="43">
        <f>IF(AND(A166="",C166=""),"",IF(A166="","Add - which product?",IF(C166="","Add - which material?",IF(B166="Not found","Check - no such product ID",IF(D166="Add to Materials","Check - no such material ID",IF(OR(F166="",F166=0),"Add - how much?",IF(L166="","Check - that material has no price","OK")))))))</f>
        <v>0</v>
      </c>
    </row>
    <row r="167" spans="2:18">
      <c r="B167" s="13">
        <f>IF(A167="","",IFERROR(INDEX(Products!$B$5:$B$304,MATCH(A167,Products!$A$5:$A$304,0)),"Not found"))</f>
        <v>0</v>
      </c>
      <c r="D167" s="13">
        <f>IF(C167="","",IFERROR(INDEX(Materials!$B$5:$B$254,MATCH(C167,Materials!$A$5:$A$254,0)),"Add to Materials"))</f>
        <v>0</v>
      </c>
      <c r="E167" s="13">
        <f>IF(C167="","",IFERROR(INDEX(Materials!$H$5:$H$254,MATCH(C167,Materials!$A$5:$A$254,0)),"Add to Materials"))</f>
        <v>0</v>
      </c>
      <c r="J167" s="33">
        <f>IF(C167="","",IF(G167&lt;&gt;"",G167,IFERROR(INDEX(Materials!$W$5:$W$254,MATCH(C167,Materials!$A$5:$A$254,0)),DefaultWaste)))</f>
        <v>0</v>
      </c>
      <c r="K167" s="36">
        <f>IF(C167="","",IF(F167="","",ROUND(F167*(1+J167),4)))</f>
        <v>0</v>
      </c>
      <c r="L167" s="45">
        <f>IF(C167="","",IFERROR(INDEX(Materials!$S$5:$S$254,MATCH(C167,Materials!$A$5:$A$254,0)),""))</f>
        <v>0</v>
      </c>
      <c r="M167" s="45">
        <f>IF(C167="","",IF(OR(K167="",L167=""),"",ROUND(K167*L167,4)))</f>
        <v>0</v>
      </c>
      <c r="N167" s="20">
        <f>IF(A167="","",ROUND(SUMIFS('Material Usage'!$M$5:$M$904,'Material Usage'!$A$5:$A$904,A167),2))</f>
        <v>0</v>
      </c>
      <c r="O167" s="33">
        <f>IF(A167="","",IF(OR(M167="",N167="",N167=0),"",M167/N167))</f>
        <v>0</v>
      </c>
      <c r="P167" s="32">
        <f>IF(A167="","",COUNTIFS($A$5:A167,A167))</f>
        <v>0</v>
      </c>
      <c r="Q167" s="13">
        <f>IF(A167="","",A167&amp;"|"&amp;P167)</f>
        <v>0</v>
      </c>
      <c r="R167" s="43">
        <f>IF(AND(A167="",C167=""),"",IF(A167="","Add - which product?",IF(C167="","Add - which material?",IF(B167="Not found","Check - no such product ID",IF(D167="Add to Materials","Check - no such material ID",IF(OR(F167="",F167=0),"Add - how much?",IF(L167="","Check - that material has no price","OK")))))))</f>
        <v>0</v>
      </c>
    </row>
    <row r="168" spans="2:18">
      <c r="B168" s="13">
        <f>IF(A168="","",IFERROR(INDEX(Products!$B$5:$B$304,MATCH(A168,Products!$A$5:$A$304,0)),"Not found"))</f>
        <v>0</v>
      </c>
      <c r="D168" s="13">
        <f>IF(C168="","",IFERROR(INDEX(Materials!$B$5:$B$254,MATCH(C168,Materials!$A$5:$A$254,0)),"Add to Materials"))</f>
        <v>0</v>
      </c>
      <c r="E168" s="13">
        <f>IF(C168="","",IFERROR(INDEX(Materials!$H$5:$H$254,MATCH(C168,Materials!$A$5:$A$254,0)),"Add to Materials"))</f>
        <v>0</v>
      </c>
      <c r="J168" s="33">
        <f>IF(C168="","",IF(G168&lt;&gt;"",G168,IFERROR(INDEX(Materials!$W$5:$W$254,MATCH(C168,Materials!$A$5:$A$254,0)),DefaultWaste)))</f>
        <v>0</v>
      </c>
      <c r="K168" s="36">
        <f>IF(C168="","",IF(F168="","",ROUND(F168*(1+J168),4)))</f>
        <v>0</v>
      </c>
      <c r="L168" s="45">
        <f>IF(C168="","",IFERROR(INDEX(Materials!$S$5:$S$254,MATCH(C168,Materials!$A$5:$A$254,0)),""))</f>
        <v>0</v>
      </c>
      <c r="M168" s="45">
        <f>IF(C168="","",IF(OR(K168="",L168=""),"",ROUND(K168*L168,4)))</f>
        <v>0</v>
      </c>
      <c r="N168" s="20">
        <f>IF(A168="","",ROUND(SUMIFS('Material Usage'!$M$5:$M$904,'Material Usage'!$A$5:$A$904,A168),2))</f>
        <v>0</v>
      </c>
      <c r="O168" s="33">
        <f>IF(A168="","",IF(OR(M168="",N168="",N168=0),"",M168/N168))</f>
        <v>0</v>
      </c>
      <c r="P168" s="32">
        <f>IF(A168="","",COUNTIFS($A$5:A168,A168))</f>
        <v>0</v>
      </c>
      <c r="Q168" s="13">
        <f>IF(A168="","",A168&amp;"|"&amp;P168)</f>
        <v>0</v>
      </c>
      <c r="R168" s="43">
        <f>IF(AND(A168="",C168=""),"",IF(A168="","Add - which product?",IF(C168="","Add - which material?",IF(B168="Not found","Check - no such product ID",IF(D168="Add to Materials","Check - no such material ID",IF(OR(F168="",F168=0),"Add - how much?",IF(L168="","Check - that material has no price","OK")))))))</f>
        <v>0</v>
      </c>
    </row>
    <row r="169" spans="2:18">
      <c r="B169" s="13">
        <f>IF(A169="","",IFERROR(INDEX(Products!$B$5:$B$304,MATCH(A169,Products!$A$5:$A$304,0)),"Not found"))</f>
        <v>0</v>
      </c>
      <c r="D169" s="13">
        <f>IF(C169="","",IFERROR(INDEX(Materials!$B$5:$B$254,MATCH(C169,Materials!$A$5:$A$254,0)),"Add to Materials"))</f>
        <v>0</v>
      </c>
      <c r="E169" s="13">
        <f>IF(C169="","",IFERROR(INDEX(Materials!$H$5:$H$254,MATCH(C169,Materials!$A$5:$A$254,0)),"Add to Materials"))</f>
        <v>0</v>
      </c>
      <c r="J169" s="33">
        <f>IF(C169="","",IF(G169&lt;&gt;"",G169,IFERROR(INDEX(Materials!$W$5:$W$254,MATCH(C169,Materials!$A$5:$A$254,0)),DefaultWaste)))</f>
        <v>0</v>
      </c>
      <c r="K169" s="36">
        <f>IF(C169="","",IF(F169="","",ROUND(F169*(1+J169),4)))</f>
        <v>0</v>
      </c>
      <c r="L169" s="45">
        <f>IF(C169="","",IFERROR(INDEX(Materials!$S$5:$S$254,MATCH(C169,Materials!$A$5:$A$254,0)),""))</f>
        <v>0</v>
      </c>
      <c r="M169" s="45">
        <f>IF(C169="","",IF(OR(K169="",L169=""),"",ROUND(K169*L169,4)))</f>
        <v>0</v>
      </c>
      <c r="N169" s="20">
        <f>IF(A169="","",ROUND(SUMIFS('Material Usage'!$M$5:$M$904,'Material Usage'!$A$5:$A$904,A169),2))</f>
        <v>0</v>
      </c>
      <c r="O169" s="33">
        <f>IF(A169="","",IF(OR(M169="",N169="",N169=0),"",M169/N169))</f>
        <v>0</v>
      </c>
      <c r="P169" s="32">
        <f>IF(A169="","",COUNTIFS($A$5:A169,A169))</f>
        <v>0</v>
      </c>
      <c r="Q169" s="13">
        <f>IF(A169="","",A169&amp;"|"&amp;P169)</f>
        <v>0</v>
      </c>
      <c r="R169" s="43">
        <f>IF(AND(A169="",C169=""),"",IF(A169="","Add - which product?",IF(C169="","Add - which material?",IF(B169="Not found","Check - no such product ID",IF(D169="Add to Materials","Check - no such material ID",IF(OR(F169="",F169=0),"Add - how much?",IF(L169="","Check - that material has no price","OK")))))))</f>
        <v>0</v>
      </c>
    </row>
    <row r="170" spans="2:18">
      <c r="B170" s="13">
        <f>IF(A170="","",IFERROR(INDEX(Products!$B$5:$B$304,MATCH(A170,Products!$A$5:$A$304,0)),"Not found"))</f>
        <v>0</v>
      </c>
      <c r="D170" s="13">
        <f>IF(C170="","",IFERROR(INDEX(Materials!$B$5:$B$254,MATCH(C170,Materials!$A$5:$A$254,0)),"Add to Materials"))</f>
        <v>0</v>
      </c>
      <c r="E170" s="13">
        <f>IF(C170="","",IFERROR(INDEX(Materials!$H$5:$H$254,MATCH(C170,Materials!$A$5:$A$254,0)),"Add to Materials"))</f>
        <v>0</v>
      </c>
      <c r="J170" s="33">
        <f>IF(C170="","",IF(G170&lt;&gt;"",G170,IFERROR(INDEX(Materials!$W$5:$W$254,MATCH(C170,Materials!$A$5:$A$254,0)),DefaultWaste)))</f>
        <v>0</v>
      </c>
      <c r="K170" s="36">
        <f>IF(C170="","",IF(F170="","",ROUND(F170*(1+J170),4)))</f>
        <v>0</v>
      </c>
      <c r="L170" s="45">
        <f>IF(C170="","",IFERROR(INDEX(Materials!$S$5:$S$254,MATCH(C170,Materials!$A$5:$A$254,0)),""))</f>
        <v>0</v>
      </c>
      <c r="M170" s="45">
        <f>IF(C170="","",IF(OR(K170="",L170=""),"",ROUND(K170*L170,4)))</f>
        <v>0</v>
      </c>
      <c r="N170" s="20">
        <f>IF(A170="","",ROUND(SUMIFS('Material Usage'!$M$5:$M$904,'Material Usage'!$A$5:$A$904,A170),2))</f>
        <v>0</v>
      </c>
      <c r="O170" s="33">
        <f>IF(A170="","",IF(OR(M170="",N170="",N170=0),"",M170/N170))</f>
        <v>0</v>
      </c>
      <c r="P170" s="32">
        <f>IF(A170="","",COUNTIFS($A$5:A170,A170))</f>
        <v>0</v>
      </c>
      <c r="Q170" s="13">
        <f>IF(A170="","",A170&amp;"|"&amp;P170)</f>
        <v>0</v>
      </c>
      <c r="R170" s="43">
        <f>IF(AND(A170="",C170=""),"",IF(A170="","Add - which product?",IF(C170="","Add - which material?",IF(B170="Not found","Check - no such product ID",IF(D170="Add to Materials","Check - no such material ID",IF(OR(F170="",F170=0),"Add - how much?",IF(L170="","Check - that material has no price","OK")))))))</f>
        <v>0</v>
      </c>
    </row>
    <row r="171" spans="2:18">
      <c r="B171" s="13">
        <f>IF(A171="","",IFERROR(INDEX(Products!$B$5:$B$304,MATCH(A171,Products!$A$5:$A$304,0)),"Not found"))</f>
        <v>0</v>
      </c>
      <c r="D171" s="13">
        <f>IF(C171="","",IFERROR(INDEX(Materials!$B$5:$B$254,MATCH(C171,Materials!$A$5:$A$254,0)),"Add to Materials"))</f>
        <v>0</v>
      </c>
      <c r="E171" s="13">
        <f>IF(C171="","",IFERROR(INDEX(Materials!$H$5:$H$254,MATCH(C171,Materials!$A$5:$A$254,0)),"Add to Materials"))</f>
        <v>0</v>
      </c>
      <c r="J171" s="33">
        <f>IF(C171="","",IF(G171&lt;&gt;"",G171,IFERROR(INDEX(Materials!$W$5:$W$254,MATCH(C171,Materials!$A$5:$A$254,0)),DefaultWaste)))</f>
        <v>0</v>
      </c>
      <c r="K171" s="36">
        <f>IF(C171="","",IF(F171="","",ROUND(F171*(1+J171),4)))</f>
        <v>0</v>
      </c>
      <c r="L171" s="45">
        <f>IF(C171="","",IFERROR(INDEX(Materials!$S$5:$S$254,MATCH(C171,Materials!$A$5:$A$254,0)),""))</f>
        <v>0</v>
      </c>
      <c r="M171" s="45">
        <f>IF(C171="","",IF(OR(K171="",L171=""),"",ROUND(K171*L171,4)))</f>
        <v>0</v>
      </c>
      <c r="N171" s="20">
        <f>IF(A171="","",ROUND(SUMIFS('Material Usage'!$M$5:$M$904,'Material Usage'!$A$5:$A$904,A171),2))</f>
        <v>0</v>
      </c>
      <c r="O171" s="33">
        <f>IF(A171="","",IF(OR(M171="",N171="",N171=0),"",M171/N171))</f>
        <v>0</v>
      </c>
      <c r="P171" s="32">
        <f>IF(A171="","",COUNTIFS($A$5:A171,A171))</f>
        <v>0</v>
      </c>
      <c r="Q171" s="13">
        <f>IF(A171="","",A171&amp;"|"&amp;P171)</f>
        <v>0</v>
      </c>
      <c r="R171" s="43">
        <f>IF(AND(A171="",C171=""),"",IF(A171="","Add - which product?",IF(C171="","Add - which material?",IF(B171="Not found","Check - no such product ID",IF(D171="Add to Materials","Check - no such material ID",IF(OR(F171="",F171=0),"Add - how much?",IF(L171="","Check - that material has no price","OK")))))))</f>
        <v>0</v>
      </c>
    </row>
    <row r="172" spans="2:18">
      <c r="B172" s="13">
        <f>IF(A172="","",IFERROR(INDEX(Products!$B$5:$B$304,MATCH(A172,Products!$A$5:$A$304,0)),"Not found"))</f>
        <v>0</v>
      </c>
      <c r="D172" s="13">
        <f>IF(C172="","",IFERROR(INDEX(Materials!$B$5:$B$254,MATCH(C172,Materials!$A$5:$A$254,0)),"Add to Materials"))</f>
        <v>0</v>
      </c>
      <c r="E172" s="13">
        <f>IF(C172="","",IFERROR(INDEX(Materials!$H$5:$H$254,MATCH(C172,Materials!$A$5:$A$254,0)),"Add to Materials"))</f>
        <v>0</v>
      </c>
      <c r="J172" s="33">
        <f>IF(C172="","",IF(G172&lt;&gt;"",G172,IFERROR(INDEX(Materials!$W$5:$W$254,MATCH(C172,Materials!$A$5:$A$254,0)),DefaultWaste)))</f>
        <v>0</v>
      </c>
      <c r="K172" s="36">
        <f>IF(C172="","",IF(F172="","",ROUND(F172*(1+J172),4)))</f>
        <v>0</v>
      </c>
      <c r="L172" s="45">
        <f>IF(C172="","",IFERROR(INDEX(Materials!$S$5:$S$254,MATCH(C172,Materials!$A$5:$A$254,0)),""))</f>
        <v>0</v>
      </c>
      <c r="M172" s="45">
        <f>IF(C172="","",IF(OR(K172="",L172=""),"",ROUND(K172*L172,4)))</f>
        <v>0</v>
      </c>
      <c r="N172" s="20">
        <f>IF(A172="","",ROUND(SUMIFS('Material Usage'!$M$5:$M$904,'Material Usage'!$A$5:$A$904,A172),2))</f>
        <v>0</v>
      </c>
      <c r="O172" s="33">
        <f>IF(A172="","",IF(OR(M172="",N172="",N172=0),"",M172/N172))</f>
        <v>0</v>
      </c>
      <c r="P172" s="32">
        <f>IF(A172="","",COUNTIFS($A$5:A172,A172))</f>
        <v>0</v>
      </c>
      <c r="Q172" s="13">
        <f>IF(A172="","",A172&amp;"|"&amp;P172)</f>
        <v>0</v>
      </c>
      <c r="R172" s="43">
        <f>IF(AND(A172="",C172=""),"",IF(A172="","Add - which product?",IF(C172="","Add - which material?",IF(B172="Not found","Check - no such product ID",IF(D172="Add to Materials","Check - no such material ID",IF(OR(F172="",F172=0),"Add - how much?",IF(L172="","Check - that material has no price","OK")))))))</f>
        <v>0</v>
      </c>
    </row>
    <row r="173" spans="2:18">
      <c r="B173" s="13">
        <f>IF(A173="","",IFERROR(INDEX(Products!$B$5:$B$304,MATCH(A173,Products!$A$5:$A$304,0)),"Not found"))</f>
        <v>0</v>
      </c>
      <c r="D173" s="13">
        <f>IF(C173="","",IFERROR(INDEX(Materials!$B$5:$B$254,MATCH(C173,Materials!$A$5:$A$254,0)),"Add to Materials"))</f>
        <v>0</v>
      </c>
      <c r="E173" s="13">
        <f>IF(C173="","",IFERROR(INDEX(Materials!$H$5:$H$254,MATCH(C173,Materials!$A$5:$A$254,0)),"Add to Materials"))</f>
        <v>0</v>
      </c>
      <c r="J173" s="33">
        <f>IF(C173="","",IF(G173&lt;&gt;"",G173,IFERROR(INDEX(Materials!$W$5:$W$254,MATCH(C173,Materials!$A$5:$A$254,0)),DefaultWaste)))</f>
        <v>0</v>
      </c>
      <c r="K173" s="36">
        <f>IF(C173="","",IF(F173="","",ROUND(F173*(1+J173),4)))</f>
        <v>0</v>
      </c>
      <c r="L173" s="45">
        <f>IF(C173="","",IFERROR(INDEX(Materials!$S$5:$S$254,MATCH(C173,Materials!$A$5:$A$254,0)),""))</f>
        <v>0</v>
      </c>
      <c r="M173" s="45">
        <f>IF(C173="","",IF(OR(K173="",L173=""),"",ROUND(K173*L173,4)))</f>
        <v>0</v>
      </c>
      <c r="N173" s="20">
        <f>IF(A173="","",ROUND(SUMIFS('Material Usage'!$M$5:$M$904,'Material Usage'!$A$5:$A$904,A173),2))</f>
        <v>0</v>
      </c>
      <c r="O173" s="33">
        <f>IF(A173="","",IF(OR(M173="",N173="",N173=0),"",M173/N173))</f>
        <v>0</v>
      </c>
      <c r="P173" s="32">
        <f>IF(A173="","",COUNTIFS($A$5:A173,A173))</f>
        <v>0</v>
      </c>
      <c r="Q173" s="13">
        <f>IF(A173="","",A173&amp;"|"&amp;P173)</f>
        <v>0</v>
      </c>
      <c r="R173" s="43">
        <f>IF(AND(A173="",C173=""),"",IF(A173="","Add - which product?",IF(C173="","Add - which material?",IF(B173="Not found","Check - no such product ID",IF(D173="Add to Materials","Check - no such material ID",IF(OR(F173="",F173=0),"Add - how much?",IF(L173="","Check - that material has no price","OK")))))))</f>
        <v>0</v>
      </c>
    </row>
    <row r="174" spans="2:18">
      <c r="B174" s="13">
        <f>IF(A174="","",IFERROR(INDEX(Products!$B$5:$B$304,MATCH(A174,Products!$A$5:$A$304,0)),"Not found"))</f>
        <v>0</v>
      </c>
      <c r="D174" s="13">
        <f>IF(C174="","",IFERROR(INDEX(Materials!$B$5:$B$254,MATCH(C174,Materials!$A$5:$A$254,0)),"Add to Materials"))</f>
        <v>0</v>
      </c>
      <c r="E174" s="13">
        <f>IF(C174="","",IFERROR(INDEX(Materials!$H$5:$H$254,MATCH(C174,Materials!$A$5:$A$254,0)),"Add to Materials"))</f>
        <v>0</v>
      </c>
      <c r="J174" s="33">
        <f>IF(C174="","",IF(G174&lt;&gt;"",G174,IFERROR(INDEX(Materials!$W$5:$W$254,MATCH(C174,Materials!$A$5:$A$254,0)),DefaultWaste)))</f>
        <v>0</v>
      </c>
      <c r="K174" s="36">
        <f>IF(C174="","",IF(F174="","",ROUND(F174*(1+J174),4)))</f>
        <v>0</v>
      </c>
      <c r="L174" s="45">
        <f>IF(C174="","",IFERROR(INDEX(Materials!$S$5:$S$254,MATCH(C174,Materials!$A$5:$A$254,0)),""))</f>
        <v>0</v>
      </c>
      <c r="M174" s="45">
        <f>IF(C174="","",IF(OR(K174="",L174=""),"",ROUND(K174*L174,4)))</f>
        <v>0</v>
      </c>
      <c r="N174" s="20">
        <f>IF(A174="","",ROUND(SUMIFS('Material Usage'!$M$5:$M$904,'Material Usage'!$A$5:$A$904,A174),2))</f>
        <v>0</v>
      </c>
      <c r="O174" s="33">
        <f>IF(A174="","",IF(OR(M174="",N174="",N174=0),"",M174/N174))</f>
        <v>0</v>
      </c>
      <c r="P174" s="32">
        <f>IF(A174="","",COUNTIFS($A$5:A174,A174))</f>
        <v>0</v>
      </c>
      <c r="Q174" s="13">
        <f>IF(A174="","",A174&amp;"|"&amp;P174)</f>
        <v>0</v>
      </c>
      <c r="R174" s="43">
        <f>IF(AND(A174="",C174=""),"",IF(A174="","Add - which product?",IF(C174="","Add - which material?",IF(B174="Not found","Check - no such product ID",IF(D174="Add to Materials","Check - no such material ID",IF(OR(F174="",F174=0),"Add - how much?",IF(L174="","Check - that material has no price","OK")))))))</f>
        <v>0</v>
      </c>
    </row>
    <row r="175" spans="2:18">
      <c r="B175" s="13">
        <f>IF(A175="","",IFERROR(INDEX(Products!$B$5:$B$304,MATCH(A175,Products!$A$5:$A$304,0)),"Not found"))</f>
        <v>0</v>
      </c>
      <c r="D175" s="13">
        <f>IF(C175="","",IFERROR(INDEX(Materials!$B$5:$B$254,MATCH(C175,Materials!$A$5:$A$254,0)),"Add to Materials"))</f>
        <v>0</v>
      </c>
      <c r="E175" s="13">
        <f>IF(C175="","",IFERROR(INDEX(Materials!$H$5:$H$254,MATCH(C175,Materials!$A$5:$A$254,0)),"Add to Materials"))</f>
        <v>0</v>
      </c>
      <c r="J175" s="33">
        <f>IF(C175="","",IF(G175&lt;&gt;"",G175,IFERROR(INDEX(Materials!$W$5:$W$254,MATCH(C175,Materials!$A$5:$A$254,0)),DefaultWaste)))</f>
        <v>0</v>
      </c>
      <c r="K175" s="36">
        <f>IF(C175="","",IF(F175="","",ROUND(F175*(1+J175),4)))</f>
        <v>0</v>
      </c>
      <c r="L175" s="45">
        <f>IF(C175="","",IFERROR(INDEX(Materials!$S$5:$S$254,MATCH(C175,Materials!$A$5:$A$254,0)),""))</f>
        <v>0</v>
      </c>
      <c r="M175" s="45">
        <f>IF(C175="","",IF(OR(K175="",L175=""),"",ROUND(K175*L175,4)))</f>
        <v>0</v>
      </c>
      <c r="N175" s="20">
        <f>IF(A175="","",ROUND(SUMIFS('Material Usage'!$M$5:$M$904,'Material Usage'!$A$5:$A$904,A175),2))</f>
        <v>0</v>
      </c>
      <c r="O175" s="33">
        <f>IF(A175="","",IF(OR(M175="",N175="",N175=0),"",M175/N175))</f>
        <v>0</v>
      </c>
      <c r="P175" s="32">
        <f>IF(A175="","",COUNTIFS($A$5:A175,A175))</f>
        <v>0</v>
      </c>
      <c r="Q175" s="13">
        <f>IF(A175="","",A175&amp;"|"&amp;P175)</f>
        <v>0</v>
      </c>
      <c r="R175" s="43">
        <f>IF(AND(A175="",C175=""),"",IF(A175="","Add - which product?",IF(C175="","Add - which material?",IF(B175="Not found","Check - no such product ID",IF(D175="Add to Materials","Check - no such material ID",IF(OR(F175="",F175=0),"Add - how much?",IF(L175="","Check - that material has no price","OK")))))))</f>
        <v>0</v>
      </c>
    </row>
    <row r="176" spans="2:18">
      <c r="B176" s="13">
        <f>IF(A176="","",IFERROR(INDEX(Products!$B$5:$B$304,MATCH(A176,Products!$A$5:$A$304,0)),"Not found"))</f>
        <v>0</v>
      </c>
      <c r="D176" s="13">
        <f>IF(C176="","",IFERROR(INDEX(Materials!$B$5:$B$254,MATCH(C176,Materials!$A$5:$A$254,0)),"Add to Materials"))</f>
        <v>0</v>
      </c>
      <c r="E176" s="13">
        <f>IF(C176="","",IFERROR(INDEX(Materials!$H$5:$H$254,MATCH(C176,Materials!$A$5:$A$254,0)),"Add to Materials"))</f>
        <v>0</v>
      </c>
      <c r="J176" s="33">
        <f>IF(C176="","",IF(G176&lt;&gt;"",G176,IFERROR(INDEX(Materials!$W$5:$W$254,MATCH(C176,Materials!$A$5:$A$254,0)),DefaultWaste)))</f>
        <v>0</v>
      </c>
      <c r="K176" s="36">
        <f>IF(C176="","",IF(F176="","",ROUND(F176*(1+J176),4)))</f>
        <v>0</v>
      </c>
      <c r="L176" s="45">
        <f>IF(C176="","",IFERROR(INDEX(Materials!$S$5:$S$254,MATCH(C176,Materials!$A$5:$A$254,0)),""))</f>
        <v>0</v>
      </c>
      <c r="M176" s="45">
        <f>IF(C176="","",IF(OR(K176="",L176=""),"",ROUND(K176*L176,4)))</f>
        <v>0</v>
      </c>
      <c r="N176" s="20">
        <f>IF(A176="","",ROUND(SUMIFS('Material Usage'!$M$5:$M$904,'Material Usage'!$A$5:$A$904,A176),2))</f>
        <v>0</v>
      </c>
      <c r="O176" s="33">
        <f>IF(A176="","",IF(OR(M176="",N176="",N176=0),"",M176/N176))</f>
        <v>0</v>
      </c>
      <c r="P176" s="32">
        <f>IF(A176="","",COUNTIFS($A$5:A176,A176))</f>
        <v>0</v>
      </c>
      <c r="Q176" s="13">
        <f>IF(A176="","",A176&amp;"|"&amp;P176)</f>
        <v>0</v>
      </c>
      <c r="R176" s="43">
        <f>IF(AND(A176="",C176=""),"",IF(A176="","Add - which product?",IF(C176="","Add - which material?",IF(B176="Not found","Check - no such product ID",IF(D176="Add to Materials","Check - no such material ID",IF(OR(F176="",F176=0),"Add - how much?",IF(L176="","Check - that material has no price","OK")))))))</f>
        <v>0</v>
      </c>
    </row>
    <row r="177" spans="2:18">
      <c r="B177" s="13">
        <f>IF(A177="","",IFERROR(INDEX(Products!$B$5:$B$304,MATCH(A177,Products!$A$5:$A$304,0)),"Not found"))</f>
        <v>0</v>
      </c>
      <c r="D177" s="13">
        <f>IF(C177="","",IFERROR(INDEX(Materials!$B$5:$B$254,MATCH(C177,Materials!$A$5:$A$254,0)),"Add to Materials"))</f>
        <v>0</v>
      </c>
      <c r="E177" s="13">
        <f>IF(C177="","",IFERROR(INDEX(Materials!$H$5:$H$254,MATCH(C177,Materials!$A$5:$A$254,0)),"Add to Materials"))</f>
        <v>0</v>
      </c>
      <c r="J177" s="33">
        <f>IF(C177="","",IF(G177&lt;&gt;"",G177,IFERROR(INDEX(Materials!$W$5:$W$254,MATCH(C177,Materials!$A$5:$A$254,0)),DefaultWaste)))</f>
        <v>0</v>
      </c>
      <c r="K177" s="36">
        <f>IF(C177="","",IF(F177="","",ROUND(F177*(1+J177),4)))</f>
        <v>0</v>
      </c>
      <c r="L177" s="45">
        <f>IF(C177="","",IFERROR(INDEX(Materials!$S$5:$S$254,MATCH(C177,Materials!$A$5:$A$254,0)),""))</f>
        <v>0</v>
      </c>
      <c r="M177" s="45">
        <f>IF(C177="","",IF(OR(K177="",L177=""),"",ROUND(K177*L177,4)))</f>
        <v>0</v>
      </c>
      <c r="N177" s="20">
        <f>IF(A177="","",ROUND(SUMIFS('Material Usage'!$M$5:$M$904,'Material Usage'!$A$5:$A$904,A177),2))</f>
        <v>0</v>
      </c>
      <c r="O177" s="33">
        <f>IF(A177="","",IF(OR(M177="",N177="",N177=0),"",M177/N177))</f>
        <v>0</v>
      </c>
      <c r="P177" s="32">
        <f>IF(A177="","",COUNTIFS($A$5:A177,A177))</f>
        <v>0</v>
      </c>
      <c r="Q177" s="13">
        <f>IF(A177="","",A177&amp;"|"&amp;P177)</f>
        <v>0</v>
      </c>
      <c r="R177" s="43">
        <f>IF(AND(A177="",C177=""),"",IF(A177="","Add - which product?",IF(C177="","Add - which material?",IF(B177="Not found","Check - no such product ID",IF(D177="Add to Materials","Check - no such material ID",IF(OR(F177="",F177=0),"Add - how much?",IF(L177="","Check - that material has no price","OK")))))))</f>
        <v>0</v>
      </c>
    </row>
    <row r="178" spans="2:18">
      <c r="B178" s="13">
        <f>IF(A178="","",IFERROR(INDEX(Products!$B$5:$B$304,MATCH(A178,Products!$A$5:$A$304,0)),"Not found"))</f>
        <v>0</v>
      </c>
      <c r="D178" s="13">
        <f>IF(C178="","",IFERROR(INDEX(Materials!$B$5:$B$254,MATCH(C178,Materials!$A$5:$A$254,0)),"Add to Materials"))</f>
        <v>0</v>
      </c>
      <c r="E178" s="13">
        <f>IF(C178="","",IFERROR(INDEX(Materials!$H$5:$H$254,MATCH(C178,Materials!$A$5:$A$254,0)),"Add to Materials"))</f>
        <v>0</v>
      </c>
      <c r="J178" s="33">
        <f>IF(C178="","",IF(G178&lt;&gt;"",G178,IFERROR(INDEX(Materials!$W$5:$W$254,MATCH(C178,Materials!$A$5:$A$254,0)),DefaultWaste)))</f>
        <v>0</v>
      </c>
      <c r="K178" s="36">
        <f>IF(C178="","",IF(F178="","",ROUND(F178*(1+J178),4)))</f>
        <v>0</v>
      </c>
      <c r="L178" s="45">
        <f>IF(C178="","",IFERROR(INDEX(Materials!$S$5:$S$254,MATCH(C178,Materials!$A$5:$A$254,0)),""))</f>
        <v>0</v>
      </c>
      <c r="M178" s="45">
        <f>IF(C178="","",IF(OR(K178="",L178=""),"",ROUND(K178*L178,4)))</f>
        <v>0</v>
      </c>
      <c r="N178" s="20">
        <f>IF(A178="","",ROUND(SUMIFS('Material Usage'!$M$5:$M$904,'Material Usage'!$A$5:$A$904,A178),2))</f>
        <v>0</v>
      </c>
      <c r="O178" s="33">
        <f>IF(A178="","",IF(OR(M178="",N178="",N178=0),"",M178/N178))</f>
        <v>0</v>
      </c>
      <c r="P178" s="32">
        <f>IF(A178="","",COUNTIFS($A$5:A178,A178))</f>
        <v>0</v>
      </c>
      <c r="Q178" s="13">
        <f>IF(A178="","",A178&amp;"|"&amp;P178)</f>
        <v>0</v>
      </c>
      <c r="R178" s="43">
        <f>IF(AND(A178="",C178=""),"",IF(A178="","Add - which product?",IF(C178="","Add - which material?",IF(B178="Not found","Check - no such product ID",IF(D178="Add to Materials","Check - no such material ID",IF(OR(F178="",F178=0),"Add - how much?",IF(L178="","Check - that material has no price","OK")))))))</f>
        <v>0</v>
      </c>
    </row>
    <row r="179" spans="2:18">
      <c r="B179" s="13">
        <f>IF(A179="","",IFERROR(INDEX(Products!$B$5:$B$304,MATCH(A179,Products!$A$5:$A$304,0)),"Not found"))</f>
        <v>0</v>
      </c>
      <c r="D179" s="13">
        <f>IF(C179="","",IFERROR(INDEX(Materials!$B$5:$B$254,MATCH(C179,Materials!$A$5:$A$254,0)),"Add to Materials"))</f>
        <v>0</v>
      </c>
      <c r="E179" s="13">
        <f>IF(C179="","",IFERROR(INDEX(Materials!$H$5:$H$254,MATCH(C179,Materials!$A$5:$A$254,0)),"Add to Materials"))</f>
        <v>0</v>
      </c>
      <c r="J179" s="33">
        <f>IF(C179="","",IF(G179&lt;&gt;"",G179,IFERROR(INDEX(Materials!$W$5:$W$254,MATCH(C179,Materials!$A$5:$A$254,0)),DefaultWaste)))</f>
        <v>0</v>
      </c>
      <c r="K179" s="36">
        <f>IF(C179="","",IF(F179="","",ROUND(F179*(1+J179),4)))</f>
        <v>0</v>
      </c>
      <c r="L179" s="45">
        <f>IF(C179="","",IFERROR(INDEX(Materials!$S$5:$S$254,MATCH(C179,Materials!$A$5:$A$254,0)),""))</f>
        <v>0</v>
      </c>
      <c r="M179" s="45">
        <f>IF(C179="","",IF(OR(K179="",L179=""),"",ROUND(K179*L179,4)))</f>
        <v>0</v>
      </c>
      <c r="N179" s="20">
        <f>IF(A179="","",ROUND(SUMIFS('Material Usage'!$M$5:$M$904,'Material Usage'!$A$5:$A$904,A179),2))</f>
        <v>0</v>
      </c>
      <c r="O179" s="33">
        <f>IF(A179="","",IF(OR(M179="",N179="",N179=0),"",M179/N179))</f>
        <v>0</v>
      </c>
      <c r="P179" s="32">
        <f>IF(A179="","",COUNTIFS($A$5:A179,A179))</f>
        <v>0</v>
      </c>
      <c r="Q179" s="13">
        <f>IF(A179="","",A179&amp;"|"&amp;P179)</f>
        <v>0</v>
      </c>
      <c r="R179" s="43">
        <f>IF(AND(A179="",C179=""),"",IF(A179="","Add - which product?",IF(C179="","Add - which material?",IF(B179="Not found","Check - no such product ID",IF(D179="Add to Materials","Check - no such material ID",IF(OR(F179="",F179=0),"Add - how much?",IF(L179="","Check - that material has no price","OK")))))))</f>
        <v>0</v>
      </c>
    </row>
    <row r="180" spans="2:18">
      <c r="B180" s="13">
        <f>IF(A180="","",IFERROR(INDEX(Products!$B$5:$B$304,MATCH(A180,Products!$A$5:$A$304,0)),"Not found"))</f>
        <v>0</v>
      </c>
      <c r="D180" s="13">
        <f>IF(C180="","",IFERROR(INDEX(Materials!$B$5:$B$254,MATCH(C180,Materials!$A$5:$A$254,0)),"Add to Materials"))</f>
        <v>0</v>
      </c>
      <c r="E180" s="13">
        <f>IF(C180="","",IFERROR(INDEX(Materials!$H$5:$H$254,MATCH(C180,Materials!$A$5:$A$254,0)),"Add to Materials"))</f>
        <v>0</v>
      </c>
      <c r="J180" s="33">
        <f>IF(C180="","",IF(G180&lt;&gt;"",G180,IFERROR(INDEX(Materials!$W$5:$W$254,MATCH(C180,Materials!$A$5:$A$254,0)),DefaultWaste)))</f>
        <v>0</v>
      </c>
      <c r="K180" s="36">
        <f>IF(C180="","",IF(F180="","",ROUND(F180*(1+J180),4)))</f>
        <v>0</v>
      </c>
      <c r="L180" s="45">
        <f>IF(C180="","",IFERROR(INDEX(Materials!$S$5:$S$254,MATCH(C180,Materials!$A$5:$A$254,0)),""))</f>
        <v>0</v>
      </c>
      <c r="M180" s="45">
        <f>IF(C180="","",IF(OR(K180="",L180=""),"",ROUND(K180*L180,4)))</f>
        <v>0</v>
      </c>
      <c r="N180" s="20">
        <f>IF(A180="","",ROUND(SUMIFS('Material Usage'!$M$5:$M$904,'Material Usage'!$A$5:$A$904,A180),2))</f>
        <v>0</v>
      </c>
      <c r="O180" s="33">
        <f>IF(A180="","",IF(OR(M180="",N180="",N180=0),"",M180/N180))</f>
        <v>0</v>
      </c>
      <c r="P180" s="32">
        <f>IF(A180="","",COUNTIFS($A$5:A180,A180))</f>
        <v>0</v>
      </c>
      <c r="Q180" s="13">
        <f>IF(A180="","",A180&amp;"|"&amp;P180)</f>
        <v>0</v>
      </c>
      <c r="R180" s="43">
        <f>IF(AND(A180="",C180=""),"",IF(A180="","Add - which product?",IF(C180="","Add - which material?",IF(B180="Not found","Check - no such product ID",IF(D180="Add to Materials","Check - no such material ID",IF(OR(F180="",F180=0),"Add - how much?",IF(L180="","Check - that material has no price","OK")))))))</f>
        <v>0</v>
      </c>
    </row>
    <row r="181" spans="2:18">
      <c r="B181" s="13">
        <f>IF(A181="","",IFERROR(INDEX(Products!$B$5:$B$304,MATCH(A181,Products!$A$5:$A$304,0)),"Not found"))</f>
        <v>0</v>
      </c>
      <c r="D181" s="13">
        <f>IF(C181="","",IFERROR(INDEX(Materials!$B$5:$B$254,MATCH(C181,Materials!$A$5:$A$254,0)),"Add to Materials"))</f>
        <v>0</v>
      </c>
      <c r="E181" s="13">
        <f>IF(C181="","",IFERROR(INDEX(Materials!$H$5:$H$254,MATCH(C181,Materials!$A$5:$A$254,0)),"Add to Materials"))</f>
        <v>0</v>
      </c>
      <c r="J181" s="33">
        <f>IF(C181="","",IF(G181&lt;&gt;"",G181,IFERROR(INDEX(Materials!$W$5:$W$254,MATCH(C181,Materials!$A$5:$A$254,0)),DefaultWaste)))</f>
        <v>0</v>
      </c>
      <c r="K181" s="36">
        <f>IF(C181="","",IF(F181="","",ROUND(F181*(1+J181),4)))</f>
        <v>0</v>
      </c>
      <c r="L181" s="45">
        <f>IF(C181="","",IFERROR(INDEX(Materials!$S$5:$S$254,MATCH(C181,Materials!$A$5:$A$254,0)),""))</f>
        <v>0</v>
      </c>
      <c r="M181" s="45">
        <f>IF(C181="","",IF(OR(K181="",L181=""),"",ROUND(K181*L181,4)))</f>
        <v>0</v>
      </c>
      <c r="N181" s="20">
        <f>IF(A181="","",ROUND(SUMIFS('Material Usage'!$M$5:$M$904,'Material Usage'!$A$5:$A$904,A181),2))</f>
        <v>0</v>
      </c>
      <c r="O181" s="33">
        <f>IF(A181="","",IF(OR(M181="",N181="",N181=0),"",M181/N181))</f>
        <v>0</v>
      </c>
      <c r="P181" s="32">
        <f>IF(A181="","",COUNTIFS($A$5:A181,A181))</f>
        <v>0</v>
      </c>
      <c r="Q181" s="13">
        <f>IF(A181="","",A181&amp;"|"&amp;P181)</f>
        <v>0</v>
      </c>
      <c r="R181" s="43">
        <f>IF(AND(A181="",C181=""),"",IF(A181="","Add - which product?",IF(C181="","Add - which material?",IF(B181="Not found","Check - no such product ID",IF(D181="Add to Materials","Check - no such material ID",IF(OR(F181="",F181=0),"Add - how much?",IF(L181="","Check - that material has no price","OK")))))))</f>
        <v>0</v>
      </c>
    </row>
    <row r="182" spans="2:18">
      <c r="B182" s="13">
        <f>IF(A182="","",IFERROR(INDEX(Products!$B$5:$B$304,MATCH(A182,Products!$A$5:$A$304,0)),"Not found"))</f>
        <v>0</v>
      </c>
      <c r="D182" s="13">
        <f>IF(C182="","",IFERROR(INDEX(Materials!$B$5:$B$254,MATCH(C182,Materials!$A$5:$A$254,0)),"Add to Materials"))</f>
        <v>0</v>
      </c>
      <c r="E182" s="13">
        <f>IF(C182="","",IFERROR(INDEX(Materials!$H$5:$H$254,MATCH(C182,Materials!$A$5:$A$254,0)),"Add to Materials"))</f>
        <v>0</v>
      </c>
      <c r="J182" s="33">
        <f>IF(C182="","",IF(G182&lt;&gt;"",G182,IFERROR(INDEX(Materials!$W$5:$W$254,MATCH(C182,Materials!$A$5:$A$254,0)),DefaultWaste)))</f>
        <v>0</v>
      </c>
      <c r="K182" s="36">
        <f>IF(C182="","",IF(F182="","",ROUND(F182*(1+J182),4)))</f>
        <v>0</v>
      </c>
      <c r="L182" s="45">
        <f>IF(C182="","",IFERROR(INDEX(Materials!$S$5:$S$254,MATCH(C182,Materials!$A$5:$A$254,0)),""))</f>
        <v>0</v>
      </c>
      <c r="M182" s="45">
        <f>IF(C182="","",IF(OR(K182="",L182=""),"",ROUND(K182*L182,4)))</f>
        <v>0</v>
      </c>
      <c r="N182" s="20">
        <f>IF(A182="","",ROUND(SUMIFS('Material Usage'!$M$5:$M$904,'Material Usage'!$A$5:$A$904,A182),2))</f>
        <v>0</v>
      </c>
      <c r="O182" s="33">
        <f>IF(A182="","",IF(OR(M182="",N182="",N182=0),"",M182/N182))</f>
        <v>0</v>
      </c>
      <c r="P182" s="32">
        <f>IF(A182="","",COUNTIFS($A$5:A182,A182))</f>
        <v>0</v>
      </c>
      <c r="Q182" s="13">
        <f>IF(A182="","",A182&amp;"|"&amp;P182)</f>
        <v>0</v>
      </c>
      <c r="R182" s="43">
        <f>IF(AND(A182="",C182=""),"",IF(A182="","Add - which product?",IF(C182="","Add - which material?",IF(B182="Not found","Check - no such product ID",IF(D182="Add to Materials","Check - no such material ID",IF(OR(F182="",F182=0),"Add - how much?",IF(L182="","Check - that material has no price","OK")))))))</f>
        <v>0</v>
      </c>
    </row>
    <row r="183" spans="2:18">
      <c r="B183" s="13">
        <f>IF(A183="","",IFERROR(INDEX(Products!$B$5:$B$304,MATCH(A183,Products!$A$5:$A$304,0)),"Not found"))</f>
        <v>0</v>
      </c>
      <c r="D183" s="13">
        <f>IF(C183="","",IFERROR(INDEX(Materials!$B$5:$B$254,MATCH(C183,Materials!$A$5:$A$254,0)),"Add to Materials"))</f>
        <v>0</v>
      </c>
      <c r="E183" s="13">
        <f>IF(C183="","",IFERROR(INDEX(Materials!$H$5:$H$254,MATCH(C183,Materials!$A$5:$A$254,0)),"Add to Materials"))</f>
        <v>0</v>
      </c>
      <c r="J183" s="33">
        <f>IF(C183="","",IF(G183&lt;&gt;"",G183,IFERROR(INDEX(Materials!$W$5:$W$254,MATCH(C183,Materials!$A$5:$A$254,0)),DefaultWaste)))</f>
        <v>0</v>
      </c>
      <c r="K183" s="36">
        <f>IF(C183="","",IF(F183="","",ROUND(F183*(1+J183),4)))</f>
        <v>0</v>
      </c>
      <c r="L183" s="45">
        <f>IF(C183="","",IFERROR(INDEX(Materials!$S$5:$S$254,MATCH(C183,Materials!$A$5:$A$254,0)),""))</f>
        <v>0</v>
      </c>
      <c r="M183" s="45">
        <f>IF(C183="","",IF(OR(K183="",L183=""),"",ROUND(K183*L183,4)))</f>
        <v>0</v>
      </c>
      <c r="N183" s="20">
        <f>IF(A183="","",ROUND(SUMIFS('Material Usage'!$M$5:$M$904,'Material Usage'!$A$5:$A$904,A183),2))</f>
        <v>0</v>
      </c>
      <c r="O183" s="33">
        <f>IF(A183="","",IF(OR(M183="",N183="",N183=0),"",M183/N183))</f>
        <v>0</v>
      </c>
      <c r="P183" s="32">
        <f>IF(A183="","",COUNTIFS($A$5:A183,A183))</f>
        <v>0</v>
      </c>
      <c r="Q183" s="13">
        <f>IF(A183="","",A183&amp;"|"&amp;P183)</f>
        <v>0</v>
      </c>
      <c r="R183" s="43">
        <f>IF(AND(A183="",C183=""),"",IF(A183="","Add - which product?",IF(C183="","Add - which material?",IF(B183="Not found","Check - no such product ID",IF(D183="Add to Materials","Check - no such material ID",IF(OR(F183="",F183=0),"Add - how much?",IF(L183="","Check - that material has no price","OK")))))))</f>
        <v>0</v>
      </c>
    </row>
    <row r="184" spans="2:18">
      <c r="B184" s="13">
        <f>IF(A184="","",IFERROR(INDEX(Products!$B$5:$B$304,MATCH(A184,Products!$A$5:$A$304,0)),"Not found"))</f>
        <v>0</v>
      </c>
      <c r="D184" s="13">
        <f>IF(C184="","",IFERROR(INDEX(Materials!$B$5:$B$254,MATCH(C184,Materials!$A$5:$A$254,0)),"Add to Materials"))</f>
        <v>0</v>
      </c>
      <c r="E184" s="13">
        <f>IF(C184="","",IFERROR(INDEX(Materials!$H$5:$H$254,MATCH(C184,Materials!$A$5:$A$254,0)),"Add to Materials"))</f>
        <v>0</v>
      </c>
      <c r="J184" s="33">
        <f>IF(C184="","",IF(G184&lt;&gt;"",G184,IFERROR(INDEX(Materials!$W$5:$W$254,MATCH(C184,Materials!$A$5:$A$254,0)),DefaultWaste)))</f>
        <v>0</v>
      </c>
      <c r="K184" s="36">
        <f>IF(C184="","",IF(F184="","",ROUND(F184*(1+J184),4)))</f>
        <v>0</v>
      </c>
      <c r="L184" s="45">
        <f>IF(C184="","",IFERROR(INDEX(Materials!$S$5:$S$254,MATCH(C184,Materials!$A$5:$A$254,0)),""))</f>
        <v>0</v>
      </c>
      <c r="M184" s="45">
        <f>IF(C184="","",IF(OR(K184="",L184=""),"",ROUND(K184*L184,4)))</f>
        <v>0</v>
      </c>
      <c r="N184" s="20">
        <f>IF(A184="","",ROUND(SUMIFS('Material Usage'!$M$5:$M$904,'Material Usage'!$A$5:$A$904,A184),2))</f>
        <v>0</v>
      </c>
      <c r="O184" s="33">
        <f>IF(A184="","",IF(OR(M184="",N184="",N184=0),"",M184/N184))</f>
        <v>0</v>
      </c>
      <c r="P184" s="32">
        <f>IF(A184="","",COUNTIFS($A$5:A184,A184))</f>
        <v>0</v>
      </c>
      <c r="Q184" s="13">
        <f>IF(A184="","",A184&amp;"|"&amp;P184)</f>
        <v>0</v>
      </c>
      <c r="R184" s="43">
        <f>IF(AND(A184="",C184=""),"",IF(A184="","Add - which product?",IF(C184="","Add - which material?",IF(B184="Not found","Check - no such product ID",IF(D184="Add to Materials","Check - no such material ID",IF(OR(F184="",F184=0),"Add - how much?",IF(L184="","Check - that material has no price","OK")))))))</f>
        <v>0</v>
      </c>
    </row>
    <row r="185" spans="2:18">
      <c r="B185" s="13">
        <f>IF(A185="","",IFERROR(INDEX(Products!$B$5:$B$304,MATCH(A185,Products!$A$5:$A$304,0)),"Not found"))</f>
        <v>0</v>
      </c>
      <c r="D185" s="13">
        <f>IF(C185="","",IFERROR(INDEX(Materials!$B$5:$B$254,MATCH(C185,Materials!$A$5:$A$254,0)),"Add to Materials"))</f>
        <v>0</v>
      </c>
      <c r="E185" s="13">
        <f>IF(C185="","",IFERROR(INDEX(Materials!$H$5:$H$254,MATCH(C185,Materials!$A$5:$A$254,0)),"Add to Materials"))</f>
        <v>0</v>
      </c>
      <c r="J185" s="33">
        <f>IF(C185="","",IF(G185&lt;&gt;"",G185,IFERROR(INDEX(Materials!$W$5:$W$254,MATCH(C185,Materials!$A$5:$A$254,0)),DefaultWaste)))</f>
        <v>0</v>
      </c>
      <c r="K185" s="36">
        <f>IF(C185="","",IF(F185="","",ROUND(F185*(1+J185),4)))</f>
        <v>0</v>
      </c>
      <c r="L185" s="45">
        <f>IF(C185="","",IFERROR(INDEX(Materials!$S$5:$S$254,MATCH(C185,Materials!$A$5:$A$254,0)),""))</f>
        <v>0</v>
      </c>
      <c r="M185" s="45">
        <f>IF(C185="","",IF(OR(K185="",L185=""),"",ROUND(K185*L185,4)))</f>
        <v>0</v>
      </c>
      <c r="N185" s="20">
        <f>IF(A185="","",ROUND(SUMIFS('Material Usage'!$M$5:$M$904,'Material Usage'!$A$5:$A$904,A185),2))</f>
        <v>0</v>
      </c>
      <c r="O185" s="33">
        <f>IF(A185="","",IF(OR(M185="",N185="",N185=0),"",M185/N185))</f>
        <v>0</v>
      </c>
      <c r="P185" s="32">
        <f>IF(A185="","",COUNTIFS($A$5:A185,A185))</f>
        <v>0</v>
      </c>
      <c r="Q185" s="13">
        <f>IF(A185="","",A185&amp;"|"&amp;P185)</f>
        <v>0</v>
      </c>
      <c r="R185" s="43">
        <f>IF(AND(A185="",C185=""),"",IF(A185="","Add - which product?",IF(C185="","Add - which material?",IF(B185="Not found","Check - no such product ID",IF(D185="Add to Materials","Check - no such material ID",IF(OR(F185="",F185=0),"Add - how much?",IF(L185="","Check - that material has no price","OK")))))))</f>
        <v>0</v>
      </c>
    </row>
    <row r="186" spans="2:18">
      <c r="B186" s="13">
        <f>IF(A186="","",IFERROR(INDEX(Products!$B$5:$B$304,MATCH(A186,Products!$A$5:$A$304,0)),"Not found"))</f>
        <v>0</v>
      </c>
      <c r="D186" s="13">
        <f>IF(C186="","",IFERROR(INDEX(Materials!$B$5:$B$254,MATCH(C186,Materials!$A$5:$A$254,0)),"Add to Materials"))</f>
        <v>0</v>
      </c>
      <c r="E186" s="13">
        <f>IF(C186="","",IFERROR(INDEX(Materials!$H$5:$H$254,MATCH(C186,Materials!$A$5:$A$254,0)),"Add to Materials"))</f>
        <v>0</v>
      </c>
      <c r="J186" s="33">
        <f>IF(C186="","",IF(G186&lt;&gt;"",G186,IFERROR(INDEX(Materials!$W$5:$W$254,MATCH(C186,Materials!$A$5:$A$254,0)),DefaultWaste)))</f>
        <v>0</v>
      </c>
      <c r="K186" s="36">
        <f>IF(C186="","",IF(F186="","",ROUND(F186*(1+J186),4)))</f>
        <v>0</v>
      </c>
      <c r="L186" s="45">
        <f>IF(C186="","",IFERROR(INDEX(Materials!$S$5:$S$254,MATCH(C186,Materials!$A$5:$A$254,0)),""))</f>
        <v>0</v>
      </c>
      <c r="M186" s="45">
        <f>IF(C186="","",IF(OR(K186="",L186=""),"",ROUND(K186*L186,4)))</f>
        <v>0</v>
      </c>
      <c r="N186" s="20">
        <f>IF(A186="","",ROUND(SUMIFS('Material Usage'!$M$5:$M$904,'Material Usage'!$A$5:$A$904,A186),2))</f>
        <v>0</v>
      </c>
      <c r="O186" s="33">
        <f>IF(A186="","",IF(OR(M186="",N186="",N186=0),"",M186/N186))</f>
        <v>0</v>
      </c>
      <c r="P186" s="32">
        <f>IF(A186="","",COUNTIFS($A$5:A186,A186))</f>
        <v>0</v>
      </c>
      <c r="Q186" s="13">
        <f>IF(A186="","",A186&amp;"|"&amp;P186)</f>
        <v>0</v>
      </c>
      <c r="R186" s="43">
        <f>IF(AND(A186="",C186=""),"",IF(A186="","Add - which product?",IF(C186="","Add - which material?",IF(B186="Not found","Check - no such product ID",IF(D186="Add to Materials","Check - no such material ID",IF(OR(F186="",F186=0),"Add - how much?",IF(L186="","Check - that material has no price","OK")))))))</f>
        <v>0</v>
      </c>
    </row>
    <row r="187" spans="2:18">
      <c r="B187" s="13">
        <f>IF(A187="","",IFERROR(INDEX(Products!$B$5:$B$304,MATCH(A187,Products!$A$5:$A$304,0)),"Not found"))</f>
        <v>0</v>
      </c>
      <c r="D187" s="13">
        <f>IF(C187="","",IFERROR(INDEX(Materials!$B$5:$B$254,MATCH(C187,Materials!$A$5:$A$254,0)),"Add to Materials"))</f>
        <v>0</v>
      </c>
      <c r="E187" s="13">
        <f>IF(C187="","",IFERROR(INDEX(Materials!$H$5:$H$254,MATCH(C187,Materials!$A$5:$A$254,0)),"Add to Materials"))</f>
        <v>0</v>
      </c>
      <c r="J187" s="33">
        <f>IF(C187="","",IF(G187&lt;&gt;"",G187,IFERROR(INDEX(Materials!$W$5:$W$254,MATCH(C187,Materials!$A$5:$A$254,0)),DefaultWaste)))</f>
        <v>0</v>
      </c>
      <c r="K187" s="36">
        <f>IF(C187="","",IF(F187="","",ROUND(F187*(1+J187),4)))</f>
        <v>0</v>
      </c>
      <c r="L187" s="45">
        <f>IF(C187="","",IFERROR(INDEX(Materials!$S$5:$S$254,MATCH(C187,Materials!$A$5:$A$254,0)),""))</f>
        <v>0</v>
      </c>
      <c r="M187" s="45">
        <f>IF(C187="","",IF(OR(K187="",L187=""),"",ROUND(K187*L187,4)))</f>
        <v>0</v>
      </c>
      <c r="N187" s="20">
        <f>IF(A187="","",ROUND(SUMIFS('Material Usage'!$M$5:$M$904,'Material Usage'!$A$5:$A$904,A187),2))</f>
        <v>0</v>
      </c>
      <c r="O187" s="33">
        <f>IF(A187="","",IF(OR(M187="",N187="",N187=0),"",M187/N187))</f>
        <v>0</v>
      </c>
      <c r="P187" s="32">
        <f>IF(A187="","",COUNTIFS($A$5:A187,A187))</f>
        <v>0</v>
      </c>
      <c r="Q187" s="13">
        <f>IF(A187="","",A187&amp;"|"&amp;P187)</f>
        <v>0</v>
      </c>
      <c r="R187" s="43">
        <f>IF(AND(A187="",C187=""),"",IF(A187="","Add - which product?",IF(C187="","Add - which material?",IF(B187="Not found","Check - no such product ID",IF(D187="Add to Materials","Check - no such material ID",IF(OR(F187="",F187=0),"Add - how much?",IF(L187="","Check - that material has no price","OK")))))))</f>
        <v>0</v>
      </c>
    </row>
    <row r="188" spans="2:18">
      <c r="B188" s="13">
        <f>IF(A188="","",IFERROR(INDEX(Products!$B$5:$B$304,MATCH(A188,Products!$A$5:$A$304,0)),"Not found"))</f>
        <v>0</v>
      </c>
      <c r="D188" s="13">
        <f>IF(C188="","",IFERROR(INDEX(Materials!$B$5:$B$254,MATCH(C188,Materials!$A$5:$A$254,0)),"Add to Materials"))</f>
        <v>0</v>
      </c>
      <c r="E188" s="13">
        <f>IF(C188="","",IFERROR(INDEX(Materials!$H$5:$H$254,MATCH(C188,Materials!$A$5:$A$254,0)),"Add to Materials"))</f>
        <v>0</v>
      </c>
      <c r="J188" s="33">
        <f>IF(C188="","",IF(G188&lt;&gt;"",G188,IFERROR(INDEX(Materials!$W$5:$W$254,MATCH(C188,Materials!$A$5:$A$254,0)),DefaultWaste)))</f>
        <v>0</v>
      </c>
      <c r="K188" s="36">
        <f>IF(C188="","",IF(F188="","",ROUND(F188*(1+J188),4)))</f>
        <v>0</v>
      </c>
      <c r="L188" s="45">
        <f>IF(C188="","",IFERROR(INDEX(Materials!$S$5:$S$254,MATCH(C188,Materials!$A$5:$A$254,0)),""))</f>
        <v>0</v>
      </c>
      <c r="M188" s="45">
        <f>IF(C188="","",IF(OR(K188="",L188=""),"",ROUND(K188*L188,4)))</f>
        <v>0</v>
      </c>
      <c r="N188" s="20">
        <f>IF(A188="","",ROUND(SUMIFS('Material Usage'!$M$5:$M$904,'Material Usage'!$A$5:$A$904,A188),2))</f>
        <v>0</v>
      </c>
      <c r="O188" s="33">
        <f>IF(A188="","",IF(OR(M188="",N188="",N188=0),"",M188/N188))</f>
        <v>0</v>
      </c>
      <c r="P188" s="32">
        <f>IF(A188="","",COUNTIFS($A$5:A188,A188))</f>
        <v>0</v>
      </c>
      <c r="Q188" s="13">
        <f>IF(A188="","",A188&amp;"|"&amp;P188)</f>
        <v>0</v>
      </c>
      <c r="R188" s="43">
        <f>IF(AND(A188="",C188=""),"",IF(A188="","Add - which product?",IF(C188="","Add - which material?",IF(B188="Not found","Check - no such product ID",IF(D188="Add to Materials","Check - no such material ID",IF(OR(F188="",F188=0),"Add - how much?",IF(L188="","Check - that material has no price","OK")))))))</f>
        <v>0</v>
      </c>
    </row>
    <row r="189" spans="2:18">
      <c r="B189" s="13">
        <f>IF(A189="","",IFERROR(INDEX(Products!$B$5:$B$304,MATCH(A189,Products!$A$5:$A$304,0)),"Not found"))</f>
        <v>0</v>
      </c>
      <c r="D189" s="13">
        <f>IF(C189="","",IFERROR(INDEX(Materials!$B$5:$B$254,MATCH(C189,Materials!$A$5:$A$254,0)),"Add to Materials"))</f>
        <v>0</v>
      </c>
      <c r="E189" s="13">
        <f>IF(C189="","",IFERROR(INDEX(Materials!$H$5:$H$254,MATCH(C189,Materials!$A$5:$A$254,0)),"Add to Materials"))</f>
        <v>0</v>
      </c>
      <c r="J189" s="33">
        <f>IF(C189="","",IF(G189&lt;&gt;"",G189,IFERROR(INDEX(Materials!$W$5:$W$254,MATCH(C189,Materials!$A$5:$A$254,0)),DefaultWaste)))</f>
        <v>0</v>
      </c>
      <c r="K189" s="36">
        <f>IF(C189="","",IF(F189="","",ROUND(F189*(1+J189),4)))</f>
        <v>0</v>
      </c>
      <c r="L189" s="45">
        <f>IF(C189="","",IFERROR(INDEX(Materials!$S$5:$S$254,MATCH(C189,Materials!$A$5:$A$254,0)),""))</f>
        <v>0</v>
      </c>
      <c r="M189" s="45">
        <f>IF(C189="","",IF(OR(K189="",L189=""),"",ROUND(K189*L189,4)))</f>
        <v>0</v>
      </c>
      <c r="N189" s="20">
        <f>IF(A189="","",ROUND(SUMIFS('Material Usage'!$M$5:$M$904,'Material Usage'!$A$5:$A$904,A189),2))</f>
        <v>0</v>
      </c>
      <c r="O189" s="33">
        <f>IF(A189="","",IF(OR(M189="",N189="",N189=0),"",M189/N189))</f>
        <v>0</v>
      </c>
      <c r="P189" s="32">
        <f>IF(A189="","",COUNTIFS($A$5:A189,A189))</f>
        <v>0</v>
      </c>
      <c r="Q189" s="13">
        <f>IF(A189="","",A189&amp;"|"&amp;P189)</f>
        <v>0</v>
      </c>
      <c r="R189" s="43">
        <f>IF(AND(A189="",C189=""),"",IF(A189="","Add - which product?",IF(C189="","Add - which material?",IF(B189="Not found","Check - no such product ID",IF(D189="Add to Materials","Check - no such material ID",IF(OR(F189="",F189=0),"Add - how much?",IF(L189="","Check - that material has no price","OK")))))))</f>
        <v>0</v>
      </c>
    </row>
    <row r="190" spans="2:18">
      <c r="B190" s="13">
        <f>IF(A190="","",IFERROR(INDEX(Products!$B$5:$B$304,MATCH(A190,Products!$A$5:$A$304,0)),"Not found"))</f>
        <v>0</v>
      </c>
      <c r="D190" s="13">
        <f>IF(C190="","",IFERROR(INDEX(Materials!$B$5:$B$254,MATCH(C190,Materials!$A$5:$A$254,0)),"Add to Materials"))</f>
        <v>0</v>
      </c>
      <c r="E190" s="13">
        <f>IF(C190="","",IFERROR(INDEX(Materials!$H$5:$H$254,MATCH(C190,Materials!$A$5:$A$254,0)),"Add to Materials"))</f>
        <v>0</v>
      </c>
      <c r="J190" s="33">
        <f>IF(C190="","",IF(G190&lt;&gt;"",G190,IFERROR(INDEX(Materials!$W$5:$W$254,MATCH(C190,Materials!$A$5:$A$254,0)),DefaultWaste)))</f>
        <v>0</v>
      </c>
      <c r="K190" s="36">
        <f>IF(C190="","",IF(F190="","",ROUND(F190*(1+J190),4)))</f>
        <v>0</v>
      </c>
      <c r="L190" s="45">
        <f>IF(C190="","",IFERROR(INDEX(Materials!$S$5:$S$254,MATCH(C190,Materials!$A$5:$A$254,0)),""))</f>
        <v>0</v>
      </c>
      <c r="M190" s="45">
        <f>IF(C190="","",IF(OR(K190="",L190=""),"",ROUND(K190*L190,4)))</f>
        <v>0</v>
      </c>
      <c r="N190" s="20">
        <f>IF(A190="","",ROUND(SUMIFS('Material Usage'!$M$5:$M$904,'Material Usage'!$A$5:$A$904,A190),2))</f>
        <v>0</v>
      </c>
      <c r="O190" s="33">
        <f>IF(A190="","",IF(OR(M190="",N190="",N190=0),"",M190/N190))</f>
        <v>0</v>
      </c>
      <c r="P190" s="32">
        <f>IF(A190="","",COUNTIFS($A$5:A190,A190))</f>
        <v>0</v>
      </c>
      <c r="Q190" s="13">
        <f>IF(A190="","",A190&amp;"|"&amp;P190)</f>
        <v>0</v>
      </c>
      <c r="R190" s="43">
        <f>IF(AND(A190="",C190=""),"",IF(A190="","Add - which product?",IF(C190="","Add - which material?",IF(B190="Not found","Check - no such product ID",IF(D190="Add to Materials","Check - no such material ID",IF(OR(F190="",F190=0),"Add - how much?",IF(L190="","Check - that material has no price","OK")))))))</f>
        <v>0</v>
      </c>
    </row>
    <row r="191" spans="2:18">
      <c r="B191" s="13">
        <f>IF(A191="","",IFERROR(INDEX(Products!$B$5:$B$304,MATCH(A191,Products!$A$5:$A$304,0)),"Not found"))</f>
        <v>0</v>
      </c>
      <c r="D191" s="13">
        <f>IF(C191="","",IFERROR(INDEX(Materials!$B$5:$B$254,MATCH(C191,Materials!$A$5:$A$254,0)),"Add to Materials"))</f>
        <v>0</v>
      </c>
      <c r="E191" s="13">
        <f>IF(C191="","",IFERROR(INDEX(Materials!$H$5:$H$254,MATCH(C191,Materials!$A$5:$A$254,0)),"Add to Materials"))</f>
        <v>0</v>
      </c>
      <c r="J191" s="33">
        <f>IF(C191="","",IF(G191&lt;&gt;"",G191,IFERROR(INDEX(Materials!$W$5:$W$254,MATCH(C191,Materials!$A$5:$A$254,0)),DefaultWaste)))</f>
        <v>0</v>
      </c>
      <c r="K191" s="36">
        <f>IF(C191="","",IF(F191="","",ROUND(F191*(1+J191),4)))</f>
        <v>0</v>
      </c>
      <c r="L191" s="45">
        <f>IF(C191="","",IFERROR(INDEX(Materials!$S$5:$S$254,MATCH(C191,Materials!$A$5:$A$254,0)),""))</f>
        <v>0</v>
      </c>
      <c r="M191" s="45">
        <f>IF(C191="","",IF(OR(K191="",L191=""),"",ROUND(K191*L191,4)))</f>
        <v>0</v>
      </c>
      <c r="N191" s="20">
        <f>IF(A191="","",ROUND(SUMIFS('Material Usage'!$M$5:$M$904,'Material Usage'!$A$5:$A$904,A191),2))</f>
        <v>0</v>
      </c>
      <c r="O191" s="33">
        <f>IF(A191="","",IF(OR(M191="",N191="",N191=0),"",M191/N191))</f>
        <v>0</v>
      </c>
      <c r="P191" s="32">
        <f>IF(A191="","",COUNTIFS($A$5:A191,A191))</f>
        <v>0</v>
      </c>
      <c r="Q191" s="13">
        <f>IF(A191="","",A191&amp;"|"&amp;P191)</f>
        <v>0</v>
      </c>
      <c r="R191" s="43">
        <f>IF(AND(A191="",C191=""),"",IF(A191="","Add - which product?",IF(C191="","Add - which material?",IF(B191="Not found","Check - no such product ID",IF(D191="Add to Materials","Check - no such material ID",IF(OR(F191="",F191=0),"Add - how much?",IF(L191="","Check - that material has no price","OK")))))))</f>
        <v>0</v>
      </c>
    </row>
    <row r="192" spans="2:18">
      <c r="B192" s="13">
        <f>IF(A192="","",IFERROR(INDEX(Products!$B$5:$B$304,MATCH(A192,Products!$A$5:$A$304,0)),"Not found"))</f>
        <v>0</v>
      </c>
      <c r="D192" s="13">
        <f>IF(C192="","",IFERROR(INDEX(Materials!$B$5:$B$254,MATCH(C192,Materials!$A$5:$A$254,0)),"Add to Materials"))</f>
        <v>0</v>
      </c>
      <c r="E192" s="13">
        <f>IF(C192="","",IFERROR(INDEX(Materials!$H$5:$H$254,MATCH(C192,Materials!$A$5:$A$254,0)),"Add to Materials"))</f>
        <v>0</v>
      </c>
      <c r="J192" s="33">
        <f>IF(C192="","",IF(G192&lt;&gt;"",G192,IFERROR(INDEX(Materials!$W$5:$W$254,MATCH(C192,Materials!$A$5:$A$254,0)),DefaultWaste)))</f>
        <v>0</v>
      </c>
      <c r="K192" s="36">
        <f>IF(C192="","",IF(F192="","",ROUND(F192*(1+J192),4)))</f>
        <v>0</v>
      </c>
      <c r="L192" s="45">
        <f>IF(C192="","",IFERROR(INDEX(Materials!$S$5:$S$254,MATCH(C192,Materials!$A$5:$A$254,0)),""))</f>
        <v>0</v>
      </c>
      <c r="M192" s="45">
        <f>IF(C192="","",IF(OR(K192="",L192=""),"",ROUND(K192*L192,4)))</f>
        <v>0</v>
      </c>
      <c r="N192" s="20">
        <f>IF(A192="","",ROUND(SUMIFS('Material Usage'!$M$5:$M$904,'Material Usage'!$A$5:$A$904,A192),2))</f>
        <v>0</v>
      </c>
      <c r="O192" s="33">
        <f>IF(A192="","",IF(OR(M192="",N192="",N192=0),"",M192/N192))</f>
        <v>0</v>
      </c>
      <c r="P192" s="32">
        <f>IF(A192="","",COUNTIFS($A$5:A192,A192))</f>
        <v>0</v>
      </c>
      <c r="Q192" s="13">
        <f>IF(A192="","",A192&amp;"|"&amp;P192)</f>
        <v>0</v>
      </c>
      <c r="R192" s="43">
        <f>IF(AND(A192="",C192=""),"",IF(A192="","Add - which product?",IF(C192="","Add - which material?",IF(B192="Not found","Check - no such product ID",IF(D192="Add to Materials","Check - no such material ID",IF(OR(F192="",F192=0),"Add - how much?",IF(L192="","Check - that material has no price","OK")))))))</f>
        <v>0</v>
      </c>
    </row>
    <row r="193" spans="2:18">
      <c r="B193" s="13">
        <f>IF(A193="","",IFERROR(INDEX(Products!$B$5:$B$304,MATCH(A193,Products!$A$5:$A$304,0)),"Not found"))</f>
        <v>0</v>
      </c>
      <c r="D193" s="13">
        <f>IF(C193="","",IFERROR(INDEX(Materials!$B$5:$B$254,MATCH(C193,Materials!$A$5:$A$254,0)),"Add to Materials"))</f>
        <v>0</v>
      </c>
      <c r="E193" s="13">
        <f>IF(C193="","",IFERROR(INDEX(Materials!$H$5:$H$254,MATCH(C193,Materials!$A$5:$A$254,0)),"Add to Materials"))</f>
        <v>0</v>
      </c>
      <c r="J193" s="33">
        <f>IF(C193="","",IF(G193&lt;&gt;"",G193,IFERROR(INDEX(Materials!$W$5:$W$254,MATCH(C193,Materials!$A$5:$A$254,0)),DefaultWaste)))</f>
        <v>0</v>
      </c>
      <c r="K193" s="36">
        <f>IF(C193="","",IF(F193="","",ROUND(F193*(1+J193),4)))</f>
        <v>0</v>
      </c>
      <c r="L193" s="45">
        <f>IF(C193="","",IFERROR(INDEX(Materials!$S$5:$S$254,MATCH(C193,Materials!$A$5:$A$254,0)),""))</f>
        <v>0</v>
      </c>
      <c r="M193" s="45">
        <f>IF(C193="","",IF(OR(K193="",L193=""),"",ROUND(K193*L193,4)))</f>
        <v>0</v>
      </c>
      <c r="N193" s="20">
        <f>IF(A193="","",ROUND(SUMIFS('Material Usage'!$M$5:$M$904,'Material Usage'!$A$5:$A$904,A193),2))</f>
        <v>0</v>
      </c>
      <c r="O193" s="33">
        <f>IF(A193="","",IF(OR(M193="",N193="",N193=0),"",M193/N193))</f>
        <v>0</v>
      </c>
      <c r="P193" s="32">
        <f>IF(A193="","",COUNTIFS($A$5:A193,A193))</f>
        <v>0</v>
      </c>
      <c r="Q193" s="13">
        <f>IF(A193="","",A193&amp;"|"&amp;P193)</f>
        <v>0</v>
      </c>
      <c r="R193" s="43">
        <f>IF(AND(A193="",C193=""),"",IF(A193="","Add - which product?",IF(C193="","Add - which material?",IF(B193="Not found","Check - no such product ID",IF(D193="Add to Materials","Check - no such material ID",IF(OR(F193="",F193=0),"Add - how much?",IF(L193="","Check - that material has no price","OK")))))))</f>
        <v>0</v>
      </c>
    </row>
    <row r="194" spans="2:18">
      <c r="B194" s="13">
        <f>IF(A194="","",IFERROR(INDEX(Products!$B$5:$B$304,MATCH(A194,Products!$A$5:$A$304,0)),"Not found"))</f>
        <v>0</v>
      </c>
      <c r="D194" s="13">
        <f>IF(C194="","",IFERROR(INDEX(Materials!$B$5:$B$254,MATCH(C194,Materials!$A$5:$A$254,0)),"Add to Materials"))</f>
        <v>0</v>
      </c>
      <c r="E194" s="13">
        <f>IF(C194="","",IFERROR(INDEX(Materials!$H$5:$H$254,MATCH(C194,Materials!$A$5:$A$254,0)),"Add to Materials"))</f>
        <v>0</v>
      </c>
      <c r="J194" s="33">
        <f>IF(C194="","",IF(G194&lt;&gt;"",G194,IFERROR(INDEX(Materials!$W$5:$W$254,MATCH(C194,Materials!$A$5:$A$254,0)),DefaultWaste)))</f>
        <v>0</v>
      </c>
      <c r="K194" s="36">
        <f>IF(C194="","",IF(F194="","",ROUND(F194*(1+J194),4)))</f>
        <v>0</v>
      </c>
      <c r="L194" s="45">
        <f>IF(C194="","",IFERROR(INDEX(Materials!$S$5:$S$254,MATCH(C194,Materials!$A$5:$A$254,0)),""))</f>
        <v>0</v>
      </c>
      <c r="M194" s="45">
        <f>IF(C194="","",IF(OR(K194="",L194=""),"",ROUND(K194*L194,4)))</f>
        <v>0</v>
      </c>
      <c r="N194" s="20">
        <f>IF(A194="","",ROUND(SUMIFS('Material Usage'!$M$5:$M$904,'Material Usage'!$A$5:$A$904,A194),2))</f>
        <v>0</v>
      </c>
      <c r="O194" s="33">
        <f>IF(A194="","",IF(OR(M194="",N194="",N194=0),"",M194/N194))</f>
        <v>0</v>
      </c>
      <c r="P194" s="32">
        <f>IF(A194="","",COUNTIFS($A$5:A194,A194))</f>
        <v>0</v>
      </c>
      <c r="Q194" s="13">
        <f>IF(A194="","",A194&amp;"|"&amp;P194)</f>
        <v>0</v>
      </c>
      <c r="R194" s="43">
        <f>IF(AND(A194="",C194=""),"",IF(A194="","Add - which product?",IF(C194="","Add - which material?",IF(B194="Not found","Check - no such product ID",IF(D194="Add to Materials","Check - no such material ID",IF(OR(F194="",F194=0),"Add - how much?",IF(L194="","Check - that material has no price","OK")))))))</f>
        <v>0</v>
      </c>
    </row>
    <row r="195" spans="2:18">
      <c r="B195" s="13">
        <f>IF(A195="","",IFERROR(INDEX(Products!$B$5:$B$304,MATCH(A195,Products!$A$5:$A$304,0)),"Not found"))</f>
        <v>0</v>
      </c>
      <c r="D195" s="13">
        <f>IF(C195="","",IFERROR(INDEX(Materials!$B$5:$B$254,MATCH(C195,Materials!$A$5:$A$254,0)),"Add to Materials"))</f>
        <v>0</v>
      </c>
      <c r="E195" s="13">
        <f>IF(C195="","",IFERROR(INDEX(Materials!$H$5:$H$254,MATCH(C195,Materials!$A$5:$A$254,0)),"Add to Materials"))</f>
        <v>0</v>
      </c>
      <c r="J195" s="33">
        <f>IF(C195="","",IF(G195&lt;&gt;"",G195,IFERROR(INDEX(Materials!$W$5:$W$254,MATCH(C195,Materials!$A$5:$A$254,0)),DefaultWaste)))</f>
        <v>0</v>
      </c>
      <c r="K195" s="36">
        <f>IF(C195="","",IF(F195="","",ROUND(F195*(1+J195),4)))</f>
        <v>0</v>
      </c>
      <c r="L195" s="45">
        <f>IF(C195="","",IFERROR(INDEX(Materials!$S$5:$S$254,MATCH(C195,Materials!$A$5:$A$254,0)),""))</f>
        <v>0</v>
      </c>
      <c r="M195" s="45">
        <f>IF(C195="","",IF(OR(K195="",L195=""),"",ROUND(K195*L195,4)))</f>
        <v>0</v>
      </c>
      <c r="N195" s="20">
        <f>IF(A195="","",ROUND(SUMIFS('Material Usage'!$M$5:$M$904,'Material Usage'!$A$5:$A$904,A195),2))</f>
        <v>0</v>
      </c>
      <c r="O195" s="33">
        <f>IF(A195="","",IF(OR(M195="",N195="",N195=0),"",M195/N195))</f>
        <v>0</v>
      </c>
      <c r="P195" s="32">
        <f>IF(A195="","",COUNTIFS($A$5:A195,A195))</f>
        <v>0</v>
      </c>
      <c r="Q195" s="13">
        <f>IF(A195="","",A195&amp;"|"&amp;P195)</f>
        <v>0</v>
      </c>
      <c r="R195" s="43">
        <f>IF(AND(A195="",C195=""),"",IF(A195="","Add - which product?",IF(C195="","Add - which material?",IF(B195="Not found","Check - no such product ID",IF(D195="Add to Materials","Check - no such material ID",IF(OR(F195="",F195=0),"Add - how much?",IF(L195="","Check - that material has no price","OK")))))))</f>
        <v>0</v>
      </c>
    </row>
    <row r="196" spans="2:18">
      <c r="B196" s="13">
        <f>IF(A196="","",IFERROR(INDEX(Products!$B$5:$B$304,MATCH(A196,Products!$A$5:$A$304,0)),"Not found"))</f>
        <v>0</v>
      </c>
      <c r="D196" s="13">
        <f>IF(C196="","",IFERROR(INDEX(Materials!$B$5:$B$254,MATCH(C196,Materials!$A$5:$A$254,0)),"Add to Materials"))</f>
        <v>0</v>
      </c>
      <c r="E196" s="13">
        <f>IF(C196="","",IFERROR(INDEX(Materials!$H$5:$H$254,MATCH(C196,Materials!$A$5:$A$254,0)),"Add to Materials"))</f>
        <v>0</v>
      </c>
      <c r="J196" s="33">
        <f>IF(C196="","",IF(G196&lt;&gt;"",G196,IFERROR(INDEX(Materials!$W$5:$W$254,MATCH(C196,Materials!$A$5:$A$254,0)),DefaultWaste)))</f>
        <v>0</v>
      </c>
      <c r="K196" s="36">
        <f>IF(C196="","",IF(F196="","",ROUND(F196*(1+J196),4)))</f>
        <v>0</v>
      </c>
      <c r="L196" s="45">
        <f>IF(C196="","",IFERROR(INDEX(Materials!$S$5:$S$254,MATCH(C196,Materials!$A$5:$A$254,0)),""))</f>
        <v>0</v>
      </c>
      <c r="M196" s="45">
        <f>IF(C196="","",IF(OR(K196="",L196=""),"",ROUND(K196*L196,4)))</f>
        <v>0</v>
      </c>
      <c r="N196" s="20">
        <f>IF(A196="","",ROUND(SUMIFS('Material Usage'!$M$5:$M$904,'Material Usage'!$A$5:$A$904,A196),2))</f>
        <v>0</v>
      </c>
      <c r="O196" s="33">
        <f>IF(A196="","",IF(OR(M196="",N196="",N196=0),"",M196/N196))</f>
        <v>0</v>
      </c>
      <c r="P196" s="32">
        <f>IF(A196="","",COUNTIFS($A$5:A196,A196))</f>
        <v>0</v>
      </c>
      <c r="Q196" s="13">
        <f>IF(A196="","",A196&amp;"|"&amp;P196)</f>
        <v>0</v>
      </c>
      <c r="R196" s="43">
        <f>IF(AND(A196="",C196=""),"",IF(A196="","Add - which product?",IF(C196="","Add - which material?",IF(B196="Not found","Check - no such product ID",IF(D196="Add to Materials","Check - no such material ID",IF(OR(F196="",F196=0),"Add - how much?",IF(L196="","Check - that material has no price","OK")))))))</f>
        <v>0</v>
      </c>
    </row>
    <row r="197" spans="2:18">
      <c r="B197" s="13">
        <f>IF(A197="","",IFERROR(INDEX(Products!$B$5:$B$304,MATCH(A197,Products!$A$5:$A$304,0)),"Not found"))</f>
        <v>0</v>
      </c>
      <c r="D197" s="13">
        <f>IF(C197="","",IFERROR(INDEX(Materials!$B$5:$B$254,MATCH(C197,Materials!$A$5:$A$254,0)),"Add to Materials"))</f>
        <v>0</v>
      </c>
      <c r="E197" s="13">
        <f>IF(C197="","",IFERROR(INDEX(Materials!$H$5:$H$254,MATCH(C197,Materials!$A$5:$A$254,0)),"Add to Materials"))</f>
        <v>0</v>
      </c>
      <c r="J197" s="33">
        <f>IF(C197="","",IF(G197&lt;&gt;"",G197,IFERROR(INDEX(Materials!$W$5:$W$254,MATCH(C197,Materials!$A$5:$A$254,0)),DefaultWaste)))</f>
        <v>0</v>
      </c>
      <c r="K197" s="36">
        <f>IF(C197="","",IF(F197="","",ROUND(F197*(1+J197),4)))</f>
        <v>0</v>
      </c>
      <c r="L197" s="45">
        <f>IF(C197="","",IFERROR(INDEX(Materials!$S$5:$S$254,MATCH(C197,Materials!$A$5:$A$254,0)),""))</f>
        <v>0</v>
      </c>
      <c r="M197" s="45">
        <f>IF(C197="","",IF(OR(K197="",L197=""),"",ROUND(K197*L197,4)))</f>
        <v>0</v>
      </c>
      <c r="N197" s="20">
        <f>IF(A197="","",ROUND(SUMIFS('Material Usage'!$M$5:$M$904,'Material Usage'!$A$5:$A$904,A197),2))</f>
        <v>0</v>
      </c>
      <c r="O197" s="33">
        <f>IF(A197="","",IF(OR(M197="",N197="",N197=0),"",M197/N197))</f>
        <v>0</v>
      </c>
      <c r="P197" s="32">
        <f>IF(A197="","",COUNTIFS($A$5:A197,A197))</f>
        <v>0</v>
      </c>
      <c r="Q197" s="13">
        <f>IF(A197="","",A197&amp;"|"&amp;P197)</f>
        <v>0</v>
      </c>
      <c r="R197" s="43">
        <f>IF(AND(A197="",C197=""),"",IF(A197="","Add - which product?",IF(C197="","Add - which material?",IF(B197="Not found","Check - no such product ID",IF(D197="Add to Materials","Check - no such material ID",IF(OR(F197="",F197=0),"Add - how much?",IF(L197="","Check - that material has no price","OK")))))))</f>
        <v>0</v>
      </c>
    </row>
    <row r="198" spans="2:18">
      <c r="B198" s="13">
        <f>IF(A198="","",IFERROR(INDEX(Products!$B$5:$B$304,MATCH(A198,Products!$A$5:$A$304,0)),"Not found"))</f>
        <v>0</v>
      </c>
      <c r="D198" s="13">
        <f>IF(C198="","",IFERROR(INDEX(Materials!$B$5:$B$254,MATCH(C198,Materials!$A$5:$A$254,0)),"Add to Materials"))</f>
        <v>0</v>
      </c>
      <c r="E198" s="13">
        <f>IF(C198="","",IFERROR(INDEX(Materials!$H$5:$H$254,MATCH(C198,Materials!$A$5:$A$254,0)),"Add to Materials"))</f>
        <v>0</v>
      </c>
      <c r="J198" s="33">
        <f>IF(C198="","",IF(G198&lt;&gt;"",G198,IFERROR(INDEX(Materials!$W$5:$W$254,MATCH(C198,Materials!$A$5:$A$254,0)),DefaultWaste)))</f>
        <v>0</v>
      </c>
      <c r="K198" s="36">
        <f>IF(C198="","",IF(F198="","",ROUND(F198*(1+J198),4)))</f>
        <v>0</v>
      </c>
      <c r="L198" s="45">
        <f>IF(C198="","",IFERROR(INDEX(Materials!$S$5:$S$254,MATCH(C198,Materials!$A$5:$A$254,0)),""))</f>
        <v>0</v>
      </c>
      <c r="M198" s="45">
        <f>IF(C198="","",IF(OR(K198="",L198=""),"",ROUND(K198*L198,4)))</f>
        <v>0</v>
      </c>
      <c r="N198" s="20">
        <f>IF(A198="","",ROUND(SUMIFS('Material Usage'!$M$5:$M$904,'Material Usage'!$A$5:$A$904,A198),2))</f>
        <v>0</v>
      </c>
      <c r="O198" s="33">
        <f>IF(A198="","",IF(OR(M198="",N198="",N198=0),"",M198/N198))</f>
        <v>0</v>
      </c>
      <c r="P198" s="32">
        <f>IF(A198="","",COUNTIFS($A$5:A198,A198))</f>
        <v>0</v>
      </c>
      <c r="Q198" s="13">
        <f>IF(A198="","",A198&amp;"|"&amp;P198)</f>
        <v>0</v>
      </c>
      <c r="R198" s="43">
        <f>IF(AND(A198="",C198=""),"",IF(A198="","Add - which product?",IF(C198="","Add - which material?",IF(B198="Not found","Check - no such product ID",IF(D198="Add to Materials","Check - no such material ID",IF(OR(F198="",F198=0),"Add - how much?",IF(L198="","Check - that material has no price","OK")))))))</f>
        <v>0</v>
      </c>
    </row>
    <row r="199" spans="2:18">
      <c r="B199" s="13">
        <f>IF(A199="","",IFERROR(INDEX(Products!$B$5:$B$304,MATCH(A199,Products!$A$5:$A$304,0)),"Not found"))</f>
        <v>0</v>
      </c>
      <c r="D199" s="13">
        <f>IF(C199="","",IFERROR(INDEX(Materials!$B$5:$B$254,MATCH(C199,Materials!$A$5:$A$254,0)),"Add to Materials"))</f>
        <v>0</v>
      </c>
      <c r="E199" s="13">
        <f>IF(C199="","",IFERROR(INDEX(Materials!$H$5:$H$254,MATCH(C199,Materials!$A$5:$A$254,0)),"Add to Materials"))</f>
        <v>0</v>
      </c>
      <c r="J199" s="33">
        <f>IF(C199="","",IF(G199&lt;&gt;"",G199,IFERROR(INDEX(Materials!$W$5:$W$254,MATCH(C199,Materials!$A$5:$A$254,0)),DefaultWaste)))</f>
        <v>0</v>
      </c>
      <c r="K199" s="36">
        <f>IF(C199="","",IF(F199="","",ROUND(F199*(1+J199),4)))</f>
        <v>0</v>
      </c>
      <c r="L199" s="45">
        <f>IF(C199="","",IFERROR(INDEX(Materials!$S$5:$S$254,MATCH(C199,Materials!$A$5:$A$254,0)),""))</f>
        <v>0</v>
      </c>
      <c r="M199" s="45">
        <f>IF(C199="","",IF(OR(K199="",L199=""),"",ROUND(K199*L199,4)))</f>
        <v>0</v>
      </c>
      <c r="N199" s="20">
        <f>IF(A199="","",ROUND(SUMIFS('Material Usage'!$M$5:$M$904,'Material Usage'!$A$5:$A$904,A199),2))</f>
        <v>0</v>
      </c>
      <c r="O199" s="33">
        <f>IF(A199="","",IF(OR(M199="",N199="",N199=0),"",M199/N199))</f>
        <v>0</v>
      </c>
      <c r="P199" s="32">
        <f>IF(A199="","",COUNTIFS($A$5:A199,A199))</f>
        <v>0</v>
      </c>
      <c r="Q199" s="13">
        <f>IF(A199="","",A199&amp;"|"&amp;P199)</f>
        <v>0</v>
      </c>
      <c r="R199" s="43">
        <f>IF(AND(A199="",C199=""),"",IF(A199="","Add - which product?",IF(C199="","Add - which material?",IF(B199="Not found","Check - no such product ID",IF(D199="Add to Materials","Check - no such material ID",IF(OR(F199="",F199=0),"Add - how much?",IF(L199="","Check - that material has no price","OK")))))))</f>
        <v>0</v>
      </c>
    </row>
    <row r="200" spans="2:18">
      <c r="B200" s="13">
        <f>IF(A200="","",IFERROR(INDEX(Products!$B$5:$B$304,MATCH(A200,Products!$A$5:$A$304,0)),"Not found"))</f>
        <v>0</v>
      </c>
      <c r="D200" s="13">
        <f>IF(C200="","",IFERROR(INDEX(Materials!$B$5:$B$254,MATCH(C200,Materials!$A$5:$A$254,0)),"Add to Materials"))</f>
        <v>0</v>
      </c>
      <c r="E200" s="13">
        <f>IF(C200="","",IFERROR(INDEX(Materials!$H$5:$H$254,MATCH(C200,Materials!$A$5:$A$254,0)),"Add to Materials"))</f>
        <v>0</v>
      </c>
      <c r="J200" s="33">
        <f>IF(C200="","",IF(G200&lt;&gt;"",G200,IFERROR(INDEX(Materials!$W$5:$W$254,MATCH(C200,Materials!$A$5:$A$254,0)),DefaultWaste)))</f>
        <v>0</v>
      </c>
      <c r="K200" s="36">
        <f>IF(C200="","",IF(F200="","",ROUND(F200*(1+J200),4)))</f>
        <v>0</v>
      </c>
      <c r="L200" s="45">
        <f>IF(C200="","",IFERROR(INDEX(Materials!$S$5:$S$254,MATCH(C200,Materials!$A$5:$A$254,0)),""))</f>
        <v>0</v>
      </c>
      <c r="M200" s="45">
        <f>IF(C200="","",IF(OR(K200="",L200=""),"",ROUND(K200*L200,4)))</f>
        <v>0</v>
      </c>
      <c r="N200" s="20">
        <f>IF(A200="","",ROUND(SUMIFS('Material Usage'!$M$5:$M$904,'Material Usage'!$A$5:$A$904,A200),2))</f>
        <v>0</v>
      </c>
      <c r="O200" s="33">
        <f>IF(A200="","",IF(OR(M200="",N200="",N200=0),"",M200/N200))</f>
        <v>0</v>
      </c>
      <c r="P200" s="32">
        <f>IF(A200="","",COUNTIFS($A$5:A200,A200))</f>
        <v>0</v>
      </c>
      <c r="Q200" s="13">
        <f>IF(A200="","",A200&amp;"|"&amp;P200)</f>
        <v>0</v>
      </c>
      <c r="R200" s="43">
        <f>IF(AND(A200="",C200=""),"",IF(A200="","Add - which product?",IF(C200="","Add - which material?",IF(B200="Not found","Check - no such product ID",IF(D200="Add to Materials","Check - no such material ID",IF(OR(F200="",F200=0),"Add - how much?",IF(L200="","Check - that material has no price","OK")))))))</f>
        <v>0</v>
      </c>
    </row>
    <row r="201" spans="2:18">
      <c r="B201" s="13">
        <f>IF(A201="","",IFERROR(INDEX(Products!$B$5:$B$304,MATCH(A201,Products!$A$5:$A$304,0)),"Not found"))</f>
        <v>0</v>
      </c>
      <c r="D201" s="13">
        <f>IF(C201="","",IFERROR(INDEX(Materials!$B$5:$B$254,MATCH(C201,Materials!$A$5:$A$254,0)),"Add to Materials"))</f>
        <v>0</v>
      </c>
      <c r="E201" s="13">
        <f>IF(C201="","",IFERROR(INDEX(Materials!$H$5:$H$254,MATCH(C201,Materials!$A$5:$A$254,0)),"Add to Materials"))</f>
        <v>0</v>
      </c>
      <c r="J201" s="33">
        <f>IF(C201="","",IF(G201&lt;&gt;"",G201,IFERROR(INDEX(Materials!$W$5:$W$254,MATCH(C201,Materials!$A$5:$A$254,0)),DefaultWaste)))</f>
        <v>0</v>
      </c>
      <c r="K201" s="36">
        <f>IF(C201="","",IF(F201="","",ROUND(F201*(1+J201),4)))</f>
        <v>0</v>
      </c>
      <c r="L201" s="45">
        <f>IF(C201="","",IFERROR(INDEX(Materials!$S$5:$S$254,MATCH(C201,Materials!$A$5:$A$254,0)),""))</f>
        <v>0</v>
      </c>
      <c r="M201" s="45">
        <f>IF(C201="","",IF(OR(K201="",L201=""),"",ROUND(K201*L201,4)))</f>
        <v>0</v>
      </c>
      <c r="N201" s="20">
        <f>IF(A201="","",ROUND(SUMIFS('Material Usage'!$M$5:$M$904,'Material Usage'!$A$5:$A$904,A201),2))</f>
        <v>0</v>
      </c>
      <c r="O201" s="33">
        <f>IF(A201="","",IF(OR(M201="",N201="",N201=0),"",M201/N201))</f>
        <v>0</v>
      </c>
      <c r="P201" s="32">
        <f>IF(A201="","",COUNTIFS($A$5:A201,A201))</f>
        <v>0</v>
      </c>
      <c r="Q201" s="13">
        <f>IF(A201="","",A201&amp;"|"&amp;P201)</f>
        <v>0</v>
      </c>
      <c r="R201" s="43">
        <f>IF(AND(A201="",C201=""),"",IF(A201="","Add - which product?",IF(C201="","Add - which material?",IF(B201="Not found","Check - no such product ID",IF(D201="Add to Materials","Check - no such material ID",IF(OR(F201="",F201=0),"Add - how much?",IF(L201="","Check - that material has no price","OK")))))))</f>
        <v>0</v>
      </c>
    </row>
    <row r="202" spans="2:18">
      <c r="B202" s="13">
        <f>IF(A202="","",IFERROR(INDEX(Products!$B$5:$B$304,MATCH(A202,Products!$A$5:$A$304,0)),"Not found"))</f>
        <v>0</v>
      </c>
      <c r="D202" s="13">
        <f>IF(C202="","",IFERROR(INDEX(Materials!$B$5:$B$254,MATCH(C202,Materials!$A$5:$A$254,0)),"Add to Materials"))</f>
        <v>0</v>
      </c>
      <c r="E202" s="13">
        <f>IF(C202="","",IFERROR(INDEX(Materials!$H$5:$H$254,MATCH(C202,Materials!$A$5:$A$254,0)),"Add to Materials"))</f>
        <v>0</v>
      </c>
      <c r="J202" s="33">
        <f>IF(C202="","",IF(G202&lt;&gt;"",G202,IFERROR(INDEX(Materials!$W$5:$W$254,MATCH(C202,Materials!$A$5:$A$254,0)),DefaultWaste)))</f>
        <v>0</v>
      </c>
      <c r="K202" s="36">
        <f>IF(C202="","",IF(F202="","",ROUND(F202*(1+J202),4)))</f>
        <v>0</v>
      </c>
      <c r="L202" s="45">
        <f>IF(C202="","",IFERROR(INDEX(Materials!$S$5:$S$254,MATCH(C202,Materials!$A$5:$A$254,0)),""))</f>
        <v>0</v>
      </c>
      <c r="M202" s="45">
        <f>IF(C202="","",IF(OR(K202="",L202=""),"",ROUND(K202*L202,4)))</f>
        <v>0</v>
      </c>
      <c r="N202" s="20">
        <f>IF(A202="","",ROUND(SUMIFS('Material Usage'!$M$5:$M$904,'Material Usage'!$A$5:$A$904,A202),2))</f>
        <v>0</v>
      </c>
      <c r="O202" s="33">
        <f>IF(A202="","",IF(OR(M202="",N202="",N202=0),"",M202/N202))</f>
        <v>0</v>
      </c>
      <c r="P202" s="32">
        <f>IF(A202="","",COUNTIFS($A$5:A202,A202))</f>
        <v>0</v>
      </c>
      <c r="Q202" s="13">
        <f>IF(A202="","",A202&amp;"|"&amp;P202)</f>
        <v>0</v>
      </c>
      <c r="R202" s="43">
        <f>IF(AND(A202="",C202=""),"",IF(A202="","Add - which product?",IF(C202="","Add - which material?",IF(B202="Not found","Check - no such product ID",IF(D202="Add to Materials","Check - no such material ID",IF(OR(F202="",F202=0),"Add - how much?",IF(L202="","Check - that material has no price","OK")))))))</f>
        <v>0</v>
      </c>
    </row>
    <row r="203" spans="2:18">
      <c r="B203" s="13">
        <f>IF(A203="","",IFERROR(INDEX(Products!$B$5:$B$304,MATCH(A203,Products!$A$5:$A$304,0)),"Not found"))</f>
        <v>0</v>
      </c>
      <c r="D203" s="13">
        <f>IF(C203="","",IFERROR(INDEX(Materials!$B$5:$B$254,MATCH(C203,Materials!$A$5:$A$254,0)),"Add to Materials"))</f>
        <v>0</v>
      </c>
      <c r="E203" s="13">
        <f>IF(C203="","",IFERROR(INDEX(Materials!$H$5:$H$254,MATCH(C203,Materials!$A$5:$A$254,0)),"Add to Materials"))</f>
        <v>0</v>
      </c>
      <c r="J203" s="33">
        <f>IF(C203="","",IF(G203&lt;&gt;"",G203,IFERROR(INDEX(Materials!$W$5:$W$254,MATCH(C203,Materials!$A$5:$A$254,0)),DefaultWaste)))</f>
        <v>0</v>
      </c>
      <c r="K203" s="36">
        <f>IF(C203="","",IF(F203="","",ROUND(F203*(1+J203),4)))</f>
        <v>0</v>
      </c>
      <c r="L203" s="45">
        <f>IF(C203="","",IFERROR(INDEX(Materials!$S$5:$S$254,MATCH(C203,Materials!$A$5:$A$254,0)),""))</f>
        <v>0</v>
      </c>
      <c r="M203" s="45">
        <f>IF(C203="","",IF(OR(K203="",L203=""),"",ROUND(K203*L203,4)))</f>
        <v>0</v>
      </c>
      <c r="N203" s="20">
        <f>IF(A203="","",ROUND(SUMIFS('Material Usage'!$M$5:$M$904,'Material Usage'!$A$5:$A$904,A203),2))</f>
        <v>0</v>
      </c>
      <c r="O203" s="33">
        <f>IF(A203="","",IF(OR(M203="",N203="",N203=0),"",M203/N203))</f>
        <v>0</v>
      </c>
      <c r="P203" s="32">
        <f>IF(A203="","",COUNTIFS($A$5:A203,A203))</f>
        <v>0</v>
      </c>
      <c r="Q203" s="13">
        <f>IF(A203="","",A203&amp;"|"&amp;P203)</f>
        <v>0</v>
      </c>
      <c r="R203" s="43">
        <f>IF(AND(A203="",C203=""),"",IF(A203="","Add - which product?",IF(C203="","Add - which material?",IF(B203="Not found","Check - no such product ID",IF(D203="Add to Materials","Check - no such material ID",IF(OR(F203="",F203=0),"Add - how much?",IF(L203="","Check - that material has no price","OK")))))))</f>
        <v>0</v>
      </c>
    </row>
    <row r="204" spans="2:18">
      <c r="B204" s="13">
        <f>IF(A204="","",IFERROR(INDEX(Products!$B$5:$B$304,MATCH(A204,Products!$A$5:$A$304,0)),"Not found"))</f>
        <v>0</v>
      </c>
      <c r="D204" s="13">
        <f>IF(C204="","",IFERROR(INDEX(Materials!$B$5:$B$254,MATCH(C204,Materials!$A$5:$A$254,0)),"Add to Materials"))</f>
        <v>0</v>
      </c>
      <c r="E204" s="13">
        <f>IF(C204="","",IFERROR(INDEX(Materials!$H$5:$H$254,MATCH(C204,Materials!$A$5:$A$254,0)),"Add to Materials"))</f>
        <v>0</v>
      </c>
      <c r="J204" s="33">
        <f>IF(C204="","",IF(G204&lt;&gt;"",G204,IFERROR(INDEX(Materials!$W$5:$W$254,MATCH(C204,Materials!$A$5:$A$254,0)),DefaultWaste)))</f>
        <v>0</v>
      </c>
      <c r="K204" s="36">
        <f>IF(C204="","",IF(F204="","",ROUND(F204*(1+J204),4)))</f>
        <v>0</v>
      </c>
      <c r="L204" s="45">
        <f>IF(C204="","",IFERROR(INDEX(Materials!$S$5:$S$254,MATCH(C204,Materials!$A$5:$A$254,0)),""))</f>
        <v>0</v>
      </c>
      <c r="M204" s="45">
        <f>IF(C204="","",IF(OR(K204="",L204=""),"",ROUND(K204*L204,4)))</f>
        <v>0</v>
      </c>
      <c r="N204" s="20">
        <f>IF(A204="","",ROUND(SUMIFS('Material Usage'!$M$5:$M$904,'Material Usage'!$A$5:$A$904,A204),2))</f>
        <v>0</v>
      </c>
      <c r="O204" s="33">
        <f>IF(A204="","",IF(OR(M204="",N204="",N204=0),"",M204/N204))</f>
        <v>0</v>
      </c>
      <c r="P204" s="32">
        <f>IF(A204="","",COUNTIFS($A$5:A204,A204))</f>
        <v>0</v>
      </c>
      <c r="Q204" s="13">
        <f>IF(A204="","",A204&amp;"|"&amp;P204)</f>
        <v>0</v>
      </c>
      <c r="R204" s="43">
        <f>IF(AND(A204="",C204=""),"",IF(A204="","Add - which product?",IF(C204="","Add - which material?",IF(B204="Not found","Check - no such product ID",IF(D204="Add to Materials","Check - no such material ID",IF(OR(F204="",F204=0),"Add - how much?",IF(L204="","Check - that material has no price","OK")))))))</f>
        <v>0</v>
      </c>
    </row>
    <row r="205" spans="2:18">
      <c r="B205" s="13">
        <f>IF(A205="","",IFERROR(INDEX(Products!$B$5:$B$304,MATCH(A205,Products!$A$5:$A$304,0)),"Not found"))</f>
        <v>0</v>
      </c>
      <c r="D205" s="13">
        <f>IF(C205="","",IFERROR(INDEX(Materials!$B$5:$B$254,MATCH(C205,Materials!$A$5:$A$254,0)),"Add to Materials"))</f>
        <v>0</v>
      </c>
      <c r="E205" s="13">
        <f>IF(C205="","",IFERROR(INDEX(Materials!$H$5:$H$254,MATCH(C205,Materials!$A$5:$A$254,0)),"Add to Materials"))</f>
        <v>0</v>
      </c>
      <c r="J205" s="33">
        <f>IF(C205="","",IF(G205&lt;&gt;"",G205,IFERROR(INDEX(Materials!$W$5:$W$254,MATCH(C205,Materials!$A$5:$A$254,0)),DefaultWaste)))</f>
        <v>0</v>
      </c>
      <c r="K205" s="36">
        <f>IF(C205="","",IF(F205="","",ROUND(F205*(1+J205),4)))</f>
        <v>0</v>
      </c>
      <c r="L205" s="45">
        <f>IF(C205="","",IFERROR(INDEX(Materials!$S$5:$S$254,MATCH(C205,Materials!$A$5:$A$254,0)),""))</f>
        <v>0</v>
      </c>
      <c r="M205" s="45">
        <f>IF(C205="","",IF(OR(K205="",L205=""),"",ROUND(K205*L205,4)))</f>
        <v>0</v>
      </c>
      <c r="N205" s="20">
        <f>IF(A205="","",ROUND(SUMIFS('Material Usage'!$M$5:$M$904,'Material Usage'!$A$5:$A$904,A205),2))</f>
        <v>0</v>
      </c>
      <c r="O205" s="33">
        <f>IF(A205="","",IF(OR(M205="",N205="",N205=0),"",M205/N205))</f>
        <v>0</v>
      </c>
      <c r="P205" s="32">
        <f>IF(A205="","",COUNTIFS($A$5:A205,A205))</f>
        <v>0</v>
      </c>
      <c r="Q205" s="13">
        <f>IF(A205="","",A205&amp;"|"&amp;P205)</f>
        <v>0</v>
      </c>
      <c r="R205" s="43">
        <f>IF(AND(A205="",C205=""),"",IF(A205="","Add - which product?",IF(C205="","Add - which material?",IF(B205="Not found","Check - no such product ID",IF(D205="Add to Materials","Check - no such material ID",IF(OR(F205="",F205=0),"Add - how much?",IF(L205="","Check - that material has no price","OK")))))))</f>
        <v>0</v>
      </c>
    </row>
    <row r="206" spans="2:18">
      <c r="B206" s="13">
        <f>IF(A206="","",IFERROR(INDEX(Products!$B$5:$B$304,MATCH(A206,Products!$A$5:$A$304,0)),"Not found"))</f>
        <v>0</v>
      </c>
      <c r="D206" s="13">
        <f>IF(C206="","",IFERROR(INDEX(Materials!$B$5:$B$254,MATCH(C206,Materials!$A$5:$A$254,0)),"Add to Materials"))</f>
        <v>0</v>
      </c>
      <c r="E206" s="13">
        <f>IF(C206="","",IFERROR(INDEX(Materials!$H$5:$H$254,MATCH(C206,Materials!$A$5:$A$254,0)),"Add to Materials"))</f>
        <v>0</v>
      </c>
      <c r="J206" s="33">
        <f>IF(C206="","",IF(G206&lt;&gt;"",G206,IFERROR(INDEX(Materials!$W$5:$W$254,MATCH(C206,Materials!$A$5:$A$254,0)),DefaultWaste)))</f>
        <v>0</v>
      </c>
      <c r="K206" s="36">
        <f>IF(C206="","",IF(F206="","",ROUND(F206*(1+J206),4)))</f>
        <v>0</v>
      </c>
      <c r="L206" s="45">
        <f>IF(C206="","",IFERROR(INDEX(Materials!$S$5:$S$254,MATCH(C206,Materials!$A$5:$A$254,0)),""))</f>
        <v>0</v>
      </c>
      <c r="M206" s="45">
        <f>IF(C206="","",IF(OR(K206="",L206=""),"",ROUND(K206*L206,4)))</f>
        <v>0</v>
      </c>
      <c r="N206" s="20">
        <f>IF(A206="","",ROUND(SUMIFS('Material Usage'!$M$5:$M$904,'Material Usage'!$A$5:$A$904,A206),2))</f>
        <v>0</v>
      </c>
      <c r="O206" s="33">
        <f>IF(A206="","",IF(OR(M206="",N206="",N206=0),"",M206/N206))</f>
        <v>0</v>
      </c>
      <c r="P206" s="32">
        <f>IF(A206="","",COUNTIFS($A$5:A206,A206))</f>
        <v>0</v>
      </c>
      <c r="Q206" s="13">
        <f>IF(A206="","",A206&amp;"|"&amp;P206)</f>
        <v>0</v>
      </c>
      <c r="R206" s="43">
        <f>IF(AND(A206="",C206=""),"",IF(A206="","Add - which product?",IF(C206="","Add - which material?",IF(B206="Not found","Check - no such product ID",IF(D206="Add to Materials","Check - no such material ID",IF(OR(F206="",F206=0),"Add - how much?",IF(L206="","Check - that material has no price","OK")))))))</f>
        <v>0</v>
      </c>
    </row>
    <row r="207" spans="2:18">
      <c r="B207" s="13">
        <f>IF(A207="","",IFERROR(INDEX(Products!$B$5:$B$304,MATCH(A207,Products!$A$5:$A$304,0)),"Not found"))</f>
        <v>0</v>
      </c>
      <c r="D207" s="13">
        <f>IF(C207="","",IFERROR(INDEX(Materials!$B$5:$B$254,MATCH(C207,Materials!$A$5:$A$254,0)),"Add to Materials"))</f>
        <v>0</v>
      </c>
      <c r="E207" s="13">
        <f>IF(C207="","",IFERROR(INDEX(Materials!$H$5:$H$254,MATCH(C207,Materials!$A$5:$A$254,0)),"Add to Materials"))</f>
        <v>0</v>
      </c>
      <c r="J207" s="33">
        <f>IF(C207="","",IF(G207&lt;&gt;"",G207,IFERROR(INDEX(Materials!$W$5:$W$254,MATCH(C207,Materials!$A$5:$A$254,0)),DefaultWaste)))</f>
        <v>0</v>
      </c>
      <c r="K207" s="36">
        <f>IF(C207="","",IF(F207="","",ROUND(F207*(1+J207),4)))</f>
        <v>0</v>
      </c>
      <c r="L207" s="45">
        <f>IF(C207="","",IFERROR(INDEX(Materials!$S$5:$S$254,MATCH(C207,Materials!$A$5:$A$254,0)),""))</f>
        <v>0</v>
      </c>
      <c r="M207" s="45">
        <f>IF(C207="","",IF(OR(K207="",L207=""),"",ROUND(K207*L207,4)))</f>
        <v>0</v>
      </c>
      <c r="N207" s="20">
        <f>IF(A207="","",ROUND(SUMIFS('Material Usage'!$M$5:$M$904,'Material Usage'!$A$5:$A$904,A207),2))</f>
        <v>0</v>
      </c>
      <c r="O207" s="33">
        <f>IF(A207="","",IF(OR(M207="",N207="",N207=0),"",M207/N207))</f>
        <v>0</v>
      </c>
      <c r="P207" s="32">
        <f>IF(A207="","",COUNTIFS($A$5:A207,A207))</f>
        <v>0</v>
      </c>
      <c r="Q207" s="13">
        <f>IF(A207="","",A207&amp;"|"&amp;P207)</f>
        <v>0</v>
      </c>
      <c r="R207" s="43">
        <f>IF(AND(A207="",C207=""),"",IF(A207="","Add - which product?",IF(C207="","Add - which material?",IF(B207="Not found","Check - no such product ID",IF(D207="Add to Materials","Check - no such material ID",IF(OR(F207="",F207=0),"Add - how much?",IF(L207="","Check - that material has no price","OK")))))))</f>
        <v>0</v>
      </c>
    </row>
    <row r="208" spans="2:18">
      <c r="B208" s="13">
        <f>IF(A208="","",IFERROR(INDEX(Products!$B$5:$B$304,MATCH(A208,Products!$A$5:$A$304,0)),"Not found"))</f>
        <v>0</v>
      </c>
      <c r="D208" s="13">
        <f>IF(C208="","",IFERROR(INDEX(Materials!$B$5:$B$254,MATCH(C208,Materials!$A$5:$A$254,0)),"Add to Materials"))</f>
        <v>0</v>
      </c>
      <c r="E208" s="13">
        <f>IF(C208="","",IFERROR(INDEX(Materials!$H$5:$H$254,MATCH(C208,Materials!$A$5:$A$254,0)),"Add to Materials"))</f>
        <v>0</v>
      </c>
      <c r="J208" s="33">
        <f>IF(C208="","",IF(G208&lt;&gt;"",G208,IFERROR(INDEX(Materials!$W$5:$W$254,MATCH(C208,Materials!$A$5:$A$254,0)),DefaultWaste)))</f>
        <v>0</v>
      </c>
      <c r="K208" s="36">
        <f>IF(C208="","",IF(F208="","",ROUND(F208*(1+J208),4)))</f>
        <v>0</v>
      </c>
      <c r="L208" s="45">
        <f>IF(C208="","",IFERROR(INDEX(Materials!$S$5:$S$254,MATCH(C208,Materials!$A$5:$A$254,0)),""))</f>
        <v>0</v>
      </c>
      <c r="M208" s="45">
        <f>IF(C208="","",IF(OR(K208="",L208=""),"",ROUND(K208*L208,4)))</f>
        <v>0</v>
      </c>
      <c r="N208" s="20">
        <f>IF(A208="","",ROUND(SUMIFS('Material Usage'!$M$5:$M$904,'Material Usage'!$A$5:$A$904,A208),2))</f>
        <v>0</v>
      </c>
      <c r="O208" s="33">
        <f>IF(A208="","",IF(OR(M208="",N208="",N208=0),"",M208/N208))</f>
        <v>0</v>
      </c>
      <c r="P208" s="32">
        <f>IF(A208="","",COUNTIFS($A$5:A208,A208))</f>
        <v>0</v>
      </c>
      <c r="Q208" s="13">
        <f>IF(A208="","",A208&amp;"|"&amp;P208)</f>
        <v>0</v>
      </c>
      <c r="R208" s="43">
        <f>IF(AND(A208="",C208=""),"",IF(A208="","Add - which product?",IF(C208="","Add - which material?",IF(B208="Not found","Check - no such product ID",IF(D208="Add to Materials","Check - no such material ID",IF(OR(F208="",F208=0),"Add - how much?",IF(L208="","Check - that material has no price","OK")))))))</f>
        <v>0</v>
      </c>
    </row>
    <row r="209" spans="2:18">
      <c r="B209" s="13">
        <f>IF(A209="","",IFERROR(INDEX(Products!$B$5:$B$304,MATCH(A209,Products!$A$5:$A$304,0)),"Not found"))</f>
        <v>0</v>
      </c>
      <c r="D209" s="13">
        <f>IF(C209="","",IFERROR(INDEX(Materials!$B$5:$B$254,MATCH(C209,Materials!$A$5:$A$254,0)),"Add to Materials"))</f>
        <v>0</v>
      </c>
      <c r="E209" s="13">
        <f>IF(C209="","",IFERROR(INDEX(Materials!$H$5:$H$254,MATCH(C209,Materials!$A$5:$A$254,0)),"Add to Materials"))</f>
        <v>0</v>
      </c>
      <c r="J209" s="33">
        <f>IF(C209="","",IF(G209&lt;&gt;"",G209,IFERROR(INDEX(Materials!$W$5:$W$254,MATCH(C209,Materials!$A$5:$A$254,0)),DefaultWaste)))</f>
        <v>0</v>
      </c>
      <c r="K209" s="36">
        <f>IF(C209="","",IF(F209="","",ROUND(F209*(1+J209),4)))</f>
        <v>0</v>
      </c>
      <c r="L209" s="45">
        <f>IF(C209="","",IFERROR(INDEX(Materials!$S$5:$S$254,MATCH(C209,Materials!$A$5:$A$254,0)),""))</f>
        <v>0</v>
      </c>
      <c r="M209" s="45">
        <f>IF(C209="","",IF(OR(K209="",L209=""),"",ROUND(K209*L209,4)))</f>
        <v>0</v>
      </c>
      <c r="N209" s="20">
        <f>IF(A209="","",ROUND(SUMIFS('Material Usage'!$M$5:$M$904,'Material Usage'!$A$5:$A$904,A209),2))</f>
        <v>0</v>
      </c>
      <c r="O209" s="33">
        <f>IF(A209="","",IF(OR(M209="",N209="",N209=0),"",M209/N209))</f>
        <v>0</v>
      </c>
      <c r="P209" s="32">
        <f>IF(A209="","",COUNTIFS($A$5:A209,A209))</f>
        <v>0</v>
      </c>
      <c r="Q209" s="13">
        <f>IF(A209="","",A209&amp;"|"&amp;P209)</f>
        <v>0</v>
      </c>
      <c r="R209" s="43">
        <f>IF(AND(A209="",C209=""),"",IF(A209="","Add - which product?",IF(C209="","Add - which material?",IF(B209="Not found","Check - no such product ID",IF(D209="Add to Materials","Check - no such material ID",IF(OR(F209="",F209=0),"Add - how much?",IF(L209="","Check - that material has no price","OK")))))))</f>
        <v>0</v>
      </c>
    </row>
    <row r="210" spans="2:18">
      <c r="B210" s="13">
        <f>IF(A210="","",IFERROR(INDEX(Products!$B$5:$B$304,MATCH(A210,Products!$A$5:$A$304,0)),"Not found"))</f>
        <v>0</v>
      </c>
      <c r="D210" s="13">
        <f>IF(C210="","",IFERROR(INDEX(Materials!$B$5:$B$254,MATCH(C210,Materials!$A$5:$A$254,0)),"Add to Materials"))</f>
        <v>0</v>
      </c>
      <c r="E210" s="13">
        <f>IF(C210="","",IFERROR(INDEX(Materials!$H$5:$H$254,MATCH(C210,Materials!$A$5:$A$254,0)),"Add to Materials"))</f>
        <v>0</v>
      </c>
      <c r="J210" s="33">
        <f>IF(C210="","",IF(G210&lt;&gt;"",G210,IFERROR(INDEX(Materials!$W$5:$W$254,MATCH(C210,Materials!$A$5:$A$254,0)),DefaultWaste)))</f>
        <v>0</v>
      </c>
      <c r="K210" s="36">
        <f>IF(C210="","",IF(F210="","",ROUND(F210*(1+J210),4)))</f>
        <v>0</v>
      </c>
      <c r="L210" s="45">
        <f>IF(C210="","",IFERROR(INDEX(Materials!$S$5:$S$254,MATCH(C210,Materials!$A$5:$A$254,0)),""))</f>
        <v>0</v>
      </c>
      <c r="M210" s="45">
        <f>IF(C210="","",IF(OR(K210="",L210=""),"",ROUND(K210*L210,4)))</f>
        <v>0</v>
      </c>
      <c r="N210" s="20">
        <f>IF(A210="","",ROUND(SUMIFS('Material Usage'!$M$5:$M$904,'Material Usage'!$A$5:$A$904,A210),2))</f>
        <v>0</v>
      </c>
      <c r="O210" s="33">
        <f>IF(A210="","",IF(OR(M210="",N210="",N210=0),"",M210/N210))</f>
        <v>0</v>
      </c>
      <c r="P210" s="32">
        <f>IF(A210="","",COUNTIFS($A$5:A210,A210))</f>
        <v>0</v>
      </c>
      <c r="Q210" s="13">
        <f>IF(A210="","",A210&amp;"|"&amp;P210)</f>
        <v>0</v>
      </c>
      <c r="R210" s="43">
        <f>IF(AND(A210="",C210=""),"",IF(A210="","Add - which product?",IF(C210="","Add - which material?",IF(B210="Not found","Check - no such product ID",IF(D210="Add to Materials","Check - no such material ID",IF(OR(F210="",F210=0),"Add - how much?",IF(L210="","Check - that material has no price","OK")))))))</f>
        <v>0</v>
      </c>
    </row>
    <row r="211" spans="2:18">
      <c r="B211" s="13">
        <f>IF(A211="","",IFERROR(INDEX(Products!$B$5:$B$304,MATCH(A211,Products!$A$5:$A$304,0)),"Not found"))</f>
        <v>0</v>
      </c>
      <c r="D211" s="13">
        <f>IF(C211="","",IFERROR(INDEX(Materials!$B$5:$B$254,MATCH(C211,Materials!$A$5:$A$254,0)),"Add to Materials"))</f>
        <v>0</v>
      </c>
      <c r="E211" s="13">
        <f>IF(C211="","",IFERROR(INDEX(Materials!$H$5:$H$254,MATCH(C211,Materials!$A$5:$A$254,0)),"Add to Materials"))</f>
        <v>0</v>
      </c>
      <c r="J211" s="33">
        <f>IF(C211="","",IF(G211&lt;&gt;"",G211,IFERROR(INDEX(Materials!$W$5:$W$254,MATCH(C211,Materials!$A$5:$A$254,0)),DefaultWaste)))</f>
        <v>0</v>
      </c>
      <c r="K211" s="36">
        <f>IF(C211="","",IF(F211="","",ROUND(F211*(1+J211),4)))</f>
        <v>0</v>
      </c>
      <c r="L211" s="45">
        <f>IF(C211="","",IFERROR(INDEX(Materials!$S$5:$S$254,MATCH(C211,Materials!$A$5:$A$254,0)),""))</f>
        <v>0</v>
      </c>
      <c r="M211" s="45">
        <f>IF(C211="","",IF(OR(K211="",L211=""),"",ROUND(K211*L211,4)))</f>
        <v>0</v>
      </c>
      <c r="N211" s="20">
        <f>IF(A211="","",ROUND(SUMIFS('Material Usage'!$M$5:$M$904,'Material Usage'!$A$5:$A$904,A211),2))</f>
        <v>0</v>
      </c>
      <c r="O211" s="33">
        <f>IF(A211="","",IF(OR(M211="",N211="",N211=0),"",M211/N211))</f>
        <v>0</v>
      </c>
      <c r="P211" s="32">
        <f>IF(A211="","",COUNTIFS($A$5:A211,A211))</f>
        <v>0</v>
      </c>
      <c r="Q211" s="13">
        <f>IF(A211="","",A211&amp;"|"&amp;P211)</f>
        <v>0</v>
      </c>
      <c r="R211" s="43">
        <f>IF(AND(A211="",C211=""),"",IF(A211="","Add - which product?",IF(C211="","Add - which material?",IF(B211="Not found","Check - no such product ID",IF(D211="Add to Materials","Check - no such material ID",IF(OR(F211="",F211=0),"Add - how much?",IF(L211="","Check - that material has no price","OK")))))))</f>
        <v>0</v>
      </c>
    </row>
    <row r="212" spans="2:18">
      <c r="B212" s="13">
        <f>IF(A212="","",IFERROR(INDEX(Products!$B$5:$B$304,MATCH(A212,Products!$A$5:$A$304,0)),"Not found"))</f>
        <v>0</v>
      </c>
      <c r="D212" s="13">
        <f>IF(C212="","",IFERROR(INDEX(Materials!$B$5:$B$254,MATCH(C212,Materials!$A$5:$A$254,0)),"Add to Materials"))</f>
        <v>0</v>
      </c>
      <c r="E212" s="13">
        <f>IF(C212="","",IFERROR(INDEX(Materials!$H$5:$H$254,MATCH(C212,Materials!$A$5:$A$254,0)),"Add to Materials"))</f>
        <v>0</v>
      </c>
      <c r="J212" s="33">
        <f>IF(C212="","",IF(G212&lt;&gt;"",G212,IFERROR(INDEX(Materials!$W$5:$W$254,MATCH(C212,Materials!$A$5:$A$254,0)),DefaultWaste)))</f>
        <v>0</v>
      </c>
      <c r="K212" s="36">
        <f>IF(C212="","",IF(F212="","",ROUND(F212*(1+J212),4)))</f>
        <v>0</v>
      </c>
      <c r="L212" s="45">
        <f>IF(C212="","",IFERROR(INDEX(Materials!$S$5:$S$254,MATCH(C212,Materials!$A$5:$A$254,0)),""))</f>
        <v>0</v>
      </c>
      <c r="M212" s="45">
        <f>IF(C212="","",IF(OR(K212="",L212=""),"",ROUND(K212*L212,4)))</f>
        <v>0</v>
      </c>
      <c r="N212" s="20">
        <f>IF(A212="","",ROUND(SUMIFS('Material Usage'!$M$5:$M$904,'Material Usage'!$A$5:$A$904,A212),2))</f>
        <v>0</v>
      </c>
      <c r="O212" s="33">
        <f>IF(A212="","",IF(OR(M212="",N212="",N212=0),"",M212/N212))</f>
        <v>0</v>
      </c>
      <c r="P212" s="32">
        <f>IF(A212="","",COUNTIFS($A$5:A212,A212))</f>
        <v>0</v>
      </c>
      <c r="Q212" s="13">
        <f>IF(A212="","",A212&amp;"|"&amp;P212)</f>
        <v>0</v>
      </c>
      <c r="R212" s="43">
        <f>IF(AND(A212="",C212=""),"",IF(A212="","Add - which product?",IF(C212="","Add - which material?",IF(B212="Not found","Check - no such product ID",IF(D212="Add to Materials","Check - no such material ID",IF(OR(F212="",F212=0),"Add - how much?",IF(L212="","Check - that material has no price","OK")))))))</f>
        <v>0</v>
      </c>
    </row>
    <row r="213" spans="2:18">
      <c r="B213" s="13">
        <f>IF(A213="","",IFERROR(INDEX(Products!$B$5:$B$304,MATCH(A213,Products!$A$5:$A$304,0)),"Not found"))</f>
        <v>0</v>
      </c>
      <c r="D213" s="13">
        <f>IF(C213="","",IFERROR(INDEX(Materials!$B$5:$B$254,MATCH(C213,Materials!$A$5:$A$254,0)),"Add to Materials"))</f>
        <v>0</v>
      </c>
      <c r="E213" s="13">
        <f>IF(C213="","",IFERROR(INDEX(Materials!$H$5:$H$254,MATCH(C213,Materials!$A$5:$A$254,0)),"Add to Materials"))</f>
        <v>0</v>
      </c>
      <c r="J213" s="33">
        <f>IF(C213="","",IF(G213&lt;&gt;"",G213,IFERROR(INDEX(Materials!$W$5:$W$254,MATCH(C213,Materials!$A$5:$A$254,0)),DefaultWaste)))</f>
        <v>0</v>
      </c>
      <c r="K213" s="36">
        <f>IF(C213="","",IF(F213="","",ROUND(F213*(1+J213),4)))</f>
        <v>0</v>
      </c>
      <c r="L213" s="45">
        <f>IF(C213="","",IFERROR(INDEX(Materials!$S$5:$S$254,MATCH(C213,Materials!$A$5:$A$254,0)),""))</f>
        <v>0</v>
      </c>
      <c r="M213" s="45">
        <f>IF(C213="","",IF(OR(K213="",L213=""),"",ROUND(K213*L213,4)))</f>
        <v>0</v>
      </c>
      <c r="N213" s="20">
        <f>IF(A213="","",ROUND(SUMIFS('Material Usage'!$M$5:$M$904,'Material Usage'!$A$5:$A$904,A213),2))</f>
        <v>0</v>
      </c>
      <c r="O213" s="33">
        <f>IF(A213="","",IF(OR(M213="",N213="",N213=0),"",M213/N213))</f>
        <v>0</v>
      </c>
      <c r="P213" s="32">
        <f>IF(A213="","",COUNTIFS($A$5:A213,A213))</f>
        <v>0</v>
      </c>
      <c r="Q213" s="13">
        <f>IF(A213="","",A213&amp;"|"&amp;P213)</f>
        <v>0</v>
      </c>
      <c r="R213" s="43">
        <f>IF(AND(A213="",C213=""),"",IF(A213="","Add - which product?",IF(C213="","Add - which material?",IF(B213="Not found","Check - no such product ID",IF(D213="Add to Materials","Check - no such material ID",IF(OR(F213="",F213=0),"Add - how much?",IF(L213="","Check - that material has no price","OK")))))))</f>
        <v>0</v>
      </c>
    </row>
    <row r="214" spans="2:18">
      <c r="B214" s="13">
        <f>IF(A214="","",IFERROR(INDEX(Products!$B$5:$B$304,MATCH(A214,Products!$A$5:$A$304,0)),"Not found"))</f>
        <v>0</v>
      </c>
      <c r="D214" s="13">
        <f>IF(C214="","",IFERROR(INDEX(Materials!$B$5:$B$254,MATCH(C214,Materials!$A$5:$A$254,0)),"Add to Materials"))</f>
        <v>0</v>
      </c>
      <c r="E214" s="13">
        <f>IF(C214="","",IFERROR(INDEX(Materials!$H$5:$H$254,MATCH(C214,Materials!$A$5:$A$254,0)),"Add to Materials"))</f>
        <v>0</v>
      </c>
      <c r="J214" s="33">
        <f>IF(C214="","",IF(G214&lt;&gt;"",G214,IFERROR(INDEX(Materials!$W$5:$W$254,MATCH(C214,Materials!$A$5:$A$254,0)),DefaultWaste)))</f>
        <v>0</v>
      </c>
      <c r="K214" s="36">
        <f>IF(C214="","",IF(F214="","",ROUND(F214*(1+J214),4)))</f>
        <v>0</v>
      </c>
      <c r="L214" s="45">
        <f>IF(C214="","",IFERROR(INDEX(Materials!$S$5:$S$254,MATCH(C214,Materials!$A$5:$A$254,0)),""))</f>
        <v>0</v>
      </c>
      <c r="M214" s="45">
        <f>IF(C214="","",IF(OR(K214="",L214=""),"",ROUND(K214*L214,4)))</f>
        <v>0</v>
      </c>
      <c r="N214" s="20">
        <f>IF(A214="","",ROUND(SUMIFS('Material Usage'!$M$5:$M$904,'Material Usage'!$A$5:$A$904,A214),2))</f>
        <v>0</v>
      </c>
      <c r="O214" s="33">
        <f>IF(A214="","",IF(OR(M214="",N214="",N214=0),"",M214/N214))</f>
        <v>0</v>
      </c>
      <c r="P214" s="32">
        <f>IF(A214="","",COUNTIFS($A$5:A214,A214))</f>
        <v>0</v>
      </c>
      <c r="Q214" s="13">
        <f>IF(A214="","",A214&amp;"|"&amp;P214)</f>
        <v>0</v>
      </c>
      <c r="R214" s="43">
        <f>IF(AND(A214="",C214=""),"",IF(A214="","Add - which product?",IF(C214="","Add - which material?",IF(B214="Not found","Check - no such product ID",IF(D214="Add to Materials","Check - no such material ID",IF(OR(F214="",F214=0),"Add - how much?",IF(L214="","Check - that material has no price","OK")))))))</f>
        <v>0</v>
      </c>
    </row>
    <row r="215" spans="2:18">
      <c r="B215" s="13">
        <f>IF(A215="","",IFERROR(INDEX(Products!$B$5:$B$304,MATCH(A215,Products!$A$5:$A$304,0)),"Not found"))</f>
        <v>0</v>
      </c>
      <c r="D215" s="13">
        <f>IF(C215="","",IFERROR(INDEX(Materials!$B$5:$B$254,MATCH(C215,Materials!$A$5:$A$254,0)),"Add to Materials"))</f>
        <v>0</v>
      </c>
      <c r="E215" s="13">
        <f>IF(C215="","",IFERROR(INDEX(Materials!$H$5:$H$254,MATCH(C215,Materials!$A$5:$A$254,0)),"Add to Materials"))</f>
        <v>0</v>
      </c>
      <c r="J215" s="33">
        <f>IF(C215="","",IF(G215&lt;&gt;"",G215,IFERROR(INDEX(Materials!$W$5:$W$254,MATCH(C215,Materials!$A$5:$A$254,0)),DefaultWaste)))</f>
        <v>0</v>
      </c>
      <c r="K215" s="36">
        <f>IF(C215="","",IF(F215="","",ROUND(F215*(1+J215),4)))</f>
        <v>0</v>
      </c>
      <c r="L215" s="45">
        <f>IF(C215="","",IFERROR(INDEX(Materials!$S$5:$S$254,MATCH(C215,Materials!$A$5:$A$254,0)),""))</f>
        <v>0</v>
      </c>
      <c r="M215" s="45">
        <f>IF(C215="","",IF(OR(K215="",L215=""),"",ROUND(K215*L215,4)))</f>
        <v>0</v>
      </c>
      <c r="N215" s="20">
        <f>IF(A215="","",ROUND(SUMIFS('Material Usage'!$M$5:$M$904,'Material Usage'!$A$5:$A$904,A215),2))</f>
        <v>0</v>
      </c>
      <c r="O215" s="33">
        <f>IF(A215="","",IF(OR(M215="",N215="",N215=0),"",M215/N215))</f>
        <v>0</v>
      </c>
      <c r="P215" s="32">
        <f>IF(A215="","",COUNTIFS($A$5:A215,A215))</f>
        <v>0</v>
      </c>
      <c r="Q215" s="13">
        <f>IF(A215="","",A215&amp;"|"&amp;P215)</f>
        <v>0</v>
      </c>
      <c r="R215" s="43">
        <f>IF(AND(A215="",C215=""),"",IF(A215="","Add - which product?",IF(C215="","Add - which material?",IF(B215="Not found","Check - no such product ID",IF(D215="Add to Materials","Check - no such material ID",IF(OR(F215="",F215=0),"Add - how much?",IF(L215="","Check - that material has no price","OK")))))))</f>
        <v>0</v>
      </c>
    </row>
    <row r="216" spans="2:18">
      <c r="B216" s="13">
        <f>IF(A216="","",IFERROR(INDEX(Products!$B$5:$B$304,MATCH(A216,Products!$A$5:$A$304,0)),"Not found"))</f>
        <v>0</v>
      </c>
      <c r="D216" s="13">
        <f>IF(C216="","",IFERROR(INDEX(Materials!$B$5:$B$254,MATCH(C216,Materials!$A$5:$A$254,0)),"Add to Materials"))</f>
        <v>0</v>
      </c>
      <c r="E216" s="13">
        <f>IF(C216="","",IFERROR(INDEX(Materials!$H$5:$H$254,MATCH(C216,Materials!$A$5:$A$254,0)),"Add to Materials"))</f>
        <v>0</v>
      </c>
      <c r="J216" s="33">
        <f>IF(C216="","",IF(G216&lt;&gt;"",G216,IFERROR(INDEX(Materials!$W$5:$W$254,MATCH(C216,Materials!$A$5:$A$254,0)),DefaultWaste)))</f>
        <v>0</v>
      </c>
      <c r="K216" s="36">
        <f>IF(C216="","",IF(F216="","",ROUND(F216*(1+J216),4)))</f>
        <v>0</v>
      </c>
      <c r="L216" s="45">
        <f>IF(C216="","",IFERROR(INDEX(Materials!$S$5:$S$254,MATCH(C216,Materials!$A$5:$A$254,0)),""))</f>
        <v>0</v>
      </c>
      <c r="M216" s="45">
        <f>IF(C216="","",IF(OR(K216="",L216=""),"",ROUND(K216*L216,4)))</f>
        <v>0</v>
      </c>
      <c r="N216" s="20">
        <f>IF(A216="","",ROUND(SUMIFS('Material Usage'!$M$5:$M$904,'Material Usage'!$A$5:$A$904,A216),2))</f>
        <v>0</v>
      </c>
      <c r="O216" s="33">
        <f>IF(A216="","",IF(OR(M216="",N216="",N216=0),"",M216/N216))</f>
        <v>0</v>
      </c>
      <c r="P216" s="32">
        <f>IF(A216="","",COUNTIFS($A$5:A216,A216))</f>
        <v>0</v>
      </c>
      <c r="Q216" s="13">
        <f>IF(A216="","",A216&amp;"|"&amp;P216)</f>
        <v>0</v>
      </c>
      <c r="R216" s="43">
        <f>IF(AND(A216="",C216=""),"",IF(A216="","Add - which product?",IF(C216="","Add - which material?",IF(B216="Not found","Check - no such product ID",IF(D216="Add to Materials","Check - no such material ID",IF(OR(F216="",F216=0),"Add - how much?",IF(L216="","Check - that material has no price","OK")))))))</f>
        <v>0</v>
      </c>
    </row>
    <row r="217" spans="2:18">
      <c r="B217" s="13">
        <f>IF(A217="","",IFERROR(INDEX(Products!$B$5:$B$304,MATCH(A217,Products!$A$5:$A$304,0)),"Not found"))</f>
        <v>0</v>
      </c>
      <c r="D217" s="13">
        <f>IF(C217="","",IFERROR(INDEX(Materials!$B$5:$B$254,MATCH(C217,Materials!$A$5:$A$254,0)),"Add to Materials"))</f>
        <v>0</v>
      </c>
      <c r="E217" s="13">
        <f>IF(C217="","",IFERROR(INDEX(Materials!$H$5:$H$254,MATCH(C217,Materials!$A$5:$A$254,0)),"Add to Materials"))</f>
        <v>0</v>
      </c>
      <c r="J217" s="33">
        <f>IF(C217="","",IF(G217&lt;&gt;"",G217,IFERROR(INDEX(Materials!$W$5:$W$254,MATCH(C217,Materials!$A$5:$A$254,0)),DefaultWaste)))</f>
        <v>0</v>
      </c>
      <c r="K217" s="36">
        <f>IF(C217="","",IF(F217="","",ROUND(F217*(1+J217),4)))</f>
        <v>0</v>
      </c>
      <c r="L217" s="45">
        <f>IF(C217="","",IFERROR(INDEX(Materials!$S$5:$S$254,MATCH(C217,Materials!$A$5:$A$254,0)),""))</f>
        <v>0</v>
      </c>
      <c r="M217" s="45">
        <f>IF(C217="","",IF(OR(K217="",L217=""),"",ROUND(K217*L217,4)))</f>
        <v>0</v>
      </c>
      <c r="N217" s="20">
        <f>IF(A217="","",ROUND(SUMIFS('Material Usage'!$M$5:$M$904,'Material Usage'!$A$5:$A$904,A217),2))</f>
        <v>0</v>
      </c>
      <c r="O217" s="33">
        <f>IF(A217="","",IF(OR(M217="",N217="",N217=0),"",M217/N217))</f>
        <v>0</v>
      </c>
      <c r="P217" s="32">
        <f>IF(A217="","",COUNTIFS($A$5:A217,A217))</f>
        <v>0</v>
      </c>
      <c r="Q217" s="13">
        <f>IF(A217="","",A217&amp;"|"&amp;P217)</f>
        <v>0</v>
      </c>
      <c r="R217" s="43">
        <f>IF(AND(A217="",C217=""),"",IF(A217="","Add - which product?",IF(C217="","Add - which material?",IF(B217="Not found","Check - no such product ID",IF(D217="Add to Materials","Check - no such material ID",IF(OR(F217="",F217=0),"Add - how much?",IF(L217="","Check - that material has no price","OK")))))))</f>
        <v>0</v>
      </c>
    </row>
    <row r="218" spans="2:18">
      <c r="B218" s="13">
        <f>IF(A218="","",IFERROR(INDEX(Products!$B$5:$B$304,MATCH(A218,Products!$A$5:$A$304,0)),"Not found"))</f>
        <v>0</v>
      </c>
      <c r="D218" s="13">
        <f>IF(C218="","",IFERROR(INDEX(Materials!$B$5:$B$254,MATCH(C218,Materials!$A$5:$A$254,0)),"Add to Materials"))</f>
        <v>0</v>
      </c>
      <c r="E218" s="13">
        <f>IF(C218="","",IFERROR(INDEX(Materials!$H$5:$H$254,MATCH(C218,Materials!$A$5:$A$254,0)),"Add to Materials"))</f>
        <v>0</v>
      </c>
      <c r="J218" s="33">
        <f>IF(C218="","",IF(G218&lt;&gt;"",G218,IFERROR(INDEX(Materials!$W$5:$W$254,MATCH(C218,Materials!$A$5:$A$254,0)),DefaultWaste)))</f>
        <v>0</v>
      </c>
      <c r="K218" s="36">
        <f>IF(C218="","",IF(F218="","",ROUND(F218*(1+J218),4)))</f>
        <v>0</v>
      </c>
      <c r="L218" s="45">
        <f>IF(C218="","",IFERROR(INDEX(Materials!$S$5:$S$254,MATCH(C218,Materials!$A$5:$A$254,0)),""))</f>
        <v>0</v>
      </c>
      <c r="M218" s="45">
        <f>IF(C218="","",IF(OR(K218="",L218=""),"",ROUND(K218*L218,4)))</f>
        <v>0</v>
      </c>
      <c r="N218" s="20">
        <f>IF(A218="","",ROUND(SUMIFS('Material Usage'!$M$5:$M$904,'Material Usage'!$A$5:$A$904,A218),2))</f>
        <v>0</v>
      </c>
      <c r="O218" s="33">
        <f>IF(A218="","",IF(OR(M218="",N218="",N218=0),"",M218/N218))</f>
        <v>0</v>
      </c>
      <c r="P218" s="32">
        <f>IF(A218="","",COUNTIFS($A$5:A218,A218))</f>
        <v>0</v>
      </c>
      <c r="Q218" s="13">
        <f>IF(A218="","",A218&amp;"|"&amp;P218)</f>
        <v>0</v>
      </c>
      <c r="R218" s="43">
        <f>IF(AND(A218="",C218=""),"",IF(A218="","Add - which product?",IF(C218="","Add - which material?",IF(B218="Not found","Check - no such product ID",IF(D218="Add to Materials","Check - no such material ID",IF(OR(F218="",F218=0),"Add - how much?",IF(L218="","Check - that material has no price","OK")))))))</f>
        <v>0</v>
      </c>
    </row>
    <row r="219" spans="2:18">
      <c r="B219" s="13">
        <f>IF(A219="","",IFERROR(INDEX(Products!$B$5:$B$304,MATCH(A219,Products!$A$5:$A$304,0)),"Not found"))</f>
        <v>0</v>
      </c>
      <c r="D219" s="13">
        <f>IF(C219="","",IFERROR(INDEX(Materials!$B$5:$B$254,MATCH(C219,Materials!$A$5:$A$254,0)),"Add to Materials"))</f>
        <v>0</v>
      </c>
      <c r="E219" s="13">
        <f>IF(C219="","",IFERROR(INDEX(Materials!$H$5:$H$254,MATCH(C219,Materials!$A$5:$A$254,0)),"Add to Materials"))</f>
        <v>0</v>
      </c>
      <c r="J219" s="33">
        <f>IF(C219="","",IF(G219&lt;&gt;"",G219,IFERROR(INDEX(Materials!$W$5:$W$254,MATCH(C219,Materials!$A$5:$A$254,0)),DefaultWaste)))</f>
        <v>0</v>
      </c>
      <c r="K219" s="36">
        <f>IF(C219="","",IF(F219="","",ROUND(F219*(1+J219),4)))</f>
        <v>0</v>
      </c>
      <c r="L219" s="45">
        <f>IF(C219="","",IFERROR(INDEX(Materials!$S$5:$S$254,MATCH(C219,Materials!$A$5:$A$254,0)),""))</f>
        <v>0</v>
      </c>
      <c r="M219" s="45">
        <f>IF(C219="","",IF(OR(K219="",L219=""),"",ROUND(K219*L219,4)))</f>
        <v>0</v>
      </c>
      <c r="N219" s="20">
        <f>IF(A219="","",ROUND(SUMIFS('Material Usage'!$M$5:$M$904,'Material Usage'!$A$5:$A$904,A219),2))</f>
        <v>0</v>
      </c>
      <c r="O219" s="33">
        <f>IF(A219="","",IF(OR(M219="",N219="",N219=0),"",M219/N219))</f>
        <v>0</v>
      </c>
      <c r="P219" s="32">
        <f>IF(A219="","",COUNTIFS($A$5:A219,A219))</f>
        <v>0</v>
      </c>
      <c r="Q219" s="13">
        <f>IF(A219="","",A219&amp;"|"&amp;P219)</f>
        <v>0</v>
      </c>
      <c r="R219" s="43">
        <f>IF(AND(A219="",C219=""),"",IF(A219="","Add - which product?",IF(C219="","Add - which material?",IF(B219="Not found","Check - no such product ID",IF(D219="Add to Materials","Check - no such material ID",IF(OR(F219="",F219=0),"Add - how much?",IF(L219="","Check - that material has no price","OK")))))))</f>
        <v>0</v>
      </c>
    </row>
    <row r="220" spans="2:18">
      <c r="B220" s="13">
        <f>IF(A220="","",IFERROR(INDEX(Products!$B$5:$B$304,MATCH(A220,Products!$A$5:$A$304,0)),"Not found"))</f>
        <v>0</v>
      </c>
      <c r="D220" s="13">
        <f>IF(C220="","",IFERROR(INDEX(Materials!$B$5:$B$254,MATCH(C220,Materials!$A$5:$A$254,0)),"Add to Materials"))</f>
        <v>0</v>
      </c>
      <c r="E220" s="13">
        <f>IF(C220="","",IFERROR(INDEX(Materials!$H$5:$H$254,MATCH(C220,Materials!$A$5:$A$254,0)),"Add to Materials"))</f>
        <v>0</v>
      </c>
      <c r="J220" s="33">
        <f>IF(C220="","",IF(G220&lt;&gt;"",G220,IFERROR(INDEX(Materials!$W$5:$W$254,MATCH(C220,Materials!$A$5:$A$254,0)),DefaultWaste)))</f>
        <v>0</v>
      </c>
      <c r="K220" s="36">
        <f>IF(C220="","",IF(F220="","",ROUND(F220*(1+J220),4)))</f>
        <v>0</v>
      </c>
      <c r="L220" s="45">
        <f>IF(C220="","",IFERROR(INDEX(Materials!$S$5:$S$254,MATCH(C220,Materials!$A$5:$A$254,0)),""))</f>
        <v>0</v>
      </c>
      <c r="M220" s="45">
        <f>IF(C220="","",IF(OR(K220="",L220=""),"",ROUND(K220*L220,4)))</f>
        <v>0</v>
      </c>
      <c r="N220" s="20">
        <f>IF(A220="","",ROUND(SUMIFS('Material Usage'!$M$5:$M$904,'Material Usage'!$A$5:$A$904,A220),2))</f>
        <v>0</v>
      </c>
      <c r="O220" s="33">
        <f>IF(A220="","",IF(OR(M220="",N220="",N220=0),"",M220/N220))</f>
        <v>0</v>
      </c>
      <c r="P220" s="32">
        <f>IF(A220="","",COUNTIFS($A$5:A220,A220))</f>
        <v>0</v>
      </c>
      <c r="Q220" s="13">
        <f>IF(A220="","",A220&amp;"|"&amp;P220)</f>
        <v>0</v>
      </c>
      <c r="R220" s="43">
        <f>IF(AND(A220="",C220=""),"",IF(A220="","Add - which product?",IF(C220="","Add - which material?",IF(B220="Not found","Check - no such product ID",IF(D220="Add to Materials","Check - no such material ID",IF(OR(F220="",F220=0),"Add - how much?",IF(L220="","Check - that material has no price","OK")))))))</f>
        <v>0</v>
      </c>
    </row>
    <row r="221" spans="2:18">
      <c r="B221" s="13">
        <f>IF(A221="","",IFERROR(INDEX(Products!$B$5:$B$304,MATCH(A221,Products!$A$5:$A$304,0)),"Not found"))</f>
        <v>0</v>
      </c>
      <c r="D221" s="13">
        <f>IF(C221="","",IFERROR(INDEX(Materials!$B$5:$B$254,MATCH(C221,Materials!$A$5:$A$254,0)),"Add to Materials"))</f>
        <v>0</v>
      </c>
      <c r="E221" s="13">
        <f>IF(C221="","",IFERROR(INDEX(Materials!$H$5:$H$254,MATCH(C221,Materials!$A$5:$A$254,0)),"Add to Materials"))</f>
        <v>0</v>
      </c>
      <c r="J221" s="33">
        <f>IF(C221="","",IF(G221&lt;&gt;"",G221,IFERROR(INDEX(Materials!$W$5:$W$254,MATCH(C221,Materials!$A$5:$A$254,0)),DefaultWaste)))</f>
        <v>0</v>
      </c>
      <c r="K221" s="36">
        <f>IF(C221="","",IF(F221="","",ROUND(F221*(1+J221),4)))</f>
        <v>0</v>
      </c>
      <c r="L221" s="45">
        <f>IF(C221="","",IFERROR(INDEX(Materials!$S$5:$S$254,MATCH(C221,Materials!$A$5:$A$254,0)),""))</f>
        <v>0</v>
      </c>
      <c r="M221" s="45">
        <f>IF(C221="","",IF(OR(K221="",L221=""),"",ROUND(K221*L221,4)))</f>
        <v>0</v>
      </c>
      <c r="N221" s="20">
        <f>IF(A221="","",ROUND(SUMIFS('Material Usage'!$M$5:$M$904,'Material Usage'!$A$5:$A$904,A221),2))</f>
        <v>0</v>
      </c>
      <c r="O221" s="33">
        <f>IF(A221="","",IF(OR(M221="",N221="",N221=0),"",M221/N221))</f>
        <v>0</v>
      </c>
      <c r="P221" s="32">
        <f>IF(A221="","",COUNTIFS($A$5:A221,A221))</f>
        <v>0</v>
      </c>
      <c r="Q221" s="13">
        <f>IF(A221="","",A221&amp;"|"&amp;P221)</f>
        <v>0</v>
      </c>
      <c r="R221" s="43">
        <f>IF(AND(A221="",C221=""),"",IF(A221="","Add - which product?",IF(C221="","Add - which material?",IF(B221="Not found","Check - no such product ID",IF(D221="Add to Materials","Check - no such material ID",IF(OR(F221="",F221=0),"Add - how much?",IF(L221="","Check - that material has no price","OK")))))))</f>
        <v>0</v>
      </c>
    </row>
    <row r="222" spans="2:18">
      <c r="B222" s="13">
        <f>IF(A222="","",IFERROR(INDEX(Products!$B$5:$B$304,MATCH(A222,Products!$A$5:$A$304,0)),"Not found"))</f>
        <v>0</v>
      </c>
      <c r="D222" s="13">
        <f>IF(C222="","",IFERROR(INDEX(Materials!$B$5:$B$254,MATCH(C222,Materials!$A$5:$A$254,0)),"Add to Materials"))</f>
        <v>0</v>
      </c>
      <c r="E222" s="13">
        <f>IF(C222="","",IFERROR(INDEX(Materials!$H$5:$H$254,MATCH(C222,Materials!$A$5:$A$254,0)),"Add to Materials"))</f>
        <v>0</v>
      </c>
      <c r="J222" s="33">
        <f>IF(C222="","",IF(G222&lt;&gt;"",G222,IFERROR(INDEX(Materials!$W$5:$W$254,MATCH(C222,Materials!$A$5:$A$254,0)),DefaultWaste)))</f>
        <v>0</v>
      </c>
      <c r="K222" s="36">
        <f>IF(C222="","",IF(F222="","",ROUND(F222*(1+J222),4)))</f>
        <v>0</v>
      </c>
      <c r="L222" s="45">
        <f>IF(C222="","",IFERROR(INDEX(Materials!$S$5:$S$254,MATCH(C222,Materials!$A$5:$A$254,0)),""))</f>
        <v>0</v>
      </c>
      <c r="M222" s="45">
        <f>IF(C222="","",IF(OR(K222="",L222=""),"",ROUND(K222*L222,4)))</f>
        <v>0</v>
      </c>
      <c r="N222" s="20">
        <f>IF(A222="","",ROUND(SUMIFS('Material Usage'!$M$5:$M$904,'Material Usage'!$A$5:$A$904,A222),2))</f>
        <v>0</v>
      </c>
      <c r="O222" s="33">
        <f>IF(A222="","",IF(OR(M222="",N222="",N222=0),"",M222/N222))</f>
        <v>0</v>
      </c>
      <c r="P222" s="32">
        <f>IF(A222="","",COUNTIFS($A$5:A222,A222))</f>
        <v>0</v>
      </c>
      <c r="Q222" s="13">
        <f>IF(A222="","",A222&amp;"|"&amp;P222)</f>
        <v>0</v>
      </c>
      <c r="R222" s="43">
        <f>IF(AND(A222="",C222=""),"",IF(A222="","Add - which product?",IF(C222="","Add - which material?",IF(B222="Not found","Check - no such product ID",IF(D222="Add to Materials","Check - no such material ID",IF(OR(F222="",F222=0),"Add - how much?",IF(L222="","Check - that material has no price","OK")))))))</f>
        <v>0</v>
      </c>
    </row>
    <row r="223" spans="2:18">
      <c r="B223" s="13">
        <f>IF(A223="","",IFERROR(INDEX(Products!$B$5:$B$304,MATCH(A223,Products!$A$5:$A$304,0)),"Not found"))</f>
        <v>0</v>
      </c>
      <c r="D223" s="13">
        <f>IF(C223="","",IFERROR(INDEX(Materials!$B$5:$B$254,MATCH(C223,Materials!$A$5:$A$254,0)),"Add to Materials"))</f>
        <v>0</v>
      </c>
      <c r="E223" s="13">
        <f>IF(C223="","",IFERROR(INDEX(Materials!$H$5:$H$254,MATCH(C223,Materials!$A$5:$A$254,0)),"Add to Materials"))</f>
        <v>0</v>
      </c>
      <c r="J223" s="33">
        <f>IF(C223="","",IF(G223&lt;&gt;"",G223,IFERROR(INDEX(Materials!$W$5:$W$254,MATCH(C223,Materials!$A$5:$A$254,0)),DefaultWaste)))</f>
        <v>0</v>
      </c>
      <c r="K223" s="36">
        <f>IF(C223="","",IF(F223="","",ROUND(F223*(1+J223),4)))</f>
        <v>0</v>
      </c>
      <c r="L223" s="45">
        <f>IF(C223="","",IFERROR(INDEX(Materials!$S$5:$S$254,MATCH(C223,Materials!$A$5:$A$254,0)),""))</f>
        <v>0</v>
      </c>
      <c r="M223" s="45">
        <f>IF(C223="","",IF(OR(K223="",L223=""),"",ROUND(K223*L223,4)))</f>
        <v>0</v>
      </c>
      <c r="N223" s="20">
        <f>IF(A223="","",ROUND(SUMIFS('Material Usage'!$M$5:$M$904,'Material Usage'!$A$5:$A$904,A223),2))</f>
        <v>0</v>
      </c>
      <c r="O223" s="33">
        <f>IF(A223="","",IF(OR(M223="",N223="",N223=0),"",M223/N223))</f>
        <v>0</v>
      </c>
      <c r="P223" s="32">
        <f>IF(A223="","",COUNTIFS($A$5:A223,A223))</f>
        <v>0</v>
      </c>
      <c r="Q223" s="13">
        <f>IF(A223="","",A223&amp;"|"&amp;P223)</f>
        <v>0</v>
      </c>
      <c r="R223" s="43">
        <f>IF(AND(A223="",C223=""),"",IF(A223="","Add - which product?",IF(C223="","Add - which material?",IF(B223="Not found","Check - no such product ID",IF(D223="Add to Materials","Check - no such material ID",IF(OR(F223="",F223=0),"Add - how much?",IF(L223="","Check - that material has no price","OK")))))))</f>
        <v>0</v>
      </c>
    </row>
    <row r="224" spans="2:18">
      <c r="B224" s="13">
        <f>IF(A224="","",IFERROR(INDEX(Products!$B$5:$B$304,MATCH(A224,Products!$A$5:$A$304,0)),"Not found"))</f>
        <v>0</v>
      </c>
      <c r="D224" s="13">
        <f>IF(C224="","",IFERROR(INDEX(Materials!$B$5:$B$254,MATCH(C224,Materials!$A$5:$A$254,0)),"Add to Materials"))</f>
        <v>0</v>
      </c>
      <c r="E224" s="13">
        <f>IF(C224="","",IFERROR(INDEX(Materials!$H$5:$H$254,MATCH(C224,Materials!$A$5:$A$254,0)),"Add to Materials"))</f>
        <v>0</v>
      </c>
      <c r="J224" s="33">
        <f>IF(C224="","",IF(G224&lt;&gt;"",G224,IFERROR(INDEX(Materials!$W$5:$W$254,MATCH(C224,Materials!$A$5:$A$254,0)),DefaultWaste)))</f>
        <v>0</v>
      </c>
      <c r="K224" s="36">
        <f>IF(C224="","",IF(F224="","",ROUND(F224*(1+J224),4)))</f>
        <v>0</v>
      </c>
      <c r="L224" s="45">
        <f>IF(C224="","",IFERROR(INDEX(Materials!$S$5:$S$254,MATCH(C224,Materials!$A$5:$A$254,0)),""))</f>
        <v>0</v>
      </c>
      <c r="M224" s="45">
        <f>IF(C224="","",IF(OR(K224="",L224=""),"",ROUND(K224*L224,4)))</f>
        <v>0</v>
      </c>
      <c r="N224" s="20">
        <f>IF(A224="","",ROUND(SUMIFS('Material Usage'!$M$5:$M$904,'Material Usage'!$A$5:$A$904,A224),2))</f>
        <v>0</v>
      </c>
      <c r="O224" s="33">
        <f>IF(A224="","",IF(OR(M224="",N224="",N224=0),"",M224/N224))</f>
        <v>0</v>
      </c>
      <c r="P224" s="32">
        <f>IF(A224="","",COUNTIFS($A$5:A224,A224))</f>
        <v>0</v>
      </c>
      <c r="Q224" s="13">
        <f>IF(A224="","",A224&amp;"|"&amp;P224)</f>
        <v>0</v>
      </c>
      <c r="R224" s="43">
        <f>IF(AND(A224="",C224=""),"",IF(A224="","Add - which product?",IF(C224="","Add - which material?",IF(B224="Not found","Check - no such product ID",IF(D224="Add to Materials","Check - no such material ID",IF(OR(F224="",F224=0),"Add - how much?",IF(L224="","Check - that material has no price","OK")))))))</f>
        <v>0</v>
      </c>
    </row>
    <row r="225" spans="2:18">
      <c r="B225" s="13">
        <f>IF(A225="","",IFERROR(INDEX(Products!$B$5:$B$304,MATCH(A225,Products!$A$5:$A$304,0)),"Not found"))</f>
        <v>0</v>
      </c>
      <c r="D225" s="13">
        <f>IF(C225="","",IFERROR(INDEX(Materials!$B$5:$B$254,MATCH(C225,Materials!$A$5:$A$254,0)),"Add to Materials"))</f>
        <v>0</v>
      </c>
      <c r="E225" s="13">
        <f>IF(C225="","",IFERROR(INDEX(Materials!$H$5:$H$254,MATCH(C225,Materials!$A$5:$A$254,0)),"Add to Materials"))</f>
        <v>0</v>
      </c>
      <c r="J225" s="33">
        <f>IF(C225="","",IF(G225&lt;&gt;"",G225,IFERROR(INDEX(Materials!$W$5:$W$254,MATCH(C225,Materials!$A$5:$A$254,0)),DefaultWaste)))</f>
        <v>0</v>
      </c>
      <c r="K225" s="36">
        <f>IF(C225="","",IF(F225="","",ROUND(F225*(1+J225),4)))</f>
        <v>0</v>
      </c>
      <c r="L225" s="45">
        <f>IF(C225="","",IFERROR(INDEX(Materials!$S$5:$S$254,MATCH(C225,Materials!$A$5:$A$254,0)),""))</f>
        <v>0</v>
      </c>
      <c r="M225" s="45">
        <f>IF(C225="","",IF(OR(K225="",L225=""),"",ROUND(K225*L225,4)))</f>
        <v>0</v>
      </c>
      <c r="N225" s="20">
        <f>IF(A225="","",ROUND(SUMIFS('Material Usage'!$M$5:$M$904,'Material Usage'!$A$5:$A$904,A225),2))</f>
        <v>0</v>
      </c>
      <c r="O225" s="33">
        <f>IF(A225="","",IF(OR(M225="",N225="",N225=0),"",M225/N225))</f>
        <v>0</v>
      </c>
      <c r="P225" s="32">
        <f>IF(A225="","",COUNTIFS($A$5:A225,A225))</f>
        <v>0</v>
      </c>
      <c r="Q225" s="13">
        <f>IF(A225="","",A225&amp;"|"&amp;P225)</f>
        <v>0</v>
      </c>
      <c r="R225" s="43">
        <f>IF(AND(A225="",C225=""),"",IF(A225="","Add - which product?",IF(C225="","Add - which material?",IF(B225="Not found","Check - no such product ID",IF(D225="Add to Materials","Check - no such material ID",IF(OR(F225="",F225=0),"Add - how much?",IF(L225="","Check - that material has no price","OK")))))))</f>
        <v>0</v>
      </c>
    </row>
    <row r="226" spans="2:18">
      <c r="B226" s="13">
        <f>IF(A226="","",IFERROR(INDEX(Products!$B$5:$B$304,MATCH(A226,Products!$A$5:$A$304,0)),"Not found"))</f>
        <v>0</v>
      </c>
      <c r="D226" s="13">
        <f>IF(C226="","",IFERROR(INDEX(Materials!$B$5:$B$254,MATCH(C226,Materials!$A$5:$A$254,0)),"Add to Materials"))</f>
        <v>0</v>
      </c>
      <c r="E226" s="13">
        <f>IF(C226="","",IFERROR(INDEX(Materials!$H$5:$H$254,MATCH(C226,Materials!$A$5:$A$254,0)),"Add to Materials"))</f>
        <v>0</v>
      </c>
      <c r="J226" s="33">
        <f>IF(C226="","",IF(G226&lt;&gt;"",G226,IFERROR(INDEX(Materials!$W$5:$W$254,MATCH(C226,Materials!$A$5:$A$254,0)),DefaultWaste)))</f>
        <v>0</v>
      </c>
      <c r="K226" s="36">
        <f>IF(C226="","",IF(F226="","",ROUND(F226*(1+J226),4)))</f>
        <v>0</v>
      </c>
      <c r="L226" s="45">
        <f>IF(C226="","",IFERROR(INDEX(Materials!$S$5:$S$254,MATCH(C226,Materials!$A$5:$A$254,0)),""))</f>
        <v>0</v>
      </c>
      <c r="M226" s="45">
        <f>IF(C226="","",IF(OR(K226="",L226=""),"",ROUND(K226*L226,4)))</f>
        <v>0</v>
      </c>
      <c r="N226" s="20">
        <f>IF(A226="","",ROUND(SUMIFS('Material Usage'!$M$5:$M$904,'Material Usage'!$A$5:$A$904,A226),2))</f>
        <v>0</v>
      </c>
      <c r="O226" s="33">
        <f>IF(A226="","",IF(OR(M226="",N226="",N226=0),"",M226/N226))</f>
        <v>0</v>
      </c>
      <c r="P226" s="32">
        <f>IF(A226="","",COUNTIFS($A$5:A226,A226))</f>
        <v>0</v>
      </c>
      <c r="Q226" s="13">
        <f>IF(A226="","",A226&amp;"|"&amp;P226)</f>
        <v>0</v>
      </c>
      <c r="R226" s="43">
        <f>IF(AND(A226="",C226=""),"",IF(A226="","Add - which product?",IF(C226="","Add - which material?",IF(B226="Not found","Check - no such product ID",IF(D226="Add to Materials","Check - no such material ID",IF(OR(F226="",F226=0),"Add - how much?",IF(L226="","Check - that material has no price","OK")))))))</f>
        <v>0</v>
      </c>
    </row>
    <row r="227" spans="2:18">
      <c r="B227" s="13">
        <f>IF(A227="","",IFERROR(INDEX(Products!$B$5:$B$304,MATCH(A227,Products!$A$5:$A$304,0)),"Not found"))</f>
        <v>0</v>
      </c>
      <c r="D227" s="13">
        <f>IF(C227="","",IFERROR(INDEX(Materials!$B$5:$B$254,MATCH(C227,Materials!$A$5:$A$254,0)),"Add to Materials"))</f>
        <v>0</v>
      </c>
      <c r="E227" s="13">
        <f>IF(C227="","",IFERROR(INDEX(Materials!$H$5:$H$254,MATCH(C227,Materials!$A$5:$A$254,0)),"Add to Materials"))</f>
        <v>0</v>
      </c>
      <c r="J227" s="33">
        <f>IF(C227="","",IF(G227&lt;&gt;"",G227,IFERROR(INDEX(Materials!$W$5:$W$254,MATCH(C227,Materials!$A$5:$A$254,0)),DefaultWaste)))</f>
        <v>0</v>
      </c>
      <c r="K227" s="36">
        <f>IF(C227="","",IF(F227="","",ROUND(F227*(1+J227),4)))</f>
        <v>0</v>
      </c>
      <c r="L227" s="45">
        <f>IF(C227="","",IFERROR(INDEX(Materials!$S$5:$S$254,MATCH(C227,Materials!$A$5:$A$254,0)),""))</f>
        <v>0</v>
      </c>
      <c r="M227" s="45">
        <f>IF(C227="","",IF(OR(K227="",L227=""),"",ROUND(K227*L227,4)))</f>
        <v>0</v>
      </c>
      <c r="N227" s="20">
        <f>IF(A227="","",ROUND(SUMIFS('Material Usage'!$M$5:$M$904,'Material Usage'!$A$5:$A$904,A227),2))</f>
        <v>0</v>
      </c>
      <c r="O227" s="33">
        <f>IF(A227="","",IF(OR(M227="",N227="",N227=0),"",M227/N227))</f>
        <v>0</v>
      </c>
      <c r="P227" s="32">
        <f>IF(A227="","",COUNTIFS($A$5:A227,A227))</f>
        <v>0</v>
      </c>
      <c r="Q227" s="13">
        <f>IF(A227="","",A227&amp;"|"&amp;P227)</f>
        <v>0</v>
      </c>
      <c r="R227" s="43">
        <f>IF(AND(A227="",C227=""),"",IF(A227="","Add - which product?",IF(C227="","Add - which material?",IF(B227="Not found","Check - no such product ID",IF(D227="Add to Materials","Check - no such material ID",IF(OR(F227="",F227=0),"Add - how much?",IF(L227="","Check - that material has no price","OK")))))))</f>
        <v>0</v>
      </c>
    </row>
    <row r="228" spans="2:18">
      <c r="B228" s="13">
        <f>IF(A228="","",IFERROR(INDEX(Products!$B$5:$B$304,MATCH(A228,Products!$A$5:$A$304,0)),"Not found"))</f>
        <v>0</v>
      </c>
      <c r="D228" s="13">
        <f>IF(C228="","",IFERROR(INDEX(Materials!$B$5:$B$254,MATCH(C228,Materials!$A$5:$A$254,0)),"Add to Materials"))</f>
        <v>0</v>
      </c>
      <c r="E228" s="13">
        <f>IF(C228="","",IFERROR(INDEX(Materials!$H$5:$H$254,MATCH(C228,Materials!$A$5:$A$254,0)),"Add to Materials"))</f>
        <v>0</v>
      </c>
      <c r="J228" s="33">
        <f>IF(C228="","",IF(G228&lt;&gt;"",G228,IFERROR(INDEX(Materials!$W$5:$W$254,MATCH(C228,Materials!$A$5:$A$254,0)),DefaultWaste)))</f>
        <v>0</v>
      </c>
      <c r="K228" s="36">
        <f>IF(C228="","",IF(F228="","",ROUND(F228*(1+J228),4)))</f>
        <v>0</v>
      </c>
      <c r="L228" s="45">
        <f>IF(C228="","",IFERROR(INDEX(Materials!$S$5:$S$254,MATCH(C228,Materials!$A$5:$A$254,0)),""))</f>
        <v>0</v>
      </c>
      <c r="M228" s="45">
        <f>IF(C228="","",IF(OR(K228="",L228=""),"",ROUND(K228*L228,4)))</f>
        <v>0</v>
      </c>
      <c r="N228" s="20">
        <f>IF(A228="","",ROUND(SUMIFS('Material Usage'!$M$5:$M$904,'Material Usage'!$A$5:$A$904,A228),2))</f>
        <v>0</v>
      </c>
      <c r="O228" s="33">
        <f>IF(A228="","",IF(OR(M228="",N228="",N228=0),"",M228/N228))</f>
        <v>0</v>
      </c>
      <c r="P228" s="32">
        <f>IF(A228="","",COUNTIFS($A$5:A228,A228))</f>
        <v>0</v>
      </c>
      <c r="Q228" s="13">
        <f>IF(A228="","",A228&amp;"|"&amp;P228)</f>
        <v>0</v>
      </c>
      <c r="R228" s="43">
        <f>IF(AND(A228="",C228=""),"",IF(A228="","Add - which product?",IF(C228="","Add - which material?",IF(B228="Not found","Check - no such product ID",IF(D228="Add to Materials","Check - no such material ID",IF(OR(F228="",F228=0),"Add - how much?",IF(L228="","Check - that material has no price","OK")))))))</f>
        <v>0</v>
      </c>
    </row>
    <row r="229" spans="2:18">
      <c r="B229" s="13">
        <f>IF(A229="","",IFERROR(INDEX(Products!$B$5:$B$304,MATCH(A229,Products!$A$5:$A$304,0)),"Not found"))</f>
        <v>0</v>
      </c>
      <c r="D229" s="13">
        <f>IF(C229="","",IFERROR(INDEX(Materials!$B$5:$B$254,MATCH(C229,Materials!$A$5:$A$254,0)),"Add to Materials"))</f>
        <v>0</v>
      </c>
      <c r="E229" s="13">
        <f>IF(C229="","",IFERROR(INDEX(Materials!$H$5:$H$254,MATCH(C229,Materials!$A$5:$A$254,0)),"Add to Materials"))</f>
        <v>0</v>
      </c>
      <c r="J229" s="33">
        <f>IF(C229="","",IF(G229&lt;&gt;"",G229,IFERROR(INDEX(Materials!$W$5:$W$254,MATCH(C229,Materials!$A$5:$A$254,0)),DefaultWaste)))</f>
        <v>0</v>
      </c>
      <c r="K229" s="36">
        <f>IF(C229="","",IF(F229="","",ROUND(F229*(1+J229),4)))</f>
        <v>0</v>
      </c>
      <c r="L229" s="45">
        <f>IF(C229="","",IFERROR(INDEX(Materials!$S$5:$S$254,MATCH(C229,Materials!$A$5:$A$254,0)),""))</f>
        <v>0</v>
      </c>
      <c r="M229" s="45">
        <f>IF(C229="","",IF(OR(K229="",L229=""),"",ROUND(K229*L229,4)))</f>
        <v>0</v>
      </c>
      <c r="N229" s="20">
        <f>IF(A229="","",ROUND(SUMIFS('Material Usage'!$M$5:$M$904,'Material Usage'!$A$5:$A$904,A229),2))</f>
        <v>0</v>
      </c>
      <c r="O229" s="33">
        <f>IF(A229="","",IF(OR(M229="",N229="",N229=0),"",M229/N229))</f>
        <v>0</v>
      </c>
      <c r="P229" s="32">
        <f>IF(A229="","",COUNTIFS($A$5:A229,A229))</f>
        <v>0</v>
      </c>
      <c r="Q229" s="13">
        <f>IF(A229="","",A229&amp;"|"&amp;P229)</f>
        <v>0</v>
      </c>
      <c r="R229" s="43">
        <f>IF(AND(A229="",C229=""),"",IF(A229="","Add - which product?",IF(C229="","Add - which material?",IF(B229="Not found","Check - no such product ID",IF(D229="Add to Materials","Check - no such material ID",IF(OR(F229="",F229=0),"Add - how much?",IF(L229="","Check - that material has no price","OK")))))))</f>
        <v>0</v>
      </c>
    </row>
    <row r="230" spans="2:18">
      <c r="B230" s="13">
        <f>IF(A230="","",IFERROR(INDEX(Products!$B$5:$B$304,MATCH(A230,Products!$A$5:$A$304,0)),"Not found"))</f>
        <v>0</v>
      </c>
      <c r="D230" s="13">
        <f>IF(C230="","",IFERROR(INDEX(Materials!$B$5:$B$254,MATCH(C230,Materials!$A$5:$A$254,0)),"Add to Materials"))</f>
        <v>0</v>
      </c>
      <c r="E230" s="13">
        <f>IF(C230="","",IFERROR(INDEX(Materials!$H$5:$H$254,MATCH(C230,Materials!$A$5:$A$254,0)),"Add to Materials"))</f>
        <v>0</v>
      </c>
      <c r="J230" s="33">
        <f>IF(C230="","",IF(G230&lt;&gt;"",G230,IFERROR(INDEX(Materials!$W$5:$W$254,MATCH(C230,Materials!$A$5:$A$254,0)),DefaultWaste)))</f>
        <v>0</v>
      </c>
      <c r="K230" s="36">
        <f>IF(C230="","",IF(F230="","",ROUND(F230*(1+J230),4)))</f>
        <v>0</v>
      </c>
      <c r="L230" s="45">
        <f>IF(C230="","",IFERROR(INDEX(Materials!$S$5:$S$254,MATCH(C230,Materials!$A$5:$A$254,0)),""))</f>
        <v>0</v>
      </c>
      <c r="M230" s="45">
        <f>IF(C230="","",IF(OR(K230="",L230=""),"",ROUND(K230*L230,4)))</f>
        <v>0</v>
      </c>
      <c r="N230" s="20">
        <f>IF(A230="","",ROUND(SUMIFS('Material Usage'!$M$5:$M$904,'Material Usage'!$A$5:$A$904,A230),2))</f>
        <v>0</v>
      </c>
      <c r="O230" s="33">
        <f>IF(A230="","",IF(OR(M230="",N230="",N230=0),"",M230/N230))</f>
        <v>0</v>
      </c>
      <c r="P230" s="32">
        <f>IF(A230="","",COUNTIFS($A$5:A230,A230))</f>
        <v>0</v>
      </c>
      <c r="Q230" s="13">
        <f>IF(A230="","",A230&amp;"|"&amp;P230)</f>
        <v>0</v>
      </c>
      <c r="R230" s="43">
        <f>IF(AND(A230="",C230=""),"",IF(A230="","Add - which product?",IF(C230="","Add - which material?",IF(B230="Not found","Check - no such product ID",IF(D230="Add to Materials","Check - no such material ID",IF(OR(F230="",F230=0),"Add - how much?",IF(L230="","Check - that material has no price","OK")))))))</f>
        <v>0</v>
      </c>
    </row>
    <row r="231" spans="2:18">
      <c r="B231" s="13">
        <f>IF(A231="","",IFERROR(INDEX(Products!$B$5:$B$304,MATCH(A231,Products!$A$5:$A$304,0)),"Not found"))</f>
        <v>0</v>
      </c>
      <c r="D231" s="13">
        <f>IF(C231="","",IFERROR(INDEX(Materials!$B$5:$B$254,MATCH(C231,Materials!$A$5:$A$254,0)),"Add to Materials"))</f>
        <v>0</v>
      </c>
      <c r="E231" s="13">
        <f>IF(C231="","",IFERROR(INDEX(Materials!$H$5:$H$254,MATCH(C231,Materials!$A$5:$A$254,0)),"Add to Materials"))</f>
        <v>0</v>
      </c>
      <c r="J231" s="33">
        <f>IF(C231="","",IF(G231&lt;&gt;"",G231,IFERROR(INDEX(Materials!$W$5:$W$254,MATCH(C231,Materials!$A$5:$A$254,0)),DefaultWaste)))</f>
        <v>0</v>
      </c>
      <c r="K231" s="36">
        <f>IF(C231="","",IF(F231="","",ROUND(F231*(1+J231),4)))</f>
        <v>0</v>
      </c>
      <c r="L231" s="45">
        <f>IF(C231="","",IFERROR(INDEX(Materials!$S$5:$S$254,MATCH(C231,Materials!$A$5:$A$254,0)),""))</f>
        <v>0</v>
      </c>
      <c r="M231" s="45">
        <f>IF(C231="","",IF(OR(K231="",L231=""),"",ROUND(K231*L231,4)))</f>
        <v>0</v>
      </c>
      <c r="N231" s="20">
        <f>IF(A231="","",ROUND(SUMIFS('Material Usage'!$M$5:$M$904,'Material Usage'!$A$5:$A$904,A231),2))</f>
        <v>0</v>
      </c>
      <c r="O231" s="33">
        <f>IF(A231="","",IF(OR(M231="",N231="",N231=0),"",M231/N231))</f>
        <v>0</v>
      </c>
      <c r="P231" s="32">
        <f>IF(A231="","",COUNTIFS($A$5:A231,A231))</f>
        <v>0</v>
      </c>
      <c r="Q231" s="13">
        <f>IF(A231="","",A231&amp;"|"&amp;P231)</f>
        <v>0</v>
      </c>
      <c r="R231" s="43">
        <f>IF(AND(A231="",C231=""),"",IF(A231="","Add - which product?",IF(C231="","Add - which material?",IF(B231="Not found","Check - no such product ID",IF(D231="Add to Materials","Check - no such material ID",IF(OR(F231="",F231=0),"Add - how much?",IF(L231="","Check - that material has no price","OK")))))))</f>
        <v>0</v>
      </c>
    </row>
    <row r="232" spans="2:18">
      <c r="B232" s="13">
        <f>IF(A232="","",IFERROR(INDEX(Products!$B$5:$B$304,MATCH(A232,Products!$A$5:$A$304,0)),"Not found"))</f>
        <v>0</v>
      </c>
      <c r="D232" s="13">
        <f>IF(C232="","",IFERROR(INDEX(Materials!$B$5:$B$254,MATCH(C232,Materials!$A$5:$A$254,0)),"Add to Materials"))</f>
        <v>0</v>
      </c>
      <c r="E232" s="13">
        <f>IF(C232="","",IFERROR(INDEX(Materials!$H$5:$H$254,MATCH(C232,Materials!$A$5:$A$254,0)),"Add to Materials"))</f>
        <v>0</v>
      </c>
      <c r="J232" s="33">
        <f>IF(C232="","",IF(G232&lt;&gt;"",G232,IFERROR(INDEX(Materials!$W$5:$W$254,MATCH(C232,Materials!$A$5:$A$254,0)),DefaultWaste)))</f>
        <v>0</v>
      </c>
      <c r="K232" s="36">
        <f>IF(C232="","",IF(F232="","",ROUND(F232*(1+J232),4)))</f>
        <v>0</v>
      </c>
      <c r="L232" s="45">
        <f>IF(C232="","",IFERROR(INDEX(Materials!$S$5:$S$254,MATCH(C232,Materials!$A$5:$A$254,0)),""))</f>
        <v>0</v>
      </c>
      <c r="M232" s="45">
        <f>IF(C232="","",IF(OR(K232="",L232=""),"",ROUND(K232*L232,4)))</f>
        <v>0</v>
      </c>
      <c r="N232" s="20">
        <f>IF(A232="","",ROUND(SUMIFS('Material Usage'!$M$5:$M$904,'Material Usage'!$A$5:$A$904,A232),2))</f>
        <v>0</v>
      </c>
      <c r="O232" s="33">
        <f>IF(A232="","",IF(OR(M232="",N232="",N232=0),"",M232/N232))</f>
        <v>0</v>
      </c>
      <c r="P232" s="32">
        <f>IF(A232="","",COUNTIFS($A$5:A232,A232))</f>
        <v>0</v>
      </c>
      <c r="Q232" s="13">
        <f>IF(A232="","",A232&amp;"|"&amp;P232)</f>
        <v>0</v>
      </c>
      <c r="R232" s="43">
        <f>IF(AND(A232="",C232=""),"",IF(A232="","Add - which product?",IF(C232="","Add - which material?",IF(B232="Not found","Check - no such product ID",IF(D232="Add to Materials","Check - no such material ID",IF(OR(F232="",F232=0),"Add - how much?",IF(L232="","Check - that material has no price","OK")))))))</f>
        <v>0</v>
      </c>
    </row>
    <row r="233" spans="2:18">
      <c r="B233" s="13">
        <f>IF(A233="","",IFERROR(INDEX(Products!$B$5:$B$304,MATCH(A233,Products!$A$5:$A$304,0)),"Not found"))</f>
        <v>0</v>
      </c>
      <c r="D233" s="13">
        <f>IF(C233="","",IFERROR(INDEX(Materials!$B$5:$B$254,MATCH(C233,Materials!$A$5:$A$254,0)),"Add to Materials"))</f>
        <v>0</v>
      </c>
      <c r="E233" s="13">
        <f>IF(C233="","",IFERROR(INDEX(Materials!$H$5:$H$254,MATCH(C233,Materials!$A$5:$A$254,0)),"Add to Materials"))</f>
        <v>0</v>
      </c>
      <c r="J233" s="33">
        <f>IF(C233="","",IF(G233&lt;&gt;"",G233,IFERROR(INDEX(Materials!$W$5:$W$254,MATCH(C233,Materials!$A$5:$A$254,0)),DefaultWaste)))</f>
        <v>0</v>
      </c>
      <c r="K233" s="36">
        <f>IF(C233="","",IF(F233="","",ROUND(F233*(1+J233),4)))</f>
        <v>0</v>
      </c>
      <c r="L233" s="45">
        <f>IF(C233="","",IFERROR(INDEX(Materials!$S$5:$S$254,MATCH(C233,Materials!$A$5:$A$254,0)),""))</f>
        <v>0</v>
      </c>
      <c r="M233" s="45">
        <f>IF(C233="","",IF(OR(K233="",L233=""),"",ROUND(K233*L233,4)))</f>
        <v>0</v>
      </c>
      <c r="N233" s="20">
        <f>IF(A233="","",ROUND(SUMIFS('Material Usage'!$M$5:$M$904,'Material Usage'!$A$5:$A$904,A233),2))</f>
        <v>0</v>
      </c>
      <c r="O233" s="33">
        <f>IF(A233="","",IF(OR(M233="",N233="",N233=0),"",M233/N233))</f>
        <v>0</v>
      </c>
      <c r="P233" s="32">
        <f>IF(A233="","",COUNTIFS($A$5:A233,A233))</f>
        <v>0</v>
      </c>
      <c r="Q233" s="13">
        <f>IF(A233="","",A233&amp;"|"&amp;P233)</f>
        <v>0</v>
      </c>
      <c r="R233" s="43">
        <f>IF(AND(A233="",C233=""),"",IF(A233="","Add - which product?",IF(C233="","Add - which material?",IF(B233="Not found","Check - no such product ID",IF(D233="Add to Materials","Check - no such material ID",IF(OR(F233="",F233=0),"Add - how much?",IF(L233="","Check - that material has no price","OK")))))))</f>
        <v>0</v>
      </c>
    </row>
    <row r="234" spans="2:18">
      <c r="B234" s="13">
        <f>IF(A234="","",IFERROR(INDEX(Products!$B$5:$B$304,MATCH(A234,Products!$A$5:$A$304,0)),"Not found"))</f>
        <v>0</v>
      </c>
      <c r="D234" s="13">
        <f>IF(C234="","",IFERROR(INDEX(Materials!$B$5:$B$254,MATCH(C234,Materials!$A$5:$A$254,0)),"Add to Materials"))</f>
        <v>0</v>
      </c>
      <c r="E234" s="13">
        <f>IF(C234="","",IFERROR(INDEX(Materials!$H$5:$H$254,MATCH(C234,Materials!$A$5:$A$254,0)),"Add to Materials"))</f>
        <v>0</v>
      </c>
      <c r="J234" s="33">
        <f>IF(C234="","",IF(G234&lt;&gt;"",G234,IFERROR(INDEX(Materials!$W$5:$W$254,MATCH(C234,Materials!$A$5:$A$254,0)),DefaultWaste)))</f>
        <v>0</v>
      </c>
      <c r="K234" s="36">
        <f>IF(C234="","",IF(F234="","",ROUND(F234*(1+J234),4)))</f>
        <v>0</v>
      </c>
      <c r="L234" s="45">
        <f>IF(C234="","",IFERROR(INDEX(Materials!$S$5:$S$254,MATCH(C234,Materials!$A$5:$A$254,0)),""))</f>
        <v>0</v>
      </c>
      <c r="M234" s="45">
        <f>IF(C234="","",IF(OR(K234="",L234=""),"",ROUND(K234*L234,4)))</f>
        <v>0</v>
      </c>
      <c r="N234" s="20">
        <f>IF(A234="","",ROUND(SUMIFS('Material Usage'!$M$5:$M$904,'Material Usage'!$A$5:$A$904,A234),2))</f>
        <v>0</v>
      </c>
      <c r="O234" s="33">
        <f>IF(A234="","",IF(OR(M234="",N234="",N234=0),"",M234/N234))</f>
        <v>0</v>
      </c>
      <c r="P234" s="32">
        <f>IF(A234="","",COUNTIFS($A$5:A234,A234))</f>
        <v>0</v>
      </c>
      <c r="Q234" s="13">
        <f>IF(A234="","",A234&amp;"|"&amp;P234)</f>
        <v>0</v>
      </c>
      <c r="R234" s="43">
        <f>IF(AND(A234="",C234=""),"",IF(A234="","Add - which product?",IF(C234="","Add - which material?",IF(B234="Not found","Check - no such product ID",IF(D234="Add to Materials","Check - no such material ID",IF(OR(F234="",F234=0),"Add - how much?",IF(L234="","Check - that material has no price","OK")))))))</f>
        <v>0</v>
      </c>
    </row>
    <row r="235" spans="2:18">
      <c r="B235" s="13">
        <f>IF(A235="","",IFERROR(INDEX(Products!$B$5:$B$304,MATCH(A235,Products!$A$5:$A$304,0)),"Not found"))</f>
        <v>0</v>
      </c>
      <c r="D235" s="13">
        <f>IF(C235="","",IFERROR(INDEX(Materials!$B$5:$B$254,MATCH(C235,Materials!$A$5:$A$254,0)),"Add to Materials"))</f>
        <v>0</v>
      </c>
      <c r="E235" s="13">
        <f>IF(C235="","",IFERROR(INDEX(Materials!$H$5:$H$254,MATCH(C235,Materials!$A$5:$A$254,0)),"Add to Materials"))</f>
        <v>0</v>
      </c>
      <c r="J235" s="33">
        <f>IF(C235="","",IF(G235&lt;&gt;"",G235,IFERROR(INDEX(Materials!$W$5:$W$254,MATCH(C235,Materials!$A$5:$A$254,0)),DefaultWaste)))</f>
        <v>0</v>
      </c>
      <c r="K235" s="36">
        <f>IF(C235="","",IF(F235="","",ROUND(F235*(1+J235),4)))</f>
        <v>0</v>
      </c>
      <c r="L235" s="45">
        <f>IF(C235="","",IFERROR(INDEX(Materials!$S$5:$S$254,MATCH(C235,Materials!$A$5:$A$254,0)),""))</f>
        <v>0</v>
      </c>
      <c r="M235" s="45">
        <f>IF(C235="","",IF(OR(K235="",L235=""),"",ROUND(K235*L235,4)))</f>
        <v>0</v>
      </c>
      <c r="N235" s="20">
        <f>IF(A235="","",ROUND(SUMIFS('Material Usage'!$M$5:$M$904,'Material Usage'!$A$5:$A$904,A235),2))</f>
        <v>0</v>
      </c>
      <c r="O235" s="33">
        <f>IF(A235="","",IF(OR(M235="",N235="",N235=0),"",M235/N235))</f>
        <v>0</v>
      </c>
      <c r="P235" s="32">
        <f>IF(A235="","",COUNTIFS($A$5:A235,A235))</f>
        <v>0</v>
      </c>
      <c r="Q235" s="13">
        <f>IF(A235="","",A235&amp;"|"&amp;P235)</f>
        <v>0</v>
      </c>
      <c r="R235" s="43">
        <f>IF(AND(A235="",C235=""),"",IF(A235="","Add - which product?",IF(C235="","Add - which material?",IF(B235="Not found","Check - no such product ID",IF(D235="Add to Materials","Check - no such material ID",IF(OR(F235="",F235=0),"Add - how much?",IF(L235="","Check - that material has no price","OK")))))))</f>
        <v>0</v>
      </c>
    </row>
    <row r="236" spans="2:18">
      <c r="B236" s="13">
        <f>IF(A236="","",IFERROR(INDEX(Products!$B$5:$B$304,MATCH(A236,Products!$A$5:$A$304,0)),"Not found"))</f>
        <v>0</v>
      </c>
      <c r="D236" s="13">
        <f>IF(C236="","",IFERROR(INDEX(Materials!$B$5:$B$254,MATCH(C236,Materials!$A$5:$A$254,0)),"Add to Materials"))</f>
        <v>0</v>
      </c>
      <c r="E236" s="13">
        <f>IF(C236="","",IFERROR(INDEX(Materials!$H$5:$H$254,MATCH(C236,Materials!$A$5:$A$254,0)),"Add to Materials"))</f>
        <v>0</v>
      </c>
      <c r="J236" s="33">
        <f>IF(C236="","",IF(G236&lt;&gt;"",G236,IFERROR(INDEX(Materials!$W$5:$W$254,MATCH(C236,Materials!$A$5:$A$254,0)),DefaultWaste)))</f>
        <v>0</v>
      </c>
      <c r="K236" s="36">
        <f>IF(C236="","",IF(F236="","",ROUND(F236*(1+J236),4)))</f>
        <v>0</v>
      </c>
      <c r="L236" s="45">
        <f>IF(C236="","",IFERROR(INDEX(Materials!$S$5:$S$254,MATCH(C236,Materials!$A$5:$A$254,0)),""))</f>
        <v>0</v>
      </c>
      <c r="M236" s="45">
        <f>IF(C236="","",IF(OR(K236="",L236=""),"",ROUND(K236*L236,4)))</f>
        <v>0</v>
      </c>
      <c r="N236" s="20">
        <f>IF(A236="","",ROUND(SUMIFS('Material Usage'!$M$5:$M$904,'Material Usage'!$A$5:$A$904,A236),2))</f>
        <v>0</v>
      </c>
      <c r="O236" s="33">
        <f>IF(A236="","",IF(OR(M236="",N236="",N236=0),"",M236/N236))</f>
        <v>0</v>
      </c>
      <c r="P236" s="32">
        <f>IF(A236="","",COUNTIFS($A$5:A236,A236))</f>
        <v>0</v>
      </c>
      <c r="Q236" s="13">
        <f>IF(A236="","",A236&amp;"|"&amp;P236)</f>
        <v>0</v>
      </c>
      <c r="R236" s="43">
        <f>IF(AND(A236="",C236=""),"",IF(A236="","Add - which product?",IF(C236="","Add - which material?",IF(B236="Not found","Check - no such product ID",IF(D236="Add to Materials","Check - no such material ID",IF(OR(F236="",F236=0),"Add - how much?",IF(L236="","Check - that material has no price","OK")))))))</f>
        <v>0</v>
      </c>
    </row>
    <row r="237" spans="2:18">
      <c r="B237" s="13">
        <f>IF(A237="","",IFERROR(INDEX(Products!$B$5:$B$304,MATCH(A237,Products!$A$5:$A$304,0)),"Not found"))</f>
        <v>0</v>
      </c>
      <c r="D237" s="13">
        <f>IF(C237="","",IFERROR(INDEX(Materials!$B$5:$B$254,MATCH(C237,Materials!$A$5:$A$254,0)),"Add to Materials"))</f>
        <v>0</v>
      </c>
      <c r="E237" s="13">
        <f>IF(C237="","",IFERROR(INDEX(Materials!$H$5:$H$254,MATCH(C237,Materials!$A$5:$A$254,0)),"Add to Materials"))</f>
        <v>0</v>
      </c>
      <c r="J237" s="33">
        <f>IF(C237="","",IF(G237&lt;&gt;"",G237,IFERROR(INDEX(Materials!$W$5:$W$254,MATCH(C237,Materials!$A$5:$A$254,0)),DefaultWaste)))</f>
        <v>0</v>
      </c>
      <c r="K237" s="36">
        <f>IF(C237="","",IF(F237="","",ROUND(F237*(1+J237),4)))</f>
        <v>0</v>
      </c>
      <c r="L237" s="45">
        <f>IF(C237="","",IFERROR(INDEX(Materials!$S$5:$S$254,MATCH(C237,Materials!$A$5:$A$254,0)),""))</f>
        <v>0</v>
      </c>
      <c r="M237" s="45">
        <f>IF(C237="","",IF(OR(K237="",L237=""),"",ROUND(K237*L237,4)))</f>
        <v>0</v>
      </c>
      <c r="N237" s="20">
        <f>IF(A237="","",ROUND(SUMIFS('Material Usage'!$M$5:$M$904,'Material Usage'!$A$5:$A$904,A237),2))</f>
        <v>0</v>
      </c>
      <c r="O237" s="33">
        <f>IF(A237="","",IF(OR(M237="",N237="",N237=0),"",M237/N237))</f>
        <v>0</v>
      </c>
      <c r="P237" s="32">
        <f>IF(A237="","",COUNTIFS($A$5:A237,A237))</f>
        <v>0</v>
      </c>
      <c r="Q237" s="13">
        <f>IF(A237="","",A237&amp;"|"&amp;P237)</f>
        <v>0</v>
      </c>
      <c r="R237" s="43">
        <f>IF(AND(A237="",C237=""),"",IF(A237="","Add - which product?",IF(C237="","Add - which material?",IF(B237="Not found","Check - no such product ID",IF(D237="Add to Materials","Check - no such material ID",IF(OR(F237="",F237=0),"Add - how much?",IF(L237="","Check - that material has no price","OK")))))))</f>
        <v>0</v>
      </c>
    </row>
    <row r="238" spans="2:18">
      <c r="B238" s="13">
        <f>IF(A238="","",IFERROR(INDEX(Products!$B$5:$B$304,MATCH(A238,Products!$A$5:$A$304,0)),"Not found"))</f>
        <v>0</v>
      </c>
      <c r="D238" s="13">
        <f>IF(C238="","",IFERROR(INDEX(Materials!$B$5:$B$254,MATCH(C238,Materials!$A$5:$A$254,0)),"Add to Materials"))</f>
        <v>0</v>
      </c>
      <c r="E238" s="13">
        <f>IF(C238="","",IFERROR(INDEX(Materials!$H$5:$H$254,MATCH(C238,Materials!$A$5:$A$254,0)),"Add to Materials"))</f>
        <v>0</v>
      </c>
      <c r="J238" s="33">
        <f>IF(C238="","",IF(G238&lt;&gt;"",G238,IFERROR(INDEX(Materials!$W$5:$W$254,MATCH(C238,Materials!$A$5:$A$254,0)),DefaultWaste)))</f>
        <v>0</v>
      </c>
      <c r="K238" s="36">
        <f>IF(C238="","",IF(F238="","",ROUND(F238*(1+J238),4)))</f>
        <v>0</v>
      </c>
      <c r="L238" s="45">
        <f>IF(C238="","",IFERROR(INDEX(Materials!$S$5:$S$254,MATCH(C238,Materials!$A$5:$A$254,0)),""))</f>
        <v>0</v>
      </c>
      <c r="M238" s="45">
        <f>IF(C238="","",IF(OR(K238="",L238=""),"",ROUND(K238*L238,4)))</f>
        <v>0</v>
      </c>
      <c r="N238" s="20">
        <f>IF(A238="","",ROUND(SUMIFS('Material Usage'!$M$5:$M$904,'Material Usage'!$A$5:$A$904,A238),2))</f>
        <v>0</v>
      </c>
      <c r="O238" s="33">
        <f>IF(A238="","",IF(OR(M238="",N238="",N238=0),"",M238/N238))</f>
        <v>0</v>
      </c>
      <c r="P238" s="32">
        <f>IF(A238="","",COUNTIFS($A$5:A238,A238))</f>
        <v>0</v>
      </c>
      <c r="Q238" s="13">
        <f>IF(A238="","",A238&amp;"|"&amp;P238)</f>
        <v>0</v>
      </c>
      <c r="R238" s="43">
        <f>IF(AND(A238="",C238=""),"",IF(A238="","Add - which product?",IF(C238="","Add - which material?",IF(B238="Not found","Check - no such product ID",IF(D238="Add to Materials","Check - no such material ID",IF(OR(F238="",F238=0),"Add - how much?",IF(L238="","Check - that material has no price","OK")))))))</f>
        <v>0</v>
      </c>
    </row>
    <row r="239" spans="2:18">
      <c r="B239" s="13">
        <f>IF(A239="","",IFERROR(INDEX(Products!$B$5:$B$304,MATCH(A239,Products!$A$5:$A$304,0)),"Not found"))</f>
        <v>0</v>
      </c>
      <c r="D239" s="13">
        <f>IF(C239="","",IFERROR(INDEX(Materials!$B$5:$B$254,MATCH(C239,Materials!$A$5:$A$254,0)),"Add to Materials"))</f>
        <v>0</v>
      </c>
      <c r="E239" s="13">
        <f>IF(C239="","",IFERROR(INDEX(Materials!$H$5:$H$254,MATCH(C239,Materials!$A$5:$A$254,0)),"Add to Materials"))</f>
        <v>0</v>
      </c>
      <c r="J239" s="33">
        <f>IF(C239="","",IF(G239&lt;&gt;"",G239,IFERROR(INDEX(Materials!$W$5:$W$254,MATCH(C239,Materials!$A$5:$A$254,0)),DefaultWaste)))</f>
        <v>0</v>
      </c>
      <c r="K239" s="36">
        <f>IF(C239="","",IF(F239="","",ROUND(F239*(1+J239),4)))</f>
        <v>0</v>
      </c>
      <c r="L239" s="45">
        <f>IF(C239="","",IFERROR(INDEX(Materials!$S$5:$S$254,MATCH(C239,Materials!$A$5:$A$254,0)),""))</f>
        <v>0</v>
      </c>
      <c r="M239" s="45">
        <f>IF(C239="","",IF(OR(K239="",L239=""),"",ROUND(K239*L239,4)))</f>
        <v>0</v>
      </c>
      <c r="N239" s="20">
        <f>IF(A239="","",ROUND(SUMIFS('Material Usage'!$M$5:$M$904,'Material Usage'!$A$5:$A$904,A239),2))</f>
        <v>0</v>
      </c>
      <c r="O239" s="33">
        <f>IF(A239="","",IF(OR(M239="",N239="",N239=0),"",M239/N239))</f>
        <v>0</v>
      </c>
      <c r="P239" s="32">
        <f>IF(A239="","",COUNTIFS($A$5:A239,A239))</f>
        <v>0</v>
      </c>
      <c r="Q239" s="13">
        <f>IF(A239="","",A239&amp;"|"&amp;P239)</f>
        <v>0</v>
      </c>
      <c r="R239" s="43">
        <f>IF(AND(A239="",C239=""),"",IF(A239="","Add - which product?",IF(C239="","Add - which material?",IF(B239="Not found","Check - no such product ID",IF(D239="Add to Materials","Check - no such material ID",IF(OR(F239="",F239=0),"Add - how much?",IF(L239="","Check - that material has no price","OK")))))))</f>
        <v>0</v>
      </c>
    </row>
    <row r="240" spans="2:18">
      <c r="B240" s="13">
        <f>IF(A240="","",IFERROR(INDEX(Products!$B$5:$B$304,MATCH(A240,Products!$A$5:$A$304,0)),"Not found"))</f>
        <v>0</v>
      </c>
      <c r="D240" s="13">
        <f>IF(C240="","",IFERROR(INDEX(Materials!$B$5:$B$254,MATCH(C240,Materials!$A$5:$A$254,0)),"Add to Materials"))</f>
        <v>0</v>
      </c>
      <c r="E240" s="13">
        <f>IF(C240="","",IFERROR(INDEX(Materials!$H$5:$H$254,MATCH(C240,Materials!$A$5:$A$254,0)),"Add to Materials"))</f>
        <v>0</v>
      </c>
      <c r="J240" s="33">
        <f>IF(C240="","",IF(G240&lt;&gt;"",G240,IFERROR(INDEX(Materials!$W$5:$W$254,MATCH(C240,Materials!$A$5:$A$254,0)),DefaultWaste)))</f>
        <v>0</v>
      </c>
      <c r="K240" s="36">
        <f>IF(C240="","",IF(F240="","",ROUND(F240*(1+J240),4)))</f>
        <v>0</v>
      </c>
      <c r="L240" s="45">
        <f>IF(C240="","",IFERROR(INDEX(Materials!$S$5:$S$254,MATCH(C240,Materials!$A$5:$A$254,0)),""))</f>
        <v>0</v>
      </c>
      <c r="M240" s="45">
        <f>IF(C240="","",IF(OR(K240="",L240=""),"",ROUND(K240*L240,4)))</f>
        <v>0</v>
      </c>
      <c r="N240" s="20">
        <f>IF(A240="","",ROUND(SUMIFS('Material Usage'!$M$5:$M$904,'Material Usage'!$A$5:$A$904,A240),2))</f>
        <v>0</v>
      </c>
      <c r="O240" s="33">
        <f>IF(A240="","",IF(OR(M240="",N240="",N240=0),"",M240/N240))</f>
        <v>0</v>
      </c>
      <c r="P240" s="32">
        <f>IF(A240="","",COUNTIFS($A$5:A240,A240))</f>
        <v>0</v>
      </c>
      <c r="Q240" s="13">
        <f>IF(A240="","",A240&amp;"|"&amp;P240)</f>
        <v>0</v>
      </c>
      <c r="R240" s="43">
        <f>IF(AND(A240="",C240=""),"",IF(A240="","Add - which product?",IF(C240="","Add - which material?",IF(B240="Not found","Check - no such product ID",IF(D240="Add to Materials","Check - no such material ID",IF(OR(F240="",F240=0),"Add - how much?",IF(L240="","Check - that material has no price","OK")))))))</f>
        <v>0</v>
      </c>
    </row>
    <row r="241" spans="2:18">
      <c r="B241" s="13">
        <f>IF(A241="","",IFERROR(INDEX(Products!$B$5:$B$304,MATCH(A241,Products!$A$5:$A$304,0)),"Not found"))</f>
        <v>0</v>
      </c>
      <c r="D241" s="13">
        <f>IF(C241="","",IFERROR(INDEX(Materials!$B$5:$B$254,MATCH(C241,Materials!$A$5:$A$254,0)),"Add to Materials"))</f>
        <v>0</v>
      </c>
      <c r="E241" s="13">
        <f>IF(C241="","",IFERROR(INDEX(Materials!$H$5:$H$254,MATCH(C241,Materials!$A$5:$A$254,0)),"Add to Materials"))</f>
        <v>0</v>
      </c>
      <c r="J241" s="33">
        <f>IF(C241="","",IF(G241&lt;&gt;"",G241,IFERROR(INDEX(Materials!$W$5:$W$254,MATCH(C241,Materials!$A$5:$A$254,0)),DefaultWaste)))</f>
        <v>0</v>
      </c>
      <c r="K241" s="36">
        <f>IF(C241="","",IF(F241="","",ROUND(F241*(1+J241),4)))</f>
        <v>0</v>
      </c>
      <c r="L241" s="45">
        <f>IF(C241="","",IFERROR(INDEX(Materials!$S$5:$S$254,MATCH(C241,Materials!$A$5:$A$254,0)),""))</f>
        <v>0</v>
      </c>
      <c r="M241" s="45">
        <f>IF(C241="","",IF(OR(K241="",L241=""),"",ROUND(K241*L241,4)))</f>
        <v>0</v>
      </c>
      <c r="N241" s="20">
        <f>IF(A241="","",ROUND(SUMIFS('Material Usage'!$M$5:$M$904,'Material Usage'!$A$5:$A$904,A241),2))</f>
        <v>0</v>
      </c>
      <c r="O241" s="33">
        <f>IF(A241="","",IF(OR(M241="",N241="",N241=0),"",M241/N241))</f>
        <v>0</v>
      </c>
      <c r="P241" s="32">
        <f>IF(A241="","",COUNTIFS($A$5:A241,A241))</f>
        <v>0</v>
      </c>
      <c r="Q241" s="13">
        <f>IF(A241="","",A241&amp;"|"&amp;P241)</f>
        <v>0</v>
      </c>
      <c r="R241" s="43">
        <f>IF(AND(A241="",C241=""),"",IF(A241="","Add - which product?",IF(C241="","Add - which material?",IF(B241="Not found","Check - no such product ID",IF(D241="Add to Materials","Check - no such material ID",IF(OR(F241="",F241=0),"Add - how much?",IF(L241="","Check - that material has no price","OK")))))))</f>
        <v>0</v>
      </c>
    </row>
    <row r="242" spans="2:18">
      <c r="B242" s="13">
        <f>IF(A242="","",IFERROR(INDEX(Products!$B$5:$B$304,MATCH(A242,Products!$A$5:$A$304,0)),"Not found"))</f>
        <v>0</v>
      </c>
      <c r="D242" s="13">
        <f>IF(C242="","",IFERROR(INDEX(Materials!$B$5:$B$254,MATCH(C242,Materials!$A$5:$A$254,0)),"Add to Materials"))</f>
        <v>0</v>
      </c>
      <c r="E242" s="13">
        <f>IF(C242="","",IFERROR(INDEX(Materials!$H$5:$H$254,MATCH(C242,Materials!$A$5:$A$254,0)),"Add to Materials"))</f>
        <v>0</v>
      </c>
      <c r="J242" s="33">
        <f>IF(C242="","",IF(G242&lt;&gt;"",G242,IFERROR(INDEX(Materials!$W$5:$W$254,MATCH(C242,Materials!$A$5:$A$254,0)),DefaultWaste)))</f>
        <v>0</v>
      </c>
      <c r="K242" s="36">
        <f>IF(C242="","",IF(F242="","",ROUND(F242*(1+J242),4)))</f>
        <v>0</v>
      </c>
      <c r="L242" s="45">
        <f>IF(C242="","",IFERROR(INDEX(Materials!$S$5:$S$254,MATCH(C242,Materials!$A$5:$A$254,0)),""))</f>
        <v>0</v>
      </c>
      <c r="M242" s="45">
        <f>IF(C242="","",IF(OR(K242="",L242=""),"",ROUND(K242*L242,4)))</f>
        <v>0</v>
      </c>
      <c r="N242" s="20">
        <f>IF(A242="","",ROUND(SUMIFS('Material Usage'!$M$5:$M$904,'Material Usage'!$A$5:$A$904,A242),2))</f>
        <v>0</v>
      </c>
      <c r="O242" s="33">
        <f>IF(A242="","",IF(OR(M242="",N242="",N242=0),"",M242/N242))</f>
        <v>0</v>
      </c>
      <c r="P242" s="32">
        <f>IF(A242="","",COUNTIFS($A$5:A242,A242))</f>
        <v>0</v>
      </c>
      <c r="Q242" s="13">
        <f>IF(A242="","",A242&amp;"|"&amp;P242)</f>
        <v>0</v>
      </c>
      <c r="R242" s="43">
        <f>IF(AND(A242="",C242=""),"",IF(A242="","Add - which product?",IF(C242="","Add - which material?",IF(B242="Not found","Check - no such product ID",IF(D242="Add to Materials","Check - no such material ID",IF(OR(F242="",F242=0),"Add - how much?",IF(L242="","Check - that material has no price","OK")))))))</f>
        <v>0</v>
      </c>
    </row>
    <row r="243" spans="2:18">
      <c r="B243" s="13">
        <f>IF(A243="","",IFERROR(INDEX(Products!$B$5:$B$304,MATCH(A243,Products!$A$5:$A$304,0)),"Not found"))</f>
        <v>0</v>
      </c>
      <c r="D243" s="13">
        <f>IF(C243="","",IFERROR(INDEX(Materials!$B$5:$B$254,MATCH(C243,Materials!$A$5:$A$254,0)),"Add to Materials"))</f>
        <v>0</v>
      </c>
      <c r="E243" s="13">
        <f>IF(C243="","",IFERROR(INDEX(Materials!$H$5:$H$254,MATCH(C243,Materials!$A$5:$A$254,0)),"Add to Materials"))</f>
        <v>0</v>
      </c>
      <c r="J243" s="33">
        <f>IF(C243="","",IF(G243&lt;&gt;"",G243,IFERROR(INDEX(Materials!$W$5:$W$254,MATCH(C243,Materials!$A$5:$A$254,0)),DefaultWaste)))</f>
        <v>0</v>
      </c>
      <c r="K243" s="36">
        <f>IF(C243="","",IF(F243="","",ROUND(F243*(1+J243),4)))</f>
        <v>0</v>
      </c>
      <c r="L243" s="45">
        <f>IF(C243="","",IFERROR(INDEX(Materials!$S$5:$S$254,MATCH(C243,Materials!$A$5:$A$254,0)),""))</f>
        <v>0</v>
      </c>
      <c r="M243" s="45">
        <f>IF(C243="","",IF(OR(K243="",L243=""),"",ROUND(K243*L243,4)))</f>
        <v>0</v>
      </c>
      <c r="N243" s="20">
        <f>IF(A243="","",ROUND(SUMIFS('Material Usage'!$M$5:$M$904,'Material Usage'!$A$5:$A$904,A243),2))</f>
        <v>0</v>
      </c>
      <c r="O243" s="33">
        <f>IF(A243="","",IF(OR(M243="",N243="",N243=0),"",M243/N243))</f>
        <v>0</v>
      </c>
      <c r="P243" s="32">
        <f>IF(A243="","",COUNTIFS($A$5:A243,A243))</f>
        <v>0</v>
      </c>
      <c r="Q243" s="13">
        <f>IF(A243="","",A243&amp;"|"&amp;P243)</f>
        <v>0</v>
      </c>
      <c r="R243" s="43">
        <f>IF(AND(A243="",C243=""),"",IF(A243="","Add - which product?",IF(C243="","Add - which material?",IF(B243="Not found","Check - no such product ID",IF(D243="Add to Materials","Check - no such material ID",IF(OR(F243="",F243=0),"Add - how much?",IF(L243="","Check - that material has no price","OK")))))))</f>
        <v>0</v>
      </c>
    </row>
    <row r="244" spans="2:18">
      <c r="B244" s="13">
        <f>IF(A244="","",IFERROR(INDEX(Products!$B$5:$B$304,MATCH(A244,Products!$A$5:$A$304,0)),"Not found"))</f>
        <v>0</v>
      </c>
      <c r="D244" s="13">
        <f>IF(C244="","",IFERROR(INDEX(Materials!$B$5:$B$254,MATCH(C244,Materials!$A$5:$A$254,0)),"Add to Materials"))</f>
        <v>0</v>
      </c>
      <c r="E244" s="13">
        <f>IF(C244="","",IFERROR(INDEX(Materials!$H$5:$H$254,MATCH(C244,Materials!$A$5:$A$254,0)),"Add to Materials"))</f>
        <v>0</v>
      </c>
      <c r="J244" s="33">
        <f>IF(C244="","",IF(G244&lt;&gt;"",G244,IFERROR(INDEX(Materials!$W$5:$W$254,MATCH(C244,Materials!$A$5:$A$254,0)),DefaultWaste)))</f>
        <v>0</v>
      </c>
      <c r="K244" s="36">
        <f>IF(C244="","",IF(F244="","",ROUND(F244*(1+J244),4)))</f>
        <v>0</v>
      </c>
      <c r="L244" s="45">
        <f>IF(C244="","",IFERROR(INDEX(Materials!$S$5:$S$254,MATCH(C244,Materials!$A$5:$A$254,0)),""))</f>
        <v>0</v>
      </c>
      <c r="M244" s="45">
        <f>IF(C244="","",IF(OR(K244="",L244=""),"",ROUND(K244*L244,4)))</f>
        <v>0</v>
      </c>
      <c r="N244" s="20">
        <f>IF(A244="","",ROUND(SUMIFS('Material Usage'!$M$5:$M$904,'Material Usage'!$A$5:$A$904,A244),2))</f>
        <v>0</v>
      </c>
      <c r="O244" s="33">
        <f>IF(A244="","",IF(OR(M244="",N244="",N244=0),"",M244/N244))</f>
        <v>0</v>
      </c>
      <c r="P244" s="32">
        <f>IF(A244="","",COUNTIFS($A$5:A244,A244))</f>
        <v>0</v>
      </c>
      <c r="Q244" s="13">
        <f>IF(A244="","",A244&amp;"|"&amp;P244)</f>
        <v>0</v>
      </c>
      <c r="R244" s="43">
        <f>IF(AND(A244="",C244=""),"",IF(A244="","Add - which product?",IF(C244="","Add - which material?",IF(B244="Not found","Check - no such product ID",IF(D244="Add to Materials","Check - no such material ID",IF(OR(F244="",F244=0),"Add - how much?",IF(L244="","Check - that material has no price","OK")))))))</f>
        <v>0</v>
      </c>
    </row>
    <row r="245" spans="2:18">
      <c r="B245" s="13">
        <f>IF(A245="","",IFERROR(INDEX(Products!$B$5:$B$304,MATCH(A245,Products!$A$5:$A$304,0)),"Not found"))</f>
        <v>0</v>
      </c>
      <c r="D245" s="13">
        <f>IF(C245="","",IFERROR(INDEX(Materials!$B$5:$B$254,MATCH(C245,Materials!$A$5:$A$254,0)),"Add to Materials"))</f>
        <v>0</v>
      </c>
      <c r="E245" s="13">
        <f>IF(C245="","",IFERROR(INDEX(Materials!$H$5:$H$254,MATCH(C245,Materials!$A$5:$A$254,0)),"Add to Materials"))</f>
        <v>0</v>
      </c>
      <c r="J245" s="33">
        <f>IF(C245="","",IF(G245&lt;&gt;"",G245,IFERROR(INDEX(Materials!$W$5:$W$254,MATCH(C245,Materials!$A$5:$A$254,0)),DefaultWaste)))</f>
        <v>0</v>
      </c>
      <c r="K245" s="36">
        <f>IF(C245="","",IF(F245="","",ROUND(F245*(1+J245),4)))</f>
        <v>0</v>
      </c>
      <c r="L245" s="45">
        <f>IF(C245="","",IFERROR(INDEX(Materials!$S$5:$S$254,MATCH(C245,Materials!$A$5:$A$254,0)),""))</f>
        <v>0</v>
      </c>
      <c r="M245" s="45">
        <f>IF(C245="","",IF(OR(K245="",L245=""),"",ROUND(K245*L245,4)))</f>
        <v>0</v>
      </c>
      <c r="N245" s="20">
        <f>IF(A245="","",ROUND(SUMIFS('Material Usage'!$M$5:$M$904,'Material Usage'!$A$5:$A$904,A245),2))</f>
        <v>0</v>
      </c>
      <c r="O245" s="33">
        <f>IF(A245="","",IF(OR(M245="",N245="",N245=0),"",M245/N245))</f>
        <v>0</v>
      </c>
      <c r="P245" s="32">
        <f>IF(A245="","",COUNTIFS($A$5:A245,A245))</f>
        <v>0</v>
      </c>
      <c r="Q245" s="13">
        <f>IF(A245="","",A245&amp;"|"&amp;P245)</f>
        <v>0</v>
      </c>
      <c r="R245" s="43">
        <f>IF(AND(A245="",C245=""),"",IF(A245="","Add - which product?",IF(C245="","Add - which material?",IF(B245="Not found","Check - no such product ID",IF(D245="Add to Materials","Check - no such material ID",IF(OR(F245="",F245=0),"Add - how much?",IF(L245="","Check - that material has no price","OK")))))))</f>
        <v>0</v>
      </c>
    </row>
    <row r="246" spans="2:18">
      <c r="B246" s="13">
        <f>IF(A246="","",IFERROR(INDEX(Products!$B$5:$B$304,MATCH(A246,Products!$A$5:$A$304,0)),"Not found"))</f>
        <v>0</v>
      </c>
      <c r="D246" s="13">
        <f>IF(C246="","",IFERROR(INDEX(Materials!$B$5:$B$254,MATCH(C246,Materials!$A$5:$A$254,0)),"Add to Materials"))</f>
        <v>0</v>
      </c>
      <c r="E246" s="13">
        <f>IF(C246="","",IFERROR(INDEX(Materials!$H$5:$H$254,MATCH(C246,Materials!$A$5:$A$254,0)),"Add to Materials"))</f>
        <v>0</v>
      </c>
      <c r="J246" s="33">
        <f>IF(C246="","",IF(G246&lt;&gt;"",G246,IFERROR(INDEX(Materials!$W$5:$W$254,MATCH(C246,Materials!$A$5:$A$254,0)),DefaultWaste)))</f>
        <v>0</v>
      </c>
      <c r="K246" s="36">
        <f>IF(C246="","",IF(F246="","",ROUND(F246*(1+J246),4)))</f>
        <v>0</v>
      </c>
      <c r="L246" s="45">
        <f>IF(C246="","",IFERROR(INDEX(Materials!$S$5:$S$254,MATCH(C246,Materials!$A$5:$A$254,0)),""))</f>
        <v>0</v>
      </c>
      <c r="M246" s="45">
        <f>IF(C246="","",IF(OR(K246="",L246=""),"",ROUND(K246*L246,4)))</f>
        <v>0</v>
      </c>
      <c r="N246" s="20">
        <f>IF(A246="","",ROUND(SUMIFS('Material Usage'!$M$5:$M$904,'Material Usage'!$A$5:$A$904,A246),2))</f>
        <v>0</v>
      </c>
      <c r="O246" s="33">
        <f>IF(A246="","",IF(OR(M246="",N246="",N246=0),"",M246/N246))</f>
        <v>0</v>
      </c>
      <c r="P246" s="32">
        <f>IF(A246="","",COUNTIFS($A$5:A246,A246))</f>
        <v>0</v>
      </c>
      <c r="Q246" s="13">
        <f>IF(A246="","",A246&amp;"|"&amp;P246)</f>
        <v>0</v>
      </c>
      <c r="R246" s="43">
        <f>IF(AND(A246="",C246=""),"",IF(A246="","Add - which product?",IF(C246="","Add - which material?",IF(B246="Not found","Check - no such product ID",IF(D246="Add to Materials","Check - no such material ID",IF(OR(F246="",F246=0),"Add - how much?",IF(L246="","Check - that material has no price","OK")))))))</f>
        <v>0</v>
      </c>
    </row>
    <row r="247" spans="2:18">
      <c r="B247" s="13">
        <f>IF(A247="","",IFERROR(INDEX(Products!$B$5:$B$304,MATCH(A247,Products!$A$5:$A$304,0)),"Not found"))</f>
        <v>0</v>
      </c>
      <c r="D247" s="13">
        <f>IF(C247="","",IFERROR(INDEX(Materials!$B$5:$B$254,MATCH(C247,Materials!$A$5:$A$254,0)),"Add to Materials"))</f>
        <v>0</v>
      </c>
      <c r="E247" s="13">
        <f>IF(C247="","",IFERROR(INDEX(Materials!$H$5:$H$254,MATCH(C247,Materials!$A$5:$A$254,0)),"Add to Materials"))</f>
        <v>0</v>
      </c>
      <c r="J247" s="33">
        <f>IF(C247="","",IF(G247&lt;&gt;"",G247,IFERROR(INDEX(Materials!$W$5:$W$254,MATCH(C247,Materials!$A$5:$A$254,0)),DefaultWaste)))</f>
        <v>0</v>
      </c>
      <c r="K247" s="36">
        <f>IF(C247="","",IF(F247="","",ROUND(F247*(1+J247),4)))</f>
        <v>0</v>
      </c>
      <c r="L247" s="45">
        <f>IF(C247="","",IFERROR(INDEX(Materials!$S$5:$S$254,MATCH(C247,Materials!$A$5:$A$254,0)),""))</f>
        <v>0</v>
      </c>
      <c r="M247" s="45">
        <f>IF(C247="","",IF(OR(K247="",L247=""),"",ROUND(K247*L247,4)))</f>
        <v>0</v>
      </c>
      <c r="N247" s="20">
        <f>IF(A247="","",ROUND(SUMIFS('Material Usage'!$M$5:$M$904,'Material Usage'!$A$5:$A$904,A247),2))</f>
        <v>0</v>
      </c>
      <c r="O247" s="33">
        <f>IF(A247="","",IF(OR(M247="",N247="",N247=0),"",M247/N247))</f>
        <v>0</v>
      </c>
      <c r="P247" s="32">
        <f>IF(A247="","",COUNTIFS($A$5:A247,A247))</f>
        <v>0</v>
      </c>
      <c r="Q247" s="13">
        <f>IF(A247="","",A247&amp;"|"&amp;P247)</f>
        <v>0</v>
      </c>
      <c r="R247" s="43">
        <f>IF(AND(A247="",C247=""),"",IF(A247="","Add - which product?",IF(C247="","Add - which material?",IF(B247="Not found","Check - no such product ID",IF(D247="Add to Materials","Check - no such material ID",IF(OR(F247="",F247=0),"Add - how much?",IF(L247="","Check - that material has no price","OK")))))))</f>
        <v>0</v>
      </c>
    </row>
    <row r="248" spans="2:18">
      <c r="B248" s="13">
        <f>IF(A248="","",IFERROR(INDEX(Products!$B$5:$B$304,MATCH(A248,Products!$A$5:$A$304,0)),"Not found"))</f>
        <v>0</v>
      </c>
      <c r="D248" s="13">
        <f>IF(C248="","",IFERROR(INDEX(Materials!$B$5:$B$254,MATCH(C248,Materials!$A$5:$A$254,0)),"Add to Materials"))</f>
        <v>0</v>
      </c>
      <c r="E248" s="13">
        <f>IF(C248="","",IFERROR(INDEX(Materials!$H$5:$H$254,MATCH(C248,Materials!$A$5:$A$254,0)),"Add to Materials"))</f>
        <v>0</v>
      </c>
      <c r="J248" s="33">
        <f>IF(C248="","",IF(G248&lt;&gt;"",G248,IFERROR(INDEX(Materials!$W$5:$W$254,MATCH(C248,Materials!$A$5:$A$254,0)),DefaultWaste)))</f>
        <v>0</v>
      </c>
      <c r="K248" s="36">
        <f>IF(C248="","",IF(F248="","",ROUND(F248*(1+J248),4)))</f>
        <v>0</v>
      </c>
      <c r="L248" s="45">
        <f>IF(C248="","",IFERROR(INDEX(Materials!$S$5:$S$254,MATCH(C248,Materials!$A$5:$A$254,0)),""))</f>
        <v>0</v>
      </c>
      <c r="M248" s="45">
        <f>IF(C248="","",IF(OR(K248="",L248=""),"",ROUND(K248*L248,4)))</f>
        <v>0</v>
      </c>
      <c r="N248" s="20">
        <f>IF(A248="","",ROUND(SUMIFS('Material Usage'!$M$5:$M$904,'Material Usage'!$A$5:$A$904,A248),2))</f>
        <v>0</v>
      </c>
      <c r="O248" s="33">
        <f>IF(A248="","",IF(OR(M248="",N248="",N248=0),"",M248/N248))</f>
        <v>0</v>
      </c>
      <c r="P248" s="32">
        <f>IF(A248="","",COUNTIFS($A$5:A248,A248))</f>
        <v>0</v>
      </c>
      <c r="Q248" s="13">
        <f>IF(A248="","",A248&amp;"|"&amp;P248)</f>
        <v>0</v>
      </c>
      <c r="R248" s="43">
        <f>IF(AND(A248="",C248=""),"",IF(A248="","Add - which product?",IF(C248="","Add - which material?",IF(B248="Not found","Check - no such product ID",IF(D248="Add to Materials","Check - no such material ID",IF(OR(F248="",F248=0),"Add - how much?",IF(L248="","Check - that material has no price","OK")))))))</f>
        <v>0</v>
      </c>
    </row>
    <row r="249" spans="2:18">
      <c r="B249" s="13">
        <f>IF(A249="","",IFERROR(INDEX(Products!$B$5:$B$304,MATCH(A249,Products!$A$5:$A$304,0)),"Not found"))</f>
        <v>0</v>
      </c>
      <c r="D249" s="13">
        <f>IF(C249="","",IFERROR(INDEX(Materials!$B$5:$B$254,MATCH(C249,Materials!$A$5:$A$254,0)),"Add to Materials"))</f>
        <v>0</v>
      </c>
      <c r="E249" s="13">
        <f>IF(C249="","",IFERROR(INDEX(Materials!$H$5:$H$254,MATCH(C249,Materials!$A$5:$A$254,0)),"Add to Materials"))</f>
        <v>0</v>
      </c>
      <c r="J249" s="33">
        <f>IF(C249="","",IF(G249&lt;&gt;"",G249,IFERROR(INDEX(Materials!$W$5:$W$254,MATCH(C249,Materials!$A$5:$A$254,0)),DefaultWaste)))</f>
        <v>0</v>
      </c>
      <c r="K249" s="36">
        <f>IF(C249="","",IF(F249="","",ROUND(F249*(1+J249),4)))</f>
        <v>0</v>
      </c>
      <c r="L249" s="45">
        <f>IF(C249="","",IFERROR(INDEX(Materials!$S$5:$S$254,MATCH(C249,Materials!$A$5:$A$254,0)),""))</f>
        <v>0</v>
      </c>
      <c r="M249" s="45">
        <f>IF(C249="","",IF(OR(K249="",L249=""),"",ROUND(K249*L249,4)))</f>
        <v>0</v>
      </c>
      <c r="N249" s="20">
        <f>IF(A249="","",ROUND(SUMIFS('Material Usage'!$M$5:$M$904,'Material Usage'!$A$5:$A$904,A249),2))</f>
        <v>0</v>
      </c>
      <c r="O249" s="33">
        <f>IF(A249="","",IF(OR(M249="",N249="",N249=0),"",M249/N249))</f>
        <v>0</v>
      </c>
      <c r="P249" s="32">
        <f>IF(A249="","",COUNTIFS($A$5:A249,A249))</f>
        <v>0</v>
      </c>
      <c r="Q249" s="13">
        <f>IF(A249="","",A249&amp;"|"&amp;P249)</f>
        <v>0</v>
      </c>
      <c r="R249" s="43">
        <f>IF(AND(A249="",C249=""),"",IF(A249="","Add - which product?",IF(C249="","Add - which material?",IF(B249="Not found","Check - no such product ID",IF(D249="Add to Materials","Check - no such material ID",IF(OR(F249="",F249=0),"Add - how much?",IF(L249="","Check - that material has no price","OK")))))))</f>
        <v>0</v>
      </c>
    </row>
    <row r="250" spans="2:18">
      <c r="B250" s="13">
        <f>IF(A250="","",IFERROR(INDEX(Products!$B$5:$B$304,MATCH(A250,Products!$A$5:$A$304,0)),"Not found"))</f>
        <v>0</v>
      </c>
      <c r="D250" s="13">
        <f>IF(C250="","",IFERROR(INDEX(Materials!$B$5:$B$254,MATCH(C250,Materials!$A$5:$A$254,0)),"Add to Materials"))</f>
        <v>0</v>
      </c>
      <c r="E250" s="13">
        <f>IF(C250="","",IFERROR(INDEX(Materials!$H$5:$H$254,MATCH(C250,Materials!$A$5:$A$254,0)),"Add to Materials"))</f>
        <v>0</v>
      </c>
      <c r="J250" s="33">
        <f>IF(C250="","",IF(G250&lt;&gt;"",G250,IFERROR(INDEX(Materials!$W$5:$W$254,MATCH(C250,Materials!$A$5:$A$254,0)),DefaultWaste)))</f>
        <v>0</v>
      </c>
      <c r="K250" s="36">
        <f>IF(C250="","",IF(F250="","",ROUND(F250*(1+J250),4)))</f>
        <v>0</v>
      </c>
      <c r="L250" s="45">
        <f>IF(C250="","",IFERROR(INDEX(Materials!$S$5:$S$254,MATCH(C250,Materials!$A$5:$A$254,0)),""))</f>
        <v>0</v>
      </c>
      <c r="M250" s="45">
        <f>IF(C250="","",IF(OR(K250="",L250=""),"",ROUND(K250*L250,4)))</f>
        <v>0</v>
      </c>
      <c r="N250" s="20">
        <f>IF(A250="","",ROUND(SUMIFS('Material Usage'!$M$5:$M$904,'Material Usage'!$A$5:$A$904,A250),2))</f>
        <v>0</v>
      </c>
      <c r="O250" s="33">
        <f>IF(A250="","",IF(OR(M250="",N250="",N250=0),"",M250/N250))</f>
        <v>0</v>
      </c>
      <c r="P250" s="32">
        <f>IF(A250="","",COUNTIFS($A$5:A250,A250))</f>
        <v>0</v>
      </c>
      <c r="Q250" s="13">
        <f>IF(A250="","",A250&amp;"|"&amp;P250)</f>
        <v>0</v>
      </c>
      <c r="R250" s="43">
        <f>IF(AND(A250="",C250=""),"",IF(A250="","Add - which product?",IF(C250="","Add - which material?",IF(B250="Not found","Check - no such product ID",IF(D250="Add to Materials","Check - no such material ID",IF(OR(F250="",F250=0),"Add - how much?",IF(L250="","Check - that material has no price","OK")))))))</f>
        <v>0</v>
      </c>
    </row>
    <row r="251" spans="2:18">
      <c r="B251" s="13">
        <f>IF(A251="","",IFERROR(INDEX(Products!$B$5:$B$304,MATCH(A251,Products!$A$5:$A$304,0)),"Not found"))</f>
        <v>0</v>
      </c>
      <c r="D251" s="13">
        <f>IF(C251="","",IFERROR(INDEX(Materials!$B$5:$B$254,MATCH(C251,Materials!$A$5:$A$254,0)),"Add to Materials"))</f>
        <v>0</v>
      </c>
      <c r="E251" s="13">
        <f>IF(C251="","",IFERROR(INDEX(Materials!$H$5:$H$254,MATCH(C251,Materials!$A$5:$A$254,0)),"Add to Materials"))</f>
        <v>0</v>
      </c>
      <c r="J251" s="33">
        <f>IF(C251="","",IF(G251&lt;&gt;"",G251,IFERROR(INDEX(Materials!$W$5:$W$254,MATCH(C251,Materials!$A$5:$A$254,0)),DefaultWaste)))</f>
        <v>0</v>
      </c>
      <c r="K251" s="36">
        <f>IF(C251="","",IF(F251="","",ROUND(F251*(1+J251),4)))</f>
        <v>0</v>
      </c>
      <c r="L251" s="45">
        <f>IF(C251="","",IFERROR(INDEX(Materials!$S$5:$S$254,MATCH(C251,Materials!$A$5:$A$254,0)),""))</f>
        <v>0</v>
      </c>
      <c r="M251" s="45">
        <f>IF(C251="","",IF(OR(K251="",L251=""),"",ROUND(K251*L251,4)))</f>
        <v>0</v>
      </c>
      <c r="N251" s="20">
        <f>IF(A251="","",ROUND(SUMIFS('Material Usage'!$M$5:$M$904,'Material Usage'!$A$5:$A$904,A251),2))</f>
        <v>0</v>
      </c>
      <c r="O251" s="33">
        <f>IF(A251="","",IF(OR(M251="",N251="",N251=0),"",M251/N251))</f>
        <v>0</v>
      </c>
      <c r="P251" s="32">
        <f>IF(A251="","",COUNTIFS($A$5:A251,A251))</f>
        <v>0</v>
      </c>
      <c r="Q251" s="13">
        <f>IF(A251="","",A251&amp;"|"&amp;P251)</f>
        <v>0</v>
      </c>
      <c r="R251" s="43">
        <f>IF(AND(A251="",C251=""),"",IF(A251="","Add - which product?",IF(C251="","Add - which material?",IF(B251="Not found","Check - no such product ID",IF(D251="Add to Materials","Check - no such material ID",IF(OR(F251="",F251=0),"Add - how much?",IF(L251="","Check - that material has no price","OK")))))))</f>
        <v>0</v>
      </c>
    </row>
    <row r="252" spans="2:18">
      <c r="B252" s="13">
        <f>IF(A252="","",IFERROR(INDEX(Products!$B$5:$B$304,MATCH(A252,Products!$A$5:$A$304,0)),"Not found"))</f>
        <v>0</v>
      </c>
      <c r="D252" s="13">
        <f>IF(C252="","",IFERROR(INDEX(Materials!$B$5:$B$254,MATCH(C252,Materials!$A$5:$A$254,0)),"Add to Materials"))</f>
        <v>0</v>
      </c>
      <c r="E252" s="13">
        <f>IF(C252="","",IFERROR(INDEX(Materials!$H$5:$H$254,MATCH(C252,Materials!$A$5:$A$254,0)),"Add to Materials"))</f>
        <v>0</v>
      </c>
      <c r="J252" s="33">
        <f>IF(C252="","",IF(G252&lt;&gt;"",G252,IFERROR(INDEX(Materials!$W$5:$W$254,MATCH(C252,Materials!$A$5:$A$254,0)),DefaultWaste)))</f>
        <v>0</v>
      </c>
      <c r="K252" s="36">
        <f>IF(C252="","",IF(F252="","",ROUND(F252*(1+J252),4)))</f>
        <v>0</v>
      </c>
      <c r="L252" s="45">
        <f>IF(C252="","",IFERROR(INDEX(Materials!$S$5:$S$254,MATCH(C252,Materials!$A$5:$A$254,0)),""))</f>
        <v>0</v>
      </c>
      <c r="M252" s="45">
        <f>IF(C252="","",IF(OR(K252="",L252=""),"",ROUND(K252*L252,4)))</f>
        <v>0</v>
      </c>
      <c r="N252" s="20">
        <f>IF(A252="","",ROUND(SUMIFS('Material Usage'!$M$5:$M$904,'Material Usage'!$A$5:$A$904,A252),2))</f>
        <v>0</v>
      </c>
      <c r="O252" s="33">
        <f>IF(A252="","",IF(OR(M252="",N252="",N252=0),"",M252/N252))</f>
        <v>0</v>
      </c>
      <c r="P252" s="32">
        <f>IF(A252="","",COUNTIFS($A$5:A252,A252))</f>
        <v>0</v>
      </c>
      <c r="Q252" s="13">
        <f>IF(A252="","",A252&amp;"|"&amp;P252)</f>
        <v>0</v>
      </c>
      <c r="R252" s="43">
        <f>IF(AND(A252="",C252=""),"",IF(A252="","Add - which product?",IF(C252="","Add - which material?",IF(B252="Not found","Check - no such product ID",IF(D252="Add to Materials","Check - no such material ID",IF(OR(F252="",F252=0),"Add - how much?",IF(L252="","Check - that material has no price","OK")))))))</f>
        <v>0</v>
      </c>
    </row>
    <row r="253" spans="2:18">
      <c r="B253" s="13">
        <f>IF(A253="","",IFERROR(INDEX(Products!$B$5:$B$304,MATCH(A253,Products!$A$5:$A$304,0)),"Not found"))</f>
        <v>0</v>
      </c>
      <c r="D253" s="13">
        <f>IF(C253="","",IFERROR(INDEX(Materials!$B$5:$B$254,MATCH(C253,Materials!$A$5:$A$254,0)),"Add to Materials"))</f>
        <v>0</v>
      </c>
      <c r="E253" s="13">
        <f>IF(C253="","",IFERROR(INDEX(Materials!$H$5:$H$254,MATCH(C253,Materials!$A$5:$A$254,0)),"Add to Materials"))</f>
        <v>0</v>
      </c>
      <c r="J253" s="33">
        <f>IF(C253="","",IF(G253&lt;&gt;"",G253,IFERROR(INDEX(Materials!$W$5:$W$254,MATCH(C253,Materials!$A$5:$A$254,0)),DefaultWaste)))</f>
        <v>0</v>
      </c>
      <c r="K253" s="36">
        <f>IF(C253="","",IF(F253="","",ROUND(F253*(1+J253),4)))</f>
        <v>0</v>
      </c>
      <c r="L253" s="45">
        <f>IF(C253="","",IFERROR(INDEX(Materials!$S$5:$S$254,MATCH(C253,Materials!$A$5:$A$254,0)),""))</f>
        <v>0</v>
      </c>
      <c r="M253" s="45">
        <f>IF(C253="","",IF(OR(K253="",L253=""),"",ROUND(K253*L253,4)))</f>
        <v>0</v>
      </c>
      <c r="N253" s="20">
        <f>IF(A253="","",ROUND(SUMIFS('Material Usage'!$M$5:$M$904,'Material Usage'!$A$5:$A$904,A253),2))</f>
        <v>0</v>
      </c>
      <c r="O253" s="33">
        <f>IF(A253="","",IF(OR(M253="",N253="",N253=0),"",M253/N253))</f>
        <v>0</v>
      </c>
      <c r="P253" s="32">
        <f>IF(A253="","",COUNTIFS($A$5:A253,A253))</f>
        <v>0</v>
      </c>
      <c r="Q253" s="13">
        <f>IF(A253="","",A253&amp;"|"&amp;P253)</f>
        <v>0</v>
      </c>
      <c r="R253" s="43">
        <f>IF(AND(A253="",C253=""),"",IF(A253="","Add - which product?",IF(C253="","Add - which material?",IF(B253="Not found","Check - no such product ID",IF(D253="Add to Materials","Check - no such material ID",IF(OR(F253="",F253=0),"Add - how much?",IF(L253="","Check - that material has no price","OK")))))))</f>
        <v>0</v>
      </c>
    </row>
    <row r="254" spans="2:18">
      <c r="B254" s="13">
        <f>IF(A254="","",IFERROR(INDEX(Products!$B$5:$B$304,MATCH(A254,Products!$A$5:$A$304,0)),"Not found"))</f>
        <v>0</v>
      </c>
      <c r="D254" s="13">
        <f>IF(C254="","",IFERROR(INDEX(Materials!$B$5:$B$254,MATCH(C254,Materials!$A$5:$A$254,0)),"Add to Materials"))</f>
        <v>0</v>
      </c>
      <c r="E254" s="13">
        <f>IF(C254="","",IFERROR(INDEX(Materials!$H$5:$H$254,MATCH(C254,Materials!$A$5:$A$254,0)),"Add to Materials"))</f>
        <v>0</v>
      </c>
      <c r="J254" s="33">
        <f>IF(C254="","",IF(G254&lt;&gt;"",G254,IFERROR(INDEX(Materials!$W$5:$W$254,MATCH(C254,Materials!$A$5:$A$254,0)),DefaultWaste)))</f>
        <v>0</v>
      </c>
      <c r="K254" s="36">
        <f>IF(C254="","",IF(F254="","",ROUND(F254*(1+J254),4)))</f>
        <v>0</v>
      </c>
      <c r="L254" s="45">
        <f>IF(C254="","",IFERROR(INDEX(Materials!$S$5:$S$254,MATCH(C254,Materials!$A$5:$A$254,0)),""))</f>
        <v>0</v>
      </c>
      <c r="M254" s="45">
        <f>IF(C254="","",IF(OR(K254="",L254=""),"",ROUND(K254*L254,4)))</f>
        <v>0</v>
      </c>
      <c r="N254" s="20">
        <f>IF(A254="","",ROUND(SUMIFS('Material Usage'!$M$5:$M$904,'Material Usage'!$A$5:$A$904,A254),2))</f>
        <v>0</v>
      </c>
      <c r="O254" s="33">
        <f>IF(A254="","",IF(OR(M254="",N254="",N254=0),"",M254/N254))</f>
        <v>0</v>
      </c>
      <c r="P254" s="32">
        <f>IF(A254="","",COUNTIFS($A$5:A254,A254))</f>
        <v>0</v>
      </c>
      <c r="Q254" s="13">
        <f>IF(A254="","",A254&amp;"|"&amp;P254)</f>
        <v>0</v>
      </c>
      <c r="R254" s="43">
        <f>IF(AND(A254="",C254=""),"",IF(A254="","Add - which product?",IF(C254="","Add - which material?",IF(B254="Not found","Check - no such product ID",IF(D254="Add to Materials","Check - no such material ID",IF(OR(F254="",F254=0),"Add - how much?",IF(L254="","Check - that material has no price","OK")))))))</f>
        <v>0</v>
      </c>
    </row>
    <row r="255" spans="2:18">
      <c r="B255" s="13">
        <f>IF(A255="","",IFERROR(INDEX(Products!$B$5:$B$304,MATCH(A255,Products!$A$5:$A$304,0)),"Not found"))</f>
        <v>0</v>
      </c>
      <c r="D255" s="13">
        <f>IF(C255="","",IFERROR(INDEX(Materials!$B$5:$B$254,MATCH(C255,Materials!$A$5:$A$254,0)),"Add to Materials"))</f>
        <v>0</v>
      </c>
      <c r="E255" s="13">
        <f>IF(C255="","",IFERROR(INDEX(Materials!$H$5:$H$254,MATCH(C255,Materials!$A$5:$A$254,0)),"Add to Materials"))</f>
        <v>0</v>
      </c>
      <c r="J255" s="33">
        <f>IF(C255="","",IF(G255&lt;&gt;"",G255,IFERROR(INDEX(Materials!$W$5:$W$254,MATCH(C255,Materials!$A$5:$A$254,0)),DefaultWaste)))</f>
        <v>0</v>
      </c>
      <c r="K255" s="36">
        <f>IF(C255="","",IF(F255="","",ROUND(F255*(1+J255),4)))</f>
        <v>0</v>
      </c>
      <c r="L255" s="45">
        <f>IF(C255="","",IFERROR(INDEX(Materials!$S$5:$S$254,MATCH(C255,Materials!$A$5:$A$254,0)),""))</f>
        <v>0</v>
      </c>
      <c r="M255" s="45">
        <f>IF(C255="","",IF(OR(K255="",L255=""),"",ROUND(K255*L255,4)))</f>
        <v>0</v>
      </c>
      <c r="N255" s="20">
        <f>IF(A255="","",ROUND(SUMIFS('Material Usage'!$M$5:$M$904,'Material Usage'!$A$5:$A$904,A255),2))</f>
        <v>0</v>
      </c>
      <c r="O255" s="33">
        <f>IF(A255="","",IF(OR(M255="",N255="",N255=0),"",M255/N255))</f>
        <v>0</v>
      </c>
      <c r="P255" s="32">
        <f>IF(A255="","",COUNTIFS($A$5:A255,A255))</f>
        <v>0</v>
      </c>
      <c r="Q255" s="13">
        <f>IF(A255="","",A255&amp;"|"&amp;P255)</f>
        <v>0</v>
      </c>
      <c r="R255" s="43">
        <f>IF(AND(A255="",C255=""),"",IF(A255="","Add - which product?",IF(C255="","Add - which material?",IF(B255="Not found","Check - no such product ID",IF(D255="Add to Materials","Check - no such material ID",IF(OR(F255="",F255=0),"Add - how much?",IF(L255="","Check - that material has no price","OK")))))))</f>
        <v>0</v>
      </c>
    </row>
    <row r="256" spans="2:18">
      <c r="B256" s="13">
        <f>IF(A256="","",IFERROR(INDEX(Products!$B$5:$B$304,MATCH(A256,Products!$A$5:$A$304,0)),"Not found"))</f>
        <v>0</v>
      </c>
      <c r="D256" s="13">
        <f>IF(C256="","",IFERROR(INDEX(Materials!$B$5:$B$254,MATCH(C256,Materials!$A$5:$A$254,0)),"Add to Materials"))</f>
        <v>0</v>
      </c>
      <c r="E256" s="13">
        <f>IF(C256="","",IFERROR(INDEX(Materials!$H$5:$H$254,MATCH(C256,Materials!$A$5:$A$254,0)),"Add to Materials"))</f>
        <v>0</v>
      </c>
      <c r="J256" s="33">
        <f>IF(C256="","",IF(G256&lt;&gt;"",G256,IFERROR(INDEX(Materials!$W$5:$W$254,MATCH(C256,Materials!$A$5:$A$254,0)),DefaultWaste)))</f>
        <v>0</v>
      </c>
      <c r="K256" s="36">
        <f>IF(C256="","",IF(F256="","",ROUND(F256*(1+J256),4)))</f>
        <v>0</v>
      </c>
      <c r="L256" s="45">
        <f>IF(C256="","",IFERROR(INDEX(Materials!$S$5:$S$254,MATCH(C256,Materials!$A$5:$A$254,0)),""))</f>
        <v>0</v>
      </c>
      <c r="M256" s="45">
        <f>IF(C256="","",IF(OR(K256="",L256=""),"",ROUND(K256*L256,4)))</f>
        <v>0</v>
      </c>
      <c r="N256" s="20">
        <f>IF(A256="","",ROUND(SUMIFS('Material Usage'!$M$5:$M$904,'Material Usage'!$A$5:$A$904,A256),2))</f>
        <v>0</v>
      </c>
      <c r="O256" s="33">
        <f>IF(A256="","",IF(OR(M256="",N256="",N256=0),"",M256/N256))</f>
        <v>0</v>
      </c>
      <c r="P256" s="32">
        <f>IF(A256="","",COUNTIFS($A$5:A256,A256))</f>
        <v>0</v>
      </c>
      <c r="Q256" s="13">
        <f>IF(A256="","",A256&amp;"|"&amp;P256)</f>
        <v>0</v>
      </c>
      <c r="R256" s="43">
        <f>IF(AND(A256="",C256=""),"",IF(A256="","Add - which product?",IF(C256="","Add - which material?",IF(B256="Not found","Check - no such product ID",IF(D256="Add to Materials","Check - no such material ID",IF(OR(F256="",F256=0),"Add - how much?",IF(L256="","Check - that material has no price","OK")))))))</f>
        <v>0</v>
      </c>
    </row>
    <row r="257" spans="2:18">
      <c r="B257" s="13">
        <f>IF(A257="","",IFERROR(INDEX(Products!$B$5:$B$304,MATCH(A257,Products!$A$5:$A$304,0)),"Not found"))</f>
        <v>0</v>
      </c>
      <c r="D257" s="13">
        <f>IF(C257="","",IFERROR(INDEX(Materials!$B$5:$B$254,MATCH(C257,Materials!$A$5:$A$254,0)),"Add to Materials"))</f>
        <v>0</v>
      </c>
      <c r="E257" s="13">
        <f>IF(C257="","",IFERROR(INDEX(Materials!$H$5:$H$254,MATCH(C257,Materials!$A$5:$A$254,0)),"Add to Materials"))</f>
        <v>0</v>
      </c>
      <c r="J257" s="33">
        <f>IF(C257="","",IF(G257&lt;&gt;"",G257,IFERROR(INDEX(Materials!$W$5:$W$254,MATCH(C257,Materials!$A$5:$A$254,0)),DefaultWaste)))</f>
        <v>0</v>
      </c>
      <c r="K257" s="36">
        <f>IF(C257="","",IF(F257="","",ROUND(F257*(1+J257),4)))</f>
        <v>0</v>
      </c>
      <c r="L257" s="45">
        <f>IF(C257="","",IFERROR(INDEX(Materials!$S$5:$S$254,MATCH(C257,Materials!$A$5:$A$254,0)),""))</f>
        <v>0</v>
      </c>
      <c r="M257" s="45">
        <f>IF(C257="","",IF(OR(K257="",L257=""),"",ROUND(K257*L257,4)))</f>
        <v>0</v>
      </c>
      <c r="N257" s="20">
        <f>IF(A257="","",ROUND(SUMIFS('Material Usage'!$M$5:$M$904,'Material Usage'!$A$5:$A$904,A257),2))</f>
        <v>0</v>
      </c>
      <c r="O257" s="33">
        <f>IF(A257="","",IF(OR(M257="",N257="",N257=0),"",M257/N257))</f>
        <v>0</v>
      </c>
      <c r="P257" s="32">
        <f>IF(A257="","",COUNTIFS($A$5:A257,A257))</f>
        <v>0</v>
      </c>
      <c r="Q257" s="13">
        <f>IF(A257="","",A257&amp;"|"&amp;P257)</f>
        <v>0</v>
      </c>
      <c r="R257" s="43">
        <f>IF(AND(A257="",C257=""),"",IF(A257="","Add - which product?",IF(C257="","Add - which material?",IF(B257="Not found","Check - no such product ID",IF(D257="Add to Materials","Check - no such material ID",IF(OR(F257="",F257=0),"Add - how much?",IF(L257="","Check - that material has no price","OK")))))))</f>
        <v>0</v>
      </c>
    </row>
    <row r="258" spans="2:18">
      <c r="B258" s="13">
        <f>IF(A258="","",IFERROR(INDEX(Products!$B$5:$B$304,MATCH(A258,Products!$A$5:$A$304,0)),"Not found"))</f>
        <v>0</v>
      </c>
      <c r="D258" s="13">
        <f>IF(C258="","",IFERROR(INDEX(Materials!$B$5:$B$254,MATCH(C258,Materials!$A$5:$A$254,0)),"Add to Materials"))</f>
        <v>0</v>
      </c>
      <c r="E258" s="13">
        <f>IF(C258="","",IFERROR(INDEX(Materials!$H$5:$H$254,MATCH(C258,Materials!$A$5:$A$254,0)),"Add to Materials"))</f>
        <v>0</v>
      </c>
      <c r="J258" s="33">
        <f>IF(C258="","",IF(G258&lt;&gt;"",G258,IFERROR(INDEX(Materials!$W$5:$W$254,MATCH(C258,Materials!$A$5:$A$254,0)),DefaultWaste)))</f>
        <v>0</v>
      </c>
      <c r="K258" s="36">
        <f>IF(C258="","",IF(F258="","",ROUND(F258*(1+J258),4)))</f>
        <v>0</v>
      </c>
      <c r="L258" s="45">
        <f>IF(C258="","",IFERROR(INDEX(Materials!$S$5:$S$254,MATCH(C258,Materials!$A$5:$A$254,0)),""))</f>
        <v>0</v>
      </c>
      <c r="M258" s="45">
        <f>IF(C258="","",IF(OR(K258="",L258=""),"",ROUND(K258*L258,4)))</f>
        <v>0</v>
      </c>
      <c r="N258" s="20">
        <f>IF(A258="","",ROUND(SUMIFS('Material Usage'!$M$5:$M$904,'Material Usage'!$A$5:$A$904,A258),2))</f>
        <v>0</v>
      </c>
      <c r="O258" s="33">
        <f>IF(A258="","",IF(OR(M258="",N258="",N258=0),"",M258/N258))</f>
        <v>0</v>
      </c>
      <c r="P258" s="32">
        <f>IF(A258="","",COUNTIFS($A$5:A258,A258))</f>
        <v>0</v>
      </c>
      <c r="Q258" s="13">
        <f>IF(A258="","",A258&amp;"|"&amp;P258)</f>
        <v>0</v>
      </c>
      <c r="R258" s="43">
        <f>IF(AND(A258="",C258=""),"",IF(A258="","Add - which product?",IF(C258="","Add - which material?",IF(B258="Not found","Check - no such product ID",IF(D258="Add to Materials","Check - no such material ID",IF(OR(F258="",F258=0),"Add - how much?",IF(L258="","Check - that material has no price","OK")))))))</f>
        <v>0</v>
      </c>
    </row>
    <row r="259" spans="2:18">
      <c r="B259" s="13">
        <f>IF(A259="","",IFERROR(INDEX(Products!$B$5:$B$304,MATCH(A259,Products!$A$5:$A$304,0)),"Not found"))</f>
        <v>0</v>
      </c>
      <c r="D259" s="13">
        <f>IF(C259="","",IFERROR(INDEX(Materials!$B$5:$B$254,MATCH(C259,Materials!$A$5:$A$254,0)),"Add to Materials"))</f>
        <v>0</v>
      </c>
      <c r="E259" s="13">
        <f>IF(C259="","",IFERROR(INDEX(Materials!$H$5:$H$254,MATCH(C259,Materials!$A$5:$A$254,0)),"Add to Materials"))</f>
        <v>0</v>
      </c>
      <c r="J259" s="33">
        <f>IF(C259="","",IF(G259&lt;&gt;"",G259,IFERROR(INDEX(Materials!$W$5:$W$254,MATCH(C259,Materials!$A$5:$A$254,0)),DefaultWaste)))</f>
        <v>0</v>
      </c>
      <c r="K259" s="36">
        <f>IF(C259="","",IF(F259="","",ROUND(F259*(1+J259),4)))</f>
        <v>0</v>
      </c>
      <c r="L259" s="45">
        <f>IF(C259="","",IFERROR(INDEX(Materials!$S$5:$S$254,MATCH(C259,Materials!$A$5:$A$254,0)),""))</f>
        <v>0</v>
      </c>
      <c r="M259" s="45">
        <f>IF(C259="","",IF(OR(K259="",L259=""),"",ROUND(K259*L259,4)))</f>
        <v>0</v>
      </c>
      <c r="N259" s="20">
        <f>IF(A259="","",ROUND(SUMIFS('Material Usage'!$M$5:$M$904,'Material Usage'!$A$5:$A$904,A259),2))</f>
        <v>0</v>
      </c>
      <c r="O259" s="33">
        <f>IF(A259="","",IF(OR(M259="",N259="",N259=0),"",M259/N259))</f>
        <v>0</v>
      </c>
      <c r="P259" s="32">
        <f>IF(A259="","",COUNTIFS($A$5:A259,A259))</f>
        <v>0</v>
      </c>
      <c r="Q259" s="13">
        <f>IF(A259="","",A259&amp;"|"&amp;P259)</f>
        <v>0</v>
      </c>
      <c r="R259" s="43">
        <f>IF(AND(A259="",C259=""),"",IF(A259="","Add - which product?",IF(C259="","Add - which material?",IF(B259="Not found","Check - no such product ID",IF(D259="Add to Materials","Check - no such material ID",IF(OR(F259="",F259=0),"Add - how much?",IF(L259="","Check - that material has no price","OK")))))))</f>
        <v>0</v>
      </c>
    </row>
    <row r="260" spans="2:18">
      <c r="B260" s="13">
        <f>IF(A260="","",IFERROR(INDEX(Products!$B$5:$B$304,MATCH(A260,Products!$A$5:$A$304,0)),"Not found"))</f>
        <v>0</v>
      </c>
      <c r="D260" s="13">
        <f>IF(C260="","",IFERROR(INDEX(Materials!$B$5:$B$254,MATCH(C260,Materials!$A$5:$A$254,0)),"Add to Materials"))</f>
        <v>0</v>
      </c>
      <c r="E260" s="13">
        <f>IF(C260="","",IFERROR(INDEX(Materials!$H$5:$H$254,MATCH(C260,Materials!$A$5:$A$254,0)),"Add to Materials"))</f>
        <v>0</v>
      </c>
      <c r="J260" s="33">
        <f>IF(C260="","",IF(G260&lt;&gt;"",G260,IFERROR(INDEX(Materials!$W$5:$W$254,MATCH(C260,Materials!$A$5:$A$254,0)),DefaultWaste)))</f>
        <v>0</v>
      </c>
      <c r="K260" s="36">
        <f>IF(C260="","",IF(F260="","",ROUND(F260*(1+J260),4)))</f>
        <v>0</v>
      </c>
      <c r="L260" s="45">
        <f>IF(C260="","",IFERROR(INDEX(Materials!$S$5:$S$254,MATCH(C260,Materials!$A$5:$A$254,0)),""))</f>
        <v>0</v>
      </c>
      <c r="M260" s="45">
        <f>IF(C260="","",IF(OR(K260="",L260=""),"",ROUND(K260*L260,4)))</f>
        <v>0</v>
      </c>
      <c r="N260" s="20">
        <f>IF(A260="","",ROUND(SUMIFS('Material Usage'!$M$5:$M$904,'Material Usage'!$A$5:$A$904,A260),2))</f>
        <v>0</v>
      </c>
      <c r="O260" s="33">
        <f>IF(A260="","",IF(OR(M260="",N260="",N260=0),"",M260/N260))</f>
        <v>0</v>
      </c>
      <c r="P260" s="32">
        <f>IF(A260="","",COUNTIFS($A$5:A260,A260))</f>
        <v>0</v>
      </c>
      <c r="Q260" s="13">
        <f>IF(A260="","",A260&amp;"|"&amp;P260)</f>
        <v>0</v>
      </c>
      <c r="R260" s="43">
        <f>IF(AND(A260="",C260=""),"",IF(A260="","Add - which product?",IF(C260="","Add - which material?",IF(B260="Not found","Check - no such product ID",IF(D260="Add to Materials","Check - no such material ID",IF(OR(F260="",F260=0),"Add - how much?",IF(L260="","Check - that material has no price","OK")))))))</f>
        <v>0</v>
      </c>
    </row>
    <row r="261" spans="2:18">
      <c r="B261" s="13">
        <f>IF(A261="","",IFERROR(INDEX(Products!$B$5:$B$304,MATCH(A261,Products!$A$5:$A$304,0)),"Not found"))</f>
        <v>0</v>
      </c>
      <c r="D261" s="13">
        <f>IF(C261="","",IFERROR(INDEX(Materials!$B$5:$B$254,MATCH(C261,Materials!$A$5:$A$254,0)),"Add to Materials"))</f>
        <v>0</v>
      </c>
      <c r="E261" s="13">
        <f>IF(C261="","",IFERROR(INDEX(Materials!$H$5:$H$254,MATCH(C261,Materials!$A$5:$A$254,0)),"Add to Materials"))</f>
        <v>0</v>
      </c>
      <c r="J261" s="33">
        <f>IF(C261="","",IF(G261&lt;&gt;"",G261,IFERROR(INDEX(Materials!$W$5:$W$254,MATCH(C261,Materials!$A$5:$A$254,0)),DefaultWaste)))</f>
        <v>0</v>
      </c>
      <c r="K261" s="36">
        <f>IF(C261="","",IF(F261="","",ROUND(F261*(1+J261),4)))</f>
        <v>0</v>
      </c>
      <c r="L261" s="45">
        <f>IF(C261="","",IFERROR(INDEX(Materials!$S$5:$S$254,MATCH(C261,Materials!$A$5:$A$254,0)),""))</f>
        <v>0</v>
      </c>
      <c r="M261" s="45">
        <f>IF(C261="","",IF(OR(K261="",L261=""),"",ROUND(K261*L261,4)))</f>
        <v>0</v>
      </c>
      <c r="N261" s="20">
        <f>IF(A261="","",ROUND(SUMIFS('Material Usage'!$M$5:$M$904,'Material Usage'!$A$5:$A$904,A261),2))</f>
        <v>0</v>
      </c>
      <c r="O261" s="33">
        <f>IF(A261="","",IF(OR(M261="",N261="",N261=0),"",M261/N261))</f>
        <v>0</v>
      </c>
      <c r="P261" s="32">
        <f>IF(A261="","",COUNTIFS($A$5:A261,A261))</f>
        <v>0</v>
      </c>
      <c r="Q261" s="13">
        <f>IF(A261="","",A261&amp;"|"&amp;P261)</f>
        <v>0</v>
      </c>
      <c r="R261" s="43">
        <f>IF(AND(A261="",C261=""),"",IF(A261="","Add - which product?",IF(C261="","Add - which material?",IF(B261="Not found","Check - no such product ID",IF(D261="Add to Materials","Check - no such material ID",IF(OR(F261="",F261=0),"Add - how much?",IF(L261="","Check - that material has no price","OK")))))))</f>
        <v>0</v>
      </c>
    </row>
    <row r="262" spans="2:18">
      <c r="B262" s="13">
        <f>IF(A262="","",IFERROR(INDEX(Products!$B$5:$B$304,MATCH(A262,Products!$A$5:$A$304,0)),"Not found"))</f>
        <v>0</v>
      </c>
      <c r="D262" s="13">
        <f>IF(C262="","",IFERROR(INDEX(Materials!$B$5:$B$254,MATCH(C262,Materials!$A$5:$A$254,0)),"Add to Materials"))</f>
        <v>0</v>
      </c>
      <c r="E262" s="13">
        <f>IF(C262="","",IFERROR(INDEX(Materials!$H$5:$H$254,MATCH(C262,Materials!$A$5:$A$254,0)),"Add to Materials"))</f>
        <v>0</v>
      </c>
      <c r="J262" s="33">
        <f>IF(C262="","",IF(G262&lt;&gt;"",G262,IFERROR(INDEX(Materials!$W$5:$W$254,MATCH(C262,Materials!$A$5:$A$254,0)),DefaultWaste)))</f>
        <v>0</v>
      </c>
      <c r="K262" s="36">
        <f>IF(C262="","",IF(F262="","",ROUND(F262*(1+J262),4)))</f>
        <v>0</v>
      </c>
      <c r="L262" s="45">
        <f>IF(C262="","",IFERROR(INDEX(Materials!$S$5:$S$254,MATCH(C262,Materials!$A$5:$A$254,0)),""))</f>
        <v>0</v>
      </c>
      <c r="M262" s="45">
        <f>IF(C262="","",IF(OR(K262="",L262=""),"",ROUND(K262*L262,4)))</f>
        <v>0</v>
      </c>
      <c r="N262" s="20">
        <f>IF(A262="","",ROUND(SUMIFS('Material Usage'!$M$5:$M$904,'Material Usage'!$A$5:$A$904,A262),2))</f>
        <v>0</v>
      </c>
      <c r="O262" s="33">
        <f>IF(A262="","",IF(OR(M262="",N262="",N262=0),"",M262/N262))</f>
        <v>0</v>
      </c>
      <c r="P262" s="32">
        <f>IF(A262="","",COUNTIFS($A$5:A262,A262))</f>
        <v>0</v>
      </c>
      <c r="Q262" s="13">
        <f>IF(A262="","",A262&amp;"|"&amp;P262)</f>
        <v>0</v>
      </c>
      <c r="R262" s="43">
        <f>IF(AND(A262="",C262=""),"",IF(A262="","Add - which product?",IF(C262="","Add - which material?",IF(B262="Not found","Check - no such product ID",IF(D262="Add to Materials","Check - no such material ID",IF(OR(F262="",F262=0),"Add - how much?",IF(L262="","Check - that material has no price","OK")))))))</f>
        <v>0</v>
      </c>
    </row>
    <row r="263" spans="2:18">
      <c r="B263" s="13">
        <f>IF(A263="","",IFERROR(INDEX(Products!$B$5:$B$304,MATCH(A263,Products!$A$5:$A$304,0)),"Not found"))</f>
        <v>0</v>
      </c>
      <c r="D263" s="13">
        <f>IF(C263="","",IFERROR(INDEX(Materials!$B$5:$B$254,MATCH(C263,Materials!$A$5:$A$254,0)),"Add to Materials"))</f>
        <v>0</v>
      </c>
      <c r="E263" s="13">
        <f>IF(C263="","",IFERROR(INDEX(Materials!$H$5:$H$254,MATCH(C263,Materials!$A$5:$A$254,0)),"Add to Materials"))</f>
        <v>0</v>
      </c>
      <c r="J263" s="33">
        <f>IF(C263="","",IF(G263&lt;&gt;"",G263,IFERROR(INDEX(Materials!$W$5:$W$254,MATCH(C263,Materials!$A$5:$A$254,0)),DefaultWaste)))</f>
        <v>0</v>
      </c>
      <c r="K263" s="36">
        <f>IF(C263="","",IF(F263="","",ROUND(F263*(1+J263),4)))</f>
        <v>0</v>
      </c>
      <c r="L263" s="45">
        <f>IF(C263="","",IFERROR(INDEX(Materials!$S$5:$S$254,MATCH(C263,Materials!$A$5:$A$254,0)),""))</f>
        <v>0</v>
      </c>
      <c r="M263" s="45">
        <f>IF(C263="","",IF(OR(K263="",L263=""),"",ROUND(K263*L263,4)))</f>
        <v>0</v>
      </c>
      <c r="N263" s="20">
        <f>IF(A263="","",ROUND(SUMIFS('Material Usage'!$M$5:$M$904,'Material Usage'!$A$5:$A$904,A263),2))</f>
        <v>0</v>
      </c>
      <c r="O263" s="33">
        <f>IF(A263="","",IF(OR(M263="",N263="",N263=0),"",M263/N263))</f>
        <v>0</v>
      </c>
      <c r="P263" s="32">
        <f>IF(A263="","",COUNTIFS($A$5:A263,A263))</f>
        <v>0</v>
      </c>
      <c r="Q263" s="13">
        <f>IF(A263="","",A263&amp;"|"&amp;P263)</f>
        <v>0</v>
      </c>
      <c r="R263" s="43">
        <f>IF(AND(A263="",C263=""),"",IF(A263="","Add - which product?",IF(C263="","Add - which material?",IF(B263="Not found","Check - no such product ID",IF(D263="Add to Materials","Check - no such material ID",IF(OR(F263="",F263=0),"Add - how much?",IF(L263="","Check - that material has no price","OK")))))))</f>
        <v>0</v>
      </c>
    </row>
    <row r="264" spans="2:18">
      <c r="B264" s="13">
        <f>IF(A264="","",IFERROR(INDEX(Products!$B$5:$B$304,MATCH(A264,Products!$A$5:$A$304,0)),"Not found"))</f>
        <v>0</v>
      </c>
      <c r="D264" s="13">
        <f>IF(C264="","",IFERROR(INDEX(Materials!$B$5:$B$254,MATCH(C264,Materials!$A$5:$A$254,0)),"Add to Materials"))</f>
        <v>0</v>
      </c>
      <c r="E264" s="13">
        <f>IF(C264="","",IFERROR(INDEX(Materials!$H$5:$H$254,MATCH(C264,Materials!$A$5:$A$254,0)),"Add to Materials"))</f>
        <v>0</v>
      </c>
      <c r="J264" s="33">
        <f>IF(C264="","",IF(G264&lt;&gt;"",G264,IFERROR(INDEX(Materials!$W$5:$W$254,MATCH(C264,Materials!$A$5:$A$254,0)),DefaultWaste)))</f>
        <v>0</v>
      </c>
      <c r="K264" s="36">
        <f>IF(C264="","",IF(F264="","",ROUND(F264*(1+J264),4)))</f>
        <v>0</v>
      </c>
      <c r="L264" s="45">
        <f>IF(C264="","",IFERROR(INDEX(Materials!$S$5:$S$254,MATCH(C264,Materials!$A$5:$A$254,0)),""))</f>
        <v>0</v>
      </c>
      <c r="M264" s="45">
        <f>IF(C264="","",IF(OR(K264="",L264=""),"",ROUND(K264*L264,4)))</f>
        <v>0</v>
      </c>
      <c r="N264" s="20">
        <f>IF(A264="","",ROUND(SUMIFS('Material Usage'!$M$5:$M$904,'Material Usage'!$A$5:$A$904,A264),2))</f>
        <v>0</v>
      </c>
      <c r="O264" s="33">
        <f>IF(A264="","",IF(OR(M264="",N264="",N264=0),"",M264/N264))</f>
        <v>0</v>
      </c>
      <c r="P264" s="32">
        <f>IF(A264="","",COUNTIFS($A$5:A264,A264))</f>
        <v>0</v>
      </c>
      <c r="Q264" s="13">
        <f>IF(A264="","",A264&amp;"|"&amp;P264)</f>
        <v>0</v>
      </c>
      <c r="R264" s="43">
        <f>IF(AND(A264="",C264=""),"",IF(A264="","Add - which product?",IF(C264="","Add - which material?",IF(B264="Not found","Check - no such product ID",IF(D264="Add to Materials","Check - no such material ID",IF(OR(F264="",F264=0),"Add - how much?",IF(L264="","Check - that material has no price","OK")))))))</f>
        <v>0</v>
      </c>
    </row>
    <row r="265" spans="2:18">
      <c r="B265" s="13">
        <f>IF(A265="","",IFERROR(INDEX(Products!$B$5:$B$304,MATCH(A265,Products!$A$5:$A$304,0)),"Not found"))</f>
        <v>0</v>
      </c>
      <c r="D265" s="13">
        <f>IF(C265="","",IFERROR(INDEX(Materials!$B$5:$B$254,MATCH(C265,Materials!$A$5:$A$254,0)),"Add to Materials"))</f>
        <v>0</v>
      </c>
      <c r="E265" s="13">
        <f>IF(C265="","",IFERROR(INDEX(Materials!$H$5:$H$254,MATCH(C265,Materials!$A$5:$A$254,0)),"Add to Materials"))</f>
        <v>0</v>
      </c>
      <c r="J265" s="33">
        <f>IF(C265="","",IF(G265&lt;&gt;"",G265,IFERROR(INDEX(Materials!$W$5:$W$254,MATCH(C265,Materials!$A$5:$A$254,0)),DefaultWaste)))</f>
        <v>0</v>
      </c>
      <c r="K265" s="36">
        <f>IF(C265="","",IF(F265="","",ROUND(F265*(1+J265),4)))</f>
        <v>0</v>
      </c>
      <c r="L265" s="45">
        <f>IF(C265="","",IFERROR(INDEX(Materials!$S$5:$S$254,MATCH(C265,Materials!$A$5:$A$254,0)),""))</f>
        <v>0</v>
      </c>
      <c r="M265" s="45">
        <f>IF(C265="","",IF(OR(K265="",L265=""),"",ROUND(K265*L265,4)))</f>
        <v>0</v>
      </c>
      <c r="N265" s="20">
        <f>IF(A265="","",ROUND(SUMIFS('Material Usage'!$M$5:$M$904,'Material Usage'!$A$5:$A$904,A265),2))</f>
        <v>0</v>
      </c>
      <c r="O265" s="33">
        <f>IF(A265="","",IF(OR(M265="",N265="",N265=0),"",M265/N265))</f>
        <v>0</v>
      </c>
      <c r="P265" s="32">
        <f>IF(A265="","",COUNTIFS($A$5:A265,A265))</f>
        <v>0</v>
      </c>
      <c r="Q265" s="13">
        <f>IF(A265="","",A265&amp;"|"&amp;P265)</f>
        <v>0</v>
      </c>
      <c r="R265" s="43">
        <f>IF(AND(A265="",C265=""),"",IF(A265="","Add - which product?",IF(C265="","Add - which material?",IF(B265="Not found","Check - no such product ID",IF(D265="Add to Materials","Check - no such material ID",IF(OR(F265="",F265=0),"Add - how much?",IF(L265="","Check - that material has no price","OK")))))))</f>
        <v>0</v>
      </c>
    </row>
    <row r="266" spans="2:18">
      <c r="B266" s="13">
        <f>IF(A266="","",IFERROR(INDEX(Products!$B$5:$B$304,MATCH(A266,Products!$A$5:$A$304,0)),"Not found"))</f>
        <v>0</v>
      </c>
      <c r="D266" s="13">
        <f>IF(C266="","",IFERROR(INDEX(Materials!$B$5:$B$254,MATCH(C266,Materials!$A$5:$A$254,0)),"Add to Materials"))</f>
        <v>0</v>
      </c>
      <c r="E266" s="13">
        <f>IF(C266="","",IFERROR(INDEX(Materials!$H$5:$H$254,MATCH(C266,Materials!$A$5:$A$254,0)),"Add to Materials"))</f>
        <v>0</v>
      </c>
      <c r="J266" s="33">
        <f>IF(C266="","",IF(G266&lt;&gt;"",G266,IFERROR(INDEX(Materials!$W$5:$W$254,MATCH(C266,Materials!$A$5:$A$254,0)),DefaultWaste)))</f>
        <v>0</v>
      </c>
      <c r="K266" s="36">
        <f>IF(C266="","",IF(F266="","",ROUND(F266*(1+J266),4)))</f>
        <v>0</v>
      </c>
      <c r="L266" s="45">
        <f>IF(C266="","",IFERROR(INDEX(Materials!$S$5:$S$254,MATCH(C266,Materials!$A$5:$A$254,0)),""))</f>
        <v>0</v>
      </c>
      <c r="M266" s="45">
        <f>IF(C266="","",IF(OR(K266="",L266=""),"",ROUND(K266*L266,4)))</f>
        <v>0</v>
      </c>
      <c r="N266" s="20">
        <f>IF(A266="","",ROUND(SUMIFS('Material Usage'!$M$5:$M$904,'Material Usage'!$A$5:$A$904,A266),2))</f>
        <v>0</v>
      </c>
      <c r="O266" s="33">
        <f>IF(A266="","",IF(OR(M266="",N266="",N266=0),"",M266/N266))</f>
        <v>0</v>
      </c>
      <c r="P266" s="32">
        <f>IF(A266="","",COUNTIFS($A$5:A266,A266))</f>
        <v>0</v>
      </c>
      <c r="Q266" s="13">
        <f>IF(A266="","",A266&amp;"|"&amp;P266)</f>
        <v>0</v>
      </c>
      <c r="R266" s="43">
        <f>IF(AND(A266="",C266=""),"",IF(A266="","Add - which product?",IF(C266="","Add - which material?",IF(B266="Not found","Check - no such product ID",IF(D266="Add to Materials","Check - no such material ID",IF(OR(F266="",F266=0),"Add - how much?",IF(L266="","Check - that material has no price","OK")))))))</f>
        <v>0</v>
      </c>
    </row>
    <row r="267" spans="2:18">
      <c r="B267" s="13">
        <f>IF(A267="","",IFERROR(INDEX(Products!$B$5:$B$304,MATCH(A267,Products!$A$5:$A$304,0)),"Not found"))</f>
        <v>0</v>
      </c>
      <c r="D267" s="13">
        <f>IF(C267="","",IFERROR(INDEX(Materials!$B$5:$B$254,MATCH(C267,Materials!$A$5:$A$254,0)),"Add to Materials"))</f>
        <v>0</v>
      </c>
      <c r="E267" s="13">
        <f>IF(C267="","",IFERROR(INDEX(Materials!$H$5:$H$254,MATCH(C267,Materials!$A$5:$A$254,0)),"Add to Materials"))</f>
        <v>0</v>
      </c>
      <c r="J267" s="33">
        <f>IF(C267="","",IF(G267&lt;&gt;"",G267,IFERROR(INDEX(Materials!$W$5:$W$254,MATCH(C267,Materials!$A$5:$A$254,0)),DefaultWaste)))</f>
        <v>0</v>
      </c>
      <c r="K267" s="36">
        <f>IF(C267="","",IF(F267="","",ROUND(F267*(1+J267),4)))</f>
        <v>0</v>
      </c>
      <c r="L267" s="45">
        <f>IF(C267="","",IFERROR(INDEX(Materials!$S$5:$S$254,MATCH(C267,Materials!$A$5:$A$254,0)),""))</f>
        <v>0</v>
      </c>
      <c r="M267" s="45">
        <f>IF(C267="","",IF(OR(K267="",L267=""),"",ROUND(K267*L267,4)))</f>
        <v>0</v>
      </c>
      <c r="N267" s="20">
        <f>IF(A267="","",ROUND(SUMIFS('Material Usage'!$M$5:$M$904,'Material Usage'!$A$5:$A$904,A267),2))</f>
        <v>0</v>
      </c>
      <c r="O267" s="33">
        <f>IF(A267="","",IF(OR(M267="",N267="",N267=0),"",M267/N267))</f>
        <v>0</v>
      </c>
      <c r="P267" s="32">
        <f>IF(A267="","",COUNTIFS($A$5:A267,A267))</f>
        <v>0</v>
      </c>
      <c r="Q267" s="13">
        <f>IF(A267="","",A267&amp;"|"&amp;P267)</f>
        <v>0</v>
      </c>
      <c r="R267" s="43">
        <f>IF(AND(A267="",C267=""),"",IF(A267="","Add - which product?",IF(C267="","Add - which material?",IF(B267="Not found","Check - no such product ID",IF(D267="Add to Materials","Check - no such material ID",IF(OR(F267="",F267=0),"Add - how much?",IF(L267="","Check - that material has no price","OK")))))))</f>
        <v>0</v>
      </c>
    </row>
    <row r="268" spans="2:18">
      <c r="B268" s="13">
        <f>IF(A268="","",IFERROR(INDEX(Products!$B$5:$B$304,MATCH(A268,Products!$A$5:$A$304,0)),"Not found"))</f>
        <v>0</v>
      </c>
      <c r="D268" s="13">
        <f>IF(C268="","",IFERROR(INDEX(Materials!$B$5:$B$254,MATCH(C268,Materials!$A$5:$A$254,0)),"Add to Materials"))</f>
        <v>0</v>
      </c>
      <c r="E268" s="13">
        <f>IF(C268="","",IFERROR(INDEX(Materials!$H$5:$H$254,MATCH(C268,Materials!$A$5:$A$254,0)),"Add to Materials"))</f>
        <v>0</v>
      </c>
      <c r="J268" s="33">
        <f>IF(C268="","",IF(G268&lt;&gt;"",G268,IFERROR(INDEX(Materials!$W$5:$W$254,MATCH(C268,Materials!$A$5:$A$254,0)),DefaultWaste)))</f>
        <v>0</v>
      </c>
      <c r="K268" s="36">
        <f>IF(C268="","",IF(F268="","",ROUND(F268*(1+J268),4)))</f>
        <v>0</v>
      </c>
      <c r="L268" s="45">
        <f>IF(C268="","",IFERROR(INDEX(Materials!$S$5:$S$254,MATCH(C268,Materials!$A$5:$A$254,0)),""))</f>
        <v>0</v>
      </c>
      <c r="M268" s="45">
        <f>IF(C268="","",IF(OR(K268="",L268=""),"",ROUND(K268*L268,4)))</f>
        <v>0</v>
      </c>
      <c r="N268" s="20">
        <f>IF(A268="","",ROUND(SUMIFS('Material Usage'!$M$5:$M$904,'Material Usage'!$A$5:$A$904,A268),2))</f>
        <v>0</v>
      </c>
      <c r="O268" s="33">
        <f>IF(A268="","",IF(OR(M268="",N268="",N268=0),"",M268/N268))</f>
        <v>0</v>
      </c>
      <c r="P268" s="32">
        <f>IF(A268="","",COUNTIFS($A$5:A268,A268))</f>
        <v>0</v>
      </c>
      <c r="Q268" s="13">
        <f>IF(A268="","",A268&amp;"|"&amp;P268)</f>
        <v>0</v>
      </c>
      <c r="R268" s="43">
        <f>IF(AND(A268="",C268=""),"",IF(A268="","Add - which product?",IF(C268="","Add - which material?",IF(B268="Not found","Check - no such product ID",IF(D268="Add to Materials","Check - no such material ID",IF(OR(F268="",F268=0),"Add - how much?",IF(L268="","Check - that material has no price","OK")))))))</f>
        <v>0</v>
      </c>
    </row>
    <row r="269" spans="2:18">
      <c r="B269" s="13">
        <f>IF(A269="","",IFERROR(INDEX(Products!$B$5:$B$304,MATCH(A269,Products!$A$5:$A$304,0)),"Not found"))</f>
        <v>0</v>
      </c>
      <c r="D269" s="13">
        <f>IF(C269="","",IFERROR(INDEX(Materials!$B$5:$B$254,MATCH(C269,Materials!$A$5:$A$254,0)),"Add to Materials"))</f>
        <v>0</v>
      </c>
      <c r="E269" s="13">
        <f>IF(C269="","",IFERROR(INDEX(Materials!$H$5:$H$254,MATCH(C269,Materials!$A$5:$A$254,0)),"Add to Materials"))</f>
        <v>0</v>
      </c>
      <c r="J269" s="33">
        <f>IF(C269="","",IF(G269&lt;&gt;"",G269,IFERROR(INDEX(Materials!$W$5:$W$254,MATCH(C269,Materials!$A$5:$A$254,0)),DefaultWaste)))</f>
        <v>0</v>
      </c>
      <c r="K269" s="36">
        <f>IF(C269="","",IF(F269="","",ROUND(F269*(1+J269),4)))</f>
        <v>0</v>
      </c>
      <c r="L269" s="45">
        <f>IF(C269="","",IFERROR(INDEX(Materials!$S$5:$S$254,MATCH(C269,Materials!$A$5:$A$254,0)),""))</f>
        <v>0</v>
      </c>
      <c r="M269" s="45">
        <f>IF(C269="","",IF(OR(K269="",L269=""),"",ROUND(K269*L269,4)))</f>
        <v>0</v>
      </c>
      <c r="N269" s="20">
        <f>IF(A269="","",ROUND(SUMIFS('Material Usage'!$M$5:$M$904,'Material Usage'!$A$5:$A$904,A269),2))</f>
        <v>0</v>
      </c>
      <c r="O269" s="33">
        <f>IF(A269="","",IF(OR(M269="",N269="",N269=0),"",M269/N269))</f>
        <v>0</v>
      </c>
      <c r="P269" s="32">
        <f>IF(A269="","",COUNTIFS($A$5:A269,A269))</f>
        <v>0</v>
      </c>
      <c r="Q269" s="13">
        <f>IF(A269="","",A269&amp;"|"&amp;P269)</f>
        <v>0</v>
      </c>
      <c r="R269" s="43">
        <f>IF(AND(A269="",C269=""),"",IF(A269="","Add - which product?",IF(C269="","Add - which material?",IF(B269="Not found","Check - no such product ID",IF(D269="Add to Materials","Check - no such material ID",IF(OR(F269="",F269=0),"Add - how much?",IF(L269="","Check - that material has no price","OK")))))))</f>
        <v>0</v>
      </c>
    </row>
    <row r="270" spans="2:18">
      <c r="B270" s="13">
        <f>IF(A270="","",IFERROR(INDEX(Products!$B$5:$B$304,MATCH(A270,Products!$A$5:$A$304,0)),"Not found"))</f>
        <v>0</v>
      </c>
      <c r="D270" s="13">
        <f>IF(C270="","",IFERROR(INDEX(Materials!$B$5:$B$254,MATCH(C270,Materials!$A$5:$A$254,0)),"Add to Materials"))</f>
        <v>0</v>
      </c>
      <c r="E270" s="13">
        <f>IF(C270="","",IFERROR(INDEX(Materials!$H$5:$H$254,MATCH(C270,Materials!$A$5:$A$254,0)),"Add to Materials"))</f>
        <v>0</v>
      </c>
      <c r="J270" s="33">
        <f>IF(C270="","",IF(G270&lt;&gt;"",G270,IFERROR(INDEX(Materials!$W$5:$W$254,MATCH(C270,Materials!$A$5:$A$254,0)),DefaultWaste)))</f>
        <v>0</v>
      </c>
      <c r="K270" s="36">
        <f>IF(C270="","",IF(F270="","",ROUND(F270*(1+J270),4)))</f>
        <v>0</v>
      </c>
      <c r="L270" s="45">
        <f>IF(C270="","",IFERROR(INDEX(Materials!$S$5:$S$254,MATCH(C270,Materials!$A$5:$A$254,0)),""))</f>
        <v>0</v>
      </c>
      <c r="M270" s="45">
        <f>IF(C270="","",IF(OR(K270="",L270=""),"",ROUND(K270*L270,4)))</f>
        <v>0</v>
      </c>
      <c r="N270" s="20">
        <f>IF(A270="","",ROUND(SUMIFS('Material Usage'!$M$5:$M$904,'Material Usage'!$A$5:$A$904,A270),2))</f>
        <v>0</v>
      </c>
      <c r="O270" s="33">
        <f>IF(A270="","",IF(OR(M270="",N270="",N270=0),"",M270/N270))</f>
        <v>0</v>
      </c>
      <c r="P270" s="32">
        <f>IF(A270="","",COUNTIFS($A$5:A270,A270))</f>
        <v>0</v>
      </c>
      <c r="Q270" s="13">
        <f>IF(A270="","",A270&amp;"|"&amp;P270)</f>
        <v>0</v>
      </c>
      <c r="R270" s="43">
        <f>IF(AND(A270="",C270=""),"",IF(A270="","Add - which product?",IF(C270="","Add - which material?",IF(B270="Not found","Check - no such product ID",IF(D270="Add to Materials","Check - no such material ID",IF(OR(F270="",F270=0),"Add - how much?",IF(L270="","Check - that material has no price","OK")))))))</f>
        <v>0</v>
      </c>
    </row>
    <row r="271" spans="2:18">
      <c r="B271" s="13">
        <f>IF(A271="","",IFERROR(INDEX(Products!$B$5:$B$304,MATCH(A271,Products!$A$5:$A$304,0)),"Not found"))</f>
        <v>0</v>
      </c>
      <c r="D271" s="13">
        <f>IF(C271="","",IFERROR(INDEX(Materials!$B$5:$B$254,MATCH(C271,Materials!$A$5:$A$254,0)),"Add to Materials"))</f>
        <v>0</v>
      </c>
      <c r="E271" s="13">
        <f>IF(C271="","",IFERROR(INDEX(Materials!$H$5:$H$254,MATCH(C271,Materials!$A$5:$A$254,0)),"Add to Materials"))</f>
        <v>0</v>
      </c>
      <c r="J271" s="33">
        <f>IF(C271="","",IF(G271&lt;&gt;"",G271,IFERROR(INDEX(Materials!$W$5:$W$254,MATCH(C271,Materials!$A$5:$A$254,0)),DefaultWaste)))</f>
        <v>0</v>
      </c>
      <c r="K271" s="36">
        <f>IF(C271="","",IF(F271="","",ROUND(F271*(1+J271),4)))</f>
        <v>0</v>
      </c>
      <c r="L271" s="45">
        <f>IF(C271="","",IFERROR(INDEX(Materials!$S$5:$S$254,MATCH(C271,Materials!$A$5:$A$254,0)),""))</f>
        <v>0</v>
      </c>
      <c r="M271" s="45">
        <f>IF(C271="","",IF(OR(K271="",L271=""),"",ROUND(K271*L271,4)))</f>
        <v>0</v>
      </c>
      <c r="N271" s="20">
        <f>IF(A271="","",ROUND(SUMIFS('Material Usage'!$M$5:$M$904,'Material Usage'!$A$5:$A$904,A271),2))</f>
        <v>0</v>
      </c>
      <c r="O271" s="33">
        <f>IF(A271="","",IF(OR(M271="",N271="",N271=0),"",M271/N271))</f>
        <v>0</v>
      </c>
      <c r="P271" s="32">
        <f>IF(A271="","",COUNTIFS($A$5:A271,A271))</f>
        <v>0</v>
      </c>
      <c r="Q271" s="13">
        <f>IF(A271="","",A271&amp;"|"&amp;P271)</f>
        <v>0</v>
      </c>
      <c r="R271" s="43">
        <f>IF(AND(A271="",C271=""),"",IF(A271="","Add - which product?",IF(C271="","Add - which material?",IF(B271="Not found","Check - no such product ID",IF(D271="Add to Materials","Check - no such material ID",IF(OR(F271="",F271=0),"Add - how much?",IF(L271="","Check - that material has no price","OK")))))))</f>
        <v>0</v>
      </c>
    </row>
    <row r="272" spans="2:18">
      <c r="B272" s="13">
        <f>IF(A272="","",IFERROR(INDEX(Products!$B$5:$B$304,MATCH(A272,Products!$A$5:$A$304,0)),"Not found"))</f>
        <v>0</v>
      </c>
      <c r="D272" s="13">
        <f>IF(C272="","",IFERROR(INDEX(Materials!$B$5:$B$254,MATCH(C272,Materials!$A$5:$A$254,0)),"Add to Materials"))</f>
        <v>0</v>
      </c>
      <c r="E272" s="13">
        <f>IF(C272="","",IFERROR(INDEX(Materials!$H$5:$H$254,MATCH(C272,Materials!$A$5:$A$254,0)),"Add to Materials"))</f>
        <v>0</v>
      </c>
      <c r="J272" s="33">
        <f>IF(C272="","",IF(G272&lt;&gt;"",G272,IFERROR(INDEX(Materials!$W$5:$W$254,MATCH(C272,Materials!$A$5:$A$254,0)),DefaultWaste)))</f>
        <v>0</v>
      </c>
      <c r="K272" s="36">
        <f>IF(C272="","",IF(F272="","",ROUND(F272*(1+J272),4)))</f>
        <v>0</v>
      </c>
      <c r="L272" s="45">
        <f>IF(C272="","",IFERROR(INDEX(Materials!$S$5:$S$254,MATCH(C272,Materials!$A$5:$A$254,0)),""))</f>
        <v>0</v>
      </c>
      <c r="M272" s="45">
        <f>IF(C272="","",IF(OR(K272="",L272=""),"",ROUND(K272*L272,4)))</f>
        <v>0</v>
      </c>
      <c r="N272" s="20">
        <f>IF(A272="","",ROUND(SUMIFS('Material Usage'!$M$5:$M$904,'Material Usage'!$A$5:$A$904,A272),2))</f>
        <v>0</v>
      </c>
      <c r="O272" s="33">
        <f>IF(A272="","",IF(OR(M272="",N272="",N272=0),"",M272/N272))</f>
        <v>0</v>
      </c>
      <c r="P272" s="32">
        <f>IF(A272="","",COUNTIFS($A$5:A272,A272))</f>
        <v>0</v>
      </c>
      <c r="Q272" s="13">
        <f>IF(A272="","",A272&amp;"|"&amp;P272)</f>
        <v>0</v>
      </c>
      <c r="R272" s="43">
        <f>IF(AND(A272="",C272=""),"",IF(A272="","Add - which product?",IF(C272="","Add - which material?",IF(B272="Not found","Check - no such product ID",IF(D272="Add to Materials","Check - no such material ID",IF(OR(F272="",F272=0),"Add - how much?",IF(L272="","Check - that material has no price","OK")))))))</f>
        <v>0</v>
      </c>
    </row>
    <row r="273" spans="2:18">
      <c r="B273" s="13">
        <f>IF(A273="","",IFERROR(INDEX(Products!$B$5:$B$304,MATCH(A273,Products!$A$5:$A$304,0)),"Not found"))</f>
        <v>0</v>
      </c>
      <c r="D273" s="13">
        <f>IF(C273="","",IFERROR(INDEX(Materials!$B$5:$B$254,MATCH(C273,Materials!$A$5:$A$254,0)),"Add to Materials"))</f>
        <v>0</v>
      </c>
      <c r="E273" s="13">
        <f>IF(C273="","",IFERROR(INDEX(Materials!$H$5:$H$254,MATCH(C273,Materials!$A$5:$A$254,0)),"Add to Materials"))</f>
        <v>0</v>
      </c>
      <c r="J273" s="33">
        <f>IF(C273="","",IF(G273&lt;&gt;"",G273,IFERROR(INDEX(Materials!$W$5:$W$254,MATCH(C273,Materials!$A$5:$A$254,0)),DefaultWaste)))</f>
        <v>0</v>
      </c>
      <c r="K273" s="36">
        <f>IF(C273="","",IF(F273="","",ROUND(F273*(1+J273),4)))</f>
        <v>0</v>
      </c>
      <c r="L273" s="45">
        <f>IF(C273="","",IFERROR(INDEX(Materials!$S$5:$S$254,MATCH(C273,Materials!$A$5:$A$254,0)),""))</f>
        <v>0</v>
      </c>
      <c r="M273" s="45">
        <f>IF(C273="","",IF(OR(K273="",L273=""),"",ROUND(K273*L273,4)))</f>
        <v>0</v>
      </c>
      <c r="N273" s="20">
        <f>IF(A273="","",ROUND(SUMIFS('Material Usage'!$M$5:$M$904,'Material Usage'!$A$5:$A$904,A273),2))</f>
        <v>0</v>
      </c>
      <c r="O273" s="33">
        <f>IF(A273="","",IF(OR(M273="",N273="",N273=0),"",M273/N273))</f>
        <v>0</v>
      </c>
      <c r="P273" s="32">
        <f>IF(A273="","",COUNTIFS($A$5:A273,A273))</f>
        <v>0</v>
      </c>
      <c r="Q273" s="13">
        <f>IF(A273="","",A273&amp;"|"&amp;P273)</f>
        <v>0</v>
      </c>
      <c r="R273" s="43">
        <f>IF(AND(A273="",C273=""),"",IF(A273="","Add - which product?",IF(C273="","Add - which material?",IF(B273="Not found","Check - no such product ID",IF(D273="Add to Materials","Check - no such material ID",IF(OR(F273="",F273=0),"Add - how much?",IF(L273="","Check - that material has no price","OK")))))))</f>
        <v>0</v>
      </c>
    </row>
    <row r="274" spans="2:18">
      <c r="B274" s="13">
        <f>IF(A274="","",IFERROR(INDEX(Products!$B$5:$B$304,MATCH(A274,Products!$A$5:$A$304,0)),"Not found"))</f>
        <v>0</v>
      </c>
      <c r="D274" s="13">
        <f>IF(C274="","",IFERROR(INDEX(Materials!$B$5:$B$254,MATCH(C274,Materials!$A$5:$A$254,0)),"Add to Materials"))</f>
        <v>0</v>
      </c>
      <c r="E274" s="13">
        <f>IF(C274="","",IFERROR(INDEX(Materials!$H$5:$H$254,MATCH(C274,Materials!$A$5:$A$254,0)),"Add to Materials"))</f>
        <v>0</v>
      </c>
      <c r="J274" s="33">
        <f>IF(C274="","",IF(G274&lt;&gt;"",G274,IFERROR(INDEX(Materials!$W$5:$W$254,MATCH(C274,Materials!$A$5:$A$254,0)),DefaultWaste)))</f>
        <v>0</v>
      </c>
      <c r="K274" s="36">
        <f>IF(C274="","",IF(F274="","",ROUND(F274*(1+J274),4)))</f>
        <v>0</v>
      </c>
      <c r="L274" s="45">
        <f>IF(C274="","",IFERROR(INDEX(Materials!$S$5:$S$254,MATCH(C274,Materials!$A$5:$A$254,0)),""))</f>
        <v>0</v>
      </c>
      <c r="M274" s="45">
        <f>IF(C274="","",IF(OR(K274="",L274=""),"",ROUND(K274*L274,4)))</f>
        <v>0</v>
      </c>
      <c r="N274" s="20">
        <f>IF(A274="","",ROUND(SUMIFS('Material Usage'!$M$5:$M$904,'Material Usage'!$A$5:$A$904,A274),2))</f>
        <v>0</v>
      </c>
      <c r="O274" s="33">
        <f>IF(A274="","",IF(OR(M274="",N274="",N274=0),"",M274/N274))</f>
        <v>0</v>
      </c>
      <c r="P274" s="32">
        <f>IF(A274="","",COUNTIFS($A$5:A274,A274))</f>
        <v>0</v>
      </c>
      <c r="Q274" s="13">
        <f>IF(A274="","",A274&amp;"|"&amp;P274)</f>
        <v>0</v>
      </c>
      <c r="R274" s="43">
        <f>IF(AND(A274="",C274=""),"",IF(A274="","Add - which product?",IF(C274="","Add - which material?",IF(B274="Not found","Check - no such product ID",IF(D274="Add to Materials","Check - no such material ID",IF(OR(F274="",F274=0),"Add - how much?",IF(L274="","Check - that material has no price","OK")))))))</f>
        <v>0</v>
      </c>
    </row>
    <row r="275" spans="2:18">
      <c r="B275" s="13">
        <f>IF(A275="","",IFERROR(INDEX(Products!$B$5:$B$304,MATCH(A275,Products!$A$5:$A$304,0)),"Not found"))</f>
        <v>0</v>
      </c>
      <c r="D275" s="13">
        <f>IF(C275="","",IFERROR(INDEX(Materials!$B$5:$B$254,MATCH(C275,Materials!$A$5:$A$254,0)),"Add to Materials"))</f>
        <v>0</v>
      </c>
      <c r="E275" s="13">
        <f>IF(C275="","",IFERROR(INDEX(Materials!$H$5:$H$254,MATCH(C275,Materials!$A$5:$A$254,0)),"Add to Materials"))</f>
        <v>0</v>
      </c>
      <c r="J275" s="33">
        <f>IF(C275="","",IF(G275&lt;&gt;"",G275,IFERROR(INDEX(Materials!$W$5:$W$254,MATCH(C275,Materials!$A$5:$A$254,0)),DefaultWaste)))</f>
        <v>0</v>
      </c>
      <c r="K275" s="36">
        <f>IF(C275="","",IF(F275="","",ROUND(F275*(1+J275),4)))</f>
        <v>0</v>
      </c>
      <c r="L275" s="45">
        <f>IF(C275="","",IFERROR(INDEX(Materials!$S$5:$S$254,MATCH(C275,Materials!$A$5:$A$254,0)),""))</f>
        <v>0</v>
      </c>
      <c r="M275" s="45">
        <f>IF(C275="","",IF(OR(K275="",L275=""),"",ROUND(K275*L275,4)))</f>
        <v>0</v>
      </c>
      <c r="N275" s="20">
        <f>IF(A275="","",ROUND(SUMIFS('Material Usage'!$M$5:$M$904,'Material Usage'!$A$5:$A$904,A275),2))</f>
        <v>0</v>
      </c>
      <c r="O275" s="33">
        <f>IF(A275="","",IF(OR(M275="",N275="",N275=0),"",M275/N275))</f>
        <v>0</v>
      </c>
      <c r="P275" s="32">
        <f>IF(A275="","",COUNTIFS($A$5:A275,A275))</f>
        <v>0</v>
      </c>
      <c r="Q275" s="13">
        <f>IF(A275="","",A275&amp;"|"&amp;P275)</f>
        <v>0</v>
      </c>
      <c r="R275" s="43">
        <f>IF(AND(A275="",C275=""),"",IF(A275="","Add - which product?",IF(C275="","Add - which material?",IF(B275="Not found","Check - no such product ID",IF(D275="Add to Materials","Check - no such material ID",IF(OR(F275="",F275=0),"Add - how much?",IF(L275="","Check - that material has no price","OK")))))))</f>
        <v>0</v>
      </c>
    </row>
    <row r="276" spans="2:18">
      <c r="B276" s="13">
        <f>IF(A276="","",IFERROR(INDEX(Products!$B$5:$B$304,MATCH(A276,Products!$A$5:$A$304,0)),"Not found"))</f>
        <v>0</v>
      </c>
      <c r="D276" s="13">
        <f>IF(C276="","",IFERROR(INDEX(Materials!$B$5:$B$254,MATCH(C276,Materials!$A$5:$A$254,0)),"Add to Materials"))</f>
        <v>0</v>
      </c>
      <c r="E276" s="13">
        <f>IF(C276="","",IFERROR(INDEX(Materials!$H$5:$H$254,MATCH(C276,Materials!$A$5:$A$254,0)),"Add to Materials"))</f>
        <v>0</v>
      </c>
      <c r="J276" s="33">
        <f>IF(C276="","",IF(G276&lt;&gt;"",G276,IFERROR(INDEX(Materials!$W$5:$W$254,MATCH(C276,Materials!$A$5:$A$254,0)),DefaultWaste)))</f>
        <v>0</v>
      </c>
      <c r="K276" s="36">
        <f>IF(C276="","",IF(F276="","",ROUND(F276*(1+J276),4)))</f>
        <v>0</v>
      </c>
      <c r="L276" s="45">
        <f>IF(C276="","",IFERROR(INDEX(Materials!$S$5:$S$254,MATCH(C276,Materials!$A$5:$A$254,0)),""))</f>
        <v>0</v>
      </c>
      <c r="M276" s="45">
        <f>IF(C276="","",IF(OR(K276="",L276=""),"",ROUND(K276*L276,4)))</f>
        <v>0</v>
      </c>
      <c r="N276" s="20">
        <f>IF(A276="","",ROUND(SUMIFS('Material Usage'!$M$5:$M$904,'Material Usage'!$A$5:$A$904,A276),2))</f>
        <v>0</v>
      </c>
      <c r="O276" s="33">
        <f>IF(A276="","",IF(OR(M276="",N276="",N276=0),"",M276/N276))</f>
        <v>0</v>
      </c>
      <c r="P276" s="32">
        <f>IF(A276="","",COUNTIFS($A$5:A276,A276))</f>
        <v>0</v>
      </c>
      <c r="Q276" s="13">
        <f>IF(A276="","",A276&amp;"|"&amp;P276)</f>
        <v>0</v>
      </c>
      <c r="R276" s="43">
        <f>IF(AND(A276="",C276=""),"",IF(A276="","Add - which product?",IF(C276="","Add - which material?",IF(B276="Not found","Check - no such product ID",IF(D276="Add to Materials","Check - no such material ID",IF(OR(F276="",F276=0),"Add - how much?",IF(L276="","Check - that material has no price","OK")))))))</f>
        <v>0</v>
      </c>
    </row>
    <row r="277" spans="2:18">
      <c r="B277" s="13">
        <f>IF(A277="","",IFERROR(INDEX(Products!$B$5:$B$304,MATCH(A277,Products!$A$5:$A$304,0)),"Not found"))</f>
        <v>0</v>
      </c>
      <c r="D277" s="13">
        <f>IF(C277="","",IFERROR(INDEX(Materials!$B$5:$B$254,MATCH(C277,Materials!$A$5:$A$254,0)),"Add to Materials"))</f>
        <v>0</v>
      </c>
      <c r="E277" s="13">
        <f>IF(C277="","",IFERROR(INDEX(Materials!$H$5:$H$254,MATCH(C277,Materials!$A$5:$A$254,0)),"Add to Materials"))</f>
        <v>0</v>
      </c>
      <c r="J277" s="33">
        <f>IF(C277="","",IF(G277&lt;&gt;"",G277,IFERROR(INDEX(Materials!$W$5:$W$254,MATCH(C277,Materials!$A$5:$A$254,0)),DefaultWaste)))</f>
        <v>0</v>
      </c>
      <c r="K277" s="36">
        <f>IF(C277="","",IF(F277="","",ROUND(F277*(1+J277),4)))</f>
        <v>0</v>
      </c>
      <c r="L277" s="45">
        <f>IF(C277="","",IFERROR(INDEX(Materials!$S$5:$S$254,MATCH(C277,Materials!$A$5:$A$254,0)),""))</f>
        <v>0</v>
      </c>
      <c r="M277" s="45">
        <f>IF(C277="","",IF(OR(K277="",L277=""),"",ROUND(K277*L277,4)))</f>
        <v>0</v>
      </c>
      <c r="N277" s="20">
        <f>IF(A277="","",ROUND(SUMIFS('Material Usage'!$M$5:$M$904,'Material Usage'!$A$5:$A$904,A277),2))</f>
        <v>0</v>
      </c>
      <c r="O277" s="33">
        <f>IF(A277="","",IF(OR(M277="",N277="",N277=0),"",M277/N277))</f>
        <v>0</v>
      </c>
      <c r="P277" s="32">
        <f>IF(A277="","",COUNTIFS($A$5:A277,A277))</f>
        <v>0</v>
      </c>
      <c r="Q277" s="13">
        <f>IF(A277="","",A277&amp;"|"&amp;P277)</f>
        <v>0</v>
      </c>
      <c r="R277" s="43">
        <f>IF(AND(A277="",C277=""),"",IF(A277="","Add - which product?",IF(C277="","Add - which material?",IF(B277="Not found","Check - no such product ID",IF(D277="Add to Materials","Check - no such material ID",IF(OR(F277="",F277=0),"Add - how much?",IF(L277="","Check - that material has no price","OK")))))))</f>
        <v>0</v>
      </c>
    </row>
    <row r="278" spans="2:18">
      <c r="B278" s="13">
        <f>IF(A278="","",IFERROR(INDEX(Products!$B$5:$B$304,MATCH(A278,Products!$A$5:$A$304,0)),"Not found"))</f>
        <v>0</v>
      </c>
      <c r="D278" s="13">
        <f>IF(C278="","",IFERROR(INDEX(Materials!$B$5:$B$254,MATCH(C278,Materials!$A$5:$A$254,0)),"Add to Materials"))</f>
        <v>0</v>
      </c>
      <c r="E278" s="13">
        <f>IF(C278="","",IFERROR(INDEX(Materials!$H$5:$H$254,MATCH(C278,Materials!$A$5:$A$254,0)),"Add to Materials"))</f>
        <v>0</v>
      </c>
      <c r="J278" s="33">
        <f>IF(C278="","",IF(G278&lt;&gt;"",G278,IFERROR(INDEX(Materials!$W$5:$W$254,MATCH(C278,Materials!$A$5:$A$254,0)),DefaultWaste)))</f>
        <v>0</v>
      </c>
      <c r="K278" s="36">
        <f>IF(C278="","",IF(F278="","",ROUND(F278*(1+J278),4)))</f>
        <v>0</v>
      </c>
      <c r="L278" s="45">
        <f>IF(C278="","",IFERROR(INDEX(Materials!$S$5:$S$254,MATCH(C278,Materials!$A$5:$A$254,0)),""))</f>
        <v>0</v>
      </c>
      <c r="M278" s="45">
        <f>IF(C278="","",IF(OR(K278="",L278=""),"",ROUND(K278*L278,4)))</f>
        <v>0</v>
      </c>
      <c r="N278" s="20">
        <f>IF(A278="","",ROUND(SUMIFS('Material Usage'!$M$5:$M$904,'Material Usage'!$A$5:$A$904,A278),2))</f>
        <v>0</v>
      </c>
      <c r="O278" s="33">
        <f>IF(A278="","",IF(OR(M278="",N278="",N278=0),"",M278/N278))</f>
        <v>0</v>
      </c>
      <c r="P278" s="32">
        <f>IF(A278="","",COUNTIFS($A$5:A278,A278))</f>
        <v>0</v>
      </c>
      <c r="Q278" s="13">
        <f>IF(A278="","",A278&amp;"|"&amp;P278)</f>
        <v>0</v>
      </c>
      <c r="R278" s="43">
        <f>IF(AND(A278="",C278=""),"",IF(A278="","Add - which product?",IF(C278="","Add - which material?",IF(B278="Not found","Check - no such product ID",IF(D278="Add to Materials","Check - no such material ID",IF(OR(F278="",F278=0),"Add - how much?",IF(L278="","Check - that material has no price","OK")))))))</f>
        <v>0</v>
      </c>
    </row>
    <row r="279" spans="2:18">
      <c r="B279" s="13">
        <f>IF(A279="","",IFERROR(INDEX(Products!$B$5:$B$304,MATCH(A279,Products!$A$5:$A$304,0)),"Not found"))</f>
        <v>0</v>
      </c>
      <c r="D279" s="13">
        <f>IF(C279="","",IFERROR(INDEX(Materials!$B$5:$B$254,MATCH(C279,Materials!$A$5:$A$254,0)),"Add to Materials"))</f>
        <v>0</v>
      </c>
      <c r="E279" s="13">
        <f>IF(C279="","",IFERROR(INDEX(Materials!$H$5:$H$254,MATCH(C279,Materials!$A$5:$A$254,0)),"Add to Materials"))</f>
        <v>0</v>
      </c>
      <c r="J279" s="33">
        <f>IF(C279="","",IF(G279&lt;&gt;"",G279,IFERROR(INDEX(Materials!$W$5:$W$254,MATCH(C279,Materials!$A$5:$A$254,0)),DefaultWaste)))</f>
        <v>0</v>
      </c>
      <c r="K279" s="36">
        <f>IF(C279="","",IF(F279="","",ROUND(F279*(1+J279),4)))</f>
        <v>0</v>
      </c>
      <c r="L279" s="45">
        <f>IF(C279="","",IFERROR(INDEX(Materials!$S$5:$S$254,MATCH(C279,Materials!$A$5:$A$254,0)),""))</f>
        <v>0</v>
      </c>
      <c r="M279" s="45">
        <f>IF(C279="","",IF(OR(K279="",L279=""),"",ROUND(K279*L279,4)))</f>
        <v>0</v>
      </c>
      <c r="N279" s="20">
        <f>IF(A279="","",ROUND(SUMIFS('Material Usage'!$M$5:$M$904,'Material Usage'!$A$5:$A$904,A279),2))</f>
        <v>0</v>
      </c>
      <c r="O279" s="33">
        <f>IF(A279="","",IF(OR(M279="",N279="",N279=0),"",M279/N279))</f>
        <v>0</v>
      </c>
      <c r="P279" s="32">
        <f>IF(A279="","",COUNTIFS($A$5:A279,A279))</f>
        <v>0</v>
      </c>
      <c r="Q279" s="13">
        <f>IF(A279="","",A279&amp;"|"&amp;P279)</f>
        <v>0</v>
      </c>
      <c r="R279" s="43">
        <f>IF(AND(A279="",C279=""),"",IF(A279="","Add - which product?",IF(C279="","Add - which material?",IF(B279="Not found","Check - no such product ID",IF(D279="Add to Materials","Check - no such material ID",IF(OR(F279="",F279=0),"Add - how much?",IF(L279="","Check - that material has no price","OK")))))))</f>
        <v>0</v>
      </c>
    </row>
    <row r="280" spans="2:18">
      <c r="B280" s="13">
        <f>IF(A280="","",IFERROR(INDEX(Products!$B$5:$B$304,MATCH(A280,Products!$A$5:$A$304,0)),"Not found"))</f>
        <v>0</v>
      </c>
      <c r="D280" s="13">
        <f>IF(C280="","",IFERROR(INDEX(Materials!$B$5:$B$254,MATCH(C280,Materials!$A$5:$A$254,0)),"Add to Materials"))</f>
        <v>0</v>
      </c>
      <c r="E280" s="13">
        <f>IF(C280="","",IFERROR(INDEX(Materials!$H$5:$H$254,MATCH(C280,Materials!$A$5:$A$254,0)),"Add to Materials"))</f>
        <v>0</v>
      </c>
      <c r="J280" s="33">
        <f>IF(C280="","",IF(G280&lt;&gt;"",G280,IFERROR(INDEX(Materials!$W$5:$W$254,MATCH(C280,Materials!$A$5:$A$254,0)),DefaultWaste)))</f>
        <v>0</v>
      </c>
      <c r="K280" s="36">
        <f>IF(C280="","",IF(F280="","",ROUND(F280*(1+J280),4)))</f>
        <v>0</v>
      </c>
      <c r="L280" s="45">
        <f>IF(C280="","",IFERROR(INDEX(Materials!$S$5:$S$254,MATCH(C280,Materials!$A$5:$A$254,0)),""))</f>
        <v>0</v>
      </c>
      <c r="M280" s="45">
        <f>IF(C280="","",IF(OR(K280="",L280=""),"",ROUND(K280*L280,4)))</f>
        <v>0</v>
      </c>
      <c r="N280" s="20">
        <f>IF(A280="","",ROUND(SUMIFS('Material Usage'!$M$5:$M$904,'Material Usage'!$A$5:$A$904,A280),2))</f>
        <v>0</v>
      </c>
      <c r="O280" s="33">
        <f>IF(A280="","",IF(OR(M280="",N280="",N280=0),"",M280/N280))</f>
        <v>0</v>
      </c>
      <c r="P280" s="32">
        <f>IF(A280="","",COUNTIFS($A$5:A280,A280))</f>
        <v>0</v>
      </c>
      <c r="Q280" s="13">
        <f>IF(A280="","",A280&amp;"|"&amp;P280)</f>
        <v>0</v>
      </c>
      <c r="R280" s="43">
        <f>IF(AND(A280="",C280=""),"",IF(A280="","Add - which product?",IF(C280="","Add - which material?",IF(B280="Not found","Check - no such product ID",IF(D280="Add to Materials","Check - no such material ID",IF(OR(F280="",F280=0),"Add - how much?",IF(L280="","Check - that material has no price","OK")))))))</f>
        <v>0</v>
      </c>
    </row>
    <row r="281" spans="2:18">
      <c r="B281" s="13">
        <f>IF(A281="","",IFERROR(INDEX(Products!$B$5:$B$304,MATCH(A281,Products!$A$5:$A$304,0)),"Not found"))</f>
        <v>0</v>
      </c>
      <c r="D281" s="13">
        <f>IF(C281="","",IFERROR(INDEX(Materials!$B$5:$B$254,MATCH(C281,Materials!$A$5:$A$254,0)),"Add to Materials"))</f>
        <v>0</v>
      </c>
      <c r="E281" s="13">
        <f>IF(C281="","",IFERROR(INDEX(Materials!$H$5:$H$254,MATCH(C281,Materials!$A$5:$A$254,0)),"Add to Materials"))</f>
        <v>0</v>
      </c>
      <c r="J281" s="33">
        <f>IF(C281="","",IF(G281&lt;&gt;"",G281,IFERROR(INDEX(Materials!$W$5:$W$254,MATCH(C281,Materials!$A$5:$A$254,0)),DefaultWaste)))</f>
        <v>0</v>
      </c>
      <c r="K281" s="36">
        <f>IF(C281="","",IF(F281="","",ROUND(F281*(1+J281),4)))</f>
        <v>0</v>
      </c>
      <c r="L281" s="45">
        <f>IF(C281="","",IFERROR(INDEX(Materials!$S$5:$S$254,MATCH(C281,Materials!$A$5:$A$254,0)),""))</f>
        <v>0</v>
      </c>
      <c r="M281" s="45">
        <f>IF(C281="","",IF(OR(K281="",L281=""),"",ROUND(K281*L281,4)))</f>
        <v>0</v>
      </c>
      <c r="N281" s="20">
        <f>IF(A281="","",ROUND(SUMIFS('Material Usage'!$M$5:$M$904,'Material Usage'!$A$5:$A$904,A281),2))</f>
        <v>0</v>
      </c>
      <c r="O281" s="33">
        <f>IF(A281="","",IF(OR(M281="",N281="",N281=0),"",M281/N281))</f>
        <v>0</v>
      </c>
      <c r="P281" s="32">
        <f>IF(A281="","",COUNTIFS($A$5:A281,A281))</f>
        <v>0</v>
      </c>
      <c r="Q281" s="13">
        <f>IF(A281="","",A281&amp;"|"&amp;P281)</f>
        <v>0</v>
      </c>
      <c r="R281" s="43">
        <f>IF(AND(A281="",C281=""),"",IF(A281="","Add - which product?",IF(C281="","Add - which material?",IF(B281="Not found","Check - no such product ID",IF(D281="Add to Materials","Check - no such material ID",IF(OR(F281="",F281=0),"Add - how much?",IF(L281="","Check - that material has no price","OK")))))))</f>
        <v>0</v>
      </c>
    </row>
    <row r="282" spans="2:18">
      <c r="B282" s="13">
        <f>IF(A282="","",IFERROR(INDEX(Products!$B$5:$B$304,MATCH(A282,Products!$A$5:$A$304,0)),"Not found"))</f>
        <v>0</v>
      </c>
      <c r="D282" s="13">
        <f>IF(C282="","",IFERROR(INDEX(Materials!$B$5:$B$254,MATCH(C282,Materials!$A$5:$A$254,0)),"Add to Materials"))</f>
        <v>0</v>
      </c>
      <c r="E282" s="13">
        <f>IF(C282="","",IFERROR(INDEX(Materials!$H$5:$H$254,MATCH(C282,Materials!$A$5:$A$254,0)),"Add to Materials"))</f>
        <v>0</v>
      </c>
      <c r="J282" s="33">
        <f>IF(C282="","",IF(G282&lt;&gt;"",G282,IFERROR(INDEX(Materials!$W$5:$W$254,MATCH(C282,Materials!$A$5:$A$254,0)),DefaultWaste)))</f>
        <v>0</v>
      </c>
      <c r="K282" s="36">
        <f>IF(C282="","",IF(F282="","",ROUND(F282*(1+J282),4)))</f>
        <v>0</v>
      </c>
      <c r="L282" s="45">
        <f>IF(C282="","",IFERROR(INDEX(Materials!$S$5:$S$254,MATCH(C282,Materials!$A$5:$A$254,0)),""))</f>
        <v>0</v>
      </c>
      <c r="M282" s="45">
        <f>IF(C282="","",IF(OR(K282="",L282=""),"",ROUND(K282*L282,4)))</f>
        <v>0</v>
      </c>
      <c r="N282" s="20">
        <f>IF(A282="","",ROUND(SUMIFS('Material Usage'!$M$5:$M$904,'Material Usage'!$A$5:$A$904,A282),2))</f>
        <v>0</v>
      </c>
      <c r="O282" s="33">
        <f>IF(A282="","",IF(OR(M282="",N282="",N282=0),"",M282/N282))</f>
        <v>0</v>
      </c>
      <c r="P282" s="32">
        <f>IF(A282="","",COUNTIFS($A$5:A282,A282))</f>
        <v>0</v>
      </c>
      <c r="Q282" s="13">
        <f>IF(A282="","",A282&amp;"|"&amp;P282)</f>
        <v>0</v>
      </c>
      <c r="R282" s="43">
        <f>IF(AND(A282="",C282=""),"",IF(A282="","Add - which product?",IF(C282="","Add - which material?",IF(B282="Not found","Check - no such product ID",IF(D282="Add to Materials","Check - no such material ID",IF(OR(F282="",F282=0),"Add - how much?",IF(L282="","Check - that material has no price","OK")))))))</f>
        <v>0</v>
      </c>
    </row>
    <row r="283" spans="2:18">
      <c r="B283" s="13">
        <f>IF(A283="","",IFERROR(INDEX(Products!$B$5:$B$304,MATCH(A283,Products!$A$5:$A$304,0)),"Not found"))</f>
        <v>0</v>
      </c>
      <c r="D283" s="13">
        <f>IF(C283="","",IFERROR(INDEX(Materials!$B$5:$B$254,MATCH(C283,Materials!$A$5:$A$254,0)),"Add to Materials"))</f>
        <v>0</v>
      </c>
      <c r="E283" s="13">
        <f>IF(C283="","",IFERROR(INDEX(Materials!$H$5:$H$254,MATCH(C283,Materials!$A$5:$A$254,0)),"Add to Materials"))</f>
        <v>0</v>
      </c>
      <c r="J283" s="33">
        <f>IF(C283="","",IF(G283&lt;&gt;"",G283,IFERROR(INDEX(Materials!$W$5:$W$254,MATCH(C283,Materials!$A$5:$A$254,0)),DefaultWaste)))</f>
        <v>0</v>
      </c>
      <c r="K283" s="36">
        <f>IF(C283="","",IF(F283="","",ROUND(F283*(1+J283),4)))</f>
        <v>0</v>
      </c>
      <c r="L283" s="45">
        <f>IF(C283="","",IFERROR(INDEX(Materials!$S$5:$S$254,MATCH(C283,Materials!$A$5:$A$254,0)),""))</f>
        <v>0</v>
      </c>
      <c r="M283" s="45">
        <f>IF(C283="","",IF(OR(K283="",L283=""),"",ROUND(K283*L283,4)))</f>
        <v>0</v>
      </c>
      <c r="N283" s="20">
        <f>IF(A283="","",ROUND(SUMIFS('Material Usage'!$M$5:$M$904,'Material Usage'!$A$5:$A$904,A283),2))</f>
        <v>0</v>
      </c>
      <c r="O283" s="33">
        <f>IF(A283="","",IF(OR(M283="",N283="",N283=0),"",M283/N283))</f>
        <v>0</v>
      </c>
      <c r="P283" s="32">
        <f>IF(A283="","",COUNTIFS($A$5:A283,A283))</f>
        <v>0</v>
      </c>
      <c r="Q283" s="13">
        <f>IF(A283="","",A283&amp;"|"&amp;P283)</f>
        <v>0</v>
      </c>
      <c r="R283" s="43">
        <f>IF(AND(A283="",C283=""),"",IF(A283="","Add - which product?",IF(C283="","Add - which material?",IF(B283="Not found","Check - no such product ID",IF(D283="Add to Materials","Check - no such material ID",IF(OR(F283="",F283=0),"Add - how much?",IF(L283="","Check - that material has no price","OK")))))))</f>
        <v>0</v>
      </c>
    </row>
    <row r="284" spans="2:18">
      <c r="B284" s="13">
        <f>IF(A284="","",IFERROR(INDEX(Products!$B$5:$B$304,MATCH(A284,Products!$A$5:$A$304,0)),"Not found"))</f>
        <v>0</v>
      </c>
      <c r="D284" s="13">
        <f>IF(C284="","",IFERROR(INDEX(Materials!$B$5:$B$254,MATCH(C284,Materials!$A$5:$A$254,0)),"Add to Materials"))</f>
        <v>0</v>
      </c>
      <c r="E284" s="13">
        <f>IF(C284="","",IFERROR(INDEX(Materials!$H$5:$H$254,MATCH(C284,Materials!$A$5:$A$254,0)),"Add to Materials"))</f>
        <v>0</v>
      </c>
      <c r="J284" s="33">
        <f>IF(C284="","",IF(G284&lt;&gt;"",G284,IFERROR(INDEX(Materials!$W$5:$W$254,MATCH(C284,Materials!$A$5:$A$254,0)),DefaultWaste)))</f>
        <v>0</v>
      </c>
      <c r="K284" s="36">
        <f>IF(C284="","",IF(F284="","",ROUND(F284*(1+J284),4)))</f>
        <v>0</v>
      </c>
      <c r="L284" s="45">
        <f>IF(C284="","",IFERROR(INDEX(Materials!$S$5:$S$254,MATCH(C284,Materials!$A$5:$A$254,0)),""))</f>
        <v>0</v>
      </c>
      <c r="M284" s="45">
        <f>IF(C284="","",IF(OR(K284="",L284=""),"",ROUND(K284*L284,4)))</f>
        <v>0</v>
      </c>
      <c r="N284" s="20">
        <f>IF(A284="","",ROUND(SUMIFS('Material Usage'!$M$5:$M$904,'Material Usage'!$A$5:$A$904,A284),2))</f>
        <v>0</v>
      </c>
      <c r="O284" s="33">
        <f>IF(A284="","",IF(OR(M284="",N284="",N284=0),"",M284/N284))</f>
        <v>0</v>
      </c>
      <c r="P284" s="32">
        <f>IF(A284="","",COUNTIFS($A$5:A284,A284))</f>
        <v>0</v>
      </c>
      <c r="Q284" s="13">
        <f>IF(A284="","",A284&amp;"|"&amp;P284)</f>
        <v>0</v>
      </c>
      <c r="R284" s="43">
        <f>IF(AND(A284="",C284=""),"",IF(A284="","Add - which product?",IF(C284="","Add - which material?",IF(B284="Not found","Check - no such product ID",IF(D284="Add to Materials","Check - no such material ID",IF(OR(F284="",F284=0),"Add - how much?",IF(L284="","Check - that material has no price","OK")))))))</f>
        <v>0</v>
      </c>
    </row>
    <row r="285" spans="2:18">
      <c r="B285" s="13">
        <f>IF(A285="","",IFERROR(INDEX(Products!$B$5:$B$304,MATCH(A285,Products!$A$5:$A$304,0)),"Not found"))</f>
        <v>0</v>
      </c>
      <c r="D285" s="13">
        <f>IF(C285="","",IFERROR(INDEX(Materials!$B$5:$B$254,MATCH(C285,Materials!$A$5:$A$254,0)),"Add to Materials"))</f>
        <v>0</v>
      </c>
      <c r="E285" s="13">
        <f>IF(C285="","",IFERROR(INDEX(Materials!$H$5:$H$254,MATCH(C285,Materials!$A$5:$A$254,0)),"Add to Materials"))</f>
        <v>0</v>
      </c>
      <c r="J285" s="33">
        <f>IF(C285="","",IF(G285&lt;&gt;"",G285,IFERROR(INDEX(Materials!$W$5:$W$254,MATCH(C285,Materials!$A$5:$A$254,0)),DefaultWaste)))</f>
        <v>0</v>
      </c>
      <c r="K285" s="36">
        <f>IF(C285="","",IF(F285="","",ROUND(F285*(1+J285),4)))</f>
        <v>0</v>
      </c>
      <c r="L285" s="45">
        <f>IF(C285="","",IFERROR(INDEX(Materials!$S$5:$S$254,MATCH(C285,Materials!$A$5:$A$254,0)),""))</f>
        <v>0</v>
      </c>
      <c r="M285" s="45">
        <f>IF(C285="","",IF(OR(K285="",L285=""),"",ROUND(K285*L285,4)))</f>
        <v>0</v>
      </c>
      <c r="N285" s="20">
        <f>IF(A285="","",ROUND(SUMIFS('Material Usage'!$M$5:$M$904,'Material Usage'!$A$5:$A$904,A285),2))</f>
        <v>0</v>
      </c>
      <c r="O285" s="33">
        <f>IF(A285="","",IF(OR(M285="",N285="",N285=0),"",M285/N285))</f>
        <v>0</v>
      </c>
      <c r="P285" s="32">
        <f>IF(A285="","",COUNTIFS($A$5:A285,A285))</f>
        <v>0</v>
      </c>
      <c r="Q285" s="13">
        <f>IF(A285="","",A285&amp;"|"&amp;P285)</f>
        <v>0</v>
      </c>
      <c r="R285" s="43">
        <f>IF(AND(A285="",C285=""),"",IF(A285="","Add - which product?",IF(C285="","Add - which material?",IF(B285="Not found","Check - no such product ID",IF(D285="Add to Materials","Check - no such material ID",IF(OR(F285="",F285=0),"Add - how much?",IF(L285="","Check - that material has no price","OK")))))))</f>
        <v>0</v>
      </c>
    </row>
    <row r="286" spans="2:18">
      <c r="B286" s="13">
        <f>IF(A286="","",IFERROR(INDEX(Products!$B$5:$B$304,MATCH(A286,Products!$A$5:$A$304,0)),"Not found"))</f>
        <v>0</v>
      </c>
      <c r="D286" s="13">
        <f>IF(C286="","",IFERROR(INDEX(Materials!$B$5:$B$254,MATCH(C286,Materials!$A$5:$A$254,0)),"Add to Materials"))</f>
        <v>0</v>
      </c>
      <c r="E286" s="13">
        <f>IF(C286="","",IFERROR(INDEX(Materials!$H$5:$H$254,MATCH(C286,Materials!$A$5:$A$254,0)),"Add to Materials"))</f>
        <v>0</v>
      </c>
      <c r="J286" s="33">
        <f>IF(C286="","",IF(G286&lt;&gt;"",G286,IFERROR(INDEX(Materials!$W$5:$W$254,MATCH(C286,Materials!$A$5:$A$254,0)),DefaultWaste)))</f>
        <v>0</v>
      </c>
      <c r="K286" s="36">
        <f>IF(C286="","",IF(F286="","",ROUND(F286*(1+J286),4)))</f>
        <v>0</v>
      </c>
      <c r="L286" s="45">
        <f>IF(C286="","",IFERROR(INDEX(Materials!$S$5:$S$254,MATCH(C286,Materials!$A$5:$A$254,0)),""))</f>
        <v>0</v>
      </c>
      <c r="M286" s="45">
        <f>IF(C286="","",IF(OR(K286="",L286=""),"",ROUND(K286*L286,4)))</f>
        <v>0</v>
      </c>
      <c r="N286" s="20">
        <f>IF(A286="","",ROUND(SUMIFS('Material Usage'!$M$5:$M$904,'Material Usage'!$A$5:$A$904,A286),2))</f>
        <v>0</v>
      </c>
      <c r="O286" s="33">
        <f>IF(A286="","",IF(OR(M286="",N286="",N286=0),"",M286/N286))</f>
        <v>0</v>
      </c>
      <c r="P286" s="32">
        <f>IF(A286="","",COUNTIFS($A$5:A286,A286))</f>
        <v>0</v>
      </c>
      <c r="Q286" s="13">
        <f>IF(A286="","",A286&amp;"|"&amp;P286)</f>
        <v>0</v>
      </c>
      <c r="R286" s="43">
        <f>IF(AND(A286="",C286=""),"",IF(A286="","Add - which product?",IF(C286="","Add - which material?",IF(B286="Not found","Check - no such product ID",IF(D286="Add to Materials","Check - no such material ID",IF(OR(F286="",F286=0),"Add - how much?",IF(L286="","Check - that material has no price","OK")))))))</f>
        <v>0</v>
      </c>
    </row>
    <row r="287" spans="2:18">
      <c r="B287" s="13">
        <f>IF(A287="","",IFERROR(INDEX(Products!$B$5:$B$304,MATCH(A287,Products!$A$5:$A$304,0)),"Not found"))</f>
        <v>0</v>
      </c>
      <c r="D287" s="13">
        <f>IF(C287="","",IFERROR(INDEX(Materials!$B$5:$B$254,MATCH(C287,Materials!$A$5:$A$254,0)),"Add to Materials"))</f>
        <v>0</v>
      </c>
      <c r="E287" s="13">
        <f>IF(C287="","",IFERROR(INDEX(Materials!$H$5:$H$254,MATCH(C287,Materials!$A$5:$A$254,0)),"Add to Materials"))</f>
        <v>0</v>
      </c>
      <c r="J287" s="33">
        <f>IF(C287="","",IF(G287&lt;&gt;"",G287,IFERROR(INDEX(Materials!$W$5:$W$254,MATCH(C287,Materials!$A$5:$A$254,0)),DefaultWaste)))</f>
        <v>0</v>
      </c>
      <c r="K287" s="36">
        <f>IF(C287="","",IF(F287="","",ROUND(F287*(1+J287),4)))</f>
        <v>0</v>
      </c>
      <c r="L287" s="45">
        <f>IF(C287="","",IFERROR(INDEX(Materials!$S$5:$S$254,MATCH(C287,Materials!$A$5:$A$254,0)),""))</f>
        <v>0</v>
      </c>
      <c r="M287" s="45">
        <f>IF(C287="","",IF(OR(K287="",L287=""),"",ROUND(K287*L287,4)))</f>
        <v>0</v>
      </c>
      <c r="N287" s="20">
        <f>IF(A287="","",ROUND(SUMIFS('Material Usage'!$M$5:$M$904,'Material Usage'!$A$5:$A$904,A287),2))</f>
        <v>0</v>
      </c>
      <c r="O287" s="33">
        <f>IF(A287="","",IF(OR(M287="",N287="",N287=0),"",M287/N287))</f>
        <v>0</v>
      </c>
      <c r="P287" s="32">
        <f>IF(A287="","",COUNTIFS($A$5:A287,A287))</f>
        <v>0</v>
      </c>
      <c r="Q287" s="13">
        <f>IF(A287="","",A287&amp;"|"&amp;P287)</f>
        <v>0</v>
      </c>
      <c r="R287" s="43">
        <f>IF(AND(A287="",C287=""),"",IF(A287="","Add - which product?",IF(C287="","Add - which material?",IF(B287="Not found","Check - no such product ID",IF(D287="Add to Materials","Check - no such material ID",IF(OR(F287="",F287=0),"Add - how much?",IF(L287="","Check - that material has no price","OK")))))))</f>
        <v>0</v>
      </c>
    </row>
    <row r="288" spans="2:18">
      <c r="B288" s="13">
        <f>IF(A288="","",IFERROR(INDEX(Products!$B$5:$B$304,MATCH(A288,Products!$A$5:$A$304,0)),"Not found"))</f>
        <v>0</v>
      </c>
      <c r="D288" s="13">
        <f>IF(C288="","",IFERROR(INDEX(Materials!$B$5:$B$254,MATCH(C288,Materials!$A$5:$A$254,0)),"Add to Materials"))</f>
        <v>0</v>
      </c>
      <c r="E288" s="13">
        <f>IF(C288="","",IFERROR(INDEX(Materials!$H$5:$H$254,MATCH(C288,Materials!$A$5:$A$254,0)),"Add to Materials"))</f>
        <v>0</v>
      </c>
      <c r="J288" s="33">
        <f>IF(C288="","",IF(G288&lt;&gt;"",G288,IFERROR(INDEX(Materials!$W$5:$W$254,MATCH(C288,Materials!$A$5:$A$254,0)),DefaultWaste)))</f>
        <v>0</v>
      </c>
      <c r="K288" s="36">
        <f>IF(C288="","",IF(F288="","",ROUND(F288*(1+J288),4)))</f>
        <v>0</v>
      </c>
      <c r="L288" s="45">
        <f>IF(C288="","",IFERROR(INDEX(Materials!$S$5:$S$254,MATCH(C288,Materials!$A$5:$A$254,0)),""))</f>
        <v>0</v>
      </c>
      <c r="M288" s="45">
        <f>IF(C288="","",IF(OR(K288="",L288=""),"",ROUND(K288*L288,4)))</f>
        <v>0</v>
      </c>
      <c r="N288" s="20">
        <f>IF(A288="","",ROUND(SUMIFS('Material Usage'!$M$5:$M$904,'Material Usage'!$A$5:$A$904,A288),2))</f>
        <v>0</v>
      </c>
      <c r="O288" s="33">
        <f>IF(A288="","",IF(OR(M288="",N288="",N288=0),"",M288/N288))</f>
        <v>0</v>
      </c>
      <c r="P288" s="32">
        <f>IF(A288="","",COUNTIFS($A$5:A288,A288))</f>
        <v>0</v>
      </c>
      <c r="Q288" s="13">
        <f>IF(A288="","",A288&amp;"|"&amp;P288)</f>
        <v>0</v>
      </c>
      <c r="R288" s="43">
        <f>IF(AND(A288="",C288=""),"",IF(A288="","Add - which product?",IF(C288="","Add - which material?",IF(B288="Not found","Check - no such product ID",IF(D288="Add to Materials","Check - no such material ID",IF(OR(F288="",F288=0),"Add - how much?",IF(L288="","Check - that material has no price","OK")))))))</f>
        <v>0</v>
      </c>
    </row>
    <row r="289" spans="2:18">
      <c r="B289" s="13">
        <f>IF(A289="","",IFERROR(INDEX(Products!$B$5:$B$304,MATCH(A289,Products!$A$5:$A$304,0)),"Not found"))</f>
        <v>0</v>
      </c>
      <c r="D289" s="13">
        <f>IF(C289="","",IFERROR(INDEX(Materials!$B$5:$B$254,MATCH(C289,Materials!$A$5:$A$254,0)),"Add to Materials"))</f>
        <v>0</v>
      </c>
      <c r="E289" s="13">
        <f>IF(C289="","",IFERROR(INDEX(Materials!$H$5:$H$254,MATCH(C289,Materials!$A$5:$A$254,0)),"Add to Materials"))</f>
        <v>0</v>
      </c>
      <c r="J289" s="33">
        <f>IF(C289="","",IF(G289&lt;&gt;"",G289,IFERROR(INDEX(Materials!$W$5:$W$254,MATCH(C289,Materials!$A$5:$A$254,0)),DefaultWaste)))</f>
        <v>0</v>
      </c>
      <c r="K289" s="36">
        <f>IF(C289="","",IF(F289="","",ROUND(F289*(1+J289),4)))</f>
        <v>0</v>
      </c>
      <c r="L289" s="45">
        <f>IF(C289="","",IFERROR(INDEX(Materials!$S$5:$S$254,MATCH(C289,Materials!$A$5:$A$254,0)),""))</f>
        <v>0</v>
      </c>
      <c r="M289" s="45">
        <f>IF(C289="","",IF(OR(K289="",L289=""),"",ROUND(K289*L289,4)))</f>
        <v>0</v>
      </c>
      <c r="N289" s="20">
        <f>IF(A289="","",ROUND(SUMIFS('Material Usage'!$M$5:$M$904,'Material Usage'!$A$5:$A$904,A289),2))</f>
        <v>0</v>
      </c>
      <c r="O289" s="33">
        <f>IF(A289="","",IF(OR(M289="",N289="",N289=0),"",M289/N289))</f>
        <v>0</v>
      </c>
      <c r="P289" s="32">
        <f>IF(A289="","",COUNTIFS($A$5:A289,A289))</f>
        <v>0</v>
      </c>
      <c r="Q289" s="13">
        <f>IF(A289="","",A289&amp;"|"&amp;P289)</f>
        <v>0</v>
      </c>
      <c r="R289" s="43">
        <f>IF(AND(A289="",C289=""),"",IF(A289="","Add - which product?",IF(C289="","Add - which material?",IF(B289="Not found","Check - no such product ID",IF(D289="Add to Materials","Check - no such material ID",IF(OR(F289="",F289=0),"Add - how much?",IF(L289="","Check - that material has no price","OK")))))))</f>
        <v>0</v>
      </c>
    </row>
    <row r="290" spans="2:18">
      <c r="B290" s="13">
        <f>IF(A290="","",IFERROR(INDEX(Products!$B$5:$B$304,MATCH(A290,Products!$A$5:$A$304,0)),"Not found"))</f>
        <v>0</v>
      </c>
      <c r="D290" s="13">
        <f>IF(C290="","",IFERROR(INDEX(Materials!$B$5:$B$254,MATCH(C290,Materials!$A$5:$A$254,0)),"Add to Materials"))</f>
        <v>0</v>
      </c>
      <c r="E290" s="13">
        <f>IF(C290="","",IFERROR(INDEX(Materials!$H$5:$H$254,MATCH(C290,Materials!$A$5:$A$254,0)),"Add to Materials"))</f>
        <v>0</v>
      </c>
      <c r="J290" s="33">
        <f>IF(C290="","",IF(G290&lt;&gt;"",G290,IFERROR(INDEX(Materials!$W$5:$W$254,MATCH(C290,Materials!$A$5:$A$254,0)),DefaultWaste)))</f>
        <v>0</v>
      </c>
      <c r="K290" s="36">
        <f>IF(C290="","",IF(F290="","",ROUND(F290*(1+J290),4)))</f>
        <v>0</v>
      </c>
      <c r="L290" s="45">
        <f>IF(C290="","",IFERROR(INDEX(Materials!$S$5:$S$254,MATCH(C290,Materials!$A$5:$A$254,0)),""))</f>
        <v>0</v>
      </c>
      <c r="M290" s="45">
        <f>IF(C290="","",IF(OR(K290="",L290=""),"",ROUND(K290*L290,4)))</f>
        <v>0</v>
      </c>
      <c r="N290" s="20">
        <f>IF(A290="","",ROUND(SUMIFS('Material Usage'!$M$5:$M$904,'Material Usage'!$A$5:$A$904,A290),2))</f>
        <v>0</v>
      </c>
      <c r="O290" s="33">
        <f>IF(A290="","",IF(OR(M290="",N290="",N290=0),"",M290/N290))</f>
        <v>0</v>
      </c>
      <c r="P290" s="32">
        <f>IF(A290="","",COUNTIFS($A$5:A290,A290))</f>
        <v>0</v>
      </c>
      <c r="Q290" s="13">
        <f>IF(A290="","",A290&amp;"|"&amp;P290)</f>
        <v>0</v>
      </c>
      <c r="R290" s="43">
        <f>IF(AND(A290="",C290=""),"",IF(A290="","Add - which product?",IF(C290="","Add - which material?",IF(B290="Not found","Check - no such product ID",IF(D290="Add to Materials","Check - no such material ID",IF(OR(F290="",F290=0),"Add - how much?",IF(L290="","Check - that material has no price","OK")))))))</f>
        <v>0</v>
      </c>
    </row>
    <row r="291" spans="2:18">
      <c r="B291" s="13">
        <f>IF(A291="","",IFERROR(INDEX(Products!$B$5:$B$304,MATCH(A291,Products!$A$5:$A$304,0)),"Not found"))</f>
        <v>0</v>
      </c>
      <c r="D291" s="13">
        <f>IF(C291="","",IFERROR(INDEX(Materials!$B$5:$B$254,MATCH(C291,Materials!$A$5:$A$254,0)),"Add to Materials"))</f>
        <v>0</v>
      </c>
      <c r="E291" s="13">
        <f>IF(C291="","",IFERROR(INDEX(Materials!$H$5:$H$254,MATCH(C291,Materials!$A$5:$A$254,0)),"Add to Materials"))</f>
        <v>0</v>
      </c>
      <c r="J291" s="33">
        <f>IF(C291="","",IF(G291&lt;&gt;"",G291,IFERROR(INDEX(Materials!$W$5:$W$254,MATCH(C291,Materials!$A$5:$A$254,0)),DefaultWaste)))</f>
        <v>0</v>
      </c>
      <c r="K291" s="36">
        <f>IF(C291="","",IF(F291="","",ROUND(F291*(1+J291),4)))</f>
        <v>0</v>
      </c>
      <c r="L291" s="45">
        <f>IF(C291="","",IFERROR(INDEX(Materials!$S$5:$S$254,MATCH(C291,Materials!$A$5:$A$254,0)),""))</f>
        <v>0</v>
      </c>
      <c r="M291" s="45">
        <f>IF(C291="","",IF(OR(K291="",L291=""),"",ROUND(K291*L291,4)))</f>
        <v>0</v>
      </c>
      <c r="N291" s="20">
        <f>IF(A291="","",ROUND(SUMIFS('Material Usage'!$M$5:$M$904,'Material Usage'!$A$5:$A$904,A291),2))</f>
        <v>0</v>
      </c>
      <c r="O291" s="33">
        <f>IF(A291="","",IF(OR(M291="",N291="",N291=0),"",M291/N291))</f>
        <v>0</v>
      </c>
      <c r="P291" s="32">
        <f>IF(A291="","",COUNTIFS($A$5:A291,A291))</f>
        <v>0</v>
      </c>
      <c r="Q291" s="13">
        <f>IF(A291="","",A291&amp;"|"&amp;P291)</f>
        <v>0</v>
      </c>
      <c r="R291" s="43">
        <f>IF(AND(A291="",C291=""),"",IF(A291="","Add - which product?",IF(C291="","Add - which material?",IF(B291="Not found","Check - no such product ID",IF(D291="Add to Materials","Check - no such material ID",IF(OR(F291="",F291=0),"Add - how much?",IF(L291="","Check - that material has no price","OK")))))))</f>
        <v>0</v>
      </c>
    </row>
    <row r="292" spans="2:18">
      <c r="B292" s="13">
        <f>IF(A292="","",IFERROR(INDEX(Products!$B$5:$B$304,MATCH(A292,Products!$A$5:$A$304,0)),"Not found"))</f>
        <v>0</v>
      </c>
      <c r="D292" s="13">
        <f>IF(C292="","",IFERROR(INDEX(Materials!$B$5:$B$254,MATCH(C292,Materials!$A$5:$A$254,0)),"Add to Materials"))</f>
        <v>0</v>
      </c>
      <c r="E292" s="13">
        <f>IF(C292="","",IFERROR(INDEX(Materials!$H$5:$H$254,MATCH(C292,Materials!$A$5:$A$254,0)),"Add to Materials"))</f>
        <v>0</v>
      </c>
      <c r="J292" s="33">
        <f>IF(C292="","",IF(G292&lt;&gt;"",G292,IFERROR(INDEX(Materials!$W$5:$W$254,MATCH(C292,Materials!$A$5:$A$254,0)),DefaultWaste)))</f>
        <v>0</v>
      </c>
      <c r="K292" s="36">
        <f>IF(C292="","",IF(F292="","",ROUND(F292*(1+J292),4)))</f>
        <v>0</v>
      </c>
      <c r="L292" s="45">
        <f>IF(C292="","",IFERROR(INDEX(Materials!$S$5:$S$254,MATCH(C292,Materials!$A$5:$A$254,0)),""))</f>
        <v>0</v>
      </c>
      <c r="M292" s="45">
        <f>IF(C292="","",IF(OR(K292="",L292=""),"",ROUND(K292*L292,4)))</f>
        <v>0</v>
      </c>
      <c r="N292" s="20">
        <f>IF(A292="","",ROUND(SUMIFS('Material Usage'!$M$5:$M$904,'Material Usage'!$A$5:$A$904,A292),2))</f>
        <v>0</v>
      </c>
      <c r="O292" s="33">
        <f>IF(A292="","",IF(OR(M292="",N292="",N292=0),"",M292/N292))</f>
        <v>0</v>
      </c>
      <c r="P292" s="32">
        <f>IF(A292="","",COUNTIFS($A$5:A292,A292))</f>
        <v>0</v>
      </c>
      <c r="Q292" s="13">
        <f>IF(A292="","",A292&amp;"|"&amp;P292)</f>
        <v>0</v>
      </c>
      <c r="R292" s="43">
        <f>IF(AND(A292="",C292=""),"",IF(A292="","Add - which product?",IF(C292="","Add - which material?",IF(B292="Not found","Check - no such product ID",IF(D292="Add to Materials","Check - no such material ID",IF(OR(F292="",F292=0),"Add - how much?",IF(L292="","Check - that material has no price","OK")))))))</f>
        <v>0</v>
      </c>
    </row>
    <row r="293" spans="2:18">
      <c r="B293" s="13">
        <f>IF(A293="","",IFERROR(INDEX(Products!$B$5:$B$304,MATCH(A293,Products!$A$5:$A$304,0)),"Not found"))</f>
        <v>0</v>
      </c>
      <c r="D293" s="13">
        <f>IF(C293="","",IFERROR(INDEX(Materials!$B$5:$B$254,MATCH(C293,Materials!$A$5:$A$254,0)),"Add to Materials"))</f>
        <v>0</v>
      </c>
      <c r="E293" s="13">
        <f>IF(C293="","",IFERROR(INDEX(Materials!$H$5:$H$254,MATCH(C293,Materials!$A$5:$A$254,0)),"Add to Materials"))</f>
        <v>0</v>
      </c>
      <c r="J293" s="33">
        <f>IF(C293="","",IF(G293&lt;&gt;"",G293,IFERROR(INDEX(Materials!$W$5:$W$254,MATCH(C293,Materials!$A$5:$A$254,0)),DefaultWaste)))</f>
        <v>0</v>
      </c>
      <c r="K293" s="36">
        <f>IF(C293="","",IF(F293="","",ROUND(F293*(1+J293),4)))</f>
        <v>0</v>
      </c>
      <c r="L293" s="45">
        <f>IF(C293="","",IFERROR(INDEX(Materials!$S$5:$S$254,MATCH(C293,Materials!$A$5:$A$254,0)),""))</f>
        <v>0</v>
      </c>
      <c r="M293" s="45">
        <f>IF(C293="","",IF(OR(K293="",L293=""),"",ROUND(K293*L293,4)))</f>
        <v>0</v>
      </c>
      <c r="N293" s="20">
        <f>IF(A293="","",ROUND(SUMIFS('Material Usage'!$M$5:$M$904,'Material Usage'!$A$5:$A$904,A293),2))</f>
        <v>0</v>
      </c>
      <c r="O293" s="33">
        <f>IF(A293="","",IF(OR(M293="",N293="",N293=0),"",M293/N293))</f>
        <v>0</v>
      </c>
      <c r="P293" s="32">
        <f>IF(A293="","",COUNTIFS($A$5:A293,A293))</f>
        <v>0</v>
      </c>
      <c r="Q293" s="13">
        <f>IF(A293="","",A293&amp;"|"&amp;P293)</f>
        <v>0</v>
      </c>
      <c r="R293" s="43">
        <f>IF(AND(A293="",C293=""),"",IF(A293="","Add - which product?",IF(C293="","Add - which material?",IF(B293="Not found","Check - no such product ID",IF(D293="Add to Materials","Check - no such material ID",IF(OR(F293="",F293=0),"Add - how much?",IF(L293="","Check - that material has no price","OK")))))))</f>
        <v>0</v>
      </c>
    </row>
    <row r="294" spans="2:18">
      <c r="B294" s="13">
        <f>IF(A294="","",IFERROR(INDEX(Products!$B$5:$B$304,MATCH(A294,Products!$A$5:$A$304,0)),"Not found"))</f>
        <v>0</v>
      </c>
      <c r="D294" s="13">
        <f>IF(C294="","",IFERROR(INDEX(Materials!$B$5:$B$254,MATCH(C294,Materials!$A$5:$A$254,0)),"Add to Materials"))</f>
        <v>0</v>
      </c>
      <c r="E294" s="13">
        <f>IF(C294="","",IFERROR(INDEX(Materials!$H$5:$H$254,MATCH(C294,Materials!$A$5:$A$254,0)),"Add to Materials"))</f>
        <v>0</v>
      </c>
      <c r="J294" s="33">
        <f>IF(C294="","",IF(G294&lt;&gt;"",G294,IFERROR(INDEX(Materials!$W$5:$W$254,MATCH(C294,Materials!$A$5:$A$254,0)),DefaultWaste)))</f>
        <v>0</v>
      </c>
      <c r="K294" s="36">
        <f>IF(C294="","",IF(F294="","",ROUND(F294*(1+J294),4)))</f>
        <v>0</v>
      </c>
      <c r="L294" s="45">
        <f>IF(C294="","",IFERROR(INDEX(Materials!$S$5:$S$254,MATCH(C294,Materials!$A$5:$A$254,0)),""))</f>
        <v>0</v>
      </c>
      <c r="M294" s="45">
        <f>IF(C294="","",IF(OR(K294="",L294=""),"",ROUND(K294*L294,4)))</f>
        <v>0</v>
      </c>
      <c r="N294" s="20">
        <f>IF(A294="","",ROUND(SUMIFS('Material Usage'!$M$5:$M$904,'Material Usage'!$A$5:$A$904,A294),2))</f>
        <v>0</v>
      </c>
      <c r="O294" s="33">
        <f>IF(A294="","",IF(OR(M294="",N294="",N294=0),"",M294/N294))</f>
        <v>0</v>
      </c>
      <c r="P294" s="32">
        <f>IF(A294="","",COUNTIFS($A$5:A294,A294))</f>
        <v>0</v>
      </c>
      <c r="Q294" s="13">
        <f>IF(A294="","",A294&amp;"|"&amp;P294)</f>
        <v>0</v>
      </c>
      <c r="R294" s="43">
        <f>IF(AND(A294="",C294=""),"",IF(A294="","Add - which product?",IF(C294="","Add - which material?",IF(B294="Not found","Check - no such product ID",IF(D294="Add to Materials","Check - no such material ID",IF(OR(F294="",F294=0),"Add - how much?",IF(L294="","Check - that material has no price","OK")))))))</f>
        <v>0</v>
      </c>
    </row>
    <row r="295" spans="2:18">
      <c r="B295" s="13">
        <f>IF(A295="","",IFERROR(INDEX(Products!$B$5:$B$304,MATCH(A295,Products!$A$5:$A$304,0)),"Not found"))</f>
        <v>0</v>
      </c>
      <c r="D295" s="13">
        <f>IF(C295="","",IFERROR(INDEX(Materials!$B$5:$B$254,MATCH(C295,Materials!$A$5:$A$254,0)),"Add to Materials"))</f>
        <v>0</v>
      </c>
      <c r="E295" s="13">
        <f>IF(C295="","",IFERROR(INDEX(Materials!$H$5:$H$254,MATCH(C295,Materials!$A$5:$A$254,0)),"Add to Materials"))</f>
        <v>0</v>
      </c>
      <c r="J295" s="33">
        <f>IF(C295="","",IF(G295&lt;&gt;"",G295,IFERROR(INDEX(Materials!$W$5:$W$254,MATCH(C295,Materials!$A$5:$A$254,0)),DefaultWaste)))</f>
        <v>0</v>
      </c>
      <c r="K295" s="36">
        <f>IF(C295="","",IF(F295="","",ROUND(F295*(1+J295),4)))</f>
        <v>0</v>
      </c>
      <c r="L295" s="45">
        <f>IF(C295="","",IFERROR(INDEX(Materials!$S$5:$S$254,MATCH(C295,Materials!$A$5:$A$254,0)),""))</f>
        <v>0</v>
      </c>
      <c r="M295" s="45">
        <f>IF(C295="","",IF(OR(K295="",L295=""),"",ROUND(K295*L295,4)))</f>
        <v>0</v>
      </c>
      <c r="N295" s="20">
        <f>IF(A295="","",ROUND(SUMIFS('Material Usage'!$M$5:$M$904,'Material Usage'!$A$5:$A$904,A295),2))</f>
        <v>0</v>
      </c>
      <c r="O295" s="33">
        <f>IF(A295="","",IF(OR(M295="",N295="",N295=0),"",M295/N295))</f>
        <v>0</v>
      </c>
      <c r="P295" s="32">
        <f>IF(A295="","",COUNTIFS($A$5:A295,A295))</f>
        <v>0</v>
      </c>
      <c r="Q295" s="13">
        <f>IF(A295="","",A295&amp;"|"&amp;P295)</f>
        <v>0</v>
      </c>
      <c r="R295" s="43">
        <f>IF(AND(A295="",C295=""),"",IF(A295="","Add - which product?",IF(C295="","Add - which material?",IF(B295="Not found","Check - no such product ID",IF(D295="Add to Materials","Check - no such material ID",IF(OR(F295="",F295=0),"Add - how much?",IF(L295="","Check - that material has no price","OK")))))))</f>
        <v>0</v>
      </c>
    </row>
    <row r="296" spans="2:18">
      <c r="B296" s="13">
        <f>IF(A296="","",IFERROR(INDEX(Products!$B$5:$B$304,MATCH(A296,Products!$A$5:$A$304,0)),"Not found"))</f>
        <v>0</v>
      </c>
      <c r="D296" s="13">
        <f>IF(C296="","",IFERROR(INDEX(Materials!$B$5:$B$254,MATCH(C296,Materials!$A$5:$A$254,0)),"Add to Materials"))</f>
        <v>0</v>
      </c>
      <c r="E296" s="13">
        <f>IF(C296="","",IFERROR(INDEX(Materials!$H$5:$H$254,MATCH(C296,Materials!$A$5:$A$254,0)),"Add to Materials"))</f>
        <v>0</v>
      </c>
      <c r="J296" s="33">
        <f>IF(C296="","",IF(G296&lt;&gt;"",G296,IFERROR(INDEX(Materials!$W$5:$W$254,MATCH(C296,Materials!$A$5:$A$254,0)),DefaultWaste)))</f>
        <v>0</v>
      </c>
      <c r="K296" s="36">
        <f>IF(C296="","",IF(F296="","",ROUND(F296*(1+J296),4)))</f>
        <v>0</v>
      </c>
      <c r="L296" s="45">
        <f>IF(C296="","",IFERROR(INDEX(Materials!$S$5:$S$254,MATCH(C296,Materials!$A$5:$A$254,0)),""))</f>
        <v>0</v>
      </c>
      <c r="M296" s="45">
        <f>IF(C296="","",IF(OR(K296="",L296=""),"",ROUND(K296*L296,4)))</f>
        <v>0</v>
      </c>
      <c r="N296" s="20">
        <f>IF(A296="","",ROUND(SUMIFS('Material Usage'!$M$5:$M$904,'Material Usage'!$A$5:$A$904,A296),2))</f>
        <v>0</v>
      </c>
      <c r="O296" s="33">
        <f>IF(A296="","",IF(OR(M296="",N296="",N296=0),"",M296/N296))</f>
        <v>0</v>
      </c>
      <c r="P296" s="32">
        <f>IF(A296="","",COUNTIFS($A$5:A296,A296))</f>
        <v>0</v>
      </c>
      <c r="Q296" s="13">
        <f>IF(A296="","",A296&amp;"|"&amp;P296)</f>
        <v>0</v>
      </c>
      <c r="R296" s="43">
        <f>IF(AND(A296="",C296=""),"",IF(A296="","Add - which product?",IF(C296="","Add - which material?",IF(B296="Not found","Check - no such product ID",IF(D296="Add to Materials","Check - no such material ID",IF(OR(F296="",F296=0),"Add - how much?",IF(L296="","Check - that material has no price","OK")))))))</f>
        <v>0</v>
      </c>
    </row>
    <row r="297" spans="2:18">
      <c r="B297" s="13">
        <f>IF(A297="","",IFERROR(INDEX(Products!$B$5:$B$304,MATCH(A297,Products!$A$5:$A$304,0)),"Not found"))</f>
        <v>0</v>
      </c>
      <c r="D297" s="13">
        <f>IF(C297="","",IFERROR(INDEX(Materials!$B$5:$B$254,MATCH(C297,Materials!$A$5:$A$254,0)),"Add to Materials"))</f>
        <v>0</v>
      </c>
      <c r="E297" s="13">
        <f>IF(C297="","",IFERROR(INDEX(Materials!$H$5:$H$254,MATCH(C297,Materials!$A$5:$A$254,0)),"Add to Materials"))</f>
        <v>0</v>
      </c>
      <c r="J297" s="33">
        <f>IF(C297="","",IF(G297&lt;&gt;"",G297,IFERROR(INDEX(Materials!$W$5:$W$254,MATCH(C297,Materials!$A$5:$A$254,0)),DefaultWaste)))</f>
        <v>0</v>
      </c>
      <c r="K297" s="36">
        <f>IF(C297="","",IF(F297="","",ROUND(F297*(1+J297),4)))</f>
        <v>0</v>
      </c>
      <c r="L297" s="45">
        <f>IF(C297="","",IFERROR(INDEX(Materials!$S$5:$S$254,MATCH(C297,Materials!$A$5:$A$254,0)),""))</f>
        <v>0</v>
      </c>
      <c r="M297" s="45">
        <f>IF(C297="","",IF(OR(K297="",L297=""),"",ROUND(K297*L297,4)))</f>
        <v>0</v>
      </c>
      <c r="N297" s="20">
        <f>IF(A297="","",ROUND(SUMIFS('Material Usage'!$M$5:$M$904,'Material Usage'!$A$5:$A$904,A297),2))</f>
        <v>0</v>
      </c>
      <c r="O297" s="33">
        <f>IF(A297="","",IF(OR(M297="",N297="",N297=0),"",M297/N297))</f>
        <v>0</v>
      </c>
      <c r="P297" s="32">
        <f>IF(A297="","",COUNTIFS($A$5:A297,A297))</f>
        <v>0</v>
      </c>
      <c r="Q297" s="13">
        <f>IF(A297="","",A297&amp;"|"&amp;P297)</f>
        <v>0</v>
      </c>
      <c r="R297" s="43">
        <f>IF(AND(A297="",C297=""),"",IF(A297="","Add - which product?",IF(C297="","Add - which material?",IF(B297="Not found","Check - no such product ID",IF(D297="Add to Materials","Check - no such material ID",IF(OR(F297="",F297=0),"Add - how much?",IF(L297="","Check - that material has no price","OK")))))))</f>
        <v>0</v>
      </c>
    </row>
    <row r="298" spans="2:18">
      <c r="B298" s="13">
        <f>IF(A298="","",IFERROR(INDEX(Products!$B$5:$B$304,MATCH(A298,Products!$A$5:$A$304,0)),"Not found"))</f>
        <v>0</v>
      </c>
      <c r="D298" s="13">
        <f>IF(C298="","",IFERROR(INDEX(Materials!$B$5:$B$254,MATCH(C298,Materials!$A$5:$A$254,0)),"Add to Materials"))</f>
        <v>0</v>
      </c>
      <c r="E298" s="13">
        <f>IF(C298="","",IFERROR(INDEX(Materials!$H$5:$H$254,MATCH(C298,Materials!$A$5:$A$254,0)),"Add to Materials"))</f>
        <v>0</v>
      </c>
      <c r="J298" s="33">
        <f>IF(C298="","",IF(G298&lt;&gt;"",G298,IFERROR(INDEX(Materials!$W$5:$W$254,MATCH(C298,Materials!$A$5:$A$254,0)),DefaultWaste)))</f>
        <v>0</v>
      </c>
      <c r="K298" s="36">
        <f>IF(C298="","",IF(F298="","",ROUND(F298*(1+J298),4)))</f>
        <v>0</v>
      </c>
      <c r="L298" s="45">
        <f>IF(C298="","",IFERROR(INDEX(Materials!$S$5:$S$254,MATCH(C298,Materials!$A$5:$A$254,0)),""))</f>
        <v>0</v>
      </c>
      <c r="M298" s="45">
        <f>IF(C298="","",IF(OR(K298="",L298=""),"",ROUND(K298*L298,4)))</f>
        <v>0</v>
      </c>
      <c r="N298" s="20">
        <f>IF(A298="","",ROUND(SUMIFS('Material Usage'!$M$5:$M$904,'Material Usage'!$A$5:$A$904,A298),2))</f>
        <v>0</v>
      </c>
      <c r="O298" s="33">
        <f>IF(A298="","",IF(OR(M298="",N298="",N298=0),"",M298/N298))</f>
        <v>0</v>
      </c>
      <c r="P298" s="32">
        <f>IF(A298="","",COUNTIFS($A$5:A298,A298))</f>
        <v>0</v>
      </c>
      <c r="Q298" s="13">
        <f>IF(A298="","",A298&amp;"|"&amp;P298)</f>
        <v>0</v>
      </c>
      <c r="R298" s="43">
        <f>IF(AND(A298="",C298=""),"",IF(A298="","Add - which product?",IF(C298="","Add - which material?",IF(B298="Not found","Check - no such product ID",IF(D298="Add to Materials","Check - no such material ID",IF(OR(F298="",F298=0),"Add - how much?",IF(L298="","Check - that material has no price","OK")))))))</f>
        <v>0</v>
      </c>
    </row>
    <row r="299" spans="2:18">
      <c r="B299" s="13">
        <f>IF(A299="","",IFERROR(INDEX(Products!$B$5:$B$304,MATCH(A299,Products!$A$5:$A$304,0)),"Not found"))</f>
        <v>0</v>
      </c>
      <c r="D299" s="13">
        <f>IF(C299="","",IFERROR(INDEX(Materials!$B$5:$B$254,MATCH(C299,Materials!$A$5:$A$254,0)),"Add to Materials"))</f>
        <v>0</v>
      </c>
      <c r="E299" s="13">
        <f>IF(C299="","",IFERROR(INDEX(Materials!$H$5:$H$254,MATCH(C299,Materials!$A$5:$A$254,0)),"Add to Materials"))</f>
        <v>0</v>
      </c>
      <c r="J299" s="33">
        <f>IF(C299="","",IF(G299&lt;&gt;"",G299,IFERROR(INDEX(Materials!$W$5:$W$254,MATCH(C299,Materials!$A$5:$A$254,0)),DefaultWaste)))</f>
        <v>0</v>
      </c>
      <c r="K299" s="36">
        <f>IF(C299="","",IF(F299="","",ROUND(F299*(1+J299),4)))</f>
        <v>0</v>
      </c>
      <c r="L299" s="45">
        <f>IF(C299="","",IFERROR(INDEX(Materials!$S$5:$S$254,MATCH(C299,Materials!$A$5:$A$254,0)),""))</f>
        <v>0</v>
      </c>
      <c r="M299" s="45">
        <f>IF(C299="","",IF(OR(K299="",L299=""),"",ROUND(K299*L299,4)))</f>
        <v>0</v>
      </c>
      <c r="N299" s="20">
        <f>IF(A299="","",ROUND(SUMIFS('Material Usage'!$M$5:$M$904,'Material Usage'!$A$5:$A$904,A299),2))</f>
        <v>0</v>
      </c>
      <c r="O299" s="33">
        <f>IF(A299="","",IF(OR(M299="",N299="",N299=0),"",M299/N299))</f>
        <v>0</v>
      </c>
      <c r="P299" s="32">
        <f>IF(A299="","",COUNTIFS($A$5:A299,A299))</f>
        <v>0</v>
      </c>
      <c r="Q299" s="13">
        <f>IF(A299="","",A299&amp;"|"&amp;P299)</f>
        <v>0</v>
      </c>
      <c r="R299" s="43">
        <f>IF(AND(A299="",C299=""),"",IF(A299="","Add - which product?",IF(C299="","Add - which material?",IF(B299="Not found","Check - no such product ID",IF(D299="Add to Materials","Check - no such material ID",IF(OR(F299="",F299=0),"Add - how much?",IF(L299="","Check - that material has no price","OK")))))))</f>
        <v>0</v>
      </c>
    </row>
    <row r="300" spans="2:18">
      <c r="B300" s="13">
        <f>IF(A300="","",IFERROR(INDEX(Products!$B$5:$B$304,MATCH(A300,Products!$A$5:$A$304,0)),"Not found"))</f>
        <v>0</v>
      </c>
      <c r="D300" s="13">
        <f>IF(C300="","",IFERROR(INDEX(Materials!$B$5:$B$254,MATCH(C300,Materials!$A$5:$A$254,0)),"Add to Materials"))</f>
        <v>0</v>
      </c>
      <c r="E300" s="13">
        <f>IF(C300="","",IFERROR(INDEX(Materials!$H$5:$H$254,MATCH(C300,Materials!$A$5:$A$254,0)),"Add to Materials"))</f>
        <v>0</v>
      </c>
      <c r="J300" s="33">
        <f>IF(C300="","",IF(G300&lt;&gt;"",G300,IFERROR(INDEX(Materials!$W$5:$W$254,MATCH(C300,Materials!$A$5:$A$254,0)),DefaultWaste)))</f>
        <v>0</v>
      </c>
      <c r="K300" s="36">
        <f>IF(C300="","",IF(F300="","",ROUND(F300*(1+J300),4)))</f>
        <v>0</v>
      </c>
      <c r="L300" s="45">
        <f>IF(C300="","",IFERROR(INDEX(Materials!$S$5:$S$254,MATCH(C300,Materials!$A$5:$A$254,0)),""))</f>
        <v>0</v>
      </c>
      <c r="M300" s="45">
        <f>IF(C300="","",IF(OR(K300="",L300=""),"",ROUND(K300*L300,4)))</f>
        <v>0</v>
      </c>
      <c r="N300" s="20">
        <f>IF(A300="","",ROUND(SUMIFS('Material Usage'!$M$5:$M$904,'Material Usage'!$A$5:$A$904,A300),2))</f>
        <v>0</v>
      </c>
      <c r="O300" s="33">
        <f>IF(A300="","",IF(OR(M300="",N300="",N300=0),"",M300/N300))</f>
        <v>0</v>
      </c>
      <c r="P300" s="32">
        <f>IF(A300="","",COUNTIFS($A$5:A300,A300))</f>
        <v>0</v>
      </c>
      <c r="Q300" s="13">
        <f>IF(A300="","",A300&amp;"|"&amp;P300)</f>
        <v>0</v>
      </c>
      <c r="R300" s="43">
        <f>IF(AND(A300="",C300=""),"",IF(A300="","Add - which product?",IF(C300="","Add - which material?",IF(B300="Not found","Check - no such product ID",IF(D300="Add to Materials","Check - no such material ID",IF(OR(F300="",F300=0),"Add - how much?",IF(L300="","Check - that material has no price","OK")))))))</f>
        <v>0</v>
      </c>
    </row>
    <row r="301" spans="2:18">
      <c r="B301" s="13">
        <f>IF(A301="","",IFERROR(INDEX(Products!$B$5:$B$304,MATCH(A301,Products!$A$5:$A$304,0)),"Not found"))</f>
        <v>0</v>
      </c>
      <c r="D301" s="13">
        <f>IF(C301="","",IFERROR(INDEX(Materials!$B$5:$B$254,MATCH(C301,Materials!$A$5:$A$254,0)),"Add to Materials"))</f>
        <v>0</v>
      </c>
      <c r="E301" s="13">
        <f>IF(C301="","",IFERROR(INDEX(Materials!$H$5:$H$254,MATCH(C301,Materials!$A$5:$A$254,0)),"Add to Materials"))</f>
        <v>0</v>
      </c>
      <c r="J301" s="33">
        <f>IF(C301="","",IF(G301&lt;&gt;"",G301,IFERROR(INDEX(Materials!$W$5:$W$254,MATCH(C301,Materials!$A$5:$A$254,0)),DefaultWaste)))</f>
        <v>0</v>
      </c>
      <c r="K301" s="36">
        <f>IF(C301="","",IF(F301="","",ROUND(F301*(1+J301),4)))</f>
        <v>0</v>
      </c>
      <c r="L301" s="45">
        <f>IF(C301="","",IFERROR(INDEX(Materials!$S$5:$S$254,MATCH(C301,Materials!$A$5:$A$254,0)),""))</f>
        <v>0</v>
      </c>
      <c r="M301" s="45">
        <f>IF(C301="","",IF(OR(K301="",L301=""),"",ROUND(K301*L301,4)))</f>
        <v>0</v>
      </c>
      <c r="N301" s="20">
        <f>IF(A301="","",ROUND(SUMIFS('Material Usage'!$M$5:$M$904,'Material Usage'!$A$5:$A$904,A301),2))</f>
        <v>0</v>
      </c>
      <c r="O301" s="33">
        <f>IF(A301="","",IF(OR(M301="",N301="",N301=0),"",M301/N301))</f>
        <v>0</v>
      </c>
      <c r="P301" s="32">
        <f>IF(A301="","",COUNTIFS($A$5:A301,A301))</f>
        <v>0</v>
      </c>
      <c r="Q301" s="13">
        <f>IF(A301="","",A301&amp;"|"&amp;P301)</f>
        <v>0</v>
      </c>
      <c r="R301" s="43">
        <f>IF(AND(A301="",C301=""),"",IF(A301="","Add - which product?",IF(C301="","Add - which material?",IF(B301="Not found","Check - no such product ID",IF(D301="Add to Materials","Check - no such material ID",IF(OR(F301="",F301=0),"Add - how much?",IF(L301="","Check - that material has no price","OK")))))))</f>
        <v>0</v>
      </c>
    </row>
    <row r="302" spans="2:18">
      <c r="B302" s="13">
        <f>IF(A302="","",IFERROR(INDEX(Products!$B$5:$B$304,MATCH(A302,Products!$A$5:$A$304,0)),"Not found"))</f>
        <v>0</v>
      </c>
      <c r="D302" s="13">
        <f>IF(C302="","",IFERROR(INDEX(Materials!$B$5:$B$254,MATCH(C302,Materials!$A$5:$A$254,0)),"Add to Materials"))</f>
        <v>0</v>
      </c>
      <c r="E302" s="13">
        <f>IF(C302="","",IFERROR(INDEX(Materials!$H$5:$H$254,MATCH(C302,Materials!$A$5:$A$254,0)),"Add to Materials"))</f>
        <v>0</v>
      </c>
      <c r="J302" s="33">
        <f>IF(C302="","",IF(G302&lt;&gt;"",G302,IFERROR(INDEX(Materials!$W$5:$W$254,MATCH(C302,Materials!$A$5:$A$254,0)),DefaultWaste)))</f>
        <v>0</v>
      </c>
      <c r="K302" s="36">
        <f>IF(C302="","",IF(F302="","",ROUND(F302*(1+J302),4)))</f>
        <v>0</v>
      </c>
      <c r="L302" s="45">
        <f>IF(C302="","",IFERROR(INDEX(Materials!$S$5:$S$254,MATCH(C302,Materials!$A$5:$A$254,0)),""))</f>
        <v>0</v>
      </c>
      <c r="M302" s="45">
        <f>IF(C302="","",IF(OR(K302="",L302=""),"",ROUND(K302*L302,4)))</f>
        <v>0</v>
      </c>
      <c r="N302" s="20">
        <f>IF(A302="","",ROUND(SUMIFS('Material Usage'!$M$5:$M$904,'Material Usage'!$A$5:$A$904,A302),2))</f>
        <v>0</v>
      </c>
      <c r="O302" s="33">
        <f>IF(A302="","",IF(OR(M302="",N302="",N302=0),"",M302/N302))</f>
        <v>0</v>
      </c>
      <c r="P302" s="32">
        <f>IF(A302="","",COUNTIFS($A$5:A302,A302))</f>
        <v>0</v>
      </c>
      <c r="Q302" s="13">
        <f>IF(A302="","",A302&amp;"|"&amp;P302)</f>
        <v>0</v>
      </c>
      <c r="R302" s="43">
        <f>IF(AND(A302="",C302=""),"",IF(A302="","Add - which product?",IF(C302="","Add - which material?",IF(B302="Not found","Check - no such product ID",IF(D302="Add to Materials","Check - no such material ID",IF(OR(F302="",F302=0),"Add - how much?",IF(L302="","Check - that material has no price","OK")))))))</f>
        <v>0</v>
      </c>
    </row>
    <row r="303" spans="2:18">
      <c r="B303" s="13">
        <f>IF(A303="","",IFERROR(INDEX(Products!$B$5:$B$304,MATCH(A303,Products!$A$5:$A$304,0)),"Not found"))</f>
        <v>0</v>
      </c>
      <c r="D303" s="13">
        <f>IF(C303="","",IFERROR(INDEX(Materials!$B$5:$B$254,MATCH(C303,Materials!$A$5:$A$254,0)),"Add to Materials"))</f>
        <v>0</v>
      </c>
      <c r="E303" s="13">
        <f>IF(C303="","",IFERROR(INDEX(Materials!$H$5:$H$254,MATCH(C303,Materials!$A$5:$A$254,0)),"Add to Materials"))</f>
        <v>0</v>
      </c>
      <c r="J303" s="33">
        <f>IF(C303="","",IF(G303&lt;&gt;"",G303,IFERROR(INDEX(Materials!$W$5:$W$254,MATCH(C303,Materials!$A$5:$A$254,0)),DefaultWaste)))</f>
        <v>0</v>
      </c>
      <c r="K303" s="36">
        <f>IF(C303="","",IF(F303="","",ROUND(F303*(1+J303),4)))</f>
        <v>0</v>
      </c>
      <c r="L303" s="45">
        <f>IF(C303="","",IFERROR(INDEX(Materials!$S$5:$S$254,MATCH(C303,Materials!$A$5:$A$254,0)),""))</f>
        <v>0</v>
      </c>
      <c r="M303" s="45">
        <f>IF(C303="","",IF(OR(K303="",L303=""),"",ROUND(K303*L303,4)))</f>
        <v>0</v>
      </c>
      <c r="N303" s="20">
        <f>IF(A303="","",ROUND(SUMIFS('Material Usage'!$M$5:$M$904,'Material Usage'!$A$5:$A$904,A303),2))</f>
        <v>0</v>
      </c>
      <c r="O303" s="33">
        <f>IF(A303="","",IF(OR(M303="",N303="",N303=0),"",M303/N303))</f>
        <v>0</v>
      </c>
      <c r="P303" s="32">
        <f>IF(A303="","",COUNTIFS($A$5:A303,A303))</f>
        <v>0</v>
      </c>
      <c r="Q303" s="13">
        <f>IF(A303="","",A303&amp;"|"&amp;P303)</f>
        <v>0</v>
      </c>
      <c r="R303" s="43">
        <f>IF(AND(A303="",C303=""),"",IF(A303="","Add - which product?",IF(C303="","Add - which material?",IF(B303="Not found","Check - no such product ID",IF(D303="Add to Materials","Check - no such material ID",IF(OR(F303="",F303=0),"Add - how much?",IF(L303="","Check - that material has no price","OK")))))))</f>
        <v>0</v>
      </c>
    </row>
    <row r="304" spans="2:18">
      <c r="B304" s="13">
        <f>IF(A304="","",IFERROR(INDEX(Products!$B$5:$B$304,MATCH(A304,Products!$A$5:$A$304,0)),"Not found"))</f>
        <v>0</v>
      </c>
      <c r="D304" s="13">
        <f>IF(C304="","",IFERROR(INDEX(Materials!$B$5:$B$254,MATCH(C304,Materials!$A$5:$A$254,0)),"Add to Materials"))</f>
        <v>0</v>
      </c>
      <c r="E304" s="13">
        <f>IF(C304="","",IFERROR(INDEX(Materials!$H$5:$H$254,MATCH(C304,Materials!$A$5:$A$254,0)),"Add to Materials"))</f>
        <v>0</v>
      </c>
      <c r="J304" s="33">
        <f>IF(C304="","",IF(G304&lt;&gt;"",G304,IFERROR(INDEX(Materials!$W$5:$W$254,MATCH(C304,Materials!$A$5:$A$254,0)),DefaultWaste)))</f>
        <v>0</v>
      </c>
      <c r="K304" s="36">
        <f>IF(C304="","",IF(F304="","",ROUND(F304*(1+J304),4)))</f>
        <v>0</v>
      </c>
      <c r="L304" s="45">
        <f>IF(C304="","",IFERROR(INDEX(Materials!$S$5:$S$254,MATCH(C304,Materials!$A$5:$A$254,0)),""))</f>
        <v>0</v>
      </c>
      <c r="M304" s="45">
        <f>IF(C304="","",IF(OR(K304="",L304=""),"",ROUND(K304*L304,4)))</f>
        <v>0</v>
      </c>
      <c r="N304" s="20">
        <f>IF(A304="","",ROUND(SUMIFS('Material Usage'!$M$5:$M$904,'Material Usage'!$A$5:$A$904,A304),2))</f>
        <v>0</v>
      </c>
      <c r="O304" s="33">
        <f>IF(A304="","",IF(OR(M304="",N304="",N304=0),"",M304/N304))</f>
        <v>0</v>
      </c>
      <c r="P304" s="32">
        <f>IF(A304="","",COUNTIFS($A$5:A304,A304))</f>
        <v>0</v>
      </c>
      <c r="Q304" s="13">
        <f>IF(A304="","",A304&amp;"|"&amp;P304)</f>
        <v>0</v>
      </c>
      <c r="R304" s="43">
        <f>IF(AND(A304="",C304=""),"",IF(A304="","Add - which product?",IF(C304="","Add - which material?",IF(B304="Not found","Check - no such product ID",IF(D304="Add to Materials","Check - no such material ID",IF(OR(F304="",F304=0),"Add - how much?",IF(L304="","Check - that material has no price","OK")))))))</f>
        <v>0</v>
      </c>
    </row>
    <row r="305" spans="2:18">
      <c r="B305" s="13">
        <f>IF(A305="","",IFERROR(INDEX(Products!$B$5:$B$304,MATCH(A305,Products!$A$5:$A$304,0)),"Not found"))</f>
        <v>0</v>
      </c>
      <c r="D305" s="13">
        <f>IF(C305="","",IFERROR(INDEX(Materials!$B$5:$B$254,MATCH(C305,Materials!$A$5:$A$254,0)),"Add to Materials"))</f>
        <v>0</v>
      </c>
      <c r="E305" s="13">
        <f>IF(C305="","",IFERROR(INDEX(Materials!$H$5:$H$254,MATCH(C305,Materials!$A$5:$A$254,0)),"Add to Materials"))</f>
        <v>0</v>
      </c>
      <c r="J305" s="33">
        <f>IF(C305="","",IF(G305&lt;&gt;"",G305,IFERROR(INDEX(Materials!$W$5:$W$254,MATCH(C305,Materials!$A$5:$A$254,0)),DefaultWaste)))</f>
        <v>0</v>
      </c>
      <c r="K305" s="36">
        <f>IF(C305="","",IF(F305="","",ROUND(F305*(1+J305),4)))</f>
        <v>0</v>
      </c>
      <c r="L305" s="45">
        <f>IF(C305="","",IFERROR(INDEX(Materials!$S$5:$S$254,MATCH(C305,Materials!$A$5:$A$254,0)),""))</f>
        <v>0</v>
      </c>
      <c r="M305" s="45">
        <f>IF(C305="","",IF(OR(K305="",L305=""),"",ROUND(K305*L305,4)))</f>
        <v>0</v>
      </c>
      <c r="N305" s="20">
        <f>IF(A305="","",ROUND(SUMIFS('Material Usage'!$M$5:$M$904,'Material Usage'!$A$5:$A$904,A305),2))</f>
        <v>0</v>
      </c>
      <c r="O305" s="33">
        <f>IF(A305="","",IF(OR(M305="",N305="",N305=0),"",M305/N305))</f>
        <v>0</v>
      </c>
      <c r="P305" s="32">
        <f>IF(A305="","",COUNTIFS($A$5:A305,A305))</f>
        <v>0</v>
      </c>
      <c r="Q305" s="13">
        <f>IF(A305="","",A305&amp;"|"&amp;P305)</f>
        <v>0</v>
      </c>
      <c r="R305" s="43">
        <f>IF(AND(A305="",C305=""),"",IF(A305="","Add - which product?",IF(C305="","Add - which material?",IF(B305="Not found","Check - no such product ID",IF(D305="Add to Materials","Check - no such material ID",IF(OR(F305="",F305=0),"Add - how much?",IF(L305="","Check - that material has no price","OK")))))))</f>
        <v>0</v>
      </c>
    </row>
    <row r="306" spans="2:18">
      <c r="B306" s="13">
        <f>IF(A306="","",IFERROR(INDEX(Products!$B$5:$B$304,MATCH(A306,Products!$A$5:$A$304,0)),"Not found"))</f>
        <v>0</v>
      </c>
      <c r="D306" s="13">
        <f>IF(C306="","",IFERROR(INDEX(Materials!$B$5:$B$254,MATCH(C306,Materials!$A$5:$A$254,0)),"Add to Materials"))</f>
        <v>0</v>
      </c>
      <c r="E306" s="13">
        <f>IF(C306="","",IFERROR(INDEX(Materials!$H$5:$H$254,MATCH(C306,Materials!$A$5:$A$254,0)),"Add to Materials"))</f>
        <v>0</v>
      </c>
      <c r="J306" s="33">
        <f>IF(C306="","",IF(G306&lt;&gt;"",G306,IFERROR(INDEX(Materials!$W$5:$W$254,MATCH(C306,Materials!$A$5:$A$254,0)),DefaultWaste)))</f>
        <v>0</v>
      </c>
      <c r="K306" s="36">
        <f>IF(C306="","",IF(F306="","",ROUND(F306*(1+J306),4)))</f>
        <v>0</v>
      </c>
      <c r="L306" s="45">
        <f>IF(C306="","",IFERROR(INDEX(Materials!$S$5:$S$254,MATCH(C306,Materials!$A$5:$A$254,0)),""))</f>
        <v>0</v>
      </c>
      <c r="M306" s="45">
        <f>IF(C306="","",IF(OR(K306="",L306=""),"",ROUND(K306*L306,4)))</f>
        <v>0</v>
      </c>
      <c r="N306" s="20">
        <f>IF(A306="","",ROUND(SUMIFS('Material Usage'!$M$5:$M$904,'Material Usage'!$A$5:$A$904,A306),2))</f>
        <v>0</v>
      </c>
      <c r="O306" s="33">
        <f>IF(A306="","",IF(OR(M306="",N306="",N306=0),"",M306/N306))</f>
        <v>0</v>
      </c>
      <c r="P306" s="32">
        <f>IF(A306="","",COUNTIFS($A$5:A306,A306))</f>
        <v>0</v>
      </c>
      <c r="Q306" s="13">
        <f>IF(A306="","",A306&amp;"|"&amp;P306)</f>
        <v>0</v>
      </c>
      <c r="R306" s="43">
        <f>IF(AND(A306="",C306=""),"",IF(A306="","Add - which product?",IF(C306="","Add - which material?",IF(B306="Not found","Check - no such product ID",IF(D306="Add to Materials","Check - no such material ID",IF(OR(F306="",F306=0),"Add - how much?",IF(L306="","Check - that material has no price","OK")))))))</f>
        <v>0</v>
      </c>
    </row>
    <row r="307" spans="2:18">
      <c r="B307" s="13">
        <f>IF(A307="","",IFERROR(INDEX(Products!$B$5:$B$304,MATCH(A307,Products!$A$5:$A$304,0)),"Not found"))</f>
        <v>0</v>
      </c>
      <c r="D307" s="13">
        <f>IF(C307="","",IFERROR(INDEX(Materials!$B$5:$B$254,MATCH(C307,Materials!$A$5:$A$254,0)),"Add to Materials"))</f>
        <v>0</v>
      </c>
      <c r="E307" s="13">
        <f>IF(C307="","",IFERROR(INDEX(Materials!$H$5:$H$254,MATCH(C307,Materials!$A$5:$A$254,0)),"Add to Materials"))</f>
        <v>0</v>
      </c>
      <c r="J307" s="33">
        <f>IF(C307="","",IF(G307&lt;&gt;"",G307,IFERROR(INDEX(Materials!$W$5:$W$254,MATCH(C307,Materials!$A$5:$A$254,0)),DefaultWaste)))</f>
        <v>0</v>
      </c>
      <c r="K307" s="36">
        <f>IF(C307="","",IF(F307="","",ROUND(F307*(1+J307),4)))</f>
        <v>0</v>
      </c>
      <c r="L307" s="45">
        <f>IF(C307="","",IFERROR(INDEX(Materials!$S$5:$S$254,MATCH(C307,Materials!$A$5:$A$254,0)),""))</f>
        <v>0</v>
      </c>
      <c r="M307" s="45">
        <f>IF(C307="","",IF(OR(K307="",L307=""),"",ROUND(K307*L307,4)))</f>
        <v>0</v>
      </c>
      <c r="N307" s="20">
        <f>IF(A307="","",ROUND(SUMIFS('Material Usage'!$M$5:$M$904,'Material Usage'!$A$5:$A$904,A307),2))</f>
        <v>0</v>
      </c>
      <c r="O307" s="33">
        <f>IF(A307="","",IF(OR(M307="",N307="",N307=0),"",M307/N307))</f>
        <v>0</v>
      </c>
      <c r="P307" s="32">
        <f>IF(A307="","",COUNTIFS($A$5:A307,A307))</f>
        <v>0</v>
      </c>
      <c r="Q307" s="13">
        <f>IF(A307="","",A307&amp;"|"&amp;P307)</f>
        <v>0</v>
      </c>
      <c r="R307" s="43">
        <f>IF(AND(A307="",C307=""),"",IF(A307="","Add - which product?",IF(C307="","Add - which material?",IF(B307="Not found","Check - no such product ID",IF(D307="Add to Materials","Check - no such material ID",IF(OR(F307="",F307=0),"Add - how much?",IF(L307="","Check - that material has no price","OK")))))))</f>
        <v>0</v>
      </c>
    </row>
    <row r="308" spans="2:18">
      <c r="B308" s="13">
        <f>IF(A308="","",IFERROR(INDEX(Products!$B$5:$B$304,MATCH(A308,Products!$A$5:$A$304,0)),"Not found"))</f>
        <v>0</v>
      </c>
      <c r="D308" s="13">
        <f>IF(C308="","",IFERROR(INDEX(Materials!$B$5:$B$254,MATCH(C308,Materials!$A$5:$A$254,0)),"Add to Materials"))</f>
        <v>0</v>
      </c>
      <c r="E308" s="13">
        <f>IF(C308="","",IFERROR(INDEX(Materials!$H$5:$H$254,MATCH(C308,Materials!$A$5:$A$254,0)),"Add to Materials"))</f>
        <v>0</v>
      </c>
      <c r="J308" s="33">
        <f>IF(C308="","",IF(G308&lt;&gt;"",G308,IFERROR(INDEX(Materials!$W$5:$W$254,MATCH(C308,Materials!$A$5:$A$254,0)),DefaultWaste)))</f>
        <v>0</v>
      </c>
      <c r="K308" s="36">
        <f>IF(C308="","",IF(F308="","",ROUND(F308*(1+J308),4)))</f>
        <v>0</v>
      </c>
      <c r="L308" s="45">
        <f>IF(C308="","",IFERROR(INDEX(Materials!$S$5:$S$254,MATCH(C308,Materials!$A$5:$A$254,0)),""))</f>
        <v>0</v>
      </c>
      <c r="M308" s="45">
        <f>IF(C308="","",IF(OR(K308="",L308=""),"",ROUND(K308*L308,4)))</f>
        <v>0</v>
      </c>
      <c r="N308" s="20">
        <f>IF(A308="","",ROUND(SUMIFS('Material Usage'!$M$5:$M$904,'Material Usage'!$A$5:$A$904,A308),2))</f>
        <v>0</v>
      </c>
      <c r="O308" s="33">
        <f>IF(A308="","",IF(OR(M308="",N308="",N308=0),"",M308/N308))</f>
        <v>0</v>
      </c>
      <c r="P308" s="32">
        <f>IF(A308="","",COUNTIFS($A$5:A308,A308))</f>
        <v>0</v>
      </c>
      <c r="Q308" s="13">
        <f>IF(A308="","",A308&amp;"|"&amp;P308)</f>
        <v>0</v>
      </c>
      <c r="R308" s="43">
        <f>IF(AND(A308="",C308=""),"",IF(A308="","Add - which product?",IF(C308="","Add - which material?",IF(B308="Not found","Check - no such product ID",IF(D308="Add to Materials","Check - no such material ID",IF(OR(F308="",F308=0),"Add - how much?",IF(L308="","Check - that material has no price","OK")))))))</f>
        <v>0</v>
      </c>
    </row>
    <row r="309" spans="2:18">
      <c r="B309" s="13">
        <f>IF(A309="","",IFERROR(INDEX(Products!$B$5:$B$304,MATCH(A309,Products!$A$5:$A$304,0)),"Not found"))</f>
        <v>0</v>
      </c>
      <c r="D309" s="13">
        <f>IF(C309="","",IFERROR(INDEX(Materials!$B$5:$B$254,MATCH(C309,Materials!$A$5:$A$254,0)),"Add to Materials"))</f>
        <v>0</v>
      </c>
      <c r="E309" s="13">
        <f>IF(C309="","",IFERROR(INDEX(Materials!$H$5:$H$254,MATCH(C309,Materials!$A$5:$A$254,0)),"Add to Materials"))</f>
        <v>0</v>
      </c>
      <c r="J309" s="33">
        <f>IF(C309="","",IF(G309&lt;&gt;"",G309,IFERROR(INDEX(Materials!$W$5:$W$254,MATCH(C309,Materials!$A$5:$A$254,0)),DefaultWaste)))</f>
        <v>0</v>
      </c>
      <c r="K309" s="36">
        <f>IF(C309="","",IF(F309="","",ROUND(F309*(1+J309),4)))</f>
        <v>0</v>
      </c>
      <c r="L309" s="45">
        <f>IF(C309="","",IFERROR(INDEX(Materials!$S$5:$S$254,MATCH(C309,Materials!$A$5:$A$254,0)),""))</f>
        <v>0</v>
      </c>
      <c r="M309" s="45">
        <f>IF(C309="","",IF(OR(K309="",L309=""),"",ROUND(K309*L309,4)))</f>
        <v>0</v>
      </c>
      <c r="N309" s="20">
        <f>IF(A309="","",ROUND(SUMIFS('Material Usage'!$M$5:$M$904,'Material Usage'!$A$5:$A$904,A309),2))</f>
        <v>0</v>
      </c>
      <c r="O309" s="33">
        <f>IF(A309="","",IF(OR(M309="",N309="",N309=0),"",M309/N309))</f>
        <v>0</v>
      </c>
      <c r="P309" s="32">
        <f>IF(A309="","",COUNTIFS($A$5:A309,A309))</f>
        <v>0</v>
      </c>
      <c r="Q309" s="13">
        <f>IF(A309="","",A309&amp;"|"&amp;P309)</f>
        <v>0</v>
      </c>
      <c r="R309" s="43">
        <f>IF(AND(A309="",C309=""),"",IF(A309="","Add - which product?",IF(C309="","Add - which material?",IF(B309="Not found","Check - no such product ID",IF(D309="Add to Materials","Check - no such material ID",IF(OR(F309="",F309=0),"Add - how much?",IF(L309="","Check - that material has no price","OK")))))))</f>
        <v>0</v>
      </c>
    </row>
    <row r="310" spans="2:18">
      <c r="B310" s="13">
        <f>IF(A310="","",IFERROR(INDEX(Products!$B$5:$B$304,MATCH(A310,Products!$A$5:$A$304,0)),"Not found"))</f>
        <v>0</v>
      </c>
      <c r="D310" s="13">
        <f>IF(C310="","",IFERROR(INDEX(Materials!$B$5:$B$254,MATCH(C310,Materials!$A$5:$A$254,0)),"Add to Materials"))</f>
        <v>0</v>
      </c>
      <c r="E310" s="13">
        <f>IF(C310="","",IFERROR(INDEX(Materials!$H$5:$H$254,MATCH(C310,Materials!$A$5:$A$254,0)),"Add to Materials"))</f>
        <v>0</v>
      </c>
      <c r="J310" s="33">
        <f>IF(C310="","",IF(G310&lt;&gt;"",G310,IFERROR(INDEX(Materials!$W$5:$W$254,MATCH(C310,Materials!$A$5:$A$254,0)),DefaultWaste)))</f>
        <v>0</v>
      </c>
      <c r="K310" s="36">
        <f>IF(C310="","",IF(F310="","",ROUND(F310*(1+J310),4)))</f>
        <v>0</v>
      </c>
      <c r="L310" s="45">
        <f>IF(C310="","",IFERROR(INDEX(Materials!$S$5:$S$254,MATCH(C310,Materials!$A$5:$A$254,0)),""))</f>
        <v>0</v>
      </c>
      <c r="M310" s="45">
        <f>IF(C310="","",IF(OR(K310="",L310=""),"",ROUND(K310*L310,4)))</f>
        <v>0</v>
      </c>
      <c r="N310" s="20">
        <f>IF(A310="","",ROUND(SUMIFS('Material Usage'!$M$5:$M$904,'Material Usage'!$A$5:$A$904,A310),2))</f>
        <v>0</v>
      </c>
      <c r="O310" s="33">
        <f>IF(A310="","",IF(OR(M310="",N310="",N310=0),"",M310/N310))</f>
        <v>0</v>
      </c>
      <c r="P310" s="32">
        <f>IF(A310="","",COUNTIFS($A$5:A310,A310))</f>
        <v>0</v>
      </c>
      <c r="Q310" s="13">
        <f>IF(A310="","",A310&amp;"|"&amp;P310)</f>
        <v>0</v>
      </c>
      <c r="R310" s="43">
        <f>IF(AND(A310="",C310=""),"",IF(A310="","Add - which product?",IF(C310="","Add - which material?",IF(B310="Not found","Check - no such product ID",IF(D310="Add to Materials","Check - no such material ID",IF(OR(F310="",F310=0),"Add - how much?",IF(L310="","Check - that material has no price","OK")))))))</f>
        <v>0</v>
      </c>
    </row>
    <row r="311" spans="2:18">
      <c r="B311" s="13">
        <f>IF(A311="","",IFERROR(INDEX(Products!$B$5:$B$304,MATCH(A311,Products!$A$5:$A$304,0)),"Not found"))</f>
        <v>0</v>
      </c>
      <c r="D311" s="13">
        <f>IF(C311="","",IFERROR(INDEX(Materials!$B$5:$B$254,MATCH(C311,Materials!$A$5:$A$254,0)),"Add to Materials"))</f>
        <v>0</v>
      </c>
      <c r="E311" s="13">
        <f>IF(C311="","",IFERROR(INDEX(Materials!$H$5:$H$254,MATCH(C311,Materials!$A$5:$A$254,0)),"Add to Materials"))</f>
        <v>0</v>
      </c>
      <c r="J311" s="33">
        <f>IF(C311="","",IF(G311&lt;&gt;"",G311,IFERROR(INDEX(Materials!$W$5:$W$254,MATCH(C311,Materials!$A$5:$A$254,0)),DefaultWaste)))</f>
        <v>0</v>
      </c>
      <c r="K311" s="36">
        <f>IF(C311="","",IF(F311="","",ROUND(F311*(1+J311),4)))</f>
        <v>0</v>
      </c>
      <c r="L311" s="45">
        <f>IF(C311="","",IFERROR(INDEX(Materials!$S$5:$S$254,MATCH(C311,Materials!$A$5:$A$254,0)),""))</f>
        <v>0</v>
      </c>
      <c r="M311" s="45">
        <f>IF(C311="","",IF(OR(K311="",L311=""),"",ROUND(K311*L311,4)))</f>
        <v>0</v>
      </c>
      <c r="N311" s="20">
        <f>IF(A311="","",ROUND(SUMIFS('Material Usage'!$M$5:$M$904,'Material Usage'!$A$5:$A$904,A311),2))</f>
        <v>0</v>
      </c>
      <c r="O311" s="33">
        <f>IF(A311="","",IF(OR(M311="",N311="",N311=0),"",M311/N311))</f>
        <v>0</v>
      </c>
      <c r="P311" s="32">
        <f>IF(A311="","",COUNTIFS($A$5:A311,A311))</f>
        <v>0</v>
      </c>
      <c r="Q311" s="13">
        <f>IF(A311="","",A311&amp;"|"&amp;P311)</f>
        <v>0</v>
      </c>
      <c r="R311" s="43">
        <f>IF(AND(A311="",C311=""),"",IF(A311="","Add - which product?",IF(C311="","Add - which material?",IF(B311="Not found","Check - no such product ID",IF(D311="Add to Materials","Check - no such material ID",IF(OR(F311="",F311=0),"Add - how much?",IF(L311="","Check - that material has no price","OK")))))))</f>
        <v>0</v>
      </c>
    </row>
    <row r="312" spans="2:18">
      <c r="B312" s="13">
        <f>IF(A312="","",IFERROR(INDEX(Products!$B$5:$B$304,MATCH(A312,Products!$A$5:$A$304,0)),"Not found"))</f>
        <v>0</v>
      </c>
      <c r="D312" s="13">
        <f>IF(C312="","",IFERROR(INDEX(Materials!$B$5:$B$254,MATCH(C312,Materials!$A$5:$A$254,0)),"Add to Materials"))</f>
        <v>0</v>
      </c>
      <c r="E312" s="13">
        <f>IF(C312="","",IFERROR(INDEX(Materials!$H$5:$H$254,MATCH(C312,Materials!$A$5:$A$254,0)),"Add to Materials"))</f>
        <v>0</v>
      </c>
      <c r="J312" s="33">
        <f>IF(C312="","",IF(G312&lt;&gt;"",G312,IFERROR(INDEX(Materials!$W$5:$W$254,MATCH(C312,Materials!$A$5:$A$254,0)),DefaultWaste)))</f>
        <v>0</v>
      </c>
      <c r="K312" s="36">
        <f>IF(C312="","",IF(F312="","",ROUND(F312*(1+J312),4)))</f>
        <v>0</v>
      </c>
      <c r="L312" s="45">
        <f>IF(C312="","",IFERROR(INDEX(Materials!$S$5:$S$254,MATCH(C312,Materials!$A$5:$A$254,0)),""))</f>
        <v>0</v>
      </c>
      <c r="M312" s="45">
        <f>IF(C312="","",IF(OR(K312="",L312=""),"",ROUND(K312*L312,4)))</f>
        <v>0</v>
      </c>
      <c r="N312" s="20">
        <f>IF(A312="","",ROUND(SUMIFS('Material Usage'!$M$5:$M$904,'Material Usage'!$A$5:$A$904,A312),2))</f>
        <v>0</v>
      </c>
      <c r="O312" s="33">
        <f>IF(A312="","",IF(OR(M312="",N312="",N312=0),"",M312/N312))</f>
        <v>0</v>
      </c>
      <c r="P312" s="32">
        <f>IF(A312="","",COUNTIFS($A$5:A312,A312))</f>
        <v>0</v>
      </c>
      <c r="Q312" s="13">
        <f>IF(A312="","",A312&amp;"|"&amp;P312)</f>
        <v>0</v>
      </c>
      <c r="R312" s="43">
        <f>IF(AND(A312="",C312=""),"",IF(A312="","Add - which product?",IF(C312="","Add - which material?",IF(B312="Not found","Check - no such product ID",IF(D312="Add to Materials","Check - no such material ID",IF(OR(F312="",F312=0),"Add - how much?",IF(L312="","Check - that material has no price","OK")))))))</f>
        <v>0</v>
      </c>
    </row>
    <row r="313" spans="2:18">
      <c r="B313" s="13">
        <f>IF(A313="","",IFERROR(INDEX(Products!$B$5:$B$304,MATCH(A313,Products!$A$5:$A$304,0)),"Not found"))</f>
        <v>0</v>
      </c>
      <c r="D313" s="13">
        <f>IF(C313="","",IFERROR(INDEX(Materials!$B$5:$B$254,MATCH(C313,Materials!$A$5:$A$254,0)),"Add to Materials"))</f>
        <v>0</v>
      </c>
      <c r="E313" s="13">
        <f>IF(C313="","",IFERROR(INDEX(Materials!$H$5:$H$254,MATCH(C313,Materials!$A$5:$A$254,0)),"Add to Materials"))</f>
        <v>0</v>
      </c>
      <c r="J313" s="33">
        <f>IF(C313="","",IF(G313&lt;&gt;"",G313,IFERROR(INDEX(Materials!$W$5:$W$254,MATCH(C313,Materials!$A$5:$A$254,0)),DefaultWaste)))</f>
        <v>0</v>
      </c>
      <c r="K313" s="36">
        <f>IF(C313="","",IF(F313="","",ROUND(F313*(1+J313),4)))</f>
        <v>0</v>
      </c>
      <c r="L313" s="45">
        <f>IF(C313="","",IFERROR(INDEX(Materials!$S$5:$S$254,MATCH(C313,Materials!$A$5:$A$254,0)),""))</f>
        <v>0</v>
      </c>
      <c r="M313" s="45">
        <f>IF(C313="","",IF(OR(K313="",L313=""),"",ROUND(K313*L313,4)))</f>
        <v>0</v>
      </c>
      <c r="N313" s="20">
        <f>IF(A313="","",ROUND(SUMIFS('Material Usage'!$M$5:$M$904,'Material Usage'!$A$5:$A$904,A313),2))</f>
        <v>0</v>
      </c>
      <c r="O313" s="33">
        <f>IF(A313="","",IF(OR(M313="",N313="",N313=0),"",M313/N313))</f>
        <v>0</v>
      </c>
      <c r="P313" s="32">
        <f>IF(A313="","",COUNTIFS($A$5:A313,A313))</f>
        <v>0</v>
      </c>
      <c r="Q313" s="13">
        <f>IF(A313="","",A313&amp;"|"&amp;P313)</f>
        <v>0</v>
      </c>
      <c r="R313" s="43">
        <f>IF(AND(A313="",C313=""),"",IF(A313="","Add - which product?",IF(C313="","Add - which material?",IF(B313="Not found","Check - no such product ID",IF(D313="Add to Materials","Check - no such material ID",IF(OR(F313="",F313=0),"Add - how much?",IF(L313="","Check - that material has no price","OK")))))))</f>
        <v>0</v>
      </c>
    </row>
    <row r="314" spans="2:18">
      <c r="B314" s="13">
        <f>IF(A314="","",IFERROR(INDEX(Products!$B$5:$B$304,MATCH(A314,Products!$A$5:$A$304,0)),"Not found"))</f>
        <v>0</v>
      </c>
      <c r="D314" s="13">
        <f>IF(C314="","",IFERROR(INDEX(Materials!$B$5:$B$254,MATCH(C314,Materials!$A$5:$A$254,0)),"Add to Materials"))</f>
        <v>0</v>
      </c>
      <c r="E314" s="13">
        <f>IF(C314="","",IFERROR(INDEX(Materials!$H$5:$H$254,MATCH(C314,Materials!$A$5:$A$254,0)),"Add to Materials"))</f>
        <v>0</v>
      </c>
      <c r="J314" s="33">
        <f>IF(C314="","",IF(G314&lt;&gt;"",G314,IFERROR(INDEX(Materials!$W$5:$W$254,MATCH(C314,Materials!$A$5:$A$254,0)),DefaultWaste)))</f>
        <v>0</v>
      </c>
      <c r="K314" s="36">
        <f>IF(C314="","",IF(F314="","",ROUND(F314*(1+J314),4)))</f>
        <v>0</v>
      </c>
      <c r="L314" s="45">
        <f>IF(C314="","",IFERROR(INDEX(Materials!$S$5:$S$254,MATCH(C314,Materials!$A$5:$A$254,0)),""))</f>
        <v>0</v>
      </c>
      <c r="M314" s="45">
        <f>IF(C314="","",IF(OR(K314="",L314=""),"",ROUND(K314*L314,4)))</f>
        <v>0</v>
      </c>
      <c r="N314" s="20">
        <f>IF(A314="","",ROUND(SUMIFS('Material Usage'!$M$5:$M$904,'Material Usage'!$A$5:$A$904,A314),2))</f>
        <v>0</v>
      </c>
      <c r="O314" s="33">
        <f>IF(A314="","",IF(OR(M314="",N314="",N314=0),"",M314/N314))</f>
        <v>0</v>
      </c>
      <c r="P314" s="32">
        <f>IF(A314="","",COUNTIFS($A$5:A314,A314))</f>
        <v>0</v>
      </c>
      <c r="Q314" s="13">
        <f>IF(A314="","",A314&amp;"|"&amp;P314)</f>
        <v>0</v>
      </c>
      <c r="R314" s="43">
        <f>IF(AND(A314="",C314=""),"",IF(A314="","Add - which product?",IF(C314="","Add - which material?",IF(B314="Not found","Check - no such product ID",IF(D314="Add to Materials","Check - no such material ID",IF(OR(F314="",F314=0),"Add - how much?",IF(L314="","Check - that material has no price","OK")))))))</f>
        <v>0</v>
      </c>
    </row>
    <row r="315" spans="2:18">
      <c r="B315" s="13">
        <f>IF(A315="","",IFERROR(INDEX(Products!$B$5:$B$304,MATCH(A315,Products!$A$5:$A$304,0)),"Not found"))</f>
        <v>0</v>
      </c>
      <c r="D315" s="13">
        <f>IF(C315="","",IFERROR(INDEX(Materials!$B$5:$B$254,MATCH(C315,Materials!$A$5:$A$254,0)),"Add to Materials"))</f>
        <v>0</v>
      </c>
      <c r="E315" s="13">
        <f>IF(C315="","",IFERROR(INDEX(Materials!$H$5:$H$254,MATCH(C315,Materials!$A$5:$A$254,0)),"Add to Materials"))</f>
        <v>0</v>
      </c>
      <c r="J315" s="33">
        <f>IF(C315="","",IF(G315&lt;&gt;"",G315,IFERROR(INDEX(Materials!$W$5:$W$254,MATCH(C315,Materials!$A$5:$A$254,0)),DefaultWaste)))</f>
        <v>0</v>
      </c>
      <c r="K315" s="36">
        <f>IF(C315="","",IF(F315="","",ROUND(F315*(1+J315),4)))</f>
        <v>0</v>
      </c>
      <c r="L315" s="45">
        <f>IF(C315="","",IFERROR(INDEX(Materials!$S$5:$S$254,MATCH(C315,Materials!$A$5:$A$254,0)),""))</f>
        <v>0</v>
      </c>
      <c r="M315" s="45">
        <f>IF(C315="","",IF(OR(K315="",L315=""),"",ROUND(K315*L315,4)))</f>
        <v>0</v>
      </c>
      <c r="N315" s="20">
        <f>IF(A315="","",ROUND(SUMIFS('Material Usage'!$M$5:$M$904,'Material Usage'!$A$5:$A$904,A315),2))</f>
        <v>0</v>
      </c>
      <c r="O315" s="33">
        <f>IF(A315="","",IF(OR(M315="",N315="",N315=0),"",M315/N315))</f>
        <v>0</v>
      </c>
      <c r="P315" s="32">
        <f>IF(A315="","",COUNTIFS($A$5:A315,A315))</f>
        <v>0</v>
      </c>
      <c r="Q315" s="13">
        <f>IF(A315="","",A315&amp;"|"&amp;P315)</f>
        <v>0</v>
      </c>
      <c r="R315" s="43">
        <f>IF(AND(A315="",C315=""),"",IF(A315="","Add - which product?",IF(C315="","Add - which material?",IF(B315="Not found","Check - no such product ID",IF(D315="Add to Materials","Check - no such material ID",IF(OR(F315="",F315=0),"Add - how much?",IF(L315="","Check - that material has no price","OK")))))))</f>
        <v>0</v>
      </c>
    </row>
    <row r="316" spans="2:18">
      <c r="B316" s="13">
        <f>IF(A316="","",IFERROR(INDEX(Products!$B$5:$B$304,MATCH(A316,Products!$A$5:$A$304,0)),"Not found"))</f>
        <v>0</v>
      </c>
      <c r="D316" s="13">
        <f>IF(C316="","",IFERROR(INDEX(Materials!$B$5:$B$254,MATCH(C316,Materials!$A$5:$A$254,0)),"Add to Materials"))</f>
        <v>0</v>
      </c>
      <c r="E316" s="13">
        <f>IF(C316="","",IFERROR(INDEX(Materials!$H$5:$H$254,MATCH(C316,Materials!$A$5:$A$254,0)),"Add to Materials"))</f>
        <v>0</v>
      </c>
      <c r="J316" s="33">
        <f>IF(C316="","",IF(G316&lt;&gt;"",G316,IFERROR(INDEX(Materials!$W$5:$W$254,MATCH(C316,Materials!$A$5:$A$254,0)),DefaultWaste)))</f>
        <v>0</v>
      </c>
      <c r="K316" s="36">
        <f>IF(C316="","",IF(F316="","",ROUND(F316*(1+J316),4)))</f>
        <v>0</v>
      </c>
      <c r="L316" s="45">
        <f>IF(C316="","",IFERROR(INDEX(Materials!$S$5:$S$254,MATCH(C316,Materials!$A$5:$A$254,0)),""))</f>
        <v>0</v>
      </c>
      <c r="M316" s="45">
        <f>IF(C316="","",IF(OR(K316="",L316=""),"",ROUND(K316*L316,4)))</f>
        <v>0</v>
      </c>
      <c r="N316" s="20">
        <f>IF(A316="","",ROUND(SUMIFS('Material Usage'!$M$5:$M$904,'Material Usage'!$A$5:$A$904,A316),2))</f>
        <v>0</v>
      </c>
      <c r="O316" s="33">
        <f>IF(A316="","",IF(OR(M316="",N316="",N316=0),"",M316/N316))</f>
        <v>0</v>
      </c>
      <c r="P316" s="32">
        <f>IF(A316="","",COUNTIFS($A$5:A316,A316))</f>
        <v>0</v>
      </c>
      <c r="Q316" s="13">
        <f>IF(A316="","",A316&amp;"|"&amp;P316)</f>
        <v>0</v>
      </c>
      <c r="R316" s="43">
        <f>IF(AND(A316="",C316=""),"",IF(A316="","Add - which product?",IF(C316="","Add - which material?",IF(B316="Not found","Check - no such product ID",IF(D316="Add to Materials","Check - no such material ID",IF(OR(F316="",F316=0),"Add - how much?",IF(L316="","Check - that material has no price","OK")))))))</f>
        <v>0</v>
      </c>
    </row>
    <row r="317" spans="2:18">
      <c r="B317" s="13">
        <f>IF(A317="","",IFERROR(INDEX(Products!$B$5:$B$304,MATCH(A317,Products!$A$5:$A$304,0)),"Not found"))</f>
        <v>0</v>
      </c>
      <c r="D317" s="13">
        <f>IF(C317="","",IFERROR(INDEX(Materials!$B$5:$B$254,MATCH(C317,Materials!$A$5:$A$254,0)),"Add to Materials"))</f>
        <v>0</v>
      </c>
      <c r="E317" s="13">
        <f>IF(C317="","",IFERROR(INDEX(Materials!$H$5:$H$254,MATCH(C317,Materials!$A$5:$A$254,0)),"Add to Materials"))</f>
        <v>0</v>
      </c>
      <c r="J317" s="33">
        <f>IF(C317="","",IF(G317&lt;&gt;"",G317,IFERROR(INDEX(Materials!$W$5:$W$254,MATCH(C317,Materials!$A$5:$A$254,0)),DefaultWaste)))</f>
        <v>0</v>
      </c>
      <c r="K317" s="36">
        <f>IF(C317="","",IF(F317="","",ROUND(F317*(1+J317),4)))</f>
        <v>0</v>
      </c>
      <c r="L317" s="45">
        <f>IF(C317="","",IFERROR(INDEX(Materials!$S$5:$S$254,MATCH(C317,Materials!$A$5:$A$254,0)),""))</f>
        <v>0</v>
      </c>
      <c r="M317" s="45">
        <f>IF(C317="","",IF(OR(K317="",L317=""),"",ROUND(K317*L317,4)))</f>
        <v>0</v>
      </c>
      <c r="N317" s="20">
        <f>IF(A317="","",ROUND(SUMIFS('Material Usage'!$M$5:$M$904,'Material Usage'!$A$5:$A$904,A317),2))</f>
        <v>0</v>
      </c>
      <c r="O317" s="33">
        <f>IF(A317="","",IF(OR(M317="",N317="",N317=0),"",M317/N317))</f>
        <v>0</v>
      </c>
      <c r="P317" s="32">
        <f>IF(A317="","",COUNTIFS($A$5:A317,A317))</f>
        <v>0</v>
      </c>
      <c r="Q317" s="13">
        <f>IF(A317="","",A317&amp;"|"&amp;P317)</f>
        <v>0</v>
      </c>
      <c r="R317" s="43">
        <f>IF(AND(A317="",C317=""),"",IF(A317="","Add - which product?",IF(C317="","Add - which material?",IF(B317="Not found","Check - no such product ID",IF(D317="Add to Materials","Check - no such material ID",IF(OR(F317="",F317=0),"Add - how much?",IF(L317="","Check - that material has no price","OK")))))))</f>
        <v>0</v>
      </c>
    </row>
    <row r="318" spans="2:18">
      <c r="B318" s="13">
        <f>IF(A318="","",IFERROR(INDEX(Products!$B$5:$B$304,MATCH(A318,Products!$A$5:$A$304,0)),"Not found"))</f>
        <v>0</v>
      </c>
      <c r="D318" s="13">
        <f>IF(C318="","",IFERROR(INDEX(Materials!$B$5:$B$254,MATCH(C318,Materials!$A$5:$A$254,0)),"Add to Materials"))</f>
        <v>0</v>
      </c>
      <c r="E318" s="13">
        <f>IF(C318="","",IFERROR(INDEX(Materials!$H$5:$H$254,MATCH(C318,Materials!$A$5:$A$254,0)),"Add to Materials"))</f>
        <v>0</v>
      </c>
      <c r="J318" s="33">
        <f>IF(C318="","",IF(G318&lt;&gt;"",G318,IFERROR(INDEX(Materials!$W$5:$W$254,MATCH(C318,Materials!$A$5:$A$254,0)),DefaultWaste)))</f>
        <v>0</v>
      </c>
      <c r="K318" s="36">
        <f>IF(C318="","",IF(F318="","",ROUND(F318*(1+J318),4)))</f>
        <v>0</v>
      </c>
      <c r="L318" s="45">
        <f>IF(C318="","",IFERROR(INDEX(Materials!$S$5:$S$254,MATCH(C318,Materials!$A$5:$A$254,0)),""))</f>
        <v>0</v>
      </c>
      <c r="M318" s="45">
        <f>IF(C318="","",IF(OR(K318="",L318=""),"",ROUND(K318*L318,4)))</f>
        <v>0</v>
      </c>
      <c r="N318" s="20">
        <f>IF(A318="","",ROUND(SUMIFS('Material Usage'!$M$5:$M$904,'Material Usage'!$A$5:$A$904,A318),2))</f>
        <v>0</v>
      </c>
      <c r="O318" s="33">
        <f>IF(A318="","",IF(OR(M318="",N318="",N318=0),"",M318/N318))</f>
        <v>0</v>
      </c>
      <c r="P318" s="32">
        <f>IF(A318="","",COUNTIFS($A$5:A318,A318))</f>
        <v>0</v>
      </c>
      <c r="Q318" s="13">
        <f>IF(A318="","",A318&amp;"|"&amp;P318)</f>
        <v>0</v>
      </c>
      <c r="R318" s="43">
        <f>IF(AND(A318="",C318=""),"",IF(A318="","Add - which product?",IF(C318="","Add - which material?",IF(B318="Not found","Check - no such product ID",IF(D318="Add to Materials","Check - no such material ID",IF(OR(F318="",F318=0),"Add - how much?",IF(L318="","Check - that material has no price","OK")))))))</f>
        <v>0</v>
      </c>
    </row>
    <row r="319" spans="2:18">
      <c r="B319" s="13">
        <f>IF(A319="","",IFERROR(INDEX(Products!$B$5:$B$304,MATCH(A319,Products!$A$5:$A$304,0)),"Not found"))</f>
        <v>0</v>
      </c>
      <c r="D319" s="13">
        <f>IF(C319="","",IFERROR(INDEX(Materials!$B$5:$B$254,MATCH(C319,Materials!$A$5:$A$254,0)),"Add to Materials"))</f>
        <v>0</v>
      </c>
      <c r="E319" s="13">
        <f>IF(C319="","",IFERROR(INDEX(Materials!$H$5:$H$254,MATCH(C319,Materials!$A$5:$A$254,0)),"Add to Materials"))</f>
        <v>0</v>
      </c>
      <c r="J319" s="33">
        <f>IF(C319="","",IF(G319&lt;&gt;"",G319,IFERROR(INDEX(Materials!$W$5:$W$254,MATCH(C319,Materials!$A$5:$A$254,0)),DefaultWaste)))</f>
        <v>0</v>
      </c>
      <c r="K319" s="36">
        <f>IF(C319="","",IF(F319="","",ROUND(F319*(1+J319),4)))</f>
        <v>0</v>
      </c>
      <c r="L319" s="45">
        <f>IF(C319="","",IFERROR(INDEX(Materials!$S$5:$S$254,MATCH(C319,Materials!$A$5:$A$254,0)),""))</f>
        <v>0</v>
      </c>
      <c r="M319" s="45">
        <f>IF(C319="","",IF(OR(K319="",L319=""),"",ROUND(K319*L319,4)))</f>
        <v>0</v>
      </c>
      <c r="N319" s="20">
        <f>IF(A319="","",ROUND(SUMIFS('Material Usage'!$M$5:$M$904,'Material Usage'!$A$5:$A$904,A319),2))</f>
        <v>0</v>
      </c>
      <c r="O319" s="33">
        <f>IF(A319="","",IF(OR(M319="",N319="",N319=0),"",M319/N319))</f>
        <v>0</v>
      </c>
      <c r="P319" s="32">
        <f>IF(A319="","",COUNTIFS($A$5:A319,A319))</f>
        <v>0</v>
      </c>
      <c r="Q319" s="13">
        <f>IF(A319="","",A319&amp;"|"&amp;P319)</f>
        <v>0</v>
      </c>
      <c r="R319" s="43">
        <f>IF(AND(A319="",C319=""),"",IF(A319="","Add - which product?",IF(C319="","Add - which material?",IF(B319="Not found","Check - no such product ID",IF(D319="Add to Materials","Check - no such material ID",IF(OR(F319="",F319=0),"Add - how much?",IF(L319="","Check - that material has no price","OK")))))))</f>
        <v>0</v>
      </c>
    </row>
    <row r="320" spans="2:18">
      <c r="B320" s="13">
        <f>IF(A320="","",IFERROR(INDEX(Products!$B$5:$B$304,MATCH(A320,Products!$A$5:$A$304,0)),"Not found"))</f>
        <v>0</v>
      </c>
      <c r="D320" s="13">
        <f>IF(C320="","",IFERROR(INDEX(Materials!$B$5:$B$254,MATCH(C320,Materials!$A$5:$A$254,0)),"Add to Materials"))</f>
        <v>0</v>
      </c>
      <c r="E320" s="13">
        <f>IF(C320="","",IFERROR(INDEX(Materials!$H$5:$H$254,MATCH(C320,Materials!$A$5:$A$254,0)),"Add to Materials"))</f>
        <v>0</v>
      </c>
      <c r="J320" s="33">
        <f>IF(C320="","",IF(G320&lt;&gt;"",G320,IFERROR(INDEX(Materials!$W$5:$W$254,MATCH(C320,Materials!$A$5:$A$254,0)),DefaultWaste)))</f>
        <v>0</v>
      </c>
      <c r="K320" s="36">
        <f>IF(C320="","",IF(F320="","",ROUND(F320*(1+J320),4)))</f>
        <v>0</v>
      </c>
      <c r="L320" s="45">
        <f>IF(C320="","",IFERROR(INDEX(Materials!$S$5:$S$254,MATCH(C320,Materials!$A$5:$A$254,0)),""))</f>
        <v>0</v>
      </c>
      <c r="M320" s="45">
        <f>IF(C320="","",IF(OR(K320="",L320=""),"",ROUND(K320*L320,4)))</f>
        <v>0</v>
      </c>
      <c r="N320" s="20">
        <f>IF(A320="","",ROUND(SUMIFS('Material Usage'!$M$5:$M$904,'Material Usage'!$A$5:$A$904,A320),2))</f>
        <v>0</v>
      </c>
      <c r="O320" s="33">
        <f>IF(A320="","",IF(OR(M320="",N320="",N320=0),"",M320/N320))</f>
        <v>0</v>
      </c>
      <c r="P320" s="32">
        <f>IF(A320="","",COUNTIFS($A$5:A320,A320))</f>
        <v>0</v>
      </c>
      <c r="Q320" s="13">
        <f>IF(A320="","",A320&amp;"|"&amp;P320)</f>
        <v>0</v>
      </c>
      <c r="R320" s="43">
        <f>IF(AND(A320="",C320=""),"",IF(A320="","Add - which product?",IF(C320="","Add - which material?",IF(B320="Not found","Check - no such product ID",IF(D320="Add to Materials","Check - no such material ID",IF(OR(F320="",F320=0),"Add - how much?",IF(L320="","Check - that material has no price","OK")))))))</f>
        <v>0</v>
      </c>
    </row>
    <row r="321" spans="2:18">
      <c r="B321" s="13">
        <f>IF(A321="","",IFERROR(INDEX(Products!$B$5:$B$304,MATCH(A321,Products!$A$5:$A$304,0)),"Not found"))</f>
        <v>0</v>
      </c>
      <c r="D321" s="13">
        <f>IF(C321="","",IFERROR(INDEX(Materials!$B$5:$B$254,MATCH(C321,Materials!$A$5:$A$254,0)),"Add to Materials"))</f>
        <v>0</v>
      </c>
      <c r="E321" s="13">
        <f>IF(C321="","",IFERROR(INDEX(Materials!$H$5:$H$254,MATCH(C321,Materials!$A$5:$A$254,0)),"Add to Materials"))</f>
        <v>0</v>
      </c>
      <c r="J321" s="33">
        <f>IF(C321="","",IF(G321&lt;&gt;"",G321,IFERROR(INDEX(Materials!$W$5:$W$254,MATCH(C321,Materials!$A$5:$A$254,0)),DefaultWaste)))</f>
        <v>0</v>
      </c>
      <c r="K321" s="36">
        <f>IF(C321="","",IF(F321="","",ROUND(F321*(1+J321),4)))</f>
        <v>0</v>
      </c>
      <c r="L321" s="45">
        <f>IF(C321="","",IFERROR(INDEX(Materials!$S$5:$S$254,MATCH(C321,Materials!$A$5:$A$254,0)),""))</f>
        <v>0</v>
      </c>
      <c r="M321" s="45">
        <f>IF(C321="","",IF(OR(K321="",L321=""),"",ROUND(K321*L321,4)))</f>
        <v>0</v>
      </c>
      <c r="N321" s="20">
        <f>IF(A321="","",ROUND(SUMIFS('Material Usage'!$M$5:$M$904,'Material Usage'!$A$5:$A$904,A321),2))</f>
        <v>0</v>
      </c>
      <c r="O321" s="33">
        <f>IF(A321="","",IF(OR(M321="",N321="",N321=0),"",M321/N321))</f>
        <v>0</v>
      </c>
      <c r="P321" s="32">
        <f>IF(A321="","",COUNTIFS($A$5:A321,A321))</f>
        <v>0</v>
      </c>
      <c r="Q321" s="13">
        <f>IF(A321="","",A321&amp;"|"&amp;P321)</f>
        <v>0</v>
      </c>
      <c r="R321" s="43">
        <f>IF(AND(A321="",C321=""),"",IF(A321="","Add - which product?",IF(C321="","Add - which material?",IF(B321="Not found","Check - no such product ID",IF(D321="Add to Materials","Check - no such material ID",IF(OR(F321="",F321=0),"Add - how much?",IF(L321="","Check - that material has no price","OK")))))))</f>
        <v>0</v>
      </c>
    </row>
    <row r="322" spans="2:18">
      <c r="B322" s="13">
        <f>IF(A322="","",IFERROR(INDEX(Products!$B$5:$B$304,MATCH(A322,Products!$A$5:$A$304,0)),"Not found"))</f>
        <v>0</v>
      </c>
      <c r="D322" s="13">
        <f>IF(C322="","",IFERROR(INDEX(Materials!$B$5:$B$254,MATCH(C322,Materials!$A$5:$A$254,0)),"Add to Materials"))</f>
        <v>0</v>
      </c>
      <c r="E322" s="13">
        <f>IF(C322="","",IFERROR(INDEX(Materials!$H$5:$H$254,MATCH(C322,Materials!$A$5:$A$254,0)),"Add to Materials"))</f>
        <v>0</v>
      </c>
      <c r="J322" s="33">
        <f>IF(C322="","",IF(G322&lt;&gt;"",G322,IFERROR(INDEX(Materials!$W$5:$W$254,MATCH(C322,Materials!$A$5:$A$254,0)),DefaultWaste)))</f>
        <v>0</v>
      </c>
      <c r="K322" s="36">
        <f>IF(C322="","",IF(F322="","",ROUND(F322*(1+J322),4)))</f>
        <v>0</v>
      </c>
      <c r="L322" s="45">
        <f>IF(C322="","",IFERROR(INDEX(Materials!$S$5:$S$254,MATCH(C322,Materials!$A$5:$A$254,0)),""))</f>
        <v>0</v>
      </c>
      <c r="M322" s="45">
        <f>IF(C322="","",IF(OR(K322="",L322=""),"",ROUND(K322*L322,4)))</f>
        <v>0</v>
      </c>
      <c r="N322" s="20">
        <f>IF(A322="","",ROUND(SUMIFS('Material Usage'!$M$5:$M$904,'Material Usage'!$A$5:$A$904,A322),2))</f>
        <v>0</v>
      </c>
      <c r="O322" s="33">
        <f>IF(A322="","",IF(OR(M322="",N322="",N322=0),"",M322/N322))</f>
        <v>0</v>
      </c>
      <c r="P322" s="32">
        <f>IF(A322="","",COUNTIFS($A$5:A322,A322))</f>
        <v>0</v>
      </c>
      <c r="Q322" s="13">
        <f>IF(A322="","",A322&amp;"|"&amp;P322)</f>
        <v>0</v>
      </c>
      <c r="R322" s="43">
        <f>IF(AND(A322="",C322=""),"",IF(A322="","Add - which product?",IF(C322="","Add - which material?",IF(B322="Not found","Check - no such product ID",IF(D322="Add to Materials","Check - no such material ID",IF(OR(F322="",F322=0),"Add - how much?",IF(L322="","Check - that material has no price","OK")))))))</f>
        <v>0</v>
      </c>
    </row>
    <row r="323" spans="2:18">
      <c r="B323" s="13">
        <f>IF(A323="","",IFERROR(INDEX(Products!$B$5:$B$304,MATCH(A323,Products!$A$5:$A$304,0)),"Not found"))</f>
        <v>0</v>
      </c>
      <c r="D323" s="13">
        <f>IF(C323="","",IFERROR(INDEX(Materials!$B$5:$B$254,MATCH(C323,Materials!$A$5:$A$254,0)),"Add to Materials"))</f>
        <v>0</v>
      </c>
      <c r="E323" s="13">
        <f>IF(C323="","",IFERROR(INDEX(Materials!$H$5:$H$254,MATCH(C323,Materials!$A$5:$A$254,0)),"Add to Materials"))</f>
        <v>0</v>
      </c>
      <c r="J323" s="33">
        <f>IF(C323="","",IF(G323&lt;&gt;"",G323,IFERROR(INDEX(Materials!$W$5:$W$254,MATCH(C323,Materials!$A$5:$A$254,0)),DefaultWaste)))</f>
        <v>0</v>
      </c>
      <c r="K323" s="36">
        <f>IF(C323="","",IF(F323="","",ROUND(F323*(1+J323),4)))</f>
        <v>0</v>
      </c>
      <c r="L323" s="45">
        <f>IF(C323="","",IFERROR(INDEX(Materials!$S$5:$S$254,MATCH(C323,Materials!$A$5:$A$254,0)),""))</f>
        <v>0</v>
      </c>
      <c r="M323" s="45">
        <f>IF(C323="","",IF(OR(K323="",L323=""),"",ROUND(K323*L323,4)))</f>
        <v>0</v>
      </c>
      <c r="N323" s="20">
        <f>IF(A323="","",ROUND(SUMIFS('Material Usage'!$M$5:$M$904,'Material Usage'!$A$5:$A$904,A323),2))</f>
        <v>0</v>
      </c>
      <c r="O323" s="33">
        <f>IF(A323="","",IF(OR(M323="",N323="",N323=0),"",M323/N323))</f>
        <v>0</v>
      </c>
      <c r="P323" s="32">
        <f>IF(A323="","",COUNTIFS($A$5:A323,A323))</f>
        <v>0</v>
      </c>
      <c r="Q323" s="13">
        <f>IF(A323="","",A323&amp;"|"&amp;P323)</f>
        <v>0</v>
      </c>
      <c r="R323" s="43">
        <f>IF(AND(A323="",C323=""),"",IF(A323="","Add - which product?",IF(C323="","Add - which material?",IF(B323="Not found","Check - no such product ID",IF(D323="Add to Materials","Check - no such material ID",IF(OR(F323="",F323=0),"Add - how much?",IF(L323="","Check - that material has no price","OK")))))))</f>
        <v>0</v>
      </c>
    </row>
    <row r="324" spans="2:18">
      <c r="B324" s="13">
        <f>IF(A324="","",IFERROR(INDEX(Products!$B$5:$B$304,MATCH(A324,Products!$A$5:$A$304,0)),"Not found"))</f>
        <v>0</v>
      </c>
      <c r="D324" s="13">
        <f>IF(C324="","",IFERROR(INDEX(Materials!$B$5:$B$254,MATCH(C324,Materials!$A$5:$A$254,0)),"Add to Materials"))</f>
        <v>0</v>
      </c>
      <c r="E324" s="13">
        <f>IF(C324="","",IFERROR(INDEX(Materials!$H$5:$H$254,MATCH(C324,Materials!$A$5:$A$254,0)),"Add to Materials"))</f>
        <v>0</v>
      </c>
      <c r="J324" s="33">
        <f>IF(C324="","",IF(G324&lt;&gt;"",G324,IFERROR(INDEX(Materials!$W$5:$W$254,MATCH(C324,Materials!$A$5:$A$254,0)),DefaultWaste)))</f>
        <v>0</v>
      </c>
      <c r="K324" s="36">
        <f>IF(C324="","",IF(F324="","",ROUND(F324*(1+J324),4)))</f>
        <v>0</v>
      </c>
      <c r="L324" s="45">
        <f>IF(C324="","",IFERROR(INDEX(Materials!$S$5:$S$254,MATCH(C324,Materials!$A$5:$A$254,0)),""))</f>
        <v>0</v>
      </c>
      <c r="M324" s="45">
        <f>IF(C324="","",IF(OR(K324="",L324=""),"",ROUND(K324*L324,4)))</f>
        <v>0</v>
      </c>
      <c r="N324" s="20">
        <f>IF(A324="","",ROUND(SUMIFS('Material Usage'!$M$5:$M$904,'Material Usage'!$A$5:$A$904,A324),2))</f>
        <v>0</v>
      </c>
      <c r="O324" s="33">
        <f>IF(A324="","",IF(OR(M324="",N324="",N324=0),"",M324/N324))</f>
        <v>0</v>
      </c>
      <c r="P324" s="32">
        <f>IF(A324="","",COUNTIFS($A$5:A324,A324))</f>
        <v>0</v>
      </c>
      <c r="Q324" s="13">
        <f>IF(A324="","",A324&amp;"|"&amp;P324)</f>
        <v>0</v>
      </c>
      <c r="R324" s="43">
        <f>IF(AND(A324="",C324=""),"",IF(A324="","Add - which product?",IF(C324="","Add - which material?",IF(B324="Not found","Check - no such product ID",IF(D324="Add to Materials","Check - no such material ID",IF(OR(F324="",F324=0),"Add - how much?",IF(L324="","Check - that material has no price","OK")))))))</f>
        <v>0</v>
      </c>
    </row>
    <row r="325" spans="2:18">
      <c r="B325" s="13">
        <f>IF(A325="","",IFERROR(INDEX(Products!$B$5:$B$304,MATCH(A325,Products!$A$5:$A$304,0)),"Not found"))</f>
        <v>0</v>
      </c>
      <c r="D325" s="13">
        <f>IF(C325="","",IFERROR(INDEX(Materials!$B$5:$B$254,MATCH(C325,Materials!$A$5:$A$254,0)),"Add to Materials"))</f>
        <v>0</v>
      </c>
      <c r="E325" s="13">
        <f>IF(C325="","",IFERROR(INDEX(Materials!$H$5:$H$254,MATCH(C325,Materials!$A$5:$A$254,0)),"Add to Materials"))</f>
        <v>0</v>
      </c>
      <c r="J325" s="33">
        <f>IF(C325="","",IF(G325&lt;&gt;"",G325,IFERROR(INDEX(Materials!$W$5:$W$254,MATCH(C325,Materials!$A$5:$A$254,0)),DefaultWaste)))</f>
        <v>0</v>
      </c>
      <c r="K325" s="36">
        <f>IF(C325="","",IF(F325="","",ROUND(F325*(1+J325),4)))</f>
        <v>0</v>
      </c>
      <c r="L325" s="45">
        <f>IF(C325="","",IFERROR(INDEX(Materials!$S$5:$S$254,MATCH(C325,Materials!$A$5:$A$254,0)),""))</f>
        <v>0</v>
      </c>
      <c r="M325" s="45">
        <f>IF(C325="","",IF(OR(K325="",L325=""),"",ROUND(K325*L325,4)))</f>
        <v>0</v>
      </c>
      <c r="N325" s="20">
        <f>IF(A325="","",ROUND(SUMIFS('Material Usage'!$M$5:$M$904,'Material Usage'!$A$5:$A$904,A325),2))</f>
        <v>0</v>
      </c>
      <c r="O325" s="33">
        <f>IF(A325="","",IF(OR(M325="",N325="",N325=0),"",M325/N325))</f>
        <v>0</v>
      </c>
      <c r="P325" s="32">
        <f>IF(A325="","",COUNTIFS($A$5:A325,A325))</f>
        <v>0</v>
      </c>
      <c r="Q325" s="13">
        <f>IF(A325="","",A325&amp;"|"&amp;P325)</f>
        <v>0</v>
      </c>
      <c r="R325" s="43">
        <f>IF(AND(A325="",C325=""),"",IF(A325="","Add - which product?",IF(C325="","Add - which material?",IF(B325="Not found","Check - no such product ID",IF(D325="Add to Materials","Check - no such material ID",IF(OR(F325="",F325=0),"Add - how much?",IF(L325="","Check - that material has no price","OK")))))))</f>
        <v>0</v>
      </c>
    </row>
    <row r="326" spans="2:18">
      <c r="B326" s="13">
        <f>IF(A326="","",IFERROR(INDEX(Products!$B$5:$B$304,MATCH(A326,Products!$A$5:$A$304,0)),"Not found"))</f>
        <v>0</v>
      </c>
      <c r="D326" s="13">
        <f>IF(C326="","",IFERROR(INDEX(Materials!$B$5:$B$254,MATCH(C326,Materials!$A$5:$A$254,0)),"Add to Materials"))</f>
        <v>0</v>
      </c>
      <c r="E326" s="13">
        <f>IF(C326="","",IFERROR(INDEX(Materials!$H$5:$H$254,MATCH(C326,Materials!$A$5:$A$254,0)),"Add to Materials"))</f>
        <v>0</v>
      </c>
      <c r="J326" s="33">
        <f>IF(C326="","",IF(G326&lt;&gt;"",G326,IFERROR(INDEX(Materials!$W$5:$W$254,MATCH(C326,Materials!$A$5:$A$254,0)),DefaultWaste)))</f>
        <v>0</v>
      </c>
      <c r="K326" s="36">
        <f>IF(C326="","",IF(F326="","",ROUND(F326*(1+J326),4)))</f>
        <v>0</v>
      </c>
      <c r="L326" s="45">
        <f>IF(C326="","",IFERROR(INDEX(Materials!$S$5:$S$254,MATCH(C326,Materials!$A$5:$A$254,0)),""))</f>
        <v>0</v>
      </c>
      <c r="M326" s="45">
        <f>IF(C326="","",IF(OR(K326="",L326=""),"",ROUND(K326*L326,4)))</f>
        <v>0</v>
      </c>
      <c r="N326" s="20">
        <f>IF(A326="","",ROUND(SUMIFS('Material Usage'!$M$5:$M$904,'Material Usage'!$A$5:$A$904,A326),2))</f>
        <v>0</v>
      </c>
      <c r="O326" s="33">
        <f>IF(A326="","",IF(OR(M326="",N326="",N326=0),"",M326/N326))</f>
        <v>0</v>
      </c>
      <c r="P326" s="32">
        <f>IF(A326="","",COUNTIFS($A$5:A326,A326))</f>
        <v>0</v>
      </c>
      <c r="Q326" s="13">
        <f>IF(A326="","",A326&amp;"|"&amp;P326)</f>
        <v>0</v>
      </c>
      <c r="R326" s="43">
        <f>IF(AND(A326="",C326=""),"",IF(A326="","Add - which product?",IF(C326="","Add - which material?",IF(B326="Not found","Check - no such product ID",IF(D326="Add to Materials","Check - no such material ID",IF(OR(F326="",F326=0),"Add - how much?",IF(L326="","Check - that material has no price","OK")))))))</f>
        <v>0</v>
      </c>
    </row>
    <row r="327" spans="2:18">
      <c r="B327" s="13">
        <f>IF(A327="","",IFERROR(INDEX(Products!$B$5:$B$304,MATCH(A327,Products!$A$5:$A$304,0)),"Not found"))</f>
        <v>0</v>
      </c>
      <c r="D327" s="13">
        <f>IF(C327="","",IFERROR(INDEX(Materials!$B$5:$B$254,MATCH(C327,Materials!$A$5:$A$254,0)),"Add to Materials"))</f>
        <v>0</v>
      </c>
      <c r="E327" s="13">
        <f>IF(C327="","",IFERROR(INDEX(Materials!$H$5:$H$254,MATCH(C327,Materials!$A$5:$A$254,0)),"Add to Materials"))</f>
        <v>0</v>
      </c>
      <c r="J327" s="33">
        <f>IF(C327="","",IF(G327&lt;&gt;"",G327,IFERROR(INDEX(Materials!$W$5:$W$254,MATCH(C327,Materials!$A$5:$A$254,0)),DefaultWaste)))</f>
        <v>0</v>
      </c>
      <c r="K327" s="36">
        <f>IF(C327="","",IF(F327="","",ROUND(F327*(1+J327),4)))</f>
        <v>0</v>
      </c>
      <c r="L327" s="45">
        <f>IF(C327="","",IFERROR(INDEX(Materials!$S$5:$S$254,MATCH(C327,Materials!$A$5:$A$254,0)),""))</f>
        <v>0</v>
      </c>
      <c r="M327" s="45">
        <f>IF(C327="","",IF(OR(K327="",L327=""),"",ROUND(K327*L327,4)))</f>
        <v>0</v>
      </c>
      <c r="N327" s="20">
        <f>IF(A327="","",ROUND(SUMIFS('Material Usage'!$M$5:$M$904,'Material Usage'!$A$5:$A$904,A327),2))</f>
        <v>0</v>
      </c>
      <c r="O327" s="33">
        <f>IF(A327="","",IF(OR(M327="",N327="",N327=0),"",M327/N327))</f>
        <v>0</v>
      </c>
      <c r="P327" s="32">
        <f>IF(A327="","",COUNTIFS($A$5:A327,A327))</f>
        <v>0</v>
      </c>
      <c r="Q327" s="13">
        <f>IF(A327="","",A327&amp;"|"&amp;P327)</f>
        <v>0</v>
      </c>
      <c r="R327" s="43">
        <f>IF(AND(A327="",C327=""),"",IF(A327="","Add - which product?",IF(C327="","Add - which material?",IF(B327="Not found","Check - no such product ID",IF(D327="Add to Materials","Check - no such material ID",IF(OR(F327="",F327=0),"Add - how much?",IF(L327="","Check - that material has no price","OK")))))))</f>
        <v>0</v>
      </c>
    </row>
    <row r="328" spans="2:18">
      <c r="B328" s="13">
        <f>IF(A328="","",IFERROR(INDEX(Products!$B$5:$B$304,MATCH(A328,Products!$A$5:$A$304,0)),"Not found"))</f>
        <v>0</v>
      </c>
      <c r="D328" s="13">
        <f>IF(C328="","",IFERROR(INDEX(Materials!$B$5:$B$254,MATCH(C328,Materials!$A$5:$A$254,0)),"Add to Materials"))</f>
        <v>0</v>
      </c>
      <c r="E328" s="13">
        <f>IF(C328="","",IFERROR(INDEX(Materials!$H$5:$H$254,MATCH(C328,Materials!$A$5:$A$254,0)),"Add to Materials"))</f>
        <v>0</v>
      </c>
      <c r="J328" s="33">
        <f>IF(C328="","",IF(G328&lt;&gt;"",G328,IFERROR(INDEX(Materials!$W$5:$W$254,MATCH(C328,Materials!$A$5:$A$254,0)),DefaultWaste)))</f>
        <v>0</v>
      </c>
      <c r="K328" s="36">
        <f>IF(C328="","",IF(F328="","",ROUND(F328*(1+J328),4)))</f>
        <v>0</v>
      </c>
      <c r="L328" s="45">
        <f>IF(C328="","",IFERROR(INDEX(Materials!$S$5:$S$254,MATCH(C328,Materials!$A$5:$A$254,0)),""))</f>
        <v>0</v>
      </c>
      <c r="M328" s="45">
        <f>IF(C328="","",IF(OR(K328="",L328=""),"",ROUND(K328*L328,4)))</f>
        <v>0</v>
      </c>
      <c r="N328" s="20">
        <f>IF(A328="","",ROUND(SUMIFS('Material Usage'!$M$5:$M$904,'Material Usage'!$A$5:$A$904,A328),2))</f>
        <v>0</v>
      </c>
      <c r="O328" s="33">
        <f>IF(A328="","",IF(OR(M328="",N328="",N328=0),"",M328/N328))</f>
        <v>0</v>
      </c>
      <c r="P328" s="32">
        <f>IF(A328="","",COUNTIFS($A$5:A328,A328))</f>
        <v>0</v>
      </c>
      <c r="Q328" s="13">
        <f>IF(A328="","",A328&amp;"|"&amp;P328)</f>
        <v>0</v>
      </c>
      <c r="R328" s="43">
        <f>IF(AND(A328="",C328=""),"",IF(A328="","Add - which product?",IF(C328="","Add - which material?",IF(B328="Not found","Check - no such product ID",IF(D328="Add to Materials","Check - no such material ID",IF(OR(F328="",F328=0),"Add - how much?",IF(L328="","Check - that material has no price","OK")))))))</f>
        <v>0</v>
      </c>
    </row>
    <row r="329" spans="2:18">
      <c r="B329" s="13">
        <f>IF(A329="","",IFERROR(INDEX(Products!$B$5:$B$304,MATCH(A329,Products!$A$5:$A$304,0)),"Not found"))</f>
        <v>0</v>
      </c>
      <c r="D329" s="13">
        <f>IF(C329="","",IFERROR(INDEX(Materials!$B$5:$B$254,MATCH(C329,Materials!$A$5:$A$254,0)),"Add to Materials"))</f>
        <v>0</v>
      </c>
      <c r="E329" s="13">
        <f>IF(C329="","",IFERROR(INDEX(Materials!$H$5:$H$254,MATCH(C329,Materials!$A$5:$A$254,0)),"Add to Materials"))</f>
        <v>0</v>
      </c>
      <c r="J329" s="33">
        <f>IF(C329="","",IF(G329&lt;&gt;"",G329,IFERROR(INDEX(Materials!$W$5:$W$254,MATCH(C329,Materials!$A$5:$A$254,0)),DefaultWaste)))</f>
        <v>0</v>
      </c>
      <c r="K329" s="36">
        <f>IF(C329="","",IF(F329="","",ROUND(F329*(1+J329),4)))</f>
        <v>0</v>
      </c>
      <c r="L329" s="45">
        <f>IF(C329="","",IFERROR(INDEX(Materials!$S$5:$S$254,MATCH(C329,Materials!$A$5:$A$254,0)),""))</f>
        <v>0</v>
      </c>
      <c r="M329" s="45">
        <f>IF(C329="","",IF(OR(K329="",L329=""),"",ROUND(K329*L329,4)))</f>
        <v>0</v>
      </c>
      <c r="N329" s="20">
        <f>IF(A329="","",ROUND(SUMIFS('Material Usage'!$M$5:$M$904,'Material Usage'!$A$5:$A$904,A329),2))</f>
        <v>0</v>
      </c>
      <c r="O329" s="33">
        <f>IF(A329="","",IF(OR(M329="",N329="",N329=0),"",M329/N329))</f>
        <v>0</v>
      </c>
      <c r="P329" s="32">
        <f>IF(A329="","",COUNTIFS($A$5:A329,A329))</f>
        <v>0</v>
      </c>
      <c r="Q329" s="13">
        <f>IF(A329="","",A329&amp;"|"&amp;P329)</f>
        <v>0</v>
      </c>
      <c r="R329" s="43">
        <f>IF(AND(A329="",C329=""),"",IF(A329="","Add - which product?",IF(C329="","Add - which material?",IF(B329="Not found","Check - no such product ID",IF(D329="Add to Materials","Check - no such material ID",IF(OR(F329="",F329=0),"Add - how much?",IF(L329="","Check - that material has no price","OK")))))))</f>
        <v>0</v>
      </c>
    </row>
    <row r="330" spans="2:18">
      <c r="B330" s="13">
        <f>IF(A330="","",IFERROR(INDEX(Products!$B$5:$B$304,MATCH(A330,Products!$A$5:$A$304,0)),"Not found"))</f>
        <v>0</v>
      </c>
      <c r="D330" s="13">
        <f>IF(C330="","",IFERROR(INDEX(Materials!$B$5:$B$254,MATCH(C330,Materials!$A$5:$A$254,0)),"Add to Materials"))</f>
        <v>0</v>
      </c>
      <c r="E330" s="13">
        <f>IF(C330="","",IFERROR(INDEX(Materials!$H$5:$H$254,MATCH(C330,Materials!$A$5:$A$254,0)),"Add to Materials"))</f>
        <v>0</v>
      </c>
      <c r="J330" s="33">
        <f>IF(C330="","",IF(G330&lt;&gt;"",G330,IFERROR(INDEX(Materials!$W$5:$W$254,MATCH(C330,Materials!$A$5:$A$254,0)),DefaultWaste)))</f>
        <v>0</v>
      </c>
      <c r="K330" s="36">
        <f>IF(C330="","",IF(F330="","",ROUND(F330*(1+J330),4)))</f>
        <v>0</v>
      </c>
      <c r="L330" s="45">
        <f>IF(C330="","",IFERROR(INDEX(Materials!$S$5:$S$254,MATCH(C330,Materials!$A$5:$A$254,0)),""))</f>
        <v>0</v>
      </c>
      <c r="M330" s="45">
        <f>IF(C330="","",IF(OR(K330="",L330=""),"",ROUND(K330*L330,4)))</f>
        <v>0</v>
      </c>
      <c r="N330" s="20">
        <f>IF(A330="","",ROUND(SUMIFS('Material Usage'!$M$5:$M$904,'Material Usage'!$A$5:$A$904,A330),2))</f>
        <v>0</v>
      </c>
      <c r="O330" s="33">
        <f>IF(A330="","",IF(OR(M330="",N330="",N330=0),"",M330/N330))</f>
        <v>0</v>
      </c>
      <c r="P330" s="32">
        <f>IF(A330="","",COUNTIFS($A$5:A330,A330))</f>
        <v>0</v>
      </c>
      <c r="Q330" s="13">
        <f>IF(A330="","",A330&amp;"|"&amp;P330)</f>
        <v>0</v>
      </c>
      <c r="R330" s="43">
        <f>IF(AND(A330="",C330=""),"",IF(A330="","Add - which product?",IF(C330="","Add - which material?",IF(B330="Not found","Check - no such product ID",IF(D330="Add to Materials","Check - no such material ID",IF(OR(F330="",F330=0),"Add - how much?",IF(L330="","Check - that material has no price","OK")))))))</f>
        <v>0</v>
      </c>
    </row>
    <row r="331" spans="2:18">
      <c r="B331" s="13">
        <f>IF(A331="","",IFERROR(INDEX(Products!$B$5:$B$304,MATCH(A331,Products!$A$5:$A$304,0)),"Not found"))</f>
        <v>0</v>
      </c>
      <c r="D331" s="13">
        <f>IF(C331="","",IFERROR(INDEX(Materials!$B$5:$B$254,MATCH(C331,Materials!$A$5:$A$254,0)),"Add to Materials"))</f>
        <v>0</v>
      </c>
      <c r="E331" s="13">
        <f>IF(C331="","",IFERROR(INDEX(Materials!$H$5:$H$254,MATCH(C331,Materials!$A$5:$A$254,0)),"Add to Materials"))</f>
        <v>0</v>
      </c>
      <c r="J331" s="33">
        <f>IF(C331="","",IF(G331&lt;&gt;"",G331,IFERROR(INDEX(Materials!$W$5:$W$254,MATCH(C331,Materials!$A$5:$A$254,0)),DefaultWaste)))</f>
        <v>0</v>
      </c>
      <c r="K331" s="36">
        <f>IF(C331="","",IF(F331="","",ROUND(F331*(1+J331),4)))</f>
        <v>0</v>
      </c>
      <c r="L331" s="45">
        <f>IF(C331="","",IFERROR(INDEX(Materials!$S$5:$S$254,MATCH(C331,Materials!$A$5:$A$254,0)),""))</f>
        <v>0</v>
      </c>
      <c r="M331" s="45">
        <f>IF(C331="","",IF(OR(K331="",L331=""),"",ROUND(K331*L331,4)))</f>
        <v>0</v>
      </c>
      <c r="N331" s="20">
        <f>IF(A331="","",ROUND(SUMIFS('Material Usage'!$M$5:$M$904,'Material Usage'!$A$5:$A$904,A331),2))</f>
        <v>0</v>
      </c>
      <c r="O331" s="33">
        <f>IF(A331="","",IF(OR(M331="",N331="",N331=0),"",M331/N331))</f>
        <v>0</v>
      </c>
      <c r="P331" s="32">
        <f>IF(A331="","",COUNTIFS($A$5:A331,A331))</f>
        <v>0</v>
      </c>
      <c r="Q331" s="13">
        <f>IF(A331="","",A331&amp;"|"&amp;P331)</f>
        <v>0</v>
      </c>
      <c r="R331" s="43">
        <f>IF(AND(A331="",C331=""),"",IF(A331="","Add - which product?",IF(C331="","Add - which material?",IF(B331="Not found","Check - no such product ID",IF(D331="Add to Materials","Check - no such material ID",IF(OR(F331="",F331=0),"Add - how much?",IF(L331="","Check - that material has no price","OK")))))))</f>
        <v>0</v>
      </c>
    </row>
    <row r="332" spans="2:18">
      <c r="B332" s="13">
        <f>IF(A332="","",IFERROR(INDEX(Products!$B$5:$B$304,MATCH(A332,Products!$A$5:$A$304,0)),"Not found"))</f>
        <v>0</v>
      </c>
      <c r="D332" s="13">
        <f>IF(C332="","",IFERROR(INDEX(Materials!$B$5:$B$254,MATCH(C332,Materials!$A$5:$A$254,0)),"Add to Materials"))</f>
        <v>0</v>
      </c>
      <c r="E332" s="13">
        <f>IF(C332="","",IFERROR(INDEX(Materials!$H$5:$H$254,MATCH(C332,Materials!$A$5:$A$254,0)),"Add to Materials"))</f>
        <v>0</v>
      </c>
      <c r="J332" s="33">
        <f>IF(C332="","",IF(G332&lt;&gt;"",G332,IFERROR(INDEX(Materials!$W$5:$W$254,MATCH(C332,Materials!$A$5:$A$254,0)),DefaultWaste)))</f>
        <v>0</v>
      </c>
      <c r="K332" s="36">
        <f>IF(C332="","",IF(F332="","",ROUND(F332*(1+J332),4)))</f>
        <v>0</v>
      </c>
      <c r="L332" s="45">
        <f>IF(C332="","",IFERROR(INDEX(Materials!$S$5:$S$254,MATCH(C332,Materials!$A$5:$A$254,0)),""))</f>
        <v>0</v>
      </c>
      <c r="M332" s="45">
        <f>IF(C332="","",IF(OR(K332="",L332=""),"",ROUND(K332*L332,4)))</f>
        <v>0</v>
      </c>
      <c r="N332" s="20">
        <f>IF(A332="","",ROUND(SUMIFS('Material Usage'!$M$5:$M$904,'Material Usage'!$A$5:$A$904,A332),2))</f>
        <v>0</v>
      </c>
      <c r="O332" s="33">
        <f>IF(A332="","",IF(OR(M332="",N332="",N332=0),"",M332/N332))</f>
        <v>0</v>
      </c>
      <c r="P332" s="32">
        <f>IF(A332="","",COUNTIFS($A$5:A332,A332))</f>
        <v>0</v>
      </c>
      <c r="Q332" s="13">
        <f>IF(A332="","",A332&amp;"|"&amp;P332)</f>
        <v>0</v>
      </c>
      <c r="R332" s="43">
        <f>IF(AND(A332="",C332=""),"",IF(A332="","Add - which product?",IF(C332="","Add - which material?",IF(B332="Not found","Check - no such product ID",IF(D332="Add to Materials","Check - no such material ID",IF(OR(F332="",F332=0),"Add - how much?",IF(L332="","Check - that material has no price","OK")))))))</f>
        <v>0</v>
      </c>
    </row>
    <row r="333" spans="2:18">
      <c r="B333" s="13">
        <f>IF(A333="","",IFERROR(INDEX(Products!$B$5:$B$304,MATCH(A333,Products!$A$5:$A$304,0)),"Not found"))</f>
        <v>0</v>
      </c>
      <c r="D333" s="13">
        <f>IF(C333="","",IFERROR(INDEX(Materials!$B$5:$B$254,MATCH(C333,Materials!$A$5:$A$254,0)),"Add to Materials"))</f>
        <v>0</v>
      </c>
      <c r="E333" s="13">
        <f>IF(C333="","",IFERROR(INDEX(Materials!$H$5:$H$254,MATCH(C333,Materials!$A$5:$A$254,0)),"Add to Materials"))</f>
        <v>0</v>
      </c>
      <c r="J333" s="33">
        <f>IF(C333="","",IF(G333&lt;&gt;"",G333,IFERROR(INDEX(Materials!$W$5:$W$254,MATCH(C333,Materials!$A$5:$A$254,0)),DefaultWaste)))</f>
        <v>0</v>
      </c>
      <c r="K333" s="36">
        <f>IF(C333="","",IF(F333="","",ROUND(F333*(1+J333),4)))</f>
        <v>0</v>
      </c>
      <c r="L333" s="45">
        <f>IF(C333="","",IFERROR(INDEX(Materials!$S$5:$S$254,MATCH(C333,Materials!$A$5:$A$254,0)),""))</f>
        <v>0</v>
      </c>
      <c r="M333" s="45">
        <f>IF(C333="","",IF(OR(K333="",L333=""),"",ROUND(K333*L333,4)))</f>
        <v>0</v>
      </c>
      <c r="N333" s="20">
        <f>IF(A333="","",ROUND(SUMIFS('Material Usage'!$M$5:$M$904,'Material Usage'!$A$5:$A$904,A333),2))</f>
        <v>0</v>
      </c>
      <c r="O333" s="33">
        <f>IF(A333="","",IF(OR(M333="",N333="",N333=0),"",M333/N333))</f>
        <v>0</v>
      </c>
      <c r="P333" s="32">
        <f>IF(A333="","",COUNTIFS($A$5:A333,A333))</f>
        <v>0</v>
      </c>
      <c r="Q333" s="13">
        <f>IF(A333="","",A333&amp;"|"&amp;P333)</f>
        <v>0</v>
      </c>
      <c r="R333" s="43">
        <f>IF(AND(A333="",C333=""),"",IF(A333="","Add - which product?",IF(C333="","Add - which material?",IF(B333="Not found","Check - no such product ID",IF(D333="Add to Materials","Check - no such material ID",IF(OR(F333="",F333=0),"Add - how much?",IF(L333="","Check - that material has no price","OK")))))))</f>
        <v>0</v>
      </c>
    </row>
    <row r="334" spans="2:18">
      <c r="B334" s="13">
        <f>IF(A334="","",IFERROR(INDEX(Products!$B$5:$B$304,MATCH(A334,Products!$A$5:$A$304,0)),"Not found"))</f>
        <v>0</v>
      </c>
      <c r="D334" s="13">
        <f>IF(C334="","",IFERROR(INDEX(Materials!$B$5:$B$254,MATCH(C334,Materials!$A$5:$A$254,0)),"Add to Materials"))</f>
        <v>0</v>
      </c>
      <c r="E334" s="13">
        <f>IF(C334="","",IFERROR(INDEX(Materials!$H$5:$H$254,MATCH(C334,Materials!$A$5:$A$254,0)),"Add to Materials"))</f>
        <v>0</v>
      </c>
      <c r="J334" s="33">
        <f>IF(C334="","",IF(G334&lt;&gt;"",G334,IFERROR(INDEX(Materials!$W$5:$W$254,MATCH(C334,Materials!$A$5:$A$254,0)),DefaultWaste)))</f>
        <v>0</v>
      </c>
      <c r="K334" s="36">
        <f>IF(C334="","",IF(F334="","",ROUND(F334*(1+J334),4)))</f>
        <v>0</v>
      </c>
      <c r="L334" s="45">
        <f>IF(C334="","",IFERROR(INDEX(Materials!$S$5:$S$254,MATCH(C334,Materials!$A$5:$A$254,0)),""))</f>
        <v>0</v>
      </c>
      <c r="M334" s="45">
        <f>IF(C334="","",IF(OR(K334="",L334=""),"",ROUND(K334*L334,4)))</f>
        <v>0</v>
      </c>
      <c r="N334" s="20">
        <f>IF(A334="","",ROUND(SUMIFS('Material Usage'!$M$5:$M$904,'Material Usage'!$A$5:$A$904,A334),2))</f>
        <v>0</v>
      </c>
      <c r="O334" s="33">
        <f>IF(A334="","",IF(OR(M334="",N334="",N334=0),"",M334/N334))</f>
        <v>0</v>
      </c>
      <c r="P334" s="32">
        <f>IF(A334="","",COUNTIFS($A$5:A334,A334))</f>
        <v>0</v>
      </c>
      <c r="Q334" s="13">
        <f>IF(A334="","",A334&amp;"|"&amp;P334)</f>
        <v>0</v>
      </c>
      <c r="R334" s="43">
        <f>IF(AND(A334="",C334=""),"",IF(A334="","Add - which product?",IF(C334="","Add - which material?",IF(B334="Not found","Check - no such product ID",IF(D334="Add to Materials","Check - no such material ID",IF(OR(F334="",F334=0),"Add - how much?",IF(L334="","Check - that material has no price","OK")))))))</f>
        <v>0</v>
      </c>
    </row>
    <row r="335" spans="2:18">
      <c r="B335" s="13">
        <f>IF(A335="","",IFERROR(INDEX(Products!$B$5:$B$304,MATCH(A335,Products!$A$5:$A$304,0)),"Not found"))</f>
        <v>0</v>
      </c>
      <c r="D335" s="13">
        <f>IF(C335="","",IFERROR(INDEX(Materials!$B$5:$B$254,MATCH(C335,Materials!$A$5:$A$254,0)),"Add to Materials"))</f>
        <v>0</v>
      </c>
      <c r="E335" s="13">
        <f>IF(C335="","",IFERROR(INDEX(Materials!$H$5:$H$254,MATCH(C335,Materials!$A$5:$A$254,0)),"Add to Materials"))</f>
        <v>0</v>
      </c>
      <c r="J335" s="33">
        <f>IF(C335="","",IF(G335&lt;&gt;"",G335,IFERROR(INDEX(Materials!$W$5:$W$254,MATCH(C335,Materials!$A$5:$A$254,0)),DefaultWaste)))</f>
        <v>0</v>
      </c>
      <c r="K335" s="36">
        <f>IF(C335="","",IF(F335="","",ROUND(F335*(1+J335),4)))</f>
        <v>0</v>
      </c>
      <c r="L335" s="45">
        <f>IF(C335="","",IFERROR(INDEX(Materials!$S$5:$S$254,MATCH(C335,Materials!$A$5:$A$254,0)),""))</f>
        <v>0</v>
      </c>
      <c r="M335" s="45">
        <f>IF(C335="","",IF(OR(K335="",L335=""),"",ROUND(K335*L335,4)))</f>
        <v>0</v>
      </c>
      <c r="N335" s="20">
        <f>IF(A335="","",ROUND(SUMIFS('Material Usage'!$M$5:$M$904,'Material Usage'!$A$5:$A$904,A335),2))</f>
        <v>0</v>
      </c>
      <c r="O335" s="33">
        <f>IF(A335="","",IF(OR(M335="",N335="",N335=0),"",M335/N335))</f>
        <v>0</v>
      </c>
      <c r="P335" s="32">
        <f>IF(A335="","",COUNTIFS($A$5:A335,A335))</f>
        <v>0</v>
      </c>
      <c r="Q335" s="13">
        <f>IF(A335="","",A335&amp;"|"&amp;P335)</f>
        <v>0</v>
      </c>
      <c r="R335" s="43">
        <f>IF(AND(A335="",C335=""),"",IF(A335="","Add - which product?",IF(C335="","Add - which material?",IF(B335="Not found","Check - no such product ID",IF(D335="Add to Materials","Check - no such material ID",IF(OR(F335="",F335=0),"Add - how much?",IF(L335="","Check - that material has no price","OK")))))))</f>
        <v>0</v>
      </c>
    </row>
    <row r="336" spans="2:18">
      <c r="B336" s="13">
        <f>IF(A336="","",IFERROR(INDEX(Products!$B$5:$B$304,MATCH(A336,Products!$A$5:$A$304,0)),"Not found"))</f>
        <v>0</v>
      </c>
      <c r="D336" s="13">
        <f>IF(C336="","",IFERROR(INDEX(Materials!$B$5:$B$254,MATCH(C336,Materials!$A$5:$A$254,0)),"Add to Materials"))</f>
        <v>0</v>
      </c>
      <c r="E336" s="13">
        <f>IF(C336="","",IFERROR(INDEX(Materials!$H$5:$H$254,MATCH(C336,Materials!$A$5:$A$254,0)),"Add to Materials"))</f>
        <v>0</v>
      </c>
      <c r="J336" s="33">
        <f>IF(C336="","",IF(G336&lt;&gt;"",G336,IFERROR(INDEX(Materials!$W$5:$W$254,MATCH(C336,Materials!$A$5:$A$254,0)),DefaultWaste)))</f>
        <v>0</v>
      </c>
      <c r="K336" s="36">
        <f>IF(C336="","",IF(F336="","",ROUND(F336*(1+J336),4)))</f>
        <v>0</v>
      </c>
      <c r="L336" s="45">
        <f>IF(C336="","",IFERROR(INDEX(Materials!$S$5:$S$254,MATCH(C336,Materials!$A$5:$A$254,0)),""))</f>
        <v>0</v>
      </c>
      <c r="M336" s="45">
        <f>IF(C336="","",IF(OR(K336="",L336=""),"",ROUND(K336*L336,4)))</f>
        <v>0</v>
      </c>
      <c r="N336" s="20">
        <f>IF(A336="","",ROUND(SUMIFS('Material Usage'!$M$5:$M$904,'Material Usage'!$A$5:$A$904,A336),2))</f>
        <v>0</v>
      </c>
      <c r="O336" s="33">
        <f>IF(A336="","",IF(OR(M336="",N336="",N336=0),"",M336/N336))</f>
        <v>0</v>
      </c>
      <c r="P336" s="32">
        <f>IF(A336="","",COUNTIFS($A$5:A336,A336))</f>
        <v>0</v>
      </c>
      <c r="Q336" s="13">
        <f>IF(A336="","",A336&amp;"|"&amp;P336)</f>
        <v>0</v>
      </c>
      <c r="R336" s="43">
        <f>IF(AND(A336="",C336=""),"",IF(A336="","Add - which product?",IF(C336="","Add - which material?",IF(B336="Not found","Check - no such product ID",IF(D336="Add to Materials","Check - no such material ID",IF(OR(F336="",F336=0),"Add - how much?",IF(L336="","Check - that material has no price","OK")))))))</f>
        <v>0</v>
      </c>
    </row>
    <row r="337" spans="2:18">
      <c r="B337" s="13">
        <f>IF(A337="","",IFERROR(INDEX(Products!$B$5:$B$304,MATCH(A337,Products!$A$5:$A$304,0)),"Not found"))</f>
        <v>0</v>
      </c>
      <c r="D337" s="13">
        <f>IF(C337="","",IFERROR(INDEX(Materials!$B$5:$B$254,MATCH(C337,Materials!$A$5:$A$254,0)),"Add to Materials"))</f>
        <v>0</v>
      </c>
      <c r="E337" s="13">
        <f>IF(C337="","",IFERROR(INDEX(Materials!$H$5:$H$254,MATCH(C337,Materials!$A$5:$A$254,0)),"Add to Materials"))</f>
        <v>0</v>
      </c>
      <c r="J337" s="33">
        <f>IF(C337="","",IF(G337&lt;&gt;"",G337,IFERROR(INDEX(Materials!$W$5:$W$254,MATCH(C337,Materials!$A$5:$A$254,0)),DefaultWaste)))</f>
        <v>0</v>
      </c>
      <c r="K337" s="36">
        <f>IF(C337="","",IF(F337="","",ROUND(F337*(1+J337),4)))</f>
        <v>0</v>
      </c>
      <c r="L337" s="45">
        <f>IF(C337="","",IFERROR(INDEX(Materials!$S$5:$S$254,MATCH(C337,Materials!$A$5:$A$254,0)),""))</f>
        <v>0</v>
      </c>
      <c r="M337" s="45">
        <f>IF(C337="","",IF(OR(K337="",L337=""),"",ROUND(K337*L337,4)))</f>
        <v>0</v>
      </c>
      <c r="N337" s="20">
        <f>IF(A337="","",ROUND(SUMIFS('Material Usage'!$M$5:$M$904,'Material Usage'!$A$5:$A$904,A337),2))</f>
        <v>0</v>
      </c>
      <c r="O337" s="33">
        <f>IF(A337="","",IF(OR(M337="",N337="",N337=0),"",M337/N337))</f>
        <v>0</v>
      </c>
      <c r="P337" s="32">
        <f>IF(A337="","",COUNTIFS($A$5:A337,A337))</f>
        <v>0</v>
      </c>
      <c r="Q337" s="13">
        <f>IF(A337="","",A337&amp;"|"&amp;P337)</f>
        <v>0</v>
      </c>
      <c r="R337" s="43">
        <f>IF(AND(A337="",C337=""),"",IF(A337="","Add - which product?",IF(C337="","Add - which material?",IF(B337="Not found","Check - no such product ID",IF(D337="Add to Materials","Check - no such material ID",IF(OR(F337="",F337=0),"Add - how much?",IF(L337="","Check - that material has no price","OK")))))))</f>
        <v>0</v>
      </c>
    </row>
    <row r="338" spans="2:18">
      <c r="B338" s="13">
        <f>IF(A338="","",IFERROR(INDEX(Products!$B$5:$B$304,MATCH(A338,Products!$A$5:$A$304,0)),"Not found"))</f>
        <v>0</v>
      </c>
      <c r="D338" s="13">
        <f>IF(C338="","",IFERROR(INDEX(Materials!$B$5:$B$254,MATCH(C338,Materials!$A$5:$A$254,0)),"Add to Materials"))</f>
        <v>0</v>
      </c>
      <c r="E338" s="13">
        <f>IF(C338="","",IFERROR(INDEX(Materials!$H$5:$H$254,MATCH(C338,Materials!$A$5:$A$254,0)),"Add to Materials"))</f>
        <v>0</v>
      </c>
      <c r="J338" s="33">
        <f>IF(C338="","",IF(G338&lt;&gt;"",G338,IFERROR(INDEX(Materials!$W$5:$W$254,MATCH(C338,Materials!$A$5:$A$254,0)),DefaultWaste)))</f>
        <v>0</v>
      </c>
      <c r="K338" s="36">
        <f>IF(C338="","",IF(F338="","",ROUND(F338*(1+J338),4)))</f>
        <v>0</v>
      </c>
      <c r="L338" s="45">
        <f>IF(C338="","",IFERROR(INDEX(Materials!$S$5:$S$254,MATCH(C338,Materials!$A$5:$A$254,0)),""))</f>
        <v>0</v>
      </c>
      <c r="M338" s="45">
        <f>IF(C338="","",IF(OR(K338="",L338=""),"",ROUND(K338*L338,4)))</f>
        <v>0</v>
      </c>
      <c r="N338" s="20">
        <f>IF(A338="","",ROUND(SUMIFS('Material Usage'!$M$5:$M$904,'Material Usage'!$A$5:$A$904,A338),2))</f>
        <v>0</v>
      </c>
      <c r="O338" s="33">
        <f>IF(A338="","",IF(OR(M338="",N338="",N338=0),"",M338/N338))</f>
        <v>0</v>
      </c>
      <c r="P338" s="32">
        <f>IF(A338="","",COUNTIFS($A$5:A338,A338))</f>
        <v>0</v>
      </c>
      <c r="Q338" s="13">
        <f>IF(A338="","",A338&amp;"|"&amp;P338)</f>
        <v>0</v>
      </c>
      <c r="R338" s="43">
        <f>IF(AND(A338="",C338=""),"",IF(A338="","Add - which product?",IF(C338="","Add - which material?",IF(B338="Not found","Check - no such product ID",IF(D338="Add to Materials","Check - no such material ID",IF(OR(F338="",F338=0),"Add - how much?",IF(L338="","Check - that material has no price","OK")))))))</f>
        <v>0</v>
      </c>
    </row>
    <row r="339" spans="2:18">
      <c r="B339" s="13">
        <f>IF(A339="","",IFERROR(INDEX(Products!$B$5:$B$304,MATCH(A339,Products!$A$5:$A$304,0)),"Not found"))</f>
        <v>0</v>
      </c>
      <c r="D339" s="13">
        <f>IF(C339="","",IFERROR(INDEX(Materials!$B$5:$B$254,MATCH(C339,Materials!$A$5:$A$254,0)),"Add to Materials"))</f>
        <v>0</v>
      </c>
      <c r="E339" s="13">
        <f>IF(C339="","",IFERROR(INDEX(Materials!$H$5:$H$254,MATCH(C339,Materials!$A$5:$A$254,0)),"Add to Materials"))</f>
        <v>0</v>
      </c>
      <c r="J339" s="33">
        <f>IF(C339="","",IF(G339&lt;&gt;"",G339,IFERROR(INDEX(Materials!$W$5:$W$254,MATCH(C339,Materials!$A$5:$A$254,0)),DefaultWaste)))</f>
        <v>0</v>
      </c>
      <c r="K339" s="36">
        <f>IF(C339="","",IF(F339="","",ROUND(F339*(1+J339),4)))</f>
        <v>0</v>
      </c>
      <c r="L339" s="45">
        <f>IF(C339="","",IFERROR(INDEX(Materials!$S$5:$S$254,MATCH(C339,Materials!$A$5:$A$254,0)),""))</f>
        <v>0</v>
      </c>
      <c r="M339" s="45">
        <f>IF(C339="","",IF(OR(K339="",L339=""),"",ROUND(K339*L339,4)))</f>
        <v>0</v>
      </c>
      <c r="N339" s="20">
        <f>IF(A339="","",ROUND(SUMIFS('Material Usage'!$M$5:$M$904,'Material Usage'!$A$5:$A$904,A339),2))</f>
        <v>0</v>
      </c>
      <c r="O339" s="33">
        <f>IF(A339="","",IF(OR(M339="",N339="",N339=0),"",M339/N339))</f>
        <v>0</v>
      </c>
      <c r="P339" s="32">
        <f>IF(A339="","",COUNTIFS($A$5:A339,A339))</f>
        <v>0</v>
      </c>
      <c r="Q339" s="13">
        <f>IF(A339="","",A339&amp;"|"&amp;P339)</f>
        <v>0</v>
      </c>
      <c r="R339" s="43">
        <f>IF(AND(A339="",C339=""),"",IF(A339="","Add - which product?",IF(C339="","Add - which material?",IF(B339="Not found","Check - no such product ID",IF(D339="Add to Materials","Check - no such material ID",IF(OR(F339="",F339=0),"Add - how much?",IF(L339="","Check - that material has no price","OK")))))))</f>
        <v>0</v>
      </c>
    </row>
    <row r="340" spans="2:18">
      <c r="B340" s="13">
        <f>IF(A340="","",IFERROR(INDEX(Products!$B$5:$B$304,MATCH(A340,Products!$A$5:$A$304,0)),"Not found"))</f>
        <v>0</v>
      </c>
      <c r="D340" s="13">
        <f>IF(C340="","",IFERROR(INDEX(Materials!$B$5:$B$254,MATCH(C340,Materials!$A$5:$A$254,0)),"Add to Materials"))</f>
        <v>0</v>
      </c>
      <c r="E340" s="13">
        <f>IF(C340="","",IFERROR(INDEX(Materials!$H$5:$H$254,MATCH(C340,Materials!$A$5:$A$254,0)),"Add to Materials"))</f>
        <v>0</v>
      </c>
      <c r="J340" s="33">
        <f>IF(C340="","",IF(G340&lt;&gt;"",G340,IFERROR(INDEX(Materials!$W$5:$W$254,MATCH(C340,Materials!$A$5:$A$254,0)),DefaultWaste)))</f>
        <v>0</v>
      </c>
      <c r="K340" s="36">
        <f>IF(C340="","",IF(F340="","",ROUND(F340*(1+J340),4)))</f>
        <v>0</v>
      </c>
      <c r="L340" s="45">
        <f>IF(C340="","",IFERROR(INDEX(Materials!$S$5:$S$254,MATCH(C340,Materials!$A$5:$A$254,0)),""))</f>
        <v>0</v>
      </c>
      <c r="M340" s="45">
        <f>IF(C340="","",IF(OR(K340="",L340=""),"",ROUND(K340*L340,4)))</f>
        <v>0</v>
      </c>
      <c r="N340" s="20">
        <f>IF(A340="","",ROUND(SUMIFS('Material Usage'!$M$5:$M$904,'Material Usage'!$A$5:$A$904,A340),2))</f>
        <v>0</v>
      </c>
      <c r="O340" s="33">
        <f>IF(A340="","",IF(OR(M340="",N340="",N340=0),"",M340/N340))</f>
        <v>0</v>
      </c>
      <c r="P340" s="32">
        <f>IF(A340="","",COUNTIFS($A$5:A340,A340))</f>
        <v>0</v>
      </c>
      <c r="Q340" s="13">
        <f>IF(A340="","",A340&amp;"|"&amp;P340)</f>
        <v>0</v>
      </c>
      <c r="R340" s="43">
        <f>IF(AND(A340="",C340=""),"",IF(A340="","Add - which product?",IF(C340="","Add - which material?",IF(B340="Not found","Check - no such product ID",IF(D340="Add to Materials","Check - no such material ID",IF(OR(F340="",F340=0),"Add - how much?",IF(L340="","Check - that material has no price","OK")))))))</f>
        <v>0</v>
      </c>
    </row>
    <row r="341" spans="2:18">
      <c r="B341" s="13">
        <f>IF(A341="","",IFERROR(INDEX(Products!$B$5:$B$304,MATCH(A341,Products!$A$5:$A$304,0)),"Not found"))</f>
        <v>0</v>
      </c>
      <c r="D341" s="13">
        <f>IF(C341="","",IFERROR(INDEX(Materials!$B$5:$B$254,MATCH(C341,Materials!$A$5:$A$254,0)),"Add to Materials"))</f>
        <v>0</v>
      </c>
      <c r="E341" s="13">
        <f>IF(C341="","",IFERROR(INDEX(Materials!$H$5:$H$254,MATCH(C341,Materials!$A$5:$A$254,0)),"Add to Materials"))</f>
        <v>0</v>
      </c>
      <c r="J341" s="33">
        <f>IF(C341="","",IF(G341&lt;&gt;"",G341,IFERROR(INDEX(Materials!$W$5:$W$254,MATCH(C341,Materials!$A$5:$A$254,0)),DefaultWaste)))</f>
        <v>0</v>
      </c>
      <c r="K341" s="36">
        <f>IF(C341="","",IF(F341="","",ROUND(F341*(1+J341),4)))</f>
        <v>0</v>
      </c>
      <c r="L341" s="45">
        <f>IF(C341="","",IFERROR(INDEX(Materials!$S$5:$S$254,MATCH(C341,Materials!$A$5:$A$254,0)),""))</f>
        <v>0</v>
      </c>
      <c r="M341" s="45">
        <f>IF(C341="","",IF(OR(K341="",L341=""),"",ROUND(K341*L341,4)))</f>
        <v>0</v>
      </c>
      <c r="N341" s="20">
        <f>IF(A341="","",ROUND(SUMIFS('Material Usage'!$M$5:$M$904,'Material Usage'!$A$5:$A$904,A341),2))</f>
        <v>0</v>
      </c>
      <c r="O341" s="33">
        <f>IF(A341="","",IF(OR(M341="",N341="",N341=0),"",M341/N341))</f>
        <v>0</v>
      </c>
      <c r="P341" s="32">
        <f>IF(A341="","",COUNTIFS($A$5:A341,A341))</f>
        <v>0</v>
      </c>
      <c r="Q341" s="13">
        <f>IF(A341="","",A341&amp;"|"&amp;P341)</f>
        <v>0</v>
      </c>
      <c r="R341" s="43">
        <f>IF(AND(A341="",C341=""),"",IF(A341="","Add - which product?",IF(C341="","Add - which material?",IF(B341="Not found","Check - no such product ID",IF(D341="Add to Materials","Check - no such material ID",IF(OR(F341="",F341=0),"Add - how much?",IF(L341="","Check - that material has no price","OK")))))))</f>
        <v>0</v>
      </c>
    </row>
    <row r="342" spans="2:18">
      <c r="B342" s="13">
        <f>IF(A342="","",IFERROR(INDEX(Products!$B$5:$B$304,MATCH(A342,Products!$A$5:$A$304,0)),"Not found"))</f>
        <v>0</v>
      </c>
      <c r="D342" s="13">
        <f>IF(C342="","",IFERROR(INDEX(Materials!$B$5:$B$254,MATCH(C342,Materials!$A$5:$A$254,0)),"Add to Materials"))</f>
        <v>0</v>
      </c>
      <c r="E342" s="13">
        <f>IF(C342="","",IFERROR(INDEX(Materials!$H$5:$H$254,MATCH(C342,Materials!$A$5:$A$254,0)),"Add to Materials"))</f>
        <v>0</v>
      </c>
      <c r="J342" s="33">
        <f>IF(C342="","",IF(G342&lt;&gt;"",G342,IFERROR(INDEX(Materials!$W$5:$W$254,MATCH(C342,Materials!$A$5:$A$254,0)),DefaultWaste)))</f>
        <v>0</v>
      </c>
      <c r="K342" s="36">
        <f>IF(C342="","",IF(F342="","",ROUND(F342*(1+J342),4)))</f>
        <v>0</v>
      </c>
      <c r="L342" s="45">
        <f>IF(C342="","",IFERROR(INDEX(Materials!$S$5:$S$254,MATCH(C342,Materials!$A$5:$A$254,0)),""))</f>
        <v>0</v>
      </c>
      <c r="M342" s="45">
        <f>IF(C342="","",IF(OR(K342="",L342=""),"",ROUND(K342*L342,4)))</f>
        <v>0</v>
      </c>
      <c r="N342" s="20">
        <f>IF(A342="","",ROUND(SUMIFS('Material Usage'!$M$5:$M$904,'Material Usage'!$A$5:$A$904,A342),2))</f>
        <v>0</v>
      </c>
      <c r="O342" s="33">
        <f>IF(A342="","",IF(OR(M342="",N342="",N342=0),"",M342/N342))</f>
        <v>0</v>
      </c>
      <c r="P342" s="32">
        <f>IF(A342="","",COUNTIFS($A$5:A342,A342))</f>
        <v>0</v>
      </c>
      <c r="Q342" s="13">
        <f>IF(A342="","",A342&amp;"|"&amp;P342)</f>
        <v>0</v>
      </c>
      <c r="R342" s="43">
        <f>IF(AND(A342="",C342=""),"",IF(A342="","Add - which product?",IF(C342="","Add - which material?",IF(B342="Not found","Check - no such product ID",IF(D342="Add to Materials","Check - no such material ID",IF(OR(F342="",F342=0),"Add - how much?",IF(L342="","Check - that material has no price","OK")))))))</f>
        <v>0</v>
      </c>
    </row>
    <row r="343" spans="2:18">
      <c r="B343" s="13">
        <f>IF(A343="","",IFERROR(INDEX(Products!$B$5:$B$304,MATCH(A343,Products!$A$5:$A$304,0)),"Not found"))</f>
        <v>0</v>
      </c>
      <c r="D343" s="13">
        <f>IF(C343="","",IFERROR(INDEX(Materials!$B$5:$B$254,MATCH(C343,Materials!$A$5:$A$254,0)),"Add to Materials"))</f>
        <v>0</v>
      </c>
      <c r="E343" s="13">
        <f>IF(C343="","",IFERROR(INDEX(Materials!$H$5:$H$254,MATCH(C343,Materials!$A$5:$A$254,0)),"Add to Materials"))</f>
        <v>0</v>
      </c>
      <c r="J343" s="33">
        <f>IF(C343="","",IF(G343&lt;&gt;"",G343,IFERROR(INDEX(Materials!$W$5:$W$254,MATCH(C343,Materials!$A$5:$A$254,0)),DefaultWaste)))</f>
        <v>0</v>
      </c>
      <c r="K343" s="36">
        <f>IF(C343="","",IF(F343="","",ROUND(F343*(1+J343),4)))</f>
        <v>0</v>
      </c>
      <c r="L343" s="45">
        <f>IF(C343="","",IFERROR(INDEX(Materials!$S$5:$S$254,MATCH(C343,Materials!$A$5:$A$254,0)),""))</f>
        <v>0</v>
      </c>
      <c r="M343" s="45">
        <f>IF(C343="","",IF(OR(K343="",L343=""),"",ROUND(K343*L343,4)))</f>
        <v>0</v>
      </c>
      <c r="N343" s="20">
        <f>IF(A343="","",ROUND(SUMIFS('Material Usage'!$M$5:$M$904,'Material Usage'!$A$5:$A$904,A343),2))</f>
        <v>0</v>
      </c>
      <c r="O343" s="33">
        <f>IF(A343="","",IF(OR(M343="",N343="",N343=0),"",M343/N343))</f>
        <v>0</v>
      </c>
      <c r="P343" s="32">
        <f>IF(A343="","",COUNTIFS($A$5:A343,A343))</f>
        <v>0</v>
      </c>
      <c r="Q343" s="13">
        <f>IF(A343="","",A343&amp;"|"&amp;P343)</f>
        <v>0</v>
      </c>
      <c r="R343" s="43">
        <f>IF(AND(A343="",C343=""),"",IF(A343="","Add - which product?",IF(C343="","Add - which material?",IF(B343="Not found","Check - no such product ID",IF(D343="Add to Materials","Check - no such material ID",IF(OR(F343="",F343=0),"Add - how much?",IF(L343="","Check - that material has no price","OK")))))))</f>
        <v>0</v>
      </c>
    </row>
    <row r="344" spans="2:18">
      <c r="B344" s="13">
        <f>IF(A344="","",IFERROR(INDEX(Products!$B$5:$B$304,MATCH(A344,Products!$A$5:$A$304,0)),"Not found"))</f>
        <v>0</v>
      </c>
      <c r="D344" s="13">
        <f>IF(C344="","",IFERROR(INDEX(Materials!$B$5:$B$254,MATCH(C344,Materials!$A$5:$A$254,0)),"Add to Materials"))</f>
        <v>0</v>
      </c>
      <c r="E344" s="13">
        <f>IF(C344="","",IFERROR(INDEX(Materials!$H$5:$H$254,MATCH(C344,Materials!$A$5:$A$254,0)),"Add to Materials"))</f>
        <v>0</v>
      </c>
      <c r="J344" s="33">
        <f>IF(C344="","",IF(G344&lt;&gt;"",G344,IFERROR(INDEX(Materials!$W$5:$W$254,MATCH(C344,Materials!$A$5:$A$254,0)),DefaultWaste)))</f>
        <v>0</v>
      </c>
      <c r="K344" s="36">
        <f>IF(C344="","",IF(F344="","",ROUND(F344*(1+J344),4)))</f>
        <v>0</v>
      </c>
      <c r="L344" s="45">
        <f>IF(C344="","",IFERROR(INDEX(Materials!$S$5:$S$254,MATCH(C344,Materials!$A$5:$A$254,0)),""))</f>
        <v>0</v>
      </c>
      <c r="M344" s="45">
        <f>IF(C344="","",IF(OR(K344="",L344=""),"",ROUND(K344*L344,4)))</f>
        <v>0</v>
      </c>
      <c r="N344" s="20">
        <f>IF(A344="","",ROUND(SUMIFS('Material Usage'!$M$5:$M$904,'Material Usage'!$A$5:$A$904,A344),2))</f>
        <v>0</v>
      </c>
      <c r="O344" s="33">
        <f>IF(A344="","",IF(OR(M344="",N344="",N344=0),"",M344/N344))</f>
        <v>0</v>
      </c>
      <c r="P344" s="32">
        <f>IF(A344="","",COUNTIFS($A$5:A344,A344))</f>
        <v>0</v>
      </c>
      <c r="Q344" s="13">
        <f>IF(A344="","",A344&amp;"|"&amp;P344)</f>
        <v>0</v>
      </c>
      <c r="R344" s="43">
        <f>IF(AND(A344="",C344=""),"",IF(A344="","Add - which product?",IF(C344="","Add - which material?",IF(B344="Not found","Check - no such product ID",IF(D344="Add to Materials","Check - no such material ID",IF(OR(F344="",F344=0),"Add - how much?",IF(L344="","Check - that material has no price","OK")))))))</f>
        <v>0</v>
      </c>
    </row>
    <row r="345" spans="2:18">
      <c r="B345" s="13">
        <f>IF(A345="","",IFERROR(INDEX(Products!$B$5:$B$304,MATCH(A345,Products!$A$5:$A$304,0)),"Not found"))</f>
        <v>0</v>
      </c>
      <c r="D345" s="13">
        <f>IF(C345="","",IFERROR(INDEX(Materials!$B$5:$B$254,MATCH(C345,Materials!$A$5:$A$254,0)),"Add to Materials"))</f>
        <v>0</v>
      </c>
      <c r="E345" s="13">
        <f>IF(C345="","",IFERROR(INDEX(Materials!$H$5:$H$254,MATCH(C345,Materials!$A$5:$A$254,0)),"Add to Materials"))</f>
        <v>0</v>
      </c>
      <c r="J345" s="33">
        <f>IF(C345="","",IF(G345&lt;&gt;"",G345,IFERROR(INDEX(Materials!$W$5:$W$254,MATCH(C345,Materials!$A$5:$A$254,0)),DefaultWaste)))</f>
        <v>0</v>
      </c>
      <c r="K345" s="36">
        <f>IF(C345="","",IF(F345="","",ROUND(F345*(1+J345),4)))</f>
        <v>0</v>
      </c>
      <c r="L345" s="45">
        <f>IF(C345="","",IFERROR(INDEX(Materials!$S$5:$S$254,MATCH(C345,Materials!$A$5:$A$254,0)),""))</f>
        <v>0</v>
      </c>
      <c r="M345" s="45">
        <f>IF(C345="","",IF(OR(K345="",L345=""),"",ROUND(K345*L345,4)))</f>
        <v>0</v>
      </c>
      <c r="N345" s="20">
        <f>IF(A345="","",ROUND(SUMIFS('Material Usage'!$M$5:$M$904,'Material Usage'!$A$5:$A$904,A345),2))</f>
        <v>0</v>
      </c>
      <c r="O345" s="33">
        <f>IF(A345="","",IF(OR(M345="",N345="",N345=0),"",M345/N345))</f>
        <v>0</v>
      </c>
      <c r="P345" s="32">
        <f>IF(A345="","",COUNTIFS($A$5:A345,A345))</f>
        <v>0</v>
      </c>
      <c r="Q345" s="13">
        <f>IF(A345="","",A345&amp;"|"&amp;P345)</f>
        <v>0</v>
      </c>
      <c r="R345" s="43">
        <f>IF(AND(A345="",C345=""),"",IF(A345="","Add - which product?",IF(C345="","Add - which material?",IF(B345="Not found","Check - no such product ID",IF(D345="Add to Materials","Check - no such material ID",IF(OR(F345="",F345=0),"Add - how much?",IF(L345="","Check - that material has no price","OK")))))))</f>
        <v>0</v>
      </c>
    </row>
    <row r="346" spans="2:18">
      <c r="B346" s="13">
        <f>IF(A346="","",IFERROR(INDEX(Products!$B$5:$B$304,MATCH(A346,Products!$A$5:$A$304,0)),"Not found"))</f>
        <v>0</v>
      </c>
      <c r="D346" s="13">
        <f>IF(C346="","",IFERROR(INDEX(Materials!$B$5:$B$254,MATCH(C346,Materials!$A$5:$A$254,0)),"Add to Materials"))</f>
        <v>0</v>
      </c>
      <c r="E346" s="13">
        <f>IF(C346="","",IFERROR(INDEX(Materials!$H$5:$H$254,MATCH(C346,Materials!$A$5:$A$254,0)),"Add to Materials"))</f>
        <v>0</v>
      </c>
      <c r="J346" s="33">
        <f>IF(C346="","",IF(G346&lt;&gt;"",G346,IFERROR(INDEX(Materials!$W$5:$W$254,MATCH(C346,Materials!$A$5:$A$254,0)),DefaultWaste)))</f>
        <v>0</v>
      </c>
      <c r="K346" s="36">
        <f>IF(C346="","",IF(F346="","",ROUND(F346*(1+J346),4)))</f>
        <v>0</v>
      </c>
      <c r="L346" s="45">
        <f>IF(C346="","",IFERROR(INDEX(Materials!$S$5:$S$254,MATCH(C346,Materials!$A$5:$A$254,0)),""))</f>
        <v>0</v>
      </c>
      <c r="M346" s="45">
        <f>IF(C346="","",IF(OR(K346="",L346=""),"",ROUND(K346*L346,4)))</f>
        <v>0</v>
      </c>
      <c r="N346" s="20">
        <f>IF(A346="","",ROUND(SUMIFS('Material Usage'!$M$5:$M$904,'Material Usage'!$A$5:$A$904,A346),2))</f>
        <v>0</v>
      </c>
      <c r="O346" s="33">
        <f>IF(A346="","",IF(OR(M346="",N346="",N346=0),"",M346/N346))</f>
        <v>0</v>
      </c>
      <c r="P346" s="32">
        <f>IF(A346="","",COUNTIFS($A$5:A346,A346))</f>
        <v>0</v>
      </c>
      <c r="Q346" s="13">
        <f>IF(A346="","",A346&amp;"|"&amp;P346)</f>
        <v>0</v>
      </c>
      <c r="R346" s="43">
        <f>IF(AND(A346="",C346=""),"",IF(A346="","Add - which product?",IF(C346="","Add - which material?",IF(B346="Not found","Check - no such product ID",IF(D346="Add to Materials","Check - no such material ID",IF(OR(F346="",F346=0),"Add - how much?",IF(L346="","Check - that material has no price","OK")))))))</f>
        <v>0</v>
      </c>
    </row>
    <row r="347" spans="2:18">
      <c r="B347" s="13">
        <f>IF(A347="","",IFERROR(INDEX(Products!$B$5:$B$304,MATCH(A347,Products!$A$5:$A$304,0)),"Not found"))</f>
        <v>0</v>
      </c>
      <c r="D347" s="13">
        <f>IF(C347="","",IFERROR(INDEX(Materials!$B$5:$B$254,MATCH(C347,Materials!$A$5:$A$254,0)),"Add to Materials"))</f>
        <v>0</v>
      </c>
      <c r="E347" s="13">
        <f>IF(C347="","",IFERROR(INDEX(Materials!$H$5:$H$254,MATCH(C347,Materials!$A$5:$A$254,0)),"Add to Materials"))</f>
        <v>0</v>
      </c>
      <c r="J347" s="33">
        <f>IF(C347="","",IF(G347&lt;&gt;"",G347,IFERROR(INDEX(Materials!$W$5:$W$254,MATCH(C347,Materials!$A$5:$A$254,0)),DefaultWaste)))</f>
        <v>0</v>
      </c>
      <c r="K347" s="36">
        <f>IF(C347="","",IF(F347="","",ROUND(F347*(1+J347),4)))</f>
        <v>0</v>
      </c>
      <c r="L347" s="45">
        <f>IF(C347="","",IFERROR(INDEX(Materials!$S$5:$S$254,MATCH(C347,Materials!$A$5:$A$254,0)),""))</f>
        <v>0</v>
      </c>
      <c r="M347" s="45">
        <f>IF(C347="","",IF(OR(K347="",L347=""),"",ROUND(K347*L347,4)))</f>
        <v>0</v>
      </c>
      <c r="N347" s="20">
        <f>IF(A347="","",ROUND(SUMIFS('Material Usage'!$M$5:$M$904,'Material Usage'!$A$5:$A$904,A347),2))</f>
        <v>0</v>
      </c>
      <c r="O347" s="33">
        <f>IF(A347="","",IF(OR(M347="",N347="",N347=0),"",M347/N347))</f>
        <v>0</v>
      </c>
      <c r="P347" s="32">
        <f>IF(A347="","",COUNTIFS($A$5:A347,A347))</f>
        <v>0</v>
      </c>
      <c r="Q347" s="13">
        <f>IF(A347="","",A347&amp;"|"&amp;P347)</f>
        <v>0</v>
      </c>
      <c r="R347" s="43">
        <f>IF(AND(A347="",C347=""),"",IF(A347="","Add - which product?",IF(C347="","Add - which material?",IF(B347="Not found","Check - no such product ID",IF(D347="Add to Materials","Check - no such material ID",IF(OR(F347="",F347=0),"Add - how much?",IF(L347="","Check - that material has no price","OK")))))))</f>
        <v>0</v>
      </c>
    </row>
    <row r="348" spans="2:18">
      <c r="B348" s="13">
        <f>IF(A348="","",IFERROR(INDEX(Products!$B$5:$B$304,MATCH(A348,Products!$A$5:$A$304,0)),"Not found"))</f>
        <v>0</v>
      </c>
      <c r="D348" s="13">
        <f>IF(C348="","",IFERROR(INDEX(Materials!$B$5:$B$254,MATCH(C348,Materials!$A$5:$A$254,0)),"Add to Materials"))</f>
        <v>0</v>
      </c>
      <c r="E348" s="13">
        <f>IF(C348="","",IFERROR(INDEX(Materials!$H$5:$H$254,MATCH(C348,Materials!$A$5:$A$254,0)),"Add to Materials"))</f>
        <v>0</v>
      </c>
      <c r="J348" s="33">
        <f>IF(C348="","",IF(G348&lt;&gt;"",G348,IFERROR(INDEX(Materials!$W$5:$W$254,MATCH(C348,Materials!$A$5:$A$254,0)),DefaultWaste)))</f>
        <v>0</v>
      </c>
      <c r="K348" s="36">
        <f>IF(C348="","",IF(F348="","",ROUND(F348*(1+J348),4)))</f>
        <v>0</v>
      </c>
      <c r="L348" s="45">
        <f>IF(C348="","",IFERROR(INDEX(Materials!$S$5:$S$254,MATCH(C348,Materials!$A$5:$A$254,0)),""))</f>
        <v>0</v>
      </c>
      <c r="M348" s="45">
        <f>IF(C348="","",IF(OR(K348="",L348=""),"",ROUND(K348*L348,4)))</f>
        <v>0</v>
      </c>
      <c r="N348" s="20">
        <f>IF(A348="","",ROUND(SUMIFS('Material Usage'!$M$5:$M$904,'Material Usage'!$A$5:$A$904,A348),2))</f>
        <v>0</v>
      </c>
      <c r="O348" s="33">
        <f>IF(A348="","",IF(OR(M348="",N348="",N348=0),"",M348/N348))</f>
        <v>0</v>
      </c>
      <c r="P348" s="32">
        <f>IF(A348="","",COUNTIFS($A$5:A348,A348))</f>
        <v>0</v>
      </c>
      <c r="Q348" s="13">
        <f>IF(A348="","",A348&amp;"|"&amp;P348)</f>
        <v>0</v>
      </c>
      <c r="R348" s="43">
        <f>IF(AND(A348="",C348=""),"",IF(A348="","Add - which product?",IF(C348="","Add - which material?",IF(B348="Not found","Check - no such product ID",IF(D348="Add to Materials","Check - no such material ID",IF(OR(F348="",F348=0),"Add - how much?",IF(L348="","Check - that material has no price","OK")))))))</f>
        <v>0</v>
      </c>
    </row>
    <row r="349" spans="2:18">
      <c r="B349" s="13">
        <f>IF(A349="","",IFERROR(INDEX(Products!$B$5:$B$304,MATCH(A349,Products!$A$5:$A$304,0)),"Not found"))</f>
        <v>0</v>
      </c>
      <c r="D349" s="13">
        <f>IF(C349="","",IFERROR(INDEX(Materials!$B$5:$B$254,MATCH(C349,Materials!$A$5:$A$254,0)),"Add to Materials"))</f>
        <v>0</v>
      </c>
      <c r="E349" s="13">
        <f>IF(C349="","",IFERROR(INDEX(Materials!$H$5:$H$254,MATCH(C349,Materials!$A$5:$A$254,0)),"Add to Materials"))</f>
        <v>0</v>
      </c>
      <c r="J349" s="33">
        <f>IF(C349="","",IF(G349&lt;&gt;"",G349,IFERROR(INDEX(Materials!$W$5:$W$254,MATCH(C349,Materials!$A$5:$A$254,0)),DefaultWaste)))</f>
        <v>0</v>
      </c>
      <c r="K349" s="36">
        <f>IF(C349="","",IF(F349="","",ROUND(F349*(1+J349),4)))</f>
        <v>0</v>
      </c>
      <c r="L349" s="45">
        <f>IF(C349="","",IFERROR(INDEX(Materials!$S$5:$S$254,MATCH(C349,Materials!$A$5:$A$254,0)),""))</f>
        <v>0</v>
      </c>
      <c r="M349" s="45">
        <f>IF(C349="","",IF(OR(K349="",L349=""),"",ROUND(K349*L349,4)))</f>
        <v>0</v>
      </c>
      <c r="N349" s="20">
        <f>IF(A349="","",ROUND(SUMIFS('Material Usage'!$M$5:$M$904,'Material Usage'!$A$5:$A$904,A349),2))</f>
        <v>0</v>
      </c>
      <c r="O349" s="33">
        <f>IF(A349="","",IF(OR(M349="",N349="",N349=0),"",M349/N349))</f>
        <v>0</v>
      </c>
      <c r="P349" s="32">
        <f>IF(A349="","",COUNTIFS($A$5:A349,A349))</f>
        <v>0</v>
      </c>
      <c r="Q349" s="13">
        <f>IF(A349="","",A349&amp;"|"&amp;P349)</f>
        <v>0</v>
      </c>
      <c r="R349" s="43">
        <f>IF(AND(A349="",C349=""),"",IF(A349="","Add - which product?",IF(C349="","Add - which material?",IF(B349="Not found","Check - no such product ID",IF(D349="Add to Materials","Check - no such material ID",IF(OR(F349="",F349=0),"Add - how much?",IF(L349="","Check - that material has no price","OK")))))))</f>
        <v>0</v>
      </c>
    </row>
    <row r="350" spans="2:18">
      <c r="B350" s="13">
        <f>IF(A350="","",IFERROR(INDEX(Products!$B$5:$B$304,MATCH(A350,Products!$A$5:$A$304,0)),"Not found"))</f>
        <v>0</v>
      </c>
      <c r="D350" s="13">
        <f>IF(C350="","",IFERROR(INDEX(Materials!$B$5:$B$254,MATCH(C350,Materials!$A$5:$A$254,0)),"Add to Materials"))</f>
        <v>0</v>
      </c>
      <c r="E350" s="13">
        <f>IF(C350="","",IFERROR(INDEX(Materials!$H$5:$H$254,MATCH(C350,Materials!$A$5:$A$254,0)),"Add to Materials"))</f>
        <v>0</v>
      </c>
      <c r="J350" s="33">
        <f>IF(C350="","",IF(G350&lt;&gt;"",G350,IFERROR(INDEX(Materials!$W$5:$W$254,MATCH(C350,Materials!$A$5:$A$254,0)),DefaultWaste)))</f>
        <v>0</v>
      </c>
      <c r="K350" s="36">
        <f>IF(C350="","",IF(F350="","",ROUND(F350*(1+J350),4)))</f>
        <v>0</v>
      </c>
      <c r="L350" s="45">
        <f>IF(C350="","",IFERROR(INDEX(Materials!$S$5:$S$254,MATCH(C350,Materials!$A$5:$A$254,0)),""))</f>
        <v>0</v>
      </c>
      <c r="M350" s="45">
        <f>IF(C350="","",IF(OR(K350="",L350=""),"",ROUND(K350*L350,4)))</f>
        <v>0</v>
      </c>
      <c r="N350" s="20">
        <f>IF(A350="","",ROUND(SUMIFS('Material Usage'!$M$5:$M$904,'Material Usage'!$A$5:$A$904,A350),2))</f>
        <v>0</v>
      </c>
      <c r="O350" s="33">
        <f>IF(A350="","",IF(OR(M350="",N350="",N350=0),"",M350/N350))</f>
        <v>0</v>
      </c>
      <c r="P350" s="32">
        <f>IF(A350="","",COUNTIFS($A$5:A350,A350))</f>
        <v>0</v>
      </c>
      <c r="Q350" s="13">
        <f>IF(A350="","",A350&amp;"|"&amp;P350)</f>
        <v>0</v>
      </c>
      <c r="R350" s="43">
        <f>IF(AND(A350="",C350=""),"",IF(A350="","Add - which product?",IF(C350="","Add - which material?",IF(B350="Not found","Check - no such product ID",IF(D350="Add to Materials","Check - no such material ID",IF(OR(F350="",F350=0),"Add - how much?",IF(L350="","Check - that material has no price","OK")))))))</f>
        <v>0</v>
      </c>
    </row>
    <row r="351" spans="2:18">
      <c r="B351" s="13">
        <f>IF(A351="","",IFERROR(INDEX(Products!$B$5:$B$304,MATCH(A351,Products!$A$5:$A$304,0)),"Not found"))</f>
        <v>0</v>
      </c>
      <c r="D351" s="13">
        <f>IF(C351="","",IFERROR(INDEX(Materials!$B$5:$B$254,MATCH(C351,Materials!$A$5:$A$254,0)),"Add to Materials"))</f>
        <v>0</v>
      </c>
      <c r="E351" s="13">
        <f>IF(C351="","",IFERROR(INDEX(Materials!$H$5:$H$254,MATCH(C351,Materials!$A$5:$A$254,0)),"Add to Materials"))</f>
        <v>0</v>
      </c>
      <c r="J351" s="33">
        <f>IF(C351="","",IF(G351&lt;&gt;"",G351,IFERROR(INDEX(Materials!$W$5:$W$254,MATCH(C351,Materials!$A$5:$A$254,0)),DefaultWaste)))</f>
        <v>0</v>
      </c>
      <c r="K351" s="36">
        <f>IF(C351="","",IF(F351="","",ROUND(F351*(1+J351),4)))</f>
        <v>0</v>
      </c>
      <c r="L351" s="45">
        <f>IF(C351="","",IFERROR(INDEX(Materials!$S$5:$S$254,MATCH(C351,Materials!$A$5:$A$254,0)),""))</f>
        <v>0</v>
      </c>
      <c r="M351" s="45">
        <f>IF(C351="","",IF(OR(K351="",L351=""),"",ROUND(K351*L351,4)))</f>
        <v>0</v>
      </c>
      <c r="N351" s="20">
        <f>IF(A351="","",ROUND(SUMIFS('Material Usage'!$M$5:$M$904,'Material Usage'!$A$5:$A$904,A351),2))</f>
        <v>0</v>
      </c>
      <c r="O351" s="33">
        <f>IF(A351="","",IF(OR(M351="",N351="",N351=0),"",M351/N351))</f>
        <v>0</v>
      </c>
      <c r="P351" s="32">
        <f>IF(A351="","",COUNTIFS($A$5:A351,A351))</f>
        <v>0</v>
      </c>
      <c r="Q351" s="13">
        <f>IF(A351="","",A351&amp;"|"&amp;P351)</f>
        <v>0</v>
      </c>
      <c r="R351" s="43">
        <f>IF(AND(A351="",C351=""),"",IF(A351="","Add - which product?",IF(C351="","Add - which material?",IF(B351="Not found","Check - no such product ID",IF(D351="Add to Materials","Check - no such material ID",IF(OR(F351="",F351=0),"Add - how much?",IF(L351="","Check - that material has no price","OK")))))))</f>
        <v>0</v>
      </c>
    </row>
    <row r="352" spans="2:18">
      <c r="B352" s="13">
        <f>IF(A352="","",IFERROR(INDEX(Products!$B$5:$B$304,MATCH(A352,Products!$A$5:$A$304,0)),"Not found"))</f>
        <v>0</v>
      </c>
      <c r="D352" s="13">
        <f>IF(C352="","",IFERROR(INDEX(Materials!$B$5:$B$254,MATCH(C352,Materials!$A$5:$A$254,0)),"Add to Materials"))</f>
        <v>0</v>
      </c>
      <c r="E352" s="13">
        <f>IF(C352="","",IFERROR(INDEX(Materials!$H$5:$H$254,MATCH(C352,Materials!$A$5:$A$254,0)),"Add to Materials"))</f>
        <v>0</v>
      </c>
      <c r="J352" s="33">
        <f>IF(C352="","",IF(G352&lt;&gt;"",G352,IFERROR(INDEX(Materials!$W$5:$W$254,MATCH(C352,Materials!$A$5:$A$254,0)),DefaultWaste)))</f>
        <v>0</v>
      </c>
      <c r="K352" s="36">
        <f>IF(C352="","",IF(F352="","",ROUND(F352*(1+J352),4)))</f>
        <v>0</v>
      </c>
      <c r="L352" s="45">
        <f>IF(C352="","",IFERROR(INDEX(Materials!$S$5:$S$254,MATCH(C352,Materials!$A$5:$A$254,0)),""))</f>
        <v>0</v>
      </c>
      <c r="M352" s="45">
        <f>IF(C352="","",IF(OR(K352="",L352=""),"",ROUND(K352*L352,4)))</f>
        <v>0</v>
      </c>
      <c r="N352" s="20">
        <f>IF(A352="","",ROUND(SUMIFS('Material Usage'!$M$5:$M$904,'Material Usage'!$A$5:$A$904,A352),2))</f>
        <v>0</v>
      </c>
      <c r="O352" s="33">
        <f>IF(A352="","",IF(OR(M352="",N352="",N352=0),"",M352/N352))</f>
        <v>0</v>
      </c>
      <c r="P352" s="32">
        <f>IF(A352="","",COUNTIFS($A$5:A352,A352))</f>
        <v>0</v>
      </c>
      <c r="Q352" s="13">
        <f>IF(A352="","",A352&amp;"|"&amp;P352)</f>
        <v>0</v>
      </c>
      <c r="R352" s="43">
        <f>IF(AND(A352="",C352=""),"",IF(A352="","Add - which product?",IF(C352="","Add - which material?",IF(B352="Not found","Check - no such product ID",IF(D352="Add to Materials","Check - no such material ID",IF(OR(F352="",F352=0),"Add - how much?",IF(L352="","Check - that material has no price","OK")))))))</f>
        <v>0</v>
      </c>
    </row>
    <row r="353" spans="2:18">
      <c r="B353" s="13">
        <f>IF(A353="","",IFERROR(INDEX(Products!$B$5:$B$304,MATCH(A353,Products!$A$5:$A$304,0)),"Not found"))</f>
        <v>0</v>
      </c>
      <c r="D353" s="13">
        <f>IF(C353="","",IFERROR(INDEX(Materials!$B$5:$B$254,MATCH(C353,Materials!$A$5:$A$254,0)),"Add to Materials"))</f>
        <v>0</v>
      </c>
      <c r="E353" s="13">
        <f>IF(C353="","",IFERROR(INDEX(Materials!$H$5:$H$254,MATCH(C353,Materials!$A$5:$A$254,0)),"Add to Materials"))</f>
        <v>0</v>
      </c>
      <c r="J353" s="33">
        <f>IF(C353="","",IF(G353&lt;&gt;"",G353,IFERROR(INDEX(Materials!$W$5:$W$254,MATCH(C353,Materials!$A$5:$A$254,0)),DefaultWaste)))</f>
        <v>0</v>
      </c>
      <c r="K353" s="36">
        <f>IF(C353="","",IF(F353="","",ROUND(F353*(1+J353),4)))</f>
        <v>0</v>
      </c>
      <c r="L353" s="45">
        <f>IF(C353="","",IFERROR(INDEX(Materials!$S$5:$S$254,MATCH(C353,Materials!$A$5:$A$254,0)),""))</f>
        <v>0</v>
      </c>
      <c r="M353" s="45">
        <f>IF(C353="","",IF(OR(K353="",L353=""),"",ROUND(K353*L353,4)))</f>
        <v>0</v>
      </c>
      <c r="N353" s="20">
        <f>IF(A353="","",ROUND(SUMIFS('Material Usage'!$M$5:$M$904,'Material Usage'!$A$5:$A$904,A353),2))</f>
        <v>0</v>
      </c>
      <c r="O353" s="33">
        <f>IF(A353="","",IF(OR(M353="",N353="",N353=0),"",M353/N353))</f>
        <v>0</v>
      </c>
      <c r="P353" s="32">
        <f>IF(A353="","",COUNTIFS($A$5:A353,A353))</f>
        <v>0</v>
      </c>
      <c r="Q353" s="13">
        <f>IF(A353="","",A353&amp;"|"&amp;P353)</f>
        <v>0</v>
      </c>
      <c r="R353" s="43">
        <f>IF(AND(A353="",C353=""),"",IF(A353="","Add - which product?",IF(C353="","Add - which material?",IF(B353="Not found","Check - no such product ID",IF(D353="Add to Materials","Check - no such material ID",IF(OR(F353="",F353=0),"Add - how much?",IF(L353="","Check - that material has no price","OK")))))))</f>
        <v>0</v>
      </c>
    </row>
    <row r="354" spans="2:18">
      <c r="B354" s="13">
        <f>IF(A354="","",IFERROR(INDEX(Products!$B$5:$B$304,MATCH(A354,Products!$A$5:$A$304,0)),"Not found"))</f>
        <v>0</v>
      </c>
      <c r="D354" s="13">
        <f>IF(C354="","",IFERROR(INDEX(Materials!$B$5:$B$254,MATCH(C354,Materials!$A$5:$A$254,0)),"Add to Materials"))</f>
        <v>0</v>
      </c>
      <c r="E354" s="13">
        <f>IF(C354="","",IFERROR(INDEX(Materials!$H$5:$H$254,MATCH(C354,Materials!$A$5:$A$254,0)),"Add to Materials"))</f>
        <v>0</v>
      </c>
      <c r="J354" s="33">
        <f>IF(C354="","",IF(G354&lt;&gt;"",G354,IFERROR(INDEX(Materials!$W$5:$W$254,MATCH(C354,Materials!$A$5:$A$254,0)),DefaultWaste)))</f>
        <v>0</v>
      </c>
      <c r="K354" s="36">
        <f>IF(C354="","",IF(F354="","",ROUND(F354*(1+J354),4)))</f>
        <v>0</v>
      </c>
      <c r="L354" s="45">
        <f>IF(C354="","",IFERROR(INDEX(Materials!$S$5:$S$254,MATCH(C354,Materials!$A$5:$A$254,0)),""))</f>
        <v>0</v>
      </c>
      <c r="M354" s="45">
        <f>IF(C354="","",IF(OR(K354="",L354=""),"",ROUND(K354*L354,4)))</f>
        <v>0</v>
      </c>
      <c r="N354" s="20">
        <f>IF(A354="","",ROUND(SUMIFS('Material Usage'!$M$5:$M$904,'Material Usage'!$A$5:$A$904,A354),2))</f>
        <v>0</v>
      </c>
      <c r="O354" s="33">
        <f>IF(A354="","",IF(OR(M354="",N354="",N354=0),"",M354/N354))</f>
        <v>0</v>
      </c>
      <c r="P354" s="32">
        <f>IF(A354="","",COUNTIFS($A$5:A354,A354))</f>
        <v>0</v>
      </c>
      <c r="Q354" s="13">
        <f>IF(A354="","",A354&amp;"|"&amp;P354)</f>
        <v>0</v>
      </c>
      <c r="R354" s="43">
        <f>IF(AND(A354="",C354=""),"",IF(A354="","Add - which product?",IF(C354="","Add - which material?",IF(B354="Not found","Check - no such product ID",IF(D354="Add to Materials","Check - no such material ID",IF(OR(F354="",F354=0),"Add - how much?",IF(L354="","Check - that material has no price","OK")))))))</f>
        <v>0</v>
      </c>
    </row>
    <row r="355" spans="2:18">
      <c r="B355" s="13">
        <f>IF(A355="","",IFERROR(INDEX(Products!$B$5:$B$304,MATCH(A355,Products!$A$5:$A$304,0)),"Not found"))</f>
        <v>0</v>
      </c>
      <c r="D355" s="13">
        <f>IF(C355="","",IFERROR(INDEX(Materials!$B$5:$B$254,MATCH(C355,Materials!$A$5:$A$254,0)),"Add to Materials"))</f>
        <v>0</v>
      </c>
      <c r="E355" s="13">
        <f>IF(C355="","",IFERROR(INDEX(Materials!$H$5:$H$254,MATCH(C355,Materials!$A$5:$A$254,0)),"Add to Materials"))</f>
        <v>0</v>
      </c>
      <c r="J355" s="33">
        <f>IF(C355="","",IF(G355&lt;&gt;"",G355,IFERROR(INDEX(Materials!$W$5:$W$254,MATCH(C355,Materials!$A$5:$A$254,0)),DefaultWaste)))</f>
        <v>0</v>
      </c>
      <c r="K355" s="36">
        <f>IF(C355="","",IF(F355="","",ROUND(F355*(1+J355),4)))</f>
        <v>0</v>
      </c>
      <c r="L355" s="45">
        <f>IF(C355="","",IFERROR(INDEX(Materials!$S$5:$S$254,MATCH(C355,Materials!$A$5:$A$254,0)),""))</f>
        <v>0</v>
      </c>
      <c r="M355" s="45">
        <f>IF(C355="","",IF(OR(K355="",L355=""),"",ROUND(K355*L355,4)))</f>
        <v>0</v>
      </c>
      <c r="N355" s="20">
        <f>IF(A355="","",ROUND(SUMIFS('Material Usage'!$M$5:$M$904,'Material Usage'!$A$5:$A$904,A355),2))</f>
        <v>0</v>
      </c>
      <c r="O355" s="33">
        <f>IF(A355="","",IF(OR(M355="",N355="",N355=0),"",M355/N355))</f>
        <v>0</v>
      </c>
      <c r="P355" s="32">
        <f>IF(A355="","",COUNTIFS($A$5:A355,A355))</f>
        <v>0</v>
      </c>
      <c r="Q355" s="13">
        <f>IF(A355="","",A355&amp;"|"&amp;P355)</f>
        <v>0</v>
      </c>
      <c r="R355" s="43">
        <f>IF(AND(A355="",C355=""),"",IF(A355="","Add - which product?",IF(C355="","Add - which material?",IF(B355="Not found","Check - no such product ID",IF(D355="Add to Materials","Check - no such material ID",IF(OR(F355="",F355=0),"Add - how much?",IF(L355="","Check - that material has no price","OK")))))))</f>
        <v>0</v>
      </c>
    </row>
    <row r="356" spans="2:18">
      <c r="B356" s="13">
        <f>IF(A356="","",IFERROR(INDEX(Products!$B$5:$B$304,MATCH(A356,Products!$A$5:$A$304,0)),"Not found"))</f>
        <v>0</v>
      </c>
      <c r="D356" s="13">
        <f>IF(C356="","",IFERROR(INDEX(Materials!$B$5:$B$254,MATCH(C356,Materials!$A$5:$A$254,0)),"Add to Materials"))</f>
        <v>0</v>
      </c>
      <c r="E356" s="13">
        <f>IF(C356="","",IFERROR(INDEX(Materials!$H$5:$H$254,MATCH(C356,Materials!$A$5:$A$254,0)),"Add to Materials"))</f>
        <v>0</v>
      </c>
      <c r="J356" s="33">
        <f>IF(C356="","",IF(G356&lt;&gt;"",G356,IFERROR(INDEX(Materials!$W$5:$W$254,MATCH(C356,Materials!$A$5:$A$254,0)),DefaultWaste)))</f>
        <v>0</v>
      </c>
      <c r="K356" s="36">
        <f>IF(C356="","",IF(F356="","",ROUND(F356*(1+J356),4)))</f>
        <v>0</v>
      </c>
      <c r="L356" s="45">
        <f>IF(C356="","",IFERROR(INDEX(Materials!$S$5:$S$254,MATCH(C356,Materials!$A$5:$A$254,0)),""))</f>
        <v>0</v>
      </c>
      <c r="M356" s="45">
        <f>IF(C356="","",IF(OR(K356="",L356=""),"",ROUND(K356*L356,4)))</f>
        <v>0</v>
      </c>
      <c r="N356" s="20">
        <f>IF(A356="","",ROUND(SUMIFS('Material Usage'!$M$5:$M$904,'Material Usage'!$A$5:$A$904,A356),2))</f>
        <v>0</v>
      </c>
      <c r="O356" s="33">
        <f>IF(A356="","",IF(OR(M356="",N356="",N356=0),"",M356/N356))</f>
        <v>0</v>
      </c>
      <c r="P356" s="32">
        <f>IF(A356="","",COUNTIFS($A$5:A356,A356))</f>
        <v>0</v>
      </c>
      <c r="Q356" s="13">
        <f>IF(A356="","",A356&amp;"|"&amp;P356)</f>
        <v>0</v>
      </c>
      <c r="R356" s="43">
        <f>IF(AND(A356="",C356=""),"",IF(A356="","Add - which product?",IF(C356="","Add - which material?",IF(B356="Not found","Check - no such product ID",IF(D356="Add to Materials","Check - no such material ID",IF(OR(F356="",F356=0),"Add - how much?",IF(L356="","Check - that material has no price","OK")))))))</f>
        <v>0</v>
      </c>
    </row>
    <row r="357" spans="2:18">
      <c r="B357" s="13">
        <f>IF(A357="","",IFERROR(INDEX(Products!$B$5:$B$304,MATCH(A357,Products!$A$5:$A$304,0)),"Not found"))</f>
        <v>0</v>
      </c>
      <c r="D357" s="13">
        <f>IF(C357="","",IFERROR(INDEX(Materials!$B$5:$B$254,MATCH(C357,Materials!$A$5:$A$254,0)),"Add to Materials"))</f>
        <v>0</v>
      </c>
      <c r="E357" s="13">
        <f>IF(C357="","",IFERROR(INDEX(Materials!$H$5:$H$254,MATCH(C357,Materials!$A$5:$A$254,0)),"Add to Materials"))</f>
        <v>0</v>
      </c>
      <c r="J357" s="33">
        <f>IF(C357="","",IF(G357&lt;&gt;"",G357,IFERROR(INDEX(Materials!$W$5:$W$254,MATCH(C357,Materials!$A$5:$A$254,0)),DefaultWaste)))</f>
        <v>0</v>
      </c>
      <c r="K357" s="36">
        <f>IF(C357="","",IF(F357="","",ROUND(F357*(1+J357),4)))</f>
        <v>0</v>
      </c>
      <c r="L357" s="45">
        <f>IF(C357="","",IFERROR(INDEX(Materials!$S$5:$S$254,MATCH(C357,Materials!$A$5:$A$254,0)),""))</f>
        <v>0</v>
      </c>
      <c r="M357" s="45">
        <f>IF(C357="","",IF(OR(K357="",L357=""),"",ROUND(K357*L357,4)))</f>
        <v>0</v>
      </c>
      <c r="N357" s="20">
        <f>IF(A357="","",ROUND(SUMIFS('Material Usage'!$M$5:$M$904,'Material Usage'!$A$5:$A$904,A357),2))</f>
        <v>0</v>
      </c>
      <c r="O357" s="33">
        <f>IF(A357="","",IF(OR(M357="",N357="",N357=0),"",M357/N357))</f>
        <v>0</v>
      </c>
      <c r="P357" s="32">
        <f>IF(A357="","",COUNTIFS($A$5:A357,A357))</f>
        <v>0</v>
      </c>
      <c r="Q357" s="13">
        <f>IF(A357="","",A357&amp;"|"&amp;P357)</f>
        <v>0</v>
      </c>
      <c r="R357" s="43">
        <f>IF(AND(A357="",C357=""),"",IF(A357="","Add - which product?",IF(C357="","Add - which material?",IF(B357="Not found","Check - no such product ID",IF(D357="Add to Materials","Check - no such material ID",IF(OR(F357="",F357=0),"Add - how much?",IF(L357="","Check - that material has no price","OK")))))))</f>
        <v>0</v>
      </c>
    </row>
    <row r="358" spans="2:18">
      <c r="B358" s="13">
        <f>IF(A358="","",IFERROR(INDEX(Products!$B$5:$B$304,MATCH(A358,Products!$A$5:$A$304,0)),"Not found"))</f>
        <v>0</v>
      </c>
      <c r="D358" s="13">
        <f>IF(C358="","",IFERROR(INDEX(Materials!$B$5:$B$254,MATCH(C358,Materials!$A$5:$A$254,0)),"Add to Materials"))</f>
        <v>0</v>
      </c>
      <c r="E358" s="13">
        <f>IF(C358="","",IFERROR(INDEX(Materials!$H$5:$H$254,MATCH(C358,Materials!$A$5:$A$254,0)),"Add to Materials"))</f>
        <v>0</v>
      </c>
      <c r="J358" s="33">
        <f>IF(C358="","",IF(G358&lt;&gt;"",G358,IFERROR(INDEX(Materials!$W$5:$W$254,MATCH(C358,Materials!$A$5:$A$254,0)),DefaultWaste)))</f>
        <v>0</v>
      </c>
      <c r="K358" s="36">
        <f>IF(C358="","",IF(F358="","",ROUND(F358*(1+J358),4)))</f>
        <v>0</v>
      </c>
      <c r="L358" s="45">
        <f>IF(C358="","",IFERROR(INDEX(Materials!$S$5:$S$254,MATCH(C358,Materials!$A$5:$A$254,0)),""))</f>
        <v>0</v>
      </c>
      <c r="M358" s="45">
        <f>IF(C358="","",IF(OR(K358="",L358=""),"",ROUND(K358*L358,4)))</f>
        <v>0</v>
      </c>
      <c r="N358" s="20">
        <f>IF(A358="","",ROUND(SUMIFS('Material Usage'!$M$5:$M$904,'Material Usage'!$A$5:$A$904,A358),2))</f>
        <v>0</v>
      </c>
      <c r="O358" s="33">
        <f>IF(A358="","",IF(OR(M358="",N358="",N358=0),"",M358/N358))</f>
        <v>0</v>
      </c>
      <c r="P358" s="32">
        <f>IF(A358="","",COUNTIFS($A$5:A358,A358))</f>
        <v>0</v>
      </c>
      <c r="Q358" s="13">
        <f>IF(A358="","",A358&amp;"|"&amp;P358)</f>
        <v>0</v>
      </c>
      <c r="R358" s="43">
        <f>IF(AND(A358="",C358=""),"",IF(A358="","Add - which product?",IF(C358="","Add - which material?",IF(B358="Not found","Check - no such product ID",IF(D358="Add to Materials","Check - no such material ID",IF(OR(F358="",F358=0),"Add - how much?",IF(L358="","Check - that material has no price","OK")))))))</f>
        <v>0</v>
      </c>
    </row>
    <row r="359" spans="2:18">
      <c r="B359" s="13">
        <f>IF(A359="","",IFERROR(INDEX(Products!$B$5:$B$304,MATCH(A359,Products!$A$5:$A$304,0)),"Not found"))</f>
        <v>0</v>
      </c>
      <c r="D359" s="13">
        <f>IF(C359="","",IFERROR(INDEX(Materials!$B$5:$B$254,MATCH(C359,Materials!$A$5:$A$254,0)),"Add to Materials"))</f>
        <v>0</v>
      </c>
      <c r="E359" s="13">
        <f>IF(C359="","",IFERROR(INDEX(Materials!$H$5:$H$254,MATCH(C359,Materials!$A$5:$A$254,0)),"Add to Materials"))</f>
        <v>0</v>
      </c>
      <c r="J359" s="33">
        <f>IF(C359="","",IF(G359&lt;&gt;"",G359,IFERROR(INDEX(Materials!$W$5:$W$254,MATCH(C359,Materials!$A$5:$A$254,0)),DefaultWaste)))</f>
        <v>0</v>
      </c>
      <c r="K359" s="36">
        <f>IF(C359="","",IF(F359="","",ROUND(F359*(1+J359),4)))</f>
        <v>0</v>
      </c>
      <c r="L359" s="45">
        <f>IF(C359="","",IFERROR(INDEX(Materials!$S$5:$S$254,MATCH(C359,Materials!$A$5:$A$254,0)),""))</f>
        <v>0</v>
      </c>
      <c r="M359" s="45">
        <f>IF(C359="","",IF(OR(K359="",L359=""),"",ROUND(K359*L359,4)))</f>
        <v>0</v>
      </c>
      <c r="N359" s="20">
        <f>IF(A359="","",ROUND(SUMIFS('Material Usage'!$M$5:$M$904,'Material Usage'!$A$5:$A$904,A359),2))</f>
        <v>0</v>
      </c>
      <c r="O359" s="33">
        <f>IF(A359="","",IF(OR(M359="",N359="",N359=0),"",M359/N359))</f>
        <v>0</v>
      </c>
      <c r="P359" s="32">
        <f>IF(A359="","",COUNTIFS($A$5:A359,A359))</f>
        <v>0</v>
      </c>
      <c r="Q359" s="13">
        <f>IF(A359="","",A359&amp;"|"&amp;P359)</f>
        <v>0</v>
      </c>
      <c r="R359" s="43">
        <f>IF(AND(A359="",C359=""),"",IF(A359="","Add - which product?",IF(C359="","Add - which material?",IF(B359="Not found","Check - no such product ID",IF(D359="Add to Materials","Check - no such material ID",IF(OR(F359="",F359=0),"Add - how much?",IF(L359="","Check - that material has no price","OK")))))))</f>
        <v>0</v>
      </c>
    </row>
    <row r="360" spans="2:18">
      <c r="B360" s="13">
        <f>IF(A360="","",IFERROR(INDEX(Products!$B$5:$B$304,MATCH(A360,Products!$A$5:$A$304,0)),"Not found"))</f>
        <v>0</v>
      </c>
      <c r="D360" s="13">
        <f>IF(C360="","",IFERROR(INDEX(Materials!$B$5:$B$254,MATCH(C360,Materials!$A$5:$A$254,0)),"Add to Materials"))</f>
        <v>0</v>
      </c>
      <c r="E360" s="13">
        <f>IF(C360="","",IFERROR(INDEX(Materials!$H$5:$H$254,MATCH(C360,Materials!$A$5:$A$254,0)),"Add to Materials"))</f>
        <v>0</v>
      </c>
      <c r="J360" s="33">
        <f>IF(C360="","",IF(G360&lt;&gt;"",G360,IFERROR(INDEX(Materials!$W$5:$W$254,MATCH(C360,Materials!$A$5:$A$254,0)),DefaultWaste)))</f>
        <v>0</v>
      </c>
      <c r="K360" s="36">
        <f>IF(C360="","",IF(F360="","",ROUND(F360*(1+J360),4)))</f>
        <v>0</v>
      </c>
      <c r="L360" s="45">
        <f>IF(C360="","",IFERROR(INDEX(Materials!$S$5:$S$254,MATCH(C360,Materials!$A$5:$A$254,0)),""))</f>
        <v>0</v>
      </c>
      <c r="M360" s="45">
        <f>IF(C360="","",IF(OR(K360="",L360=""),"",ROUND(K360*L360,4)))</f>
        <v>0</v>
      </c>
      <c r="N360" s="20">
        <f>IF(A360="","",ROUND(SUMIFS('Material Usage'!$M$5:$M$904,'Material Usage'!$A$5:$A$904,A360),2))</f>
        <v>0</v>
      </c>
      <c r="O360" s="33">
        <f>IF(A360="","",IF(OR(M360="",N360="",N360=0),"",M360/N360))</f>
        <v>0</v>
      </c>
      <c r="P360" s="32">
        <f>IF(A360="","",COUNTIFS($A$5:A360,A360))</f>
        <v>0</v>
      </c>
      <c r="Q360" s="13">
        <f>IF(A360="","",A360&amp;"|"&amp;P360)</f>
        <v>0</v>
      </c>
      <c r="R360" s="43">
        <f>IF(AND(A360="",C360=""),"",IF(A360="","Add - which product?",IF(C360="","Add - which material?",IF(B360="Not found","Check - no such product ID",IF(D360="Add to Materials","Check - no such material ID",IF(OR(F360="",F360=0),"Add - how much?",IF(L360="","Check - that material has no price","OK")))))))</f>
        <v>0</v>
      </c>
    </row>
    <row r="361" spans="2:18">
      <c r="B361" s="13">
        <f>IF(A361="","",IFERROR(INDEX(Products!$B$5:$B$304,MATCH(A361,Products!$A$5:$A$304,0)),"Not found"))</f>
        <v>0</v>
      </c>
      <c r="D361" s="13">
        <f>IF(C361="","",IFERROR(INDEX(Materials!$B$5:$B$254,MATCH(C361,Materials!$A$5:$A$254,0)),"Add to Materials"))</f>
        <v>0</v>
      </c>
      <c r="E361" s="13">
        <f>IF(C361="","",IFERROR(INDEX(Materials!$H$5:$H$254,MATCH(C361,Materials!$A$5:$A$254,0)),"Add to Materials"))</f>
        <v>0</v>
      </c>
      <c r="J361" s="33">
        <f>IF(C361="","",IF(G361&lt;&gt;"",G361,IFERROR(INDEX(Materials!$W$5:$W$254,MATCH(C361,Materials!$A$5:$A$254,0)),DefaultWaste)))</f>
        <v>0</v>
      </c>
      <c r="K361" s="36">
        <f>IF(C361="","",IF(F361="","",ROUND(F361*(1+J361),4)))</f>
        <v>0</v>
      </c>
      <c r="L361" s="45">
        <f>IF(C361="","",IFERROR(INDEX(Materials!$S$5:$S$254,MATCH(C361,Materials!$A$5:$A$254,0)),""))</f>
        <v>0</v>
      </c>
      <c r="M361" s="45">
        <f>IF(C361="","",IF(OR(K361="",L361=""),"",ROUND(K361*L361,4)))</f>
        <v>0</v>
      </c>
      <c r="N361" s="20">
        <f>IF(A361="","",ROUND(SUMIFS('Material Usage'!$M$5:$M$904,'Material Usage'!$A$5:$A$904,A361),2))</f>
        <v>0</v>
      </c>
      <c r="O361" s="33">
        <f>IF(A361="","",IF(OR(M361="",N361="",N361=0),"",M361/N361))</f>
        <v>0</v>
      </c>
      <c r="P361" s="32">
        <f>IF(A361="","",COUNTIFS($A$5:A361,A361))</f>
        <v>0</v>
      </c>
      <c r="Q361" s="13">
        <f>IF(A361="","",A361&amp;"|"&amp;P361)</f>
        <v>0</v>
      </c>
      <c r="R361" s="43">
        <f>IF(AND(A361="",C361=""),"",IF(A361="","Add - which product?",IF(C361="","Add - which material?",IF(B361="Not found","Check - no such product ID",IF(D361="Add to Materials","Check - no such material ID",IF(OR(F361="",F361=0),"Add - how much?",IF(L361="","Check - that material has no price","OK")))))))</f>
        <v>0</v>
      </c>
    </row>
    <row r="362" spans="2:18">
      <c r="B362" s="13">
        <f>IF(A362="","",IFERROR(INDEX(Products!$B$5:$B$304,MATCH(A362,Products!$A$5:$A$304,0)),"Not found"))</f>
        <v>0</v>
      </c>
      <c r="D362" s="13">
        <f>IF(C362="","",IFERROR(INDEX(Materials!$B$5:$B$254,MATCH(C362,Materials!$A$5:$A$254,0)),"Add to Materials"))</f>
        <v>0</v>
      </c>
      <c r="E362" s="13">
        <f>IF(C362="","",IFERROR(INDEX(Materials!$H$5:$H$254,MATCH(C362,Materials!$A$5:$A$254,0)),"Add to Materials"))</f>
        <v>0</v>
      </c>
      <c r="J362" s="33">
        <f>IF(C362="","",IF(G362&lt;&gt;"",G362,IFERROR(INDEX(Materials!$W$5:$W$254,MATCH(C362,Materials!$A$5:$A$254,0)),DefaultWaste)))</f>
        <v>0</v>
      </c>
      <c r="K362" s="36">
        <f>IF(C362="","",IF(F362="","",ROUND(F362*(1+J362),4)))</f>
        <v>0</v>
      </c>
      <c r="L362" s="45">
        <f>IF(C362="","",IFERROR(INDEX(Materials!$S$5:$S$254,MATCH(C362,Materials!$A$5:$A$254,0)),""))</f>
        <v>0</v>
      </c>
      <c r="M362" s="45">
        <f>IF(C362="","",IF(OR(K362="",L362=""),"",ROUND(K362*L362,4)))</f>
        <v>0</v>
      </c>
      <c r="N362" s="20">
        <f>IF(A362="","",ROUND(SUMIFS('Material Usage'!$M$5:$M$904,'Material Usage'!$A$5:$A$904,A362),2))</f>
        <v>0</v>
      </c>
      <c r="O362" s="33">
        <f>IF(A362="","",IF(OR(M362="",N362="",N362=0),"",M362/N362))</f>
        <v>0</v>
      </c>
      <c r="P362" s="32">
        <f>IF(A362="","",COUNTIFS($A$5:A362,A362))</f>
        <v>0</v>
      </c>
      <c r="Q362" s="13">
        <f>IF(A362="","",A362&amp;"|"&amp;P362)</f>
        <v>0</v>
      </c>
      <c r="R362" s="43">
        <f>IF(AND(A362="",C362=""),"",IF(A362="","Add - which product?",IF(C362="","Add - which material?",IF(B362="Not found","Check - no such product ID",IF(D362="Add to Materials","Check - no such material ID",IF(OR(F362="",F362=0),"Add - how much?",IF(L362="","Check - that material has no price","OK")))))))</f>
        <v>0</v>
      </c>
    </row>
    <row r="363" spans="2:18">
      <c r="B363" s="13">
        <f>IF(A363="","",IFERROR(INDEX(Products!$B$5:$B$304,MATCH(A363,Products!$A$5:$A$304,0)),"Not found"))</f>
        <v>0</v>
      </c>
      <c r="D363" s="13">
        <f>IF(C363="","",IFERROR(INDEX(Materials!$B$5:$B$254,MATCH(C363,Materials!$A$5:$A$254,0)),"Add to Materials"))</f>
        <v>0</v>
      </c>
      <c r="E363" s="13">
        <f>IF(C363="","",IFERROR(INDEX(Materials!$H$5:$H$254,MATCH(C363,Materials!$A$5:$A$254,0)),"Add to Materials"))</f>
        <v>0</v>
      </c>
      <c r="J363" s="33">
        <f>IF(C363="","",IF(G363&lt;&gt;"",G363,IFERROR(INDEX(Materials!$W$5:$W$254,MATCH(C363,Materials!$A$5:$A$254,0)),DefaultWaste)))</f>
        <v>0</v>
      </c>
      <c r="K363" s="36">
        <f>IF(C363="","",IF(F363="","",ROUND(F363*(1+J363),4)))</f>
        <v>0</v>
      </c>
      <c r="L363" s="45">
        <f>IF(C363="","",IFERROR(INDEX(Materials!$S$5:$S$254,MATCH(C363,Materials!$A$5:$A$254,0)),""))</f>
        <v>0</v>
      </c>
      <c r="M363" s="45">
        <f>IF(C363="","",IF(OR(K363="",L363=""),"",ROUND(K363*L363,4)))</f>
        <v>0</v>
      </c>
      <c r="N363" s="20">
        <f>IF(A363="","",ROUND(SUMIFS('Material Usage'!$M$5:$M$904,'Material Usage'!$A$5:$A$904,A363),2))</f>
        <v>0</v>
      </c>
      <c r="O363" s="33">
        <f>IF(A363="","",IF(OR(M363="",N363="",N363=0),"",M363/N363))</f>
        <v>0</v>
      </c>
      <c r="P363" s="32">
        <f>IF(A363="","",COUNTIFS($A$5:A363,A363))</f>
        <v>0</v>
      </c>
      <c r="Q363" s="13">
        <f>IF(A363="","",A363&amp;"|"&amp;P363)</f>
        <v>0</v>
      </c>
      <c r="R363" s="43">
        <f>IF(AND(A363="",C363=""),"",IF(A363="","Add - which product?",IF(C363="","Add - which material?",IF(B363="Not found","Check - no such product ID",IF(D363="Add to Materials","Check - no such material ID",IF(OR(F363="",F363=0),"Add - how much?",IF(L363="","Check - that material has no price","OK")))))))</f>
        <v>0</v>
      </c>
    </row>
    <row r="364" spans="2:18">
      <c r="B364" s="13">
        <f>IF(A364="","",IFERROR(INDEX(Products!$B$5:$B$304,MATCH(A364,Products!$A$5:$A$304,0)),"Not found"))</f>
        <v>0</v>
      </c>
      <c r="D364" s="13">
        <f>IF(C364="","",IFERROR(INDEX(Materials!$B$5:$B$254,MATCH(C364,Materials!$A$5:$A$254,0)),"Add to Materials"))</f>
        <v>0</v>
      </c>
      <c r="E364" s="13">
        <f>IF(C364="","",IFERROR(INDEX(Materials!$H$5:$H$254,MATCH(C364,Materials!$A$5:$A$254,0)),"Add to Materials"))</f>
        <v>0</v>
      </c>
      <c r="J364" s="33">
        <f>IF(C364="","",IF(G364&lt;&gt;"",G364,IFERROR(INDEX(Materials!$W$5:$W$254,MATCH(C364,Materials!$A$5:$A$254,0)),DefaultWaste)))</f>
        <v>0</v>
      </c>
      <c r="K364" s="36">
        <f>IF(C364="","",IF(F364="","",ROUND(F364*(1+J364),4)))</f>
        <v>0</v>
      </c>
      <c r="L364" s="45">
        <f>IF(C364="","",IFERROR(INDEX(Materials!$S$5:$S$254,MATCH(C364,Materials!$A$5:$A$254,0)),""))</f>
        <v>0</v>
      </c>
      <c r="M364" s="45">
        <f>IF(C364="","",IF(OR(K364="",L364=""),"",ROUND(K364*L364,4)))</f>
        <v>0</v>
      </c>
      <c r="N364" s="20">
        <f>IF(A364="","",ROUND(SUMIFS('Material Usage'!$M$5:$M$904,'Material Usage'!$A$5:$A$904,A364),2))</f>
        <v>0</v>
      </c>
      <c r="O364" s="33">
        <f>IF(A364="","",IF(OR(M364="",N364="",N364=0),"",M364/N364))</f>
        <v>0</v>
      </c>
      <c r="P364" s="32">
        <f>IF(A364="","",COUNTIFS($A$5:A364,A364))</f>
        <v>0</v>
      </c>
      <c r="Q364" s="13">
        <f>IF(A364="","",A364&amp;"|"&amp;P364)</f>
        <v>0</v>
      </c>
      <c r="R364" s="43">
        <f>IF(AND(A364="",C364=""),"",IF(A364="","Add - which product?",IF(C364="","Add - which material?",IF(B364="Not found","Check - no such product ID",IF(D364="Add to Materials","Check - no such material ID",IF(OR(F364="",F364=0),"Add - how much?",IF(L364="","Check - that material has no price","OK")))))))</f>
        <v>0</v>
      </c>
    </row>
    <row r="365" spans="2:18">
      <c r="B365" s="13">
        <f>IF(A365="","",IFERROR(INDEX(Products!$B$5:$B$304,MATCH(A365,Products!$A$5:$A$304,0)),"Not found"))</f>
        <v>0</v>
      </c>
      <c r="D365" s="13">
        <f>IF(C365="","",IFERROR(INDEX(Materials!$B$5:$B$254,MATCH(C365,Materials!$A$5:$A$254,0)),"Add to Materials"))</f>
        <v>0</v>
      </c>
      <c r="E365" s="13">
        <f>IF(C365="","",IFERROR(INDEX(Materials!$H$5:$H$254,MATCH(C365,Materials!$A$5:$A$254,0)),"Add to Materials"))</f>
        <v>0</v>
      </c>
      <c r="J365" s="33">
        <f>IF(C365="","",IF(G365&lt;&gt;"",G365,IFERROR(INDEX(Materials!$W$5:$W$254,MATCH(C365,Materials!$A$5:$A$254,0)),DefaultWaste)))</f>
        <v>0</v>
      </c>
      <c r="K365" s="36">
        <f>IF(C365="","",IF(F365="","",ROUND(F365*(1+J365),4)))</f>
        <v>0</v>
      </c>
      <c r="L365" s="45">
        <f>IF(C365="","",IFERROR(INDEX(Materials!$S$5:$S$254,MATCH(C365,Materials!$A$5:$A$254,0)),""))</f>
        <v>0</v>
      </c>
      <c r="M365" s="45">
        <f>IF(C365="","",IF(OR(K365="",L365=""),"",ROUND(K365*L365,4)))</f>
        <v>0</v>
      </c>
      <c r="N365" s="20">
        <f>IF(A365="","",ROUND(SUMIFS('Material Usage'!$M$5:$M$904,'Material Usage'!$A$5:$A$904,A365),2))</f>
        <v>0</v>
      </c>
      <c r="O365" s="33">
        <f>IF(A365="","",IF(OR(M365="",N365="",N365=0),"",M365/N365))</f>
        <v>0</v>
      </c>
      <c r="P365" s="32">
        <f>IF(A365="","",COUNTIFS($A$5:A365,A365))</f>
        <v>0</v>
      </c>
      <c r="Q365" s="13">
        <f>IF(A365="","",A365&amp;"|"&amp;P365)</f>
        <v>0</v>
      </c>
      <c r="R365" s="43">
        <f>IF(AND(A365="",C365=""),"",IF(A365="","Add - which product?",IF(C365="","Add - which material?",IF(B365="Not found","Check - no such product ID",IF(D365="Add to Materials","Check - no such material ID",IF(OR(F365="",F365=0),"Add - how much?",IF(L365="","Check - that material has no price","OK")))))))</f>
        <v>0</v>
      </c>
    </row>
    <row r="366" spans="2:18">
      <c r="B366" s="13">
        <f>IF(A366="","",IFERROR(INDEX(Products!$B$5:$B$304,MATCH(A366,Products!$A$5:$A$304,0)),"Not found"))</f>
        <v>0</v>
      </c>
      <c r="D366" s="13">
        <f>IF(C366="","",IFERROR(INDEX(Materials!$B$5:$B$254,MATCH(C366,Materials!$A$5:$A$254,0)),"Add to Materials"))</f>
        <v>0</v>
      </c>
      <c r="E366" s="13">
        <f>IF(C366="","",IFERROR(INDEX(Materials!$H$5:$H$254,MATCH(C366,Materials!$A$5:$A$254,0)),"Add to Materials"))</f>
        <v>0</v>
      </c>
      <c r="J366" s="33">
        <f>IF(C366="","",IF(G366&lt;&gt;"",G366,IFERROR(INDEX(Materials!$W$5:$W$254,MATCH(C366,Materials!$A$5:$A$254,0)),DefaultWaste)))</f>
        <v>0</v>
      </c>
      <c r="K366" s="36">
        <f>IF(C366="","",IF(F366="","",ROUND(F366*(1+J366),4)))</f>
        <v>0</v>
      </c>
      <c r="L366" s="45">
        <f>IF(C366="","",IFERROR(INDEX(Materials!$S$5:$S$254,MATCH(C366,Materials!$A$5:$A$254,0)),""))</f>
        <v>0</v>
      </c>
      <c r="M366" s="45">
        <f>IF(C366="","",IF(OR(K366="",L366=""),"",ROUND(K366*L366,4)))</f>
        <v>0</v>
      </c>
      <c r="N366" s="20">
        <f>IF(A366="","",ROUND(SUMIFS('Material Usage'!$M$5:$M$904,'Material Usage'!$A$5:$A$904,A366),2))</f>
        <v>0</v>
      </c>
      <c r="O366" s="33">
        <f>IF(A366="","",IF(OR(M366="",N366="",N366=0),"",M366/N366))</f>
        <v>0</v>
      </c>
      <c r="P366" s="32">
        <f>IF(A366="","",COUNTIFS($A$5:A366,A366))</f>
        <v>0</v>
      </c>
      <c r="Q366" s="13">
        <f>IF(A366="","",A366&amp;"|"&amp;P366)</f>
        <v>0</v>
      </c>
      <c r="R366" s="43">
        <f>IF(AND(A366="",C366=""),"",IF(A366="","Add - which product?",IF(C366="","Add - which material?",IF(B366="Not found","Check - no such product ID",IF(D366="Add to Materials","Check - no such material ID",IF(OR(F366="",F366=0),"Add - how much?",IF(L366="","Check - that material has no price","OK")))))))</f>
        <v>0</v>
      </c>
    </row>
    <row r="367" spans="2:18">
      <c r="B367" s="13">
        <f>IF(A367="","",IFERROR(INDEX(Products!$B$5:$B$304,MATCH(A367,Products!$A$5:$A$304,0)),"Not found"))</f>
        <v>0</v>
      </c>
      <c r="D367" s="13">
        <f>IF(C367="","",IFERROR(INDEX(Materials!$B$5:$B$254,MATCH(C367,Materials!$A$5:$A$254,0)),"Add to Materials"))</f>
        <v>0</v>
      </c>
      <c r="E367" s="13">
        <f>IF(C367="","",IFERROR(INDEX(Materials!$H$5:$H$254,MATCH(C367,Materials!$A$5:$A$254,0)),"Add to Materials"))</f>
        <v>0</v>
      </c>
      <c r="J367" s="33">
        <f>IF(C367="","",IF(G367&lt;&gt;"",G367,IFERROR(INDEX(Materials!$W$5:$W$254,MATCH(C367,Materials!$A$5:$A$254,0)),DefaultWaste)))</f>
        <v>0</v>
      </c>
      <c r="K367" s="36">
        <f>IF(C367="","",IF(F367="","",ROUND(F367*(1+J367),4)))</f>
        <v>0</v>
      </c>
      <c r="L367" s="45">
        <f>IF(C367="","",IFERROR(INDEX(Materials!$S$5:$S$254,MATCH(C367,Materials!$A$5:$A$254,0)),""))</f>
        <v>0</v>
      </c>
      <c r="M367" s="45">
        <f>IF(C367="","",IF(OR(K367="",L367=""),"",ROUND(K367*L367,4)))</f>
        <v>0</v>
      </c>
      <c r="N367" s="20">
        <f>IF(A367="","",ROUND(SUMIFS('Material Usage'!$M$5:$M$904,'Material Usage'!$A$5:$A$904,A367),2))</f>
        <v>0</v>
      </c>
      <c r="O367" s="33">
        <f>IF(A367="","",IF(OR(M367="",N367="",N367=0),"",M367/N367))</f>
        <v>0</v>
      </c>
      <c r="P367" s="32">
        <f>IF(A367="","",COUNTIFS($A$5:A367,A367))</f>
        <v>0</v>
      </c>
      <c r="Q367" s="13">
        <f>IF(A367="","",A367&amp;"|"&amp;P367)</f>
        <v>0</v>
      </c>
      <c r="R367" s="43">
        <f>IF(AND(A367="",C367=""),"",IF(A367="","Add - which product?",IF(C367="","Add - which material?",IF(B367="Not found","Check - no such product ID",IF(D367="Add to Materials","Check - no such material ID",IF(OR(F367="",F367=0),"Add - how much?",IF(L367="","Check - that material has no price","OK")))))))</f>
        <v>0</v>
      </c>
    </row>
    <row r="368" spans="2:18">
      <c r="B368" s="13">
        <f>IF(A368="","",IFERROR(INDEX(Products!$B$5:$B$304,MATCH(A368,Products!$A$5:$A$304,0)),"Not found"))</f>
        <v>0</v>
      </c>
      <c r="D368" s="13">
        <f>IF(C368="","",IFERROR(INDEX(Materials!$B$5:$B$254,MATCH(C368,Materials!$A$5:$A$254,0)),"Add to Materials"))</f>
        <v>0</v>
      </c>
      <c r="E368" s="13">
        <f>IF(C368="","",IFERROR(INDEX(Materials!$H$5:$H$254,MATCH(C368,Materials!$A$5:$A$254,0)),"Add to Materials"))</f>
        <v>0</v>
      </c>
      <c r="J368" s="33">
        <f>IF(C368="","",IF(G368&lt;&gt;"",G368,IFERROR(INDEX(Materials!$W$5:$W$254,MATCH(C368,Materials!$A$5:$A$254,0)),DefaultWaste)))</f>
        <v>0</v>
      </c>
      <c r="K368" s="36">
        <f>IF(C368="","",IF(F368="","",ROUND(F368*(1+J368),4)))</f>
        <v>0</v>
      </c>
      <c r="L368" s="45">
        <f>IF(C368="","",IFERROR(INDEX(Materials!$S$5:$S$254,MATCH(C368,Materials!$A$5:$A$254,0)),""))</f>
        <v>0</v>
      </c>
      <c r="M368" s="45">
        <f>IF(C368="","",IF(OR(K368="",L368=""),"",ROUND(K368*L368,4)))</f>
        <v>0</v>
      </c>
      <c r="N368" s="20">
        <f>IF(A368="","",ROUND(SUMIFS('Material Usage'!$M$5:$M$904,'Material Usage'!$A$5:$A$904,A368),2))</f>
        <v>0</v>
      </c>
      <c r="O368" s="33">
        <f>IF(A368="","",IF(OR(M368="",N368="",N368=0),"",M368/N368))</f>
        <v>0</v>
      </c>
      <c r="P368" s="32">
        <f>IF(A368="","",COUNTIFS($A$5:A368,A368))</f>
        <v>0</v>
      </c>
      <c r="Q368" s="13">
        <f>IF(A368="","",A368&amp;"|"&amp;P368)</f>
        <v>0</v>
      </c>
      <c r="R368" s="43">
        <f>IF(AND(A368="",C368=""),"",IF(A368="","Add - which product?",IF(C368="","Add - which material?",IF(B368="Not found","Check - no such product ID",IF(D368="Add to Materials","Check - no such material ID",IF(OR(F368="",F368=0),"Add - how much?",IF(L368="","Check - that material has no price","OK")))))))</f>
        <v>0</v>
      </c>
    </row>
    <row r="369" spans="2:18">
      <c r="B369" s="13">
        <f>IF(A369="","",IFERROR(INDEX(Products!$B$5:$B$304,MATCH(A369,Products!$A$5:$A$304,0)),"Not found"))</f>
        <v>0</v>
      </c>
      <c r="D369" s="13">
        <f>IF(C369="","",IFERROR(INDEX(Materials!$B$5:$B$254,MATCH(C369,Materials!$A$5:$A$254,0)),"Add to Materials"))</f>
        <v>0</v>
      </c>
      <c r="E369" s="13">
        <f>IF(C369="","",IFERROR(INDEX(Materials!$H$5:$H$254,MATCH(C369,Materials!$A$5:$A$254,0)),"Add to Materials"))</f>
        <v>0</v>
      </c>
      <c r="J369" s="33">
        <f>IF(C369="","",IF(G369&lt;&gt;"",G369,IFERROR(INDEX(Materials!$W$5:$W$254,MATCH(C369,Materials!$A$5:$A$254,0)),DefaultWaste)))</f>
        <v>0</v>
      </c>
      <c r="K369" s="36">
        <f>IF(C369="","",IF(F369="","",ROUND(F369*(1+J369),4)))</f>
        <v>0</v>
      </c>
      <c r="L369" s="45">
        <f>IF(C369="","",IFERROR(INDEX(Materials!$S$5:$S$254,MATCH(C369,Materials!$A$5:$A$254,0)),""))</f>
        <v>0</v>
      </c>
      <c r="M369" s="45">
        <f>IF(C369="","",IF(OR(K369="",L369=""),"",ROUND(K369*L369,4)))</f>
        <v>0</v>
      </c>
      <c r="N369" s="20">
        <f>IF(A369="","",ROUND(SUMIFS('Material Usage'!$M$5:$M$904,'Material Usage'!$A$5:$A$904,A369),2))</f>
        <v>0</v>
      </c>
      <c r="O369" s="33">
        <f>IF(A369="","",IF(OR(M369="",N369="",N369=0),"",M369/N369))</f>
        <v>0</v>
      </c>
      <c r="P369" s="32">
        <f>IF(A369="","",COUNTIFS($A$5:A369,A369))</f>
        <v>0</v>
      </c>
      <c r="Q369" s="13">
        <f>IF(A369="","",A369&amp;"|"&amp;P369)</f>
        <v>0</v>
      </c>
      <c r="R369" s="43">
        <f>IF(AND(A369="",C369=""),"",IF(A369="","Add - which product?",IF(C369="","Add - which material?",IF(B369="Not found","Check - no such product ID",IF(D369="Add to Materials","Check - no such material ID",IF(OR(F369="",F369=0),"Add - how much?",IF(L369="","Check - that material has no price","OK")))))))</f>
        <v>0</v>
      </c>
    </row>
    <row r="370" spans="2:18">
      <c r="B370" s="13">
        <f>IF(A370="","",IFERROR(INDEX(Products!$B$5:$B$304,MATCH(A370,Products!$A$5:$A$304,0)),"Not found"))</f>
        <v>0</v>
      </c>
      <c r="D370" s="13">
        <f>IF(C370="","",IFERROR(INDEX(Materials!$B$5:$B$254,MATCH(C370,Materials!$A$5:$A$254,0)),"Add to Materials"))</f>
        <v>0</v>
      </c>
      <c r="E370" s="13">
        <f>IF(C370="","",IFERROR(INDEX(Materials!$H$5:$H$254,MATCH(C370,Materials!$A$5:$A$254,0)),"Add to Materials"))</f>
        <v>0</v>
      </c>
      <c r="J370" s="33">
        <f>IF(C370="","",IF(G370&lt;&gt;"",G370,IFERROR(INDEX(Materials!$W$5:$W$254,MATCH(C370,Materials!$A$5:$A$254,0)),DefaultWaste)))</f>
        <v>0</v>
      </c>
      <c r="K370" s="36">
        <f>IF(C370="","",IF(F370="","",ROUND(F370*(1+J370),4)))</f>
        <v>0</v>
      </c>
      <c r="L370" s="45">
        <f>IF(C370="","",IFERROR(INDEX(Materials!$S$5:$S$254,MATCH(C370,Materials!$A$5:$A$254,0)),""))</f>
        <v>0</v>
      </c>
      <c r="M370" s="45">
        <f>IF(C370="","",IF(OR(K370="",L370=""),"",ROUND(K370*L370,4)))</f>
        <v>0</v>
      </c>
      <c r="N370" s="20">
        <f>IF(A370="","",ROUND(SUMIFS('Material Usage'!$M$5:$M$904,'Material Usage'!$A$5:$A$904,A370),2))</f>
        <v>0</v>
      </c>
      <c r="O370" s="33">
        <f>IF(A370="","",IF(OR(M370="",N370="",N370=0),"",M370/N370))</f>
        <v>0</v>
      </c>
      <c r="P370" s="32">
        <f>IF(A370="","",COUNTIFS($A$5:A370,A370))</f>
        <v>0</v>
      </c>
      <c r="Q370" s="13">
        <f>IF(A370="","",A370&amp;"|"&amp;P370)</f>
        <v>0</v>
      </c>
      <c r="R370" s="43">
        <f>IF(AND(A370="",C370=""),"",IF(A370="","Add - which product?",IF(C370="","Add - which material?",IF(B370="Not found","Check - no such product ID",IF(D370="Add to Materials","Check - no such material ID",IF(OR(F370="",F370=0),"Add - how much?",IF(L370="","Check - that material has no price","OK")))))))</f>
        <v>0</v>
      </c>
    </row>
    <row r="371" spans="2:18">
      <c r="B371" s="13">
        <f>IF(A371="","",IFERROR(INDEX(Products!$B$5:$B$304,MATCH(A371,Products!$A$5:$A$304,0)),"Not found"))</f>
        <v>0</v>
      </c>
      <c r="D371" s="13">
        <f>IF(C371="","",IFERROR(INDEX(Materials!$B$5:$B$254,MATCH(C371,Materials!$A$5:$A$254,0)),"Add to Materials"))</f>
        <v>0</v>
      </c>
      <c r="E371" s="13">
        <f>IF(C371="","",IFERROR(INDEX(Materials!$H$5:$H$254,MATCH(C371,Materials!$A$5:$A$254,0)),"Add to Materials"))</f>
        <v>0</v>
      </c>
      <c r="J371" s="33">
        <f>IF(C371="","",IF(G371&lt;&gt;"",G371,IFERROR(INDEX(Materials!$W$5:$W$254,MATCH(C371,Materials!$A$5:$A$254,0)),DefaultWaste)))</f>
        <v>0</v>
      </c>
      <c r="K371" s="36">
        <f>IF(C371="","",IF(F371="","",ROUND(F371*(1+J371),4)))</f>
        <v>0</v>
      </c>
      <c r="L371" s="45">
        <f>IF(C371="","",IFERROR(INDEX(Materials!$S$5:$S$254,MATCH(C371,Materials!$A$5:$A$254,0)),""))</f>
        <v>0</v>
      </c>
      <c r="M371" s="45">
        <f>IF(C371="","",IF(OR(K371="",L371=""),"",ROUND(K371*L371,4)))</f>
        <v>0</v>
      </c>
      <c r="N371" s="20">
        <f>IF(A371="","",ROUND(SUMIFS('Material Usage'!$M$5:$M$904,'Material Usage'!$A$5:$A$904,A371),2))</f>
        <v>0</v>
      </c>
      <c r="O371" s="33">
        <f>IF(A371="","",IF(OR(M371="",N371="",N371=0),"",M371/N371))</f>
        <v>0</v>
      </c>
      <c r="P371" s="32">
        <f>IF(A371="","",COUNTIFS($A$5:A371,A371))</f>
        <v>0</v>
      </c>
      <c r="Q371" s="13">
        <f>IF(A371="","",A371&amp;"|"&amp;P371)</f>
        <v>0</v>
      </c>
      <c r="R371" s="43">
        <f>IF(AND(A371="",C371=""),"",IF(A371="","Add - which product?",IF(C371="","Add - which material?",IF(B371="Not found","Check - no such product ID",IF(D371="Add to Materials","Check - no such material ID",IF(OR(F371="",F371=0),"Add - how much?",IF(L371="","Check - that material has no price","OK")))))))</f>
        <v>0</v>
      </c>
    </row>
    <row r="372" spans="2:18">
      <c r="B372" s="13">
        <f>IF(A372="","",IFERROR(INDEX(Products!$B$5:$B$304,MATCH(A372,Products!$A$5:$A$304,0)),"Not found"))</f>
        <v>0</v>
      </c>
      <c r="D372" s="13">
        <f>IF(C372="","",IFERROR(INDEX(Materials!$B$5:$B$254,MATCH(C372,Materials!$A$5:$A$254,0)),"Add to Materials"))</f>
        <v>0</v>
      </c>
      <c r="E372" s="13">
        <f>IF(C372="","",IFERROR(INDEX(Materials!$H$5:$H$254,MATCH(C372,Materials!$A$5:$A$254,0)),"Add to Materials"))</f>
        <v>0</v>
      </c>
      <c r="J372" s="33">
        <f>IF(C372="","",IF(G372&lt;&gt;"",G372,IFERROR(INDEX(Materials!$W$5:$W$254,MATCH(C372,Materials!$A$5:$A$254,0)),DefaultWaste)))</f>
        <v>0</v>
      </c>
      <c r="K372" s="36">
        <f>IF(C372="","",IF(F372="","",ROUND(F372*(1+J372),4)))</f>
        <v>0</v>
      </c>
      <c r="L372" s="45">
        <f>IF(C372="","",IFERROR(INDEX(Materials!$S$5:$S$254,MATCH(C372,Materials!$A$5:$A$254,0)),""))</f>
        <v>0</v>
      </c>
      <c r="M372" s="45">
        <f>IF(C372="","",IF(OR(K372="",L372=""),"",ROUND(K372*L372,4)))</f>
        <v>0</v>
      </c>
      <c r="N372" s="20">
        <f>IF(A372="","",ROUND(SUMIFS('Material Usage'!$M$5:$M$904,'Material Usage'!$A$5:$A$904,A372),2))</f>
        <v>0</v>
      </c>
      <c r="O372" s="33">
        <f>IF(A372="","",IF(OR(M372="",N372="",N372=0),"",M372/N372))</f>
        <v>0</v>
      </c>
      <c r="P372" s="32">
        <f>IF(A372="","",COUNTIFS($A$5:A372,A372))</f>
        <v>0</v>
      </c>
      <c r="Q372" s="13">
        <f>IF(A372="","",A372&amp;"|"&amp;P372)</f>
        <v>0</v>
      </c>
      <c r="R372" s="43">
        <f>IF(AND(A372="",C372=""),"",IF(A372="","Add - which product?",IF(C372="","Add - which material?",IF(B372="Not found","Check - no such product ID",IF(D372="Add to Materials","Check - no such material ID",IF(OR(F372="",F372=0),"Add - how much?",IF(L372="","Check - that material has no price","OK")))))))</f>
        <v>0</v>
      </c>
    </row>
    <row r="373" spans="2:18">
      <c r="B373" s="13">
        <f>IF(A373="","",IFERROR(INDEX(Products!$B$5:$B$304,MATCH(A373,Products!$A$5:$A$304,0)),"Not found"))</f>
        <v>0</v>
      </c>
      <c r="D373" s="13">
        <f>IF(C373="","",IFERROR(INDEX(Materials!$B$5:$B$254,MATCH(C373,Materials!$A$5:$A$254,0)),"Add to Materials"))</f>
        <v>0</v>
      </c>
      <c r="E373" s="13">
        <f>IF(C373="","",IFERROR(INDEX(Materials!$H$5:$H$254,MATCH(C373,Materials!$A$5:$A$254,0)),"Add to Materials"))</f>
        <v>0</v>
      </c>
      <c r="J373" s="33">
        <f>IF(C373="","",IF(G373&lt;&gt;"",G373,IFERROR(INDEX(Materials!$W$5:$W$254,MATCH(C373,Materials!$A$5:$A$254,0)),DefaultWaste)))</f>
        <v>0</v>
      </c>
      <c r="K373" s="36">
        <f>IF(C373="","",IF(F373="","",ROUND(F373*(1+J373),4)))</f>
        <v>0</v>
      </c>
      <c r="L373" s="45">
        <f>IF(C373="","",IFERROR(INDEX(Materials!$S$5:$S$254,MATCH(C373,Materials!$A$5:$A$254,0)),""))</f>
        <v>0</v>
      </c>
      <c r="M373" s="45">
        <f>IF(C373="","",IF(OR(K373="",L373=""),"",ROUND(K373*L373,4)))</f>
        <v>0</v>
      </c>
      <c r="N373" s="20">
        <f>IF(A373="","",ROUND(SUMIFS('Material Usage'!$M$5:$M$904,'Material Usage'!$A$5:$A$904,A373),2))</f>
        <v>0</v>
      </c>
      <c r="O373" s="33">
        <f>IF(A373="","",IF(OR(M373="",N373="",N373=0),"",M373/N373))</f>
        <v>0</v>
      </c>
      <c r="P373" s="32">
        <f>IF(A373="","",COUNTIFS($A$5:A373,A373))</f>
        <v>0</v>
      </c>
      <c r="Q373" s="13">
        <f>IF(A373="","",A373&amp;"|"&amp;P373)</f>
        <v>0</v>
      </c>
      <c r="R373" s="43">
        <f>IF(AND(A373="",C373=""),"",IF(A373="","Add - which product?",IF(C373="","Add - which material?",IF(B373="Not found","Check - no such product ID",IF(D373="Add to Materials","Check - no such material ID",IF(OR(F373="",F373=0),"Add - how much?",IF(L373="","Check - that material has no price","OK")))))))</f>
        <v>0</v>
      </c>
    </row>
    <row r="374" spans="2:18">
      <c r="B374" s="13">
        <f>IF(A374="","",IFERROR(INDEX(Products!$B$5:$B$304,MATCH(A374,Products!$A$5:$A$304,0)),"Not found"))</f>
        <v>0</v>
      </c>
      <c r="D374" s="13">
        <f>IF(C374="","",IFERROR(INDEX(Materials!$B$5:$B$254,MATCH(C374,Materials!$A$5:$A$254,0)),"Add to Materials"))</f>
        <v>0</v>
      </c>
      <c r="E374" s="13">
        <f>IF(C374="","",IFERROR(INDEX(Materials!$H$5:$H$254,MATCH(C374,Materials!$A$5:$A$254,0)),"Add to Materials"))</f>
        <v>0</v>
      </c>
      <c r="J374" s="33">
        <f>IF(C374="","",IF(G374&lt;&gt;"",G374,IFERROR(INDEX(Materials!$W$5:$W$254,MATCH(C374,Materials!$A$5:$A$254,0)),DefaultWaste)))</f>
        <v>0</v>
      </c>
      <c r="K374" s="36">
        <f>IF(C374="","",IF(F374="","",ROUND(F374*(1+J374),4)))</f>
        <v>0</v>
      </c>
      <c r="L374" s="45">
        <f>IF(C374="","",IFERROR(INDEX(Materials!$S$5:$S$254,MATCH(C374,Materials!$A$5:$A$254,0)),""))</f>
        <v>0</v>
      </c>
      <c r="M374" s="45">
        <f>IF(C374="","",IF(OR(K374="",L374=""),"",ROUND(K374*L374,4)))</f>
        <v>0</v>
      </c>
      <c r="N374" s="20">
        <f>IF(A374="","",ROUND(SUMIFS('Material Usage'!$M$5:$M$904,'Material Usage'!$A$5:$A$904,A374),2))</f>
        <v>0</v>
      </c>
      <c r="O374" s="33">
        <f>IF(A374="","",IF(OR(M374="",N374="",N374=0),"",M374/N374))</f>
        <v>0</v>
      </c>
      <c r="P374" s="32">
        <f>IF(A374="","",COUNTIFS($A$5:A374,A374))</f>
        <v>0</v>
      </c>
      <c r="Q374" s="13">
        <f>IF(A374="","",A374&amp;"|"&amp;P374)</f>
        <v>0</v>
      </c>
      <c r="R374" s="43">
        <f>IF(AND(A374="",C374=""),"",IF(A374="","Add - which product?",IF(C374="","Add - which material?",IF(B374="Not found","Check - no such product ID",IF(D374="Add to Materials","Check - no such material ID",IF(OR(F374="",F374=0),"Add - how much?",IF(L374="","Check - that material has no price","OK")))))))</f>
        <v>0</v>
      </c>
    </row>
    <row r="375" spans="2:18">
      <c r="B375" s="13">
        <f>IF(A375="","",IFERROR(INDEX(Products!$B$5:$B$304,MATCH(A375,Products!$A$5:$A$304,0)),"Not found"))</f>
        <v>0</v>
      </c>
      <c r="D375" s="13">
        <f>IF(C375="","",IFERROR(INDEX(Materials!$B$5:$B$254,MATCH(C375,Materials!$A$5:$A$254,0)),"Add to Materials"))</f>
        <v>0</v>
      </c>
      <c r="E375" s="13">
        <f>IF(C375="","",IFERROR(INDEX(Materials!$H$5:$H$254,MATCH(C375,Materials!$A$5:$A$254,0)),"Add to Materials"))</f>
        <v>0</v>
      </c>
      <c r="J375" s="33">
        <f>IF(C375="","",IF(G375&lt;&gt;"",G375,IFERROR(INDEX(Materials!$W$5:$W$254,MATCH(C375,Materials!$A$5:$A$254,0)),DefaultWaste)))</f>
        <v>0</v>
      </c>
      <c r="K375" s="36">
        <f>IF(C375="","",IF(F375="","",ROUND(F375*(1+J375),4)))</f>
        <v>0</v>
      </c>
      <c r="L375" s="45">
        <f>IF(C375="","",IFERROR(INDEX(Materials!$S$5:$S$254,MATCH(C375,Materials!$A$5:$A$254,0)),""))</f>
        <v>0</v>
      </c>
      <c r="M375" s="45">
        <f>IF(C375="","",IF(OR(K375="",L375=""),"",ROUND(K375*L375,4)))</f>
        <v>0</v>
      </c>
      <c r="N375" s="20">
        <f>IF(A375="","",ROUND(SUMIFS('Material Usage'!$M$5:$M$904,'Material Usage'!$A$5:$A$904,A375),2))</f>
        <v>0</v>
      </c>
      <c r="O375" s="33">
        <f>IF(A375="","",IF(OR(M375="",N375="",N375=0),"",M375/N375))</f>
        <v>0</v>
      </c>
      <c r="P375" s="32">
        <f>IF(A375="","",COUNTIFS($A$5:A375,A375))</f>
        <v>0</v>
      </c>
      <c r="Q375" s="13">
        <f>IF(A375="","",A375&amp;"|"&amp;P375)</f>
        <v>0</v>
      </c>
      <c r="R375" s="43">
        <f>IF(AND(A375="",C375=""),"",IF(A375="","Add - which product?",IF(C375="","Add - which material?",IF(B375="Not found","Check - no such product ID",IF(D375="Add to Materials","Check - no such material ID",IF(OR(F375="",F375=0),"Add - how much?",IF(L375="","Check - that material has no price","OK")))))))</f>
        <v>0</v>
      </c>
    </row>
    <row r="376" spans="2:18">
      <c r="B376" s="13">
        <f>IF(A376="","",IFERROR(INDEX(Products!$B$5:$B$304,MATCH(A376,Products!$A$5:$A$304,0)),"Not found"))</f>
        <v>0</v>
      </c>
      <c r="D376" s="13">
        <f>IF(C376="","",IFERROR(INDEX(Materials!$B$5:$B$254,MATCH(C376,Materials!$A$5:$A$254,0)),"Add to Materials"))</f>
        <v>0</v>
      </c>
      <c r="E376" s="13">
        <f>IF(C376="","",IFERROR(INDEX(Materials!$H$5:$H$254,MATCH(C376,Materials!$A$5:$A$254,0)),"Add to Materials"))</f>
        <v>0</v>
      </c>
      <c r="J376" s="33">
        <f>IF(C376="","",IF(G376&lt;&gt;"",G376,IFERROR(INDEX(Materials!$W$5:$W$254,MATCH(C376,Materials!$A$5:$A$254,0)),DefaultWaste)))</f>
        <v>0</v>
      </c>
      <c r="K376" s="36">
        <f>IF(C376="","",IF(F376="","",ROUND(F376*(1+J376),4)))</f>
        <v>0</v>
      </c>
      <c r="L376" s="45">
        <f>IF(C376="","",IFERROR(INDEX(Materials!$S$5:$S$254,MATCH(C376,Materials!$A$5:$A$254,0)),""))</f>
        <v>0</v>
      </c>
      <c r="M376" s="45">
        <f>IF(C376="","",IF(OR(K376="",L376=""),"",ROUND(K376*L376,4)))</f>
        <v>0</v>
      </c>
      <c r="N376" s="20">
        <f>IF(A376="","",ROUND(SUMIFS('Material Usage'!$M$5:$M$904,'Material Usage'!$A$5:$A$904,A376),2))</f>
        <v>0</v>
      </c>
      <c r="O376" s="33">
        <f>IF(A376="","",IF(OR(M376="",N376="",N376=0),"",M376/N376))</f>
        <v>0</v>
      </c>
      <c r="P376" s="32">
        <f>IF(A376="","",COUNTIFS($A$5:A376,A376))</f>
        <v>0</v>
      </c>
      <c r="Q376" s="13">
        <f>IF(A376="","",A376&amp;"|"&amp;P376)</f>
        <v>0</v>
      </c>
      <c r="R376" s="43">
        <f>IF(AND(A376="",C376=""),"",IF(A376="","Add - which product?",IF(C376="","Add - which material?",IF(B376="Not found","Check - no such product ID",IF(D376="Add to Materials","Check - no such material ID",IF(OR(F376="",F376=0),"Add - how much?",IF(L376="","Check - that material has no price","OK")))))))</f>
        <v>0</v>
      </c>
    </row>
    <row r="377" spans="2:18">
      <c r="B377" s="13">
        <f>IF(A377="","",IFERROR(INDEX(Products!$B$5:$B$304,MATCH(A377,Products!$A$5:$A$304,0)),"Not found"))</f>
        <v>0</v>
      </c>
      <c r="D377" s="13">
        <f>IF(C377="","",IFERROR(INDEX(Materials!$B$5:$B$254,MATCH(C377,Materials!$A$5:$A$254,0)),"Add to Materials"))</f>
        <v>0</v>
      </c>
      <c r="E377" s="13">
        <f>IF(C377="","",IFERROR(INDEX(Materials!$H$5:$H$254,MATCH(C377,Materials!$A$5:$A$254,0)),"Add to Materials"))</f>
        <v>0</v>
      </c>
      <c r="J377" s="33">
        <f>IF(C377="","",IF(G377&lt;&gt;"",G377,IFERROR(INDEX(Materials!$W$5:$W$254,MATCH(C377,Materials!$A$5:$A$254,0)),DefaultWaste)))</f>
        <v>0</v>
      </c>
      <c r="K377" s="36">
        <f>IF(C377="","",IF(F377="","",ROUND(F377*(1+J377),4)))</f>
        <v>0</v>
      </c>
      <c r="L377" s="45">
        <f>IF(C377="","",IFERROR(INDEX(Materials!$S$5:$S$254,MATCH(C377,Materials!$A$5:$A$254,0)),""))</f>
        <v>0</v>
      </c>
      <c r="M377" s="45">
        <f>IF(C377="","",IF(OR(K377="",L377=""),"",ROUND(K377*L377,4)))</f>
        <v>0</v>
      </c>
      <c r="N377" s="20">
        <f>IF(A377="","",ROUND(SUMIFS('Material Usage'!$M$5:$M$904,'Material Usage'!$A$5:$A$904,A377),2))</f>
        <v>0</v>
      </c>
      <c r="O377" s="33">
        <f>IF(A377="","",IF(OR(M377="",N377="",N377=0),"",M377/N377))</f>
        <v>0</v>
      </c>
      <c r="P377" s="32">
        <f>IF(A377="","",COUNTIFS($A$5:A377,A377))</f>
        <v>0</v>
      </c>
      <c r="Q377" s="13">
        <f>IF(A377="","",A377&amp;"|"&amp;P377)</f>
        <v>0</v>
      </c>
      <c r="R377" s="43">
        <f>IF(AND(A377="",C377=""),"",IF(A377="","Add - which product?",IF(C377="","Add - which material?",IF(B377="Not found","Check - no such product ID",IF(D377="Add to Materials","Check - no such material ID",IF(OR(F377="",F377=0),"Add - how much?",IF(L377="","Check - that material has no price","OK")))))))</f>
        <v>0</v>
      </c>
    </row>
    <row r="378" spans="2:18">
      <c r="B378" s="13">
        <f>IF(A378="","",IFERROR(INDEX(Products!$B$5:$B$304,MATCH(A378,Products!$A$5:$A$304,0)),"Not found"))</f>
        <v>0</v>
      </c>
      <c r="D378" s="13">
        <f>IF(C378="","",IFERROR(INDEX(Materials!$B$5:$B$254,MATCH(C378,Materials!$A$5:$A$254,0)),"Add to Materials"))</f>
        <v>0</v>
      </c>
      <c r="E378" s="13">
        <f>IF(C378="","",IFERROR(INDEX(Materials!$H$5:$H$254,MATCH(C378,Materials!$A$5:$A$254,0)),"Add to Materials"))</f>
        <v>0</v>
      </c>
      <c r="J378" s="33">
        <f>IF(C378="","",IF(G378&lt;&gt;"",G378,IFERROR(INDEX(Materials!$W$5:$W$254,MATCH(C378,Materials!$A$5:$A$254,0)),DefaultWaste)))</f>
        <v>0</v>
      </c>
      <c r="K378" s="36">
        <f>IF(C378="","",IF(F378="","",ROUND(F378*(1+J378),4)))</f>
        <v>0</v>
      </c>
      <c r="L378" s="45">
        <f>IF(C378="","",IFERROR(INDEX(Materials!$S$5:$S$254,MATCH(C378,Materials!$A$5:$A$254,0)),""))</f>
        <v>0</v>
      </c>
      <c r="M378" s="45">
        <f>IF(C378="","",IF(OR(K378="",L378=""),"",ROUND(K378*L378,4)))</f>
        <v>0</v>
      </c>
      <c r="N378" s="20">
        <f>IF(A378="","",ROUND(SUMIFS('Material Usage'!$M$5:$M$904,'Material Usage'!$A$5:$A$904,A378),2))</f>
        <v>0</v>
      </c>
      <c r="O378" s="33">
        <f>IF(A378="","",IF(OR(M378="",N378="",N378=0),"",M378/N378))</f>
        <v>0</v>
      </c>
      <c r="P378" s="32">
        <f>IF(A378="","",COUNTIFS($A$5:A378,A378))</f>
        <v>0</v>
      </c>
      <c r="Q378" s="13">
        <f>IF(A378="","",A378&amp;"|"&amp;P378)</f>
        <v>0</v>
      </c>
      <c r="R378" s="43">
        <f>IF(AND(A378="",C378=""),"",IF(A378="","Add - which product?",IF(C378="","Add - which material?",IF(B378="Not found","Check - no such product ID",IF(D378="Add to Materials","Check - no such material ID",IF(OR(F378="",F378=0),"Add - how much?",IF(L378="","Check - that material has no price","OK")))))))</f>
        <v>0</v>
      </c>
    </row>
    <row r="379" spans="2:18">
      <c r="B379" s="13">
        <f>IF(A379="","",IFERROR(INDEX(Products!$B$5:$B$304,MATCH(A379,Products!$A$5:$A$304,0)),"Not found"))</f>
        <v>0</v>
      </c>
      <c r="D379" s="13">
        <f>IF(C379="","",IFERROR(INDEX(Materials!$B$5:$B$254,MATCH(C379,Materials!$A$5:$A$254,0)),"Add to Materials"))</f>
        <v>0</v>
      </c>
      <c r="E379" s="13">
        <f>IF(C379="","",IFERROR(INDEX(Materials!$H$5:$H$254,MATCH(C379,Materials!$A$5:$A$254,0)),"Add to Materials"))</f>
        <v>0</v>
      </c>
      <c r="J379" s="33">
        <f>IF(C379="","",IF(G379&lt;&gt;"",G379,IFERROR(INDEX(Materials!$W$5:$W$254,MATCH(C379,Materials!$A$5:$A$254,0)),DefaultWaste)))</f>
        <v>0</v>
      </c>
      <c r="K379" s="36">
        <f>IF(C379="","",IF(F379="","",ROUND(F379*(1+J379),4)))</f>
        <v>0</v>
      </c>
      <c r="L379" s="45">
        <f>IF(C379="","",IFERROR(INDEX(Materials!$S$5:$S$254,MATCH(C379,Materials!$A$5:$A$254,0)),""))</f>
        <v>0</v>
      </c>
      <c r="M379" s="45">
        <f>IF(C379="","",IF(OR(K379="",L379=""),"",ROUND(K379*L379,4)))</f>
        <v>0</v>
      </c>
      <c r="N379" s="20">
        <f>IF(A379="","",ROUND(SUMIFS('Material Usage'!$M$5:$M$904,'Material Usage'!$A$5:$A$904,A379),2))</f>
        <v>0</v>
      </c>
      <c r="O379" s="33">
        <f>IF(A379="","",IF(OR(M379="",N379="",N379=0),"",M379/N379))</f>
        <v>0</v>
      </c>
      <c r="P379" s="32">
        <f>IF(A379="","",COUNTIFS($A$5:A379,A379))</f>
        <v>0</v>
      </c>
      <c r="Q379" s="13">
        <f>IF(A379="","",A379&amp;"|"&amp;P379)</f>
        <v>0</v>
      </c>
      <c r="R379" s="43">
        <f>IF(AND(A379="",C379=""),"",IF(A379="","Add - which product?",IF(C379="","Add - which material?",IF(B379="Not found","Check - no such product ID",IF(D379="Add to Materials","Check - no such material ID",IF(OR(F379="",F379=0),"Add - how much?",IF(L379="","Check - that material has no price","OK")))))))</f>
        <v>0</v>
      </c>
    </row>
    <row r="380" spans="2:18">
      <c r="B380" s="13">
        <f>IF(A380="","",IFERROR(INDEX(Products!$B$5:$B$304,MATCH(A380,Products!$A$5:$A$304,0)),"Not found"))</f>
        <v>0</v>
      </c>
      <c r="D380" s="13">
        <f>IF(C380="","",IFERROR(INDEX(Materials!$B$5:$B$254,MATCH(C380,Materials!$A$5:$A$254,0)),"Add to Materials"))</f>
        <v>0</v>
      </c>
      <c r="E380" s="13">
        <f>IF(C380="","",IFERROR(INDEX(Materials!$H$5:$H$254,MATCH(C380,Materials!$A$5:$A$254,0)),"Add to Materials"))</f>
        <v>0</v>
      </c>
      <c r="J380" s="33">
        <f>IF(C380="","",IF(G380&lt;&gt;"",G380,IFERROR(INDEX(Materials!$W$5:$W$254,MATCH(C380,Materials!$A$5:$A$254,0)),DefaultWaste)))</f>
        <v>0</v>
      </c>
      <c r="K380" s="36">
        <f>IF(C380="","",IF(F380="","",ROUND(F380*(1+J380),4)))</f>
        <v>0</v>
      </c>
      <c r="L380" s="45">
        <f>IF(C380="","",IFERROR(INDEX(Materials!$S$5:$S$254,MATCH(C380,Materials!$A$5:$A$254,0)),""))</f>
        <v>0</v>
      </c>
      <c r="M380" s="45">
        <f>IF(C380="","",IF(OR(K380="",L380=""),"",ROUND(K380*L380,4)))</f>
        <v>0</v>
      </c>
      <c r="N380" s="20">
        <f>IF(A380="","",ROUND(SUMIFS('Material Usage'!$M$5:$M$904,'Material Usage'!$A$5:$A$904,A380),2))</f>
        <v>0</v>
      </c>
      <c r="O380" s="33">
        <f>IF(A380="","",IF(OR(M380="",N380="",N380=0),"",M380/N380))</f>
        <v>0</v>
      </c>
      <c r="P380" s="32">
        <f>IF(A380="","",COUNTIFS($A$5:A380,A380))</f>
        <v>0</v>
      </c>
      <c r="Q380" s="13">
        <f>IF(A380="","",A380&amp;"|"&amp;P380)</f>
        <v>0</v>
      </c>
      <c r="R380" s="43">
        <f>IF(AND(A380="",C380=""),"",IF(A380="","Add - which product?",IF(C380="","Add - which material?",IF(B380="Not found","Check - no such product ID",IF(D380="Add to Materials","Check - no such material ID",IF(OR(F380="",F380=0),"Add - how much?",IF(L380="","Check - that material has no price","OK")))))))</f>
        <v>0</v>
      </c>
    </row>
    <row r="381" spans="2:18">
      <c r="B381" s="13">
        <f>IF(A381="","",IFERROR(INDEX(Products!$B$5:$B$304,MATCH(A381,Products!$A$5:$A$304,0)),"Not found"))</f>
        <v>0</v>
      </c>
      <c r="D381" s="13">
        <f>IF(C381="","",IFERROR(INDEX(Materials!$B$5:$B$254,MATCH(C381,Materials!$A$5:$A$254,0)),"Add to Materials"))</f>
        <v>0</v>
      </c>
      <c r="E381" s="13">
        <f>IF(C381="","",IFERROR(INDEX(Materials!$H$5:$H$254,MATCH(C381,Materials!$A$5:$A$254,0)),"Add to Materials"))</f>
        <v>0</v>
      </c>
      <c r="J381" s="33">
        <f>IF(C381="","",IF(G381&lt;&gt;"",G381,IFERROR(INDEX(Materials!$W$5:$W$254,MATCH(C381,Materials!$A$5:$A$254,0)),DefaultWaste)))</f>
        <v>0</v>
      </c>
      <c r="K381" s="36">
        <f>IF(C381="","",IF(F381="","",ROUND(F381*(1+J381),4)))</f>
        <v>0</v>
      </c>
      <c r="L381" s="45">
        <f>IF(C381="","",IFERROR(INDEX(Materials!$S$5:$S$254,MATCH(C381,Materials!$A$5:$A$254,0)),""))</f>
        <v>0</v>
      </c>
      <c r="M381" s="45">
        <f>IF(C381="","",IF(OR(K381="",L381=""),"",ROUND(K381*L381,4)))</f>
        <v>0</v>
      </c>
      <c r="N381" s="20">
        <f>IF(A381="","",ROUND(SUMIFS('Material Usage'!$M$5:$M$904,'Material Usage'!$A$5:$A$904,A381),2))</f>
        <v>0</v>
      </c>
      <c r="O381" s="33">
        <f>IF(A381="","",IF(OR(M381="",N381="",N381=0),"",M381/N381))</f>
        <v>0</v>
      </c>
      <c r="P381" s="32">
        <f>IF(A381="","",COUNTIFS($A$5:A381,A381))</f>
        <v>0</v>
      </c>
      <c r="Q381" s="13">
        <f>IF(A381="","",A381&amp;"|"&amp;P381)</f>
        <v>0</v>
      </c>
      <c r="R381" s="43">
        <f>IF(AND(A381="",C381=""),"",IF(A381="","Add - which product?",IF(C381="","Add - which material?",IF(B381="Not found","Check - no such product ID",IF(D381="Add to Materials","Check - no such material ID",IF(OR(F381="",F381=0),"Add - how much?",IF(L381="","Check - that material has no price","OK")))))))</f>
        <v>0</v>
      </c>
    </row>
    <row r="382" spans="2:18">
      <c r="B382" s="13">
        <f>IF(A382="","",IFERROR(INDEX(Products!$B$5:$B$304,MATCH(A382,Products!$A$5:$A$304,0)),"Not found"))</f>
        <v>0</v>
      </c>
      <c r="D382" s="13">
        <f>IF(C382="","",IFERROR(INDEX(Materials!$B$5:$B$254,MATCH(C382,Materials!$A$5:$A$254,0)),"Add to Materials"))</f>
        <v>0</v>
      </c>
      <c r="E382" s="13">
        <f>IF(C382="","",IFERROR(INDEX(Materials!$H$5:$H$254,MATCH(C382,Materials!$A$5:$A$254,0)),"Add to Materials"))</f>
        <v>0</v>
      </c>
      <c r="J382" s="33">
        <f>IF(C382="","",IF(G382&lt;&gt;"",G382,IFERROR(INDEX(Materials!$W$5:$W$254,MATCH(C382,Materials!$A$5:$A$254,0)),DefaultWaste)))</f>
        <v>0</v>
      </c>
      <c r="K382" s="36">
        <f>IF(C382="","",IF(F382="","",ROUND(F382*(1+J382),4)))</f>
        <v>0</v>
      </c>
      <c r="L382" s="45">
        <f>IF(C382="","",IFERROR(INDEX(Materials!$S$5:$S$254,MATCH(C382,Materials!$A$5:$A$254,0)),""))</f>
        <v>0</v>
      </c>
      <c r="M382" s="45">
        <f>IF(C382="","",IF(OR(K382="",L382=""),"",ROUND(K382*L382,4)))</f>
        <v>0</v>
      </c>
      <c r="N382" s="20">
        <f>IF(A382="","",ROUND(SUMIFS('Material Usage'!$M$5:$M$904,'Material Usage'!$A$5:$A$904,A382),2))</f>
        <v>0</v>
      </c>
      <c r="O382" s="33">
        <f>IF(A382="","",IF(OR(M382="",N382="",N382=0),"",M382/N382))</f>
        <v>0</v>
      </c>
      <c r="P382" s="32">
        <f>IF(A382="","",COUNTIFS($A$5:A382,A382))</f>
        <v>0</v>
      </c>
      <c r="Q382" s="13">
        <f>IF(A382="","",A382&amp;"|"&amp;P382)</f>
        <v>0</v>
      </c>
      <c r="R382" s="43">
        <f>IF(AND(A382="",C382=""),"",IF(A382="","Add - which product?",IF(C382="","Add - which material?",IF(B382="Not found","Check - no such product ID",IF(D382="Add to Materials","Check - no such material ID",IF(OR(F382="",F382=0),"Add - how much?",IF(L382="","Check - that material has no price","OK")))))))</f>
        <v>0</v>
      </c>
    </row>
    <row r="383" spans="2:18">
      <c r="B383" s="13">
        <f>IF(A383="","",IFERROR(INDEX(Products!$B$5:$B$304,MATCH(A383,Products!$A$5:$A$304,0)),"Not found"))</f>
        <v>0</v>
      </c>
      <c r="D383" s="13">
        <f>IF(C383="","",IFERROR(INDEX(Materials!$B$5:$B$254,MATCH(C383,Materials!$A$5:$A$254,0)),"Add to Materials"))</f>
        <v>0</v>
      </c>
      <c r="E383" s="13">
        <f>IF(C383="","",IFERROR(INDEX(Materials!$H$5:$H$254,MATCH(C383,Materials!$A$5:$A$254,0)),"Add to Materials"))</f>
        <v>0</v>
      </c>
      <c r="J383" s="33">
        <f>IF(C383="","",IF(G383&lt;&gt;"",G383,IFERROR(INDEX(Materials!$W$5:$W$254,MATCH(C383,Materials!$A$5:$A$254,0)),DefaultWaste)))</f>
        <v>0</v>
      </c>
      <c r="K383" s="36">
        <f>IF(C383="","",IF(F383="","",ROUND(F383*(1+J383),4)))</f>
        <v>0</v>
      </c>
      <c r="L383" s="45">
        <f>IF(C383="","",IFERROR(INDEX(Materials!$S$5:$S$254,MATCH(C383,Materials!$A$5:$A$254,0)),""))</f>
        <v>0</v>
      </c>
      <c r="M383" s="45">
        <f>IF(C383="","",IF(OR(K383="",L383=""),"",ROUND(K383*L383,4)))</f>
        <v>0</v>
      </c>
      <c r="N383" s="20">
        <f>IF(A383="","",ROUND(SUMIFS('Material Usage'!$M$5:$M$904,'Material Usage'!$A$5:$A$904,A383),2))</f>
        <v>0</v>
      </c>
      <c r="O383" s="33">
        <f>IF(A383="","",IF(OR(M383="",N383="",N383=0),"",M383/N383))</f>
        <v>0</v>
      </c>
      <c r="P383" s="32">
        <f>IF(A383="","",COUNTIFS($A$5:A383,A383))</f>
        <v>0</v>
      </c>
      <c r="Q383" s="13">
        <f>IF(A383="","",A383&amp;"|"&amp;P383)</f>
        <v>0</v>
      </c>
      <c r="R383" s="43">
        <f>IF(AND(A383="",C383=""),"",IF(A383="","Add - which product?",IF(C383="","Add - which material?",IF(B383="Not found","Check - no such product ID",IF(D383="Add to Materials","Check - no such material ID",IF(OR(F383="",F383=0),"Add - how much?",IF(L383="","Check - that material has no price","OK")))))))</f>
        <v>0</v>
      </c>
    </row>
    <row r="384" spans="2:18">
      <c r="B384" s="13">
        <f>IF(A384="","",IFERROR(INDEX(Products!$B$5:$B$304,MATCH(A384,Products!$A$5:$A$304,0)),"Not found"))</f>
        <v>0</v>
      </c>
      <c r="D384" s="13">
        <f>IF(C384="","",IFERROR(INDEX(Materials!$B$5:$B$254,MATCH(C384,Materials!$A$5:$A$254,0)),"Add to Materials"))</f>
        <v>0</v>
      </c>
      <c r="E384" s="13">
        <f>IF(C384="","",IFERROR(INDEX(Materials!$H$5:$H$254,MATCH(C384,Materials!$A$5:$A$254,0)),"Add to Materials"))</f>
        <v>0</v>
      </c>
      <c r="J384" s="33">
        <f>IF(C384="","",IF(G384&lt;&gt;"",G384,IFERROR(INDEX(Materials!$W$5:$W$254,MATCH(C384,Materials!$A$5:$A$254,0)),DefaultWaste)))</f>
        <v>0</v>
      </c>
      <c r="K384" s="36">
        <f>IF(C384="","",IF(F384="","",ROUND(F384*(1+J384),4)))</f>
        <v>0</v>
      </c>
      <c r="L384" s="45">
        <f>IF(C384="","",IFERROR(INDEX(Materials!$S$5:$S$254,MATCH(C384,Materials!$A$5:$A$254,0)),""))</f>
        <v>0</v>
      </c>
      <c r="M384" s="45">
        <f>IF(C384="","",IF(OR(K384="",L384=""),"",ROUND(K384*L384,4)))</f>
        <v>0</v>
      </c>
      <c r="N384" s="20">
        <f>IF(A384="","",ROUND(SUMIFS('Material Usage'!$M$5:$M$904,'Material Usage'!$A$5:$A$904,A384),2))</f>
        <v>0</v>
      </c>
      <c r="O384" s="33">
        <f>IF(A384="","",IF(OR(M384="",N384="",N384=0),"",M384/N384))</f>
        <v>0</v>
      </c>
      <c r="P384" s="32">
        <f>IF(A384="","",COUNTIFS($A$5:A384,A384))</f>
        <v>0</v>
      </c>
      <c r="Q384" s="13">
        <f>IF(A384="","",A384&amp;"|"&amp;P384)</f>
        <v>0</v>
      </c>
      <c r="R384" s="43">
        <f>IF(AND(A384="",C384=""),"",IF(A384="","Add - which product?",IF(C384="","Add - which material?",IF(B384="Not found","Check - no such product ID",IF(D384="Add to Materials","Check - no such material ID",IF(OR(F384="",F384=0),"Add - how much?",IF(L384="","Check - that material has no price","OK")))))))</f>
        <v>0</v>
      </c>
    </row>
    <row r="385" spans="2:18">
      <c r="B385" s="13">
        <f>IF(A385="","",IFERROR(INDEX(Products!$B$5:$B$304,MATCH(A385,Products!$A$5:$A$304,0)),"Not found"))</f>
        <v>0</v>
      </c>
      <c r="D385" s="13">
        <f>IF(C385="","",IFERROR(INDEX(Materials!$B$5:$B$254,MATCH(C385,Materials!$A$5:$A$254,0)),"Add to Materials"))</f>
        <v>0</v>
      </c>
      <c r="E385" s="13">
        <f>IF(C385="","",IFERROR(INDEX(Materials!$H$5:$H$254,MATCH(C385,Materials!$A$5:$A$254,0)),"Add to Materials"))</f>
        <v>0</v>
      </c>
      <c r="J385" s="33">
        <f>IF(C385="","",IF(G385&lt;&gt;"",G385,IFERROR(INDEX(Materials!$W$5:$W$254,MATCH(C385,Materials!$A$5:$A$254,0)),DefaultWaste)))</f>
        <v>0</v>
      </c>
      <c r="K385" s="36">
        <f>IF(C385="","",IF(F385="","",ROUND(F385*(1+J385),4)))</f>
        <v>0</v>
      </c>
      <c r="L385" s="45">
        <f>IF(C385="","",IFERROR(INDEX(Materials!$S$5:$S$254,MATCH(C385,Materials!$A$5:$A$254,0)),""))</f>
        <v>0</v>
      </c>
      <c r="M385" s="45">
        <f>IF(C385="","",IF(OR(K385="",L385=""),"",ROUND(K385*L385,4)))</f>
        <v>0</v>
      </c>
      <c r="N385" s="20">
        <f>IF(A385="","",ROUND(SUMIFS('Material Usage'!$M$5:$M$904,'Material Usage'!$A$5:$A$904,A385),2))</f>
        <v>0</v>
      </c>
      <c r="O385" s="33">
        <f>IF(A385="","",IF(OR(M385="",N385="",N385=0),"",M385/N385))</f>
        <v>0</v>
      </c>
      <c r="P385" s="32">
        <f>IF(A385="","",COUNTIFS($A$5:A385,A385))</f>
        <v>0</v>
      </c>
      <c r="Q385" s="13">
        <f>IF(A385="","",A385&amp;"|"&amp;P385)</f>
        <v>0</v>
      </c>
      <c r="R385" s="43">
        <f>IF(AND(A385="",C385=""),"",IF(A385="","Add - which product?",IF(C385="","Add - which material?",IF(B385="Not found","Check - no such product ID",IF(D385="Add to Materials","Check - no such material ID",IF(OR(F385="",F385=0),"Add - how much?",IF(L385="","Check - that material has no price","OK")))))))</f>
        <v>0</v>
      </c>
    </row>
    <row r="386" spans="2:18">
      <c r="B386" s="13">
        <f>IF(A386="","",IFERROR(INDEX(Products!$B$5:$B$304,MATCH(A386,Products!$A$5:$A$304,0)),"Not found"))</f>
        <v>0</v>
      </c>
      <c r="D386" s="13">
        <f>IF(C386="","",IFERROR(INDEX(Materials!$B$5:$B$254,MATCH(C386,Materials!$A$5:$A$254,0)),"Add to Materials"))</f>
        <v>0</v>
      </c>
      <c r="E386" s="13">
        <f>IF(C386="","",IFERROR(INDEX(Materials!$H$5:$H$254,MATCH(C386,Materials!$A$5:$A$254,0)),"Add to Materials"))</f>
        <v>0</v>
      </c>
      <c r="J386" s="33">
        <f>IF(C386="","",IF(G386&lt;&gt;"",G386,IFERROR(INDEX(Materials!$W$5:$W$254,MATCH(C386,Materials!$A$5:$A$254,0)),DefaultWaste)))</f>
        <v>0</v>
      </c>
      <c r="K386" s="36">
        <f>IF(C386="","",IF(F386="","",ROUND(F386*(1+J386),4)))</f>
        <v>0</v>
      </c>
      <c r="L386" s="45">
        <f>IF(C386="","",IFERROR(INDEX(Materials!$S$5:$S$254,MATCH(C386,Materials!$A$5:$A$254,0)),""))</f>
        <v>0</v>
      </c>
      <c r="M386" s="45">
        <f>IF(C386="","",IF(OR(K386="",L386=""),"",ROUND(K386*L386,4)))</f>
        <v>0</v>
      </c>
      <c r="N386" s="20">
        <f>IF(A386="","",ROUND(SUMIFS('Material Usage'!$M$5:$M$904,'Material Usage'!$A$5:$A$904,A386),2))</f>
        <v>0</v>
      </c>
      <c r="O386" s="33">
        <f>IF(A386="","",IF(OR(M386="",N386="",N386=0),"",M386/N386))</f>
        <v>0</v>
      </c>
      <c r="P386" s="32">
        <f>IF(A386="","",COUNTIFS($A$5:A386,A386))</f>
        <v>0</v>
      </c>
      <c r="Q386" s="13">
        <f>IF(A386="","",A386&amp;"|"&amp;P386)</f>
        <v>0</v>
      </c>
      <c r="R386" s="43">
        <f>IF(AND(A386="",C386=""),"",IF(A386="","Add - which product?",IF(C386="","Add - which material?",IF(B386="Not found","Check - no such product ID",IF(D386="Add to Materials","Check - no such material ID",IF(OR(F386="",F386=0),"Add - how much?",IF(L386="","Check - that material has no price","OK")))))))</f>
        <v>0</v>
      </c>
    </row>
    <row r="387" spans="2:18">
      <c r="B387" s="13">
        <f>IF(A387="","",IFERROR(INDEX(Products!$B$5:$B$304,MATCH(A387,Products!$A$5:$A$304,0)),"Not found"))</f>
        <v>0</v>
      </c>
      <c r="D387" s="13">
        <f>IF(C387="","",IFERROR(INDEX(Materials!$B$5:$B$254,MATCH(C387,Materials!$A$5:$A$254,0)),"Add to Materials"))</f>
        <v>0</v>
      </c>
      <c r="E387" s="13">
        <f>IF(C387="","",IFERROR(INDEX(Materials!$H$5:$H$254,MATCH(C387,Materials!$A$5:$A$254,0)),"Add to Materials"))</f>
        <v>0</v>
      </c>
      <c r="J387" s="33">
        <f>IF(C387="","",IF(G387&lt;&gt;"",G387,IFERROR(INDEX(Materials!$W$5:$W$254,MATCH(C387,Materials!$A$5:$A$254,0)),DefaultWaste)))</f>
        <v>0</v>
      </c>
      <c r="K387" s="36">
        <f>IF(C387="","",IF(F387="","",ROUND(F387*(1+J387),4)))</f>
        <v>0</v>
      </c>
      <c r="L387" s="45">
        <f>IF(C387="","",IFERROR(INDEX(Materials!$S$5:$S$254,MATCH(C387,Materials!$A$5:$A$254,0)),""))</f>
        <v>0</v>
      </c>
      <c r="M387" s="45">
        <f>IF(C387="","",IF(OR(K387="",L387=""),"",ROUND(K387*L387,4)))</f>
        <v>0</v>
      </c>
      <c r="N387" s="20">
        <f>IF(A387="","",ROUND(SUMIFS('Material Usage'!$M$5:$M$904,'Material Usage'!$A$5:$A$904,A387),2))</f>
        <v>0</v>
      </c>
      <c r="O387" s="33">
        <f>IF(A387="","",IF(OR(M387="",N387="",N387=0),"",M387/N387))</f>
        <v>0</v>
      </c>
      <c r="P387" s="32">
        <f>IF(A387="","",COUNTIFS($A$5:A387,A387))</f>
        <v>0</v>
      </c>
      <c r="Q387" s="13">
        <f>IF(A387="","",A387&amp;"|"&amp;P387)</f>
        <v>0</v>
      </c>
      <c r="R387" s="43">
        <f>IF(AND(A387="",C387=""),"",IF(A387="","Add - which product?",IF(C387="","Add - which material?",IF(B387="Not found","Check - no such product ID",IF(D387="Add to Materials","Check - no such material ID",IF(OR(F387="",F387=0),"Add - how much?",IF(L387="","Check - that material has no price","OK")))))))</f>
        <v>0</v>
      </c>
    </row>
    <row r="388" spans="2:18">
      <c r="B388" s="13">
        <f>IF(A388="","",IFERROR(INDEX(Products!$B$5:$B$304,MATCH(A388,Products!$A$5:$A$304,0)),"Not found"))</f>
        <v>0</v>
      </c>
      <c r="D388" s="13">
        <f>IF(C388="","",IFERROR(INDEX(Materials!$B$5:$B$254,MATCH(C388,Materials!$A$5:$A$254,0)),"Add to Materials"))</f>
        <v>0</v>
      </c>
      <c r="E388" s="13">
        <f>IF(C388="","",IFERROR(INDEX(Materials!$H$5:$H$254,MATCH(C388,Materials!$A$5:$A$254,0)),"Add to Materials"))</f>
        <v>0</v>
      </c>
      <c r="J388" s="33">
        <f>IF(C388="","",IF(G388&lt;&gt;"",G388,IFERROR(INDEX(Materials!$W$5:$W$254,MATCH(C388,Materials!$A$5:$A$254,0)),DefaultWaste)))</f>
        <v>0</v>
      </c>
      <c r="K388" s="36">
        <f>IF(C388="","",IF(F388="","",ROUND(F388*(1+J388),4)))</f>
        <v>0</v>
      </c>
      <c r="L388" s="45">
        <f>IF(C388="","",IFERROR(INDEX(Materials!$S$5:$S$254,MATCH(C388,Materials!$A$5:$A$254,0)),""))</f>
        <v>0</v>
      </c>
      <c r="M388" s="45">
        <f>IF(C388="","",IF(OR(K388="",L388=""),"",ROUND(K388*L388,4)))</f>
        <v>0</v>
      </c>
      <c r="N388" s="20">
        <f>IF(A388="","",ROUND(SUMIFS('Material Usage'!$M$5:$M$904,'Material Usage'!$A$5:$A$904,A388),2))</f>
        <v>0</v>
      </c>
      <c r="O388" s="33">
        <f>IF(A388="","",IF(OR(M388="",N388="",N388=0),"",M388/N388))</f>
        <v>0</v>
      </c>
      <c r="P388" s="32">
        <f>IF(A388="","",COUNTIFS($A$5:A388,A388))</f>
        <v>0</v>
      </c>
      <c r="Q388" s="13">
        <f>IF(A388="","",A388&amp;"|"&amp;P388)</f>
        <v>0</v>
      </c>
      <c r="R388" s="43">
        <f>IF(AND(A388="",C388=""),"",IF(A388="","Add - which product?",IF(C388="","Add - which material?",IF(B388="Not found","Check - no such product ID",IF(D388="Add to Materials","Check - no such material ID",IF(OR(F388="",F388=0),"Add - how much?",IF(L388="","Check - that material has no price","OK")))))))</f>
        <v>0</v>
      </c>
    </row>
    <row r="389" spans="2:18">
      <c r="B389" s="13">
        <f>IF(A389="","",IFERROR(INDEX(Products!$B$5:$B$304,MATCH(A389,Products!$A$5:$A$304,0)),"Not found"))</f>
        <v>0</v>
      </c>
      <c r="D389" s="13">
        <f>IF(C389="","",IFERROR(INDEX(Materials!$B$5:$B$254,MATCH(C389,Materials!$A$5:$A$254,0)),"Add to Materials"))</f>
        <v>0</v>
      </c>
      <c r="E389" s="13">
        <f>IF(C389="","",IFERROR(INDEX(Materials!$H$5:$H$254,MATCH(C389,Materials!$A$5:$A$254,0)),"Add to Materials"))</f>
        <v>0</v>
      </c>
      <c r="J389" s="33">
        <f>IF(C389="","",IF(G389&lt;&gt;"",G389,IFERROR(INDEX(Materials!$W$5:$W$254,MATCH(C389,Materials!$A$5:$A$254,0)),DefaultWaste)))</f>
        <v>0</v>
      </c>
      <c r="K389" s="36">
        <f>IF(C389="","",IF(F389="","",ROUND(F389*(1+J389),4)))</f>
        <v>0</v>
      </c>
      <c r="L389" s="45">
        <f>IF(C389="","",IFERROR(INDEX(Materials!$S$5:$S$254,MATCH(C389,Materials!$A$5:$A$254,0)),""))</f>
        <v>0</v>
      </c>
      <c r="M389" s="45">
        <f>IF(C389="","",IF(OR(K389="",L389=""),"",ROUND(K389*L389,4)))</f>
        <v>0</v>
      </c>
      <c r="N389" s="20">
        <f>IF(A389="","",ROUND(SUMIFS('Material Usage'!$M$5:$M$904,'Material Usage'!$A$5:$A$904,A389),2))</f>
        <v>0</v>
      </c>
      <c r="O389" s="33">
        <f>IF(A389="","",IF(OR(M389="",N389="",N389=0),"",M389/N389))</f>
        <v>0</v>
      </c>
      <c r="P389" s="32">
        <f>IF(A389="","",COUNTIFS($A$5:A389,A389))</f>
        <v>0</v>
      </c>
      <c r="Q389" s="13">
        <f>IF(A389="","",A389&amp;"|"&amp;P389)</f>
        <v>0</v>
      </c>
      <c r="R389" s="43">
        <f>IF(AND(A389="",C389=""),"",IF(A389="","Add - which product?",IF(C389="","Add - which material?",IF(B389="Not found","Check - no such product ID",IF(D389="Add to Materials","Check - no such material ID",IF(OR(F389="",F389=0),"Add - how much?",IF(L389="","Check - that material has no price","OK")))))))</f>
        <v>0</v>
      </c>
    </row>
    <row r="390" spans="2:18">
      <c r="B390" s="13">
        <f>IF(A390="","",IFERROR(INDEX(Products!$B$5:$B$304,MATCH(A390,Products!$A$5:$A$304,0)),"Not found"))</f>
        <v>0</v>
      </c>
      <c r="D390" s="13">
        <f>IF(C390="","",IFERROR(INDEX(Materials!$B$5:$B$254,MATCH(C390,Materials!$A$5:$A$254,0)),"Add to Materials"))</f>
        <v>0</v>
      </c>
      <c r="E390" s="13">
        <f>IF(C390="","",IFERROR(INDEX(Materials!$H$5:$H$254,MATCH(C390,Materials!$A$5:$A$254,0)),"Add to Materials"))</f>
        <v>0</v>
      </c>
      <c r="J390" s="33">
        <f>IF(C390="","",IF(G390&lt;&gt;"",G390,IFERROR(INDEX(Materials!$W$5:$W$254,MATCH(C390,Materials!$A$5:$A$254,0)),DefaultWaste)))</f>
        <v>0</v>
      </c>
      <c r="K390" s="36">
        <f>IF(C390="","",IF(F390="","",ROUND(F390*(1+J390),4)))</f>
        <v>0</v>
      </c>
      <c r="L390" s="45">
        <f>IF(C390="","",IFERROR(INDEX(Materials!$S$5:$S$254,MATCH(C390,Materials!$A$5:$A$254,0)),""))</f>
        <v>0</v>
      </c>
      <c r="M390" s="45">
        <f>IF(C390="","",IF(OR(K390="",L390=""),"",ROUND(K390*L390,4)))</f>
        <v>0</v>
      </c>
      <c r="N390" s="20">
        <f>IF(A390="","",ROUND(SUMIFS('Material Usage'!$M$5:$M$904,'Material Usage'!$A$5:$A$904,A390),2))</f>
        <v>0</v>
      </c>
      <c r="O390" s="33">
        <f>IF(A390="","",IF(OR(M390="",N390="",N390=0),"",M390/N390))</f>
        <v>0</v>
      </c>
      <c r="P390" s="32">
        <f>IF(A390="","",COUNTIFS($A$5:A390,A390))</f>
        <v>0</v>
      </c>
      <c r="Q390" s="13">
        <f>IF(A390="","",A390&amp;"|"&amp;P390)</f>
        <v>0</v>
      </c>
      <c r="R390" s="43">
        <f>IF(AND(A390="",C390=""),"",IF(A390="","Add - which product?",IF(C390="","Add - which material?",IF(B390="Not found","Check - no such product ID",IF(D390="Add to Materials","Check - no such material ID",IF(OR(F390="",F390=0),"Add - how much?",IF(L390="","Check - that material has no price","OK")))))))</f>
        <v>0</v>
      </c>
    </row>
    <row r="391" spans="2:18">
      <c r="B391" s="13">
        <f>IF(A391="","",IFERROR(INDEX(Products!$B$5:$B$304,MATCH(A391,Products!$A$5:$A$304,0)),"Not found"))</f>
        <v>0</v>
      </c>
      <c r="D391" s="13">
        <f>IF(C391="","",IFERROR(INDEX(Materials!$B$5:$B$254,MATCH(C391,Materials!$A$5:$A$254,0)),"Add to Materials"))</f>
        <v>0</v>
      </c>
      <c r="E391" s="13">
        <f>IF(C391="","",IFERROR(INDEX(Materials!$H$5:$H$254,MATCH(C391,Materials!$A$5:$A$254,0)),"Add to Materials"))</f>
        <v>0</v>
      </c>
      <c r="J391" s="33">
        <f>IF(C391="","",IF(G391&lt;&gt;"",G391,IFERROR(INDEX(Materials!$W$5:$W$254,MATCH(C391,Materials!$A$5:$A$254,0)),DefaultWaste)))</f>
        <v>0</v>
      </c>
      <c r="K391" s="36">
        <f>IF(C391="","",IF(F391="","",ROUND(F391*(1+J391),4)))</f>
        <v>0</v>
      </c>
      <c r="L391" s="45">
        <f>IF(C391="","",IFERROR(INDEX(Materials!$S$5:$S$254,MATCH(C391,Materials!$A$5:$A$254,0)),""))</f>
        <v>0</v>
      </c>
      <c r="M391" s="45">
        <f>IF(C391="","",IF(OR(K391="",L391=""),"",ROUND(K391*L391,4)))</f>
        <v>0</v>
      </c>
      <c r="N391" s="20">
        <f>IF(A391="","",ROUND(SUMIFS('Material Usage'!$M$5:$M$904,'Material Usage'!$A$5:$A$904,A391),2))</f>
        <v>0</v>
      </c>
      <c r="O391" s="33">
        <f>IF(A391="","",IF(OR(M391="",N391="",N391=0),"",M391/N391))</f>
        <v>0</v>
      </c>
      <c r="P391" s="32">
        <f>IF(A391="","",COUNTIFS($A$5:A391,A391))</f>
        <v>0</v>
      </c>
      <c r="Q391" s="13">
        <f>IF(A391="","",A391&amp;"|"&amp;P391)</f>
        <v>0</v>
      </c>
      <c r="R391" s="43">
        <f>IF(AND(A391="",C391=""),"",IF(A391="","Add - which product?",IF(C391="","Add - which material?",IF(B391="Not found","Check - no such product ID",IF(D391="Add to Materials","Check - no such material ID",IF(OR(F391="",F391=0),"Add - how much?",IF(L391="","Check - that material has no price","OK")))))))</f>
        <v>0</v>
      </c>
    </row>
    <row r="392" spans="2:18">
      <c r="B392" s="13">
        <f>IF(A392="","",IFERROR(INDEX(Products!$B$5:$B$304,MATCH(A392,Products!$A$5:$A$304,0)),"Not found"))</f>
        <v>0</v>
      </c>
      <c r="D392" s="13">
        <f>IF(C392="","",IFERROR(INDEX(Materials!$B$5:$B$254,MATCH(C392,Materials!$A$5:$A$254,0)),"Add to Materials"))</f>
        <v>0</v>
      </c>
      <c r="E392" s="13">
        <f>IF(C392="","",IFERROR(INDEX(Materials!$H$5:$H$254,MATCH(C392,Materials!$A$5:$A$254,0)),"Add to Materials"))</f>
        <v>0</v>
      </c>
      <c r="J392" s="33">
        <f>IF(C392="","",IF(G392&lt;&gt;"",G392,IFERROR(INDEX(Materials!$W$5:$W$254,MATCH(C392,Materials!$A$5:$A$254,0)),DefaultWaste)))</f>
        <v>0</v>
      </c>
      <c r="K392" s="36">
        <f>IF(C392="","",IF(F392="","",ROUND(F392*(1+J392),4)))</f>
        <v>0</v>
      </c>
      <c r="L392" s="45">
        <f>IF(C392="","",IFERROR(INDEX(Materials!$S$5:$S$254,MATCH(C392,Materials!$A$5:$A$254,0)),""))</f>
        <v>0</v>
      </c>
      <c r="M392" s="45">
        <f>IF(C392="","",IF(OR(K392="",L392=""),"",ROUND(K392*L392,4)))</f>
        <v>0</v>
      </c>
      <c r="N392" s="20">
        <f>IF(A392="","",ROUND(SUMIFS('Material Usage'!$M$5:$M$904,'Material Usage'!$A$5:$A$904,A392),2))</f>
        <v>0</v>
      </c>
      <c r="O392" s="33">
        <f>IF(A392="","",IF(OR(M392="",N392="",N392=0),"",M392/N392))</f>
        <v>0</v>
      </c>
      <c r="P392" s="32">
        <f>IF(A392="","",COUNTIFS($A$5:A392,A392))</f>
        <v>0</v>
      </c>
      <c r="Q392" s="13">
        <f>IF(A392="","",A392&amp;"|"&amp;P392)</f>
        <v>0</v>
      </c>
      <c r="R392" s="43">
        <f>IF(AND(A392="",C392=""),"",IF(A392="","Add - which product?",IF(C392="","Add - which material?",IF(B392="Not found","Check - no such product ID",IF(D392="Add to Materials","Check - no such material ID",IF(OR(F392="",F392=0),"Add - how much?",IF(L392="","Check - that material has no price","OK")))))))</f>
        <v>0</v>
      </c>
    </row>
    <row r="393" spans="2:18">
      <c r="B393" s="13">
        <f>IF(A393="","",IFERROR(INDEX(Products!$B$5:$B$304,MATCH(A393,Products!$A$5:$A$304,0)),"Not found"))</f>
        <v>0</v>
      </c>
      <c r="D393" s="13">
        <f>IF(C393="","",IFERROR(INDEX(Materials!$B$5:$B$254,MATCH(C393,Materials!$A$5:$A$254,0)),"Add to Materials"))</f>
        <v>0</v>
      </c>
      <c r="E393" s="13">
        <f>IF(C393="","",IFERROR(INDEX(Materials!$H$5:$H$254,MATCH(C393,Materials!$A$5:$A$254,0)),"Add to Materials"))</f>
        <v>0</v>
      </c>
      <c r="J393" s="33">
        <f>IF(C393="","",IF(G393&lt;&gt;"",G393,IFERROR(INDEX(Materials!$W$5:$W$254,MATCH(C393,Materials!$A$5:$A$254,0)),DefaultWaste)))</f>
        <v>0</v>
      </c>
      <c r="K393" s="36">
        <f>IF(C393="","",IF(F393="","",ROUND(F393*(1+J393),4)))</f>
        <v>0</v>
      </c>
      <c r="L393" s="45">
        <f>IF(C393="","",IFERROR(INDEX(Materials!$S$5:$S$254,MATCH(C393,Materials!$A$5:$A$254,0)),""))</f>
        <v>0</v>
      </c>
      <c r="M393" s="45">
        <f>IF(C393="","",IF(OR(K393="",L393=""),"",ROUND(K393*L393,4)))</f>
        <v>0</v>
      </c>
      <c r="N393" s="20">
        <f>IF(A393="","",ROUND(SUMIFS('Material Usage'!$M$5:$M$904,'Material Usage'!$A$5:$A$904,A393),2))</f>
        <v>0</v>
      </c>
      <c r="O393" s="33">
        <f>IF(A393="","",IF(OR(M393="",N393="",N393=0),"",M393/N393))</f>
        <v>0</v>
      </c>
      <c r="P393" s="32">
        <f>IF(A393="","",COUNTIFS($A$5:A393,A393))</f>
        <v>0</v>
      </c>
      <c r="Q393" s="13">
        <f>IF(A393="","",A393&amp;"|"&amp;P393)</f>
        <v>0</v>
      </c>
      <c r="R393" s="43">
        <f>IF(AND(A393="",C393=""),"",IF(A393="","Add - which product?",IF(C393="","Add - which material?",IF(B393="Not found","Check - no such product ID",IF(D393="Add to Materials","Check - no such material ID",IF(OR(F393="",F393=0),"Add - how much?",IF(L393="","Check - that material has no price","OK")))))))</f>
        <v>0</v>
      </c>
    </row>
    <row r="394" spans="2:18">
      <c r="B394" s="13">
        <f>IF(A394="","",IFERROR(INDEX(Products!$B$5:$B$304,MATCH(A394,Products!$A$5:$A$304,0)),"Not found"))</f>
        <v>0</v>
      </c>
      <c r="D394" s="13">
        <f>IF(C394="","",IFERROR(INDEX(Materials!$B$5:$B$254,MATCH(C394,Materials!$A$5:$A$254,0)),"Add to Materials"))</f>
        <v>0</v>
      </c>
      <c r="E394" s="13">
        <f>IF(C394="","",IFERROR(INDEX(Materials!$H$5:$H$254,MATCH(C394,Materials!$A$5:$A$254,0)),"Add to Materials"))</f>
        <v>0</v>
      </c>
      <c r="J394" s="33">
        <f>IF(C394="","",IF(G394&lt;&gt;"",G394,IFERROR(INDEX(Materials!$W$5:$W$254,MATCH(C394,Materials!$A$5:$A$254,0)),DefaultWaste)))</f>
        <v>0</v>
      </c>
      <c r="K394" s="36">
        <f>IF(C394="","",IF(F394="","",ROUND(F394*(1+J394),4)))</f>
        <v>0</v>
      </c>
      <c r="L394" s="45">
        <f>IF(C394="","",IFERROR(INDEX(Materials!$S$5:$S$254,MATCH(C394,Materials!$A$5:$A$254,0)),""))</f>
        <v>0</v>
      </c>
      <c r="M394" s="45">
        <f>IF(C394="","",IF(OR(K394="",L394=""),"",ROUND(K394*L394,4)))</f>
        <v>0</v>
      </c>
      <c r="N394" s="20">
        <f>IF(A394="","",ROUND(SUMIFS('Material Usage'!$M$5:$M$904,'Material Usage'!$A$5:$A$904,A394),2))</f>
        <v>0</v>
      </c>
      <c r="O394" s="33">
        <f>IF(A394="","",IF(OR(M394="",N394="",N394=0),"",M394/N394))</f>
        <v>0</v>
      </c>
      <c r="P394" s="32">
        <f>IF(A394="","",COUNTIFS($A$5:A394,A394))</f>
        <v>0</v>
      </c>
      <c r="Q394" s="13">
        <f>IF(A394="","",A394&amp;"|"&amp;P394)</f>
        <v>0</v>
      </c>
      <c r="R394" s="43">
        <f>IF(AND(A394="",C394=""),"",IF(A394="","Add - which product?",IF(C394="","Add - which material?",IF(B394="Not found","Check - no such product ID",IF(D394="Add to Materials","Check - no such material ID",IF(OR(F394="",F394=0),"Add - how much?",IF(L394="","Check - that material has no price","OK")))))))</f>
        <v>0</v>
      </c>
    </row>
    <row r="395" spans="2:18">
      <c r="B395" s="13">
        <f>IF(A395="","",IFERROR(INDEX(Products!$B$5:$B$304,MATCH(A395,Products!$A$5:$A$304,0)),"Not found"))</f>
        <v>0</v>
      </c>
      <c r="D395" s="13">
        <f>IF(C395="","",IFERROR(INDEX(Materials!$B$5:$B$254,MATCH(C395,Materials!$A$5:$A$254,0)),"Add to Materials"))</f>
        <v>0</v>
      </c>
      <c r="E395" s="13">
        <f>IF(C395="","",IFERROR(INDEX(Materials!$H$5:$H$254,MATCH(C395,Materials!$A$5:$A$254,0)),"Add to Materials"))</f>
        <v>0</v>
      </c>
      <c r="J395" s="33">
        <f>IF(C395="","",IF(G395&lt;&gt;"",G395,IFERROR(INDEX(Materials!$W$5:$W$254,MATCH(C395,Materials!$A$5:$A$254,0)),DefaultWaste)))</f>
        <v>0</v>
      </c>
      <c r="K395" s="36">
        <f>IF(C395="","",IF(F395="","",ROUND(F395*(1+J395),4)))</f>
        <v>0</v>
      </c>
      <c r="L395" s="45">
        <f>IF(C395="","",IFERROR(INDEX(Materials!$S$5:$S$254,MATCH(C395,Materials!$A$5:$A$254,0)),""))</f>
        <v>0</v>
      </c>
      <c r="M395" s="45">
        <f>IF(C395="","",IF(OR(K395="",L395=""),"",ROUND(K395*L395,4)))</f>
        <v>0</v>
      </c>
      <c r="N395" s="20">
        <f>IF(A395="","",ROUND(SUMIFS('Material Usage'!$M$5:$M$904,'Material Usage'!$A$5:$A$904,A395),2))</f>
        <v>0</v>
      </c>
      <c r="O395" s="33">
        <f>IF(A395="","",IF(OR(M395="",N395="",N395=0),"",M395/N395))</f>
        <v>0</v>
      </c>
      <c r="P395" s="32">
        <f>IF(A395="","",COUNTIFS($A$5:A395,A395))</f>
        <v>0</v>
      </c>
      <c r="Q395" s="13">
        <f>IF(A395="","",A395&amp;"|"&amp;P395)</f>
        <v>0</v>
      </c>
      <c r="R395" s="43">
        <f>IF(AND(A395="",C395=""),"",IF(A395="","Add - which product?",IF(C395="","Add - which material?",IF(B395="Not found","Check - no such product ID",IF(D395="Add to Materials","Check - no such material ID",IF(OR(F395="",F395=0),"Add - how much?",IF(L395="","Check - that material has no price","OK")))))))</f>
        <v>0</v>
      </c>
    </row>
    <row r="396" spans="2:18">
      <c r="B396" s="13">
        <f>IF(A396="","",IFERROR(INDEX(Products!$B$5:$B$304,MATCH(A396,Products!$A$5:$A$304,0)),"Not found"))</f>
        <v>0</v>
      </c>
      <c r="D396" s="13">
        <f>IF(C396="","",IFERROR(INDEX(Materials!$B$5:$B$254,MATCH(C396,Materials!$A$5:$A$254,0)),"Add to Materials"))</f>
        <v>0</v>
      </c>
      <c r="E396" s="13">
        <f>IF(C396="","",IFERROR(INDEX(Materials!$H$5:$H$254,MATCH(C396,Materials!$A$5:$A$254,0)),"Add to Materials"))</f>
        <v>0</v>
      </c>
      <c r="J396" s="33">
        <f>IF(C396="","",IF(G396&lt;&gt;"",G396,IFERROR(INDEX(Materials!$W$5:$W$254,MATCH(C396,Materials!$A$5:$A$254,0)),DefaultWaste)))</f>
        <v>0</v>
      </c>
      <c r="K396" s="36">
        <f>IF(C396="","",IF(F396="","",ROUND(F396*(1+J396),4)))</f>
        <v>0</v>
      </c>
      <c r="L396" s="45">
        <f>IF(C396="","",IFERROR(INDEX(Materials!$S$5:$S$254,MATCH(C396,Materials!$A$5:$A$254,0)),""))</f>
        <v>0</v>
      </c>
      <c r="M396" s="45">
        <f>IF(C396="","",IF(OR(K396="",L396=""),"",ROUND(K396*L396,4)))</f>
        <v>0</v>
      </c>
      <c r="N396" s="20">
        <f>IF(A396="","",ROUND(SUMIFS('Material Usage'!$M$5:$M$904,'Material Usage'!$A$5:$A$904,A396),2))</f>
        <v>0</v>
      </c>
      <c r="O396" s="33">
        <f>IF(A396="","",IF(OR(M396="",N396="",N396=0),"",M396/N396))</f>
        <v>0</v>
      </c>
      <c r="P396" s="32">
        <f>IF(A396="","",COUNTIFS($A$5:A396,A396))</f>
        <v>0</v>
      </c>
      <c r="Q396" s="13">
        <f>IF(A396="","",A396&amp;"|"&amp;P396)</f>
        <v>0</v>
      </c>
      <c r="R396" s="43">
        <f>IF(AND(A396="",C396=""),"",IF(A396="","Add - which product?",IF(C396="","Add - which material?",IF(B396="Not found","Check - no such product ID",IF(D396="Add to Materials","Check - no such material ID",IF(OR(F396="",F396=0),"Add - how much?",IF(L396="","Check - that material has no price","OK")))))))</f>
        <v>0</v>
      </c>
    </row>
    <row r="397" spans="2:18">
      <c r="B397" s="13">
        <f>IF(A397="","",IFERROR(INDEX(Products!$B$5:$B$304,MATCH(A397,Products!$A$5:$A$304,0)),"Not found"))</f>
        <v>0</v>
      </c>
      <c r="D397" s="13">
        <f>IF(C397="","",IFERROR(INDEX(Materials!$B$5:$B$254,MATCH(C397,Materials!$A$5:$A$254,0)),"Add to Materials"))</f>
        <v>0</v>
      </c>
      <c r="E397" s="13">
        <f>IF(C397="","",IFERROR(INDEX(Materials!$H$5:$H$254,MATCH(C397,Materials!$A$5:$A$254,0)),"Add to Materials"))</f>
        <v>0</v>
      </c>
      <c r="J397" s="33">
        <f>IF(C397="","",IF(G397&lt;&gt;"",G397,IFERROR(INDEX(Materials!$W$5:$W$254,MATCH(C397,Materials!$A$5:$A$254,0)),DefaultWaste)))</f>
        <v>0</v>
      </c>
      <c r="K397" s="36">
        <f>IF(C397="","",IF(F397="","",ROUND(F397*(1+J397),4)))</f>
        <v>0</v>
      </c>
      <c r="L397" s="45">
        <f>IF(C397="","",IFERROR(INDEX(Materials!$S$5:$S$254,MATCH(C397,Materials!$A$5:$A$254,0)),""))</f>
        <v>0</v>
      </c>
      <c r="M397" s="45">
        <f>IF(C397="","",IF(OR(K397="",L397=""),"",ROUND(K397*L397,4)))</f>
        <v>0</v>
      </c>
      <c r="N397" s="20">
        <f>IF(A397="","",ROUND(SUMIFS('Material Usage'!$M$5:$M$904,'Material Usage'!$A$5:$A$904,A397),2))</f>
        <v>0</v>
      </c>
      <c r="O397" s="33">
        <f>IF(A397="","",IF(OR(M397="",N397="",N397=0),"",M397/N397))</f>
        <v>0</v>
      </c>
      <c r="P397" s="32">
        <f>IF(A397="","",COUNTIFS($A$5:A397,A397))</f>
        <v>0</v>
      </c>
      <c r="Q397" s="13">
        <f>IF(A397="","",A397&amp;"|"&amp;P397)</f>
        <v>0</v>
      </c>
      <c r="R397" s="43">
        <f>IF(AND(A397="",C397=""),"",IF(A397="","Add - which product?",IF(C397="","Add - which material?",IF(B397="Not found","Check - no such product ID",IF(D397="Add to Materials","Check - no such material ID",IF(OR(F397="",F397=0),"Add - how much?",IF(L397="","Check - that material has no price","OK")))))))</f>
        <v>0</v>
      </c>
    </row>
    <row r="398" spans="2:18">
      <c r="B398" s="13">
        <f>IF(A398="","",IFERROR(INDEX(Products!$B$5:$B$304,MATCH(A398,Products!$A$5:$A$304,0)),"Not found"))</f>
        <v>0</v>
      </c>
      <c r="D398" s="13">
        <f>IF(C398="","",IFERROR(INDEX(Materials!$B$5:$B$254,MATCH(C398,Materials!$A$5:$A$254,0)),"Add to Materials"))</f>
        <v>0</v>
      </c>
      <c r="E398" s="13">
        <f>IF(C398="","",IFERROR(INDEX(Materials!$H$5:$H$254,MATCH(C398,Materials!$A$5:$A$254,0)),"Add to Materials"))</f>
        <v>0</v>
      </c>
      <c r="J398" s="33">
        <f>IF(C398="","",IF(G398&lt;&gt;"",G398,IFERROR(INDEX(Materials!$W$5:$W$254,MATCH(C398,Materials!$A$5:$A$254,0)),DefaultWaste)))</f>
        <v>0</v>
      </c>
      <c r="K398" s="36">
        <f>IF(C398="","",IF(F398="","",ROUND(F398*(1+J398),4)))</f>
        <v>0</v>
      </c>
      <c r="L398" s="45">
        <f>IF(C398="","",IFERROR(INDEX(Materials!$S$5:$S$254,MATCH(C398,Materials!$A$5:$A$254,0)),""))</f>
        <v>0</v>
      </c>
      <c r="M398" s="45">
        <f>IF(C398="","",IF(OR(K398="",L398=""),"",ROUND(K398*L398,4)))</f>
        <v>0</v>
      </c>
      <c r="N398" s="20">
        <f>IF(A398="","",ROUND(SUMIFS('Material Usage'!$M$5:$M$904,'Material Usage'!$A$5:$A$904,A398),2))</f>
        <v>0</v>
      </c>
      <c r="O398" s="33">
        <f>IF(A398="","",IF(OR(M398="",N398="",N398=0),"",M398/N398))</f>
        <v>0</v>
      </c>
      <c r="P398" s="32">
        <f>IF(A398="","",COUNTIFS($A$5:A398,A398))</f>
        <v>0</v>
      </c>
      <c r="Q398" s="13">
        <f>IF(A398="","",A398&amp;"|"&amp;P398)</f>
        <v>0</v>
      </c>
      <c r="R398" s="43">
        <f>IF(AND(A398="",C398=""),"",IF(A398="","Add - which product?",IF(C398="","Add - which material?",IF(B398="Not found","Check - no such product ID",IF(D398="Add to Materials","Check - no such material ID",IF(OR(F398="",F398=0),"Add - how much?",IF(L398="","Check - that material has no price","OK")))))))</f>
        <v>0</v>
      </c>
    </row>
    <row r="399" spans="2:18">
      <c r="B399" s="13">
        <f>IF(A399="","",IFERROR(INDEX(Products!$B$5:$B$304,MATCH(A399,Products!$A$5:$A$304,0)),"Not found"))</f>
        <v>0</v>
      </c>
      <c r="D399" s="13">
        <f>IF(C399="","",IFERROR(INDEX(Materials!$B$5:$B$254,MATCH(C399,Materials!$A$5:$A$254,0)),"Add to Materials"))</f>
        <v>0</v>
      </c>
      <c r="E399" s="13">
        <f>IF(C399="","",IFERROR(INDEX(Materials!$H$5:$H$254,MATCH(C399,Materials!$A$5:$A$254,0)),"Add to Materials"))</f>
        <v>0</v>
      </c>
      <c r="J399" s="33">
        <f>IF(C399="","",IF(G399&lt;&gt;"",G399,IFERROR(INDEX(Materials!$W$5:$W$254,MATCH(C399,Materials!$A$5:$A$254,0)),DefaultWaste)))</f>
        <v>0</v>
      </c>
      <c r="K399" s="36">
        <f>IF(C399="","",IF(F399="","",ROUND(F399*(1+J399),4)))</f>
        <v>0</v>
      </c>
      <c r="L399" s="45">
        <f>IF(C399="","",IFERROR(INDEX(Materials!$S$5:$S$254,MATCH(C399,Materials!$A$5:$A$254,0)),""))</f>
        <v>0</v>
      </c>
      <c r="M399" s="45">
        <f>IF(C399="","",IF(OR(K399="",L399=""),"",ROUND(K399*L399,4)))</f>
        <v>0</v>
      </c>
      <c r="N399" s="20">
        <f>IF(A399="","",ROUND(SUMIFS('Material Usage'!$M$5:$M$904,'Material Usage'!$A$5:$A$904,A399),2))</f>
        <v>0</v>
      </c>
      <c r="O399" s="33">
        <f>IF(A399="","",IF(OR(M399="",N399="",N399=0),"",M399/N399))</f>
        <v>0</v>
      </c>
      <c r="P399" s="32">
        <f>IF(A399="","",COUNTIFS($A$5:A399,A399))</f>
        <v>0</v>
      </c>
      <c r="Q399" s="13">
        <f>IF(A399="","",A399&amp;"|"&amp;P399)</f>
        <v>0</v>
      </c>
      <c r="R399" s="43">
        <f>IF(AND(A399="",C399=""),"",IF(A399="","Add - which product?",IF(C399="","Add - which material?",IF(B399="Not found","Check - no such product ID",IF(D399="Add to Materials","Check - no such material ID",IF(OR(F399="",F399=0),"Add - how much?",IF(L399="","Check - that material has no price","OK")))))))</f>
        <v>0</v>
      </c>
    </row>
    <row r="400" spans="2:18">
      <c r="B400" s="13">
        <f>IF(A400="","",IFERROR(INDEX(Products!$B$5:$B$304,MATCH(A400,Products!$A$5:$A$304,0)),"Not found"))</f>
        <v>0</v>
      </c>
      <c r="D400" s="13">
        <f>IF(C400="","",IFERROR(INDEX(Materials!$B$5:$B$254,MATCH(C400,Materials!$A$5:$A$254,0)),"Add to Materials"))</f>
        <v>0</v>
      </c>
      <c r="E400" s="13">
        <f>IF(C400="","",IFERROR(INDEX(Materials!$H$5:$H$254,MATCH(C400,Materials!$A$5:$A$254,0)),"Add to Materials"))</f>
        <v>0</v>
      </c>
      <c r="J400" s="33">
        <f>IF(C400="","",IF(G400&lt;&gt;"",G400,IFERROR(INDEX(Materials!$W$5:$W$254,MATCH(C400,Materials!$A$5:$A$254,0)),DefaultWaste)))</f>
        <v>0</v>
      </c>
      <c r="K400" s="36">
        <f>IF(C400="","",IF(F400="","",ROUND(F400*(1+J400),4)))</f>
        <v>0</v>
      </c>
      <c r="L400" s="45">
        <f>IF(C400="","",IFERROR(INDEX(Materials!$S$5:$S$254,MATCH(C400,Materials!$A$5:$A$254,0)),""))</f>
        <v>0</v>
      </c>
      <c r="M400" s="45">
        <f>IF(C400="","",IF(OR(K400="",L400=""),"",ROUND(K400*L400,4)))</f>
        <v>0</v>
      </c>
      <c r="N400" s="20">
        <f>IF(A400="","",ROUND(SUMIFS('Material Usage'!$M$5:$M$904,'Material Usage'!$A$5:$A$904,A400),2))</f>
        <v>0</v>
      </c>
      <c r="O400" s="33">
        <f>IF(A400="","",IF(OR(M400="",N400="",N400=0),"",M400/N400))</f>
        <v>0</v>
      </c>
      <c r="P400" s="32">
        <f>IF(A400="","",COUNTIFS($A$5:A400,A400))</f>
        <v>0</v>
      </c>
      <c r="Q400" s="13">
        <f>IF(A400="","",A400&amp;"|"&amp;P400)</f>
        <v>0</v>
      </c>
      <c r="R400" s="43">
        <f>IF(AND(A400="",C400=""),"",IF(A400="","Add - which product?",IF(C400="","Add - which material?",IF(B400="Not found","Check - no such product ID",IF(D400="Add to Materials","Check - no such material ID",IF(OR(F400="",F400=0),"Add - how much?",IF(L400="","Check - that material has no price","OK")))))))</f>
        <v>0</v>
      </c>
    </row>
    <row r="401" spans="2:18">
      <c r="B401" s="13">
        <f>IF(A401="","",IFERROR(INDEX(Products!$B$5:$B$304,MATCH(A401,Products!$A$5:$A$304,0)),"Not found"))</f>
        <v>0</v>
      </c>
      <c r="D401" s="13">
        <f>IF(C401="","",IFERROR(INDEX(Materials!$B$5:$B$254,MATCH(C401,Materials!$A$5:$A$254,0)),"Add to Materials"))</f>
        <v>0</v>
      </c>
      <c r="E401" s="13">
        <f>IF(C401="","",IFERROR(INDEX(Materials!$H$5:$H$254,MATCH(C401,Materials!$A$5:$A$254,0)),"Add to Materials"))</f>
        <v>0</v>
      </c>
      <c r="J401" s="33">
        <f>IF(C401="","",IF(G401&lt;&gt;"",G401,IFERROR(INDEX(Materials!$W$5:$W$254,MATCH(C401,Materials!$A$5:$A$254,0)),DefaultWaste)))</f>
        <v>0</v>
      </c>
      <c r="K401" s="36">
        <f>IF(C401="","",IF(F401="","",ROUND(F401*(1+J401),4)))</f>
        <v>0</v>
      </c>
      <c r="L401" s="45">
        <f>IF(C401="","",IFERROR(INDEX(Materials!$S$5:$S$254,MATCH(C401,Materials!$A$5:$A$254,0)),""))</f>
        <v>0</v>
      </c>
      <c r="M401" s="45">
        <f>IF(C401="","",IF(OR(K401="",L401=""),"",ROUND(K401*L401,4)))</f>
        <v>0</v>
      </c>
      <c r="N401" s="20">
        <f>IF(A401="","",ROUND(SUMIFS('Material Usage'!$M$5:$M$904,'Material Usage'!$A$5:$A$904,A401),2))</f>
        <v>0</v>
      </c>
      <c r="O401" s="33">
        <f>IF(A401="","",IF(OR(M401="",N401="",N401=0),"",M401/N401))</f>
        <v>0</v>
      </c>
      <c r="P401" s="32">
        <f>IF(A401="","",COUNTIFS($A$5:A401,A401))</f>
        <v>0</v>
      </c>
      <c r="Q401" s="13">
        <f>IF(A401="","",A401&amp;"|"&amp;P401)</f>
        <v>0</v>
      </c>
      <c r="R401" s="43">
        <f>IF(AND(A401="",C401=""),"",IF(A401="","Add - which product?",IF(C401="","Add - which material?",IF(B401="Not found","Check - no such product ID",IF(D401="Add to Materials","Check - no such material ID",IF(OR(F401="",F401=0),"Add - how much?",IF(L401="","Check - that material has no price","OK")))))))</f>
        <v>0</v>
      </c>
    </row>
    <row r="402" spans="2:18">
      <c r="B402" s="13">
        <f>IF(A402="","",IFERROR(INDEX(Products!$B$5:$B$304,MATCH(A402,Products!$A$5:$A$304,0)),"Not found"))</f>
        <v>0</v>
      </c>
      <c r="D402" s="13">
        <f>IF(C402="","",IFERROR(INDEX(Materials!$B$5:$B$254,MATCH(C402,Materials!$A$5:$A$254,0)),"Add to Materials"))</f>
        <v>0</v>
      </c>
      <c r="E402" s="13">
        <f>IF(C402="","",IFERROR(INDEX(Materials!$H$5:$H$254,MATCH(C402,Materials!$A$5:$A$254,0)),"Add to Materials"))</f>
        <v>0</v>
      </c>
      <c r="J402" s="33">
        <f>IF(C402="","",IF(G402&lt;&gt;"",G402,IFERROR(INDEX(Materials!$W$5:$W$254,MATCH(C402,Materials!$A$5:$A$254,0)),DefaultWaste)))</f>
        <v>0</v>
      </c>
      <c r="K402" s="36">
        <f>IF(C402="","",IF(F402="","",ROUND(F402*(1+J402),4)))</f>
        <v>0</v>
      </c>
      <c r="L402" s="45">
        <f>IF(C402="","",IFERROR(INDEX(Materials!$S$5:$S$254,MATCH(C402,Materials!$A$5:$A$254,0)),""))</f>
        <v>0</v>
      </c>
      <c r="M402" s="45">
        <f>IF(C402="","",IF(OR(K402="",L402=""),"",ROUND(K402*L402,4)))</f>
        <v>0</v>
      </c>
      <c r="N402" s="20">
        <f>IF(A402="","",ROUND(SUMIFS('Material Usage'!$M$5:$M$904,'Material Usage'!$A$5:$A$904,A402),2))</f>
        <v>0</v>
      </c>
      <c r="O402" s="33">
        <f>IF(A402="","",IF(OR(M402="",N402="",N402=0),"",M402/N402))</f>
        <v>0</v>
      </c>
      <c r="P402" s="32">
        <f>IF(A402="","",COUNTIFS($A$5:A402,A402))</f>
        <v>0</v>
      </c>
      <c r="Q402" s="13">
        <f>IF(A402="","",A402&amp;"|"&amp;P402)</f>
        <v>0</v>
      </c>
      <c r="R402" s="43">
        <f>IF(AND(A402="",C402=""),"",IF(A402="","Add - which product?",IF(C402="","Add - which material?",IF(B402="Not found","Check - no such product ID",IF(D402="Add to Materials","Check - no such material ID",IF(OR(F402="",F402=0),"Add - how much?",IF(L402="","Check - that material has no price","OK")))))))</f>
        <v>0</v>
      </c>
    </row>
    <row r="403" spans="2:18">
      <c r="B403" s="13">
        <f>IF(A403="","",IFERROR(INDEX(Products!$B$5:$B$304,MATCH(A403,Products!$A$5:$A$304,0)),"Not found"))</f>
        <v>0</v>
      </c>
      <c r="D403" s="13">
        <f>IF(C403="","",IFERROR(INDEX(Materials!$B$5:$B$254,MATCH(C403,Materials!$A$5:$A$254,0)),"Add to Materials"))</f>
        <v>0</v>
      </c>
      <c r="E403" s="13">
        <f>IF(C403="","",IFERROR(INDEX(Materials!$H$5:$H$254,MATCH(C403,Materials!$A$5:$A$254,0)),"Add to Materials"))</f>
        <v>0</v>
      </c>
      <c r="J403" s="33">
        <f>IF(C403="","",IF(G403&lt;&gt;"",G403,IFERROR(INDEX(Materials!$W$5:$W$254,MATCH(C403,Materials!$A$5:$A$254,0)),DefaultWaste)))</f>
        <v>0</v>
      </c>
      <c r="K403" s="36">
        <f>IF(C403="","",IF(F403="","",ROUND(F403*(1+J403),4)))</f>
        <v>0</v>
      </c>
      <c r="L403" s="45">
        <f>IF(C403="","",IFERROR(INDEX(Materials!$S$5:$S$254,MATCH(C403,Materials!$A$5:$A$254,0)),""))</f>
        <v>0</v>
      </c>
      <c r="M403" s="45">
        <f>IF(C403="","",IF(OR(K403="",L403=""),"",ROUND(K403*L403,4)))</f>
        <v>0</v>
      </c>
      <c r="N403" s="20">
        <f>IF(A403="","",ROUND(SUMIFS('Material Usage'!$M$5:$M$904,'Material Usage'!$A$5:$A$904,A403),2))</f>
        <v>0</v>
      </c>
      <c r="O403" s="33">
        <f>IF(A403="","",IF(OR(M403="",N403="",N403=0),"",M403/N403))</f>
        <v>0</v>
      </c>
      <c r="P403" s="32">
        <f>IF(A403="","",COUNTIFS($A$5:A403,A403))</f>
        <v>0</v>
      </c>
      <c r="Q403" s="13">
        <f>IF(A403="","",A403&amp;"|"&amp;P403)</f>
        <v>0</v>
      </c>
      <c r="R403" s="43">
        <f>IF(AND(A403="",C403=""),"",IF(A403="","Add - which product?",IF(C403="","Add - which material?",IF(B403="Not found","Check - no such product ID",IF(D403="Add to Materials","Check - no such material ID",IF(OR(F403="",F403=0),"Add - how much?",IF(L403="","Check - that material has no price","OK")))))))</f>
        <v>0</v>
      </c>
    </row>
    <row r="404" spans="2:18">
      <c r="B404" s="13">
        <f>IF(A404="","",IFERROR(INDEX(Products!$B$5:$B$304,MATCH(A404,Products!$A$5:$A$304,0)),"Not found"))</f>
        <v>0</v>
      </c>
      <c r="D404" s="13">
        <f>IF(C404="","",IFERROR(INDEX(Materials!$B$5:$B$254,MATCH(C404,Materials!$A$5:$A$254,0)),"Add to Materials"))</f>
        <v>0</v>
      </c>
      <c r="E404" s="13">
        <f>IF(C404="","",IFERROR(INDEX(Materials!$H$5:$H$254,MATCH(C404,Materials!$A$5:$A$254,0)),"Add to Materials"))</f>
        <v>0</v>
      </c>
      <c r="J404" s="33">
        <f>IF(C404="","",IF(G404&lt;&gt;"",G404,IFERROR(INDEX(Materials!$W$5:$W$254,MATCH(C404,Materials!$A$5:$A$254,0)),DefaultWaste)))</f>
        <v>0</v>
      </c>
      <c r="K404" s="36">
        <f>IF(C404="","",IF(F404="","",ROUND(F404*(1+J404),4)))</f>
        <v>0</v>
      </c>
      <c r="L404" s="45">
        <f>IF(C404="","",IFERROR(INDEX(Materials!$S$5:$S$254,MATCH(C404,Materials!$A$5:$A$254,0)),""))</f>
        <v>0</v>
      </c>
      <c r="M404" s="45">
        <f>IF(C404="","",IF(OR(K404="",L404=""),"",ROUND(K404*L404,4)))</f>
        <v>0</v>
      </c>
      <c r="N404" s="20">
        <f>IF(A404="","",ROUND(SUMIFS('Material Usage'!$M$5:$M$904,'Material Usage'!$A$5:$A$904,A404),2))</f>
        <v>0</v>
      </c>
      <c r="O404" s="33">
        <f>IF(A404="","",IF(OR(M404="",N404="",N404=0),"",M404/N404))</f>
        <v>0</v>
      </c>
      <c r="P404" s="32">
        <f>IF(A404="","",COUNTIFS($A$5:A404,A404))</f>
        <v>0</v>
      </c>
      <c r="Q404" s="13">
        <f>IF(A404="","",A404&amp;"|"&amp;P404)</f>
        <v>0</v>
      </c>
      <c r="R404" s="43">
        <f>IF(AND(A404="",C404=""),"",IF(A404="","Add - which product?",IF(C404="","Add - which material?",IF(B404="Not found","Check - no such product ID",IF(D404="Add to Materials","Check - no such material ID",IF(OR(F404="",F404=0),"Add - how much?",IF(L404="","Check - that material has no price","OK")))))))</f>
        <v>0</v>
      </c>
    </row>
    <row r="405" spans="2:18">
      <c r="B405" s="13">
        <f>IF(A405="","",IFERROR(INDEX(Products!$B$5:$B$304,MATCH(A405,Products!$A$5:$A$304,0)),"Not found"))</f>
        <v>0</v>
      </c>
      <c r="D405" s="13">
        <f>IF(C405="","",IFERROR(INDEX(Materials!$B$5:$B$254,MATCH(C405,Materials!$A$5:$A$254,0)),"Add to Materials"))</f>
        <v>0</v>
      </c>
      <c r="E405" s="13">
        <f>IF(C405="","",IFERROR(INDEX(Materials!$H$5:$H$254,MATCH(C405,Materials!$A$5:$A$254,0)),"Add to Materials"))</f>
        <v>0</v>
      </c>
      <c r="J405" s="33">
        <f>IF(C405="","",IF(G405&lt;&gt;"",G405,IFERROR(INDEX(Materials!$W$5:$W$254,MATCH(C405,Materials!$A$5:$A$254,0)),DefaultWaste)))</f>
        <v>0</v>
      </c>
      <c r="K405" s="36">
        <f>IF(C405="","",IF(F405="","",ROUND(F405*(1+J405),4)))</f>
        <v>0</v>
      </c>
      <c r="L405" s="45">
        <f>IF(C405="","",IFERROR(INDEX(Materials!$S$5:$S$254,MATCH(C405,Materials!$A$5:$A$254,0)),""))</f>
        <v>0</v>
      </c>
      <c r="M405" s="45">
        <f>IF(C405="","",IF(OR(K405="",L405=""),"",ROUND(K405*L405,4)))</f>
        <v>0</v>
      </c>
      <c r="N405" s="20">
        <f>IF(A405="","",ROUND(SUMIFS('Material Usage'!$M$5:$M$904,'Material Usage'!$A$5:$A$904,A405),2))</f>
        <v>0</v>
      </c>
      <c r="O405" s="33">
        <f>IF(A405="","",IF(OR(M405="",N405="",N405=0),"",M405/N405))</f>
        <v>0</v>
      </c>
      <c r="P405" s="32">
        <f>IF(A405="","",COUNTIFS($A$5:A405,A405))</f>
        <v>0</v>
      </c>
      <c r="Q405" s="13">
        <f>IF(A405="","",A405&amp;"|"&amp;P405)</f>
        <v>0</v>
      </c>
      <c r="R405" s="43">
        <f>IF(AND(A405="",C405=""),"",IF(A405="","Add - which product?",IF(C405="","Add - which material?",IF(B405="Not found","Check - no such product ID",IF(D405="Add to Materials","Check - no such material ID",IF(OR(F405="",F405=0),"Add - how much?",IF(L405="","Check - that material has no price","OK")))))))</f>
        <v>0</v>
      </c>
    </row>
    <row r="406" spans="2:18">
      <c r="B406" s="13">
        <f>IF(A406="","",IFERROR(INDEX(Products!$B$5:$B$304,MATCH(A406,Products!$A$5:$A$304,0)),"Not found"))</f>
        <v>0</v>
      </c>
      <c r="D406" s="13">
        <f>IF(C406="","",IFERROR(INDEX(Materials!$B$5:$B$254,MATCH(C406,Materials!$A$5:$A$254,0)),"Add to Materials"))</f>
        <v>0</v>
      </c>
      <c r="E406" s="13">
        <f>IF(C406="","",IFERROR(INDEX(Materials!$H$5:$H$254,MATCH(C406,Materials!$A$5:$A$254,0)),"Add to Materials"))</f>
        <v>0</v>
      </c>
      <c r="J406" s="33">
        <f>IF(C406="","",IF(G406&lt;&gt;"",G406,IFERROR(INDEX(Materials!$W$5:$W$254,MATCH(C406,Materials!$A$5:$A$254,0)),DefaultWaste)))</f>
        <v>0</v>
      </c>
      <c r="K406" s="36">
        <f>IF(C406="","",IF(F406="","",ROUND(F406*(1+J406),4)))</f>
        <v>0</v>
      </c>
      <c r="L406" s="45">
        <f>IF(C406="","",IFERROR(INDEX(Materials!$S$5:$S$254,MATCH(C406,Materials!$A$5:$A$254,0)),""))</f>
        <v>0</v>
      </c>
      <c r="M406" s="45">
        <f>IF(C406="","",IF(OR(K406="",L406=""),"",ROUND(K406*L406,4)))</f>
        <v>0</v>
      </c>
      <c r="N406" s="20">
        <f>IF(A406="","",ROUND(SUMIFS('Material Usage'!$M$5:$M$904,'Material Usage'!$A$5:$A$904,A406),2))</f>
        <v>0</v>
      </c>
      <c r="O406" s="33">
        <f>IF(A406="","",IF(OR(M406="",N406="",N406=0),"",M406/N406))</f>
        <v>0</v>
      </c>
      <c r="P406" s="32">
        <f>IF(A406="","",COUNTIFS($A$5:A406,A406))</f>
        <v>0</v>
      </c>
      <c r="Q406" s="13">
        <f>IF(A406="","",A406&amp;"|"&amp;P406)</f>
        <v>0</v>
      </c>
      <c r="R406" s="43">
        <f>IF(AND(A406="",C406=""),"",IF(A406="","Add - which product?",IF(C406="","Add - which material?",IF(B406="Not found","Check - no such product ID",IF(D406="Add to Materials","Check - no such material ID",IF(OR(F406="",F406=0),"Add - how much?",IF(L406="","Check - that material has no price","OK")))))))</f>
        <v>0</v>
      </c>
    </row>
    <row r="407" spans="2:18">
      <c r="B407" s="13">
        <f>IF(A407="","",IFERROR(INDEX(Products!$B$5:$B$304,MATCH(A407,Products!$A$5:$A$304,0)),"Not found"))</f>
        <v>0</v>
      </c>
      <c r="D407" s="13">
        <f>IF(C407="","",IFERROR(INDEX(Materials!$B$5:$B$254,MATCH(C407,Materials!$A$5:$A$254,0)),"Add to Materials"))</f>
        <v>0</v>
      </c>
      <c r="E407" s="13">
        <f>IF(C407="","",IFERROR(INDEX(Materials!$H$5:$H$254,MATCH(C407,Materials!$A$5:$A$254,0)),"Add to Materials"))</f>
        <v>0</v>
      </c>
      <c r="J407" s="33">
        <f>IF(C407="","",IF(G407&lt;&gt;"",G407,IFERROR(INDEX(Materials!$W$5:$W$254,MATCH(C407,Materials!$A$5:$A$254,0)),DefaultWaste)))</f>
        <v>0</v>
      </c>
      <c r="K407" s="36">
        <f>IF(C407="","",IF(F407="","",ROUND(F407*(1+J407),4)))</f>
        <v>0</v>
      </c>
      <c r="L407" s="45">
        <f>IF(C407="","",IFERROR(INDEX(Materials!$S$5:$S$254,MATCH(C407,Materials!$A$5:$A$254,0)),""))</f>
        <v>0</v>
      </c>
      <c r="M407" s="45">
        <f>IF(C407="","",IF(OR(K407="",L407=""),"",ROUND(K407*L407,4)))</f>
        <v>0</v>
      </c>
      <c r="N407" s="20">
        <f>IF(A407="","",ROUND(SUMIFS('Material Usage'!$M$5:$M$904,'Material Usage'!$A$5:$A$904,A407),2))</f>
        <v>0</v>
      </c>
      <c r="O407" s="33">
        <f>IF(A407="","",IF(OR(M407="",N407="",N407=0),"",M407/N407))</f>
        <v>0</v>
      </c>
      <c r="P407" s="32">
        <f>IF(A407="","",COUNTIFS($A$5:A407,A407))</f>
        <v>0</v>
      </c>
      <c r="Q407" s="13">
        <f>IF(A407="","",A407&amp;"|"&amp;P407)</f>
        <v>0</v>
      </c>
      <c r="R407" s="43">
        <f>IF(AND(A407="",C407=""),"",IF(A407="","Add - which product?",IF(C407="","Add - which material?",IF(B407="Not found","Check - no such product ID",IF(D407="Add to Materials","Check - no such material ID",IF(OR(F407="",F407=0),"Add - how much?",IF(L407="","Check - that material has no price","OK")))))))</f>
        <v>0</v>
      </c>
    </row>
    <row r="408" spans="2:18">
      <c r="B408" s="13">
        <f>IF(A408="","",IFERROR(INDEX(Products!$B$5:$B$304,MATCH(A408,Products!$A$5:$A$304,0)),"Not found"))</f>
        <v>0</v>
      </c>
      <c r="D408" s="13">
        <f>IF(C408="","",IFERROR(INDEX(Materials!$B$5:$B$254,MATCH(C408,Materials!$A$5:$A$254,0)),"Add to Materials"))</f>
        <v>0</v>
      </c>
      <c r="E408" s="13">
        <f>IF(C408="","",IFERROR(INDEX(Materials!$H$5:$H$254,MATCH(C408,Materials!$A$5:$A$254,0)),"Add to Materials"))</f>
        <v>0</v>
      </c>
      <c r="J408" s="33">
        <f>IF(C408="","",IF(G408&lt;&gt;"",G408,IFERROR(INDEX(Materials!$W$5:$W$254,MATCH(C408,Materials!$A$5:$A$254,0)),DefaultWaste)))</f>
        <v>0</v>
      </c>
      <c r="K408" s="36">
        <f>IF(C408="","",IF(F408="","",ROUND(F408*(1+J408),4)))</f>
        <v>0</v>
      </c>
      <c r="L408" s="45">
        <f>IF(C408="","",IFERROR(INDEX(Materials!$S$5:$S$254,MATCH(C408,Materials!$A$5:$A$254,0)),""))</f>
        <v>0</v>
      </c>
      <c r="M408" s="45">
        <f>IF(C408="","",IF(OR(K408="",L408=""),"",ROUND(K408*L408,4)))</f>
        <v>0</v>
      </c>
      <c r="N408" s="20">
        <f>IF(A408="","",ROUND(SUMIFS('Material Usage'!$M$5:$M$904,'Material Usage'!$A$5:$A$904,A408),2))</f>
        <v>0</v>
      </c>
      <c r="O408" s="33">
        <f>IF(A408="","",IF(OR(M408="",N408="",N408=0),"",M408/N408))</f>
        <v>0</v>
      </c>
      <c r="P408" s="32">
        <f>IF(A408="","",COUNTIFS($A$5:A408,A408))</f>
        <v>0</v>
      </c>
      <c r="Q408" s="13">
        <f>IF(A408="","",A408&amp;"|"&amp;P408)</f>
        <v>0</v>
      </c>
      <c r="R408" s="43">
        <f>IF(AND(A408="",C408=""),"",IF(A408="","Add - which product?",IF(C408="","Add - which material?",IF(B408="Not found","Check - no such product ID",IF(D408="Add to Materials","Check - no such material ID",IF(OR(F408="",F408=0),"Add - how much?",IF(L408="","Check - that material has no price","OK")))))))</f>
        <v>0</v>
      </c>
    </row>
    <row r="409" spans="2:18">
      <c r="B409" s="13">
        <f>IF(A409="","",IFERROR(INDEX(Products!$B$5:$B$304,MATCH(A409,Products!$A$5:$A$304,0)),"Not found"))</f>
        <v>0</v>
      </c>
      <c r="D409" s="13">
        <f>IF(C409="","",IFERROR(INDEX(Materials!$B$5:$B$254,MATCH(C409,Materials!$A$5:$A$254,0)),"Add to Materials"))</f>
        <v>0</v>
      </c>
      <c r="E409" s="13">
        <f>IF(C409="","",IFERROR(INDEX(Materials!$H$5:$H$254,MATCH(C409,Materials!$A$5:$A$254,0)),"Add to Materials"))</f>
        <v>0</v>
      </c>
      <c r="J409" s="33">
        <f>IF(C409="","",IF(G409&lt;&gt;"",G409,IFERROR(INDEX(Materials!$W$5:$W$254,MATCH(C409,Materials!$A$5:$A$254,0)),DefaultWaste)))</f>
        <v>0</v>
      </c>
      <c r="K409" s="36">
        <f>IF(C409="","",IF(F409="","",ROUND(F409*(1+J409),4)))</f>
        <v>0</v>
      </c>
      <c r="L409" s="45">
        <f>IF(C409="","",IFERROR(INDEX(Materials!$S$5:$S$254,MATCH(C409,Materials!$A$5:$A$254,0)),""))</f>
        <v>0</v>
      </c>
      <c r="M409" s="45">
        <f>IF(C409="","",IF(OR(K409="",L409=""),"",ROUND(K409*L409,4)))</f>
        <v>0</v>
      </c>
      <c r="N409" s="20">
        <f>IF(A409="","",ROUND(SUMIFS('Material Usage'!$M$5:$M$904,'Material Usage'!$A$5:$A$904,A409),2))</f>
        <v>0</v>
      </c>
      <c r="O409" s="33">
        <f>IF(A409="","",IF(OR(M409="",N409="",N409=0),"",M409/N409))</f>
        <v>0</v>
      </c>
      <c r="P409" s="32">
        <f>IF(A409="","",COUNTIFS($A$5:A409,A409))</f>
        <v>0</v>
      </c>
      <c r="Q409" s="13">
        <f>IF(A409="","",A409&amp;"|"&amp;P409)</f>
        <v>0</v>
      </c>
      <c r="R409" s="43">
        <f>IF(AND(A409="",C409=""),"",IF(A409="","Add - which product?",IF(C409="","Add - which material?",IF(B409="Not found","Check - no such product ID",IF(D409="Add to Materials","Check - no such material ID",IF(OR(F409="",F409=0),"Add - how much?",IF(L409="","Check - that material has no price","OK")))))))</f>
        <v>0</v>
      </c>
    </row>
    <row r="410" spans="2:18">
      <c r="B410" s="13">
        <f>IF(A410="","",IFERROR(INDEX(Products!$B$5:$B$304,MATCH(A410,Products!$A$5:$A$304,0)),"Not found"))</f>
        <v>0</v>
      </c>
      <c r="D410" s="13">
        <f>IF(C410="","",IFERROR(INDEX(Materials!$B$5:$B$254,MATCH(C410,Materials!$A$5:$A$254,0)),"Add to Materials"))</f>
        <v>0</v>
      </c>
      <c r="E410" s="13">
        <f>IF(C410="","",IFERROR(INDEX(Materials!$H$5:$H$254,MATCH(C410,Materials!$A$5:$A$254,0)),"Add to Materials"))</f>
        <v>0</v>
      </c>
      <c r="J410" s="33">
        <f>IF(C410="","",IF(G410&lt;&gt;"",G410,IFERROR(INDEX(Materials!$W$5:$W$254,MATCH(C410,Materials!$A$5:$A$254,0)),DefaultWaste)))</f>
        <v>0</v>
      </c>
      <c r="K410" s="36">
        <f>IF(C410="","",IF(F410="","",ROUND(F410*(1+J410),4)))</f>
        <v>0</v>
      </c>
      <c r="L410" s="45">
        <f>IF(C410="","",IFERROR(INDEX(Materials!$S$5:$S$254,MATCH(C410,Materials!$A$5:$A$254,0)),""))</f>
        <v>0</v>
      </c>
      <c r="M410" s="45">
        <f>IF(C410="","",IF(OR(K410="",L410=""),"",ROUND(K410*L410,4)))</f>
        <v>0</v>
      </c>
      <c r="N410" s="20">
        <f>IF(A410="","",ROUND(SUMIFS('Material Usage'!$M$5:$M$904,'Material Usage'!$A$5:$A$904,A410),2))</f>
        <v>0</v>
      </c>
      <c r="O410" s="33">
        <f>IF(A410="","",IF(OR(M410="",N410="",N410=0),"",M410/N410))</f>
        <v>0</v>
      </c>
      <c r="P410" s="32">
        <f>IF(A410="","",COUNTIFS($A$5:A410,A410))</f>
        <v>0</v>
      </c>
      <c r="Q410" s="13">
        <f>IF(A410="","",A410&amp;"|"&amp;P410)</f>
        <v>0</v>
      </c>
      <c r="R410" s="43">
        <f>IF(AND(A410="",C410=""),"",IF(A410="","Add - which product?",IF(C410="","Add - which material?",IF(B410="Not found","Check - no such product ID",IF(D410="Add to Materials","Check - no such material ID",IF(OR(F410="",F410=0),"Add - how much?",IF(L410="","Check - that material has no price","OK")))))))</f>
        <v>0</v>
      </c>
    </row>
    <row r="411" spans="2:18">
      <c r="B411" s="13">
        <f>IF(A411="","",IFERROR(INDEX(Products!$B$5:$B$304,MATCH(A411,Products!$A$5:$A$304,0)),"Not found"))</f>
        <v>0</v>
      </c>
      <c r="D411" s="13">
        <f>IF(C411="","",IFERROR(INDEX(Materials!$B$5:$B$254,MATCH(C411,Materials!$A$5:$A$254,0)),"Add to Materials"))</f>
        <v>0</v>
      </c>
      <c r="E411" s="13">
        <f>IF(C411="","",IFERROR(INDEX(Materials!$H$5:$H$254,MATCH(C411,Materials!$A$5:$A$254,0)),"Add to Materials"))</f>
        <v>0</v>
      </c>
      <c r="J411" s="33">
        <f>IF(C411="","",IF(G411&lt;&gt;"",G411,IFERROR(INDEX(Materials!$W$5:$W$254,MATCH(C411,Materials!$A$5:$A$254,0)),DefaultWaste)))</f>
        <v>0</v>
      </c>
      <c r="K411" s="36">
        <f>IF(C411="","",IF(F411="","",ROUND(F411*(1+J411),4)))</f>
        <v>0</v>
      </c>
      <c r="L411" s="45">
        <f>IF(C411="","",IFERROR(INDEX(Materials!$S$5:$S$254,MATCH(C411,Materials!$A$5:$A$254,0)),""))</f>
        <v>0</v>
      </c>
      <c r="M411" s="45">
        <f>IF(C411="","",IF(OR(K411="",L411=""),"",ROUND(K411*L411,4)))</f>
        <v>0</v>
      </c>
      <c r="N411" s="20">
        <f>IF(A411="","",ROUND(SUMIFS('Material Usage'!$M$5:$M$904,'Material Usage'!$A$5:$A$904,A411),2))</f>
        <v>0</v>
      </c>
      <c r="O411" s="33">
        <f>IF(A411="","",IF(OR(M411="",N411="",N411=0),"",M411/N411))</f>
        <v>0</v>
      </c>
      <c r="P411" s="32">
        <f>IF(A411="","",COUNTIFS($A$5:A411,A411))</f>
        <v>0</v>
      </c>
      <c r="Q411" s="13">
        <f>IF(A411="","",A411&amp;"|"&amp;P411)</f>
        <v>0</v>
      </c>
      <c r="R411" s="43">
        <f>IF(AND(A411="",C411=""),"",IF(A411="","Add - which product?",IF(C411="","Add - which material?",IF(B411="Not found","Check - no such product ID",IF(D411="Add to Materials","Check - no such material ID",IF(OR(F411="",F411=0),"Add - how much?",IF(L411="","Check - that material has no price","OK")))))))</f>
        <v>0</v>
      </c>
    </row>
    <row r="412" spans="2:18">
      <c r="B412" s="13">
        <f>IF(A412="","",IFERROR(INDEX(Products!$B$5:$B$304,MATCH(A412,Products!$A$5:$A$304,0)),"Not found"))</f>
        <v>0</v>
      </c>
      <c r="D412" s="13">
        <f>IF(C412="","",IFERROR(INDEX(Materials!$B$5:$B$254,MATCH(C412,Materials!$A$5:$A$254,0)),"Add to Materials"))</f>
        <v>0</v>
      </c>
      <c r="E412" s="13">
        <f>IF(C412="","",IFERROR(INDEX(Materials!$H$5:$H$254,MATCH(C412,Materials!$A$5:$A$254,0)),"Add to Materials"))</f>
        <v>0</v>
      </c>
      <c r="J412" s="33">
        <f>IF(C412="","",IF(G412&lt;&gt;"",G412,IFERROR(INDEX(Materials!$W$5:$W$254,MATCH(C412,Materials!$A$5:$A$254,0)),DefaultWaste)))</f>
        <v>0</v>
      </c>
      <c r="K412" s="36">
        <f>IF(C412="","",IF(F412="","",ROUND(F412*(1+J412),4)))</f>
        <v>0</v>
      </c>
      <c r="L412" s="45">
        <f>IF(C412="","",IFERROR(INDEX(Materials!$S$5:$S$254,MATCH(C412,Materials!$A$5:$A$254,0)),""))</f>
        <v>0</v>
      </c>
      <c r="M412" s="45">
        <f>IF(C412="","",IF(OR(K412="",L412=""),"",ROUND(K412*L412,4)))</f>
        <v>0</v>
      </c>
      <c r="N412" s="20">
        <f>IF(A412="","",ROUND(SUMIFS('Material Usage'!$M$5:$M$904,'Material Usage'!$A$5:$A$904,A412),2))</f>
        <v>0</v>
      </c>
      <c r="O412" s="33">
        <f>IF(A412="","",IF(OR(M412="",N412="",N412=0),"",M412/N412))</f>
        <v>0</v>
      </c>
      <c r="P412" s="32">
        <f>IF(A412="","",COUNTIFS($A$5:A412,A412))</f>
        <v>0</v>
      </c>
      <c r="Q412" s="13">
        <f>IF(A412="","",A412&amp;"|"&amp;P412)</f>
        <v>0</v>
      </c>
      <c r="R412" s="43">
        <f>IF(AND(A412="",C412=""),"",IF(A412="","Add - which product?",IF(C412="","Add - which material?",IF(B412="Not found","Check - no such product ID",IF(D412="Add to Materials","Check - no such material ID",IF(OR(F412="",F412=0),"Add - how much?",IF(L412="","Check - that material has no price","OK")))))))</f>
        <v>0</v>
      </c>
    </row>
    <row r="413" spans="2:18">
      <c r="B413" s="13">
        <f>IF(A413="","",IFERROR(INDEX(Products!$B$5:$B$304,MATCH(A413,Products!$A$5:$A$304,0)),"Not found"))</f>
        <v>0</v>
      </c>
      <c r="D413" s="13">
        <f>IF(C413="","",IFERROR(INDEX(Materials!$B$5:$B$254,MATCH(C413,Materials!$A$5:$A$254,0)),"Add to Materials"))</f>
        <v>0</v>
      </c>
      <c r="E413" s="13">
        <f>IF(C413="","",IFERROR(INDEX(Materials!$H$5:$H$254,MATCH(C413,Materials!$A$5:$A$254,0)),"Add to Materials"))</f>
        <v>0</v>
      </c>
      <c r="J413" s="33">
        <f>IF(C413="","",IF(G413&lt;&gt;"",G413,IFERROR(INDEX(Materials!$W$5:$W$254,MATCH(C413,Materials!$A$5:$A$254,0)),DefaultWaste)))</f>
        <v>0</v>
      </c>
      <c r="K413" s="36">
        <f>IF(C413="","",IF(F413="","",ROUND(F413*(1+J413),4)))</f>
        <v>0</v>
      </c>
      <c r="L413" s="45">
        <f>IF(C413="","",IFERROR(INDEX(Materials!$S$5:$S$254,MATCH(C413,Materials!$A$5:$A$254,0)),""))</f>
        <v>0</v>
      </c>
      <c r="M413" s="45">
        <f>IF(C413="","",IF(OR(K413="",L413=""),"",ROUND(K413*L413,4)))</f>
        <v>0</v>
      </c>
      <c r="N413" s="20">
        <f>IF(A413="","",ROUND(SUMIFS('Material Usage'!$M$5:$M$904,'Material Usage'!$A$5:$A$904,A413),2))</f>
        <v>0</v>
      </c>
      <c r="O413" s="33">
        <f>IF(A413="","",IF(OR(M413="",N413="",N413=0),"",M413/N413))</f>
        <v>0</v>
      </c>
      <c r="P413" s="32">
        <f>IF(A413="","",COUNTIFS($A$5:A413,A413))</f>
        <v>0</v>
      </c>
      <c r="Q413" s="13">
        <f>IF(A413="","",A413&amp;"|"&amp;P413)</f>
        <v>0</v>
      </c>
      <c r="R413" s="43">
        <f>IF(AND(A413="",C413=""),"",IF(A413="","Add - which product?",IF(C413="","Add - which material?",IF(B413="Not found","Check - no such product ID",IF(D413="Add to Materials","Check - no such material ID",IF(OR(F413="",F413=0),"Add - how much?",IF(L413="","Check - that material has no price","OK")))))))</f>
        <v>0</v>
      </c>
    </row>
    <row r="414" spans="2:18">
      <c r="B414" s="13">
        <f>IF(A414="","",IFERROR(INDEX(Products!$B$5:$B$304,MATCH(A414,Products!$A$5:$A$304,0)),"Not found"))</f>
        <v>0</v>
      </c>
      <c r="D414" s="13">
        <f>IF(C414="","",IFERROR(INDEX(Materials!$B$5:$B$254,MATCH(C414,Materials!$A$5:$A$254,0)),"Add to Materials"))</f>
        <v>0</v>
      </c>
      <c r="E414" s="13">
        <f>IF(C414="","",IFERROR(INDEX(Materials!$H$5:$H$254,MATCH(C414,Materials!$A$5:$A$254,0)),"Add to Materials"))</f>
        <v>0</v>
      </c>
      <c r="J414" s="33">
        <f>IF(C414="","",IF(G414&lt;&gt;"",G414,IFERROR(INDEX(Materials!$W$5:$W$254,MATCH(C414,Materials!$A$5:$A$254,0)),DefaultWaste)))</f>
        <v>0</v>
      </c>
      <c r="K414" s="36">
        <f>IF(C414="","",IF(F414="","",ROUND(F414*(1+J414),4)))</f>
        <v>0</v>
      </c>
      <c r="L414" s="45">
        <f>IF(C414="","",IFERROR(INDEX(Materials!$S$5:$S$254,MATCH(C414,Materials!$A$5:$A$254,0)),""))</f>
        <v>0</v>
      </c>
      <c r="M414" s="45">
        <f>IF(C414="","",IF(OR(K414="",L414=""),"",ROUND(K414*L414,4)))</f>
        <v>0</v>
      </c>
      <c r="N414" s="20">
        <f>IF(A414="","",ROUND(SUMIFS('Material Usage'!$M$5:$M$904,'Material Usage'!$A$5:$A$904,A414),2))</f>
        <v>0</v>
      </c>
      <c r="O414" s="33">
        <f>IF(A414="","",IF(OR(M414="",N414="",N414=0),"",M414/N414))</f>
        <v>0</v>
      </c>
      <c r="P414" s="32">
        <f>IF(A414="","",COUNTIFS($A$5:A414,A414))</f>
        <v>0</v>
      </c>
      <c r="Q414" s="13">
        <f>IF(A414="","",A414&amp;"|"&amp;P414)</f>
        <v>0</v>
      </c>
      <c r="R414" s="43">
        <f>IF(AND(A414="",C414=""),"",IF(A414="","Add - which product?",IF(C414="","Add - which material?",IF(B414="Not found","Check - no such product ID",IF(D414="Add to Materials","Check - no such material ID",IF(OR(F414="",F414=0),"Add - how much?",IF(L414="","Check - that material has no price","OK")))))))</f>
        <v>0</v>
      </c>
    </row>
    <row r="415" spans="2:18">
      <c r="B415" s="13">
        <f>IF(A415="","",IFERROR(INDEX(Products!$B$5:$B$304,MATCH(A415,Products!$A$5:$A$304,0)),"Not found"))</f>
        <v>0</v>
      </c>
      <c r="D415" s="13">
        <f>IF(C415="","",IFERROR(INDEX(Materials!$B$5:$B$254,MATCH(C415,Materials!$A$5:$A$254,0)),"Add to Materials"))</f>
        <v>0</v>
      </c>
      <c r="E415" s="13">
        <f>IF(C415="","",IFERROR(INDEX(Materials!$H$5:$H$254,MATCH(C415,Materials!$A$5:$A$254,0)),"Add to Materials"))</f>
        <v>0</v>
      </c>
      <c r="J415" s="33">
        <f>IF(C415="","",IF(G415&lt;&gt;"",G415,IFERROR(INDEX(Materials!$W$5:$W$254,MATCH(C415,Materials!$A$5:$A$254,0)),DefaultWaste)))</f>
        <v>0</v>
      </c>
      <c r="K415" s="36">
        <f>IF(C415="","",IF(F415="","",ROUND(F415*(1+J415),4)))</f>
        <v>0</v>
      </c>
      <c r="L415" s="45">
        <f>IF(C415="","",IFERROR(INDEX(Materials!$S$5:$S$254,MATCH(C415,Materials!$A$5:$A$254,0)),""))</f>
        <v>0</v>
      </c>
      <c r="M415" s="45">
        <f>IF(C415="","",IF(OR(K415="",L415=""),"",ROUND(K415*L415,4)))</f>
        <v>0</v>
      </c>
      <c r="N415" s="20">
        <f>IF(A415="","",ROUND(SUMIFS('Material Usage'!$M$5:$M$904,'Material Usage'!$A$5:$A$904,A415),2))</f>
        <v>0</v>
      </c>
      <c r="O415" s="33">
        <f>IF(A415="","",IF(OR(M415="",N415="",N415=0),"",M415/N415))</f>
        <v>0</v>
      </c>
      <c r="P415" s="32">
        <f>IF(A415="","",COUNTIFS($A$5:A415,A415))</f>
        <v>0</v>
      </c>
      <c r="Q415" s="13">
        <f>IF(A415="","",A415&amp;"|"&amp;P415)</f>
        <v>0</v>
      </c>
      <c r="R415" s="43">
        <f>IF(AND(A415="",C415=""),"",IF(A415="","Add - which product?",IF(C415="","Add - which material?",IF(B415="Not found","Check - no such product ID",IF(D415="Add to Materials","Check - no such material ID",IF(OR(F415="",F415=0),"Add - how much?",IF(L415="","Check - that material has no price","OK")))))))</f>
        <v>0</v>
      </c>
    </row>
    <row r="416" spans="2:18">
      <c r="B416" s="13">
        <f>IF(A416="","",IFERROR(INDEX(Products!$B$5:$B$304,MATCH(A416,Products!$A$5:$A$304,0)),"Not found"))</f>
        <v>0</v>
      </c>
      <c r="D416" s="13">
        <f>IF(C416="","",IFERROR(INDEX(Materials!$B$5:$B$254,MATCH(C416,Materials!$A$5:$A$254,0)),"Add to Materials"))</f>
        <v>0</v>
      </c>
      <c r="E416" s="13">
        <f>IF(C416="","",IFERROR(INDEX(Materials!$H$5:$H$254,MATCH(C416,Materials!$A$5:$A$254,0)),"Add to Materials"))</f>
        <v>0</v>
      </c>
      <c r="J416" s="33">
        <f>IF(C416="","",IF(G416&lt;&gt;"",G416,IFERROR(INDEX(Materials!$W$5:$W$254,MATCH(C416,Materials!$A$5:$A$254,0)),DefaultWaste)))</f>
        <v>0</v>
      </c>
      <c r="K416" s="36">
        <f>IF(C416="","",IF(F416="","",ROUND(F416*(1+J416),4)))</f>
        <v>0</v>
      </c>
      <c r="L416" s="45">
        <f>IF(C416="","",IFERROR(INDEX(Materials!$S$5:$S$254,MATCH(C416,Materials!$A$5:$A$254,0)),""))</f>
        <v>0</v>
      </c>
      <c r="M416" s="45">
        <f>IF(C416="","",IF(OR(K416="",L416=""),"",ROUND(K416*L416,4)))</f>
        <v>0</v>
      </c>
      <c r="N416" s="20">
        <f>IF(A416="","",ROUND(SUMIFS('Material Usage'!$M$5:$M$904,'Material Usage'!$A$5:$A$904,A416),2))</f>
        <v>0</v>
      </c>
      <c r="O416" s="33">
        <f>IF(A416="","",IF(OR(M416="",N416="",N416=0),"",M416/N416))</f>
        <v>0</v>
      </c>
      <c r="P416" s="32">
        <f>IF(A416="","",COUNTIFS($A$5:A416,A416))</f>
        <v>0</v>
      </c>
      <c r="Q416" s="13">
        <f>IF(A416="","",A416&amp;"|"&amp;P416)</f>
        <v>0</v>
      </c>
      <c r="R416" s="43">
        <f>IF(AND(A416="",C416=""),"",IF(A416="","Add - which product?",IF(C416="","Add - which material?",IF(B416="Not found","Check - no such product ID",IF(D416="Add to Materials","Check - no such material ID",IF(OR(F416="",F416=0),"Add - how much?",IF(L416="","Check - that material has no price","OK")))))))</f>
        <v>0</v>
      </c>
    </row>
    <row r="417" spans="2:18">
      <c r="B417" s="13">
        <f>IF(A417="","",IFERROR(INDEX(Products!$B$5:$B$304,MATCH(A417,Products!$A$5:$A$304,0)),"Not found"))</f>
        <v>0</v>
      </c>
      <c r="D417" s="13">
        <f>IF(C417="","",IFERROR(INDEX(Materials!$B$5:$B$254,MATCH(C417,Materials!$A$5:$A$254,0)),"Add to Materials"))</f>
        <v>0</v>
      </c>
      <c r="E417" s="13">
        <f>IF(C417="","",IFERROR(INDEX(Materials!$H$5:$H$254,MATCH(C417,Materials!$A$5:$A$254,0)),"Add to Materials"))</f>
        <v>0</v>
      </c>
      <c r="J417" s="33">
        <f>IF(C417="","",IF(G417&lt;&gt;"",G417,IFERROR(INDEX(Materials!$W$5:$W$254,MATCH(C417,Materials!$A$5:$A$254,0)),DefaultWaste)))</f>
        <v>0</v>
      </c>
      <c r="K417" s="36">
        <f>IF(C417="","",IF(F417="","",ROUND(F417*(1+J417),4)))</f>
        <v>0</v>
      </c>
      <c r="L417" s="45">
        <f>IF(C417="","",IFERROR(INDEX(Materials!$S$5:$S$254,MATCH(C417,Materials!$A$5:$A$254,0)),""))</f>
        <v>0</v>
      </c>
      <c r="M417" s="45">
        <f>IF(C417="","",IF(OR(K417="",L417=""),"",ROUND(K417*L417,4)))</f>
        <v>0</v>
      </c>
      <c r="N417" s="20">
        <f>IF(A417="","",ROUND(SUMIFS('Material Usage'!$M$5:$M$904,'Material Usage'!$A$5:$A$904,A417),2))</f>
        <v>0</v>
      </c>
      <c r="O417" s="33">
        <f>IF(A417="","",IF(OR(M417="",N417="",N417=0),"",M417/N417))</f>
        <v>0</v>
      </c>
      <c r="P417" s="32">
        <f>IF(A417="","",COUNTIFS($A$5:A417,A417))</f>
        <v>0</v>
      </c>
      <c r="Q417" s="13">
        <f>IF(A417="","",A417&amp;"|"&amp;P417)</f>
        <v>0</v>
      </c>
      <c r="R417" s="43">
        <f>IF(AND(A417="",C417=""),"",IF(A417="","Add - which product?",IF(C417="","Add - which material?",IF(B417="Not found","Check - no such product ID",IF(D417="Add to Materials","Check - no such material ID",IF(OR(F417="",F417=0),"Add - how much?",IF(L417="","Check - that material has no price","OK")))))))</f>
        <v>0</v>
      </c>
    </row>
    <row r="418" spans="2:18">
      <c r="B418" s="13">
        <f>IF(A418="","",IFERROR(INDEX(Products!$B$5:$B$304,MATCH(A418,Products!$A$5:$A$304,0)),"Not found"))</f>
        <v>0</v>
      </c>
      <c r="D418" s="13">
        <f>IF(C418="","",IFERROR(INDEX(Materials!$B$5:$B$254,MATCH(C418,Materials!$A$5:$A$254,0)),"Add to Materials"))</f>
        <v>0</v>
      </c>
      <c r="E418" s="13">
        <f>IF(C418="","",IFERROR(INDEX(Materials!$H$5:$H$254,MATCH(C418,Materials!$A$5:$A$254,0)),"Add to Materials"))</f>
        <v>0</v>
      </c>
      <c r="J418" s="33">
        <f>IF(C418="","",IF(G418&lt;&gt;"",G418,IFERROR(INDEX(Materials!$W$5:$W$254,MATCH(C418,Materials!$A$5:$A$254,0)),DefaultWaste)))</f>
        <v>0</v>
      </c>
      <c r="K418" s="36">
        <f>IF(C418="","",IF(F418="","",ROUND(F418*(1+J418),4)))</f>
        <v>0</v>
      </c>
      <c r="L418" s="45">
        <f>IF(C418="","",IFERROR(INDEX(Materials!$S$5:$S$254,MATCH(C418,Materials!$A$5:$A$254,0)),""))</f>
        <v>0</v>
      </c>
      <c r="M418" s="45">
        <f>IF(C418="","",IF(OR(K418="",L418=""),"",ROUND(K418*L418,4)))</f>
        <v>0</v>
      </c>
      <c r="N418" s="20">
        <f>IF(A418="","",ROUND(SUMIFS('Material Usage'!$M$5:$M$904,'Material Usage'!$A$5:$A$904,A418),2))</f>
        <v>0</v>
      </c>
      <c r="O418" s="33">
        <f>IF(A418="","",IF(OR(M418="",N418="",N418=0),"",M418/N418))</f>
        <v>0</v>
      </c>
      <c r="P418" s="32">
        <f>IF(A418="","",COUNTIFS($A$5:A418,A418))</f>
        <v>0</v>
      </c>
      <c r="Q418" s="13">
        <f>IF(A418="","",A418&amp;"|"&amp;P418)</f>
        <v>0</v>
      </c>
      <c r="R418" s="43">
        <f>IF(AND(A418="",C418=""),"",IF(A418="","Add - which product?",IF(C418="","Add - which material?",IF(B418="Not found","Check - no such product ID",IF(D418="Add to Materials","Check - no such material ID",IF(OR(F418="",F418=0),"Add - how much?",IF(L418="","Check - that material has no price","OK")))))))</f>
        <v>0</v>
      </c>
    </row>
    <row r="419" spans="2:18">
      <c r="B419" s="13">
        <f>IF(A419="","",IFERROR(INDEX(Products!$B$5:$B$304,MATCH(A419,Products!$A$5:$A$304,0)),"Not found"))</f>
        <v>0</v>
      </c>
      <c r="D419" s="13">
        <f>IF(C419="","",IFERROR(INDEX(Materials!$B$5:$B$254,MATCH(C419,Materials!$A$5:$A$254,0)),"Add to Materials"))</f>
        <v>0</v>
      </c>
      <c r="E419" s="13">
        <f>IF(C419="","",IFERROR(INDEX(Materials!$H$5:$H$254,MATCH(C419,Materials!$A$5:$A$254,0)),"Add to Materials"))</f>
        <v>0</v>
      </c>
      <c r="J419" s="33">
        <f>IF(C419="","",IF(G419&lt;&gt;"",G419,IFERROR(INDEX(Materials!$W$5:$W$254,MATCH(C419,Materials!$A$5:$A$254,0)),DefaultWaste)))</f>
        <v>0</v>
      </c>
      <c r="K419" s="36">
        <f>IF(C419="","",IF(F419="","",ROUND(F419*(1+J419),4)))</f>
        <v>0</v>
      </c>
      <c r="L419" s="45">
        <f>IF(C419="","",IFERROR(INDEX(Materials!$S$5:$S$254,MATCH(C419,Materials!$A$5:$A$254,0)),""))</f>
        <v>0</v>
      </c>
      <c r="M419" s="45">
        <f>IF(C419="","",IF(OR(K419="",L419=""),"",ROUND(K419*L419,4)))</f>
        <v>0</v>
      </c>
      <c r="N419" s="20">
        <f>IF(A419="","",ROUND(SUMIFS('Material Usage'!$M$5:$M$904,'Material Usage'!$A$5:$A$904,A419),2))</f>
        <v>0</v>
      </c>
      <c r="O419" s="33">
        <f>IF(A419="","",IF(OR(M419="",N419="",N419=0),"",M419/N419))</f>
        <v>0</v>
      </c>
      <c r="P419" s="32">
        <f>IF(A419="","",COUNTIFS($A$5:A419,A419))</f>
        <v>0</v>
      </c>
      <c r="Q419" s="13">
        <f>IF(A419="","",A419&amp;"|"&amp;P419)</f>
        <v>0</v>
      </c>
      <c r="R419" s="43">
        <f>IF(AND(A419="",C419=""),"",IF(A419="","Add - which product?",IF(C419="","Add - which material?",IF(B419="Not found","Check - no such product ID",IF(D419="Add to Materials","Check - no such material ID",IF(OR(F419="",F419=0),"Add - how much?",IF(L419="","Check - that material has no price","OK")))))))</f>
        <v>0</v>
      </c>
    </row>
    <row r="420" spans="2:18">
      <c r="B420" s="13">
        <f>IF(A420="","",IFERROR(INDEX(Products!$B$5:$B$304,MATCH(A420,Products!$A$5:$A$304,0)),"Not found"))</f>
        <v>0</v>
      </c>
      <c r="D420" s="13">
        <f>IF(C420="","",IFERROR(INDEX(Materials!$B$5:$B$254,MATCH(C420,Materials!$A$5:$A$254,0)),"Add to Materials"))</f>
        <v>0</v>
      </c>
      <c r="E420" s="13">
        <f>IF(C420="","",IFERROR(INDEX(Materials!$H$5:$H$254,MATCH(C420,Materials!$A$5:$A$254,0)),"Add to Materials"))</f>
        <v>0</v>
      </c>
      <c r="J420" s="33">
        <f>IF(C420="","",IF(G420&lt;&gt;"",G420,IFERROR(INDEX(Materials!$W$5:$W$254,MATCH(C420,Materials!$A$5:$A$254,0)),DefaultWaste)))</f>
        <v>0</v>
      </c>
      <c r="K420" s="36">
        <f>IF(C420="","",IF(F420="","",ROUND(F420*(1+J420),4)))</f>
        <v>0</v>
      </c>
      <c r="L420" s="45">
        <f>IF(C420="","",IFERROR(INDEX(Materials!$S$5:$S$254,MATCH(C420,Materials!$A$5:$A$254,0)),""))</f>
        <v>0</v>
      </c>
      <c r="M420" s="45">
        <f>IF(C420="","",IF(OR(K420="",L420=""),"",ROUND(K420*L420,4)))</f>
        <v>0</v>
      </c>
      <c r="N420" s="20">
        <f>IF(A420="","",ROUND(SUMIFS('Material Usage'!$M$5:$M$904,'Material Usage'!$A$5:$A$904,A420),2))</f>
        <v>0</v>
      </c>
      <c r="O420" s="33">
        <f>IF(A420="","",IF(OR(M420="",N420="",N420=0),"",M420/N420))</f>
        <v>0</v>
      </c>
      <c r="P420" s="32">
        <f>IF(A420="","",COUNTIFS($A$5:A420,A420))</f>
        <v>0</v>
      </c>
      <c r="Q420" s="13">
        <f>IF(A420="","",A420&amp;"|"&amp;P420)</f>
        <v>0</v>
      </c>
      <c r="R420" s="43">
        <f>IF(AND(A420="",C420=""),"",IF(A420="","Add - which product?",IF(C420="","Add - which material?",IF(B420="Not found","Check - no such product ID",IF(D420="Add to Materials","Check - no such material ID",IF(OR(F420="",F420=0),"Add - how much?",IF(L420="","Check - that material has no price","OK")))))))</f>
        <v>0</v>
      </c>
    </row>
    <row r="421" spans="2:18">
      <c r="B421" s="13">
        <f>IF(A421="","",IFERROR(INDEX(Products!$B$5:$B$304,MATCH(A421,Products!$A$5:$A$304,0)),"Not found"))</f>
        <v>0</v>
      </c>
      <c r="D421" s="13">
        <f>IF(C421="","",IFERROR(INDEX(Materials!$B$5:$B$254,MATCH(C421,Materials!$A$5:$A$254,0)),"Add to Materials"))</f>
        <v>0</v>
      </c>
      <c r="E421" s="13">
        <f>IF(C421="","",IFERROR(INDEX(Materials!$H$5:$H$254,MATCH(C421,Materials!$A$5:$A$254,0)),"Add to Materials"))</f>
        <v>0</v>
      </c>
      <c r="J421" s="33">
        <f>IF(C421="","",IF(G421&lt;&gt;"",G421,IFERROR(INDEX(Materials!$W$5:$W$254,MATCH(C421,Materials!$A$5:$A$254,0)),DefaultWaste)))</f>
        <v>0</v>
      </c>
      <c r="K421" s="36">
        <f>IF(C421="","",IF(F421="","",ROUND(F421*(1+J421),4)))</f>
        <v>0</v>
      </c>
      <c r="L421" s="45">
        <f>IF(C421="","",IFERROR(INDEX(Materials!$S$5:$S$254,MATCH(C421,Materials!$A$5:$A$254,0)),""))</f>
        <v>0</v>
      </c>
      <c r="M421" s="45">
        <f>IF(C421="","",IF(OR(K421="",L421=""),"",ROUND(K421*L421,4)))</f>
        <v>0</v>
      </c>
      <c r="N421" s="20">
        <f>IF(A421="","",ROUND(SUMIFS('Material Usage'!$M$5:$M$904,'Material Usage'!$A$5:$A$904,A421),2))</f>
        <v>0</v>
      </c>
      <c r="O421" s="33">
        <f>IF(A421="","",IF(OR(M421="",N421="",N421=0),"",M421/N421))</f>
        <v>0</v>
      </c>
      <c r="P421" s="32">
        <f>IF(A421="","",COUNTIFS($A$5:A421,A421))</f>
        <v>0</v>
      </c>
      <c r="Q421" s="13">
        <f>IF(A421="","",A421&amp;"|"&amp;P421)</f>
        <v>0</v>
      </c>
      <c r="R421" s="43">
        <f>IF(AND(A421="",C421=""),"",IF(A421="","Add - which product?",IF(C421="","Add - which material?",IF(B421="Not found","Check - no such product ID",IF(D421="Add to Materials","Check - no such material ID",IF(OR(F421="",F421=0),"Add - how much?",IF(L421="","Check - that material has no price","OK")))))))</f>
        <v>0</v>
      </c>
    </row>
    <row r="422" spans="2:18">
      <c r="B422" s="13">
        <f>IF(A422="","",IFERROR(INDEX(Products!$B$5:$B$304,MATCH(A422,Products!$A$5:$A$304,0)),"Not found"))</f>
        <v>0</v>
      </c>
      <c r="D422" s="13">
        <f>IF(C422="","",IFERROR(INDEX(Materials!$B$5:$B$254,MATCH(C422,Materials!$A$5:$A$254,0)),"Add to Materials"))</f>
        <v>0</v>
      </c>
      <c r="E422" s="13">
        <f>IF(C422="","",IFERROR(INDEX(Materials!$H$5:$H$254,MATCH(C422,Materials!$A$5:$A$254,0)),"Add to Materials"))</f>
        <v>0</v>
      </c>
      <c r="J422" s="33">
        <f>IF(C422="","",IF(G422&lt;&gt;"",G422,IFERROR(INDEX(Materials!$W$5:$W$254,MATCH(C422,Materials!$A$5:$A$254,0)),DefaultWaste)))</f>
        <v>0</v>
      </c>
      <c r="K422" s="36">
        <f>IF(C422="","",IF(F422="","",ROUND(F422*(1+J422),4)))</f>
        <v>0</v>
      </c>
      <c r="L422" s="45">
        <f>IF(C422="","",IFERROR(INDEX(Materials!$S$5:$S$254,MATCH(C422,Materials!$A$5:$A$254,0)),""))</f>
        <v>0</v>
      </c>
      <c r="M422" s="45">
        <f>IF(C422="","",IF(OR(K422="",L422=""),"",ROUND(K422*L422,4)))</f>
        <v>0</v>
      </c>
      <c r="N422" s="20">
        <f>IF(A422="","",ROUND(SUMIFS('Material Usage'!$M$5:$M$904,'Material Usage'!$A$5:$A$904,A422),2))</f>
        <v>0</v>
      </c>
      <c r="O422" s="33">
        <f>IF(A422="","",IF(OR(M422="",N422="",N422=0),"",M422/N422))</f>
        <v>0</v>
      </c>
      <c r="P422" s="32">
        <f>IF(A422="","",COUNTIFS($A$5:A422,A422))</f>
        <v>0</v>
      </c>
      <c r="Q422" s="13">
        <f>IF(A422="","",A422&amp;"|"&amp;P422)</f>
        <v>0</v>
      </c>
      <c r="R422" s="43">
        <f>IF(AND(A422="",C422=""),"",IF(A422="","Add - which product?",IF(C422="","Add - which material?",IF(B422="Not found","Check - no such product ID",IF(D422="Add to Materials","Check - no such material ID",IF(OR(F422="",F422=0),"Add - how much?",IF(L422="","Check - that material has no price","OK")))))))</f>
        <v>0</v>
      </c>
    </row>
    <row r="423" spans="2:18">
      <c r="B423" s="13">
        <f>IF(A423="","",IFERROR(INDEX(Products!$B$5:$B$304,MATCH(A423,Products!$A$5:$A$304,0)),"Not found"))</f>
        <v>0</v>
      </c>
      <c r="D423" s="13">
        <f>IF(C423="","",IFERROR(INDEX(Materials!$B$5:$B$254,MATCH(C423,Materials!$A$5:$A$254,0)),"Add to Materials"))</f>
        <v>0</v>
      </c>
      <c r="E423" s="13">
        <f>IF(C423="","",IFERROR(INDEX(Materials!$H$5:$H$254,MATCH(C423,Materials!$A$5:$A$254,0)),"Add to Materials"))</f>
        <v>0</v>
      </c>
      <c r="J423" s="33">
        <f>IF(C423="","",IF(G423&lt;&gt;"",G423,IFERROR(INDEX(Materials!$W$5:$W$254,MATCH(C423,Materials!$A$5:$A$254,0)),DefaultWaste)))</f>
        <v>0</v>
      </c>
      <c r="K423" s="36">
        <f>IF(C423="","",IF(F423="","",ROUND(F423*(1+J423),4)))</f>
        <v>0</v>
      </c>
      <c r="L423" s="45">
        <f>IF(C423="","",IFERROR(INDEX(Materials!$S$5:$S$254,MATCH(C423,Materials!$A$5:$A$254,0)),""))</f>
        <v>0</v>
      </c>
      <c r="M423" s="45">
        <f>IF(C423="","",IF(OR(K423="",L423=""),"",ROUND(K423*L423,4)))</f>
        <v>0</v>
      </c>
      <c r="N423" s="20">
        <f>IF(A423="","",ROUND(SUMIFS('Material Usage'!$M$5:$M$904,'Material Usage'!$A$5:$A$904,A423),2))</f>
        <v>0</v>
      </c>
      <c r="O423" s="33">
        <f>IF(A423="","",IF(OR(M423="",N423="",N423=0),"",M423/N423))</f>
        <v>0</v>
      </c>
      <c r="P423" s="32">
        <f>IF(A423="","",COUNTIFS($A$5:A423,A423))</f>
        <v>0</v>
      </c>
      <c r="Q423" s="13">
        <f>IF(A423="","",A423&amp;"|"&amp;P423)</f>
        <v>0</v>
      </c>
      <c r="R423" s="43">
        <f>IF(AND(A423="",C423=""),"",IF(A423="","Add - which product?",IF(C423="","Add - which material?",IF(B423="Not found","Check - no such product ID",IF(D423="Add to Materials","Check - no such material ID",IF(OR(F423="",F423=0),"Add - how much?",IF(L423="","Check - that material has no price","OK")))))))</f>
        <v>0</v>
      </c>
    </row>
    <row r="424" spans="2:18">
      <c r="B424" s="13">
        <f>IF(A424="","",IFERROR(INDEX(Products!$B$5:$B$304,MATCH(A424,Products!$A$5:$A$304,0)),"Not found"))</f>
        <v>0</v>
      </c>
      <c r="D424" s="13">
        <f>IF(C424="","",IFERROR(INDEX(Materials!$B$5:$B$254,MATCH(C424,Materials!$A$5:$A$254,0)),"Add to Materials"))</f>
        <v>0</v>
      </c>
      <c r="E424" s="13">
        <f>IF(C424="","",IFERROR(INDEX(Materials!$H$5:$H$254,MATCH(C424,Materials!$A$5:$A$254,0)),"Add to Materials"))</f>
        <v>0</v>
      </c>
      <c r="J424" s="33">
        <f>IF(C424="","",IF(G424&lt;&gt;"",G424,IFERROR(INDEX(Materials!$W$5:$W$254,MATCH(C424,Materials!$A$5:$A$254,0)),DefaultWaste)))</f>
        <v>0</v>
      </c>
      <c r="K424" s="36">
        <f>IF(C424="","",IF(F424="","",ROUND(F424*(1+J424),4)))</f>
        <v>0</v>
      </c>
      <c r="L424" s="45">
        <f>IF(C424="","",IFERROR(INDEX(Materials!$S$5:$S$254,MATCH(C424,Materials!$A$5:$A$254,0)),""))</f>
        <v>0</v>
      </c>
      <c r="M424" s="45">
        <f>IF(C424="","",IF(OR(K424="",L424=""),"",ROUND(K424*L424,4)))</f>
        <v>0</v>
      </c>
      <c r="N424" s="20">
        <f>IF(A424="","",ROUND(SUMIFS('Material Usage'!$M$5:$M$904,'Material Usage'!$A$5:$A$904,A424),2))</f>
        <v>0</v>
      </c>
      <c r="O424" s="33">
        <f>IF(A424="","",IF(OR(M424="",N424="",N424=0),"",M424/N424))</f>
        <v>0</v>
      </c>
      <c r="P424" s="32">
        <f>IF(A424="","",COUNTIFS($A$5:A424,A424))</f>
        <v>0</v>
      </c>
      <c r="Q424" s="13">
        <f>IF(A424="","",A424&amp;"|"&amp;P424)</f>
        <v>0</v>
      </c>
      <c r="R424" s="43">
        <f>IF(AND(A424="",C424=""),"",IF(A424="","Add - which product?",IF(C424="","Add - which material?",IF(B424="Not found","Check - no such product ID",IF(D424="Add to Materials","Check - no such material ID",IF(OR(F424="",F424=0),"Add - how much?",IF(L424="","Check - that material has no price","OK")))))))</f>
        <v>0</v>
      </c>
    </row>
    <row r="425" spans="2:18">
      <c r="B425" s="13">
        <f>IF(A425="","",IFERROR(INDEX(Products!$B$5:$B$304,MATCH(A425,Products!$A$5:$A$304,0)),"Not found"))</f>
        <v>0</v>
      </c>
      <c r="D425" s="13">
        <f>IF(C425="","",IFERROR(INDEX(Materials!$B$5:$B$254,MATCH(C425,Materials!$A$5:$A$254,0)),"Add to Materials"))</f>
        <v>0</v>
      </c>
      <c r="E425" s="13">
        <f>IF(C425="","",IFERROR(INDEX(Materials!$H$5:$H$254,MATCH(C425,Materials!$A$5:$A$254,0)),"Add to Materials"))</f>
        <v>0</v>
      </c>
      <c r="J425" s="33">
        <f>IF(C425="","",IF(G425&lt;&gt;"",G425,IFERROR(INDEX(Materials!$W$5:$W$254,MATCH(C425,Materials!$A$5:$A$254,0)),DefaultWaste)))</f>
        <v>0</v>
      </c>
      <c r="K425" s="36">
        <f>IF(C425="","",IF(F425="","",ROUND(F425*(1+J425),4)))</f>
        <v>0</v>
      </c>
      <c r="L425" s="45">
        <f>IF(C425="","",IFERROR(INDEX(Materials!$S$5:$S$254,MATCH(C425,Materials!$A$5:$A$254,0)),""))</f>
        <v>0</v>
      </c>
      <c r="M425" s="45">
        <f>IF(C425="","",IF(OR(K425="",L425=""),"",ROUND(K425*L425,4)))</f>
        <v>0</v>
      </c>
      <c r="N425" s="20">
        <f>IF(A425="","",ROUND(SUMIFS('Material Usage'!$M$5:$M$904,'Material Usage'!$A$5:$A$904,A425),2))</f>
        <v>0</v>
      </c>
      <c r="O425" s="33">
        <f>IF(A425="","",IF(OR(M425="",N425="",N425=0),"",M425/N425))</f>
        <v>0</v>
      </c>
      <c r="P425" s="32">
        <f>IF(A425="","",COUNTIFS($A$5:A425,A425))</f>
        <v>0</v>
      </c>
      <c r="Q425" s="13">
        <f>IF(A425="","",A425&amp;"|"&amp;P425)</f>
        <v>0</v>
      </c>
      <c r="R425" s="43">
        <f>IF(AND(A425="",C425=""),"",IF(A425="","Add - which product?",IF(C425="","Add - which material?",IF(B425="Not found","Check - no such product ID",IF(D425="Add to Materials","Check - no such material ID",IF(OR(F425="",F425=0),"Add - how much?",IF(L425="","Check - that material has no price","OK")))))))</f>
        <v>0</v>
      </c>
    </row>
    <row r="426" spans="2:18">
      <c r="B426" s="13">
        <f>IF(A426="","",IFERROR(INDEX(Products!$B$5:$B$304,MATCH(A426,Products!$A$5:$A$304,0)),"Not found"))</f>
        <v>0</v>
      </c>
      <c r="D426" s="13">
        <f>IF(C426="","",IFERROR(INDEX(Materials!$B$5:$B$254,MATCH(C426,Materials!$A$5:$A$254,0)),"Add to Materials"))</f>
        <v>0</v>
      </c>
      <c r="E426" s="13">
        <f>IF(C426="","",IFERROR(INDEX(Materials!$H$5:$H$254,MATCH(C426,Materials!$A$5:$A$254,0)),"Add to Materials"))</f>
        <v>0</v>
      </c>
      <c r="J426" s="33">
        <f>IF(C426="","",IF(G426&lt;&gt;"",G426,IFERROR(INDEX(Materials!$W$5:$W$254,MATCH(C426,Materials!$A$5:$A$254,0)),DefaultWaste)))</f>
        <v>0</v>
      </c>
      <c r="K426" s="36">
        <f>IF(C426="","",IF(F426="","",ROUND(F426*(1+J426),4)))</f>
        <v>0</v>
      </c>
      <c r="L426" s="45">
        <f>IF(C426="","",IFERROR(INDEX(Materials!$S$5:$S$254,MATCH(C426,Materials!$A$5:$A$254,0)),""))</f>
        <v>0</v>
      </c>
      <c r="M426" s="45">
        <f>IF(C426="","",IF(OR(K426="",L426=""),"",ROUND(K426*L426,4)))</f>
        <v>0</v>
      </c>
      <c r="N426" s="20">
        <f>IF(A426="","",ROUND(SUMIFS('Material Usage'!$M$5:$M$904,'Material Usage'!$A$5:$A$904,A426),2))</f>
        <v>0</v>
      </c>
      <c r="O426" s="33">
        <f>IF(A426="","",IF(OR(M426="",N426="",N426=0),"",M426/N426))</f>
        <v>0</v>
      </c>
      <c r="P426" s="32">
        <f>IF(A426="","",COUNTIFS($A$5:A426,A426))</f>
        <v>0</v>
      </c>
      <c r="Q426" s="13">
        <f>IF(A426="","",A426&amp;"|"&amp;P426)</f>
        <v>0</v>
      </c>
      <c r="R426" s="43">
        <f>IF(AND(A426="",C426=""),"",IF(A426="","Add - which product?",IF(C426="","Add - which material?",IF(B426="Not found","Check - no such product ID",IF(D426="Add to Materials","Check - no such material ID",IF(OR(F426="",F426=0),"Add - how much?",IF(L426="","Check - that material has no price","OK")))))))</f>
        <v>0</v>
      </c>
    </row>
    <row r="427" spans="2:18">
      <c r="B427" s="13">
        <f>IF(A427="","",IFERROR(INDEX(Products!$B$5:$B$304,MATCH(A427,Products!$A$5:$A$304,0)),"Not found"))</f>
        <v>0</v>
      </c>
      <c r="D427" s="13">
        <f>IF(C427="","",IFERROR(INDEX(Materials!$B$5:$B$254,MATCH(C427,Materials!$A$5:$A$254,0)),"Add to Materials"))</f>
        <v>0</v>
      </c>
      <c r="E427" s="13">
        <f>IF(C427="","",IFERROR(INDEX(Materials!$H$5:$H$254,MATCH(C427,Materials!$A$5:$A$254,0)),"Add to Materials"))</f>
        <v>0</v>
      </c>
      <c r="J427" s="33">
        <f>IF(C427="","",IF(G427&lt;&gt;"",G427,IFERROR(INDEX(Materials!$W$5:$W$254,MATCH(C427,Materials!$A$5:$A$254,0)),DefaultWaste)))</f>
        <v>0</v>
      </c>
      <c r="K427" s="36">
        <f>IF(C427="","",IF(F427="","",ROUND(F427*(1+J427),4)))</f>
        <v>0</v>
      </c>
      <c r="L427" s="45">
        <f>IF(C427="","",IFERROR(INDEX(Materials!$S$5:$S$254,MATCH(C427,Materials!$A$5:$A$254,0)),""))</f>
        <v>0</v>
      </c>
      <c r="M427" s="45">
        <f>IF(C427="","",IF(OR(K427="",L427=""),"",ROUND(K427*L427,4)))</f>
        <v>0</v>
      </c>
      <c r="N427" s="20">
        <f>IF(A427="","",ROUND(SUMIFS('Material Usage'!$M$5:$M$904,'Material Usage'!$A$5:$A$904,A427),2))</f>
        <v>0</v>
      </c>
      <c r="O427" s="33">
        <f>IF(A427="","",IF(OR(M427="",N427="",N427=0),"",M427/N427))</f>
        <v>0</v>
      </c>
      <c r="P427" s="32">
        <f>IF(A427="","",COUNTIFS($A$5:A427,A427))</f>
        <v>0</v>
      </c>
      <c r="Q427" s="13">
        <f>IF(A427="","",A427&amp;"|"&amp;P427)</f>
        <v>0</v>
      </c>
      <c r="R427" s="43">
        <f>IF(AND(A427="",C427=""),"",IF(A427="","Add - which product?",IF(C427="","Add - which material?",IF(B427="Not found","Check - no such product ID",IF(D427="Add to Materials","Check - no such material ID",IF(OR(F427="",F427=0),"Add - how much?",IF(L427="","Check - that material has no price","OK")))))))</f>
        <v>0</v>
      </c>
    </row>
    <row r="428" spans="2:18">
      <c r="B428" s="13">
        <f>IF(A428="","",IFERROR(INDEX(Products!$B$5:$B$304,MATCH(A428,Products!$A$5:$A$304,0)),"Not found"))</f>
        <v>0</v>
      </c>
      <c r="D428" s="13">
        <f>IF(C428="","",IFERROR(INDEX(Materials!$B$5:$B$254,MATCH(C428,Materials!$A$5:$A$254,0)),"Add to Materials"))</f>
        <v>0</v>
      </c>
      <c r="E428" s="13">
        <f>IF(C428="","",IFERROR(INDEX(Materials!$H$5:$H$254,MATCH(C428,Materials!$A$5:$A$254,0)),"Add to Materials"))</f>
        <v>0</v>
      </c>
      <c r="J428" s="33">
        <f>IF(C428="","",IF(G428&lt;&gt;"",G428,IFERROR(INDEX(Materials!$W$5:$W$254,MATCH(C428,Materials!$A$5:$A$254,0)),DefaultWaste)))</f>
        <v>0</v>
      </c>
      <c r="K428" s="36">
        <f>IF(C428="","",IF(F428="","",ROUND(F428*(1+J428),4)))</f>
        <v>0</v>
      </c>
      <c r="L428" s="45">
        <f>IF(C428="","",IFERROR(INDEX(Materials!$S$5:$S$254,MATCH(C428,Materials!$A$5:$A$254,0)),""))</f>
        <v>0</v>
      </c>
      <c r="M428" s="45">
        <f>IF(C428="","",IF(OR(K428="",L428=""),"",ROUND(K428*L428,4)))</f>
        <v>0</v>
      </c>
      <c r="N428" s="20">
        <f>IF(A428="","",ROUND(SUMIFS('Material Usage'!$M$5:$M$904,'Material Usage'!$A$5:$A$904,A428),2))</f>
        <v>0</v>
      </c>
      <c r="O428" s="33">
        <f>IF(A428="","",IF(OR(M428="",N428="",N428=0),"",M428/N428))</f>
        <v>0</v>
      </c>
      <c r="P428" s="32">
        <f>IF(A428="","",COUNTIFS($A$5:A428,A428))</f>
        <v>0</v>
      </c>
      <c r="Q428" s="13">
        <f>IF(A428="","",A428&amp;"|"&amp;P428)</f>
        <v>0</v>
      </c>
      <c r="R428" s="43">
        <f>IF(AND(A428="",C428=""),"",IF(A428="","Add - which product?",IF(C428="","Add - which material?",IF(B428="Not found","Check - no such product ID",IF(D428="Add to Materials","Check - no such material ID",IF(OR(F428="",F428=0),"Add - how much?",IF(L428="","Check - that material has no price","OK")))))))</f>
        <v>0</v>
      </c>
    </row>
    <row r="429" spans="2:18">
      <c r="B429" s="13">
        <f>IF(A429="","",IFERROR(INDEX(Products!$B$5:$B$304,MATCH(A429,Products!$A$5:$A$304,0)),"Not found"))</f>
        <v>0</v>
      </c>
      <c r="D429" s="13">
        <f>IF(C429="","",IFERROR(INDEX(Materials!$B$5:$B$254,MATCH(C429,Materials!$A$5:$A$254,0)),"Add to Materials"))</f>
        <v>0</v>
      </c>
      <c r="E429" s="13">
        <f>IF(C429="","",IFERROR(INDEX(Materials!$H$5:$H$254,MATCH(C429,Materials!$A$5:$A$254,0)),"Add to Materials"))</f>
        <v>0</v>
      </c>
      <c r="J429" s="33">
        <f>IF(C429="","",IF(G429&lt;&gt;"",G429,IFERROR(INDEX(Materials!$W$5:$W$254,MATCH(C429,Materials!$A$5:$A$254,0)),DefaultWaste)))</f>
        <v>0</v>
      </c>
      <c r="K429" s="36">
        <f>IF(C429="","",IF(F429="","",ROUND(F429*(1+J429),4)))</f>
        <v>0</v>
      </c>
      <c r="L429" s="45">
        <f>IF(C429="","",IFERROR(INDEX(Materials!$S$5:$S$254,MATCH(C429,Materials!$A$5:$A$254,0)),""))</f>
        <v>0</v>
      </c>
      <c r="M429" s="45">
        <f>IF(C429="","",IF(OR(K429="",L429=""),"",ROUND(K429*L429,4)))</f>
        <v>0</v>
      </c>
      <c r="N429" s="20">
        <f>IF(A429="","",ROUND(SUMIFS('Material Usage'!$M$5:$M$904,'Material Usage'!$A$5:$A$904,A429),2))</f>
        <v>0</v>
      </c>
      <c r="O429" s="33">
        <f>IF(A429="","",IF(OR(M429="",N429="",N429=0),"",M429/N429))</f>
        <v>0</v>
      </c>
      <c r="P429" s="32">
        <f>IF(A429="","",COUNTIFS($A$5:A429,A429))</f>
        <v>0</v>
      </c>
      <c r="Q429" s="13">
        <f>IF(A429="","",A429&amp;"|"&amp;P429)</f>
        <v>0</v>
      </c>
      <c r="R429" s="43">
        <f>IF(AND(A429="",C429=""),"",IF(A429="","Add - which product?",IF(C429="","Add - which material?",IF(B429="Not found","Check - no such product ID",IF(D429="Add to Materials","Check - no such material ID",IF(OR(F429="",F429=0),"Add - how much?",IF(L429="","Check - that material has no price","OK")))))))</f>
        <v>0</v>
      </c>
    </row>
    <row r="430" spans="2:18">
      <c r="B430" s="13">
        <f>IF(A430="","",IFERROR(INDEX(Products!$B$5:$B$304,MATCH(A430,Products!$A$5:$A$304,0)),"Not found"))</f>
        <v>0</v>
      </c>
      <c r="D430" s="13">
        <f>IF(C430="","",IFERROR(INDEX(Materials!$B$5:$B$254,MATCH(C430,Materials!$A$5:$A$254,0)),"Add to Materials"))</f>
        <v>0</v>
      </c>
      <c r="E430" s="13">
        <f>IF(C430="","",IFERROR(INDEX(Materials!$H$5:$H$254,MATCH(C430,Materials!$A$5:$A$254,0)),"Add to Materials"))</f>
        <v>0</v>
      </c>
      <c r="J430" s="33">
        <f>IF(C430="","",IF(G430&lt;&gt;"",G430,IFERROR(INDEX(Materials!$W$5:$W$254,MATCH(C430,Materials!$A$5:$A$254,0)),DefaultWaste)))</f>
        <v>0</v>
      </c>
      <c r="K430" s="36">
        <f>IF(C430="","",IF(F430="","",ROUND(F430*(1+J430),4)))</f>
        <v>0</v>
      </c>
      <c r="L430" s="45">
        <f>IF(C430="","",IFERROR(INDEX(Materials!$S$5:$S$254,MATCH(C430,Materials!$A$5:$A$254,0)),""))</f>
        <v>0</v>
      </c>
      <c r="M430" s="45">
        <f>IF(C430="","",IF(OR(K430="",L430=""),"",ROUND(K430*L430,4)))</f>
        <v>0</v>
      </c>
      <c r="N430" s="20">
        <f>IF(A430="","",ROUND(SUMIFS('Material Usage'!$M$5:$M$904,'Material Usage'!$A$5:$A$904,A430),2))</f>
        <v>0</v>
      </c>
      <c r="O430" s="33">
        <f>IF(A430="","",IF(OR(M430="",N430="",N430=0),"",M430/N430))</f>
        <v>0</v>
      </c>
      <c r="P430" s="32">
        <f>IF(A430="","",COUNTIFS($A$5:A430,A430))</f>
        <v>0</v>
      </c>
      <c r="Q430" s="13">
        <f>IF(A430="","",A430&amp;"|"&amp;P430)</f>
        <v>0</v>
      </c>
      <c r="R430" s="43">
        <f>IF(AND(A430="",C430=""),"",IF(A430="","Add - which product?",IF(C430="","Add - which material?",IF(B430="Not found","Check - no such product ID",IF(D430="Add to Materials","Check - no such material ID",IF(OR(F430="",F430=0),"Add - how much?",IF(L430="","Check - that material has no price","OK")))))))</f>
        <v>0</v>
      </c>
    </row>
    <row r="431" spans="2:18">
      <c r="B431" s="13">
        <f>IF(A431="","",IFERROR(INDEX(Products!$B$5:$B$304,MATCH(A431,Products!$A$5:$A$304,0)),"Not found"))</f>
        <v>0</v>
      </c>
      <c r="D431" s="13">
        <f>IF(C431="","",IFERROR(INDEX(Materials!$B$5:$B$254,MATCH(C431,Materials!$A$5:$A$254,0)),"Add to Materials"))</f>
        <v>0</v>
      </c>
      <c r="E431" s="13">
        <f>IF(C431="","",IFERROR(INDEX(Materials!$H$5:$H$254,MATCH(C431,Materials!$A$5:$A$254,0)),"Add to Materials"))</f>
        <v>0</v>
      </c>
      <c r="J431" s="33">
        <f>IF(C431="","",IF(G431&lt;&gt;"",G431,IFERROR(INDEX(Materials!$W$5:$W$254,MATCH(C431,Materials!$A$5:$A$254,0)),DefaultWaste)))</f>
        <v>0</v>
      </c>
      <c r="K431" s="36">
        <f>IF(C431="","",IF(F431="","",ROUND(F431*(1+J431),4)))</f>
        <v>0</v>
      </c>
      <c r="L431" s="45">
        <f>IF(C431="","",IFERROR(INDEX(Materials!$S$5:$S$254,MATCH(C431,Materials!$A$5:$A$254,0)),""))</f>
        <v>0</v>
      </c>
      <c r="M431" s="45">
        <f>IF(C431="","",IF(OR(K431="",L431=""),"",ROUND(K431*L431,4)))</f>
        <v>0</v>
      </c>
      <c r="N431" s="20">
        <f>IF(A431="","",ROUND(SUMIFS('Material Usage'!$M$5:$M$904,'Material Usage'!$A$5:$A$904,A431),2))</f>
        <v>0</v>
      </c>
      <c r="O431" s="33">
        <f>IF(A431="","",IF(OR(M431="",N431="",N431=0),"",M431/N431))</f>
        <v>0</v>
      </c>
      <c r="P431" s="32">
        <f>IF(A431="","",COUNTIFS($A$5:A431,A431))</f>
        <v>0</v>
      </c>
      <c r="Q431" s="13">
        <f>IF(A431="","",A431&amp;"|"&amp;P431)</f>
        <v>0</v>
      </c>
      <c r="R431" s="43">
        <f>IF(AND(A431="",C431=""),"",IF(A431="","Add - which product?",IF(C431="","Add - which material?",IF(B431="Not found","Check - no such product ID",IF(D431="Add to Materials","Check - no such material ID",IF(OR(F431="",F431=0),"Add - how much?",IF(L431="","Check - that material has no price","OK")))))))</f>
        <v>0</v>
      </c>
    </row>
    <row r="432" spans="2:18">
      <c r="B432" s="13">
        <f>IF(A432="","",IFERROR(INDEX(Products!$B$5:$B$304,MATCH(A432,Products!$A$5:$A$304,0)),"Not found"))</f>
        <v>0</v>
      </c>
      <c r="D432" s="13">
        <f>IF(C432="","",IFERROR(INDEX(Materials!$B$5:$B$254,MATCH(C432,Materials!$A$5:$A$254,0)),"Add to Materials"))</f>
        <v>0</v>
      </c>
      <c r="E432" s="13">
        <f>IF(C432="","",IFERROR(INDEX(Materials!$H$5:$H$254,MATCH(C432,Materials!$A$5:$A$254,0)),"Add to Materials"))</f>
        <v>0</v>
      </c>
      <c r="J432" s="33">
        <f>IF(C432="","",IF(G432&lt;&gt;"",G432,IFERROR(INDEX(Materials!$W$5:$W$254,MATCH(C432,Materials!$A$5:$A$254,0)),DefaultWaste)))</f>
        <v>0</v>
      </c>
      <c r="K432" s="36">
        <f>IF(C432="","",IF(F432="","",ROUND(F432*(1+J432),4)))</f>
        <v>0</v>
      </c>
      <c r="L432" s="45">
        <f>IF(C432="","",IFERROR(INDEX(Materials!$S$5:$S$254,MATCH(C432,Materials!$A$5:$A$254,0)),""))</f>
        <v>0</v>
      </c>
      <c r="M432" s="45">
        <f>IF(C432="","",IF(OR(K432="",L432=""),"",ROUND(K432*L432,4)))</f>
        <v>0</v>
      </c>
      <c r="N432" s="20">
        <f>IF(A432="","",ROUND(SUMIFS('Material Usage'!$M$5:$M$904,'Material Usage'!$A$5:$A$904,A432),2))</f>
        <v>0</v>
      </c>
      <c r="O432" s="33">
        <f>IF(A432="","",IF(OR(M432="",N432="",N432=0),"",M432/N432))</f>
        <v>0</v>
      </c>
      <c r="P432" s="32">
        <f>IF(A432="","",COUNTIFS($A$5:A432,A432))</f>
        <v>0</v>
      </c>
      <c r="Q432" s="13">
        <f>IF(A432="","",A432&amp;"|"&amp;P432)</f>
        <v>0</v>
      </c>
      <c r="R432" s="43">
        <f>IF(AND(A432="",C432=""),"",IF(A432="","Add - which product?",IF(C432="","Add - which material?",IF(B432="Not found","Check - no such product ID",IF(D432="Add to Materials","Check - no such material ID",IF(OR(F432="",F432=0),"Add - how much?",IF(L432="","Check - that material has no price","OK")))))))</f>
        <v>0</v>
      </c>
    </row>
    <row r="433" spans="2:18">
      <c r="B433" s="13">
        <f>IF(A433="","",IFERROR(INDEX(Products!$B$5:$B$304,MATCH(A433,Products!$A$5:$A$304,0)),"Not found"))</f>
        <v>0</v>
      </c>
      <c r="D433" s="13">
        <f>IF(C433="","",IFERROR(INDEX(Materials!$B$5:$B$254,MATCH(C433,Materials!$A$5:$A$254,0)),"Add to Materials"))</f>
        <v>0</v>
      </c>
      <c r="E433" s="13">
        <f>IF(C433="","",IFERROR(INDEX(Materials!$H$5:$H$254,MATCH(C433,Materials!$A$5:$A$254,0)),"Add to Materials"))</f>
        <v>0</v>
      </c>
      <c r="J433" s="33">
        <f>IF(C433="","",IF(G433&lt;&gt;"",G433,IFERROR(INDEX(Materials!$W$5:$W$254,MATCH(C433,Materials!$A$5:$A$254,0)),DefaultWaste)))</f>
        <v>0</v>
      </c>
      <c r="K433" s="36">
        <f>IF(C433="","",IF(F433="","",ROUND(F433*(1+J433),4)))</f>
        <v>0</v>
      </c>
      <c r="L433" s="45">
        <f>IF(C433="","",IFERROR(INDEX(Materials!$S$5:$S$254,MATCH(C433,Materials!$A$5:$A$254,0)),""))</f>
        <v>0</v>
      </c>
      <c r="M433" s="45">
        <f>IF(C433="","",IF(OR(K433="",L433=""),"",ROUND(K433*L433,4)))</f>
        <v>0</v>
      </c>
      <c r="N433" s="20">
        <f>IF(A433="","",ROUND(SUMIFS('Material Usage'!$M$5:$M$904,'Material Usage'!$A$5:$A$904,A433),2))</f>
        <v>0</v>
      </c>
      <c r="O433" s="33">
        <f>IF(A433="","",IF(OR(M433="",N433="",N433=0),"",M433/N433))</f>
        <v>0</v>
      </c>
      <c r="P433" s="32">
        <f>IF(A433="","",COUNTIFS($A$5:A433,A433))</f>
        <v>0</v>
      </c>
      <c r="Q433" s="13">
        <f>IF(A433="","",A433&amp;"|"&amp;P433)</f>
        <v>0</v>
      </c>
      <c r="R433" s="43">
        <f>IF(AND(A433="",C433=""),"",IF(A433="","Add - which product?",IF(C433="","Add - which material?",IF(B433="Not found","Check - no such product ID",IF(D433="Add to Materials","Check - no such material ID",IF(OR(F433="",F433=0),"Add - how much?",IF(L433="","Check - that material has no price","OK")))))))</f>
        <v>0</v>
      </c>
    </row>
    <row r="434" spans="2:18">
      <c r="B434" s="13">
        <f>IF(A434="","",IFERROR(INDEX(Products!$B$5:$B$304,MATCH(A434,Products!$A$5:$A$304,0)),"Not found"))</f>
        <v>0</v>
      </c>
      <c r="D434" s="13">
        <f>IF(C434="","",IFERROR(INDEX(Materials!$B$5:$B$254,MATCH(C434,Materials!$A$5:$A$254,0)),"Add to Materials"))</f>
        <v>0</v>
      </c>
      <c r="E434" s="13">
        <f>IF(C434="","",IFERROR(INDEX(Materials!$H$5:$H$254,MATCH(C434,Materials!$A$5:$A$254,0)),"Add to Materials"))</f>
        <v>0</v>
      </c>
      <c r="J434" s="33">
        <f>IF(C434="","",IF(G434&lt;&gt;"",G434,IFERROR(INDEX(Materials!$W$5:$W$254,MATCH(C434,Materials!$A$5:$A$254,0)),DefaultWaste)))</f>
        <v>0</v>
      </c>
      <c r="K434" s="36">
        <f>IF(C434="","",IF(F434="","",ROUND(F434*(1+J434),4)))</f>
        <v>0</v>
      </c>
      <c r="L434" s="45">
        <f>IF(C434="","",IFERROR(INDEX(Materials!$S$5:$S$254,MATCH(C434,Materials!$A$5:$A$254,0)),""))</f>
        <v>0</v>
      </c>
      <c r="M434" s="45">
        <f>IF(C434="","",IF(OR(K434="",L434=""),"",ROUND(K434*L434,4)))</f>
        <v>0</v>
      </c>
      <c r="N434" s="20">
        <f>IF(A434="","",ROUND(SUMIFS('Material Usage'!$M$5:$M$904,'Material Usage'!$A$5:$A$904,A434),2))</f>
        <v>0</v>
      </c>
      <c r="O434" s="33">
        <f>IF(A434="","",IF(OR(M434="",N434="",N434=0),"",M434/N434))</f>
        <v>0</v>
      </c>
      <c r="P434" s="32">
        <f>IF(A434="","",COUNTIFS($A$5:A434,A434))</f>
        <v>0</v>
      </c>
      <c r="Q434" s="13">
        <f>IF(A434="","",A434&amp;"|"&amp;P434)</f>
        <v>0</v>
      </c>
      <c r="R434" s="43">
        <f>IF(AND(A434="",C434=""),"",IF(A434="","Add - which product?",IF(C434="","Add - which material?",IF(B434="Not found","Check - no such product ID",IF(D434="Add to Materials","Check - no such material ID",IF(OR(F434="",F434=0),"Add - how much?",IF(L434="","Check - that material has no price","OK")))))))</f>
        <v>0</v>
      </c>
    </row>
    <row r="435" spans="2:18">
      <c r="B435" s="13">
        <f>IF(A435="","",IFERROR(INDEX(Products!$B$5:$B$304,MATCH(A435,Products!$A$5:$A$304,0)),"Not found"))</f>
        <v>0</v>
      </c>
      <c r="D435" s="13">
        <f>IF(C435="","",IFERROR(INDEX(Materials!$B$5:$B$254,MATCH(C435,Materials!$A$5:$A$254,0)),"Add to Materials"))</f>
        <v>0</v>
      </c>
      <c r="E435" s="13">
        <f>IF(C435="","",IFERROR(INDEX(Materials!$H$5:$H$254,MATCH(C435,Materials!$A$5:$A$254,0)),"Add to Materials"))</f>
        <v>0</v>
      </c>
      <c r="J435" s="33">
        <f>IF(C435="","",IF(G435&lt;&gt;"",G435,IFERROR(INDEX(Materials!$W$5:$W$254,MATCH(C435,Materials!$A$5:$A$254,0)),DefaultWaste)))</f>
        <v>0</v>
      </c>
      <c r="K435" s="36">
        <f>IF(C435="","",IF(F435="","",ROUND(F435*(1+J435),4)))</f>
        <v>0</v>
      </c>
      <c r="L435" s="45">
        <f>IF(C435="","",IFERROR(INDEX(Materials!$S$5:$S$254,MATCH(C435,Materials!$A$5:$A$254,0)),""))</f>
        <v>0</v>
      </c>
      <c r="M435" s="45">
        <f>IF(C435="","",IF(OR(K435="",L435=""),"",ROUND(K435*L435,4)))</f>
        <v>0</v>
      </c>
      <c r="N435" s="20">
        <f>IF(A435="","",ROUND(SUMIFS('Material Usage'!$M$5:$M$904,'Material Usage'!$A$5:$A$904,A435),2))</f>
        <v>0</v>
      </c>
      <c r="O435" s="33">
        <f>IF(A435="","",IF(OR(M435="",N435="",N435=0),"",M435/N435))</f>
        <v>0</v>
      </c>
      <c r="P435" s="32">
        <f>IF(A435="","",COUNTIFS($A$5:A435,A435))</f>
        <v>0</v>
      </c>
      <c r="Q435" s="13">
        <f>IF(A435="","",A435&amp;"|"&amp;P435)</f>
        <v>0</v>
      </c>
      <c r="R435" s="43">
        <f>IF(AND(A435="",C435=""),"",IF(A435="","Add - which product?",IF(C435="","Add - which material?",IF(B435="Not found","Check - no such product ID",IF(D435="Add to Materials","Check - no such material ID",IF(OR(F435="",F435=0),"Add - how much?",IF(L435="","Check - that material has no price","OK")))))))</f>
        <v>0</v>
      </c>
    </row>
    <row r="436" spans="2:18">
      <c r="B436" s="13">
        <f>IF(A436="","",IFERROR(INDEX(Products!$B$5:$B$304,MATCH(A436,Products!$A$5:$A$304,0)),"Not found"))</f>
        <v>0</v>
      </c>
      <c r="D436" s="13">
        <f>IF(C436="","",IFERROR(INDEX(Materials!$B$5:$B$254,MATCH(C436,Materials!$A$5:$A$254,0)),"Add to Materials"))</f>
        <v>0</v>
      </c>
      <c r="E436" s="13">
        <f>IF(C436="","",IFERROR(INDEX(Materials!$H$5:$H$254,MATCH(C436,Materials!$A$5:$A$254,0)),"Add to Materials"))</f>
        <v>0</v>
      </c>
      <c r="J436" s="33">
        <f>IF(C436="","",IF(G436&lt;&gt;"",G436,IFERROR(INDEX(Materials!$W$5:$W$254,MATCH(C436,Materials!$A$5:$A$254,0)),DefaultWaste)))</f>
        <v>0</v>
      </c>
      <c r="K436" s="36">
        <f>IF(C436="","",IF(F436="","",ROUND(F436*(1+J436),4)))</f>
        <v>0</v>
      </c>
      <c r="L436" s="45">
        <f>IF(C436="","",IFERROR(INDEX(Materials!$S$5:$S$254,MATCH(C436,Materials!$A$5:$A$254,0)),""))</f>
        <v>0</v>
      </c>
      <c r="M436" s="45">
        <f>IF(C436="","",IF(OR(K436="",L436=""),"",ROUND(K436*L436,4)))</f>
        <v>0</v>
      </c>
      <c r="N436" s="20">
        <f>IF(A436="","",ROUND(SUMIFS('Material Usage'!$M$5:$M$904,'Material Usage'!$A$5:$A$904,A436),2))</f>
        <v>0</v>
      </c>
      <c r="O436" s="33">
        <f>IF(A436="","",IF(OR(M436="",N436="",N436=0),"",M436/N436))</f>
        <v>0</v>
      </c>
      <c r="P436" s="32">
        <f>IF(A436="","",COUNTIFS($A$5:A436,A436))</f>
        <v>0</v>
      </c>
      <c r="Q436" s="13">
        <f>IF(A436="","",A436&amp;"|"&amp;P436)</f>
        <v>0</v>
      </c>
      <c r="R436" s="43">
        <f>IF(AND(A436="",C436=""),"",IF(A436="","Add - which product?",IF(C436="","Add - which material?",IF(B436="Not found","Check - no such product ID",IF(D436="Add to Materials","Check - no such material ID",IF(OR(F436="",F436=0),"Add - how much?",IF(L436="","Check - that material has no price","OK")))))))</f>
        <v>0</v>
      </c>
    </row>
    <row r="437" spans="2:18">
      <c r="B437" s="13">
        <f>IF(A437="","",IFERROR(INDEX(Products!$B$5:$B$304,MATCH(A437,Products!$A$5:$A$304,0)),"Not found"))</f>
        <v>0</v>
      </c>
      <c r="D437" s="13">
        <f>IF(C437="","",IFERROR(INDEX(Materials!$B$5:$B$254,MATCH(C437,Materials!$A$5:$A$254,0)),"Add to Materials"))</f>
        <v>0</v>
      </c>
      <c r="E437" s="13">
        <f>IF(C437="","",IFERROR(INDEX(Materials!$H$5:$H$254,MATCH(C437,Materials!$A$5:$A$254,0)),"Add to Materials"))</f>
        <v>0</v>
      </c>
      <c r="J437" s="33">
        <f>IF(C437="","",IF(G437&lt;&gt;"",G437,IFERROR(INDEX(Materials!$W$5:$W$254,MATCH(C437,Materials!$A$5:$A$254,0)),DefaultWaste)))</f>
        <v>0</v>
      </c>
      <c r="K437" s="36">
        <f>IF(C437="","",IF(F437="","",ROUND(F437*(1+J437),4)))</f>
        <v>0</v>
      </c>
      <c r="L437" s="45">
        <f>IF(C437="","",IFERROR(INDEX(Materials!$S$5:$S$254,MATCH(C437,Materials!$A$5:$A$254,0)),""))</f>
        <v>0</v>
      </c>
      <c r="M437" s="45">
        <f>IF(C437="","",IF(OR(K437="",L437=""),"",ROUND(K437*L437,4)))</f>
        <v>0</v>
      </c>
      <c r="N437" s="20">
        <f>IF(A437="","",ROUND(SUMIFS('Material Usage'!$M$5:$M$904,'Material Usage'!$A$5:$A$904,A437),2))</f>
        <v>0</v>
      </c>
      <c r="O437" s="33">
        <f>IF(A437="","",IF(OR(M437="",N437="",N437=0),"",M437/N437))</f>
        <v>0</v>
      </c>
      <c r="P437" s="32">
        <f>IF(A437="","",COUNTIFS($A$5:A437,A437))</f>
        <v>0</v>
      </c>
      <c r="Q437" s="13">
        <f>IF(A437="","",A437&amp;"|"&amp;P437)</f>
        <v>0</v>
      </c>
      <c r="R437" s="43">
        <f>IF(AND(A437="",C437=""),"",IF(A437="","Add - which product?",IF(C437="","Add - which material?",IF(B437="Not found","Check - no such product ID",IF(D437="Add to Materials","Check - no such material ID",IF(OR(F437="",F437=0),"Add - how much?",IF(L437="","Check - that material has no price","OK")))))))</f>
        <v>0</v>
      </c>
    </row>
    <row r="438" spans="2:18">
      <c r="B438" s="13">
        <f>IF(A438="","",IFERROR(INDEX(Products!$B$5:$B$304,MATCH(A438,Products!$A$5:$A$304,0)),"Not found"))</f>
        <v>0</v>
      </c>
      <c r="D438" s="13">
        <f>IF(C438="","",IFERROR(INDEX(Materials!$B$5:$B$254,MATCH(C438,Materials!$A$5:$A$254,0)),"Add to Materials"))</f>
        <v>0</v>
      </c>
      <c r="E438" s="13">
        <f>IF(C438="","",IFERROR(INDEX(Materials!$H$5:$H$254,MATCH(C438,Materials!$A$5:$A$254,0)),"Add to Materials"))</f>
        <v>0</v>
      </c>
      <c r="J438" s="33">
        <f>IF(C438="","",IF(G438&lt;&gt;"",G438,IFERROR(INDEX(Materials!$W$5:$W$254,MATCH(C438,Materials!$A$5:$A$254,0)),DefaultWaste)))</f>
        <v>0</v>
      </c>
      <c r="K438" s="36">
        <f>IF(C438="","",IF(F438="","",ROUND(F438*(1+J438),4)))</f>
        <v>0</v>
      </c>
      <c r="L438" s="45">
        <f>IF(C438="","",IFERROR(INDEX(Materials!$S$5:$S$254,MATCH(C438,Materials!$A$5:$A$254,0)),""))</f>
        <v>0</v>
      </c>
      <c r="M438" s="45">
        <f>IF(C438="","",IF(OR(K438="",L438=""),"",ROUND(K438*L438,4)))</f>
        <v>0</v>
      </c>
      <c r="N438" s="20">
        <f>IF(A438="","",ROUND(SUMIFS('Material Usage'!$M$5:$M$904,'Material Usage'!$A$5:$A$904,A438),2))</f>
        <v>0</v>
      </c>
      <c r="O438" s="33">
        <f>IF(A438="","",IF(OR(M438="",N438="",N438=0),"",M438/N438))</f>
        <v>0</v>
      </c>
      <c r="P438" s="32">
        <f>IF(A438="","",COUNTIFS($A$5:A438,A438))</f>
        <v>0</v>
      </c>
      <c r="Q438" s="13">
        <f>IF(A438="","",A438&amp;"|"&amp;P438)</f>
        <v>0</v>
      </c>
      <c r="R438" s="43">
        <f>IF(AND(A438="",C438=""),"",IF(A438="","Add - which product?",IF(C438="","Add - which material?",IF(B438="Not found","Check - no such product ID",IF(D438="Add to Materials","Check - no such material ID",IF(OR(F438="",F438=0),"Add - how much?",IF(L438="","Check - that material has no price","OK")))))))</f>
        <v>0</v>
      </c>
    </row>
    <row r="439" spans="2:18">
      <c r="B439" s="13">
        <f>IF(A439="","",IFERROR(INDEX(Products!$B$5:$B$304,MATCH(A439,Products!$A$5:$A$304,0)),"Not found"))</f>
        <v>0</v>
      </c>
      <c r="D439" s="13">
        <f>IF(C439="","",IFERROR(INDEX(Materials!$B$5:$B$254,MATCH(C439,Materials!$A$5:$A$254,0)),"Add to Materials"))</f>
        <v>0</v>
      </c>
      <c r="E439" s="13">
        <f>IF(C439="","",IFERROR(INDEX(Materials!$H$5:$H$254,MATCH(C439,Materials!$A$5:$A$254,0)),"Add to Materials"))</f>
        <v>0</v>
      </c>
      <c r="J439" s="33">
        <f>IF(C439="","",IF(G439&lt;&gt;"",G439,IFERROR(INDEX(Materials!$W$5:$W$254,MATCH(C439,Materials!$A$5:$A$254,0)),DefaultWaste)))</f>
        <v>0</v>
      </c>
      <c r="K439" s="36">
        <f>IF(C439="","",IF(F439="","",ROUND(F439*(1+J439),4)))</f>
        <v>0</v>
      </c>
      <c r="L439" s="45">
        <f>IF(C439="","",IFERROR(INDEX(Materials!$S$5:$S$254,MATCH(C439,Materials!$A$5:$A$254,0)),""))</f>
        <v>0</v>
      </c>
      <c r="M439" s="45">
        <f>IF(C439="","",IF(OR(K439="",L439=""),"",ROUND(K439*L439,4)))</f>
        <v>0</v>
      </c>
      <c r="N439" s="20">
        <f>IF(A439="","",ROUND(SUMIFS('Material Usage'!$M$5:$M$904,'Material Usage'!$A$5:$A$904,A439),2))</f>
        <v>0</v>
      </c>
      <c r="O439" s="33">
        <f>IF(A439="","",IF(OR(M439="",N439="",N439=0),"",M439/N439))</f>
        <v>0</v>
      </c>
      <c r="P439" s="32">
        <f>IF(A439="","",COUNTIFS($A$5:A439,A439))</f>
        <v>0</v>
      </c>
      <c r="Q439" s="13">
        <f>IF(A439="","",A439&amp;"|"&amp;P439)</f>
        <v>0</v>
      </c>
      <c r="R439" s="43">
        <f>IF(AND(A439="",C439=""),"",IF(A439="","Add - which product?",IF(C439="","Add - which material?",IF(B439="Not found","Check - no such product ID",IF(D439="Add to Materials","Check - no such material ID",IF(OR(F439="",F439=0),"Add - how much?",IF(L439="","Check - that material has no price","OK")))))))</f>
        <v>0</v>
      </c>
    </row>
    <row r="440" spans="2:18">
      <c r="B440" s="13">
        <f>IF(A440="","",IFERROR(INDEX(Products!$B$5:$B$304,MATCH(A440,Products!$A$5:$A$304,0)),"Not found"))</f>
        <v>0</v>
      </c>
      <c r="D440" s="13">
        <f>IF(C440="","",IFERROR(INDEX(Materials!$B$5:$B$254,MATCH(C440,Materials!$A$5:$A$254,0)),"Add to Materials"))</f>
        <v>0</v>
      </c>
      <c r="E440" s="13">
        <f>IF(C440="","",IFERROR(INDEX(Materials!$H$5:$H$254,MATCH(C440,Materials!$A$5:$A$254,0)),"Add to Materials"))</f>
        <v>0</v>
      </c>
      <c r="J440" s="33">
        <f>IF(C440="","",IF(G440&lt;&gt;"",G440,IFERROR(INDEX(Materials!$W$5:$W$254,MATCH(C440,Materials!$A$5:$A$254,0)),DefaultWaste)))</f>
        <v>0</v>
      </c>
      <c r="K440" s="36">
        <f>IF(C440="","",IF(F440="","",ROUND(F440*(1+J440),4)))</f>
        <v>0</v>
      </c>
      <c r="L440" s="45">
        <f>IF(C440="","",IFERROR(INDEX(Materials!$S$5:$S$254,MATCH(C440,Materials!$A$5:$A$254,0)),""))</f>
        <v>0</v>
      </c>
      <c r="M440" s="45">
        <f>IF(C440="","",IF(OR(K440="",L440=""),"",ROUND(K440*L440,4)))</f>
        <v>0</v>
      </c>
      <c r="N440" s="20">
        <f>IF(A440="","",ROUND(SUMIFS('Material Usage'!$M$5:$M$904,'Material Usage'!$A$5:$A$904,A440),2))</f>
        <v>0</v>
      </c>
      <c r="O440" s="33">
        <f>IF(A440="","",IF(OR(M440="",N440="",N440=0),"",M440/N440))</f>
        <v>0</v>
      </c>
      <c r="P440" s="32">
        <f>IF(A440="","",COUNTIFS($A$5:A440,A440))</f>
        <v>0</v>
      </c>
      <c r="Q440" s="13">
        <f>IF(A440="","",A440&amp;"|"&amp;P440)</f>
        <v>0</v>
      </c>
      <c r="R440" s="43">
        <f>IF(AND(A440="",C440=""),"",IF(A440="","Add - which product?",IF(C440="","Add - which material?",IF(B440="Not found","Check - no such product ID",IF(D440="Add to Materials","Check - no such material ID",IF(OR(F440="",F440=0),"Add - how much?",IF(L440="","Check - that material has no price","OK")))))))</f>
        <v>0</v>
      </c>
    </row>
    <row r="441" spans="2:18">
      <c r="B441" s="13">
        <f>IF(A441="","",IFERROR(INDEX(Products!$B$5:$B$304,MATCH(A441,Products!$A$5:$A$304,0)),"Not found"))</f>
        <v>0</v>
      </c>
      <c r="D441" s="13">
        <f>IF(C441="","",IFERROR(INDEX(Materials!$B$5:$B$254,MATCH(C441,Materials!$A$5:$A$254,0)),"Add to Materials"))</f>
        <v>0</v>
      </c>
      <c r="E441" s="13">
        <f>IF(C441="","",IFERROR(INDEX(Materials!$H$5:$H$254,MATCH(C441,Materials!$A$5:$A$254,0)),"Add to Materials"))</f>
        <v>0</v>
      </c>
      <c r="J441" s="33">
        <f>IF(C441="","",IF(G441&lt;&gt;"",G441,IFERROR(INDEX(Materials!$W$5:$W$254,MATCH(C441,Materials!$A$5:$A$254,0)),DefaultWaste)))</f>
        <v>0</v>
      </c>
      <c r="K441" s="36">
        <f>IF(C441="","",IF(F441="","",ROUND(F441*(1+J441),4)))</f>
        <v>0</v>
      </c>
      <c r="L441" s="45">
        <f>IF(C441="","",IFERROR(INDEX(Materials!$S$5:$S$254,MATCH(C441,Materials!$A$5:$A$254,0)),""))</f>
        <v>0</v>
      </c>
      <c r="M441" s="45">
        <f>IF(C441="","",IF(OR(K441="",L441=""),"",ROUND(K441*L441,4)))</f>
        <v>0</v>
      </c>
      <c r="N441" s="20">
        <f>IF(A441="","",ROUND(SUMIFS('Material Usage'!$M$5:$M$904,'Material Usage'!$A$5:$A$904,A441),2))</f>
        <v>0</v>
      </c>
      <c r="O441" s="33">
        <f>IF(A441="","",IF(OR(M441="",N441="",N441=0),"",M441/N441))</f>
        <v>0</v>
      </c>
      <c r="P441" s="32">
        <f>IF(A441="","",COUNTIFS($A$5:A441,A441))</f>
        <v>0</v>
      </c>
      <c r="Q441" s="13">
        <f>IF(A441="","",A441&amp;"|"&amp;P441)</f>
        <v>0</v>
      </c>
      <c r="R441" s="43">
        <f>IF(AND(A441="",C441=""),"",IF(A441="","Add - which product?",IF(C441="","Add - which material?",IF(B441="Not found","Check - no such product ID",IF(D441="Add to Materials","Check - no such material ID",IF(OR(F441="",F441=0),"Add - how much?",IF(L441="","Check - that material has no price","OK")))))))</f>
        <v>0</v>
      </c>
    </row>
    <row r="442" spans="2:18">
      <c r="B442" s="13">
        <f>IF(A442="","",IFERROR(INDEX(Products!$B$5:$B$304,MATCH(A442,Products!$A$5:$A$304,0)),"Not found"))</f>
        <v>0</v>
      </c>
      <c r="D442" s="13">
        <f>IF(C442="","",IFERROR(INDEX(Materials!$B$5:$B$254,MATCH(C442,Materials!$A$5:$A$254,0)),"Add to Materials"))</f>
        <v>0</v>
      </c>
      <c r="E442" s="13">
        <f>IF(C442="","",IFERROR(INDEX(Materials!$H$5:$H$254,MATCH(C442,Materials!$A$5:$A$254,0)),"Add to Materials"))</f>
        <v>0</v>
      </c>
      <c r="J442" s="33">
        <f>IF(C442="","",IF(G442&lt;&gt;"",G442,IFERROR(INDEX(Materials!$W$5:$W$254,MATCH(C442,Materials!$A$5:$A$254,0)),DefaultWaste)))</f>
        <v>0</v>
      </c>
      <c r="K442" s="36">
        <f>IF(C442="","",IF(F442="","",ROUND(F442*(1+J442),4)))</f>
        <v>0</v>
      </c>
      <c r="L442" s="45">
        <f>IF(C442="","",IFERROR(INDEX(Materials!$S$5:$S$254,MATCH(C442,Materials!$A$5:$A$254,0)),""))</f>
        <v>0</v>
      </c>
      <c r="M442" s="45">
        <f>IF(C442="","",IF(OR(K442="",L442=""),"",ROUND(K442*L442,4)))</f>
        <v>0</v>
      </c>
      <c r="N442" s="20">
        <f>IF(A442="","",ROUND(SUMIFS('Material Usage'!$M$5:$M$904,'Material Usage'!$A$5:$A$904,A442),2))</f>
        <v>0</v>
      </c>
      <c r="O442" s="33">
        <f>IF(A442="","",IF(OR(M442="",N442="",N442=0),"",M442/N442))</f>
        <v>0</v>
      </c>
      <c r="P442" s="32">
        <f>IF(A442="","",COUNTIFS($A$5:A442,A442))</f>
        <v>0</v>
      </c>
      <c r="Q442" s="13">
        <f>IF(A442="","",A442&amp;"|"&amp;P442)</f>
        <v>0</v>
      </c>
      <c r="R442" s="43">
        <f>IF(AND(A442="",C442=""),"",IF(A442="","Add - which product?",IF(C442="","Add - which material?",IF(B442="Not found","Check - no such product ID",IF(D442="Add to Materials","Check - no such material ID",IF(OR(F442="",F442=0),"Add - how much?",IF(L442="","Check - that material has no price","OK")))))))</f>
        <v>0</v>
      </c>
    </row>
    <row r="443" spans="2:18">
      <c r="B443" s="13">
        <f>IF(A443="","",IFERROR(INDEX(Products!$B$5:$B$304,MATCH(A443,Products!$A$5:$A$304,0)),"Not found"))</f>
        <v>0</v>
      </c>
      <c r="D443" s="13">
        <f>IF(C443="","",IFERROR(INDEX(Materials!$B$5:$B$254,MATCH(C443,Materials!$A$5:$A$254,0)),"Add to Materials"))</f>
        <v>0</v>
      </c>
      <c r="E443" s="13">
        <f>IF(C443="","",IFERROR(INDEX(Materials!$H$5:$H$254,MATCH(C443,Materials!$A$5:$A$254,0)),"Add to Materials"))</f>
        <v>0</v>
      </c>
      <c r="J443" s="33">
        <f>IF(C443="","",IF(G443&lt;&gt;"",G443,IFERROR(INDEX(Materials!$W$5:$W$254,MATCH(C443,Materials!$A$5:$A$254,0)),DefaultWaste)))</f>
        <v>0</v>
      </c>
      <c r="K443" s="36">
        <f>IF(C443="","",IF(F443="","",ROUND(F443*(1+J443),4)))</f>
        <v>0</v>
      </c>
      <c r="L443" s="45">
        <f>IF(C443="","",IFERROR(INDEX(Materials!$S$5:$S$254,MATCH(C443,Materials!$A$5:$A$254,0)),""))</f>
        <v>0</v>
      </c>
      <c r="M443" s="45">
        <f>IF(C443="","",IF(OR(K443="",L443=""),"",ROUND(K443*L443,4)))</f>
        <v>0</v>
      </c>
      <c r="N443" s="20">
        <f>IF(A443="","",ROUND(SUMIFS('Material Usage'!$M$5:$M$904,'Material Usage'!$A$5:$A$904,A443),2))</f>
        <v>0</v>
      </c>
      <c r="O443" s="33">
        <f>IF(A443="","",IF(OR(M443="",N443="",N443=0),"",M443/N443))</f>
        <v>0</v>
      </c>
      <c r="P443" s="32">
        <f>IF(A443="","",COUNTIFS($A$5:A443,A443))</f>
        <v>0</v>
      </c>
      <c r="Q443" s="13">
        <f>IF(A443="","",A443&amp;"|"&amp;P443)</f>
        <v>0</v>
      </c>
      <c r="R443" s="43">
        <f>IF(AND(A443="",C443=""),"",IF(A443="","Add - which product?",IF(C443="","Add - which material?",IF(B443="Not found","Check - no such product ID",IF(D443="Add to Materials","Check - no such material ID",IF(OR(F443="",F443=0),"Add - how much?",IF(L443="","Check - that material has no price","OK")))))))</f>
        <v>0</v>
      </c>
    </row>
    <row r="444" spans="2:18">
      <c r="B444" s="13">
        <f>IF(A444="","",IFERROR(INDEX(Products!$B$5:$B$304,MATCH(A444,Products!$A$5:$A$304,0)),"Not found"))</f>
        <v>0</v>
      </c>
      <c r="D444" s="13">
        <f>IF(C444="","",IFERROR(INDEX(Materials!$B$5:$B$254,MATCH(C444,Materials!$A$5:$A$254,0)),"Add to Materials"))</f>
        <v>0</v>
      </c>
      <c r="E444" s="13">
        <f>IF(C444="","",IFERROR(INDEX(Materials!$H$5:$H$254,MATCH(C444,Materials!$A$5:$A$254,0)),"Add to Materials"))</f>
        <v>0</v>
      </c>
      <c r="J444" s="33">
        <f>IF(C444="","",IF(G444&lt;&gt;"",G444,IFERROR(INDEX(Materials!$W$5:$W$254,MATCH(C444,Materials!$A$5:$A$254,0)),DefaultWaste)))</f>
        <v>0</v>
      </c>
      <c r="K444" s="36">
        <f>IF(C444="","",IF(F444="","",ROUND(F444*(1+J444),4)))</f>
        <v>0</v>
      </c>
      <c r="L444" s="45">
        <f>IF(C444="","",IFERROR(INDEX(Materials!$S$5:$S$254,MATCH(C444,Materials!$A$5:$A$254,0)),""))</f>
        <v>0</v>
      </c>
      <c r="M444" s="45">
        <f>IF(C444="","",IF(OR(K444="",L444=""),"",ROUND(K444*L444,4)))</f>
        <v>0</v>
      </c>
      <c r="N444" s="20">
        <f>IF(A444="","",ROUND(SUMIFS('Material Usage'!$M$5:$M$904,'Material Usage'!$A$5:$A$904,A444),2))</f>
        <v>0</v>
      </c>
      <c r="O444" s="33">
        <f>IF(A444="","",IF(OR(M444="",N444="",N444=0),"",M444/N444))</f>
        <v>0</v>
      </c>
      <c r="P444" s="32">
        <f>IF(A444="","",COUNTIFS($A$5:A444,A444))</f>
        <v>0</v>
      </c>
      <c r="Q444" s="13">
        <f>IF(A444="","",A444&amp;"|"&amp;P444)</f>
        <v>0</v>
      </c>
      <c r="R444" s="43">
        <f>IF(AND(A444="",C444=""),"",IF(A444="","Add - which product?",IF(C444="","Add - which material?",IF(B444="Not found","Check - no such product ID",IF(D444="Add to Materials","Check - no such material ID",IF(OR(F444="",F444=0),"Add - how much?",IF(L444="","Check - that material has no price","OK")))))))</f>
        <v>0</v>
      </c>
    </row>
    <row r="445" spans="2:18">
      <c r="B445" s="13">
        <f>IF(A445="","",IFERROR(INDEX(Products!$B$5:$B$304,MATCH(A445,Products!$A$5:$A$304,0)),"Not found"))</f>
        <v>0</v>
      </c>
      <c r="D445" s="13">
        <f>IF(C445="","",IFERROR(INDEX(Materials!$B$5:$B$254,MATCH(C445,Materials!$A$5:$A$254,0)),"Add to Materials"))</f>
        <v>0</v>
      </c>
      <c r="E445" s="13">
        <f>IF(C445="","",IFERROR(INDEX(Materials!$H$5:$H$254,MATCH(C445,Materials!$A$5:$A$254,0)),"Add to Materials"))</f>
        <v>0</v>
      </c>
      <c r="J445" s="33">
        <f>IF(C445="","",IF(G445&lt;&gt;"",G445,IFERROR(INDEX(Materials!$W$5:$W$254,MATCH(C445,Materials!$A$5:$A$254,0)),DefaultWaste)))</f>
        <v>0</v>
      </c>
      <c r="K445" s="36">
        <f>IF(C445="","",IF(F445="","",ROUND(F445*(1+J445),4)))</f>
        <v>0</v>
      </c>
      <c r="L445" s="45">
        <f>IF(C445="","",IFERROR(INDEX(Materials!$S$5:$S$254,MATCH(C445,Materials!$A$5:$A$254,0)),""))</f>
        <v>0</v>
      </c>
      <c r="M445" s="45">
        <f>IF(C445="","",IF(OR(K445="",L445=""),"",ROUND(K445*L445,4)))</f>
        <v>0</v>
      </c>
      <c r="N445" s="20">
        <f>IF(A445="","",ROUND(SUMIFS('Material Usage'!$M$5:$M$904,'Material Usage'!$A$5:$A$904,A445),2))</f>
        <v>0</v>
      </c>
      <c r="O445" s="33">
        <f>IF(A445="","",IF(OR(M445="",N445="",N445=0),"",M445/N445))</f>
        <v>0</v>
      </c>
      <c r="P445" s="32">
        <f>IF(A445="","",COUNTIFS($A$5:A445,A445))</f>
        <v>0</v>
      </c>
      <c r="Q445" s="13">
        <f>IF(A445="","",A445&amp;"|"&amp;P445)</f>
        <v>0</v>
      </c>
      <c r="R445" s="43">
        <f>IF(AND(A445="",C445=""),"",IF(A445="","Add - which product?",IF(C445="","Add - which material?",IF(B445="Not found","Check - no such product ID",IF(D445="Add to Materials","Check - no such material ID",IF(OR(F445="",F445=0),"Add - how much?",IF(L445="","Check - that material has no price","OK")))))))</f>
        <v>0</v>
      </c>
    </row>
    <row r="446" spans="2:18">
      <c r="B446" s="13">
        <f>IF(A446="","",IFERROR(INDEX(Products!$B$5:$B$304,MATCH(A446,Products!$A$5:$A$304,0)),"Not found"))</f>
        <v>0</v>
      </c>
      <c r="D446" s="13">
        <f>IF(C446="","",IFERROR(INDEX(Materials!$B$5:$B$254,MATCH(C446,Materials!$A$5:$A$254,0)),"Add to Materials"))</f>
        <v>0</v>
      </c>
      <c r="E446" s="13">
        <f>IF(C446="","",IFERROR(INDEX(Materials!$H$5:$H$254,MATCH(C446,Materials!$A$5:$A$254,0)),"Add to Materials"))</f>
        <v>0</v>
      </c>
      <c r="J446" s="33">
        <f>IF(C446="","",IF(G446&lt;&gt;"",G446,IFERROR(INDEX(Materials!$W$5:$W$254,MATCH(C446,Materials!$A$5:$A$254,0)),DefaultWaste)))</f>
        <v>0</v>
      </c>
      <c r="K446" s="36">
        <f>IF(C446="","",IF(F446="","",ROUND(F446*(1+J446),4)))</f>
        <v>0</v>
      </c>
      <c r="L446" s="45">
        <f>IF(C446="","",IFERROR(INDEX(Materials!$S$5:$S$254,MATCH(C446,Materials!$A$5:$A$254,0)),""))</f>
        <v>0</v>
      </c>
      <c r="M446" s="45">
        <f>IF(C446="","",IF(OR(K446="",L446=""),"",ROUND(K446*L446,4)))</f>
        <v>0</v>
      </c>
      <c r="N446" s="20">
        <f>IF(A446="","",ROUND(SUMIFS('Material Usage'!$M$5:$M$904,'Material Usage'!$A$5:$A$904,A446),2))</f>
        <v>0</v>
      </c>
      <c r="O446" s="33">
        <f>IF(A446="","",IF(OR(M446="",N446="",N446=0),"",M446/N446))</f>
        <v>0</v>
      </c>
      <c r="P446" s="32">
        <f>IF(A446="","",COUNTIFS($A$5:A446,A446))</f>
        <v>0</v>
      </c>
      <c r="Q446" s="13">
        <f>IF(A446="","",A446&amp;"|"&amp;P446)</f>
        <v>0</v>
      </c>
      <c r="R446" s="43">
        <f>IF(AND(A446="",C446=""),"",IF(A446="","Add - which product?",IF(C446="","Add - which material?",IF(B446="Not found","Check - no such product ID",IF(D446="Add to Materials","Check - no such material ID",IF(OR(F446="",F446=0),"Add - how much?",IF(L446="","Check - that material has no price","OK")))))))</f>
        <v>0</v>
      </c>
    </row>
    <row r="447" spans="2:18">
      <c r="B447" s="13">
        <f>IF(A447="","",IFERROR(INDEX(Products!$B$5:$B$304,MATCH(A447,Products!$A$5:$A$304,0)),"Not found"))</f>
        <v>0</v>
      </c>
      <c r="D447" s="13">
        <f>IF(C447="","",IFERROR(INDEX(Materials!$B$5:$B$254,MATCH(C447,Materials!$A$5:$A$254,0)),"Add to Materials"))</f>
        <v>0</v>
      </c>
      <c r="E447" s="13">
        <f>IF(C447="","",IFERROR(INDEX(Materials!$H$5:$H$254,MATCH(C447,Materials!$A$5:$A$254,0)),"Add to Materials"))</f>
        <v>0</v>
      </c>
      <c r="J447" s="33">
        <f>IF(C447="","",IF(G447&lt;&gt;"",G447,IFERROR(INDEX(Materials!$W$5:$W$254,MATCH(C447,Materials!$A$5:$A$254,0)),DefaultWaste)))</f>
        <v>0</v>
      </c>
      <c r="K447" s="36">
        <f>IF(C447="","",IF(F447="","",ROUND(F447*(1+J447),4)))</f>
        <v>0</v>
      </c>
      <c r="L447" s="45">
        <f>IF(C447="","",IFERROR(INDEX(Materials!$S$5:$S$254,MATCH(C447,Materials!$A$5:$A$254,0)),""))</f>
        <v>0</v>
      </c>
      <c r="M447" s="45">
        <f>IF(C447="","",IF(OR(K447="",L447=""),"",ROUND(K447*L447,4)))</f>
        <v>0</v>
      </c>
      <c r="N447" s="20">
        <f>IF(A447="","",ROUND(SUMIFS('Material Usage'!$M$5:$M$904,'Material Usage'!$A$5:$A$904,A447),2))</f>
        <v>0</v>
      </c>
      <c r="O447" s="33">
        <f>IF(A447="","",IF(OR(M447="",N447="",N447=0),"",M447/N447))</f>
        <v>0</v>
      </c>
      <c r="P447" s="32">
        <f>IF(A447="","",COUNTIFS($A$5:A447,A447))</f>
        <v>0</v>
      </c>
      <c r="Q447" s="13">
        <f>IF(A447="","",A447&amp;"|"&amp;P447)</f>
        <v>0</v>
      </c>
      <c r="R447" s="43">
        <f>IF(AND(A447="",C447=""),"",IF(A447="","Add - which product?",IF(C447="","Add - which material?",IF(B447="Not found","Check - no such product ID",IF(D447="Add to Materials","Check - no such material ID",IF(OR(F447="",F447=0),"Add - how much?",IF(L447="","Check - that material has no price","OK")))))))</f>
        <v>0</v>
      </c>
    </row>
    <row r="448" spans="2:18">
      <c r="B448" s="13">
        <f>IF(A448="","",IFERROR(INDEX(Products!$B$5:$B$304,MATCH(A448,Products!$A$5:$A$304,0)),"Not found"))</f>
        <v>0</v>
      </c>
      <c r="D448" s="13">
        <f>IF(C448="","",IFERROR(INDEX(Materials!$B$5:$B$254,MATCH(C448,Materials!$A$5:$A$254,0)),"Add to Materials"))</f>
        <v>0</v>
      </c>
      <c r="E448" s="13">
        <f>IF(C448="","",IFERROR(INDEX(Materials!$H$5:$H$254,MATCH(C448,Materials!$A$5:$A$254,0)),"Add to Materials"))</f>
        <v>0</v>
      </c>
      <c r="J448" s="33">
        <f>IF(C448="","",IF(G448&lt;&gt;"",G448,IFERROR(INDEX(Materials!$W$5:$W$254,MATCH(C448,Materials!$A$5:$A$254,0)),DefaultWaste)))</f>
        <v>0</v>
      </c>
      <c r="K448" s="36">
        <f>IF(C448="","",IF(F448="","",ROUND(F448*(1+J448),4)))</f>
        <v>0</v>
      </c>
      <c r="L448" s="45">
        <f>IF(C448="","",IFERROR(INDEX(Materials!$S$5:$S$254,MATCH(C448,Materials!$A$5:$A$254,0)),""))</f>
        <v>0</v>
      </c>
      <c r="M448" s="45">
        <f>IF(C448="","",IF(OR(K448="",L448=""),"",ROUND(K448*L448,4)))</f>
        <v>0</v>
      </c>
      <c r="N448" s="20">
        <f>IF(A448="","",ROUND(SUMIFS('Material Usage'!$M$5:$M$904,'Material Usage'!$A$5:$A$904,A448),2))</f>
        <v>0</v>
      </c>
      <c r="O448" s="33">
        <f>IF(A448="","",IF(OR(M448="",N448="",N448=0),"",M448/N448))</f>
        <v>0</v>
      </c>
      <c r="P448" s="32">
        <f>IF(A448="","",COUNTIFS($A$5:A448,A448))</f>
        <v>0</v>
      </c>
      <c r="Q448" s="13">
        <f>IF(A448="","",A448&amp;"|"&amp;P448)</f>
        <v>0</v>
      </c>
      <c r="R448" s="43">
        <f>IF(AND(A448="",C448=""),"",IF(A448="","Add - which product?",IF(C448="","Add - which material?",IF(B448="Not found","Check - no such product ID",IF(D448="Add to Materials","Check - no such material ID",IF(OR(F448="",F448=0),"Add - how much?",IF(L448="","Check - that material has no price","OK")))))))</f>
        <v>0</v>
      </c>
    </row>
    <row r="449" spans="2:18">
      <c r="B449" s="13">
        <f>IF(A449="","",IFERROR(INDEX(Products!$B$5:$B$304,MATCH(A449,Products!$A$5:$A$304,0)),"Not found"))</f>
        <v>0</v>
      </c>
      <c r="D449" s="13">
        <f>IF(C449="","",IFERROR(INDEX(Materials!$B$5:$B$254,MATCH(C449,Materials!$A$5:$A$254,0)),"Add to Materials"))</f>
        <v>0</v>
      </c>
      <c r="E449" s="13">
        <f>IF(C449="","",IFERROR(INDEX(Materials!$H$5:$H$254,MATCH(C449,Materials!$A$5:$A$254,0)),"Add to Materials"))</f>
        <v>0</v>
      </c>
      <c r="J449" s="33">
        <f>IF(C449="","",IF(G449&lt;&gt;"",G449,IFERROR(INDEX(Materials!$W$5:$W$254,MATCH(C449,Materials!$A$5:$A$254,0)),DefaultWaste)))</f>
        <v>0</v>
      </c>
      <c r="K449" s="36">
        <f>IF(C449="","",IF(F449="","",ROUND(F449*(1+J449),4)))</f>
        <v>0</v>
      </c>
      <c r="L449" s="45">
        <f>IF(C449="","",IFERROR(INDEX(Materials!$S$5:$S$254,MATCH(C449,Materials!$A$5:$A$254,0)),""))</f>
        <v>0</v>
      </c>
      <c r="M449" s="45">
        <f>IF(C449="","",IF(OR(K449="",L449=""),"",ROUND(K449*L449,4)))</f>
        <v>0</v>
      </c>
      <c r="N449" s="20">
        <f>IF(A449="","",ROUND(SUMIFS('Material Usage'!$M$5:$M$904,'Material Usage'!$A$5:$A$904,A449),2))</f>
        <v>0</v>
      </c>
      <c r="O449" s="33">
        <f>IF(A449="","",IF(OR(M449="",N449="",N449=0),"",M449/N449))</f>
        <v>0</v>
      </c>
      <c r="P449" s="32">
        <f>IF(A449="","",COUNTIFS($A$5:A449,A449))</f>
        <v>0</v>
      </c>
      <c r="Q449" s="13">
        <f>IF(A449="","",A449&amp;"|"&amp;P449)</f>
        <v>0</v>
      </c>
      <c r="R449" s="43">
        <f>IF(AND(A449="",C449=""),"",IF(A449="","Add - which product?",IF(C449="","Add - which material?",IF(B449="Not found","Check - no such product ID",IF(D449="Add to Materials","Check - no such material ID",IF(OR(F449="",F449=0),"Add - how much?",IF(L449="","Check - that material has no price","OK")))))))</f>
        <v>0</v>
      </c>
    </row>
    <row r="450" spans="2:18">
      <c r="B450" s="13">
        <f>IF(A450="","",IFERROR(INDEX(Products!$B$5:$B$304,MATCH(A450,Products!$A$5:$A$304,0)),"Not found"))</f>
        <v>0</v>
      </c>
      <c r="D450" s="13">
        <f>IF(C450="","",IFERROR(INDEX(Materials!$B$5:$B$254,MATCH(C450,Materials!$A$5:$A$254,0)),"Add to Materials"))</f>
        <v>0</v>
      </c>
      <c r="E450" s="13">
        <f>IF(C450="","",IFERROR(INDEX(Materials!$H$5:$H$254,MATCH(C450,Materials!$A$5:$A$254,0)),"Add to Materials"))</f>
        <v>0</v>
      </c>
      <c r="J450" s="33">
        <f>IF(C450="","",IF(G450&lt;&gt;"",G450,IFERROR(INDEX(Materials!$W$5:$W$254,MATCH(C450,Materials!$A$5:$A$254,0)),DefaultWaste)))</f>
        <v>0</v>
      </c>
      <c r="K450" s="36">
        <f>IF(C450="","",IF(F450="","",ROUND(F450*(1+J450),4)))</f>
        <v>0</v>
      </c>
      <c r="L450" s="45">
        <f>IF(C450="","",IFERROR(INDEX(Materials!$S$5:$S$254,MATCH(C450,Materials!$A$5:$A$254,0)),""))</f>
        <v>0</v>
      </c>
      <c r="M450" s="45">
        <f>IF(C450="","",IF(OR(K450="",L450=""),"",ROUND(K450*L450,4)))</f>
        <v>0</v>
      </c>
      <c r="N450" s="20">
        <f>IF(A450="","",ROUND(SUMIFS('Material Usage'!$M$5:$M$904,'Material Usage'!$A$5:$A$904,A450),2))</f>
        <v>0</v>
      </c>
      <c r="O450" s="33">
        <f>IF(A450="","",IF(OR(M450="",N450="",N450=0),"",M450/N450))</f>
        <v>0</v>
      </c>
      <c r="P450" s="32">
        <f>IF(A450="","",COUNTIFS($A$5:A450,A450))</f>
        <v>0</v>
      </c>
      <c r="Q450" s="13">
        <f>IF(A450="","",A450&amp;"|"&amp;P450)</f>
        <v>0</v>
      </c>
      <c r="R450" s="43">
        <f>IF(AND(A450="",C450=""),"",IF(A450="","Add - which product?",IF(C450="","Add - which material?",IF(B450="Not found","Check - no such product ID",IF(D450="Add to Materials","Check - no such material ID",IF(OR(F450="",F450=0),"Add - how much?",IF(L450="","Check - that material has no price","OK")))))))</f>
        <v>0</v>
      </c>
    </row>
    <row r="451" spans="2:18">
      <c r="B451" s="13">
        <f>IF(A451="","",IFERROR(INDEX(Products!$B$5:$B$304,MATCH(A451,Products!$A$5:$A$304,0)),"Not found"))</f>
        <v>0</v>
      </c>
      <c r="D451" s="13">
        <f>IF(C451="","",IFERROR(INDEX(Materials!$B$5:$B$254,MATCH(C451,Materials!$A$5:$A$254,0)),"Add to Materials"))</f>
        <v>0</v>
      </c>
      <c r="E451" s="13">
        <f>IF(C451="","",IFERROR(INDEX(Materials!$H$5:$H$254,MATCH(C451,Materials!$A$5:$A$254,0)),"Add to Materials"))</f>
        <v>0</v>
      </c>
      <c r="J451" s="33">
        <f>IF(C451="","",IF(G451&lt;&gt;"",G451,IFERROR(INDEX(Materials!$W$5:$W$254,MATCH(C451,Materials!$A$5:$A$254,0)),DefaultWaste)))</f>
        <v>0</v>
      </c>
      <c r="K451" s="36">
        <f>IF(C451="","",IF(F451="","",ROUND(F451*(1+J451),4)))</f>
        <v>0</v>
      </c>
      <c r="L451" s="45">
        <f>IF(C451="","",IFERROR(INDEX(Materials!$S$5:$S$254,MATCH(C451,Materials!$A$5:$A$254,0)),""))</f>
        <v>0</v>
      </c>
      <c r="M451" s="45">
        <f>IF(C451="","",IF(OR(K451="",L451=""),"",ROUND(K451*L451,4)))</f>
        <v>0</v>
      </c>
      <c r="N451" s="20">
        <f>IF(A451="","",ROUND(SUMIFS('Material Usage'!$M$5:$M$904,'Material Usage'!$A$5:$A$904,A451),2))</f>
        <v>0</v>
      </c>
      <c r="O451" s="33">
        <f>IF(A451="","",IF(OR(M451="",N451="",N451=0),"",M451/N451))</f>
        <v>0</v>
      </c>
      <c r="P451" s="32">
        <f>IF(A451="","",COUNTIFS($A$5:A451,A451))</f>
        <v>0</v>
      </c>
      <c r="Q451" s="13">
        <f>IF(A451="","",A451&amp;"|"&amp;P451)</f>
        <v>0</v>
      </c>
      <c r="R451" s="43">
        <f>IF(AND(A451="",C451=""),"",IF(A451="","Add - which product?",IF(C451="","Add - which material?",IF(B451="Not found","Check - no such product ID",IF(D451="Add to Materials","Check - no such material ID",IF(OR(F451="",F451=0),"Add - how much?",IF(L451="","Check - that material has no price","OK")))))))</f>
        <v>0</v>
      </c>
    </row>
    <row r="452" spans="2:18">
      <c r="B452" s="13">
        <f>IF(A452="","",IFERROR(INDEX(Products!$B$5:$B$304,MATCH(A452,Products!$A$5:$A$304,0)),"Not found"))</f>
        <v>0</v>
      </c>
      <c r="D452" s="13">
        <f>IF(C452="","",IFERROR(INDEX(Materials!$B$5:$B$254,MATCH(C452,Materials!$A$5:$A$254,0)),"Add to Materials"))</f>
        <v>0</v>
      </c>
      <c r="E452" s="13">
        <f>IF(C452="","",IFERROR(INDEX(Materials!$H$5:$H$254,MATCH(C452,Materials!$A$5:$A$254,0)),"Add to Materials"))</f>
        <v>0</v>
      </c>
      <c r="J452" s="33">
        <f>IF(C452="","",IF(G452&lt;&gt;"",G452,IFERROR(INDEX(Materials!$W$5:$W$254,MATCH(C452,Materials!$A$5:$A$254,0)),DefaultWaste)))</f>
        <v>0</v>
      </c>
      <c r="K452" s="36">
        <f>IF(C452="","",IF(F452="","",ROUND(F452*(1+J452),4)))</f>
        <v>0</v>
      </c>
      <c r="L452" s="45">
        <f>IF(C452="","",IFERROR(INDEX(Materials!$S$5:$S$254,MATCH(C452,Materials!$A$5:$A$254,0)),""))</f>
        <v>0</v>
      </c>
      <c r="M452" s="45">
        <f>IF(C452="","",IF(OR(K452="",L452=""),"",ROUND(K452*L452,4)))</f>
        <v>0</v>
      </c>
      <c r="N452" s="20">
        <f>IF(A452="","",ROUND(SUMIFS('Material Usage'!$M$5:$M$904,'Material Usage'!$A$5:$A$904,A452),2))</f>
        <v>0</v>
      </c>
      <c r="O452" s="33">
        <f>IF(A452="","",IF(OR(M452="",N452="",N452=0),"",M452/N452))</f>
        <v>0</v>
      </c>
      <c r="P452" s="32">
        <f>IF(A452="","",COUNTIFS($A$5:A452,A452))</f>
        <v>0</v>
      </c>
      <c r="Q452" s="13">
        <f>IF(A452="","",A452&amp;"|"&amp;P452)</f>
        <v>0</v>
      </c>
      <c r="R452" s="43">
        <f>IF(AND(A452="",C452=""),"",IF(A452="","Add - which product?",IF(C452="","Add - which material?",IF(B452="Not found","Check - no such product ID",IF(D452="Add to Materials","Check - no such material ID",IF(OR(F452="",F452=0),"Add - how much?",IF(L452="","Check - that material has no price","OK")))))))</f>
        <v>0</v>
      </c>
    </row>
    <row r="453" spans="2:18">
      <c r="B453" s="13">
        <f>IF(A453="","",IFERROR(INDEX(Products!$B$5:$B$304,MATCH(A453,Products!$A$5:$A$304,0)),"Not found"))</f>
        <v>0</v>
      </c>
      <c r="D453" s="13">
        <f>IF(C453="","",IFERROR(INDEX(Materials!$B$5:$B$254,MATCH(C453,Materials!$A$5:$A$254,0)),"Add to Materials"))</f>
        <v>0</v>
      </c>
      <c r="E453" s="13">
        <f>IF(C453="","",IFERROR(INDEX(Materials!$H$5:$H$254,MATCH(C453,Materials!$A$5:$A$254,0)),"Add to Materials"))</f>
        <v>0</v>
      </c>
      <c r="J453" s="33">
        <f>IF(C453="","",IF(G453&lt;&gt;"",G453,IFERROR(INDEX(Materials!$W$5:$W$254,MATCH(C453,Materials!$A$5:$A$254,0)),DefaultWaste)))</f>
        <v>0</v>
      </c>
      <c r="K453" s="36">
        <f>IF(C453="","",IF(F453="","",ROUND(F453*(1+J453),4)))</f>
        <v>0</v>
      </c>
      <c r="L453" s="45">
        <f>IF(C453="","",IFERROR(INDEX(Materials!$S$5:$S$254,MATCH(C453,Materials!$A$5:$A$254,0)),""))</f>
        <v>0</v>
      </c>
      <c r="M453" s="45">
        <f>IF(C453="","",IF(OR(K453="",L453=""),"",ROUND(K453*L453,4)))</f>
        <v>0</v>
      </c>
      <c r="N453" s="20">
        <f>IF(A453="","",ROUND(SUMIFS('Material Usage'!$M$5:$M$904,'Material Usage'!$A$5:$A$904,A453),2))</f>
        <v>0</v>
      </c>
      <c r="O453" s="33">
        <f>IF(A453="","",IF(OR(M453="",N453="",N453=0),"",M453/N453))</f>
        <v>0</v>
      </c>
      <c r="P453" s="32">
        <f>IF(A453="","",COUNTIFS($A$5:A453,A453))</f>
        <v>0</v>
      </c>
      <c r="Q453" s="13">
        <f>IF(A453="","",A453&amp;"|"&amp;P453)</f>
        <v>0</v>
      </c>
      <c r="R453" s="43">
        <f>IF(AND(A453="",C453=""),"",IF(A453="","Add - which product?",IF(C453="","Add - which material?",IF(B453="Not found","Check - no such product ID",IF(D453="Add to Materials","Check - no such material ID",IF(OR(F453="",F453=0),"Add - how much?",IF(L453="","Check - that material has no price","OK")))))))</f>
        <v>0</v>
      </c>
    </row>
    <row r="454" spans="2:18">
      <c r="B454" s="13">
        <f>IF(A454="","",IFERROR(INDEX(Products!$B$5:$B$304,MATCH(A454,Products!$A$5:$A$304,0)),"Not found"))</f>
        <v>0</v>
      </c>
      <c r="D454" s="13">
        <f>IF(C454="","",IFERROR(INDEX(Materials!$B$5:$B$254,MATCH(C454,Materials!$A$5:$A$254,0)),"Add to Materials"))</f>
        <v>0</v>
      </c>
      <c r="E454" s="13">
        <f>IF(C454="","",IFERROR(INDEX(Materials!$H$5:$H$254,MATCH(C454,Materials!$A$5:$A$254,0)),"Add to Materials"))</f>
        <v>0</v>
      </c>
      <c r="J454" s="33">
        <f>IF(C454="","",IF(G454&lt;&gt;"",G454,IFERROR(INDEX(Materials!$W$5:$W$254,MATCH(C454,Materials!$A$5:$A$254,0)),DefaultWaste)))</f>
        <v>0</v>
      </c>
      <c r="K454" s="36">
        <f>IF(C454="","",IF(F454="","",ROUND(F454*(1+J454),4)))</f>
        <v>0</v>
      </c>
      <c r="L454" s="45">
        <f>IF(C454="","",IFERROR(INDEX(Materials!$S$5:$S$254,MATCH(C454,Materials!$A$5:$A$254,0)),""))</f>
        <v>0</v>
      </c>
      <c r="M454" s="45">
        <f>IF(C454="","",IF(OR(K454="",L454=""),"",ROUND(K454*L454,4)))</f>
        <v>0</v>
      </c>
      <c r="N454" s="20">
        <f>IF(A454="","",ROUND(SUMIFS('Material Usage'!$M$5:$M$904,'Material Usage'!$A$5:$A$904,A454),2))</f>
        <v>0</v>
      </c>
      <c r="O454" s="33">
        <f>IF(A454="","",IF(OR(M454="",N454="",N454=0),"",M454/N454))</f>
        <v>0</v>
      </c>
      <c r="P454" s="32">
        <f>IF(A454="","",COUNTIFS($A$5:A454,A454))</f>
        <v>0</v>
      </c>
      <c r="Q454" s="13">
        <f>IF(A454="","",A454&amp;"|"&amp;P454)</f>
        <v>0</v>
      </c>
      <c r="R454" s="43">
        <f>IF(AND(A454="",C454=""),"",IF(A454="","Add - which product?",IF(C454="","Add - which material?",IF(B454="Not found","Check - no such product ID",IF(D454="Add to Materials","Check - no such material ID",IF(OR(F454="",F454=0),"Add - how much?",IF(L454="","Check - that material has no price","OK")))))))</f>
        <v>0</v>
      </c>
    </row>
    <row r="455" spans="2:18">
      <c r="B455" s="13">
        <f>IF(A455="","",IFERROR(INDEX(Products!$B$5:$B$304,MATCH(A455,Products!$A$5:$A$304,0)),"Not found"))</f>
        <v>0</v>
      </c>
      <c r="D455" s="13">
        <f>IF(C455="","",IFERROR(INDEX(Materials!$B$5:$B$254,MATCH(C455,Materials!$A$5:$A$254,0)),"Add to Materials"))</f>
        <v>0</v>
      </c>
      <c r="E455" s="13">
        <f>IF(C455="","",IFERROR(INDEX(Materials!$H$5:$H$254,MATCH(C455,Materials!$A$5:$A$254,0)),"Add to Materials"))</f>
        <v>0</v>
      </c>
      <c r="J455" s="33">
        <f>IF(C455="","",IF(G455&lt;&gt;"",G455,IFERROR(INDEX(Materials!$W$5:$W$254,MATCH(C455,Materials!$A$5:$A$254,0)),DefaultWaste)))</f>
        <v>0</v>
      </c>
      <c r="K455" s="36">
        <f>IF(C455="","",IF(F455="","",ROUND(F455*(1+J455),4)))</f>
        <v>0</v>
      </c>
      <c r="L455" s="45">
        <f>IF(C455="","",IFERROR(INDEX(Materials!$S$5:$S$254,MATCH(C455,Materials!$A$5:$A$254,0)),""))</f>
        <v>0</v>
      </c>
      <c r="M455" s="45">
        <f>IF(C455="","",IF(OR(K455="",L455=""),"",ROUND(K455*L455,4)))</f>
        <v>0</v>
      </c>
      <c r="N455" s="20">
        <f>IF(A455="","",ROUND(SUMIFS('Material Usage'!$M$5:$M$904,'Material Usage'!$A$5:$A$904,A455),2))</f>
        <v>0</v>
      </c>
      <c r="O455" s="33">
        <f>IF(A455="","",IF(OR(M455="",N455="",N455=0),"",M455/N455))</f>
        <v>0</v>
      </c>
      <c r="P455" s="32">
        <f>IF(A455="","",COUNTIFS($A$5:A455,A455))</f>
        <v>0</v>
      </c>
      <c r="Q455" s="13">
        <f>IF(A455="","",A455&amp;"|"&amp;P455)</f>
        <v>0</v>
      </c>
      <c r="R455" s="43">
        <f>IF(AND(A455="",C455=""),"",IF(A455="","Add - which product?",IF(C455="","Add - which material?",IF(B455="Not found","Check - no such product ID",IF(D455="Add to Materials","Check - no such material ID",IF(OR(F455="",F455=0),"Add - how much?",IF(L455="","Check - that material has no price","OK")))))))</f>
        <v>0</v>
      </c>
    </row>
    <row r="456" spans="2:18">
      <c r="B456" s="13">
        <f>IF(A456="","",IFERROR(INDEX(Products!$B$5:$B$304,MATCH(A456,Products!$A$5:$A$304,0)),"Not found"))</f>
        <v>0</v>
      </c>
      <c r="D456" s="13">
        <f>IF(C456="","",IFERROR(INDEX(Materials!$B$5:$B$254,MATCH(C456,Materials!$A$5:$A$254,0)),"Add to Materials"))</f>
        <v>0</v>
      </c>
      <c r="E456" s="13">
        <f>IF(C456="","",IFERROR(INDEX(Materials!$H$5:$H$254,MATCH(C456,Materials!$A$5:$A$254,0)),"Add to Materials"))</f>
        <v>0</v>
      </c>
      <c r="J456" s="33">
        <f>IF(C456="","",IF(G456&lt;&gt;"",G456,IFERROR(INDEX(Materials!$W$5:$W$254,MATCH(C456,Materials!$A$5:$A$254,0)),DefaultWaste)))</f>
        <v>0</v>
      </c>
      <c r="K456" s="36">
        <f>IF(C456="","",IF(F456="","",ROUND(F456*(1+J456),4)))</f>
        <v>0</v>
      </c>
      <c r="L456" s="45">
        <f>IF(C456="","",IFERROR(INDEX(Materials!$S$5:$S$254,MATCH(C456,Materials!$A$5:$A$254,0)),""))</f>
        <v>0</v>
      </c>
      <c r="M456" s="45">
        <f>IF(C456="","",IF(OR(K456="",L456=""),"",ROUND(K456*L456,4)))</f>
        <v>0</v>
      </c>
      <c r="N456" s="20">
        <f>IF(A456="","",ROUND(SUMIFS('Material Usage'!$M$5:$M$904,'Material Usage'!$A$5:$A$904,A456),2))</f>
        <v>0</v>
      </c>
      <c r="O456" s="33">
        <f>IF(A456="","",IF(OR(M456="",N456="",N456=0),"",M456/N456))</f>
        <v>0</v>
      </c>
      <c r="P456" s="32">
        <f>IF(A456="","",COUNTIFS($A$5:A456,A456))</f>
        <v>0</v>
      </c>
      <c r="Q456" s="13">
        <f>IF(A456="","",A456&amp;"|"&amp;P456)</f>
        <v>0</v>
      </c>
      <c r="R456" s="43">
        <f>IF(AND(A456="",C456=""),"",IF(A456="","Add - which product?",IF(C456="","Add - which material?",IF(B456="Not found","Check - no such product ID",IF(D456="Add to Materials","Check - no such material ID",IF(OR(F456="",F456=0),"Add - how much?",IF(L456="","Check - that material has no price","OK")))))))</f>
        <v>0</v>
      </c>
    </row>
    <row r="457" spans="2:18">
      <c r="B457" s="13">
        <f>IF(A457="","",IFERROR(INDEX(Products!$B$5:$B$304,MATCH(A457,Products!$A$5:$A$304,0)),"Not found"))</f>
        <v>0</v>
      </c>
      <c r="D457" s="13">
        <f>IF(C457="","",IFERROR(INDEX(Materials!$B$5:$B$254,MATCH(C457,Materials!$A$5:$A$254,0)),"Add to Materials"))</f>
        <v>0</v>
      </c>
      <c r="E457" s="13">
        <f>IF(C457="","",IFERROR(INDEX(Materials!$H$5:$H$254,MATCH(C457,Materials!$A$5:$A$254,0)),"Add to Materials"))</f>
        <v>0</v>
      </c>
      <c r="J457" s="33">
        <f>IF(C457="","",IF(G457&lt;&gt;"",G457,IFERROR(INDEX(Materials!$W$5:$W$254,MATCH(C457,Materials!$A$5:$A$254,0)),DefaultWaste)))</f>
        <v>0</v>
      </c>
      <c r="K457" s="36">
        <f>IF(C457="","",IF(F457="","",ROUND(F457*(1+J457),4)))</f>
        <v>0</v>
      </c>
      <c r="L457" s="45">
        <f>IF(C457="","",IFERROR(INDEX(Materials!$S$5:$S$254,MATCH(C457,Materials!$A$5:$A$254,0)),""))</f>
        <v>0</v>
      </c>
      <c r="M457" s="45">
        <f>IF(C457="","",IF(OR(K457="",L457=""),"",ROUND(K457*L457,4)))</f>
        <v>0</v>
      </c>
      <c r="N457" s="20">
        <f>IF(A457="","",ROUND(SUMIFS('Material Usage'!$M$5:$M$904,'Material Usage'!$A$5:$A$904,A457),2))</f>
        <v>0</v>
      </c>
      <c r="O457" s="33">
        <f>IF(A457="","",IF(OR(M457="",N457="",N457=0),"",M457/N457))</f>
        <v>0</v>
      </c>
      <c r="P457" s="32">
        <f>IF(A457="","",COUNTIFS($A$5:A457,A457))</f>
        <v>0</v>
      </c>
      <c r="Q457" s="13">
        <f>IF(A457="","",A457&amp;"|"&amp;P457)</f>
        <v>0</v>
      </c>
      <c r="R457" s="43">
        <f>IF(AND(A457="",C457=""),"",IF(A457="","Add - which product?",IF(C457="","Add - which material?",IF(B457="Not found","Check - no such product ID",IF(D457="Add to Materials","Check - no such material ID",IF(OR(F457="",F457=0),"Add - how much?",IF(L457="","Check - that material has no price","OK")))))))</f>
        <v>0</v>
      </c>
    </row>
    <row r="458" spans="2:18">
      <c r="B458" s="13">
        <f>IF(A458="","",IFERROR(INDEX(Products!$B$5:$B$304,MATCH(A458,Products!$A$5:$A$304,0)),"Not found"))</f>
        <v>0</v>
      </c>
      <c r="D458" s="13">
        <f>IF(C458="","",IFERROR(INDEX(Materials!$B$5:$B$254,MATCH(C458,Materials!$A$5:$A$254,0)),"Add to Materials"))</f>
        <v>0</v>
      </c>
      <c r="E458" s="13">
        <f>IF(C458="","",IFERROR(INDEX(Materials!$H$5:$H$254,MATCH(C458,Materials!$A$5:$A$254,0)),"Add to Materials"))</f>
        <v>0</v>
      </c>
      <c r="J458" s="33">
        <f>IF(C458="","",IF(G458&lt;&gt;"",G458,IFERROR(INDEX(Materials!$W$5:$W$254,MATCH(C458,Materials!$A$5:$A$254,0)),DefaultWaste)))</f>
        <v>0</v>
      </c>
      <c r="K458" s="36">
        <f>IF(C458="","",IF(F458="","",ROUND(F458*(1+J458),4)))</f>
        <v>0</v>
      </c>
      <c r="L458" s="45">
        <f>IF(C458="","",IFERROR(INDEX(Materials!$S$5:$S$254,MATCH(C458,Materials!$A$5:$A$254,0)),""))</f>
        <v>0</v>
      </c>
      <c r="M458" s="45">
        <f>IF(C458="","",IF(OR(K458="",L458=""),"",ROUND(K458*L458,4)))</f>
        <v>0</v>
      </c>
      <c r="N458" s="20">
        <f>IF(A458="","",ROUND(SUMIFS('Material Usage'!$M$5:$M$904,'Material Usage'!$A$5:$A$904,A458),2))</f>
        <v>0</v>
      </c>
      <c r="O458" s="33">
        <f>IF(A458="","",IF(OR(M458="",N458="",N458=0),"",M458/N458))</f>
        <v>0</v>
      </c>
      <c r="P458" s="32">
        <f>IF(A458="","",COUNTIFS($A$5:A458,A458))</f>
        <v>0</v>
      </c>
      <c r="Q458" s="13">
        <f>IF(A458="","",A458&amp;"|"&amp;P458)</f>
        <v>0</v>
      </c>
      <c r="R458" s="43">
        <f>IF(AND(A458="",C458=""),"",IF(A458="","Add - which product?",IF(C458="","Add - which material?",IF(B458="Not found","Check - no such product ID",IF(D458="Add to Materials","Check - no such material ID",IF(OR(F458="",F458=0),"Add - how much?",IF(L458="","Check - that material has no price","OK")))))))</f>
        <v>0</v>
      </c>
    </row>
    <row r="459" spans="2:18">
      <c r="B459" s="13">
        <f>IF(A459="","",IFERROR(INDEX(Products!$B$5:$B$304,MATCH(A459,Products!$A$5:$A$304,0)),"Not found"))</f>
        <v>0</v>
      </c>
      <c r="D459" s="13">
        <f>IF(C459="","",IFERROR(INDEX(Materials!$B$5:$B$254,MATCH(C459,Materials!$A$5:$A$254,0)),"Add to Materials"))</f>
        <v>0</v>
      </c>
      <c r="E459" s="13">
        <f>IF(C459="","",IFERROR(INDEX(Materials!$H$5:$H$254,MATCH(C459,Materials!$A$5:$A$254,0)),"Add to Materials"))</f>
        <v>0</v>
      </c>
      <c r="J459" s="33">
        <f>IF(C459="","",IF(G459&lt;&gt;"",G459,IFERROR(INDEX(Materials!$W$5:$W$254,MATCH(C459,Materials!$A$5:$A$254,0)),DefaultWaste)))</f>
        <v>0</v>
      </c>
      <c r="K459" s="36">
        <f>IF(C459="","",IF(F459="","",ROUND(F459*(1+J459),4)))</f>
        <v>0</v>
      </c>
      <c r="L459" s="45">
        <f>IF(C459="","",IFERROR(INDEX(Materials!$S$5:$S$254,MATCH(C459,Materials!$A$5:$A$254,0)),""))</f>
        <v>0</v>
      </c>
      <c r="M459" s="45">
        <f>IF(C459="","",IF(OR(K459="",L459=""),"",ROUND(K459*L459,4)))</f>
        <v>0</v>
      </c>
      <c r="N459" s="20">
        <f>IF(A459="","",ROUND(SUMIFS('Material Usage'!$M$5:$M$904,'Material Usage'!$A$5:$A$904,A459),2))</f>
        <v>0</v>
      </c>
      <c r="O459" s="33">
        <f>IF(A459="","",IF(OR(M459="",N459="",N459=0),"",M459/N459))</f>
        <v>0</v>
      </c>
      <c r="P459" s="32">
        <f>IF(A459="","",COUNTIFS($A$5:A459,A459))</f>
        <v>0</v>
      </c>
      <c r="Q459" s="13">
        <f>IF(A459="","",A459&amp;"|"&amp;P459)</f>
        <v>0</v>
      </c>
      <c r="R459" s="43">
        <f>IF(AND(A459="",C459=""),"",IF(A459="","Add - which product?",IF(C459="","Add - which material?",IF(B459="Not found","Check - no such product ID",IF(D459="Add to Materials","Check - no such material ID",IF(OR(F459="",F459=0),"Add - how much?",IF(L459="","Check - that material has no price","OK")))))))</f>
        <v>0</v>
      </c>
    </row>
    <row r="460" spans="2:18">
      <c r="B460" s="13">
        <f>IF(A460="","",IFERROR(INDEX(Products!$B$5:$B$304,MATCH(A460,Products!$A$5:$A$304,0)),"Not found"))</f>
        <v>0</v>
      </c>
      <c r="D460" s="13">
        <f>IF(C460="","",IFERROR(INDEX(Materials!$B$5:$B$254,MATCH(C460,Materials!$A$5:$A$254,0)),"Add to Materials"))</f>
        <v>0</v>
      </c>
      <c r="E460" s="13">
        <f>IF(C460="","",IFERROR(INDEX(Materials!$H$5:$H$254,MATCH(C460,Materials!$A$5:$A$254,0)),"Add to Materials"))</f>
        <v>0</v>
      </c>
      <c r="J460" s="33">
        <f>IF(C460="","",IF(G460&lt;&gt;"",G460,IFERROR(INDEX(Materials!$W$5:$W$254,MATCH(C460,Materials!$A$5:$A$254,0)),DefaultWaste)))</f>
        <v>0</v>
      </c>
      <c r="K460" s="36">
        <f>IF(C460="","",IF(F460="","",ROUND(F460*(1+J460),4)))</f>
        <v>0</v>
      </c>
      <c r="L460" s="45">
        <f>IF(C460="","",IFERROR(INDEX(Materials!$S$5:$S$254,MATCH(C460,Materials!$A$5:$A$254,0)),""))</f>
        <v>0</v>
      </c>
      <c r="M460" s="45">
        <f>IF(C460="","",IF(OR(K460="",L460=""),"",ROUND(K460*L460,4)))</f>
        <v>0</v>
      </c>
      <c r="N460" s="20">
        <f>IF(A460="","",ROUND(SUMIFS('Material Usage'!$M$5:$M$904,'Material Usage'!$A$5:$A$904,A460),2))</f>
        <v>0</v>
      </c>
      <c r="O460" s="33">
        <f>IF(A460="","",IF(OR(M460="",N460="",N460=0),"",M460/N460))</f>
        <v>0</v>
      </c>
      <c r="P460" s="32">
        <f>IF(A460="","",COUNTIFS($A$5:A460,A460))</f>
        <v>0</v>
      </c>
      <c r="Q460" s="13">
        <f>IF(A460="","",A460&amp;"|"&amp;P460)</f>
        <v>0</v>
      </c>
      <c r="R460" s="43">
        <f>IF(AND(A460="",C460=""),"",IF(A460="","Add - which product?",IF(C460="","Add - which material?",IF(B460="Not found","Check - no such product ID",IF(D460="Add to Materials","Check - no such material ID",IF(OR(F460="",F460=0),"Add - how much?",IF(L460="","Check - that material has no price","OK")))))))</f>
        <v>0</v>
      </c>
    </row>
    <row r="461" spans="2:18">
      <c r="B461" s="13">
        <f>IF(A461="","",IFERROR(INDEX(Products!$B$5:$B$304,MATCH(A461,Products!$A$5:$A$304,0)),"Not found"))</f>
        <v>0</v>
      </c>
      <c r="D461" s="13">
        <f>IF(C461="","",IFERROR(INDEX(Materials!$B$5:$B$254,MATCH(C461,Materials!$A$5:$A$254,0)),"Add to Materials"))</f>
        <v>0</v>
      </c>
      <c r="E461" s="13">
        <f>IF(C461="","",IFERROR(INDEX(Materials!$H$5:$H$254,MATCH(C461,Materials!$A$5:$A$254,0)),"Add to Materials"))</f>
        <v>0</v>
      </c>
      <c r="J461" s="33">
        <f>IF(C461="","",IF(G461&lt;&gt;"",G461,IFERROR(INDEX(Materials!$W$5:$W$254,MATCH(C461,Materials!$A$5:$A$254,0)),DefaultWaste)))</f>
        <v>0</v>
      </c>
      <c r="K461" s="36">
        <f>IF(C461="","",IF(F461="","",ROUND(F461*(1+J461),4)))</f>
        <v>0</v>
      </c>
      <c r="L461" s="45">
        <f>IF(C461="","",IFERROR(INDEX(Materials!$S$5:$S$254,MATCH(C461,Materials!$A$5:$A$254,0)),""))</f>
        <v>0</v>
      </c>
      <c r="M461" s="45">
        <f>IF(C461="","",IF(OR(K461="",L461=""),"",ROUND(K461*L461,4)))</f>
        <v>0</v>
      </c>
      <c r="N461" s="20">
        <f>IF(A461="","",ROUND(SUMIFS('Material Usage'!$M$5:$M$904,'Material Usage'!$A$5:$A$904,A461),2))</f>
        <v>0</v>
      </c>
      <c r="O461" s="33">
        <f>IF(A461="","",IF(OR(M461="",N461="",N461=0),"",M461/N461))</f>
        <v>0</v>
      </c>
      <c r="P461" s="32">
        <f>IF(A461="","",COUNTIFS($A$5:A461,A461))</f>
        <v>0</v>
      </c>
      <c r="Q461" s="13">
        <f>IF(A461="","",A461&amp;"|"&amp;P461)</f>
        <v>0</v>
      </c>
      <c r="R461" s="43">
        <f>IF(AND(A461="",C461=""),"",IF(A461="","Add - which product?",IF(C461="","Add - which material?",IF(B461="Not found","Check - no such product ID",IF(D461="Add to Materials","Check - no such material ID",IF(OR(F461="",F461=0),"Add - how much?",IF(L461="","Check - that material has no price","OK")))))))</f>
        <v>0</v>
      </c>
    </row>
    <row r="462" spans="2:18">
      <c r="B462" s="13">
        <f>IF(A462="","",IFERROR(INDEX(Products!$B$5:$B$304,MATCH(A462,Products!$A$5:$A$304,0)),"Not found"))</f>
        <v>0</v>
      </c>
      <c r="D462" s="13">
        <f>IF(C462="","",IFERROR(INDEX(Materials!$B$5:$B$254,MATCH(C462,Materials!$A$5:$A$254,0)),"Add to Materials"))</f>
        <v>0</v>
      </c>
      <c r="E462" s="13">
        <f>IF(C462="","",IFERROR(INDEX(Materials!$H$5:$H$254,MATCH(C462,Materials!$A$5:$A$254,0)),"Add to Materials"))</f>
        <v>0</v>
      </c>
      <c r="J462" s="33">
        <f>IF(C462="","",IF(G462&lt;&gt;"",G462,IFERROR(INDEX(Materials!$W$5:$W$254,MATCH(C462,Materials!$A$5:$A$254,0)),DefaultWaste)))</f>
        <v>0</v>
      </c>
      <c r="K462" s="36">
        <f>IF(C462="","",IF(F462="","",ROUND(F462*(1+J462),4)))</f>
        <v>0</v>
      </c>
      <c r="L462" s="45">
        <f>IF(C462="","",IFERROR(INDEX(Materials!$S$5:$S$254,MATCH(C462,Materials!$A$5:$A$254,0)),""))</f>
        <v>0</v>
      </c>
      <c r="M462" s="45">
        <f>IF(C462="","",IF(OR(K462="",L462=""),"",ROUND(K462*L462,4)))</f>
        <v>0</v>
      </c>
      <c r="N462" s="20">
        <f>IF(A462="","",ROUND(SUMIFS('Material Usage'!$M$5:$M$904,'Material Usage'!$A$5:$A$904,A462),2))</f>
        <v>0</v>
      </c>
      <c r="O462" s="33">
        <f>IF(A462="","",IF(OR(M462="",N462="",N462=0),"",M462/N462))</f>
        <v>0</v>
      </c>
      <c r="P462" s="32">
        <f>IF(A462="","",COUNTIFS($A$5:A462,A462))</f>
        <v>0</v>
      </c>
      <c r="Q462" s="13">
        <f>IF(A462="","",A462&amp;"|"&amp;P462)</f>
        <v>0</v>
      </c>
      <c r="R462" s="43">
        <f>IF(AND(A462="",C462=""),"",IF(A462="","Add - which product?",IF(C462="","Add - which material?",IF(B462="Not found","Check - no such product ID",IF(D462="Add to Materials","Check - no such material ID",IF(OR(F462="",F462=0),"Add - how much?",IF(L462="","Check - that material has no price","OK")))))))</f>
        <v>0</v>
      </c>
    </row>
    <row r="463" spans="2:18">
      <c r="B463" s="13">
        <f>IF(A463="","",IFERROR(INDEX(Products!$B$5:$B$304,MATCH(A463,Products!$A$5:$A$304,0)),"Not found"))</f>
        <v>0</v>
      </c>
      <c r="D463" s="13">
        <f>IF(C463="","",IFERROR(INDEX(Materials!$B$5:$B$254,MATCH(C463,Materials!$A$5:$A$254,0)),"Add to Materials"))</f>
        <v>0</v>
      </c>
      <c r="E463" s="13">
        <f>IF(C463="","",IFERROR(INDEX(Materials!$H$5:$H$254,MATCH(C463,Materials!$A$5:$A$254,0)),"Add to Materials"))</f>
        <v>0</v>
      </c>
      <c r="J463" s="33">
        <f>IF(C463="","",IF(G463&lt;&gt;"",G463,IFERROR(INDEX(Materials!$W$5:$W$254,MATCH(C463,Materials!$A$5:$A$254,0)),DefaultWaste)))</f>
        <v>0</v>
      </c>
      <c r="K463" s="36">
        <f>IF(C463="","",IF(F463="","",ROUND(F463*(1+J463),4)))</f>
        <v>0</v>
      </c>
      <c r="L463" s="45">
        <f>IF(C463="","",IFERROR(INDEX(Materials!$S$5:$S$254,MATCH(C463,Materials!$A$5:$A$254,0)),""))</f>
        <v>0</v>
      </c>
      <c r="M463" s="45">
        <f>IF(C463="","",IF(OR(K463="",L463=""),"",ROUND(K463*L463,4)))</f>
        <v>0</v>
      </c>
      <c r="N463" s="20">
        <f>IF(A463="","",ROUND(SUMIFS('Material Usage'!$M$5:$M$904,'Material Usage'!$A$5:$A$904,A463),2))</f>
        <v>0</v>
      </c>
      <c r="O463" s="33">
        <f>IF(A463="","",IF(OR(M463="",N463="",N463=0),"",M463/N463))</f>
        <v>0</v>
      </c>
      <c r="P463" s="32">
        <f>IF(A463="","",COUNTIFS($A$5:A463,A463))</f>
        <v>0</v>
      </c>
      <c r="Q463" s="13">
        <f>IF(A463="","",A463&amp;"|"&amp;P463)</f>
        <v>0</v>
      </c>
      <c r="R463" s="43">
        <f>IF(AND(A463="",C463=""),"",IF(A463="","Add - which product?",IF(C463="","Add - which material?",IF(B463="Not found","Check - no such product ID",IF(D463="Add to Materials","Check - no such material ID",IF(OR(F463="",F463=0),"Add - how much?",IF(L463="","Check - that material has no price","OK")))))))</f>
        <v>0</v>
      </c>
    </row>
    <row r="464" spans="2:18">
      <c r="B464" s="13">
        <f>IF(A464="","",IFERROR(INDEX(Products!$B$5:$B$304,MATCH(A464,Products!$A$5:$A$304,0)),"Not found"))</f>
        <v>0</v>
      </c>
      <c r="D464" s="13">
        <f>IF(C464="","",IFERROR(INDEX(Materials!$B$5:$B$254,MATCH(C464,Materials!$A$5:$A$254,0)),"Add to Materials"))</f>
        <v>0</v>
      </c>
      <c r="E464" s="13">
        <f>IF(C464="","",IFERROR(INDEX(Materials!$H$5:$H$254,MATCH(C464,Materials!$A$5:$A$254,0)),"Add to Materials"))</f>
        <v>0</v>
      </c>
      <c r="J464" s="33">
        <f>IF(C464="","",IF(G464&lt;&gt;"",G464,IFERROR(INDEX(Materials!$W$5:$W$254,MATCH(C464,Materials!$A$5:$A$254,0)),DefaultWaste)))</f>
        <v>0</v>
      </c>
      <c r="K464" s="36">
        <f>IF(C464="","",IF(F464="","",ROUND(F464*(1+J464),4)))</f>
        <v>0</v>
      </c>
      <c r="L464" s="45">
        <f>IF(C464="","",IFERROR(INDEX(Materials!$S$5:$S$254,MATCH(C464,Materials!$A$5:$A$254,0)),""))</f>
        <v>0</v>
      </c>
      <c r="M464" s="45">
        <f>IF(C464="","",IF(OR(K464="",L464=""),"",ROUND(K464*L464,4)))</f>
        <v>0</v>
      </c>
      <c r="N464" s="20">
        <f>IF(A464="","",ROUND(SUMIFS('Material Usage'!$M$5:$M$904,'Material Usage'!$A$5:$A$904,A464),2))</f>
        <v>0</v>
      </c>
      <c r="O464" s="33">
        <f>IF(A464="","",IF(OR(M464="",N464="",N464=0),"",M464/N464))</f>
        <v>0</v>
      </c>
      <c r="P464" s="32">
        <f>IF(A464="","",COUNTIFS($A$5:A464,A464))</f>
        <v>0</v>
      </c>
      <c r="Q464" s="13">
        <f>IF(A464="","",A464&amp;"|"&amp;P464)</f>
        <v>0</v>
      </c>
      <c r="R464" s="43">
        <f>IF(AND(A464="",C464=""),"",IF(A464="","Add - which product?",IF(C464="","Add - which material?",IF(B464="Not found","Check - no such product ID",IF(D464="Add to Materials","Check - no such material ID",IF(OR(F464="",F464=0),"Add - how much?",IF(L464="","Check - that material has no price","OK")))))))</f>
        <v>0</v>
      </c>
    </row>
    <row r="465" spans="2:18">
      <c r="B465" s="13">
        <f>IF(A465="","",IFERROR(INDEX(Products!$B$5:$B$304,MATCH(A465,Products!$A$5:$A$304,0)),"Not found"))</f>
        <v>0</v>
      </c>
      <c r="D465" s="13">
        <f>IF(C465="","",IFERROR(INDEX(Materials!$B$5:$B$254,MATCH(C465,Materials!$A$5:$A$254,0)),"Add to Materials"))</f>
        <v>0</v>
      </c>
      <c r="E465" s="13">
        <f>IF(C465="","",IFERROR(INDEX(Materials!$H$5:$H$254,MATCH(C465,Materials!$A$5:$A$254,0)),"Add to Materials"))</f>
        <v>0</v>
      </c>
      <c r="J465" s="33">
        <f>IF(C465="","",IF(G465&lt;&gt;"",G465,IFERROR(INDEX(Materials!$W$5:$W$254,MATCH(C465,Materials!$A$5:$A$254,0)),DefaultWaste)))</f>
        <v>0</v>
      </c>
      <c r="K465" s="36">
        <f>IF(C465="","",IF(F465="","",ROUND(F465*(1+J465),4)))</f>
        <v>0</v>
      </c>
      <c r="L465" s="45">
        <f>IF(C465="","",IFERROR(INDEX(Materials!$S$5:$S$254,MATCH(C465,Materials!$A$5:$A$254,0)),""))</f>
        <v>0</v>
      </c>
      <c r="M465" s="45">
        <f>IF(C465="","",IF(OR(K465="",L465=""),"",ROUND(K465*L465,4)))</f>
        <v>0</v>
      </c>
      <c r="N465" s="20">
        <f>IF(A465="","",ROUND(SUMIFS('Material Usage'!$M$5:$M$904,'Material Usage'!$A$5:$A$904,A465),2))</f>
        <v>0</v>
      </c>
      <c r="O465" s="33">
        <f>IF(A465="","",IF(OR(M465="",N465="",N465=0),"",M465/N465))</f>
        <v>0</v>
      </c>
      <c r="P465" s="32">
        <f>IF(A465="","",COUNTIFS($A$5:A465,A465))</f>
        <v>0</v>
      </c>
      <c r="Q465" s="13">
        <f>IF(A465="","",A465&amp;"|"&amp;P465)</f>
        <v>0</v>
      </c>
      <c r="R465" s="43">
        <f>IF(AND(A465="",C465=""),"",IF(A465="","Add - which product?",IF(C465="","Add - which material?",IF(B465="Not found","Check - no such product ID",IF(D465="Add to Materials","Check - no such material ID",IF(OR(F465="",F465=0),"Add - how much?",IF(L465="","Check - that material has no price","OK")))))))</f>
        <v>0</v>
      </c>
    </row>
    <row r="466" spans="2:18">
      <c r="B466" s="13">
        <f>IF(A466="","",IFERROR(INDEX(Products!$B$5:$B$304,MATCH(A466,Products!$A$5:$A$304,0)),"Not found"))</f>
        <v>0</v>
      </c>
      <c r="D466" s="13">
        <f>IF(C466="","",IFERROR(INDEX(Materials!$B$5:$B$254,MATCH(C466,Materials!$A$5:$A$254,0)),"Add to Materials"))</f>
        <v>0</v>
      </c>
      <c r="E466" s="13">
        <f>IF(C466="","",IFERROR(INDEX(Materials!$H$5:$H$254,MATCH(C466,Materials!$A$5:$A$254,0)),"Add to Materials"))</f>
        <v>0</v>
      </c>
      <c r="J466" s="33">
        <f>IF(C466="","",IF(G466&lt;&gt;"",G466,IFERROR(INDEX(Materials!$W$5:$W$254,MATCH(C466,Materials!$A$5:$A$254,0)),DefaultWaste)))</f>
        <v>0</v>
      </c>
      <c r="K466" s="36">
        <f>IF(C466="","",IF(F466="","",ROUND(F466*(1+J466),4)))</f>
        <v>0</v>
      </c>
      <c r="L466" s="45">
        <f>IF(C466="","",IFERROR(INDEX(Materials!$S$5:$S$254,MATCH(C466,Materials!$A$5:$A$254,0)),""))</f>
        <v>0</v>
      </c>
      <c r="M466" s="45">
        <f>IF(C466="","",IF(OR(K466="",L466=""),"",ROUND(K466*L466,4)))</f>
        <v>0</v>
      </c>
      <c r="N466" s="20">
        <f>IF(A466="","",ROUND(SUMIFS('Material Usage'!$M$5:$M$904,'Material Usage'!$A$5:$A$904,A466),2))</f>
        <v>0</v>
      </c>
      <c r="O466" s="33">
        <f>IF(A466="","",IF(OR(M466="",N466="",N466=0),"",M466/N466))</f>
        <v>0</v>
      </c>
      <c r="P466" s="32">
        <f>IF(A466="","",COUNTIFS($A$5:A466,A466))</f>
        <v>0</v>
      </c>
      <c r="Q466" s="13">
        <f>IF(A466="","",A466&amp;"|"&amp;P466)</f>
        <v>0</v>
      </c>
      <c r="R466" s="43">
        <f>IF(AND(A466="",C466=""),"",IF(A466="","Add - which product?",IF(C466="","Add - which material?",IF(B466="Not found","Check - no such product ID",IF(D466="Add to Materials","Check - no such material ID",IF(OR(F466="",F466=0),"Add - how much?",IF(L466="","Check - that material has no price","OK")))))))</f>
        <v>0</v>
      </c>
    </row>
    <row r="467" spans="2:18">
      <c r="B467" s="13">
        <f>IF(A467="","",IFERROR(INDEX(Products!$B$5:$B$304,MATCH(A467,Products!$A$5:$A$304,0)),"Not found"))</f>
        <v>0</v>
      </c>
      <c r="D467" s="13">
        <f>IF(C467="","",IFERROR(INDEX(Materials!$B$5:$B$254,MATCH(C467,Materials!$A$5:$A$254,0)),"Add to Materials"))</f>
        <v>0</v>
      </c>
      <c r="E467" s="13">
        <f>IF(C467="","",IFERROR(INDEX(Materials!$H$5:$H$254,MATCH(C467,Materials!$A$5:$A$254,0)),"Add to Materials"))</f>
        <v>0</v>
      </c>
      <c r="J467" s="33">
        <f>IF(C467="","",IF(G467&lt;&gt;"",G467,IFERROR(INDEX(Materials!$W$5:$W$254,MATCH(C467,Materials!$A$5:$A$254,0)),DefaultWaste)))</f>
        <v>0</v>
      </c>
      <c r="K467" s="36">
        <f>IF(C467="","",IF(F467="","",ROUND(F467*(1+J467),4)))</f>
        <v>0</v>
      </c>
      <c r="L467" s="45">
        <f>IF(C467="","",IFERROR(INDEX(Materials!$S$5:$S$254,MATCH(C467,Materials!$A$5:$A$254,0)),""))</f>
        <v>0</v>
      </c>
      <c r="M467" s="45">
        <f>IF(C467="","",IF(OR(K467="",L467=""),"",ROUND(K467*L467,4)))</f>
        <v>0</v>
      </c>
      <c r="N467" s="20">
        <f>IF(A467="","",ROUND(SUMIFS('Material Usage'!$M$5:$M$904,'Material Usage'!$A$5:$A$904,A467),2))</f>
        <v>0</v>
      </c>
      <c r="O467" s="33">
        <f>IF(A467="","",IF(OR(M467="",N467="",N467=0),"",M467/N467))</f>
        <v>0</v>
      </c>
      <c r="P467" s="32">
        <f>IF(A467="","",COUNTIFS($A$5:A467,A467))</f>
        <v>0</v>
      </c>
      <c r="Q467" s="13">
        <f>IF(A467="","",A467&amp;"|"&amp;P467)</f>
        <v>0</v>
      </c>
      <c r="R467" s="43">
        <f>IF(AND(A467="",C467=""),"",IF(A467="","Add - which product?",IF(C467="","Add - which material?",IF(B467="Not found","Check - no such product ID",IF(D467="Add to Materials","Check - no such material ID",IF(OR(F467="",F467=0),"Add - how much?",IF(L467="","Check - that material has no price","OK")))))))</f>
        <v>0</v>
      </c>
    </row>
    <row r="468" spans="2:18">
      <c r="B468" s="13">
        <f>IF(A468="","",IFERROR(INDEX(Products!$B$5:$B$304,MATCH(A468,Products!$A$5:$A$304,0)),"Not found"))</f>
        <v>0</v>
      </c>
      <c r="D468" s="13">
        <f>IF(C468="","",IFERROR(INDEX(Materials!$B$5:$B$254,MATCH(C468,Materials!$A$5:$A$254,0)),"Add to Materials"))</f>
        <v>0</v>
      </c>
      <c r="E468" s="13">
        <f>IF(C468="","",IFERROR(INDEX(Materials!$H$5:$H$254,MATCH(C468,Materials!$A$5:$A$254,0)),"Add to Materials"))</f>
        <v>0</v>
      </c>
      <c r="J468" s="33">
        <f>IF(C468="","",IF(G468&lt;&gt;"",G468,IFERROR(INDEX(Materials!$W$5:$W$254,MATCH(C468,Materials!$A$5:$A$254,0)),DefaultWaste)))</f>
        <v>0</v>
      </c>
      <c r="K468" s="36">
        <f>IF(C468="","",IF(F468="","",ROUND(F468*(1+J468),4)))</f>
        <v>0</v>
      </c>
      <c r="L468" s="45">
        <f>IF(C468="","",IFERROR(INDEX(Materials!$S$5:$S$254,MATCH(C468,Materials!$A$5:$A$254,0)),""))</f>
        <v>0</v>
      </c>
      <c r="M468" s="45">
        <f>IF(C468="","",IF(OR(K468="",L468=""),"",ROUND(K468*L468,4)))</f>
        <v>0</v>
      </c>
      <c r="N468" s="20">
        <f>IF(A468="","",ROUND(SUMIFS('Material Usage'!$M$5:$M$904,'Material Usage'!$A$5:$A$904,A468),2))</f>
        <v>0</v>
      </c>
      <c r="O468" s="33">
        <f>IF(A468="","",IF(OR(M468="",N468="",N468=0),"",M468/N468))</f>
        <v>0</v>
      </c>
      <c r="P468" s="32">
        <f>IF(A468="","",COUNTIFS($A$5:A468,A468))</f>
        <v>0</v>
      </c>
      <c r="Q468" s="13">
        <f>IF(A468="","",A468&amp;"|"&amp;P468)</f>
        <v>0</v>
      </c>
      <c r="R468" s="43">
        <f>IF(AND(A468="",C468=""),"",IF(A468="","Add - which product?",IF(C468="","Add - which material?",IF(B468="Not found","Check - no such product ID",IF(D468="Add to Materials","Check - no such material ID",IF(OR(F468="",F468=0),"Add - how much?",IF(L468="","Check - that material has no price","OK")))))))</f>
        <v>0</v>
      </c>
    </row>
    <row r="469" spans="2:18">
      <c r="B469" s="13">
        <f>IF(A469="","",IFERROR(INDEX(Products!$B$5:$B$304,MATCH(A469,Products!$A$5:$A$304,0)),"Not found"))</f>
        <v>0</v>
      </c>
      <c r="D469" s="13">
        <f>IF(C469="","",IFERROR(INDEX(Materials!$B$5:$B$254,MATCH(C469,Materials!$A$5:$A$254,0)),"Add to Materials"))</f>
        <v>0</v>
      </c>
      <c r="E469" s="13">
        <f>IF(C469="","",IFERROR(INDEX(Materials!$H$5:$H$254,MATCH(C469,Materials!$A$5:$A$254,0)),"Add to Materials"))</f>
        <v>0</v>
      </c>
      <c r="J469" s="33">
        <f>IF(C469="","",IF(G469&lt;&gt;"",G469,IFERROR(INDEX(Materials!$W$5:$W$254,MATCH(C469,Materials!$A$5:$A$254,0)),DefaultWaste)))</f>
        <v>0</v>
      </c>
      <c r="K469" s="36">
        <f>IF(C469="","",IF(F469="","",ROUND(F469*(1+J469),4)))</f>
        <v>0</v>
      </c>
      <c r="L469" s="45">
        <f>IF(C469="","",IFERROR(INDEX(Materials!$S$5:$S$254,MATCH(C469,Materials!$A$5:$A$254,0)),""))</f>
        <v>0</v>
      </c>
      <c r="M469" s="45">
        <f>IF(C469="","",IF(OR(K469="",L469=""),"",ROUND(K469*L469,4)))</f>
        <v>0</v>
      </c>
      <c r="N469" s="20">
        <f>IF(A469="","",ROUND(SUMIFS('Material Usage'!$M$5:$M$904,'Material Usage'!$A$5:$A$904,A469),2))</f>
        <v>0</v>
      </c>
      <c r="O469" s="33">
        <f>IF(A469="","",IF(OR(M469="",N469="",N469=0),"",M469/N469))</f>
        <v>0</v>
      </c>
      <c r="P469" s="32">
        <f>IF(A469="","",COUNTIFS($A$5:A469,A469))</f>
        <v>0</v>
      </c>
      <c r="Q469" s="13">
        <f>IF(A469="","",A469&amp;"|"&amp;P469)</f>
        <v>0</v>
      </c>
      <c r="R469" s="43">
        <f>IF(AND(A469="",C469=""),"",IF(A469="","Add - which product?",IF(C469="","Add - which material?",IF(B469="Not found","Check - no such product ID",IF(D469="Add to Materials","Check - no such material ID",IF(OR(F469="",F469=0),"Add - how much?",IF(L469="","Check - that material has no price","OK")))))))</f>
        <v>0</v>
      </c>
    </row>
    <row r="470" spans="2:18">
      <c r="B470" s="13">
        <f>IF(A470="","",IFERROR(INDEX(Products!$B$5:$B$304,MATCH(A470,Products!$A$5:$A$304,0)),"Not found"))</f>
        <v>0</v>
      </c>
      <c r="D470" s="13">
        <f>IF(C470="","",IFERROR(INDEX(Materials!$B$5:$B$254,MATCH(C470,Materials!$A$5:$A$254,0)),"Add to Materials"))</f>
        <v>0</v>
      </c>
      <c r="E470" s="13">
        <f>IF(C470="","",IFERROR(INDEX(Materials!$H$5:$H$254,MATCH(C470,Materials!$A$5:$A$254,0)),"Add to Materials"))</f>
        <v>0</v>
      </c>
      <c r="J470" s="33">
        <f>IF(C470="","",IF(G470&lt;&gt;"",G470,IFERROR(INDEX(Materials!$W$5:$W$254,MATCH(C470,Materials!$A$5:$A$254,0)),DefaultWaste)))</f>
        <v>0</v>
      </c>
      <c r="K470" s="36">
        <f>IF(C470="","",IF(F470="","",ROUND(F470*(1+J470),4)))</f>
        <v>0</v>
      </c>
      <c r="L470" s="45">
        <f>IF(C470="","",IFERROR(INDEX(Materials!$S$5:$S$254,MATCH(C470,Materials!$A$5:$A$254,0)),""))</f>
        <v>0</v>
      </c>
      <c r="M470" s="45">
        <f>IF(C470="","",IF(OR(K470="",L470=""),"",ROUND(K470*L470,4)))</f>
        <v>0</v>
      </c>
      <c r="N470" s="20">
        <f>IF(A470="","",ROUND(SUMIFS('Material Usage'!$M$5:$M$904,'Material Usage'!$A$5:$A$904,A470),2))</f>
        <v>0</v>
      </c>
      <c r="O470" s="33">
        <f>IF(A470="","",IF(OR(M470="",N470="",N470=0),"",M470/N470))</f>
        <v>0</v>
      </c>
      <c r="P470" s="32">
        <f>IF(A470="","",COUNTIFS($A$5:A470,A470))</f>
        <v>0</v>
      </c>
      <c r="Q470" s="13">
        <f>IF(A470="","",A470&amp;"|"&amp;P470)</f>
        <v>0</v>
      </c>
      <c r="R470" s="43">
        <f>IF(AND(A470="",C470=""),"",IF(A470="","Add - which product?",IF(C470="","Add - which material?",IF(B470="Not found","Check - no such product ID",IF(D470="Add to Materials","Check - no such material ID",IF(OR(F470="",F470=0),"Add - how much?",IF(L470="","Check - that material has no price","OK")))))))</f>
        <v>0</v>
      </c>
    </row>
    <row r="471" spans="2:18">
      <c r="B471" s="13">
        <f>IF(A471="","",IFERROR(INDEX(Products!$B$5:$B$304,MATCH(A471,Products!$A$5:$A$304,0)),"Not found"))</f>
        <v>0</v>
      </c>
      <c r="D471" s="13">
        <f>IF(C471="","",IFERROR(INDEX(Materials!$B$5:$B$254,MATCH(C471,Materials!$A$5:$A$254,0)),"Add to Materials"))</f>
        <v>0</v>
      </c>
      <c r="E471" s="13">
        <f>IF(C471="","",IFERROR(INDEX(Materials!$H$5:$H$254,MATCH(C471,Materials!$A$5:$A$254,0)),"Add to Materials"))</f>
        <v>0</v>
      </c>
      <c r="J471" s="33">
        <f>IF(C471="","",IF(G471&lt;&gt;"",G471,IFERROR(INDEX(Materials!$W$5:$W$254,MATCH(C471,Materials!$A$5:$A$254,0)),DefaultWaste)))</f>
        <v>0</v>
      </c>
      <c r="K471" s="36">
        <f>IF(C471="","",IF(F471="","",ROUND(F471*(1+J471),4)))</f>
        <v>0</v>
      </c>
      <c r="L471" s="45">
        <f>IF(C471="","",IFERROR(INDEX(Materials!$S$5:$S$254,MATCH(C471,Materials!$A$5:$A$254,0)),""))</f>
        <v>0</v>
      </c>
      <c r="M471" s="45">
        <f>IF(C471="","",IF(OR(K471="",L471=""),"",ROUND(K471*L471,4)))</f>
        <v>0</v>
      </c>
      <c r="N471" s="20">
        <f>IF(A471="","",ROUND(SUMIFS('Material Usage'!$M$5:$M$904,'Material Usage'!$A$5:$A$904,A471),2))</f>
        <v>0</v>
      </c>
      <c r="O471" s="33">
        <f>IF(A471="","",IF(OR(M471="",N471="",N471=0),"",M471/N471))</f>
        <v>0</v>
      </c>
      <c r="P471" s="32">
        <f>IF(A471="","",COUNTIFS($A$5:A471,A471))</f>
        <v>0</v>
      </c>
      <c r="Q471" s="13">
        <f>IF(A471="","",A471&amp;"|"&amp;P471)</f>
        <v>0</v>
      </c>
      <c r="R471" s="43">
        <f>IF(AND(A471="",C471=""),"",IF(A471="","Add - which product?",IF(C471="","Add - which material?",IF(B471="Not found","Check - no such product ID",IF(D471="Add to Materials","Check - no such material ID",IF(OR(F471="",F471=0),"Add - how much?",IF(L471="","Check - that material has no price","OK")))))))</f>
        <v>0</v>
      </c>
    </row>
    <row r="472" spans="2:18">
      <c r="B472" s="13">
        <f>IF(A472="","",IFERROR(INDEX(Products!$B$5:$B$304,MATCH(A472,Products!$A$5:$A$304,0)),"Not found"))</f>
        <v>0</v>
      </c>
      <c r="D472" s="13">
        <f>IF(C472="","",IFERROR(INDEX(Materials!$B$5:$B$254,MATCH(C472,Materials!$A$5:$A$254,0)),"Add to Materials"))</f>
        <v>0</v>
      </c>
      <c r="E472" s="13">
        <f>IF(C472="","",IFERROR(INDEX(Materials!$H$5:$H$254,MATCH(C472,Materials!$A$5:$A$254,0)),"Add to Materials"))</f>
        <v>0</v>
      </c>
      <c r="J472" s="33">
        <f>IF(C472="","",IF(G472&lt;&gt;"",G472,IFERROR(INDEX(Materials!$W$5:$W$254,MATCH(C472,Materials!$A$5:$A$254,0)),DefaultWaste)))</f>
        <v>0</v>
      </c>
      <c r="K472" s="36">
        <f>IF(C472="","",IF(F472="","",ROUND(F472*(1+J472),4)))</f>
        <v>0</v>
      </c>
      <c r="L472" s="45">
        <f>IF(C472="","",IFERROR(INDEX(Materials!$S$5:$S$254,MATCH(C472,Materials!$A$5:$A$254,0)),""))</f>
        <v>0</v>
      </c>
      <c r="M472" s="45">
        <f>IF(C472="","",IF(OR(K472="",L472=""),"",ROUND(K472*L472,4)))</f>
        <v>0</v>
      </c>
      <c r="N472" s="20">
        <f>IF(A472="","",ROUND(SUMIFS('Material Usage'!$M$5:$M$904,'Material Usage'!$A$5:$A$904,A472),2))</f>
        <v>0</v>
      </c>
      <c r="O472" s="33">
        <f>IF(A472="","",IF(OR(M472="",N472="",N472=0),"",M472/N472))</f>
        <v>0</v>
      </c>
      <c r="P472" s="32">
        <f>IF(A472="","",COUNTIFS($A$5:A472,A472))</f>
        <v>0</v>
      </c>
      <c r="Q472" s="13">
        <f>IF(A472="","",A472&amp;"|"&amp;P472)</f>
        <v>0</v>
      </c>
      <c r="R472" s="43">
        <f>IF(AND(A472="",C472=""),"",IF(A472="","Add - which product?",IF(C472="","Add - which material?",IF(B472="Not found","Check - no such product ID",IF(D472="Add to Materials","Check - no such material ID",IF(OR(F472="",F472=0),"Add - how much?",IF(L472="","Check - that material has no price","OK")))))))</f>
        <v>0</v>
      </c>
    </row>
    <row r="473" spans="2:18">
      <c r="B473" s="13">
        <f>IF(A473="","",IFERROR(INDEX(Products!$B$5:$B$304,MATCH(A473,Products!$A$5:$A$304,0)),"Not found"))</f>
        <v>0</v>
      </c>
      <c r="D473" s="13">
        <f>IF(C473="","",IFERROR(INDEX(Materials!$B$5:$B$254,MATCH(C473,Materials!$A$5:$A$254,0)),"Add to Materials"))</f>
        <v>0</v>
      </c>
      <c r="E473" s="13">
        <f>IF(C473="","",IFERROR(INDEX(Materials!$H$5:$H$254,MATCH(C473,Materials!$A$5:$A$254,0)),"Add to Materials"))</f>
        <v>0</v>
      </c>
      <c r="J473" s="33">
        <f>IF(C473="","",IF(G473&lt;&gt;"",G473,IFERROR(INDEX(Materials!$W$5:$W$254,MATCH(C473,Materials!$A$5:$A$254,0)),DefaultWaste)))</f>
        <v>0</v>
      </c>
      <c r="K473" s="36">
        <f>IF(C473="","",IF(F473="","",ROUND(F473*(1+J473),4)))</f>
        <v>0</v>
      </c>
      <c r="L473" s="45">
        <f>IF(C473="","",IFERROR(INDEX(Materials!$S$5:$S$254,MATCH(C473,Materials!$A$5:$A$254,0)),""))</f>
        <v>0</v>
      </c>
      <c r="M473" s="45">
        <f>IF(C473="","",IF(OR(K473="",L473=""),"",ROUND(K473*L473,4)))</f>
        <v>0</v>
      </c>
      <c r="N473" s="20">
        <f>IF(A473="","",ROUND(SUMIFS('Material Usage'!$M$5:$M$904,'Material Usage'!$A$5:$A$904,A473),2))</f>
        <v>0</v>
      </c>
      <c r="O473" s="33">
        <f>IF(A473="","",IF(OR(M473="",N473="",N473=0),"",M473/N473))</f>
        <v>0</v>
      </c>
      <c r="P473" s="32">
        <f>IF(A473="","",COUNTIFS($A$5:A473,A473))</f>
        <v>0</v>
      </c>
      <c r="Q473" s="13">
        <f>IF(A473="","",A473&amp;"|"&amp;P473)</f>
        <v>0</v>
      </c>
      <c r="R473" s="43">
        <f>IF(AND(A473="",C473=""),"",IF(A473="","Add - which product?",IF(C473="","Add - which material?",IF(B473="Not found","Check - no such product ID",IF(D473="Add to Materials","Check - no such material ID",IF(OR(F473="",F473=0),"Add - how much?",IF(L473="","Check - that material has no price","OK")))))))</f>
        <v>0</v>
      </c>
    </row>
    <row r="474" spans="2:18">
      <c r="B474" s="13">
        <f>IF(A474="","",IFERROR(INDEX(Products!$B$5:$B$304,MATCH(A474,Products!$A$5:$A$304,0)),"Not found"))</f>
        <v>0</v>
      </c>
      <c r="D474" s="13">
        <f>IF(C474="","",IFERROR(INDEX(Materials!$B$5:$B$254,MATCH(C474,Materials!$A$5:$A$254,0)),"Add to Materials"))</f>
        <v>0</v>
      </c>
      <c r="E474" s="13">
        <f>IF(C474="","",IFERROR(INDEX(Materials!$H$5:$H$254,MATCH(C474,Materials!$A$5:$A$254,0)),"Add to Materials"))</f>
        <v>0</v>
      </c>
      <c r="J474" s="33">
        <f>IF(C474="","",IF(G474&lt;&gt;"",G474,IFERROR(INDEX(Materials!$W$5:$W$254,MATCH(C474,Materials!$A$5:$A$254,0)),DefaultWaste)))</f>
        <v>0</v>
      </c>
      <c r="K474" s="36">
        <f>IF(C474="","",IF(F474="","",ROUND(F474*(1+J474),4)))</f>
        <v>0</v>
      </c>
      <c r="L474" s="45">
        <f>IF(C474="","",IFERROR(INDEX(Materials!$S$5:$S$254,MATCH(C474,Materials!$A$5:$A$254,0)),""))</f>
        <v>0</v>
      </c>
      <c r="M474" s="45">
        <f>IF(C474="","",IF(OR(K474="",L474=""),"",ROUND(K474*L474,4)))</f>
        <v>0</v>
      </c>
      <c r="N474" s="20">
        <f>IF(A474="","",ROUND(SUMIFS('Material Usage'!$M$5:$M$904,'Material Usage'!$A$5:$A$904,A474),2))</f>
        <v>0</v>
      </c>
      <c r="O474" s="33">
        <f>IF(A474="","",IF(OR(M474="",N474="",N474=0),"",M474/N474))</f>
        <v>0</v>
      </c>
      <c r="P474" s="32">
        <f>IF(A474="","",COUNTIFS($A$5:A474,A474))</f>
        <v>0</v>
      </c>
      <c r="Q474" s="13">
        <f>IF(A474="","",A474&amp;"|"&amp;P474)</f>
        <v>0</v>
      </c>
      <c r="R474" s="43">
        <f>IF(AND(A474="",C474=""),"",IF(A474="","Add - which product?",IF(C474="","Add - which material?",IF(B474="Not found","Check - no such product ID",IF(D474="Add to Materials","Check - no such material ID",IF(OR(F474="",F474=0),"Add - how much?",IF(L474="","Check - that material has no price","OK")))))))</f>
        <v>0</v>
      </c>
    </row>
    <row r="475" spans="2:18">
      <c r="B475" s="13">
        <f>IF(A475="","",IFERROR(INDEX(Products!$B$5:$B$304,MATCH(A475,Products!$A$5:$A$304,0)),"Not found"))</f>
        <v>0</v>
      </c>
      <c r="D475" s="13">
        <f>IF(C475="","",IFERROR(INDEX(Materials!$B$5:$B$254,MATCH(C475,Materials!$A$5:$A$254,0)),"Add to Materials"))</f>
        <v>0</v>
      </c>
      <c r="E475" s="13">
        <f>IF(C475="","",IFERROR(INDEX(Materials!$H$5:$H$254,MATCH(C475,Materials!$A$5:$A$254,0)),"Add to Materials"))</f>
        <v>0</v>
      </c>
      <c r="J475" s="33">
        <f>IF(C475="","",IF(G475&lt;&gt;"",G475,IFERROR(INDEX(Materials!$W$5:$W$254,MATCH(C475,Materials!$A$5:$A$254,0)),DefaultWaste)))</f>
        <v>0</v>
      </c>
      <c r="K475" s="36">
        <f>IF(C475="","",IF(F475="","",ROUND(F475*(1+J475),4)))</f>
        <v>0</v>
      </c>
      <c r="L475" s="45">
        <f>IF(C475="","",IFERROR(INDEX(Materials!$S$5:$S$254,MATCH(C475,Materials!$A$5:$A$254,0)),""))</f>
        <v>0</v>
      </c>
      <c r="M475" s="45">
        <f>IF(C475="","",IF(OR(K475="",L475=""),"",ROUND(K475*L475,4)))</f>
        <v>0</v>
      </c>
      <c r="N475" s="20">
        <f>IF(A475="","",ROUND(SUMIFS('Material Usage'!$M$5:$M$904,'Material Usage'!$A$5:$A$904,A475),2))</f>
        <v>0</v>
      </c>
      <c r="O475" s="33">
        <f>IF(A475="","",IF(OR(M475="",N475="",N475=0),"",M475/N475))</f>
        <v>0</v>
      </c>
      <c r="P475" s="32">
        <f>IF(A475="","",COUNTIFS($A$5:A475,A475))</f>
        <v>0</v>
      </c>
      <c r="Q475" s="13">
        <f>IF(A475="","",A475&amp;"|"&amp;P475)</f>
        <v>0</v>
      </c>
      <c r="R475" s="43">
        <f>IF(AND(A475="",C475=""),"",IF(A475="","Add - which product?",IF(C475="","Add - which material?",IF(B475="Not found","Check - no such product ID",IF(D475="Add to Materials","Check - no such material ID",IF(OR(F475="",F475=0),"Add - how much?",IF(L475="","Check - that material has no price","OK")))))))</f>
        <v>0</v>
      </c>
    </row>
    <row r="476" spans="2:18">
      <c r="B476" s="13">
        <f>IF(A476="","",IFERROR(INDEX(Products!$B$5:$B$304,MATCH(A476,Products!$A$5:$A$304,0)),"Not found"))</f>
        <v>0</v>
      </c>
      <c r="D476" s="13">
        <f>IF(C476="","",IFERROR(INDEX(Materials!$B$5:$B$254,MATCH(C476,Materials!$A$5:$A$254,0)),"Add to Materials"))</f>
        <v>0</v>
      </c>
      <c r="E476" s="13">
        <f>IF(C476="","",IFERROR(INDEX(Materials!$H$5:$H$254,MATCH(C476,Materials!$A$5:$A$254,0)),"Add to Materials"))</f>
        <v>0</v>
      </c>
      <c r="J476" s="33">
        <f>IF(C476="","",IF(G476&lt;&gt;"",G476,IFERROR(INDEX(Materials!$W$5:$W$254,MATCH(C476,Materials!$A$5:$A$254,0)),DefaultWaste)))</f>
        <v>0</v>
      </c>
      <c r="K476" s="36">
        <f>IF(C476="","",IF(F476="","",ROUND(F476*(1+J476),4)))</f>
        <v>0</v>
      </c>
      <c r="L476" s="45">
        <f>IF(C476="","",IFERROR(INDEX(Materials!$S$5:$S$254,MATCH(C476,Materials!$A$5:$A$254,0)),""))</f>
        <v>0</v>
      </c>
      <c r="M476" s="45">
        <f>IF(C476="","",IF(OR(K476="",L476=""),"",ROUND(K476*L476,4)))</f>
        <v>0</v>
      </c>
      <c r="N476" s="20">
        <f>IF(A476="","",ROUND(SUMIFS('Material Usage'!$M$5:$M$904,'Material Usage'!$A$5:$A$904,A476),2))</f>
        <v>0</v>
      </c>
      <c r="O476" s="33">
        <f>IF(A476="","",IF(OR(M476="",N476="",N476=0),"",M476/N476))</f>
        <v>0</v>
      </c>
      <c r="P476" s="32">
        <f>IF(A476="","",COUNTIFS($A$5:A476,A476))</f>
        <v>0</v>
      </c>
      <c r="Q476" s="13">
        <f>IF(A476="","",A476&amp;"|"&amp;P476)</f>
        <v>0</v>
      </c>
      <c r="R476" s="43">
        <f>IF(AND(A476="",C476=""),"",IF(A476="","Add - which product?",IF(C476="","Add - which material?",IF(B476="Not found","Check - no such product ID",IF(D476="Add to Materials","Check - no such material ID",IF(OR(F476="",F476=0),"Add - how much?",IF(L476="","Check - that material has no price","OK")))))))</f>
        <v>0</v>
      </c>
    </row>
    <row r="477" spans="2:18">
      <c r="B477" s="13">
        <f>IF(A477="","",IFERROR(INDEX(Products!$B$5:$B$304,MATCH(A477,Products!$A$5:$A$304,0)),"Not found"))</f>
        <v>0</v>
      </c>
      <c r="D477" s="13">
        <f>IF(C477="","",IFERROR(INDEX(Materials!$B$5:$B$254,MATCH(C477,Materials!$A$5:$A$254,0)),"Add to Materials"))</f>
        <v>0</v>
      </c>
      <c r="E477" s="13">
        <f>IF(C477="","",IFERROR(INDEX(Materials!$H$5:$H$254,MATCH(C477,Materials!$A$5:$A$254,0)),"Add to Materials"))</f>
        <v>0</v>
      </c>
      <c r="J477" s="33">
        <f>IF(C477="","",IF(G477&lt;&gt;"",G477,IFERROR(INDEX(Materials!$W$5:$W$254,MATCH(C477,Materials!$A$5:$A$254,0)),DefaultWaste)))</f>
        <v>0</v>
      </c>
      <c r="K477" s="36">
        <f>IF(C477="","",IF(F477="","",ROUND(F477*(1+J477),4)))</f>
        <v>0</v>
      </c>
      <c r="L477" s="45">
        <f>IF(C477="","",IFERROR(INDEX(Materials!$S$5:$S$254,MATCH(C477,Materials!$A$5:$A$254,0)),""))</f>
        <v>0</v>
      </c>
      <c r="M477" s="45">
        <f>IF(C477="","",IF(OR(K477="",L477=""),"",ROUND(K477*L477,4)))</f>
        <v>0</v>
      </c>
      <c r="N477" s="20">
        <f>IF(A477="","",ROUND(SUMIFS('Material Usage'!$M$5:$M$904,'Material Usage'!$A$5:$A$904,A477),2))</f>
        <v>0</v>
      </c>
      <c r="O477" s="33">
        <f>IF(A477="","",IF(OR(M477="",N477="",N477=0),"",M477/N477))</f>
        <v>0</v>
      </c>
      <c r="P477" s="32">
        <f>IF(A477="","",COUNTIFS($A$5:A477,A477))</f>
        <v>0</v>
      </c>
      <c r="Q477" s="13">
        <f>IF(A477="","",A477&amp;"|"&amp;P477)</f>
        <v>0</v>
      </c>
      <c r="R477" s="43">
        <f>IF(AND(A477="",C477=""),"",IF(A477="","Add - which product?",IF(C477="","Add - which material?",IF(B477="Not found","Check - no such product ID",IF(D477="Add to Materials","Check - no such material ID",IF(OR(F477="",F477=0),"Add - how much?",IF(L477="","Check - that material has no price","OK")))))))</f>
        <v>0</v>
      </c>
    </row>
    <row r="478" spans="2:18">
      <c r="B478" s="13">
        <f>IF(A478="","",IFERROR(INDEX(Products!$B$5:$B$304,MATCH(A478,Products!$A$5:$A$304,0)),"Not found"))</f>
        <v>0</v>
      </c>
      <c r="D478" s="13">
        <f>IF(C478="","",IFERROR(INDEX(Materials!$B$5:$B$254,MATCH(C478,Materials!$A$5:$A$254,0)),"Add to Materials"))</f>
        <v>0</v>
      </c>
      <c r="E478" s="13">
        <f>IF(C478="","",IFERROR(INDEX(Materials!$H$5:$H$254,MATCH(C478,Materials!$A$5:$A$254,0)),"Add to Materials"))</f>
        <v>0</v>
      </c>
      <c r="J478" s="33">
        <f>IF(C478="","",IF(G478&lt;&gt;"",G478,IFERROR(INDEX(Materials!$W$5:$W$254,MATCH(C478,Materials!$A$5:$A$254,0)),DefaultWaste)))</f>
        <v>0</v>
      </c>
      <c r="K478" s="36">
        <f>IF(C478="","",IF(F478="","",ROUND(F478*(1+J478),4)))</f>
        <v>0</v>
      </c>
      <c r="L478" s="45">
        <f>IF(C478="","",IFERROR(INDEX(Materials!$S$5:$S$254,MATCH(C478,Materials!$A$5:$A$254,0)),""))</f>
        <v>0</v>
      </c>
      <c r="M478" s="45">
        <f>IF(C478="","",IF(OR(K478="",L478=""),"",ROUND(K478*L478,4)))</f>
        <v>0</v>
      </c>
      <c r="N478" s="20">
        <f>IF(A478="","",ROUND(SUMIFS('Material Usage'!$M$5:$M$904,'Material Usage'!$A$5:$A$904,A478),2))</f>
        <v>0</v>
      </c>
      <c r="O478" s="33">
        <f>IF(A478="","",IF(OR(M478="",N478="",N478=0),"",M478/N478))</f>
        <v>0</v>
      </c>
      <c r="P478" s="32">
        <f>IF(A478="","",COUNTIFS($A$5:A478,A478))</f>
        <v>0</v>
      </c>
      <c r="Q478" s="13">
        <f>IF(A478="","",A478&amp;"|"&amp;P478)</f>
        <v>0</v>
      </c>
      <c r="R478" s="43">
        <f>IF(AND(A478="",C478=""),"",IF(A478="","Add - which product?",IF(C478="","Add - which material?",IF(B478="Not found","Check - no such product ID",IF(D478="Add to Materials","Check - no such material ID",IF(OR(F478="",F478=0),"Add - how much?",IF(L478="","Check - that material has no price","OK")))))))</f>
        <v>0</v>
      </c>
    </row>
    <row r="479" spans="2:18">
      <c r="B479" s="13">
        <f>IF(A479="","",IFERROR(INDEX(Products!$B$5:$B$304,MATCH(A479,Products!$A$5:$A$304,0)),"Not found"))</f>
        <v>0</v>
      </c>
      <c r="D479" s="13">
        <f>IF(C479="","",IFERROR(INDEX(Materials!$B$5:$B$254,MATCH(C479,Materials!$A$5:$A$254,0)),"Add to Materials"))</f>
        <v>0</v>
      </c>
      <c r="E479" s="13">
        <f>IF(C479="","",IFERROR(INDEX(Materials!$H$5:$H$254,MATCH(C479,Materials!$A$5:$A$254,0)),"Add to Materials"))</f>
        <v>0</v>
      </c>
      <c r="J479" s="33">
        <f>IF(C479="","",IF(G479&lt;&gt;"",G479,IFERROR(INDEX(Materials!$W$5:$W$254,MATCH(C479,Materials!$A$5:$A$254,0)),DefaultWaste)))</f>
        <v>0</v>
      </c>
      <c r="K479" s="36">
        <f>IF(C479="","",IF(F479="","",ROUND(F479*(1+J479),4)))</f>
        <v>0</v>
      </c>
      <c r="L479" s="45">
        <f>IF(C479="","",IFERROR(INDEX(Materials!$S$5:$S$254,MATCH(C479,Materials!$A$5:$A$254,0)),""))</f>
        <v>0</v>
      </c>
      <c r="M479" s="45">
        <f>IF(C479="","",IF(OR(K479="",L479=""),"",ROUND(K479*L479,4)))</f>
        <v>0</v>
      </c>
      <c r="N479" s="20">
        <f>IF(A479="","",ROUND(SUMIFS('Material Usage'!$M$5:$M$904,'Material Usage'!$A$5:$A$904,A479),2))</f>
        <v>0</v>
      </c>
      <c r="O479" s="33">
        <f>IF(A479="","",IF(OR(M479="",N479="",N479=0),"",M479/N479))</f>
        <v>0</v>
      </c>
      <c r="P479" s="32">
        <f>IF(A479="","",COUNTIFS($A$5:A479,A479))</f>
        <v>0</v>
      </c>
      <c r="Q479" s="13">
        <f>IF(A479="","",A479&amp;"|"&amp;P479)</f>
        <v>0</v>
      </c>
      <c r="R479" s="43">
        <f>IF(AND(A479="",C479=""),"",IF(A479="","Add - which product?",IF(C479="","Add - which material?",IF(B479="Not found","Check - no such product ID",IF(D479="Add to Materials","Check - no such material ID",IF(OR(F479="",F479=0),"Add - how much?",IF(L479="","Check - that material has no price","OK")))))))</f>
        <v>0</v>
      </c>
    </row>
    <row r="480" spans="2:18">
      <c r="B480" s="13">
        <f>IF(A480="","",IFERROR(INDEX(Products!$B$5:$B$304,MATCH(A480,Products!$A$5:$A$304,0)),"Not found"))</f>
        <v>0</v>
      </c>
      <c r="D480" s="13">
        <f>IF(C480="","",IFERROR(INDEX(Materials!$B$5:$B$254,MATCH(C480,Materials!$A$5:$A$254,0)),"Add to Materials"))</f>
        <v>0</v>
      </c>
      <c r="E480" s="13">
        <f>IF(C480="","",IFERROR(INDEX(Materials!$H$5:$H$254,MATCH(C480,Materials!$A$5:$A$254,0)),"Add to Materials"))</f>
        <v>0</v>
      </c>
      <c r="J480" s="33">
        <f>IF(C480="","",IF(G480&lt;&gt;"",G480,IFERROR(INDEX(Materials!$W$5:$W$254,MATCH(C480,Materials!$A$5:$A$254,0)),DefaultWaste)))</f>
        <v>0</v>
      </c>
      <c r="K480" s="36">
        <f>IF(C480="","",IF(F480="","",ROUND(F480*(1+J480),4)))</f>
        <v>0</v>
      </c>
      <c r="L480" s="45">
        <f>IF(C480="","",IFERROR(INDEX(Materials!$S$5:$S$254,MATCH(C480,Materials!$A$5:$A$254,0)),""))</f>
        <v>0</v>
      </c>
      <c r="M480" s="45">
        <f>IF(C480="","",IF(OR(K480="",L480=""),"",ROUND(K480*L480,4)))</f>
        <v>0</v>
      </c>
      <c r="N480" s="20">
        <f>IF(A480="","",ROUND(SUMIFS('Material Usage'!$M$5:$M$904,'Material Usage'!$A$5:$A$904,A480),2))</f>
        <v>0</v>
      </c>
      <c r="O480" s="33">
        <f>IF(A480="","",IF(OR(M480="",N480="",N480=0),"",M480/N480))</f>
        <v>0</v>
      </c>
      <c r="P480" s="32">
        <f>IF(A480="","",COUNTIFS($A$5:A480,A480))</f>
        <v>0</v>
      </c>
      <c r="Q480" s="13">
        <f>IF(A480="","",A480&amp;"|"&amp;P480)</f>
        <v>0</v>
      </c>
      <c r="R480" s="43">
        <f>IF(AND(A480="",C480=""),"",IF(A480="","Add - which product?",IF(C480="","Add - which material?",IF(B480="Not found","Check - no such product ID",IF(D480="Add to Materials","Check - no such material ID",IF(OR(F480="",F480=0),"Add - how much?",IF(L480="","Check - that material has no price","OK")))))))</f>
        <v>0</v>
      </c>
    </row>
    <row r="481" spans="2:18">
      <c r="B481" s="13">
        <f>IF(A481="","",IFERROR(INDEX(Products!$B$5:$B$304,MATCH(A481,Products!$A$5:$A$304,0)),"Not found"))</f>
        <v>0</v>
      </c>
      <c r="D481" s="13">
        <f>IF(C481="","",IFERROR(INDEX(Materials!$B$5:$B$254,MATCH(C481,Materials!$A$5:$A$254,0)),"Add to Materials"))</f>
        <v>0</v>
      </c>
      <c r="E481" s="13">
        <f>IF(C481="","",IFERROR(INDEX(Materials!$H$5:$H$254,MATCH(C481,Materials!$A$5:$A$254,0)),"Add to Materials"))</f>
        <v>0</v>
      </c>
      <c r="J481" s="33">
        <f>IF(C481="","",IF(G481&lt;&gt;"",G481,IFERROR(INDEX(Materials!$W$5:$W$254,MATCH(C481,Materials!$A$5:$A$254,0)),DefaultWaste)))</f>
        <v>0</v>
      </c>
      <c r="K481" s="36">
        <f>IF(C481="","",IF(F481="","",ROUND(F481*(1+J481),4)))</f>
        <v>0</v>
      </c>
      <c r="L481" s="45">
        <f>IF(C481="","",IFERROR(INDEX(Materials!$S$5:$S$254,MATCH(C481,Materials!$A$5:$A$254,0)),""))</f>
        <v>0</v>
      </c>
      <c r="M481" s="45">
        <f>IF(C481="","",IF(OR(K481="",L481=""),"",ROUND(K481*L481,4)))</f>
        <v>0</v>
      </c>
      <c r="N481" s="20">
        <f>IF(A481="","",ROUND(SUMIFS('Material Usage'!$M$5:$M$904,'Material Usage'!$A$5:$A$904,A481),2))</f>
        <v>0</v>
      </c>
      <c r="O481" s="33">
        <f>IF(A481="","",IF(OR(M481="",N481="",N481=0),"",M481/N481))</f>
        <v>0</v>
      </c>
      <c r="P481" s="32">
        <f>IF(A481="","",COUNTIFS($A$5:A481,A481))</f>
        <v>0</v>
      </c>
      <c r="Q481" s="13">
        <f>IF(A481="","",A481&amp;"|"&amp;P481)</f>
        <v>0</v>
      </c>
      <c r="R481" s="43">
        <f>IF(AND(A481="",C481=""),"",IF(A481="","Add - which product?",IF(C481="","Add - which material?",IF(B481="Not found","Check - no such product ID",IF(D481="Add to Materials","Check - no such material ID",IF(OR(F481="",F481=0),"Add - how much?",IF(L481="","Check - that material has no price","OK")))))))</f>
        <v>0</v>
      </c>
    </row>
    <row r="482" spans="2:18">
      <c r="B482" s="13">
        <f>IF(A482="","",IFERROR(INDEX(Products!$B$5:$B$304,MATCH(A482,Products!$A$5:$A$304,0)),"Not found"))</f>
        <v>0</v>
      </c>
      <c r="D482" s="13">
        <f>IF(C482="","",IFERROR(INDEX(Materials!$B$5:$B$254,MATCH(C482,Materials!$A$5:$A$254,0)),"Add to Materials"))</f>
        <v>0</v>
      </c>
      <c r="E482" s="13">
        <f>IF(C482="","",IFERROR(INDEX(Materials!$H$5:$H$254,MATCH(C482,Materials!$A$5:$A$254,0)),"Add to Materials"))</f>
        <v>0</v>
      </c>
      <c r="J482" s="33">
        <f>IF(C482="","",IF(G482&lt;&gt;"",G482,IFERROR(INDEX(Materials!$W$5:$W$254,MATCH(C482,Materials!$A$5:$A$254,0)),DefaultWaste)))</f>
        <v>0</v>
      </c>
      <c r="K482" s="36">
        <f>IF(C482="","",IF(F482="","",ROUND(F482*(1+J482),4)))</f>
        <v>0</v>
      </c>
      <c r="L482" s="45">
        <f>IF(C482="","",IFERROR(INDEX(Materials!$S$5:$S$254,MATCH(C482,Materials!$A$5:$A$254,0)),""))</f>
        <v>0</v>
      </c>
      <c r="M482" s="45">
        <f>IF(C482="","",IF(OR(K482="",L482=""),"",ROUND(K482*L482,4)))</f>
        <v>0</v>
      </c>
      <c r="N482" s="20">
        <f>IF(A482="","",ROUND(SUMIFS('Material Usage'!$M$5:$M$904,'Material Usage'!$A$5:$A$904,A482),2))</f>
        <v>0</v>
      </c>
      <c r="O482" s="33">
        <f>IF(A482="","",IF(OR(M482="",N482="",N482=0),"",M482/N482))</f>
        <v>0</v>
      </c>
      <c r="P482" s="32">
        <f>IF(A482="","",COUNTIFS($A$5:A482,A482))</f>
        <v>0</v>
      </c>
      <c r="Q482" s="13">
        <f>IF(A482="","",A482&amp;"|"&amp;P482)</f>
        <v>0</v>
      </c>
      <c r="R482" s="43">
        <f>IF(AND(A482="",C482=""),"",IF(A482="","Add - which product?",IF(C482="","Add - which material?",IF(B482="Not found","Check - no such product ID",IF(D482="Add to Materials","Check - no such material ID",IF(OR(F482="",F482=0),"Add - how much?",IF(L482="","Check - that material has no price","OK")))))))</f>
        <v>0</v>
      </c>
    </row>
    <row r="483" spans="2:18">
      <c r="B483" s="13">
        <f>IF(A483="","",IFERROR(INDEX(Products!$B$5:$B$304,MATCH(A483,Products!$A$5:$A$304,0)),"Not found"))</f>
        <v>0</v>
      </c>
      <c r="D483" s="13">
        <f>IF(C483="","",IFERROR(INDEX(Materials!$B$5:$B$254,MATCH(C483,Materials!$A$5:$A$254,0)),"Add to Materials"))</f>
        <v>0</v>
      </c>
      <c r="E483" s="13">
        <f>IF(C483="","",IFERROR(INDEX(Materials!$H$5:$H$254,MATCH(C483,Materials!$A$5:$A$254,0)),"Add to Materials"))</f>
        <v>0</v>
      </c>
      <c r="J483" s="33">
        <f>IF(C483="","",IF(G483&lt;&gt;"",G483,IFERROR(INDEX(Materials!$W$5:$W$254,MATCH(C483,Materials!$A$5:$A$254,0)),DefaultWaste)))</f>
        <v>0</v>
      </c>
      <c r="K483" s="36">
        <f>IF(C483="","",IF(F483="","",ROUND(F483*(1+J483),4)))</f>
        <v>0</v>
      </c>
      <c r="L483" s="45">
        <f>IF(C483="","",IFERROR(INDEX(Materials!$S$5:$S$254,MATCH(C483,Materials!$A$5:$A$254,0)),""))</f>
        <v>0</v>
      </c>
      <c r="M483" s="45">
        <f>IF(C483="","",IF(OR(K483="",L483=""),"",ROUND(K483*L483,4)))</f>
        <v>0</v>
      </c>
      <c r="N483" s="20">
        <f>IF(A483="","",ROUND(SUMIFS('Material Usage'!$M$5:$M$904,'Material Usage'!$A$5:$A$904,A483),2))</f>
        <v>0</v>
      </c>
      <c r="O483" s="33">
        <f>IF(A483="","",IF(OR(M483="",N483="",N483=0),"",M483/N483))</f>
        <v>0</v>
      </c>
      <c r="P483" s="32">
        <f>IF(A483="","",COUNTIFS($A$5:A483,A483))</f>
        <v>0</v>
      </c>
      <c r="Q483" s="13">
        <f>IF(A483="","",A483&amp;"|"&amp;P483)</f>
        <v>0</v>
      </c>
      <c r="R483" s="43">
        <f>IF(AND(A483="",C483=""),"",IF(A483="","Add - which product?",IF(C483="","Add - which material?",IF(B483="Not found","Check - no such product ID",IF(D483="Add to Materials","Check - no such material ID",IF(OR(F483="",F483=0),"Add - how much?",IF(L483="","Check - that material has no price","OK")))))))</f>
        <v>0</v>
      </c>
    </row>
    <row r="484" spans="2:18">
      <c r="B484" s="13">
        <f>IF(A484="","",IFERROR(INDEX(Products!$B$5:$B$304,MATCH(A484,Products!$A$5:$A$304,0)),"Not found"))</f>
        <v>0</v>
      </c>
      <c r="D484" s="13">
        <f>IF(C484="","",IFERROR(INDEX(Materials!$B$5:$B$254,MATCH(C484,Materials!$A$5:$A$254,0)),"Add to Materials"))</f>
        <v>0</v>
      </c>
      <c r="E484" s="13">
        <f>IF(C484="","",IFERROR(INDEX(Materials!$H$5:$H$254,MATCH(C484,Materials!$A$5:$A$254,0)),"Add to Materials"))</f>
        <v>0</v>
      </c>
      <c r="J484" s="33">
        <f>IF(C484="","",IF(G484&lt;&gt;"",G484,IFERROR(INDEX(Materials!$W$5:$W$254,MATCH(C484,Materials!$A$5:$A$254,0)),DefaultWaste)))</f>
        <v>0</v>
      </c>
      <c r="K484" s="36">
        <f>IF(C484="","",IF(F484="","",ROUND(F484*(1+J484),4)))</f>
        <v>0</v>
      </c>
      <c r="L484" s="45">
        <f>IF(C484="","",IFERROR(INDEX(Materials!$S$5:$S$254,MATCH(C484,Materials!$A$5:$A$254,0)),""))</f>
        <v>0</v>
      </c>
      <c r="M484" s="45">
        <f>IF(C484="","",IF(OR(K484="",L484=""),"",ROUND(K484*L484,4)))</f>
        <v>0</v>
      </c>
      <c r="N484" s="20">
        <f>IF(A484="","",ROUND(SUMIFS('Material Usage'!$M$5:$M$904,'Material Usage'!$A$5:$A$904,A484),2))</f>
        <v>0</v>
      </c>
      <c r="O484" s="33">
        <f>IF(A484="","",IF(OR(M484="",N484="",N484=0),"",M484/N484))</f>
        <v>0</v>
      </c>
      <c r="P484" s="32">
        <f>IF(A484="","",COUNTIFS($A$5:A484,A484))</f>
        <v>0</v>
      </c>
      <c r="Q484" s="13">
        <f>IF(A484="","",A484&amp;"|"&amp;P484)</f>
        <v>0</v>
      </c>
      <c r="R484" s="43">
        <f>IF(AND(A484="",C484=""),"",IF(A484="","Add - which product?",IF(C484="","Add - which material?",IF(B484="Not found","Check - no such product ID",IF(D484="Add to Materials","Check - no such material ID",IF(OR(F484="",F484=0),"Add - how much?",IF(L484="","Check - that material has no price","OK")))))))</f>
        <v>0</v>
      </c>
    </row>
    <row r="485" spans="2:18">
      <c r="B485" s="13">
        <f>IF(A485="","",IFERROR(INDEX(Products!$B$5:$B$304,MATCH(A485,Products!$A$5:$A$304,0)),"Not found"))</f>
        <v>0</v>
      </c>
      <c r="D485" s="13">
        <f>IF(C485="","",IFERROR(INDEX(Materials!$B$5:$B$254,MATCH(C485,Materials!$A$5:$A$254,0)),"Add to Materials"))</f>
        <v>0</v>
      </c>
      <c r="E485" s="13">
        <f>IF(C485="","",IFERROR(INDEX(Materials!$H$5:$H$254,MATCH(C485,Materials!$A$5:$A$254,0)),"Add to Materials"))</f>
        <v>0</v>
      </c>
      <c r="J485" s="33">
        <f>IF(C485="","",IF(G485&lt;&gt;"",G485,IFERROR(INDEX(Materials!$W$5:$W$254,MATCH(C485,Materials!$A$5:$A$254,0)),DefaultWaste)))</f>
        <v>0</v>
      </c>
      <c r="K485" s="36">
        <f>IF(C485="","",IF(F485="","",ROUND(F485*(1+J485),4)))</f>
        <v>0</v>
      </c>
      <c r="L485" s="45">
        <f>IF(C485="","",IFERROR(INDEX(Materials!$S$5:$S$254,MATCH(C485,Materials!$A$5:$A$254,0)),""))</f>
        <v>0</v>
      </c>
      <c r="M485" s="45">
        <f>IF(C485="","",IF(OR(K485="",L485=""),"",ROUND(K485*L485,4)))</f>
        <v>0</v>
      </c>
      <c r="N485" s="20">
        <f>IF(A485="","",ROUND(SUMIFS('Material Usage'!$M$5:$M$904,'Material Usage'!$A$5:$A$904,A485),2))</f>
        <v>0</v>
      </c>
      <c r="O485" s="33">
        <f>IF(A485="","",IF(OR(M485="",N485="",N485=0),"",M485/N485))</f>
        <v>0</v>
      </c>
      <c r="P485" s="32">
        <f>IF(A485="","",COUNTIFS($A$5:A485,A485))</f>
        <v>0</v>
      </c>
      <c r="Q485" s="13">
        <f>IF(A485="","",A485&amp;"|"&amp;P485)</f>
        <v>0</v>
      </c>
      <c r="R485" s="43">
        <f>IF(AND(A485="",C485=""),"",IF(A485="","Add - which product?",IF(C485="","Add - which material?",IF(B485="Not found","Check - no such product ID",IF(D485="Add to Materials","Check - no such material ID",IF(OR(F485="",F485=0),"Add - how much?",IF(L485="","Check - that material has no price","OK")))))))</f>
        <v>0</v>
      </c>
    </row>
    <row r="486" spans="2:18">
      <c r="B486" s="13">
        <f>IF(A486="","",IFERROR(INDEX(Products!$B$5:$B$304,MATCH(A486,Products!$A$5:$A$304,0)),"Not found"))</f>
        <v>0</v>
      </c>
      <c r="D486" s="13">
        <f>IF(C486="","",IFERROR(INDEX(Materials!$B$5:$B$254,MATCH(C486,Materials!$A$5:$A$254,0)),"Add to Materials"))</f>
        <v>0</v>
      </c>
      <c r="E486" s="13">
        <f>IF(C486="","",IFERROR(INDEX(Materials!$H$5:$H$254,MATCH(C486,Materials!$A$5:$A$254,0)),"Add to Materials"))</f>
        <v>0</v>
      </c>
      <c r="J486" s="33">
        <f>IF(C486="","",IF(G486&lt;&gt;"",G486,IFERROR(INDEX(Materials!$W$5:$W$254,MATCH(C486,Materials!$A$5:$A$254,0)),DefaultWaste)))</f>
        <v>0</v>
      </c>
      <c r="K486" s="36">
        <f>IF(C486="","",IF(F486="","",ROUND(F486*(1+J486),4)))</f>
        <v>0</v>
      </c>
      <c r="L486" s="45">
        <f>IF(C486="","",IFERROR(INDEX(Materials!$S$5:$S$254,MATCH(C486,Materials!$A$5:$A$254,0)),""))</f>
        <v>0</v>
      </c>
      <c r="M486" s="45">
        <f>IF(C486="","",IF(OR(K486="",L486=""),"",ROUND(K486*L486,4)))</f>
        <v>0</v>
      </c>
      <c r="N486" s="20">
        <f>IF(A486="","",ROUND(SUMIFS('Material Usage'!$M$5:$M$904,'Material Usage'!$A$5:$A$904,A486),2))</f>
        <v>0</v>
      </c>
      <c r="O486" s="33">
        <f>IF(A486="","",IF(OR(M486="",N486="",N486=0),"",M486/N486))</f>
        <v>0</v>
      </c>
      <c r="P486" s="32">
        <f>IF(A486="","",COUNTIFS($A$5:A486,A486))</f>
        <v>0</v>
      </c>
      <c r="Q486" s="13">
        <f>IF(A486="","",A486&amp;"|"&amp;P486)</f>
        <v>0</v>
      </c>
      <c r="R486" s="43">
        <f>IF(AND(A486="",C486=""),"",IF(A486="","Add - which product?",IF(C486="","Add - which material?",IF(B486="Not found","Check - no such product ID",IF(D486="Add to Materials","Check - no such material ID",IF(OR(F486="",F486=0),"Add - how much?",IF(L486="","Check - that material has no price","OK")))))))</f>
        <v>0</v>
      </c>
    </row>
    <row r="487" spans="2:18">
      <c r="B487" s="13">
        <f>IF(A487="","",IFERROR(INDEX(Products!$B$5:$B$304,MATCH(A487,Products!$A$5:$A$304,0)),"Not found"))</f>
        <v>0</v>
      </c>
      <c r="D487" s="13">
        <f>IF(C487="","",IFERROR(INDEX(Materials!$B$5:$B$254,MATCH(C487,Materials!$A$5:$A$254,0)),"Add to Materials"))</f>
        <v>0</v>
      </c>
      <c r="E487" s="13">
        <f>IF(C487="","",IFERROR(INDEX(Materials!$H$5:$H$254,MATCH(C487,Materials!$A$5:$A$254,0)),"Add to Materials"))</f>
        <v>0</v>
      </c>
      <c r="J487" s="33">
        <f>IF(C487="","",IF(G487&lt;&gt;"",G487,IFERROR(INDEX(Materials!$W$5:$W$254,MATCH(C487,Materials!$A$5:$A$254,0)),DefaultWaste)))</f>
        <v>0</v>
      </c>
      <c r="K487" s="36">
        <f>IF(C487="","",IF(F487="","",ROUND(F487*(1+J487),4)))</f>
        <v>0</v>
      </c>
      <c r="L487" s="45">
        <f>IF(C487="","",IFERROR(INDEX(Materials!$S$5:$S$254,MATCH(C487,Materials!$A$5:$A$254,0)),""))</f>
        <v>0</v>
      </c>
      <c r="M487" s="45">
        <f>IF(C487="","",IF(OR(K487="",L487=""),"",ROUND(K487*L487,4)))</f>
        <v>0</v>
      </c>
      <c r="N487" s="20">
        <f>IF(A487="","",ROUND(SUMIFS('Material Usage'!$M$5:$M$904,'Material Usage'!$A$5:$A$904,A487),2))</f>
        <v>0</v>
      </c>
      <c r="O487" s="33">
        <f>IF(A487="","",IF(OR(M487="",N487="",N487=0),"",M487/N487))</f>
        <v>0</v>
      </c>
      <c r="P487" s="32">
        <f>IF(A487="","",COUNTIFS($A$5:A487,A487))</f>
        <v>0</v>
      </c>
      <c r="Q487" s="13">
        <f>IF(A487="","",A487&amp;"|"&amp;P487)</f>
        <v>0</v>
      </c>
      <c r="R487" s="43">
        <f>IF(AND(A487="",C487=""),"",IF(A487="","Add - which product?",IF(C487="","Add - which material?",IF(B487="Not found","Check - no such product ID",IF(D487="Add to Materials","Check - no such material ID",IF(OR(F487="",F487=0),"Add - how much?",IF(L487="","Check - that material has no price","OK")))))))</f>
        <v>0</v>
      </c>
    </row>
    <row r="488" spans="2:18">
      <c r="B488" s="13">
        <f>IF(A488="","",IFERROR(INDEX(Products!$B$5:$B$304,MATCH(A488,Products!$A$5:$A$304,0)),"Not found"))</f>
        <v>0</v>
      </c>
      <c r="D488" s="13">
        <f>IF(C488="","",IFERROR(INDEX(Materials!$B$5:$B$254,MATCH(C488,Materials!$A$5:$A$254,0)),"Add to Materials"))</f>
        <v>0</v>
      </c>
      <c r="E488" s="13">
        <f>IF(C488="","",IFERROR(INDEX(Materials!$H$5:$H$254,MATCH(C488,Materials!$A$5:$A$254,0)),"Add to Materials"))</f>
        <v>0</v>
      </c>
      <c r="J488" s="33">
        <f>IF(C488="","",IF(G488&lt;&gt;"",G488,IFERROR(INDEX(Materials!$W$5:$W$254,MATCH(C488,Materials!$A$5:$A$254,0)),DefaultWaste)))</f>
        <v>0</v>
      </c>
      <c r="K488" s="36">
        <f>IF(C488="","",IF(F488="","",ROUND(F488*(1+J488),4)))</f>
        <v>0</v>
      </c>
      <c r="L488" s="45">
        <f>IF(C488="","",IFERROR(INDEX(Materials!$S$5:$S$254,MATCH(C488,Materials!$A$5:$A$254,0)),""))</f>
        <v>0</v>
      </c>
      <c r="M488" s="45">
        <f>IF(C488="","",IF(OR(K488="",L488=""),"",ROUND(K488*L488,4)))</f>
        <v>0</v>
      </c>
      <c r="N488" s="20">
        <f>IF(A488="","",ROUND(SUMIFS('Material Usage'!$M$5:$M$904,'Material Usage'!$A$5:$A$904,A488),2))</f>
        <v>0</v>
      </c>
      <c r="O488" s="33">
        <f>IF(A488="","",IF(OR(M488="",N488="",N488=0),"",M488/N488))</f>
        <v>0</v>
      </c>
      <c r="P488" s="32">
        <f>IF(A488="","",COUNTIFS($A$5:A488,A488))</f>
        <v>0</v>
      </c>
      <c r="Q488" s="13">
        <f>IF(A488="","",A488&amp;"|"&amp;P488)</f>
        <v>0</v>
      </c>
      <c r="R488" s="43">
        <f>IF(AND(A488="",C488=""),"",IF(A488="","Add - which product?",IF(C488="","Add - which material?",IF(B488="Not found","Check - no such product ID",IF(D488="Add to Materials","Check - no such material ID",IF(OR(F488="",F488=0),"Add - how much?",IF(L488="","Check - that material has no price","OK")))))))</f>
        <v>0</v>
      </c>
    </row>
    <row r="489" spans="2:18">
      <c r="B489" s="13">
        <f>IF(A489="","",IFERROR(INDEX(Products!$B$5:$B$304,MATCH(A489,Products!$A$5:$A$304,0)),"Not found"))</f>
        <v>0</v>
      </c>
      <c r="D489" s="13">
        <f>IF(C489="","",IFERROR(INDEX(Materials!$B$5:$B$254,MATCH(C489,Materials!$A$5:$A$254,0)),"Add to Materials"))</f>
        <v>0</v>
      </c>
      <c r="E489" s="13">
        <f>IF(C489="","",IFERROR(INDEX(Materials!$H$5:$H$254,MATCH(C489,Materials!$A$5:$A$254,0)),"Add to Materials"))</f>
        <v>0</v>
      </c>
      <c r="J489" s="33">
        <f>IF(C489="","",IF(G489&lt;&gt;"",G489,IFERROR(INDEX(Materials!$W$5:$W$254,MATCH(C489,Materials!$A$5:$A$254,0)),DefaultWaste)))</f>
        <v>0</v>
      </c>
      <c r="K489" s="36">
        <f>IF(C489="","",IF(F489="","",ROUND(F489*(1+J489),4)))</f>
        <v>0</v>
      </c>
      <c r="L489" s="45">
        <f>IF(C489="","",IFERROR(INDEX(Materials!$S$5:$S$254,MATCH(C489,Materials!$A$5:$A$254,0)),""))</f>
        <v>0</v>
      </c>
      <c r="M489" s="45">
        <f>IF(C489="","",IF(OR(K489="",L489=""),"",ROUND(K489*L489,4)))</f>
        <v>0</v>
      </c>
      <c r="N489" s="20">
        <f>IF(A489="","",ROUND(SUMIFS('Material Usage'!$M$5:$M$904,'Material Usage'!$A$5:$A$904,A489),2))</f>
        <v>0</v>
      </c>
      <c r="O489" s="33">
        <f>IF(A489="","",IF(OR(M489="",N489="",N489=0),"",M489/N489))</f>
        <v>0</v>
      </c>
      <c r="P489" s="32">
        <f>IF(A489="","",COUNTIFS($A$5:A489,A489))</f>
        <v>0</v>
      </c>
      <c r="Q489" s="13">
        <f>IF(A489="","",A489&amp;"|"&amp;P489)</f>
        <v>0</v>
      </c>
      <c r="R489" s="43">
        <f>IF(AND(A489="",C489=""),"",IF(A489="","Add - which product?",IF(C489="","Add - which material?",IF(B489="Not found","Check - no such product ID",IF(D489="Add to Materials","Check - no such material ID",IF(OR(F489="",F489=0),"Add - how much?",IF(L489="","Check - that material has no price","OK")))))))</f>
        <v>0</v>
      </c>
    </row>
    <row r="490" spans="2:18">
      <c r="B490" s="13">
        <f>IF(A490="","",IFERROR(INDEX(Products!$B$5:$B$304,MATCH(A490,Products!$A$5:$A$304,0)),"Not found"))</f>
        <v>0</v>
      </c>
      <c r="D490" s="13">
        <f>IF(C490="","",IFERROR(INDEX(Materials!$B$5:$B$254,MATCH(C490,Materials!$A$5:$A$254,0)),"Add to Materials"))</f>
        <v>0</v>
      </c>
      <c r="E490" s="13">
        <f>IF(C490="","",IFERROR(INDEX(Materials!$H$5:$H$254,MATCH(C490,Materials!$A$5:$A$254,0)),"Add to Materials"))</f>
        <v>0</v>
      </c>
      <c r="J490" s="33">
        <f>IF(C490="","",IF(G490&lt;&gt;"",G490,IFERROR(INDEX(Materials!$W$5:$W$254,MATCH(C490,Materials!$A$5:$A$254,0)),DefaultWaste)))</f>
        <v>0</v>
      </c>
      <c r="K490" s="36">
        <f>IF(C490="","",IF(F490="","",ROUND(F490*(1+J490),4)))</f>
        <v>0</v>
      </c>
      <c r="L490" s="45">
        <f>IF(C490="","",IFERROR(INDEX(Materials!$S$5:$S$254,MATCH(C490,Materials!$A$5:$A$254,0)),""))</f>
        <v>0</v>
      </c>
      <c r="M490" s="45">
        <f>IF(C490="","",IF(OR(K490="",L490=""),"",ROUND(K490*L490,4)))</f>
        <v>0</v>
      </c>
      <c r="N490" s="20">
        <f>IF(A490="","",ROUND(SUMIFS('Material Usage'!$M$5:$M$904,'Material Usage'!$A$5:$A$904,A490),2))</f>
        <v>0</v>
      </c>
      <c r="O490" s="33">
        <f>IF(A490="","",IF(OR(M490="",N490="",N490=0),"",M490/N490))</f>
        <v>0</v>
      </c>
      <c r="P490" s="32">
        <f>IF(A490="","",COUNTIFS($A$5:A490,A490))</f>
        <v>0</v>
      </c>
      <c r="Q490" s="13">
        <f>IF(A490="","",A490&amp;"|"&amp;P490)</f>
        <v>0</v>
      </c>
      <c r="R490" s="43">
        <f>IF(AND(A490="",C490=""),"",IF(A490="","Add - which product?",IF(C490="","Add - which material?",IF(B490="Not found","Check - no such product ID",IF(D490="Add to Materials","Check - no such material ID",IF(OR(F490="",F490=0),"Add - how much?",IF(L490="","Check - that material has no price","OK")))))))</f>
        <v>0</v>
      </c>
    </row>
    <row r="491" spans="2:18">
      <c r="B491" s="13">
        <f>IF(A491="","",IFERROR(INDEX(Products!$B$5:$B$304,MATCH(A491,Products!$A$5:$A$304,0)),"Not found"))</f>
        <v>0</v>
      </c>
      <c r="D491" s="13">
        <f>IF(C491="","",IFERROR(INDEX(Materials!$B$5:$B$254,MATCH(C491,Materials!$A$5:$A$254,0)),"Add to Materials"))</f>
        <v>0</v>
      </c>
      <c r="E491" s="13">
        <f>IF(C491="","",IFERROR(INDEX(Materials!$H$5:$H$254,MATCH(C491,Materials!$A$5:$A$254,0)),"Add to Materials"))</f>
        <v>0</v>
      </c>
      <c r="J491" s="33">
        <f>IF(C491="","",IF(G491&lt;&gt;"",G491,IFERROR(INDEX(Materials!$W$5:$W$254,MATCH(C491,Materials!$A$5:$A$254,0)),DefaultWaste)))</f>
        <v>0</v>
      </c>
      <c r="K491" s="36">
        <f>IF(C491="","",IF(F491="","",ROUND(F491*(1+J491),4)))</f>
        <v>0</v>
      </c>
      <c r="L491" s="45">
        <f>IF(C491="","",IFERROR(INDEX(Materials!$S$5:$S$254,MATCH(C491,Materials!$A$5:$A$254,0)),""))</f>
        <v>0</v>
      </c>
      <c r="M491" s="45">
        <f>IF(C491="","",IF(OR(K491="",L491=""),"",ROUND(K491*L491,4)))</f>
        <v>0</v>
      </c>
      <c r="N491" s="20">
        <f>IF(A491="","",ROUND(SUMIFS('Material Usage'!$M$5:$M$904,'Material Usage'!$A$5:$A$904,A491),2))</f>
        <v>0</v>
      </c>
      <c r="O491" s="33">
        <f>IF(A491="","",IF(OR(M491="",N491="",N491=0),"",M491/N491))</f>
        <v>0</v>
      </c>
      <c r="P491" s="32">
        <f>IF(A491="","",COUNTIFS($A$5:A491,A491))</f>
        <v>0</v>
      </c>
      <c r="Q491" s="13">
        <f>IF(A491="","",A491&amp;"|"&amp;P491)</f>
        <v>0</v>
      </c>
      <c r="R491" s="43">
        <f>IF(AND(A491="",C491=""),"",IF(A491="","Add - which product?",IF(C491="","Add - which material?",IF(B491="Not found","Check - no such product ID",IF(D491="Add to Materials","Check - no such material ID",IF(OR(F491="",F491=0),"Add - how much?",IF(L491="","Check - that material has no price","OK")))))))</f>
        <v>0</v>
      </c>
    </row>
    <row r="492" spans="2:18">
      <c r="B492" s="13">
        <f>IF(A492="","",IFERROR(INDEX(Products!$B$5:$B$304,MATCH(A492,Products!$A$5:$A$304,0)),"Not found"))</f>
        <v>0</v>
      </c>
      <c r="D492" s="13">
        <f>IF(C492="","",IFERROR(INDEX(Materials!$B$5:$B$254,MATCH(C492,Materials!$A$5:$A$254,0)),"Add to Materials"))</f>
        <v>0</v>
      </c>
      <c r="E492" s="13">
        <f>IF(C492="","",IFERROR(INDEX(Materials!$H$5:$H$254,MATCH(C492,Materials!$A$5:$A$254,0)),"Add to Materials"))</f>
        <v>0</v>
      </c>
      <c r="J492" s="33">
        <f>IF(C492="","",IF(G492&lt;&gt;"",G492,IFERROR(INDEX(Materials!$W$5:$W$254,MATCH(C492,Materials!$A$5:$A$254,0)),DefaultWaste)))</f>
        <v>0</v>
      </c>
      <c r="K492" s="36">
        <f>IF(C492="","",IF(F492="","",ROUND(F492*(1+J492),4)))</f>
        <v>0</v>
      </c>
      <c r="L492" s="45">
        <f>IF(C492="","",IFERROR(INDEX(Materials!$S$5:$S$254,MATCH(C492,Materials!$A$5:$A$254,0)),""))</f>
        <v>0</v>
      </c>
      <c r="M492" s="45">
        <f>IF(C492="","",IF(OR(K492="",L492=""),"",ROUND(K492*L492,4)))</f>
        <v>0</v>
      </c>
      <c r="N492" s="20">
        <f>IF(A492="","",ROUND(SUMIFS('Material Usage'!$M$5:$M$904,'Material Usage'!$A$5:$A$904,A492),2))</f>
        <v>0</v>
      </c>
      <c r="O492" s="33">
        <f>IF(A492="","",IF(OR(M492="",N492="",N492=0),"",M492/N492))</f>
        <v>0</v>
      </c>
      <c r="P492" s="32">
        <f>IF(A492="","",COUNTIFS($A$5:A492,A492))</f>
        <v>0</v>
      </c>
      <c r="Q492" s="13">
        <f>IF(A492="","",A492&amp;"|"&amp;P492)</f>
        <v>0</v>
      </c>
      <c r="R492" s="43">
        <f>IF(AND(A492="",C492=""),"",IF(A492="","Add - which product?",IF(C492="","Add - which material?",IF(B492="Not found","Check - no such product ID",IF(D492="Add to Materials","Check - no such material ID",IF(OR(F492="",F492=0),"Add - how much?",IF(L492="","Check - that material has no price","OK")))))))</f>
        <v>0</v>
      </c>
    </row>
    <row r="493" spans="2:18">
      <c r="B493" s="13">
        <f>IF(A493="","",IFERROR(INDEX(Products!$B$5:$B$304,MATCH(A493,Products!$A$5:$A$304,0)),"Not found"))</f>
        <v>0</v>
      </c>
      <c r="D493" s="13">
        <f>IF(C493="","",IFERROR(INDEX(Materials!$B$5:$B$254,MATCH(C493,Materials!$A$5:$A$254,0)),"Add to Materials"))</f>
        <v>0</v>
      </c>
      <c r="E493" s="13">
        <f>IF(C493="","",IFERROR(INDEX(Materials!$H$5:$H$254,MATCH(C493,Materials!$A$5:$A$254,0)),"Add to Materials"))</f>
        <v>0</v>
      </c>
      <c r="J493" s="33">
        <f>IF(C493="","",IF(G493&lt;&gt;"",G493,IFERROR(INDEX(Materials!$W$5:$W$254,MATCH(C493,Materials!$A$5:$A$254,0)),DefaultWaste)))</f>
        <v>0</v>
      </c>
      <c r="K493" s="36">
        <f>IF(C493="","",IF(F493="","",ROUND(F493*(1+J493),4)))</f>
        <v>0</v>
      </c>
      <c r="L493" s="45">
        <f>IF(C493="","",IFERROR(INDEX(Materials!$S$5:$S$254,MATCH(C493,Materials!$A$5:$A$254,0)),""))</f>
        <v>0</v>
      </c>
      <c r="M493" s="45">
        <f>IF(C493="","",IF(OR(K493="",L493=""),"",ROUND(K493*L493,4)))</f>
        <v>0</v>
      </c>
      <c r="N493" s="20">
        <f>IF(A493="","",ROUND(SUMIFS('Material Usage'!$M$5:$M$904,'Material Usage'!$A$5:$A$904,A493),2))</f>
        <v>0</v>
      </c>
      <c r="O493" s="33">
        <f>IF(A493="","",IF(OR(M493="",N493="",N493=0),"",M493/N493))</f>
        <v>0</v>
      </c>
      <c r="P493" s="32">
        <f>IF(A493="","",COUNTIFS($A$5:A493,A493))</f>
        <v>0</v>
      </c>
      <c r="Q493" s="13">
        <f>IF(A493="","",A493&amp;"|"&amp;P493)</f>
        <v>0</v>
      </c>
      <c r="R493" s="43">
        <f>IF(AND(A493="",C493=""),"",IF(A493="","Add - which product?",IF(C493="","Add - which material?",IF(B493="Not found","Check - no such product ID",IF(D493="Add to Materials","Check - no such material ID",IF(OR(F493="",F493=0),"Add - how much?",IF(L493="","Check - that material has no price","OK")))))))</f>
        <v>0</v>
      </c>
    </row>
    <row r="494" spans="2:18">
      <c r="B494" s="13">
        <f>IF(A494="","",IFERROR(INDEX(Products!$B$5:$B$304,MATCH(A494,Products!$A$5:$A$304,0)),"Not found"))</f>
        <v>0</v>
      </c>
      <c r="D494" s="13">
        <f>IF(C494="","",IFERROR(INDEX(Materials!$B$5:$B$254,MATCH(C494,Materials!$A$5:$A$254,0)),"Add to Materials"))</f>
        <v>0</v>
      </c>
      <c r="E494" s="13">
        <f>IF(C494="","",IFERROR(INDEX(Materials!$H$5:$H$254,MATCH(C494,Materials!$A$5:$A$254,0)),"Add to Materials"))</f>
        <v>0</v>
      </c>
      <c r="J494" s="33">
        <f>IF(C494="","",IF(G494&lt;&gt;"",G494,IFERROR(INDEX(Materials!$W$5:$W$254,MATCH(C494,Materials!$A$5:$A$254,0)),DefaultWaste)))</f>
        <v>0</v>
      </c>
      <c r="K494" s="36">
        <f>IF(C494="","",IF(F494="","",ROUND(F494*(1+J494),4)))</f>
        <v>0</v>
      </c>
      <c r="L494" s="45">
        <f>IF(C494="","",IFERROR(INDEX(Materials!$S$5:$S$254,MATCH(C494,Materials!$A$5:$A$254,0)),""))</f>
        <v>0</v>
      </c>
      <c r="M494" s="45">
        <f>IF(C494="","",IF(OR(K494="",L494=""),"",ROUND(K494*L494,4)))</f>
        <v>0</v>
      </c>
      <c r="N494" s="20">
        <f>IF(A494="","",ROUND(SUMIFS('Material Usage'!$M$5:$M$904,'Material Usage'!$A$5:$A$904,A494),2))</f>
        <v>0</v>
      </c>
      <c r="O494" s="33">
        <f>IF(A494="","",IF(OR(M494="",N494="",N494=0),"",M494/N494))</f>
        <v>0</v>
      </c>
      <c r="P494" s="32">
        <f>IF(A494="","",COUNTIFS($A$5:A494,A494))</f>
        <v>0</v>
      </c>
      <c r="Q494" s="13">
        <f>IF(A494="","",A494&amp;"|"&amp;P494)</f>
        <v>0</v>
      </c>
      <c r="R494" s="43">
        <f>IF(AND(A494="",C494=""),"",IF(A494="","Add - which product?",IF(C494="","Add - which material?",IF(B494="Not found","Check - no such product ID",IF(D494="Add to Materials","Check - no such material ID",IF(OR(F494="",F494=0),"Add - how much?",IF(L494="","Check - that material has no price","OK")))))))</f>
        <v>0</v>
      </c>
    </row>
    <row r="495" spans="2:18">
      <c r="B495" s="13">
        <f>IF(A495="","",IFERROR(INDEX(Products!$B$5:$B$304,MATCH(A495,Products!$A$5:$A$304,0)),"Not found"))</f>
        <v>0</v>
      </c>
      <c r="D495" s="13">
        <f>IF(C495="","",IFERROR(INDEX(Materials!$B$5:$B$254,MATCH(C495,Materials!$A$5:$A$254,0)),"Add to Materials"))</f>
        <v>0</v>
      </c>
      <c r="E495" s="13">
        <f>IF(C495="","",IFERROR(INDEX(Materials!$H$5:$H$254,MATCH(C495,Materials!$A$5:$A$254,0)),"Add to Materials"))</f>
        <v>0</v>
      </c>
      <c r="J495" s="33">
        <f>IF(C495="","",IF(G495&lt;&gt;"",G495,IFERROR(INDEX(Materials!$W$5:$W$254,MATCH(C495,Materials!$A$5:$A$254,0)),DefaultWaste)))</f>
        <v>0</v>
      </c>
      <c r="K495" s="36">
        <f>IF(C495="","",IF(F495="","",ROUND(F495*(1+J495),4)))</f>
        <v>0</v>
      </c>
      <c r="L495" s="45">
        <f>IF(C495="","",IFERROR(INDEX(Materials!$S$5:$S$254,MATCH(C495,Materials!$A$5:$A$254,0)),""))</f>
        <v>0</v>
      </c>
      <c r="M495" s="45">
        <f>IF(C495="","",IF(OR(K495="",L495=""),"",ROUND(K495*L495,4)))</f>
        <v>0</v>
      </c>
      <c r="N495" s="20">
        <f>IF(A495="","",ROUND(SUMIFS('Material Usage'!$M$5:$M$904,'Material Usage'!$A$5:$A$904,A495),2))</f>
        <v>0</v>
      </c>
      <c r="O495" s="33">
        <f>IF(A495="","",IF(OR(M495="",N495="",N495=0),"",M495/N495))</f>
        <v>0</v>
      </c>
      <c r="P495" s="32">
        <f>IF(A495="","",COUNTIFS($A$5:A495,A495))</f>
        <v>0</v>
      </c>
      <c r="Q495" s="13">
        <f>IF(A495="","",A495&amp;"|"&amp;P495)</f>
        <v>0</v>
      </c>
      <c r="R495" s="43">
        <f>IF(AND(A495="",C495=""),"",IF(A495="","Add - which product?",IF(C495="","Add - which material?",IF(B495="Not found","Check - no such product ID",IF(D495="Add to Materials","Check - no such material ID",IF(OR(F495="",F495=0),"Add - how much?",IF(L495="","Check - that material has no price","OK")))))))</f>
        <v>0</v>
      </c>
    </row>
    <row r="496" spans="2:18">
      <c r="B496" s="13">
        <f>IF(A496="","",IFERROR(INDEX(Products!$B$5:$B$304,MATCH(A496,Products!$A$5:$A$304,0)),"Not found"))</f>
        <v>0</v>
      </c>
      <c r="D496" s="13">
        <f>IF(C496="","",IFERROR(INDEX(Materials!$B$5:$B$254,MATCH(C496,Materials!$A$5:$A$254,0)),"Add to Materials"))</f>
        <v>0</v>
      </c>
      <c r="E496" s="13">
        <f>IF(C496="","",IFERROR(INDEX(Materials!$H$5:$H$254,MATCH(C496,Materials!$A$5:$A$254,0)),"Add to Materials"))</f>
        <v>0</v>
      </c>
      <c r="J496" s="33">
        <f>IF(C496="","",IF(G496&lt;&gt;"",G496,IFERROR(INDEX(Materials!$W$5:$W$254,MATCH(C496,Materials!$A$5:$A$254,0)),DefaultWaste)))</f>
        <v>0</v>
      </c>
      <c r="K496" s="36">
        <f>IF(C496="","",IF(F496="","",ROUND(F496*(1+J496),4)))</f>
        <v>0</v>
      </c>
      <c r="L496" s="45">
        <f>IF(C496="","",IFERROR(INDEX(Materials!$S$5:$S$254,MATCH(C496,Materials!$A$5:$A$254,0)),""))</f>
        <v>0</v>
      </c>
      <c r="M496" s="45">
        <f>IF(C496="","",IF(OR(K496="",L496=""),"",ROUND(K496*L496,4)))</f>
        <v>0</v>
      </c>
      <c r="N496" s="20">
        <f>IF(A496="","",ROUND(SUMIFS('Material Usage'!$M$5:$M$904,'Material Usage'!$A$5:$A$904,A496),2))</f>
        <v>0</v>
      </c>
      <c r="O496" s="33">
        <f>IF(A496="","",IF(OR(M496="",N496="",N496=0),"",M496/N496))</f>
        <v>0</v>
      </c>
      <c r="P496" s="32">
        <f>IF(A496="","",COUNTIFS($A$5:A496,A496))</f>
        <v>0</v>
      </c>
      <c r="Q496" s="13">
        <f>IF(A496="","",A496&amp;"|"&amp;P496)</f>
        <v>0</v>
      </c>
      <c r="R496" s="43">
        <f>IF(AND(A496="",C496=""),"",IF(A496="","Add - which product?",IF(C496="","Add - which material?",IF(B496="Not found","Check - no such product ID",IF(D496="Add to Materials","Check - no such material ID",IF(OR(F496="",F496=0),"Add - how much?",IF(L496="","Check - that material has no price","OK")))))))</f>
        <v>0</v>
      </c>
    </row>
    <row r="497" spans="2:18">
      <c r="B497" s="13">
        <f>IF(A497="","",IFERROR(INDEX(Products!$B$5:$B$304,MATCH(A497,Products!$A$5:$A$304,0)),"Not found"))</f>
        <v>0</v>
      </c>
      <c r="D497" s="13">
        <f>IF(C497="","",IFERROR(INDEX(Materials!$B$5:$B$254,MATCH(C497,Materials!$A$5:$A$254,0)),"Add to Materials"))</f>
        <v>0</v>
      </c>
      <c r="E497" s="13">
        <f>IF(C497="","",IFERROR(INDEX(Materials!$H$5:$H$254,MATCH(C497,Materials!$A$5:$A$254,0)),"Add to Materials"))</f>
        <v>0</v>
      </c>
      <c r="J497" s="33">
        <f>IF(C497="","",IF(G497&lt;&gt;"",G497,IFERROR(INDEX(Materials!$W$5:$W$254,MATCH(C497,Materials!$A$5:$A$254,0)),DefaultWaste)))</f>
        <v>0</v>
      </c>
      <c r="K497" s="36">
        <f>IF(C497="","",IF(F497="","",ROUND(F497*(1+J497),4)))</f>
        <v>0</v>
      </c>
      <c r="L497" s="45">
        <f>IF(C497="","",IFERROR(INDEX(Materials!$S$5:$S$254,MATCH(C497,Materials!$A$5:$A$254,0)),""))</f>
        <v>0</v>
      </c>
      <c r="M497" s="45">
        <f>IF(C497="","",IF(OR(K497="",L497=""),"",ROUND(K497*L497,4)))</f>
        <v>0</v>
      </c>
      <c r="N497" s="20">
        <f>IF(A497="","",ROUND(SUMIFS('Material Usage'!$M$5:$M$904,'Material Usage'!$A$5:$A$904,A497),2))</f>
        <v>0</v>
      </c>
      <c r="O497" s="33">
        <f>IF(A497="","",IF(OR(M497="",N497="",N497=0),"",M497/N497))</f>
        <v>0</v>
      </c>
      <c r="P497" s="32">
        <f>IF(A497="","",COUNTIFS($A$5:A497,A497))</f>
        <v>0</v>
      </c>
      <c r="Q497" s="13">
        <f>IF(A497="","",A497&amp;"|"&amp;P497)</f>
        <v>0</v>
      </c>
      <c r="R497" s="43">
        <f>IF(AND(A497="",C497=""),"",IF(A497="","Add - which product?",IF(C497="","Add - which material?",IF(B497="Not found","Check - no such product ID",IF(D497="Add to Materials","Check - no such material ID",IF(OR(F497="",F497=0),"Add - how much?",IF(L497="","Check - that material has no price","OK")))))))</f>
        <v>0</v>
      </c>
    </row>
    <row r="498" spans="2:18">
      <c r="B498" s="13">
        <f>IF(A498="","",IFERROR(INDEX(Products!$B$5:$B$304,MATCH(A498,Products!$A$5:$A$304,0)),"Not found"))</f>
        <v>0</v>
      </c>
      <c r="D498" s="13">
        <f>IF(C498="","",IFERROR(INDEX(Materials!$B$5:$B$254,MATCH(C498,Materials!$A$5:$A$254,0)),"Add to Materials"))</f>
        <v>0</v>
      </c>
      <c r="E498" s="13">
        <f>IF(C498="","",IFERROR(INDEX(Materials!$H$5:$H$254,MATCH(C498,Materials!$A$5:$A$254,0)),"Add to Materials"))</f>
        <v>0</v>
      </c>
      <c r="J498" s="33">
        <f>IF(C498="","",IF(G498&lt;&gt;"",G498,IFERROR(INDEX(Materials!$W$5:$W$254,MATCH(C498,Materials!$A$5:$A$254,0)),DefaultWaste)))</f>
        <v>0</v>
      </c>
      <c r="K498" s="36">
        <f>IF(C498="","",IF(F498="","",ROUND(F498*(1+J498),4)))</f>
        <v>0</v>
      </c>
      <c r="L498" s="45">
        <f>IF(C498="","",IFERROR(INDEX(Materials!$S$5:$S$254,MATCH(C498,Materials!$A$5:$A$254,0)),""))</f>
        <v>0</v>
      </c>
      <c r="M498" s="45">
        <f>IF(C498="","",IF(OR(K498="",L498=""),"",ROUND(K498*L498,4)))</f>
        <v>0</v>
      </c>
      <c r="N498" s="20">
        <f>IF(A498="","",ROUND(SUMIFS('Material Usage'!$M$5:$M$904,'Material Usage'!$A$5:$A$904,A498),2))</f>
        <v>0</v>
      </c>
      <c r="O498" s="33">
        <f>IF(A498="","",IF(OR(M498="",N498="",N498=0),"",M498/N498))</f>
        <v>0</v>
      </c>
      <c r="P498" s="32">
        <f>IF(A498="","",COUNTIFS($A$5:A498,A498))</f>
        <v>0</v>
      </c>
      <c r="Q498" s="13">
        <f>IF(A498="","",A498&amp;"|"&amp;P498)</f>
        <v>0</v>
      </c>
      <c r="R498" s="43">
        <f>IF(AND(A498="",C498=""),"",IF(A498="","Add - which product?",IF(C498="","Add - which material?",IF(B498="Not found","Check - no such product ID",IF(D498="Add to Materials","Check - no such material ID",IF(OR(F498="",F498=0),"Add - how much?",IF(L498="","Check - that material has no price","OK")))))))</f>
        <v>0</v>
      </c>
    </row>
    <row r="499" spans="2:18">
      <c r="B499" s="13">
        <f>IF(A499="","",IFERROR(INDEX(Products!$B$5:$B$304,MATCH(A499,Products!$A$5:$A$304,0)),"Not found"))</f>
        <v>0</v>
      </c>
      <c r="D499" s="13">
        <f>IF(C499="","",IFERROR(INDEX(Materials!$B$5:$B$254,MATCH(C499,Materials!$A$5:$A$254,0)),"Add to Materials"))</f>
        <v>0</v>
      </c>
      <c r="E499" s="13">
        <f>IF(C499="","",IFERROR(INDEX(Materials!$H$5:$H$254,MATCH(C499,Materials!$A$5:$A$254,0)),"Add to Materials"))</f>
        <v>0</v>
      </c>
      <c r="J499" s="33">
        <f>IF(C499="","",IF(G499&lt;&gt;"",G499,IFERROR(INDEX(Materials!$W$5:$W$254,MATCH(C499,Materials!$A$5:$A$254,0)),DefaultWaste)))</f>
        <v>0</v>
      </c>
      <c r="K499" s="36">
        <f>IF(C499="","",IF(F499="","",ROUND(F499*(1+J499),4)))</f>
        <v>0</v>
      </c>
      <c r="L499" s="45">
        <f>IF(C499="","",IFERROR(INDEX(Materials!$S$5:$S$254,MATCH(C499,Materials!$A$5:$A$254,0)),""))</f>
        <v>0</v>
      </c>
      <c r="M499" s="45">
        <f>IF(C499="","",IF(OR(K499="",L499=""),"",ROUND(K499*L499,4)))</f>
        <v>0</v>
      </c>
      <c r="N499" s="20">
        <f>IF(A499="","",ROUND(SUMIFS('Material Usage'!$M$5:$M$904,'Material Usage'!$A$5:$A$904,A499),2))</f>
        <v>0</v>
      </c>
      <c r="O499" s="33">
        <f>IF(A499="","",IF(OR(M499="",N499="",N499=0),"",M499/N499))</f>
        <v>0</v>
      </c>
      <c r="P499" s="32">
        <f>IF(A499="","",COUNTIFS($A$5:A499,A499))</f>
        <v>0</v>
      </c>
      <c r="Q499" s="13">
        <f>IF(A499="","",A499&amp;"|"&amp;P499)</f>
        <v>0</v>
      </c>
      <c r="R499" s="43">
        <f>IF(AND(A499="",C499=""),"",IF(A499="","Add - which product?",IF(C499="","Add - which material?",IF(B499="Not found","Check - no such product ID",IF(D499="Add to Materials","Check - no such material ID",IF(OR(F499="",F499=0),"Add - how much?",IF(L499="","Check - that material has no price","OK")))))))</f>
        <v>0</v>
      </c>
    </row>
    <row r="500" spans="2:18">
      <c r="B500" s="13">
        <f>IF(A500="","",IFERROR(INDEX(Products!$B$5:$B$304,MATCH(A500,Products!$A$5:$A$304,0)),"Not found"))</f>
        <v>0</v>
      </c>
      <c r="D500" s="13">
        <f>IF(C500="","",IFERROR(INDEX(Materials!$B$5:$B$254,MATCH(C500,Materials!$A$5:$A$254,0)),"Add to Materials"))</f>
        <v>0</v>
      </c>
      <c r="E500" s="13">
        <f>IF(C500="","",IFERROR(INDEX(Materials!$H$5:$H$254,MATCH(C500,Materials!$A$5:$A$254,0)),"Add to Materials"))</f>
        <v>0</v>
      </c>
      <c r="J500" s="33">
        <f>IF(C500="","",IF(G500&lt;&gt;"",G500,IFERROR(INDEX(Materials!$W$5:$W$254,MATCH(C500,Materials!$A$5:$A$254,0)),DefaultWaste)))</f>
        <v>0</v>
      </c>
      <c r="K500" s="36">
        <f>IF(C500="","",IF(F500="","",ROUND(F500*(1+J500),4)))</f>
        <v>0</v>
      </c>
      <c r="L500" s="45">
        <f>IF(C500="","",IFERROR(INDEX(Materials!$S$5:$S$254,MATCH(C500,Materials!$A$5:$A$254,0)),""))</f>
        <v>0</v>
      </c>
      <c r="M500" s="45">
        <f>IF(C500="","",IF(OR(K500="",L500=""),"",ROUND(K500*L500,4)))</f>
        <v>0</v>
      </c>
      <c r="N500" s="20">
        <f>IF(A500="","",ROUND(SUMIFS('Material Usage'!$M$5:$M$904,'Material Usage'!$A$5:$A$904,A500),2))</f>
        <v>0</v>
      </c>
      <c r="O500" s="33">
        <f>IF(A500="","",IF(OR(M500="",N500="",N500=0),"",M500/N500))</f>
        <v>0</v>
      </c>
      <c r="P500" s="32">
        <f>IF(A500="","",COUNTIFS($A$5:A500,A500))</f>
        <v>0</v>
      </c>
      <c r="Q500" s="13">
        <f>IF(A500="","",A500&amp;"|"&amp;P500)</f>
        <v>0</v>
      </c>
      <c r="R500" s="43">
        <f>IF(AND(A500="",C500=""),"",IF(A500="","Add - which product?",IF(C500="","Add - which material?",IF(B500="Not found","Check - no such product ID",IF(D500="Add to Materials","Check - no such material ID",IF(OR(F500="",F500=0),"Add - how much?",IF(L500="","Check - that material has no price","OK")))))))</f>
        <v>0</v>
      </c>
    </row>
    <row r="501" spans="2:18">
      <c r="B501" s="13">
        <f>IF(A501="","",IFERROR(INDEX(Products!$B$5:$B$304,MATCH(A501,Products!$A$5:$A$304,0)),"Not found"))</f>
        <v>0</v>
      </c>
      <c r="D501" s="13">
        <f>IF(C501="","",IFERROR(INDEX(Materials!$B$5:$B$254,MATCH(C501,Materials!$A$5:$A$254,0)),"Add to Materials"))</f>
        <v>0</v>
      </c>
      <c r="E501" s="13">
        <f>IF(C501="","",IFERROR(INDEX(Materials!$H$5:$H$254,MATCH(C501,Materials!$A$5:$A$254,0)),"Add to Materials"))</f>
        <v>0</v>
      </c>
      <c r="J501" s="33">
        <f>IF(C501="","",IF(G501&lt;&gt;"",G501,IFERROR(INDEX(Materials!$W$5:$W$254,MATCH(C501,Materials!$A$5:$A$254,0)),DefaultWaste)))</f>
        <v>0</v>
      </c>
      <c r="K501" s="36">
        <f>IF(C501="","",IF(F501="","",ROUND(F501*(1+J501),4)))</f>
        <v>0</v>
      </c>
      <c r="L501" s="45">
        <f>IF(C501="","",IFERROR(INDEX(Materials!$S$5:$S$254,MATCH(C501,Materials!$A$5:$A$254,0)),""))</f>
        <v>0</v>
      </c>
      <c r="M501" s="45">
        <f>IF(C501="","",IF(OR(K501="",L501=""),"",ROUND(K501*L501,4)))</f>
        <v>0</v>
      </c>
      <c r="N501" s="20">
        <f>IF(A501="","",ROUND(SUMIFS('Material Usage'!$M$5:$M$904,'Material Usage'!$A$5:$A$904,A501),2))</f>
        <v>0</v>
      </c>
      <c r="O501" s="33">
        <f>IF(A501="","",IF(OR(M501="",N501="",N501=0),"",M501/N501))</f>
        <v>0</v>
      </c>
      <c r="P501" s="32">
        <f>IF(A501="","",COUNTIFS($A$5:A501,A501))</f>
        <v>0</v>
      </c>
      <c r="Q501" s="13">
        <f>IF(A501="","",A501&amp;"|"&amp;P501)</f>
        <v>0</v>
      </c>
      <c r="R501" s="43">
        <f>IF(AND(A501="",C501=""),"",IF(A501="","Add - which product?",IF(C501="","Add - which material?",IF(B501="Not found","Check - no such product ID",IF(D501="Add to Materials","Check - no such material ID",IF(OR(F501="",F501=0),"Add - how much?",IF(L501="","Check - that material has no price","OK")))))))</f>
        <v>0</v>
      </c>
    </row>
    <row r="502" spans="2:18">
      <c r="B502" s="13">
        <f>IF(A502="","",IFERROR(INDEX(Products!$B$5:$B$304,MATCH(A502,Products!$A$5:$A$304,0)),"Not found"))</f>
        <v>0</v>
      </c>
      <c r="D502" s="13">
        <f>IF(C502="","",IFERROR(INDEX(Materials!$B$5:$B$254,MATCH(C502,Materials!$A$5:$A$254,0)),"Add to Materials"))</f>
        <v>0</v>
      </c>
      <c r="E502" s="13">
        <f>IF(C502="","",IFERROR(INDEX(Materials!$H$5:$H$254,MATCH(C502,Materials!$A$5:$A$254,0)),"Add to Materials"))</f>
        <v>0</v>
      </c>
      <c r="J502" s="33">
        <f>IF(C502="","",IF(G502&lt;&gt;"",G502,IFERROR(INDEX(Materials!$W$5:$W$254,MATCH(C502,Materials!$A$5:$A$254,0)),DefaultWaste)))</f>
        <v>0</v>
      </c>
      <c r="K502" s="36">
        <f>IF(C502="","",IF(F502="","",ROUND(F502*(1+J502),4)))</f>
        <v>0</v>
      </c>
      <c r="L502" s="45">
        <f>IF(C502="","",IFERROR(INDEX(Materials!$S$5:$S$254,MATCH(C502,Materials!$A$5:$A$254,0)),""))</f>
        <v>0</v>
      </c>
      <c r="M502" s="45">
        <f>IF(C502="","",IF(OR(K502="",L502=""),"",ROUND(K502*L502,4)))</f>
        <v>0</v>
      </c>
      <c r="N502" s="20">
        <f>IF(A502="","",ROUND(SUMIFS('Material Usage'!$M$5:$M$904,'Material Usage'!$A$5:$A$904,A502),2))</f>
        <v>0</v>
      </c>
      <c r="O502" s="33">
        <f>IF(A502="","",IF(OR(M502="",N502="",N502=0),"",M502/N502))</f>
        <v>0</v>
      </c>
      <c r="P502" s="32">
        <f>IF(A502="","",COUNTIFS($A$5:A502,A502))</f>
        <v>0</v>
      </c>
      <c r="Q502" s="13">
        <f>IF(A502="","",A502&amp;"|"&amp;P502)</f>
        <v>0</v>
      </c>
      <c r="R502" s="43">
        <f>IF(AND(A502="",C502=""),"",IF(A502="","Add - which product?",IF(C502="","Add - which material?",IF(B502="Not found","Check - no such product ID",IF(D502="Add to Materials","Check - no such material ID",IF(OR(F502="",F502=0),"Add - how much?",IF(L502="","Check - that material has no price","OK")))))))</f>
        <v>0</v>
      </c>
    </row>
    <row r="503" spans="2:18">
      <c r="B503" s="13">
        <f>IF(A503="","",IFERROR(INDEX(Products!$B$5:$B$304,MATCH(A503,Products!$A$5:$A$304,0)),"Not found"))</f>
        <v>0</v>
      </c>
      <c r="D503" s="13">
        <f>IF(C503="","",IFERROR(INDEX(Materials!$B$5:$B$254,MATCH(C503,Materials!$A$5:$A$254,0)),"Add to Materials"))</f>
        <v>0</v>
      </c>
      <c r="E503" s="13">
        <f>IF(C503="","",IFERROR(INDEX(Materials!$H$5:$H$254,MATCH(C503,Materials!$A$5:$A$254,0)),"Add to Materials"))</f>
        <v>0</v>
      </c>
      <c r="J503" s="33">
        <f>IF(C503="","",IF(G503&lt;&gt;"",G503,IFERROR(INDEX(Materials!$W$5:$W$254,MATCH(C503,Materials!$A$5:$A$254,0)),DefaultWaste)))</f>
        <v>0</v>
      </c>
      <c r="K503" s="36">
        <f>IF(C503="","",IF(F503="","",ROUND(F503*(1+J503),4)))</f>
        <v>0</v>
      </c>
      <c r="L503" s="45">
        <f>IF(C503="","",IFERROR(INDEX(Materials!$S$5:$S$254,MATCH(C503,Materials!$A$5:$A$254,0)),""))</f>
        <v>0</v>
      </c>
      <c r="M503" s="45">
        <f>IF(C503="","",IF(OR(K503="",L503=""),"",ROUND(K503*L503,4)))</f>
        <v>0</v>
      </c>
      <c r="N503" s="20">
        <f>IF(A503="","",ROUND(SUMIFS('Material Usage'!$M$5:$M$904,'Material Usage'!$A$5:$A$904,A503),2))</f>
        <v>0</v>
      </c>
      <c r="O503" s="33">
        <f>IF(A503="","",IF(OR(M503="",N503="",N503=0),"",M503/N503))</f>
        <v>0</v>
      </c>
      <c r="P503" s="32">
        <f>IF(A503="","",COUNTIFS($A$5:A503,A503))</f>
        <v>0</v>
      </c>
      <c r="Q503" s="13">
        <f>IF(A503="","",A503&amp;"|"&amp;P503)</f>
        <v>0</v>
      </c>
      <c r="R503" s="43">
        <f>IF(AND(A503="",C503=""),"",IF(A503="","Add - which product?",IF(C503="","Add - which material?",IF(B503="Not found","Check - no such product ID",IF(D503="Add to Materials","Check - no such material ID",IF(OR(F503="",F503=0),"Add - how much?",IF(L503="","Check - that material has no price","OK")))))))</f>
        <v>0</v>
      </c>
    </row>
    <row r="504" spans="2:18">
      <c r="B504" s="13">
        <f>IF(A504="","",IFERROR(INDEX(Products!$B$5:$B$304,MATCH(A504,Products!$A$5:$A$304,0)),"Not found"))</f>
        <v>0</v>
      </c>
      <c r="D504" s="13">
        <f>IF(C504="","",IFERROR(INDEX(Materials!$B$5:$B$254,MATCH(C504,Materials!$A$5:$A$254,0)),"Add to Materials"))</f>
        <v>0</v>
      </c>
      <c r="E504" s="13">
        <f>IF(C504="","",IFERROR(INDEX(Materials!$H$5:$H$254,MATCH(C504,Materials!$A$5:$A$254,0)),"Add to Materials"))</f>
        <v>0</v>
      </c>
      <c r="J504" s="33">
        <f>IF(C504="","",IF(G504&lt;&gt;"",G504,IFERROR(INDEX(Materials!$W$5:$W$254,MATCH(C504,Materials!$A$5:$A$254,0)),DefaultWaste)))</f>
        <v>0</v>
      </c>
      <c r="K504" s="36">
        <f>IF(C504="","",IF(F504="","",ROUND(F504*(1+J504),4)))</f>
        <v>0</v>
      </c>
      <c r="L504" s="45">
        <f>IF(C504="","",IFERROR(INDEX(Materials!$S$5:$S$254,MATCH(C504,Materials!$A$5:$A$254,0)),""))</f>
        <v>0</v>
      </c>
      <c r="M504" s="45">
        <f>IF(C504="","",IF(OR(K504="",L504=""),"",ROUND(K504*L504,4)))</f>
        <v>0</v>
      </c>
      <c r="N504" s="20">
        <f>IF(A504="","",ROUND(SUMIFS('Material Usage'!$M$5:$M$904,'Material Usage'!$A$5:$A$904,A504),2))</f>
        <v>0</v>
      </c>
      <c r="O504" s="33">
        <f>IF(A504="","",IF(OR(M504="",N504="",N504=0),"",M504/N504))</f>
        <v>0</v>
      </c>
      <c r="P504" s="32">
        <f>IF(A504="","",COUNTIFS($A$5:A504,A504))</f>
        <v>0</v>
      </c>
      <c r="Q504" s="13">
        <f>IF(A504="","",A504&amp;"|"&amp;P504)</f>
        <v>0</v>
      </c>
      <c r="R504" s="43">
        <f>IF(AND(A504="",C504=""),"",IF(A504="","Add - which product?",IF(C504="","Add - which material?",IF(B504="Not found","Check - no such product ID",IF(D504="Add to Materials","Check - no such material ID",IF(OR(F504="",F504=0),"Add - how much?",IF(L504="","Check - that material has no price","OK")))))))</f>
        <v>0</v>
      </c>
    </row>
    <row r="505" spans="2:18">
      <c r="B505" s="13">
        <f>IF(A505="","",IFERROR(INDEX(Products!$B$5:$B$304,MATCH(A505,Products!$A$5:$A$304,0)),"Not found"))</f>
        <v>0</v>
      </c>
      <c r="D505" s="13">
        <f>IF(C505="","",IFERROR(INDEX(Materials!$B$5:$B$254,MATCH(C505,Materials!$A$5:$A$254,0)),"Add to Materials"))</f>
        <v>0</v>
      </c>
      <c r="E505" s="13">
        <f>IF(C505="","",IFERROR(INDEX(Materials!$H$5:$H$254,MATCH(C505,Materials!$A$5:$A$254,0)),"Add to Materials"))</f>
        <v>0</v>
      </c>
      <c r="J505" s="33">
        <f>IF(C505="","",IF(G505&lt;&gt;"",G505,IFERROR(INDEX(Materials!$W$5:$W$254,MATCH(C505,Materials!$A$5:$A$254,0)),DefaultWaste)))</f>
        <v>0</v>
      </c>
      <c r="K505" s="36">
        <f>IF(C505="","",IF(F505="","",ROUND(F505*(1+J505),4)))</f>
        <v>0</v>
      </c>
      <c r="L505" s="45">
        <f>IF(C505="","",IFERROR(INDEX(Materials!$S$5:$S$254,MATCH(C505,Materials!$A$5:$A$254,0)),""))</f>
        <v>0</v>
      </c>
      <c r="M505" s="45">
        <f>IF(C505="","",IF(OR(K505="",L505=""),"",ROUND(K505*L505,4)))</f>
        <v>0</v>
      </c>
      <c r="N505" s="20">
        <f>IF(A505="","",ROUND(SUMIFS('Material Usage'!$M$5:$M$904,'Material Usage'!$A$5:$A$904,A505),2))</f>
        <v>0</v>
      </c>
      <c r="O505" s="33">
        <f>IF(A505="","",IF(OR(M505="",N505="",N505=0),"",M505/N505))</f>
        <v>0</v>
      </c>
      <c r="P505" s="32">
        <f>IF(A505="","",COUNTIFS($A$5:A505,A505))</f>
        <v>0</v>
      </c>
      <c r="Q505" s="13">
        <f>IF(A505="","",A505&amp;"|"&amp;P505)</f>
        <v>0</v>
      </c>
      <c r="R505" s="43">
        <f>IF(AND(A505="",C505=""),"",IF(A505="","Add - which product?",IF(C505="","Add - which material?",IF(B505="Not found","Check - no such product ID",IF(D505="Add to Materials","Check - no such material ID",IF(OR(F505="",F505=0),"Add - how much?",IF(L505="","Check - that material has no price","OK")))))))</f>
        <v>0</v>
      </c>
    </row>
    <row r="506" spans="2:18">
      <c r="B506" s="13">
        <f>IF(A506="","",IFERROR(INDEX(Products!$B$5:$B$304,MATCH(A506,Products!$A$5:$A$304,0)),"Not found"))</f>
        <v>0</v>
      </c>
      <c r="D506" s="13">
        <f>IF(C506="","",IFERROR(INDEX(Materials!$B$5:$B$254,MATCH(C506,Materials!$A$5:$A$254,0)),"Add to Materials"))</f>
        <v>0</v>
      </c>
      <c r="E506" s="13">
        <f>IF(C506="","",IFERROR(INDEX(Materials!$H$5:$H$254,MATCH(C506,Materials!$A$5:$A$254,0)),"Add to Materials"))</f>
        <v>0</v>
      </c>
      <c r="J506" s="33">
        <f>IF(C506="","",IF(G506&lt;&gt;"",G506,IFERROR(INDEX(Materials!$W$5:$W$254,MATCH(C506,Materials!$A$5:$A$254,0)),DefaultWaste)))</f>
        <v>0</v>
      </c>
      <c r="K506" s="36">
        <f>IF(C506="","",IF(F506="","",ROUND(F506*(1+J506),4)))</f>
        <v>0</v>
      </c>
      <c r="L506" s="45">
        <f>IF(C506="","",IFERROR(INDEX(Materials!$S$5:$S$254,MATCH(C506,Materials!$A$5:$A$254,0)),""))</f>
        <v>0</v>
      </c>
      <c r="M506" s="45">
        <f>IF(C506="","",IF(OR(K506="",L506=""),"",ROUND(K506*L506,4)))</f>
        <v>0</v>
      </c>
      <c r="N506" s="20">
        <f>IF(A506="","",ROUND(SUMIFS('Material Usage'!$M$5:$M$904,'Material Usage'!$A$5:$A$904,A506),2))</f>
        <v>0</v>
      </c>
      <c r="O506" s="33">
        <f>IF(A506="","",IF(OR(M506="",N506="",N506=0),"",M506/N506))</f>
        <v>0</v>
      </c>
      <c r="P506" s="32">
        <f>IF(A506="","",COUNTIFS($A$5:A506,A506))</f>
        <v>0</v>
      </c>
      <c r="Q506" s="13">
        <f>IF(A506="","",A506&amp;"|"&amp;P506)</f>
        <v>0</v>
      </c>
      <c r="R506" s="43">
        <f>IF(AND(A506="",C506=""),"",IF(A506="","Add - which product?",IF(C506="","Add - which material?",IF(B506="Not found","Check - no such product ID",IF(D506="Add to Materials","Check - no such material ID",IF(OR(F506="",F506=0),"Add - how much?",IF(L506="","Check - that material has no price","OK")))))))</f>
        <v>0</v>
      </c>
    </row>
    <row r="507" spans="2:18">
      <c r="B507" s="13">
        <f>IF(A507="","",IFERROR(INDEX(Products!$B$5:$B$304,MATCH(A507,Products!$A$5:$A$304,0)),"Not found"))</f>
        <v>0</v>
      </c>
      <c r="D507" s="13">
        <f>IF(C507="","",IFERROR(INDEX(Materials!$B$5:$B$254,MATCH(C507,Materials!$A$5:$A$254,0)),"Add to Materials"))</f>
        <v>0</v>
      </c>
      <c r="E507" s="13">
        <f>IF(C507="","",IFERROR(INDEX(Materials!$H$5:$H$254,MATCH(C507,Materials!$A$5:$A$254,0)),"Add to Materials"))</f>
        <v>0</v>
      </c>
      <c r="J507" s="33">
        <f>IF(C507="","",IF(G507&lt;&gt;"",G507,IFERROR(INDEX(Materials!$W$5:$W$254,MATCH(C507,Materials!$A$5:$A$254,0)),DefaultWaste)))</f>
        <v>0</v>
      </c>
      <c r="K507" s="36">
        <f>IF(C507="","",IF(F507="","",ROUND(F507*(1+J507),4)))</f>
        <v>0</v>
      </c>
      <c r="L507" s="45">
        <f>IF(C507="","",IFERROR(INDEX(Materials!$S$5:$S$254,MATCH(C507,Materials!$A$5:$A$254,0)),""))</f>
        <v>0</v>
      </c>
      <c r="M507" s="45">
        <f>IF(C507="","",IF(OR(K507="",L507=""),"",ROUND(K507*L507,4)))</f>
        <v>0</v>
      </c>
      <c r="N507" s="20">
        <f>IF(A507="","",ROUND(SUMIFS('Material Usage'!$M$5:$M$904,'Material Usage'!$A$5:$A$904,A507),2))</f>
        <v>0</v>
      </c>
      <c r="O507" s="33">
        <f>IF(A507="","",IF(OR(M507="",N507="",N507=0),"",M507/N507))</f>
        <v>0</v>
      </c>
      <c r="P507" s="32">
        <f>IF(A507="","",COUNTIFS($A$5:A507,A507))</f>
        <v>0</v>
      </c>
      <c r="Q507" s="13">
        <f>IF(A507="","",A507&amp;"|"&amp;P507)</f>
        <v>0</v>
      </c>
      <c r="R507" s="43">
        <f>IF(AND(A507="",C507=""),"",IF(A507="","Add - which product?",IF(C507="","Add - which material?",IF(B507="Not found","Check - no such product ID",IF(D507="Add to Materials","Check - no such material ID",IF(OR(F507="",F507=0),"Add - how much?",IF(L507="","Check - that material has no price","OK")))))))</f>
        <v>0</v>
      </c>
    </row>
    <row r="508" spans="2:18">
      <c r="B508" s="13">
        <f>IF(A508="","",IFERROR(INDEX(Products!$B$5:$B$304,MATCH(A508,Products!$A$5:$A$304,0)),"Not found"))</f>
        <v>0</v>
      </c>
      <c r="D508" s="13">
        <f>IF(C508="","",IFERROR(INDEX(Materials!$B$5:$B$254,MATCH(C508,Materials!$A$5:$A$254,0)),"Add to Materials"))</f>
        <v>0</v>
      </c>
      <c r="E508" s="13">
        <f>IF(C508="","",IFERROR(INDEX(Materials!$H$5:$H$254,MATCH(C508,Materials!$A$5:$A$254,0)),"Add to Materials"))</f>
        <v>0</v>
      </c>
      <c r="J508" s="33">
        <f>IF(C508="","",IF(G508&lt;&gt;"",G508,IFERROR(INDEX(Materials!$W$5:$W$254,MATCH(C508,Materials!$A$5:$A$254,0)),DefaultWaste)))</f>
        <v>0</v>
      </c>
      <c r="K508" s="36">
        <f>IF(C508="","",IF(F508="","",ROUND(F508*(1+J508),4)))</f>
        <v>0</v>
      </c>
      <c r="L508" s="45">
        <f>IF(C508="","",IFERROR(INDEX(Materials!$S$5:$S$254,MATCH(C508,Materials!$A$5:$A$254,0)),""))</f>
        <v>0</v>
      </c>
      <c r="M508" s="45">
        <f>IF(C508="","",IF(OR(K508="",L508=""),"",ROUND(K508*L508,4)))</f>
        <v>0</v>
      </c>
      <c r="N508" s="20">
        <f>IF(A508="","",ROUND(SUMIFS('Material Usage'!$M$5:$M$904,'Material Usage'!$A$5:$A$904,A508),2))</f>
        <v>0</v>
      </c>
      <c r="O508" s="33">
        <f>IF(A508="","",IF(OR(M508="",N508="",N508=0),"",M508/N508))</f>
        <v>0</v>
      </c>
      <c r="P508" s="32">
        <f>IF(A508="","",COUNTIFS($A$5:A508,A508))</f>
        <v>0</v>
      </c>
      <c r="Q508" s="13">
        <f>IF(A508="","",A508&amp;"|"&amp;P508)</f>
        <v>0</v>
      </c>
      <c r="R508" s="43">
        <f>IF(AND(A508="",C508=""),"",IF(A508="","Add - which product?",IF(C508="","Add - which material?",IF(B508="Not found","Check - no such product ID",IF(D508="Add to Materials","Check - no such material ID",IF(OR(F508="",F508=0),"Add - how much?",IF(L508="","Check - that material has no price","OK")))))))</f>
        <v>0</v>
      </c>
    </row>
    <row r="509" spans="2:18">
      <c r="B509" s="13">
        <f>IF(A509="","",IFERROR(INDEX(Products!$B$5:$B$304,MATCH(A509,Products!$A$5:$A$304,0)),"Not found"))</f>
        <v>0</v>
      </c>
      <c r="D509" s="13">
        <f>IF(C509="","",IFERROR(INDEX(Materials!$B$5:$B$254,MATCH(C509,Materials!$A$5:$A$254,0)),"Add to Materials"))</f>
        <v>0</v>
      </c>
      <c r="E509" s="13">
        <f>IF(C509="","",IFERROR(INDEX(Materials!$H$5:$H$254,MATCH(C509,Materials!$A$5:$A$254,0)),"Add to Materials"))</f>
        <v>0</v>
      </c>
      <c r="J509" s="33">
        <f>IF(C509="","",IF(G509&lt;&gt;"",G509,IFERROR(INDEX(Materials!$W$5:$W$254,MATCH(C509,Materials!$A$5:$A$254,0)),DefaultWaste)))</f>
        <v>0</v>
      </c>
      <c r="K509" s="36">
        <f>IF(C509="","",IF(F509="","",ROUND(F509*(1+J509),4)))</f>
        <v>0</v>
      </c>
      <c r="L509" s="45">
        <f>IF(C509="","",IFERROR(INDEX(Materials!$S$5:$S$254,MATCH(C509,Materials!$A$5:$A$254,0)),""))</f>
        <v>0</v>
      </c>
      <c r="M509" s="45">
        <f>IF(C509="","",IF(OR(K509="",L509=""),"",ROUND(K509*L509,4)))</f>
        <v>0</v>
      </c>
      <c r="N509" s="20">
        <f>IF(A509="","",ROUND(SUMIFS('Material Usage'!$M$5:$M$904,'Material Usage'!$A$5:$A$904,A509),2))</f>
        <v>0</v>
      </c>
      <c r="O509" s="33">
        <f>IF(A509="","",IF(OR(M509="",N509="",N509=0),"",M509/N509))</f>
        <v>0</v>
      </c>
      <c r="P509" s="32">
        <f>IF(A509="","",COUNTIFS($A$5:A509,A509))</f>
        <v>0</v>
      </c>
      <c r="Q509" s="13">
        <f>IF(A509="","",A509&amp;"|"&amp;P509)</f>
        <v>0</v>
      </c>
      <c r="R509" s="43">
        <f>IF(AND(A509="",C509=""),"",IF(A509="","Add - which product?",IF(C509="","Add - which material?",IF(B509="Not found","Check - no such product ID",IF(D509="Add to Materials","Check - no such material ID",IF(OR(F509="",F509=0),"Add - how much?",IF(L509="","Check - that material has no price","OK")))))))</f>
        <v>0</v>
      </c>
    </row>
    <row r="510" spans="2:18">
      <c r="B510" s="13">
        <f>IF(A510="","",IFERROR(INDEX(Products!$B$5:$B$304,MATCH(A510,Products!$A$5:$A$304,0)),"Not found"))</f>
        <v>0</v>
      </c>
      <c r="D510" s="13">
        <f>IF(C510="","",IFERROR(INDEX(Materials!$B$5:$B$254,MATCH(C510,Materials!$A$5:$A$254,0)),"Add to Materials"))</f>
        <v>0</v>
      </c>
      <c r="E510" s="13">
        <f>IF(C510="","",IFERROR(INDEX(Materials!$H$5:$H$254,MATCH(C510,Materials!$A$5:$A$254,0)),"Add to Materials"))</f>
        <v>0</v>
      </c>
      <c r="J510" s="33">
        <f>IF(C510="","",IF(G510&lt;&gt;"",G510,IFERROR(INDEX(Materials!$W$5:$W$254,MATCH(C510,Materials!$A$5:$A$254,0)),DefaultWaste)))</f>
        <v>0</v>
      </c>
      <c r="K510" s="36">
        <f>IF(C510="","",IF(F510="","",ROUND(F510*(1+J510),4)))</f>
        <v>0</v>
      </c>
      <c r="L510" s="45">
        <f>IF(C510="","",IFERROR(INDEX(Materials!$S$5:$S$254,MATCH(C510,Materials!$A$5:$A$254,0)),""))</f>
        <v>0</v>
      </c>
      <c r="M510" s="45">
        <f>IF(C510="","",IF(OR(K510="",L510=""),"",ROUND(K510*L510,4)))</f>
        <v>0</v>
      </c>
      <c r="N510" s="20">
        <f>IF(A510="","",ROUND(SUMIFS('Material Usage'!$M$5:$M$904,'Material Usage'!$A$5:$A$904,A510),2))</f>
        <v>0</v>
      </c>
      <c r="O510" s="33">
        <f>IF(A510="","",IF(OR(M510="",N510="",N510=0),"",M510/N510))</f>
        <v>0</v>
      </c>
      <c r="P510" s="32">
        <f>IF(A510="","",COUNTIFS($A$5:A510,A510))</f>
        <v>0</v>
      </c>
      <c r="Q510" s="13">
        <f>IF(A510="","",A510&amp;"|"&amp;P510)</f>
        <v>0</v>
      </c>
      <c r="R510" s="43">
        <f>IF(AND(A510="",C510=""),"",IF(A510="","Add - which product?",IF(C510="","Add - which material?",IF(B510="Not found","Check - no such product ID",IF(D510="Add to Materials","Check - no such material ID",IF(OR(F510="",F510=0),"Add - how much?",IF(L510="","Check - that material has no price","OK")))))))</f>
        <v>0</v>
      </c>
    </row>
    <row r="511" spans="2:18">
      <c r="B511" s="13">
        <f>IF(A511="","",IFERROR(INDEX(Products!$B$5:$B$304,MATCH(A511,Products!$A$5:$A$304,0)),"Not found"))</f>
        <v>0</v>
      </c>
      <c r="D511" s="13">
        <f>IF(C511="","",IFERROR(INDEX(Materials!$B$5:$B$254,MATCH(C511,Materials!$A$5:$A$254,0)),"Add to Materials"))</f>
        <v>0</v>
      </c>
      <c r="E511" s="13">
        <f>IF(C511="","",IFERROR(INDEX(Materials!$H$5:$H$254,MATCH(C511,Materials!$A$5:$A$254,0)),"Add to Materials"))</f>
        <v>0</v>
      </c>
      <c r="J511" s="33">
        <f>IF(C511="","",IF(G511&lt;&gt;"",G511,IFERROR(INDEX(Materials!$W$5:$W$254,MATCH(C511,Materials!$A$5:$A$254,0)),DefaultWaste)))</f>
        <v>0</v>
      </c>
      <c r="K511" s="36">
        <f>IF(C511="","",IF(F511="","",ROUND(F511*(1+J511),4)))</f>
        <v>0</v>
      </c>
      <c r="L511" s="45">
        <f>IF(C511="","",IFERROR(INDEX(Materials!$S$5:$S$254,MATCH(C511,Materials!$A$5:$A$254,0)),""))</f>
        <v>0</v>
      </c>
      <c r="M511" s="45">
        <f>IF(C511="","",IF(OR(K511="",L511=""),"",ROUND(K511*L511,4)))</f>
        <v>0</v>
      </c>
      <c r="N511" s="20">
        <f>IF(A511="","",ROUND(SUMIFS('Material Usage'!$M$5:$M$904,'Material Usage'!$A$5:$A$904,A511),2))</f>
        <v>0</v>
      </c>
      <c r="O511" s="33">
        <f>IF(A511="","",IF(OR(M511="",N511="",N511=0),"",M511/N511))</f>
        <v>0</v>
      </c>
      <c r="P511" s="32">
        <f>IF(A511="","",COUNTIFS($A$5:A511,A511))</f>
        <v>0</v>
      </c>
      <c r="Q511" s="13">
        <f>IF(A511="","",A511&amp;"|"&amp;P511)</f>
        <v>0</v>
      </c>
      <c r="R511" s="43">
        <f>IF(AND(A511="",C511=""),"",IF(A511="","Add - which product?",IF(C511="","Add - which material?",IF(B511="Not found","Check - no such product ID",IF(D511="Add to Materials","Check - no such material ID",IF(OR(F511="",F511=0),"Add - how much?",IF(L511="","Check - that material has no price","OK")))))))</f>
        <v>0</v>
      </c>
    </row>
    <row r="512" spans="2:18">
      <c r="B512" s="13">
        <f>IF(A512="","",IFERROR(INDEX(Products!$B$5:$B$304,MATCH(A512,Products!$A$5:$A$304,0)),"Not found"))</f>
        <v>0</v>
      </c>
      <c r="D512" s="13">
        <f>IF(C512="","",IFERROR(INDEX(Materials!$B$5:$B$254,MATCH(C512,Materials!$A$5:$A$254,0)),"Add to Materials"))</f>
        <v>0</v>
      </c>
      <c r="E512" s="13">
        <f>IF(C512="","",IFERROR(INDEX(Materials!$H$5:$H$254,MATCH(C512,Materials!$A$5:$A$254,0)),"Add to Materials"))</f>
        <v>0</v>
      </c>
      <c r="J512" s="33">
        <f>IF(C512="","",IF(G512&lt;&gt;"",G512,IFERROR(INDEX(Materials!$W$5:$W$254,MATCH(C512,Materials!$A$5:$A$254,0)),DefaultWaste)))</f>
        <v>0</v>
      </c>
      <c r="K512" s="36">
        <f>IF(C512="","",IF(F512="","",ROUND(F512*(1+J512),4)))</f>
        <v>0</v>
      </c>
      <c r="L512" s="45">
        <f>IF(C512="","",IFERROR(INDEX(Materials!$S$5:$S$254,MATCH(C512,Materials!$A$5:$A$254,0)),""))</f>
        <v>0</v>
      </c>
      <c r="M512" s="45">
        <f>IF(C512="","",IF(OR(K512="",L512=""),"",ROUND(K512*L512,4)))</f>
        <v>0</v>
      </c>
      <c r="N512" s="20">
        <f>IF(A512="","",ROUND(SUMIFS('Material Usage'!$M$5:$M$904,'Material Usage'!$A$5:$A$904,A512),2))</f>
        <v>0</v>
      </c>
      <c r="O512" s="33">
        <f>IF(A512="","",IF(OR(M512="",N512="",N512=0),"",M512/N512))</f>
        <v>0</v>
      </c>
      <c r="P512" s="32">
        <f>IF(A512="","",COUNTIFS($A$5:A512,A512))</f>
        <v>0</v>
      </c>
      <c r="Q512" s="13">
        <f>IF(A512="","",A512&amp;"|"&amp;P512)</f>
        <v>0</v>
      </c>
      <c r="R512" s="43">
        <f>IF(AND(A512="",C512=""),"",IF(A512="","Add - which product?",IF(C512="","Add - which material?",IF(B512="Not found","Check - no such product ID",IF(D512="Add to Materials","Check - no such material ID",IF(OR(F512="",F512=0),"Add - how much?",IF(L512="","Check - that material has no price","OK")))))))</f>
        <v>0</v>
      </c>
    </row>
    <row r="513" spans="2:18">
      <c r="B513" s="13">
        <f>IF(A513="","",IFERROR(INDEX(Products!$B$5:$B$304,MATCH(A513,Products!$A$5:$A$304,0)),"Not found"))</f>
        <v>0</v>
      </c>
      <c r="D513" s="13">
        <f>IF(C513="","",IFERROR(INDEX(Materials!$B$5:$B$254,MATCH(C513,Materials!$A$5:$A$254,0)),"Add to Materials"))</f>
        <v>0</v>
      </c>
      <c r="E513" s="13">
        <f>IF(C513="","",IFERROR(INDEX(Materials!$H$5:$H$254,MATCH(C513,Materials!$A$5:$A$254,0)),"Add to Materials"))</f>
        <v>0</v>
      </c>
      <c r="J513" s="33">
        <f>IF(C513="","",IF(G513&lt;&gt;"",G513,IFERROR(INDEX(Materials!$W$5:$W$254,MATCH(C513,Materials!$A$5:$A$254,0)),DefaultWaste)))</f>
        <v>0</v>
      </c>
      <c r="K513" s="36">
        <f>IF(C513="","",IF(F513="","",ROUND(F513*(1+J513),4)))</f>
        <v>0</v>
      </c>
      <c r="L513" s="45">
        <f>IF(C513="","",IFERROR(INDEX(Materials!$S$5:$S$254,MATCH(C513,Materials!$A$5:$A$254,0)),""))</f>
        <v>0</v>
      </c>
      <c r="M513" s="45">
        <f>IF(C513="","",IF(OR(K513="",L513=""),"",ROUND(K513*L513,4)))</f>
        <v>0</v>
      </c>
      <c r="N513" s="20">
        <f>IF(A513="","",ROUND(SUMIFS('Material Usage'!$M$5:$M$904,'Material Usage'!$A$5:$A$904,A513),2))</f>
        <v>0</v>
      </c>
      <c r="O513" s="33">
        <f>IF(A513="","",IF(OR(M513="",N513="",N513=0),"",M513/N513))</f>
        <v>0</v>
      </c>
      <c r="P513" s="32">
        <f>IF(A513="","",COUNTIFS($A$5:A513,A513))</f>
        <v>0</v>
      </c>
      <c r="Q513" s="13">
        <f>IF(A513="","",A513&amp;"|"&amp;P513)</f>
        <v>0</v>
      </c>
      <c r="R513" s="43">
        <f>IF(AND(A513="",C513=""),"",IF(A513="","Add - which product?",IF(C513="","Add - which material?",IF(B513="Not found","Check - no such product ID",IF(D513="Add to Materials","Check - no such material ID",IF(OR(F513="",F513=0),"Add - how much?",IF(L513="","Check - that material has no price","OK")))))))</f>
        <v>0</v>
      </c>
    </row>
    <row r="514" spans="2:18">
      <c r="B514" s="13">
        <f>IF(A514="","",IFERROR(INDEX(Products!$B$5:$B$304,MATCH(A514,Products!$A$5:$A$304,0)),"Not found"))</f>
        <v>0</v>
      </c>
      <c r="D514" s="13">
        <f>IF(C514="","",IFERROR(INDEX(Materials!$B$5:$B$254,MATCH(C514,Materials!$A$5:$A$254,0)),"Add to Materials"))</f>
        <v>0</v>
      </c>
      <c r="E514" s="13">
        <f>IF(C514="","",IFERROR(INDEX(Materials!$H$5:$H$254,MATCH(C514,Materials!$A$5:$A$254,0)),"Add to Materials"))</f>
        <v>0</v>
      </c>
      <c r="J514" s="33">
        <f>IF(C514="","",IF(G514&lt;&gt;"",G514,IFERROR(INDEX(Materials!$W$5:$W$254,MATCH(C514,Materials!$A$5:$A$254,0)),DefaultWaste)))</f>
        <v>0</v>
      </c>
      <c r="K514" s="36">
        <f>IF(C514="","",IF(F514="","",ROUND(F514*(1+J514),4)))</f>
        <v>0</v>
      </c>
      <c r="L514" s="45">
        <f>IF(C514="","",IFERROR(INDEX(Materials!$S$5:$S$254,MATCH(C514,Materials!$A$5:$A$254,0)),""))</f>
        <v>0</v>
      </c>
      <c r="M514" s="45">
        <f>IF(C514="","",IF(OR(K514="",L514=""),"",ROUND(K514*L514,4)))</f>
        <v>0</v>
      </c>
      <c r="N514" s="20">
        <f>IF(A514="","",ROUND(SUMIFS('Material Usage'!$M$5:$M$904,'Material Usage'!$A$5:$A$904,A514),2))</f>
        <v>0</v>
      </c>
      <c r="O514" s="33">
        <f>IF(A514="","",IF(OR(M514="",N514="",N514=0),"",M514/N514))</f>
        <v>0</v>
      </c>
      <c r="P514" s="32">
        <f>IF(A514="","",COUNTIFS($A$5:A514,A514))</f>
        <v>0</v>
      </c>
      <c r="Q514" s="13">
        <f>IF(A514="","",A514&amp;"|"&amp;P514)</f>
        <v>0</v>
      </c>
      <c r="R514" s="43">
        <f>IF(AND(A514="",C514=""),"",IF(A514="","Add - which product?",IF(C514="","Add - which material?",IF(B514="Not found","Check - no such product ID",IF(D514="Add to Materials","Check - no such material ID",IF(OR(F514="",F514=0),"Add - how much?",IF(L514="","Check - that material has no price","OK")))))))</f>
        <v>0</v>
      </c>
    </row>
    <row r="515" spans="2:18">
      <c r="B515" s="13">
        <f>IF(A515="","",IFERROR(INDEX(Products!$B$5:$B$304,MATCH(A515,Products!$A$5:$A$304,0)),"Not found"))</f>
        <v>0</v>
      </c>
      <c r="D515" s="13">
        <f>IF(C515="","",IFERROR(INDEX(Materials!$B$5:$B$254,MATCH(C515,Materials!$A$5:$A$254,0)),"Add to Materials"))</f>
        <v>0</v>
      </c>
      <c r="E515" s="13">
        <f>IF(C515="","",IFERROR(INDEX(Materials!$H$5:$H$254,MATCH(C515,Materials!$A$5:$A$254,0)),"Add to Materials"))</f>
        <v>0</v>
      </c>
      <c r="J515" s="33">
        <f>IF(C515="","",IF(G515&lt;&gt;"",G515,IFERROR(INDEX(Materials!$W$5:$W$254,MATCH(C515,Materials!$A$5:$A$254,0)),DefaultWaste)))</f>
        <v>0</v>
      </c>
      <c r="K515" s="36">
        <f>IF(C515="","",IF(F515="","",ROUND(F515*(1+J515),4)))</f>
        <v>0</v>
      </c>
      <c r="L515" s="45">
        <f>IF(C515="","",IFERROR(INDEX(Materials!$S$5:$S$254,MATCH(C515,Materials!$A$5:$A$254,0)),""))</f>
        <v>0</v>
      </c>
      <c r="M515" s="45">
        <f>IF(C515="","",IF(OR(K515="",L515=""),"",ROUND(K515*L515,4)))</f>
        <v>0</v>
      </c>
      <c r="N515" s="20">
        <f>IF(A515="","",ROUND(SUMIFS('Material Usage'!$M$5:$M$904,'Material Usage'!$A$5:$A$904,A515),2))</f>
        <v>0</v>
      </c>
      <c r="O515" s="33">
        <f>IF(A515="","",IF(OR(M515="",N515="",N515=0),"",M515/N515))</f>
        <v>0</v>
      </c>
      <c r="P515" s="32">
        <f>IF(A515="","",COUNTIFS($A$5:A515,A515))</f>
        <v>0</v>
      </c>
      <c r="Q515" s="13">
        <f>IF(A515="","",A515&amp;"|"&amp;P515)</f>
        <v>0</v>
      </c>
      <c r="R515" s="43">
        <f>IF(AND(A515="",C515=""),"",IF(A515="","Add - which product?",IF(C515="","Add - which material?",IF(B515="Not found","Check - no such product ID",IF(D515="Add to Materials","Check - no such material ID",IF(OR(F515="",F515=0),"Add - how much?",IF(L515="","Check - that material has no price","OK")))))))</f>
        <v>0</v>
      </c>
    </row>
    <row r="516" spans="2:18">
      <c r="B516" s="13">
        <f>IF(A516="","",IFERROR(INDEX(Products!$B$5:$B$304,MATCH(A516,Products!$A$5:$A$304,0)),"Not found"))</f>
        <v>0</v>
      </c>
      <c r="D516" s="13">
        <f>IF(C516="","",IFERROR(INDEX(Materials!$B$5:$B$254,MATCH(C516,Materials!$A$5:$A$254,0)),"Add to Materials"))</f>
        <v>0</v>
      </c>
      <c r="E516" s="13">
        <f>IF(C516="","",IFERROR(INDEX(Materials!$H$5:$H$254,MATCH(C516,Materials!$A$5:$A$254,0)),"Add to Materials"))</f>
        <v>0</v>
      </c>
      <c r="J516" s="33">
        <f>IF(C516="","",IF(G516&lt;&gt;"",G516,IFERROR(INDEX(Materials!$W$5:$W$254,MATCH(C516,Materials!$A$5:$A$254,0)),DefaultWaste)))</f>
        <v>0</v>
      </c>
      <c r="K516" s="36">
        <f>IF(C516="","",IF(F516="","",ROUND(F516*(1+J516),4)))</f>
        <v>0</v>
      </c>
      <c r="L516" s="45">
        <f>IF(C516="","",IFERROR(INDEX(Materials!$S$5:$S$254,MATCH(C516,Materials!$A$5:$A$254,0)),""))</f>
        <v>0</v>
      </c>
      <c r="M516" s="45">
        <f>IF(C516="","",IF(OR(K516="",L516=""),"",ROUND(K516*L516,4)))</f>
        <v>0</v>
      </c>
      <c r="N516" s="20">
        <f>IF(A516="","",ROUND(SUMIFS('Material Usage'!$M$5:$M$904,'Material Usage'!$A$5:$A$904,A516),2))</f>
        <v>0</v>
      </c>
      <c r="O516" s="33">
        <f>IF(A516="","",IF(OR(M516="",N516="",N516=0),"",M516/N516))</f>
        <v>0</v>
      </c>
      <c r="P516" s="32">
        <f>IF(A516="","",COUNTIFS($A$5:A516,A516))</f>
        <v>0</v>
      </c>
      <c r="Q516" s="13">
        <f>IF(A516="","",A516&amp;"|"&amp;P516)</f>
        <v>0</v>
      </c>
      <c r="R516" s="43">
        <f>IF(AND(A516="",C516=""),"",IF(A516="","Add - which product?",IF(C516="","Add - which material?",IF(B516="Not found","Check - no such product ID",IF(D516="Add to Materials","Check - no such material ID",IF(OR(F516="",F516=0),"Add - how much?",IF(L516="","Check - that material has no price","OK")))))))</f>
        <v>0</v>
      </c>
    </row>
    <row r="517" spans="2:18">
      <c r="B517" s="13">
        <f>IF(A517="","",IFERROR(INDEX(Products!$B$5:$B$304,MATCH(A517,Products!$A$5:$A$304,0)),"Not found"))</f>
        <v>0</v>
      </c>
      <c r="D517" s="13">
        <f>IF(C517="","",IFERROR(INDEX(Materials!$B$5:$B$254,MATCH(C517,Materials!$A$5:$A$254,0)),"Add to Materials"))</f>
        <v>0</v>
      </c>
      <c r="E517" s="13">
        <f>IF(C517="","",IFERROR(INDEX(Materials!$H$5:$H$254,MATCH(C517,Materials!$A$5:$A$254,0)),"Add to Materials"))</f>
        <v>0</v>
      </c>
      <c r="J517" s="33">
        <f>IF(C517="","",IF(G517&lt;&gt;"",G517,IFERROR(INDEX(Materials!$W$5:$W$254,MATCH(C517,Materials!$A$5:$A$254,0)),DefaultWaste)))</f>
        <v>0</v>
      </c>
      <c r="K517" s="36">
        <f>IF(C517="","",IF(F517="","",ROUND(F517*(1+J517),4)))</f>
        <v>0</v>
      </c>
      <c r="L517" s="45">
        <f>IF(C517="","",IFERROR(INDEX(Materials!$S$5:$S$254,MATCH(C517,Materials!$A$5:$A$254,0)),""))</f>
        <v>0</v>
      </c>
      <c r="M517" s="45">
        <f>IF(C517="","",IF(OR(K517="",L517=""),"",ROUND(K517*L517,4)))</f>
        <v>0</v>
      </c>
      <c r="N517" s="20">
        <f>IF(A517="","",ROUND(SUMIFS('Material Usage'!$M$5:$M$904,'Material Usage'!$A$5:$A$904,A517),2))</f>
        <v>0</v>
      </c>
      <c r="O517" s="33">
        <f>IF(A517="","",IF(OR(M517="",N517="",N517=0),"",M517/N517))</f>
        <v>0</v>
      </c>
      <c r="P517" s="32">
        <f>IF(A517="","",COUNTIFS($A$5:A517,A517))</f>
        <v>0</v>
      </c>
      <c r="Q517" s="13">
        <f>IF(A517="","",A517&amp;"|"&amp;P517)</f>
        <v>0</v>
      </c>
      <c r="R517" s="43">
        <f>IF(AND(A517="",C517=""),"",IF(A517="","Add - which product?",IF(C517="","Add - which material?",IF(B517="Not found","Check - no such product ID",IF(D517="Add to Materials","Check - no such material ID",IF(OR(F517="",F517=0),"Add - how much?",IF(L517="","Check - that material has no price","OK")))))))</f>
        <v>0</v>
      </c>
    </row>
    <row r="518" spans="2:18">
      <c r="B518" s="13">
        <f>IF(A518="","",IFERROR(INDEX(Products!$B$5:$B$304,MATCH(A518,Products!$A$5:$A$304,0)),"Not found"))</f>
        <v>0</v>
      </c>
      <c r="D518" s="13">
        <f>IF(C518="","",IFERROR(INDEX(Materials!$B$5:$B$254,MATCH(C518,Materials!$A$5:$A$254,0)),"Add to Materials"))</f>
        <v>0</v>
      </c>
      <c r="E518" s="13">
        <f>IF(C518="","",IFERROR(INDEX(Materials!$H$5:$H$254,MATCH(C518,Materials!$A$5:$A$254,0)),"Add to Materials"))</f>
        <v>0</v>
      </c>
      <c r="J518" s="33">
        <f>IF(C518="","",IF(G518&lt;&gt;"",G518,IFERROR(INDEX(Materials!$W$5:$W$254,MATCH(C518,Materials!$A$5:$A$254,0)),DefaultWaste)))</f>
        <v>0</v>
      </c>
      <c r="K518" s="36">
        <f>IF(C518="","",IF(F518="","",ROUND(F518*(1+J518),4)))</f>
        <v>0</v>
      </c>
      <c r="L518" s="45">
        <f>IF(C518="","",IFERROR(INDEX(Materials!$S$5:$S$254,MATCH(C518,Materials!$A$5:$A$254,0)),""))</f>
        <v>0</v>
      </c>
      <c r="M518" s="45">
        <f>IF(C518="","",IF(OR(K518="",L518=""),"",ROUND(K518*L518,4)))</f>
        <v>0</v>
      </c>
      <c r="N518" s="20">
        <f>IF(A518="","",ROUND(SUMIFS('Material Usage'!$M$5:$M$904,'Material Usage'!$A$5:$A$904,A518),2))</f>
        <v>0</v>
      </c>
      <c r="O518" s="33">
        <f>IF(A518="","",IF(OR(M518="",N518="",N518=0),"",M518/N518))</f>
        <v>0</v>
      </c>
      <c r="P518" s="32">
        <f>IF(A518="","",COUNTIFS($A$5:A518,A518))</f>
        <v>0</v>
      </c>
      <c r="Q518" s="13">
        <f>IF(A518="","",A518&amp;"|"&amp;P518)</f>
        <v>0</v>
      </c>
      <c r="R518" s="43">
        <f>IF(AND(A518="",C518=""),"",IF(A518="","Add - which product?",IF(C518="","Add - which material?",IF(B518="Not found","Check - no such product ID",IF(D518="Add to Materials","Check - no such material ID",IF(OR(F518="",F518=0),"Add - how much?",IF(L518="","Check - that material has no price","OK")))))))</f>
        <v>0</v>
      </c>
    </row>
    <row r="519" spans="2:18">
      <c r="B519" s="13">
        <f>IF(A519="","",IFERROR(INDEX(Products!$B$5:$B$304,MATCH(A519,Products!$A$5:$A$304,0)),"Not found"))</f>
        <v>0</v>
      </c>
      <c r="D519" s="13">
        <f>IF(C519="","",IFERROR(INDEX(Materials!$B$5:$B$254,MATCH(C519,Materials!$A$5:$A$254,0)),"Add to Materials"))</f>
        <v>0</v>
      </c>
      <c r="E519" s="13">
        <f>IF(C519="","",IFERROR(INDEX(Materials!$H$5:$H$254,MATCH(C519,Materials!$A$5:$A$254,0)),"Add to Materials"))</f>
        <v>0</v>
      </c>
      <c r="J519" s="33">
        <f>IF(C519="","",IF(G519&lt;&gt;"",G519,IFERROR(INDEX(Materials!$W$5:$W$254,MATCH(C519,Materials!$A$5:$A$254,0)),DefaultWaste)))</f>
        <v>0</v>
      </c>
      <c r="K519" s="36">
        <f>IF(C519="","",IF(F519="","",ROUND(F519*(1+J519),4)))</f>
        <v>0</v>
      </c>
      <c r="L519" s="45">
        <f>IF(C519="","",IFERROR(INDEX(Materials!$S$5:$S$254,MATCH(C519,Materials!$A$5:$A$254,0)),""))</f>
        <v>0</v>
      </c>
      <c r="M519" s="45">
        <f>IF(C519="","",IF(OR(K519="",L519=""),"",ROUND(K519*L519,4)))</f>
        <v>0</v>
      </c>
      <c r="N519" s="20">
        <f>IF(A519="","",ROUND(SUMIFS('Material Usage'!$M$5:$M$904,'Material Usage'!$A$5:$A$904,A519),2))</f>
        <v>0</v>
      </c>
      <c r="O519" s="33">
        <f>IF(A519="","",IF(OR(M519="",N519="",N519=0),"",M519/N519))</f>
        <v>0</v>
      </c>
      <c r="P519" s="32">
        <f>IF(A519="","",COUNTIFS($A$5:A519,A519))</f>
        <v>0</v>
      </c>
      <c r="Q519" s="13">
        <f>IF(A519="","",A519&amp;"|"&amp;P519)</f>
        <v>0</v>
      </c>
      <c r="R519" s="43">
        <f>IF(AND(A519="",C519=""),"",IF(A519="","Add - which product?",IF(C519="","Add - which material?",IF(B519="Not found","Check - no such product ID",IF(D519="Add to Materials","Check - no such material ID",IF(OR(F519="",F519=0),"Add - how much?",IF(L519="","Check - that material has no price","OK")))))))</f>
        <v>0</v>
      </c>
    </row>
    <row r="520" spans="2:18">
      <c r="B520" s="13">
        <f>IF(A520="","",IFERROR(INDEX(Products!$B$5:$B$304,MATCH(A520,Products!$A$5:$A$304,0)),"Not found"))</f>
        <v>0</v>
      </c>
      <c r="D520" s="13">
        <f>IF(C520="","",IFERROR(INDEX(Materials!$B$5:$B$254,MATCH(C520,Materials!$A$5:$A$254,0)),"Add to Materials"))</f>
        <v>0</v>
      </c>
      <c r="E520" s="13">
        <f>IF(C520="","",IFERROR(INDEX(Materials!$H$5:$H$254,MATCH(C520,Materials!$A$5:$A$254,0)),"Add to Materials"))</f>
        <v>0</v>
      </c>
      <c r="J520" s="33">
        <f>IF(C520="","",IF(G520&lt;&gt;"",G520,IFERROR(INDEX(Materials!$W$5:$W$254,MATCH(C520,Materials!$A$5:$A$254,0)),DefaultWaste)))</f>
        <v>0</v>
      </c>
      <c r="K520" s="36">
        <f>IF(C520="","",IF(F520="","",ROUND(F520*(1+J520),4)))</f>
        <v>0</v>
      </c>
      <c r="L520" s="45">
        <f>IF(C520="","",IFERROR(INDEX(Materials!$S$5:$S$254,MATCH(C520,Materials!$A$5:$A$254,0)),""))</f>
        <v>0</v>
      </c>
      <c r="M520" s="45">
        <f>IF(C520="","",IF(OR(K520="",L520=""),"",ROUND(K520*L520,4)))</f>
        <v>0</v>
      </c>
      <c r="N520" s="20">
        <f>IF(A520="","",ROUND(SUMIFS('Material Usage'!$M$5:$M$904,'Material Usage'!$A$5:$A$904,A520),2))</f>
        <v>0</v>
      </c>
      <c r="O520" s="33">
        <f>IF(A520="","",IF(OR(M520="",N520="",N520=0),"",M520/N520))</f>
        <v>0</v>
      </c>
      <c r="P520" s="32">
        <f>IF(A520="","",COUNTIFS($A$5:A520,A520))</f>
        <v>0</v>
      </c>
      <c r="Q520" s="13">
        <f>IF(A520="","",A520&amp;"|"&amp;P520)</f>
        <v>0</v>
      </c>
      <c r="R520" s="43">
        <f>IF(AND(A520="",C520=""),"",IF(A520="","Add - which product?",IF(C520="","Add - which material?",IF(B520="Not found","Check - no such product ID",IF(D520="Add to Materials","Check - no such material ID",IF(OR(F520="",F520=0),"Add - how much?",IF(L520="","Check - that material has no price","OK")))))))</f>
        <v>0</v>
      </c>
    </row>
    <row r="521" spans="2:18">
      <c r="B521" s="13">
        <f>IF(A521="","",IFERROR(INDEX(Products!$B$5:$B$304,MATCH(A521,Products!$A$5:$A$304,0)),"Not found"))</f>
        <v>0</v>
      </c>
      <c r="D521" s="13">
        <f>IF(C521="","",IFERROR(INDEX(Materials!$B$5:$B$254,MATCH(C521,Materials!$A$5:$A$254,0)),"Add to Materials"))</f>
        <v>0</v>
      </c>
      <c r="E521" s="13">
        <f>IF(C521="","",IFERROR(INDEX(Materials!$H$5:$H$254,MATCH(C521,Materials!$A$5:$A$254,0)),"Add to Materials"))</f>
        <v>0</v>
      </c>
      <c r="J521" s="33">
        <f>IF(C521="","",IF(G521&lt;&gt;"",G521,IFERROR(INDEX(Materials!$W$5:$W$254,MATCH(C521,Materials!$A$5:$A$254,0)),DefaultWaste)))</f>
        <v>0</v>
      </c>
      <c r="K521" s="36">
        <f>IF(C521="","",IF(F521="","",ROUND(F521*(1+J521),4)))</f>
        <v>0</v>
      </c>
      <c r="L521" s="45">
        <f>IF(C521="","",IFERROR(INDEX(Materials!$S$5:$S$254,MATCH(C521,Materials!$A$5:$A$254,0)),""))</f>
        <v>0</v>
      </c>
      <c r="M521" s="45">
        <f>IF(C521="","",IF(OR(K521="",L521=""),"",ROUND(K521*L521,4)))</f>
        <v>0</v>
      </c>
      <c r="N521" s="20">
        <f>IF(A521="","",ROUND(SUMIFS('Material Usage'!$M$5:$M$904,'Material Usage'!$A$5:$A$904,A521),2))</f>
        <v>0</v>
      </c>
      <c r="O521" s="33">
        <f>IF(A521="","",IF(OR(M521="",N521="",N521=0),"",M521/N521))</f>
        <v>0</v>
      </c>
      <c r="P521" s="32">
        <f>IF(A521="","",COUNTIFS($A$5:A521,A521))</f>
        <v>0</v>
      </c>
      <c r="Q521" s="13">
        <f>IF(A521="","",A521&amp;"|"&amp;P521)</f>
        <v>0</v>
      </c>
      <c r="R521" s="43">
        <f>IF(AND(A521="",C521=""),"",IF(A521="","Add - which product?",IF(C521="","Add - which material?",IF(B521="Not found","Check - no such product ID",IF(D521="Add to Materials","Check - no such material ID",IF(OR(F521="",F521=0),"Add - how much?",IF(L521="","Check - that material has no price","OK")))))))</f>
        <v>0</v>
      </c>
    </row>
    <row r="522" spans="2:18">
      <c r="B522" s="13">
        <f>IF(A522="","",IFERROR(INDEX(Products!$B$5:$B$304,MATCH(A522,Products!$A$5:$A$304,0)),"Not found"))</f>
        <v>0</v>
      </c>
      <c r="D522" s="13">
        <f>IF(C522="","",IFERROR(INDEX(Materials!$B$5:$B$254,MATCH(C522,Materials!$A$5:$A$254,0)),"Add to Materials"))</f>
        <v>0</v>
      </c>
      <c r="E522" s="13">
        <f>IF(C522="","",IFERROR(INDEX(Materials!$H$5:$H$254,MATCH(C522,Materials!$A$5:$A$254,0)),"Add to Materials"))</f>
        <v>0</v>
      </c>
      <c r="J522" s="33">
        <f>IF(C522="","",IF(G522&lt;&gt;"",G522,IFERROR(INDEX(Materials!$W$5:$W$254,MATCH(C522,Materials!$A$5:$A$254,0)),DefaultWaste)))</f>
        <v>0</v>
      </c>
      <c r="K522" s="36">
        <f>IF(C522="","",IF(F522="","",ROUND(F522*(1+J522),4)))</f>
        <v>0</v>
      </c>
      <c r="L522" s="45">
        <f>IF(C522="","",IFERROR(INDEX(Materials!$S$5:$S$254,MATCH(C522,Materials!$A$5:$A$254,0)),""))</f>
        <v>0</v>
      </c>
      <c r="M522" s="45">
        <f>IF(C522="","",IF(OR(K522="",L522=""),"",ROUND(K522*L522,4)))</f>
        <v>0</v>
      </c>
      <c r="N522" s="20">
        <f>IF(A522="","",ROUND(SUMIFS('Material Usage'!$M$5:$M$904,'Material Usage'!$A$5:$A$904,A522),2))</f>
        <v>0</v>
      </c>
      <c r="O522" s="33">
        <f>IF(A522="","",IF(OR(M522="",N522="",N522=0),"",M522/N522))</f>
        <v>0</v>
      </c>
      <c r="P522" s="32">
        <f>IF(A522="","",COUNTIFS($A$5:A522,A522))</f>
        <v>0</v>
      </c>
      <c r="Q522" s="13">
        <f>IF(A522="","",A522&amp;"|"&amp;P522)</f>
        <v>0</v>
      </c>
      <c r="R522" s="43">
        <f>IF(AND(A522="",C522=""),"",IF(A522="","Add - which product?",IF(C522="","Add - which material?",IF(B522="Not found","Check - no such product ID",IF(D522="Add to Materials","Check - no such material ID",IF(OR(F522="",F522=0),"Add - how much?",IF(L522="","Check - that material has no price","OK")))))))</f>
        <v>0</v>
      </c>
    </row>
    <row r="523" spans="2:18">
      <c r="B523" s="13">
        <f>IF(A523="","",IFERROR(INDEX(Products!$B$5:$B$304,MATCH(A523,Products!$A$5:$A$304,0)),"Not found"))</f>
        <v>0</v>
      </c>
      <c r="D523" s="13">
        <f>IF(C523="","",IFERROR(INDEX(Materials!$B$5:$B$254,MATCH(C523,Materials!$A$5:$A$254,0)),"Add to Materials"))</f>
        <v>0</v>
      </c>
      <c r="E523" s="13">
        <f>IF(C523="","",IFERROR(INDEX(Materials!$H$5:$H$254,MATCH(C523,Materials!$A$5:$A$254,0)),"Add to Materials"))</f>
        <v>0</v>
      </c>
      <c r="J523" s="33">
        <f>IF(C523="","",IF(G523&lt;&gt;"",G523,IFERROR(INDEX(Materials!$W$5:$W$254,MATCH(C523,Materials!$A$5:$A$254,0)),DefaultWaste)))</f>
        <v>0</v>
      </c>
      <c r="K523" s="36">
        <f>IF(C523="","",IF(F523="","",ROUND(F523*(1+J523),4)))</f>
        <v>0</v>
      </c>
      <c r="L523" s="45">
        <f>IF(C523="","",IFERROR(INDEX(Materials!$S$5:$S$254,MATCH(C523,Materials!$A$5:$A$254,0)),""))</f>
        <v>0</v>
      </c>
      <c r="M523" s="45">
        <f>IF(C523="","",IF(OR(K523="",L523=""),"",ROUND(K523*L523,4)))</f>
        <v>0</v>
      </c>
      <c r="N523" s="20">
        <f>IF(A523="","",ROUND(SUMIFS('Material Usage'!$M$5:$M$904,'Material Usage'!$A$5:$A$904,A523),2))</f>
        <v>0</v>
      </c>
      <c r="O523" s="33">
        <f>IF(A523="","",IF(OR(M523="",N523="",N523=0),"",M523/N523))</f>
        <v>0</v>
      </c>
      <c r="P523" s="32">
        <f>IF(A523="","",COUNTIFS($A$5:A523,A523))</f>
        <v>0</v>
      </c>
      <c r="Q523" s="13">
        <f>IF(A523="","",A523&amp;"|"&amp;P523)</f>
        <v>0</v>
      </c>
      <c r="R523" s="43">
        <f>IF(AND(A523="",C523=""),"",IF(A523="","Add - which product?",IF(C523="","Add - which material?",IF(B523="Not found","Check - no such product ID",IF(D523="Add to Materials","Check - no such material ID",IF(OR(F523="",F523=0),"Add - how much?",IF(L523="","Check - that material has no price","OK")))))))</f>
        <v>0</v>
      </c>
    </row>
    <row r="524" spans="2:18">
      <c r="B524" s="13">
        <f>IF(A524="","",IFERROR(INDEX(Products!$B$5:$B$304,MATCH(A524,Products!$A$5:$A$304,0)),"Not found"))</f>
        <v>0</v>
      </c>
      <c r="D524" s="13">
        <f>IF(C524="","",IFERROR(INDEX(Materials!$B$5:$B$254,MATCH(C524,Materials!$A$5:$A$254,0)),"Add to Materials"))</f>
        <v>0</v>
      </c>
      <c r="E524" s="13">
        <f>IF(C524="","",IFERROR(INDEX(Materials!$H$5:$H$254,MATCH(C524,Materials!$A$5:$A$254,0)),"Add to Materials"))</f>
        <v>0</v>
      </c>
      <c r="J524" s="33">
        <f>IF(C524="","",IF(G524&lt;&gt;"",G524,IFERROR(INDEX(Materials!$W$5:$W$254,MATCH(C524,Materials!$A$5:$A$254,0)),DefaultWaste)))</f>
        <v>0</v>
      </c>
      <c r="K524" s="36">
        <f>IF(C524="","",IF(F524="","",ROUND(F524*(1+J524),4)))</f>
        <v>0</v>
      </c>
      <c r="L524" s="45">
        <f>IF(C524="","",IFERROR(INDEX(Materials!$S$5:$S$254,MATCH(C524,Materials!$A$5:$A$254,0)),""))</f>
        <v>0</v>
      </c>
      <c r="M524" s="45">
        <f>IF(C524="","",IF(OR(K524="",L524=""),"",ROUND(K524*L524,4)))</f>
        <v>0</v>
      </c>
      <c r="N524" s="20">
        <f>IF(A524="","",ROUND(SUMIFS('Material Usage'!$M$5:$M$904,'Material Usage'!$A$5:$A$904,A524),2))</f>
        <v>0</v>
      </c>
      <c r="O524" s="33">
        <f>IF(A524="","",IF(OR(M524="",N524="",N524=0),"",M524/N524))</f>
        <v>0</v>
      </c>
      <c r="P524" s="32">
        <f>IF(A524="","",COUNTIFS($A$5:A524,A524))</f>
        <v>0</v>
      </c>
      <c r="Q524" s="13">
        <f>IF(A524="","",A524&amp;"|"&amp;P524)</f>
        <v>0</v>
      </c>
      <c r="R524" s="43">
        <f>IF(AND(A524="",C524=""),"",IF(A524="","Add - which product?",IF(C524="","Add - which material?",IF(B524="Not found","Check - no such product ID",IF(D524="Add to Materials","Check - no such material ID",IF(OR(F524="",F524=0),"Add - how much?",IF(L524="","Check - that material has no price","OK")))))))</f>
        <v>0</v>
      </c>
    </row>
    <row r="525" spans="2:18">
      <c r="B525" s="13">
        <f>IF(A525="","",IFERROR(INDEX(Products!$B$5:$B$304,MATCH(A525,Products!$A$5:$A$304,0)),"Not found"))</f>
        <v>0</v>
      </c>
      <c r="D525" s="13">
        <f>IF(C525="","",IFERROR(INDEX(Materials!$B$5:$B$254,MATCH(C525,Materials!$A$5:$A$254,0)),"Add to Materials"))</f>
        <v>0</v>
      </c>
      <c r="E525" s="13">
        <f>IF(C525="","",IFERROR(INDEX(Materials!$H$5:$H$254,MATCH(C525,Materials!$A$5:$A$254,0)),"Add to Materials"))</f>
        <v>0</v>
      </c>
      <c r="J525" s="33">
        <f>IF(C525="","",IF(G525&lt;&gt;"",G525,IFERROR(INDEX(Materials!$W$5:$W$254,MATCH(C525,Materials!$A$5:$A$254,0)),DefaultWaste)))</f>
        <v>0</v>
      </c>
      <c r="K525" s="36">
        <f>IF(C525="","",IF(F525="","",ROUND(F525*(1+J525),4)))</f>
        <v>0</v>
      </c>
      <c r="L525" s="45">
        <f>IF(C525="","",IFERROR(INDEX(Materials!$S$5:$S$254,MATCH(C525,Materials!$A$5:$A$254,0)),""))</f>
        <v>0</v>
      </c>
      <c r="M525" s="45">
        <f>IF(C525="","",IF(OR(K525="",L525=""),"",ROUND(K525*L525,4)))</f>
        <v>0</v>
      </c>
      <c r="N525" s="20">
        <f>IF(A525="","",ROUND(SUMIFS('Material Usage'!$M$5:$M$904,'Material Usage'!$A$5:$A$904,A525),2))</f>
        <v>0</v>
      </c>
      <c r="O525" s="33">
        <f>IF(A525="","",IF(OR(M525="",N525="",N525=0),"",M525/N525))</f>
        <v>0</v>
      </c>
      <c r="P525" s="32">
        <f>IF(A525="","",COUNTIFS($A$5:A525,A525))</f>
        <v>0</v>
      </c>
      <c r="Q525" s="13">
        <f>IF(A525="","",A525&amp;"|"&amp;P525)</f>
        <v>0</v>
      </c>
      <c r="R525" s="43">
        <f>IF(AND(A525="",C525=""),"",IF(A525="","Add - which product?",IF(C525="","Add - which material?",IF(B525="Not found","Check - no such product ID",IF(D525="Add to Materials","Check - no such material ID",IF(OR(F525="",F525=0),"Add - how much?",IF(L525="","Check - that material has no price","OK")))))))</f>
        <v>0</v>
      </c>
    </row>
    <row r="526" spans="2:18">
      <c r="B526" s="13">
        <f>IF(A526="","",IFERROR(INDEX(Products!$B$5:$B$304,MATCH(A526,Products!$A$5:$A$304,0)),"Not found"))</f>
        <v>0</v>
      </c>
      <c r="D526" s="13">
        <f>IF(C526="","",IFERROR(INDEX(Materials!$B$5:$B$254,MATCH(C526,Materials!$A$5:$A$254,0)),"Add to Materials"))</f>
        <v>0</v>
      </c>
      <c r="E526" s="13">
        <f>IF(C526="","",IFERROR(INDEX(Materials!$H$5:$H$254,MATCH(C526,Materials!$A$5:$A$254,0)),"Add to Materials"))</f>
        <v>0</v>
      </c>
      <c r="J526" s="33">
        <f>IF(C526="","",IF(G526&lt;&gt;"",G526,IFERROR(INDEX(Materials!$W$5:$W$254,MATCH(C526,Materials!$A$5:$A$254,0)),DefaultWaste)))</f>
        <v>0</v>
      </c>
      <c r="K526" s="36">
        <f>IF(C526="","",IF(F526="","",ROUND(F526*(1+J526),4)))</f>
        <v>0</v>
      </c>
      <c r="L526" s="45">
        <f>IF(C526="","",IFERROR(INDEX(Materials!$S$5:$S$254,MATCH(C526,Materials!$A$5:$A$254,0)),""))</f>
        <v>0</v>
      </c>
      <c r="M526" s="45">
        <f>IF(C526="","",IF(OR(K526="",L526=""),"",ROUND(K526*L526,4)))</f>
        <v>0</v>
      </c>
      <c r="N526" s="20">
        <f>IF(A526="","",ROUND(SUMIFS('Material Usage'!$M$5:$M$904,'Material Usage'!$A$5:$A$904,A526),2))</f>
        <v>0</v>
      </c>
      <c r="O526" s="33">
        <f>IF(A526="","",IF(OR(M526="",N526="",N526=0),"",M526/N526))</f>
        <v>0</v>
      </c>
      <c r="P526" s="32">
        <f>IF(A526="","",COUNTIFS($A$5:A526,A526))</f>
        <v>0</v>
      </c>
      <c r="Q526" s="13">
        <f>IF(A526="","",A526&amp;"|"&amp;P526)</f>
        <v>0</v>
      </c>
      <c r="R526" s="43">
        <f>IF(AND(A526="",C526=""),"",IF(A526="","Add - which product?",IF(C526="","Add - which material?",IF(B526="Not found","Check - no such product ID",IF(D526="Add to Materials","Check - no such material ID",IF(OR(F526="",F526=0),"Add - how much?",IF(L526="","Check - that material has no price","OK")))))))</f>
        <v>0</v>
      </c>
    </row>
    <row r="527" spans="2:18">
      <c r="B527" s="13">
        <f>IF(A527="","",IFERROR(INDEX(Products!$B$5:$B$304,MATCH(A527,Products!$A$5:$A$304,0)),"Not found"))</f>
        <v>0</v>
      </c>
      <c r="D527" s="13">
        <f>IF(C527="","",IFERROR(INDEX(Materials!$B$5:$B$254,MATCH(C527,Materials!$A$5:$A$254,0)),"Add to Materials"))</f>
        <v>0</v>
      </c>
      <c r="E527" s="13">
        <f>IF(C527="","",IFERROR(INDEX(Materials!$H$5:$H$254,MATCH(C527,Materials!$A$5:$A$254,0)),"Add to Materials"))</f>
        <v>0</v>
      </c>
      <c r="J527" s="33">
        <f>IF(C527="","",IF(G527&lt;&gt;"",G527,IFERROR(INDEX(Materials!$W$5:$W$254,MATCH(C527,Materials!$A$5:$A$254,0)),DefaultWaste)))</f>
        <v>0</v>
      </c>
      <c r="K527" s="36">
        <f>IF(C527="","",IF(F527="","",ROUND(F527*(1+J527),4)))</f>
        <v>0</v>
      </c>
      <c r="L527" s="45">
        <f>IF(C527="","",IFERROR(INDEX(Materials!$S$5:$S$254,MATCH(C527,Materials!$A$5:$A$254,0)),""))</f>
        <v>0</v>
      </c>
      <c r="M527" s="45">
        <f>IF(C527="","",IF(OR(K527="",L527=""),"",ROUND(K527*L527,4)))</f>
        <v>0</v>
      </c>
      <c r="N527" s="20">
        <f>IF(A527="","",ROUND(SUMIFS('Material Usage'!$M$5:$M$904,'Material Usage'!$A$5:$A$904,A527),2))</f>
        <v>0</v>
      </c>
      <c r="O527" s="33">
        <f>IF(A527="","",IF(OR(M527="",N527="",N527=0),"",M527/N527))</f>
        <v>0</v>
      </c>
      <c r="P527" s="32">
        <f>IF(A527="","",COUNTIFS($A$5:A527,A527))</f>
        <v>0</v>
      </c>
      <c r="Q527" s="13">
        <f>IF(A527="","",A527&amp;"|"&amp;P527)</f>
        <v>0</v>
      </c>
      <c r="R527" s="43">
        <f>IF(AND(A527="",C527=""),"",IF(A527="","Add - which product?",IF(C527="","Add - which material?",IF(B527="Not found","Check - no such product ID",IF(D527="Add to Materials","Check - no such material ID",IF(OR(F527="",F527=0),"Add - how much?",IF(L527="","Check - that material has no price","OK")))))))</f>
        <v>0</v>
      </c>
    </row>
    <row r="528" spans="2:18">
      <c r="B528" s="13">
        <f>IF(A528="","",IFERROR(INDEX(Products!$B$5:$B$304,MATCH(A528,Products!$A$5:$A$304,0)),"Not found"))</f>
        <v>0</v>
      </c>
      <c r="D528" s="13">
        <f>IF(C528="","",IFERROR(INDEX(Materials!$B$5:$B$254,MATCH(C528,Materials!$A$5:$A$254,0)),"Add to Materials"))</f>
        <v>0</v>
      </c>
      <c r="E528" s="13">
        <f>IF(C528="","",IFERROR(INDEX(Materials!$H$5:$H$254,MATCH(C528,Materials!$A$5:$A$254,0)),"Add to Materials"))</f>
        <v>0</v>
      </c>
      <c r="J528" s="33">
        <f>IF(C528="","",IF(G528&lt;&gt;"",G528,IFERROR(INDEX(Materials!$W$5:$W$254,MATCH(C528,Materials!$A$5:$A$254,0)),DefaultWaste)))</f>
        <v>0</v>
      </c>
      <c r="K528" s="36">
        <f>IF(C528="","",IF(F528="","",ROUND(F528*(1+J528),4)))</f>
        <v>0</v>
      </c>
      <c r="L528" s="45">
        <f>IF(C528="","",IFERROR(INDEX(Materials!$S$5:$S$254,MATCH(C528,Materials!$A$5:$A$254,0)),""))</f>
        <v>0</v>
      </c>
      <c r="M528" s="45">
        <f>IF(C528="","",IF(OR(K528="",L528=""),"",ROUND(K528*L528,4)))</f>
        <v>0</v>
      </c>
      <c r="N528" s="20">
        <f>IF(A528="","",ROUND(SUMIFS('Material Usage'!$M$5:$M$904,'Material Usage'!$A$5:$A$904,A528),2))</f>
        <v>0</v>
      </c>
      <c r="O528" s="33">
        <f>IF(A528="","",IF(OR(M528="",N528="",N528=0),"",M528/N528))</f>
        <v>0</v>
      </c>
      <c r="P528" s="32">
        <f>IF(A528="","",COUNTIFS($A$5:A528,A528))</f>
        <v>0</v>
      </c>
      <c r="Q528" s="13">
        <f>IF(A528="","",A528&amp;"|"&amp;P528)</f>
        <v>0</v>
      </c>
      <c r="R528" s="43">
        <f>IF(AND(A528="",C528=""),"",IF(A528="","Add - which product?",IF(C528="","Add - which material?",IF(B528="Not found","Check - no such product ID",IF(D528="Add to Materials","Check - no such material ID",IF(OR(F528="",F528=0),"Add - how much?",IF(L528="","Check - that material has no price","OK")))))))</f>
        <v>0</v>
      </c>
    </row>
    <row r="529" spans="2:18">
      <c r="B529" s="13">
        <f>IF(A529="","",IFERROR(INDEX(Products!$B$5:$B$304,MATCH(A529,Products!$A$5:$A$304,0)),"Not found"))</f>
        <v>0</v>
      </c>
      <c r="D529" s="13">
        <f>IF(C529="","",IFERROR(INDEX(Materials!$B$5:$B$254,MATCH(C529,Materials!$A$5:$A$254,0)),"Add to Materials"))</f>
        <v>0</v>
      </c>
      <c r="E529" s="13">
        <f>IF(C529="","",IFERROR(INDEX(Materials!$H$5:$H$254,MATCH(C529,Materials!$A$5:$A$254,0)),"Add to Materials"))</f>
        <v>0</v>
      </c>
      <c r="J529" s="33">
        <f>IF(C529="","",IF(G529&lt;&gt;"",G529,IFERROR(INDEX(Materials!$W$5:$W$254,MATCH(C529,Materials!$A$5:$A$254,0)),DefaultWaste)))</f>
        <v>0</v>
      </c>
      <c r="K529" s="36">
        <f>IF(C529="","",IF(F529="","",ROUND(F529*(1+J529),4)))</f>
        <v>0</v>
      </c>
      <c r="L529" s="45">
        <f>IF(C529="","",IFERROR(INDEX(Materials!$S$5:$S$254,MATCH(C529,Materials!$A$5:$A$254,0)),""))</f>
        <v>0</v>
      </c>
      <c r="M529" s="45">
        <f>IF(C529="","",IF(OR(K529="",L529=""),"",ROUND(K529*L529,4)))</f>
        <v>0</v>
      </c>
      <c r="N529" s="20">
        <f>IF(A529="","",ROUND(SUMIFS('Material Usage'!$M$5:$M$904,'Material Usage'!$A$5:$A$904,A529),2))</f>
        <v>0</v>
      </c>
      <c r="O529" s="33">
        <f>IF(A529="","",IF(OR(M529="",N529="",N529=0),"",M529/N529))</f>
        <v>0</v>
      </c>
      <c r="P529" s="32">
        <f>IF(A529="","",COUNTIFS($A$5:A529,A529))</f>
        <v>0</v>
      </c>
      <c r="Q529" s="13">
        <f>IF(A529="","",A529&amp;"|"&amp;P529)</f>
        <v>0</v>
      </c>
      <c r="R529" s="43">
        <f>IF(AND(A529="",C529=""),"",IF(A529="","Add - which product?",IF(C529="","Add - which material?",IF(B529="Not found","Check - no such product ID",IF(D529="Add to Materials","Check - no such material ID",IF(OR(F529="",F529=0),"Add - how much?",IF(L529="","Check - that material has no price","OK")))))))</f>
        <v>0</v>
      </c>
    </row>
    <row r="530" spans="2:18">
      <c r="B530" s="13">
        <f>IF(A530="","",IFERROR(INDEX(Products!$B$5:$B$304,MATCH(A530,Products!$A$5:$A$304,0)),"Not found"))</f>
        <v>0</v>
      </c>
      <c r="D530" s="13">
        <f>IF(C530="","",IFERROR(INDEX(Materials!$B$5:$B$254,MATCH(C530,Materials!$A$5:$A$254,0)),"Add to Materials"))</f>
        <v>0</v>
      </c>
      <c r="E530" s="13">
        <f>IF(C530="","",IFERROR(INDEX(Materials!$H$5:$H$254,MATCH(C530,Materials!$A$5:$A$254,0)),"Add to Materials"))</f>
        <v>0</v>
      </c>
      <c r="J530" s="33">
        <f>IF(C530="","",IF(G530&lt;&gt;"",G530,IFERROR(INDEX(Materials!$W$5:$W$254,MATCH(C530,Materials!$A$5:$A$254,0)),DefaultWaste)))</f>
        <v>0</v>
      </c>
      <c r="K530" s="36">
        <f>IF(C530="","",IF(F530="","",ROUND(F530*(1+J530),4)))</f>
        <v>0</v>
      </c>
      <c r="L530" s="45">
        <f>IF(C530="","",IFERROR(INDEX(Materials!$S$5:$S$254,MATCH(C530,Materials!$A$5:$A$254,0)),""))</f>
        <v>0</v>
      </c>
      <c r="M530" s="45">
        <f>IF(C530="","",IF(OR(K530="",L530=""),"",ROUND(K530*L530,4)))</f>
        <v>0</v>
      </c>
      <c r="N530" s="20">
        <f>IF(A530="","",ROUND(SUMIFS('Material Usage'!$M$5:$M$904,'Material Usage'!$A$5:$A$904,A530),2))</f>
        <v>0</v>
      </c>
      <c r="O530" s="33">
        <f>IF(A530="","",IF(OR(M530="",N530="",N530=0),"",M530/N530))</f>
        <v>0</v>
      </c>
      <c r="P530" s="32">
        <f>IF(A530="","",COUNTIFS($A$5:A530,A530))</f>
        <v>0</v>
      </c>
      <c r="Q530" s="13">
        <f>IF(A530="","",A530&amp;"|"&amp;P530)</f>
        <v>0</v>
      </c>
      <c r="R530" s="43">
        <f>IF(AND(A530="",C530=""),"",IF(A530="","Add - which product?",IF(C530="","Add - which material?",IF(B530="Not found","Check - no such product ID",IF(D530="Add to Materials","Check - no such material ID",IF(OR(F530="",F530=0),"Add - how much?",IF(L530="","Check - that material has no price","OK")))))))</f>
        <v>0</v>
      </c>
    </row>
    <row r="531" spans="2:18">
      <c r="B531" s="13">
        <f>IF(A531="","",IFERROR(INDEX(Products!$B$5:$B$304,MATCH(A531,Products!$A$5:$A$304,0)),"Not found"))</f>
        <v>0</v>
      </c>
      <c r="D531" s="13">
        <f>IF(C531="","",IFERROR(INDEX(Materials!$B$5:$B$254,MATCH(C531,Materials!$A$5:$A$254,0)),"Add to Materials"))</f>
        <v>0</v>
      </c>
      <c r="E531" s="13">
        <f>IF(C531="","",IFERROR(INDEX(Materials!$H$5:$H$254,MATCH(C531,Materials!$A$5:$A$254,0)),"Add to Materials"))</f>
        <v>0</v>
      </c>
      <c r="J531" s="33">
        <f>IF(C531="","",IF(G531&lt;&gt;"",G531,IFERROR(INDEX(Materials!$W$5:$W$254,MATCH(C531,Materials!$A$5:$A$254,0)),DefaultWaste)))</f>
        <v>0</v>
      </c>
      <c r="K531" s="36">
        <f>IF(C531="","",IF(F531="","",ROUND(F531*(1+J531),4)))</f>
        <v>0</v>
      </c>
      <c r="L531" s="45">
        <f>IF(C531="","",IFERROR(INDEX(Materials!$S$5:$S$254,MATCH(C531,Materials!$A$5:$A$254,0)),""))</f>
        <v>0</v>
      </c>
      <c r="M531" s="45">
        <f>IF(C531="","",IF(OR(K531="",L531=""),"",ROUND(K531*L531,4)))</f>
        <v>0</v>
      </c>
      <c r="N531" s="20">
        <f>IF(A531="","",ROUND(SUMIFS('Material Usage'!$M$5:$M$904,'Material Usage'!$A$5:$A$904,A531),2))</f>
        <v>0</v>
      </c>
      <c r="O531" s="33">
        <f>IF(A531="","",IF(OR(M531="",N531="",N531=0),"",M531/N531))</f>
        <v>0</v>
      </c>
      <c r="P531" s="32">
        <f>IF(A531="","",COUNTIFS($A$5:A531,A531))</f>
        <v>0</v>
      </c>
      <c r="Q531" s="13">
        <f>IF(A531="","",A531&amp;"|"&amp;P531)</f>
        <v>0</v>
      </c>
      <c r="R531" s="43">
        <f>IF(AND(A531="",C531=""),"",IF(A531="","Add - which product?",IF(C531="","Add - which material?",IF(B531="Not found","Check - no such product ID",IF(D531="Add to Materials","Check - no such material ID",IF(OR(F531="",F531=0),"Add - how much?",IF(L531="","Check - that material has no price","OK")))))))</f>
        <v>0</v>
      </c>
    </row>
    <row r="532" spans="2:18">
      <c r="B532" s="13">
        <f>IF(A532="","",IFERROR(INDEX(Products!$B$5:$B$304,MATCH(A532,Products!$A$5:$A$304,0)),"Not found"))</f>
        <v>0</v>
      </c>
      <c r="D532" s="13">
        <f>IF(C532="","",IFERROR(INDEX(Materials!$B$5:$B$254,MATCH(C532,Materials!$A$5:$A$254,0)),"Add to Materials"))</f>
        <v>0</v>
      </c>
      <c r="E532" s="13">
        <f>IF(C532="","",IFERROR(INDEX(Materials!$H$5:$H$254,MATCH(C532,Materials!$A$5:$A$254,0)),"Add to Materials"))</f>
        <v>0</v>
      </c>
      <c r="J532" s="33">
        <f>IF(C532="","",IF(G532&lt;&gt;"",G532,IFERROR(INDEX(Materials!$W$5:$W$254,MATCH(C532,Materials!$A$5:$A$254,0)),DefaultWaste)))</f>
        <v>0</v>
      </c>
      <c r="K532" s="36">
        <f>IF(C532="","",IF(F532="","",ROUND(F532*(1+J532),4)))</f>
        <v>0</v>
      </c>
      <c r="L532" s="45">
        <f>IF(C532="","",IFERROR(INDEX(Materials!$S$5:$S$254,MATCH(C532,Materials!$A$5:$A$254,0)),""))</f>
        <v>0</v>
      </c>
      <c r="M532" s="45">
        <f>IF(C532="","",IF(OR(K532="",L532=""),"",ROUND(K532*L532,4)))</f>
        <v>0</v>
      </c>
      <c r="N532" s="20">
        <f>IF(A532="","",ROUND(SUMIFS('Material Usage'!$M$5:$M$904,'Material Usage'!$A$5:$A$904,A532),2))</f>
        <v>0</v>
      </c>
      <c r="O532" s="33">
        <f>IF(A532="","",IF(OR(M532="",N532="",N532=0),"",M532/N532))</f>
        <v>0</v>
      </c>
      <c r="P532" s="32">
        <f>IF(A532="","",COUNTIFS($A$5:A532,A532))</f>
        <v>0</v>
      </c>
      <c r="Q532" s="13">
        <f>IF(A532="","",A532&amp;"|"&amp;P532)</f>
        <v>0</v>
      </c>
      <c r="R532" s="43">
        <f>IF(AND(A532="",C532=""),"",IF(A532="","Add - which product?",IF(C532="","Add - which material?",IF(B532="Not found","Check - no such product ID",IF(D532="Add to Materials","Check - no such material ID",IF(OR(F532="",F532=0),"Add - how much?",IF(L532="","Check - that material has no price","OK")))))))</f>
        <v>0</v>
      </c>
    </row>
    <row r="533" spans="2:18">
      <c r="B533" s="13">
        <f>IF(A533="","",IFERROR(INDEX(Products!$B$5:$B$304,MATCH(A533,Products!$A$5:$A$304,0)),"Not found"))</f>
        <v>0</v>
      </c>
      <c r="D533" s="13">
        <f>IF(C533="","",IFERROR(INDEX(Materials!$B$5:$B$254,MATCH(C533,Materials!$A$5:$A$254,0)),"Add to Materials"))</f>
        <v>0</v>
      </c>
      <c r="E533" s="13">
        <f>IF(C533="","",IFERROR(INDEX(Materials!$H$5:$H$254,MATCH(C533,Materials!$A$5:$A$254,0)),"Add to Materials"))</f>
        <v>0</v>
      </c>
      <c r="J533" s="33">
        <f>IF(C533="","",IF(G533&lt;&gt;"",G533,IFERROR(INDEX(Materials!$W$5:$W$254,MATCH(C533,Materials!$A$5:$A$254,0)),DefaultWaste)))</f>
        <v>0</v>
      </c>
      <c r="K533" s="36">
        <f>IF(C533="","",IF(F533="","",ROUND(F533*(1+J533),4)))</f>
        <v>0</v>
      </c>
      <c r="L533" s="45">
        <f>IF(C533="","",IFERROR(INDEX(Materials!$S$5:$S$254,MATCH(C533,Materials!$A$5:$A$254,0)),""))</f>
        <v>0</v>
      </c>
      <c r="M533" s="45">
        <f>IF(C533="","",IF(OR(K533="",L533=""),"",ROUND(K533*L533,4)))</f>
        <v>0</v>
      </c>
      <c r="N533" s="20">
        <f>IF(A533="","",ROUND(SUMIFS('Material Usage'!$M$5:$M$904,'Material Usage'!$A$5:$A$904,A533),2))</f>
        <v>0</v>
      </c>
      <c r="O533" s="33">
        <f>IF(A533="","",IF(OR(M533="",N533="",N533=0),"",M533/N533))</f>
        <v>0</v>
      </c>
      <c r="P533" s="32">
        <f>IF(A533="","",COUNTIFS($A$5:A533,A533))</f>
        <v>0</v>
      </c>
      <c r="Q533" s="13">
        <f>IF(A533="","",A533&amp;"|"&amp;P533)</f>
        <v>0</v>
      </c>
      <c r="R533" s="43">
        <f>IF(AND(A533="",C533=""),"",IF(A533="","Add - which product?",IF(C533="","Add - which material?",IF(B533="Not found","Check - no such product ID",IF(D533="Add to Materials","Check - no such material ID",IF(OR(F533="",F533=0),"Add - how much?",IF(L533="","Check - that material has no price","OK")))))))</f>
        <v>0</v>
      </c>
    </row>
    <row r="534" spans="2:18">
      <c r="B534" s="13">
        <f>IF(A534="","",IFERROR(INDEX(Products!$B$5:$B$304,MATCH(A534,Products!$A$5:$A$304,0)),"Not found"))</f>
        <v>0</v>
      </c>
      <c r="D534" s="13">
        <f>IF(C534="","",IFERROR(INDEX(Materials!$B$5:$B$254,MATCH(C534,Materials!$A$5:$A$254,0)),"Add to Materials"))</f>
        <v>0</v>
      </c>
      <c r="E534" s="13">
        <f>IF(C534="","",IFERROR(INDEX(Materials!$H$5:$H$254,MATCH(C534,Materials!$A$5:$A$254,0)),"Add to Materials"))</f>
        <v>0</v>
      </c>
      <c r="J534" s="33">
        <f>IF(C534="","",IF(G534&lt;&gt;"",G534,IFERROR(INDEX(Materials!$W$5:$W$254,MATCH(C534,Materials!$A$5:$A$254,0)),DefaultWaste)))</f>
        <v>0</v>
      </c>
      <c r="K534" s="36">
        <f>IF(C534="","",IF(F534="","",ROUND(F534*(1+J534),4)))</f>
        <v>0</v>
      </c>
      <c r="L534" s="45">
        <f>IF(C534="","",IFERROR(INDEX(Materials!$S$5:$S$254,MATCH(C534,Materials!$A$5:$A$254,0)),""))</f>
        <v>0</v>
      </c>
      <c r="M534" s="45">
        <f>IF(C534="","",IF(OR(K534="",L534=""),"",ROUND(K534*L534,4)))</f>
        <v>0</v>
      </c>
      <c r="N534" s="20">
        <f>IF(A534="","",ROUND(SUMIFS('Material Usage'!$M$5:$M$904,'Material Usage'!$A$5:$A$904,A534),2))</f>
        <v>0</v>
      </c>
      <c r="O534" s="33">
        <f>IF(A534="","",IF(OR(M534="",N534="",N534=0),"",M534/N534))</f>
        <v>0</v>
      </c>
      <c r="P534" s="32">
        <f>IF(A534="","",COUNTIFS($A$5:A534,A534))</f>
        <v>0</v>
      </c>
      <c r="Q534" s="13">
        <f>IF(A534="","",A534&amp;"|"&amp;P534)</f>
        <v>0</v>
      </c>
      <c r="R534" s="43">
        <f>IF(AND(A534="",C534=""),"",IF(A534="","Add - which product?",IF(C534="","Add - which material?",IF(B534="Not found","Check - no such product ID",IF(D534="Add to Materials","Check - no such material ID",IF(OR(F534="",F534=0),"Add - how much?",IF(L534="","Check - that material has no price","OK")))))))</f>
        <v>0</v>
      </c>
    </row>
    <row r="535" spans="2:18">
      <c r="B535" s="13">
        <f>IF(A535="","",IFERROR(INDEX(Products!$B$5:$B$304,MATCH(A535,Products!$A$5:$A$304,0)),"Not found"))</f>
        <v>0</v>
      </c>
      <c r="D535" s="13">
        <f>IF(C535="","",IFERROR(INDEX(Materials!$B$5:$B$254,MATCH(C535,Materials!$A$5:$A$254,0)),"Add to Materials"))</f>
        <v>0</v>
      </c>
      <c r="E535" s="13">
        <f>IF(C535="","",IFERROR(INDEX(Materials!$H$5:$H$254,MATCH(C535,Materials!$A$5:$A$254,0)),"Add to Materials"))</f>
        <v>0</v>
      </c>
      <c r="J535" s="33">
        <f>IF(C535="","",IF(G535&lt;&gt;"",G535,IFERROR(INDEX(Materials!$W$5:$W$254,MATCH(C535,Materials!$A$5:$A$254,0)),DefaultWaste)))</f>
        <v>0</v>
      </c>
      <c r="K535" s="36">
        <f>IF(C535="","",IF(F535="","",ROUND(F535*(1+J535),4)))</f>
        <v>0</v>
      </c>
      <c r="L535" s="45">
        <f>IF(C535="","",IFERROR(INDEX(Materials!$S$5:$S$254,MATCH(C535,Materials!$A$5:$A$254,0)),""))</f>
        <v>0</v>
      </c>
      <c r="M535" s="45">
        <f>IF(C535="","",IF(OR(K535="",L535=""),"",ROUND(K535*L535,4)))</f>
        <v>0</v>
      </c>
      <c r="N535" s="20">
        <f>IF(A535="","",ROUND(SUMIFS('Material Usage'!$M$5:$M$904,'Material Usage'!$A$5:$A$904,A535),2))</f>
        <v>0</v>
      </c>
      <c r="O535" s="33">
        <f>IF(A535="","",IF(OR(M535="",N535="",N535=0),"",M535/N535))</f>
        <v>0</v>
      </c>
      <c r="P535" s="32">
        <f>IF(A535="","",COUNTIFS($A$5:A535,A535))</f>
        <v>0</v>
      </c>
      <c r="Q535" s="13">
        <f>IF(A535="","",A535&amp;"|"&amp;P535)</f>
        <v>0</v>
      </c>
      <c r="R535" s="43">
        <f>IF(AND(A535="",C535=""),"",IF(A535="","Add - which product?",IF(C535="","Add - which material?",IF(B535="Not found","Check - no such product ID",IF(D535="Add to Materials","Check - no such material ID",IF(OR(F535="",F535=0),"Add - how much?",IF(L535="","Check - that material has no price","OK")))))))</f>
        <v>0</v>
      </c>
    </row>
    <row r="536" spans="2:18">
      <c r="B536" s="13">
        <f>IF(A536="","",IFERROR(INDEX(Products!$B$5:$B$304,MATCH(A536,Products!$A$5:$A$304,0)),"Not found"))</f>
        <v>0</v>
      </c>
      <c r="D536" s="13">
        <f>IF(C536="","",IFERROR(INDEX(Materials!$B$5:$B$254,MATCH(C536,Materials!$A$5:$A$254,0)),"Add to Materials"))</f>
        <v>0</v>
      </c>
      <c r="E536" s="13">
        <f>IF(C536="","",IFERROR(INDEX(Materials!$H$5:$H$254,MATCH(C536,Materials!$A$5:$A$254,0)),"Add to Materials"))</f>
        <v>0</v>
      </c>
      <c r="J536" s="33">
        <f>IF(C536="","",IF(G536&lt;&gt;"",G536,IFERROR(INDEX(Materials!$W$5:$W$254,MATCH(C536,Materials!$A$5:$A$254,0)),DefaultWaste)))</f>
        <v>0</v>
      </c>
      <c r="K536" s="36">
        <f>IF(C536="","",IF(F536="","",ROUND(F536*(1+J536),4)))</f>
        <v>0</v>
      </c>
      <c r="L536" s="45">
        <f>IF(C536="","",IFERROR(INDEX(Materials!$S$5:$S$254,MATCH(C536,Materials!$A$5:$A$254,0)),""))</f>
        <v>0</v>
      </c>
      <c r="M536" s="45">
        <f>IF(C536="","",IF(OR(K536="",L536=""),"",ROUND(K536*L536,4)))</f>
        <v>0</v>
      </c>
      <c r="N536" s="20">
        <f>IF(A536="","",ROUND(SUMIFS('Material Usage'!$M$5:$M$904,'Material Usage'!$A$5:$A$904,A536),2))</f>
        <v>0</v>
      </c>
      <c r="O536" s="33">
        <f>IF(A536="","",IF(OR(M536="",N536="",N536=0),"",M536/N536))</f>
        <v>0</v>
      </c>
      <c r="P536" s="32">
        <f>IF(A536="","",COUNTIFS($A$5:A536,A536))</f>
        <v>0</v>
      </c>
      <c r="Q536" s="13">
        <f>IF(A536="","",A536&amp;"|"&amp;P536)</f>
        <v>0</v>
      </c>
      <c r="R536" s="43">
        <f>IF(AND(A536="",C536=""),"",IF(A536="","Add - which product?",IF(C536="","Add - which material?",IF(B536="Not found","Check - no such product ID",IF(D536="Add to Materials","Check - no such material ID",IF(OR(F536="",F536=0),"Add - how much?",IF(L536="","Check - that material has no price","OK")))))))</f>
        <v>0</v>
      </c>
    </row>
    <row r="537" spans="2:18">
      <c r="B537" s="13">
        <f>IF(A537="","",IFERROR(INDEX(Products!$B$5:$B$304,MATCH(A537,Products!$A$5:$A$304,0)),"Not found"))</f>
        <v>0</v>
      </c>
      <c r="D537" s="13">
        <f>IF(C537="","",IFERROR(INDEX(Materials!$B$5:$B$254,MATCH(C537,Materials!$A$5:$A$254,0)),"Add to Materials"))</f>
        <v>0</v>
      </c>
      <c r="E537" s="13">
        <f>IF(C537="","",IFERROR(INDEX(Materials!$H$5:$H$254,MATCH(C537,Materials!$A$5:$A$254,0)),"Add to Materials"))</f>
        <v>0</v>
      </c>
      <c r="J537" s="33">
        <f>IF(C537="","",IF(G537&lt;&gt;"",G537,IFERROR(INDEX(Materials!$W$5:$W$254,MATCH(C537,Materials!$A$5:$A$254,0)),DefaultWaste)))</f>
        <v>0</v>
      </c>
      <c r="K537" s="36">
        <f>IF(C537="","",IF(F537="","",ROUND(F537*(1+J537),4)))</f>
        <v>0</v>
      </c>
      <c r="L537" s="45">
        <f>IF(C537="","",IFERROR(INDEX(Materials!$S$5:$S$254,MATCH(C537,Materials!$A$5:$A$254,0)),""))</f>
        <v>0</v>
      </c>
      <c r="M537" s="45">
        <f>IF(C537="","",IF(OR(K537="",L537=""),"",ROUND(K537*L537,4)))</f>
        <v>0</v>
      </c>
      <c r="N537" s="20">
        <f>IF(A537="","",ROUND(SUMIFS('Material Usage'!$M$5:$M$904,'Material Usage'!$A$5:$A$904,A537),2))</f>
        <v>0</v>
      </c>
      <c r="O537" s="33">
        <f>IF(A537="","",IF(OR(M537="",N537="",N537=0),"",M537/N537))</f>
        <v>0</v>
      </c>
      <c r="P537" s="32">
        <f>IF(A537="","",COUNTIFS($A$5:A537,A537))</f>
        <v>0</v>
      </c>
      <c r="Q537" s="13">
        <f>IF(A537="","",A537&amp;"|"&amp;P537)</f>
        <v>0</v>
      </c>
      <c r="R537" s="43">
        <f>IF(AND(A537="",C537=""),"",IF(A537="","Add - which product?",IF(C537="","Add - which material?",IF(B537="Not found","Check - no such product ID",IF(D537="Add to Materials","Check - no such material ID",IF(OR(F537="",F537=0),"Add - how much?",IF(L537="","Check - that material has no price","OK")))))))</f>
        <v>0</v>
      </c>
    </row>
    <row r="538" spans="2:18">
      <c r="B538" s="13">
        <f>IF(A538="","",IFERROR(INDEX(Products!$B$5:$B$304,MATCH(A538,Products!$A$5:$A$304,0)),"Not found"))</f>
        <v>0</v>
      </c>
      <c r="D538" s="13">
        <f>IF(C538="","",IFERROR(INDEX(Materials!$B$5:$B$254,MATCH(C538,Materials!$A$5:$A$254,0)),"Add to Materials"))</f>
        <v>0</v>
      </c>
      <c r="E538" s="13">
        <f>IF(C538="","",IFERROR(INDEX(Materials!$H$5:$H$254,MATCH(C538,Materials!$A$5:$A$254,0)),"Add to Materials"))</f>
        <v>0</v>
      </c>
      <c r="J538" s="33">
        <f>IF(C538="","",IF(G538&lt;&gt;"",G538,IFERROR(INDEX(Materials!$W$5:$W$254,MATCH(C538,Materials!$A$5:$A$254,0)),DefaultWaste)))</f>
        <v>0</v>
      </c>
      <c r="K538" s="36">
        <f>IF(C538="","",IF(F538="","",ROUND(F538*(1+J538),4)))</f>
        <v>0</v>
      </c>
      <c r="L538" s="45">
        <f>IF(C538="","",IFERROR(INDEX(Materials!$S$5:$S$254,MATCH(C538,Materials!$A$5:$A$254,0)),""))</f>
        <v>0</v>
      </c>
      <c r="M538" s="45">
        <f>IF(C538="","",IF(OR(K538="",L538=""),"",ROUND(K538*L538,4)))</f>
        <v>0</v>
      </c>
      <c r="N538" s="20">
        <f>IF(A538="","",ROUND(SUMIFS('Material Usage'!$M$5:$M$904,'Material Usage'!$A$5:$A$904,A538),2))</f>
        <v>0</v>
      </c>
      <c r="O538" s="33">
        <f>IF(A538="","",IF(OR(M538="",N538="",N538=0),"",M538/N538))</f>
        <v>0</v>
      </c>
      <c r="P538" s="32">
        <f>IF(A538="","",COUNTIFS($A$5:A538,A538))</f>
        <v>0</v>
      </c>
      <c r="Q538" s="13">
        <f>IF(A538="","",A538&amp;"|"&amp;P538)</f>
        <v>0</v>
      </c>
      <c r="R538" s="43">
        <f>IF(AND(A538="",C538=""),"",IF(A538="","Add - which product?",IF(C538="","Add - which material?",IF(B538="Not found","Check - no such product ID",IF(D538="Add to Materials","Check - no such material ID",IF(OR(F538="",F538=0),"Add - how much?",IF(L538="","Check - that material has no price","OK")))))))</f>
        <v>0</v>
      </c>
    </row>
    <row r="539" spans="2:18">
      <c r="B539" s="13">
        <f>IF(A539="","",IFERROR(INDEX(Products!$B$5:$B$304,MATCH(A539,Products!$A$5:$A$304,0)),"Not found"))</f>
        <v>0</v>
      </c>
      <c r="D539" s="13">
        <f>IF(C539="","",IFERROR(INDEX(Materials!$B$5:$B$254,MATCH(C539,Materials!$A$5:$A$254,0)),"Add to Materials"))</f>
        <v>0</v>
      </c>
      <c r="E539" s="13">
        <f>IF(C539="","",IFERROR(INDEX(Materials!$H$5:$H$254,MATCH(C539,Materials!$A$5:$A$254,0)),"Add to Materials"))</f>
        <v>0</v>
      </c>
      <c r="J539" s="33">
        <f>IF(C539="","",IF(G539&lt;&gt;"",G539,IFERROR(INDEX(Materials!$W$5:$W$254,MATCH(C539,Materials!$A$5:$A$254,0)),DefaultWaste)))</f>
        <v>0</v>
      </c>
      <c r="K539" s="36">
        <f>IF(C539="","",IF(F539="","",ROUND(F539*(1+J539),4)))</f>
        <v>0</v>
      </c>
      <c r="L539" s="45">
        <f>IF(C539="","",IFERROR(INDEX(Materials!$S$5:$S$254,MATCH(C539,Materials!$A$5:$A$254,0)),""))</f>
        <v>0</v>
      </c>
      <c r="M539" s="45">
        <f>IF(C539="","",IF(OR(K539="",L539=""),"",ROUND(K539*L539,4)))</f>
        <v>0</v>
      </c>
      <c r="N539" s="20">
        <f>IF(A539="","",ROUND(SUMIFS('Material Usage'!$M$5:$M$904,'Material Usage'!$A$5:$A$904,A539),2))</f>
        <v>0</v>
      </c>
      <c r="O539" s="33">
        <f>IF(A539="","",IF(OR(M539="",N539="",N539=0),"",M539/N539))</f>
        <v>0</v>
      </c>
      <c r="P539" s="32">
        <f>IF(A539="","",COUNTIFS($A$5:A539,A539))</f>
        <v>0</v>
      </c>
      <c r="Q539" s="13">
        <f>IF(A539="","",A539&amp;"|"&amp;P539)</f>
        <v>0</v>
      </c>
      <c r="R539" s="43">
        <f>IF(AND(A539="",C539=""),"",IF(A539="","Add - which product?",IF(C539="","Add - which material?",IF(B539="Not found","Check - no such product ID",IF(D539="Add to Materials","Check - no such material ID",IF(OR(F539="",F539=0),"Add - how much?",IF(L539="","Check - that material has no price","OK")))))))</f>
        <v>0</v>
      </c>
    </row>
    <row r="540" spans="2:18">
      <c r="B540" s="13">
        <f>IF(A540="","",IFERROR(INDEX(Products!$B$5:$B$304,MATCH(A540,Products!$A$5:$A$304,0)),"Not found"))</f>
        <v>0</v>
      </c>
      <c r="D540" s="13">
        <f>IF(C540="","",IFERROR(INDEX(Materials!$B$5:$B$254,MATCH(C540,Materials!$A$5:$A$254,0)),"Add to Materials"))</f>
        <v>0</v>
      </c>
      <c r="E540" s="13">
        <f>IF(C540="","",IFERROR(INDEX(Materials!$H$5:$H$254,MATCH(C540,Materials!$A$5:$A$254,0)),"Add to Materials"))</f>
        <v>0</v>
      </c>
      <c r="J540" s="33">
        <f>IF(C540="","",IF(G540&lt;&gt;"",G540,IFERROR(INDEX(Materials!$W$5:$W$254,MATCH(C540,Materials!$A$5:$A$254,0)),DefaultWaste)))</f>
        <v>0</v>
      </c>
      <c r="K540" s="36">
        <f>IF(C540="","",IF(F540="","",ROUND(F540*(1+J540),4)))</f>
        <v>0</v>
      </c>
      <c r="L540" s="45">
        <f>IF(C540="","",IFERROR(INDEX(Materials!$S$5:$S$254,MATCH(C540,Materials!$A$5:$A$254,0)),""))</f>
        <v>0</v>
      </c>
      <c r="M540" s="45">
        <f>IF(C540="","",IF(OR(K540="",L540=""),"",ROUND(K540*L540,4)))</f>
        <v>0</v>
      </c>
      <c r="N540" s="20">
        <f>IF(A540="","",ROUND(SUMIFS('Material Usage'!$M$5:$M$904,'Material Usage'!$A$5:$A$904,A540),2))</f>
        <v>0</v>
      </c>
      <c r="O540" s="33">
        <f>IF(A540="","",IF(OR(M540="",N540="",N540=0),"",M540/N540))</f>
        <v>0</v>
      </c>
      <c r="P540" s="32">
        <f>IF(A540="","",COUNTIFS($A$5:A540,A540))</f>
        <v>0</v>
      </c>
      <c r="Q540" s="13">
        <f>IF(A540="","",A540&amp;"|"&amp;P540)</f>
        <v>0</v>
      </c>
      <c r="R540" s="43">
        <f>IF(AND(A540="",C540=""),"",IF(A540="","Add - which product?",IF(C540="","Add - which material?",IF(B540="Not found","Check - no such product ID",IF(D540="Add to Materials","Check - no such material ID",IF(OR(F540="",F540=0),"Add - how much?",IF(L540="","Check - that material has no price","OK")))))))</f>
        <v>0</v>
      </c>
    </row>
    <row r="541" spans="2:18">
      <c r="B541" s="13">
        <f>IF(A541="","",IFERROR(INDEX(Products!$B$5:$B$304,MATCH(A541,Products!$A$5:$A$304,0)),"Not found"))</f>
        <v>0</v>
      </c>
      <c r="D541" s="13">
        <f>IF(C541="","",IFERROR(INDEX(Materials!$B$5:$B$254,MATCH(C541,Materials!$A$5:$A$254,0)),"Add to Materials"))</f>
        <v>0</v>
      </c>
      <c r="E541" s="13">
        <f>IF(C541="","",IFERROR(INDEX(Materials!$H$5:$H$254,MATCH(C541,Materials!$A$5:$A$254,0)),"Add to Materials"))</f>
        <v>0</v>
      </c>
      <c r="J541" s="33">
        <f>IF(C541="","",IF(G541&lt;&gt;"",G541,IFERROR(INDEX(Materials!$W$5:$W$254,MATCH(C541,Materials!$A$5:$A$254,0)),DefaultWaste)))</f>
        <v>0</v>
      </c>
      <c r="K541" s="36">
        <f>IF(C541="","",IF(F541="","",ROUND(F541*(1+J541),4)))</f>
        <v>0</v>
      </c>
      <c r="L541" s="45">
        <f>IF(C541="","",IFERROR(INDEX(Materials!$S$5:$S$254,MATCH(C541,Materials!$A$5:$A$254,0)),""))</f>
        <v>0</v>
      </c>
      <c r="M541" s="45">
        <f>IF(C541="","",IF(OR(K541="",L541=""),"",ROUND(K541*L541,4)))</f>
        <v>0</v>
      </c>
      <c r="N541" s="20">
        <f>IF(A541="","",ROUND(SUMIFS('Material Usage'!$M$5:$M$904,'Material Usage'!$A$5:$A$904,A541),2))</f>
        <v>0</v>
      </c>
      <c r="O541" s="33">
        <f>IF(A541="","",IF(OR(M541="",N541="",N541=0),"",M541/N541))</f>
        <v>0</v>
      </c>
      <c r="P541" s="32">
        <f>IF(A541="","",COUNTIFS($A$5:A541,A541))</f>
        <v>0</v>
      </c>
      <c r="Q541" s="13">
        <f>IF(A541="","",A541&amp;"|"&amp;P541)</f>
        <v>0</v>
      </c>
      <c r="R541" s="43">
        <f>IF(AND(A541="",C541=""),"",IF(A541="","Add - which product?",IF(C541="","Add - which material?",IF(B541="Not found","Check - no such product ID",IF(D541="Add to Materials","Check - no such material ID",IF(OR(F541="",F541=0),"Add - how much?",IF(L541="","Check - that material has no price","OK")))))))</f>
        <v>0</v>
      </c>
    </row>
    <row r="542" spans="2:18">
      <c r="B542" s="13">
        <f>IF(A542="","",IFERROR(INDEX(Products!$B$5:$B$304,MATCH(A542,Products!$A$5:$A$304,0)),"Not found"))</f>
        <v>0</v>
      </c>
      <c r="D542" s="13">
        <f>IF(C542="","",IFERROR(INDEX(Materials!$B$5:$B$254,MATCH(C542,Materials!$A$5:$A$254,0)),"Add to Materials"))</f>
        <v>0</v>
      </c>
      <c r="E542" s="13">
        <f>IF(C542="","",IFERROR(INDEX(Materials!$H$5:$H$254,MATCH(C542,Materials!$A$5:$A$254,0)),"Add to Materials"))</f>
        <v>0</v>
      </c>
      <c r="J542" s="33">
        <f>IF(C542="","",IF(G542&lt;&gt;"",G542,IFERROR(INDEX(Materials!$W$5:$W$254,MATCH(C542,Materials!$A$5:$A$254,0)),DefaultWaste)))</f>
        <v>0</v>
      </c>
      <c r="K542" s="36">
        <f>IF(C542="","",IF(F542="","",ROUND(F542*(1+J542),4)))</f>
        <v>0</v>
      </c>
      <c r="L542" s="45">
        <f>IF(C542="","",IFERROR(INDEX(Materials!$S$5:$S$254,MATCH(C542,Materials!$A$5:$A$254,0)),""))</f>
        <v>0</v>
      </c>
      <c r="M542" s="45">
        <f>IF(C542="","",IF(OR(K542="",L542=""),"",ROUND(K542*L542,4)))</f>
        <v>0</v>
      </c>
      <c r="N542" s="20">
        <f>IF(A542="","",ROUND(SUMIFS('Material Usage'!$M$5:$M$904,'Material Usage'!$A$5:$A$904,A542),2))</f>
        <v>0</v>
      </c>
      <c r="O542" s="33">
        <f>IF(A542="","",IF(OR(M542="",N542="",N542=0),"",M542/N542))</f>
        <v>0</v>
      </c>
      <c r="P542" s="32">
        <f>IF(A542="","",COUNTIFS($A$5:A542,A542))</f>
        <v>0</v>
      </c>
      <c r="Q542" s="13">
        <f>IF(A542="","",A542&amp;"|"&amp;P542)</f>
        <v>0</v>
      </c>
      <c r="R542" s="43">
        <f>IF(AND(A542="",C542=""),"",IF(A542="","Add - which product?",IF(C542="","Add - which material?",IF(B542="Not found","Check - no such product ID",IF(D542="Add to Materials","Check - no such material ID",IF(OR(F542="",F542=0),"Add - how much?",IF(L542="","Check - that material has no price","OK")))))))</f>
        <v>0</v>
      </c>
    </row>
    <row r="543" spans="2:18">
      <c r="B543" s="13">
        <f>IF(A543="","",IFERROR(INDEX(Products!$B$5:$B$304,MATCH(A543,Products!$A$5:$A$304,0)),"Not found"))</f>
        <v>0</v>
      </c>
      <c r="D543" s="13">
        <f>IF(C543="","",IFERROR(INDEX(Materials!$B$5:$B$254,MATCH(C543,Materials!$A$5:$A$254,0)),"Add to Materials"))</f>
        <v>0</v>
      </c>
      <c r="E543" s="13">
        <f>IF(C543="","",IFERROR(INDEX(Materials!$H$5:$H$254,MATCH(C543,Materials!$A$5:$A$254,0)),"Add to Materials"))</f>
        <v>0</v>
      </c>
      <c r="J543" s="33">
        <f>IF(C543="","",IF(G543&lt;&gt;"",G543,IFERROR(INDEX(Materials!$W$5:$W$254,MATCH(C543,Materials!$A$5:$A$254,0)),DefaultWaste)))</f>
        <v>0</v>
      </c>
      <c r="K543" s="36">
        <f>IF(C543="","",IF(F543="","",ROUND(F543*(1+J543),4)))</f>
        <v>0</v>
      </c>
      <c r="L543" s="45">
        <f>IF(C543="","",IFERROR(INDEX(Materials!$S$5:$S$254,MATCH(C543,Materials!$A$5:$A$254,0)),""))</f>
        <v>0</v>
      </c>
      <c r="M543" s="45">
        <f>IF(C543="","",IF(OR(K543="",L543=""),"",ROUND(K543*L543,4)))</f>
        <v>0</v>
      </c>
      <c r="N543" s="20">
        <f>IF(A543="","",ROUND(SUMIFS('Material Usage'!$M$5:$M$904,'Material Usage'!$A$5:$A$904,A543),2))</f>
        <v>0</v>
      </c>
      <c r="O543" s="33">
        <f>IF(A543="","",IF(OR(M543="",N543="",N543=0),"",M543/N543))</f>
        <v>0</v>
      </c>
      <c r="P543" s="32">
        <f>IF(A543="","",COUNTIFS($A$5:A543,A543))</f>
        <v>0</v>
      </c>
      <c r="Q543" s="13">
        <f>IF(A543="","",A543&amp;"|"&amp;P543)</f>
        <v>0</v>
      </c>
      <c r="R543" s="43">
        <f>IF(AND(A543="",C543=""),"",IF(A543="","Add - which product?",IF(C543="","Add - which material?",IF(B543="Not found","Check - no such product ID",IF(D543="Add to Materials","Check - no such material ID",IF(OR(F543="",F543=0),"Add - how much?",IF(L543="","Check - that material has no price","OK")))))))</f>
        <v>0</v>
      </c>
    </row>
    <row r="544" spans="2:18">
      <c r="B544" s="13">
        <f>IF(A544="","",IFERROR(INDEX(Products!$B$5:$B$304,MATCH(A544,Products!$A$5:$A$304,0)),"Not found"))</f>
        <v>0</v>
      </c>
      <c r="D544" s="13">
        <f>IF(C544="","",IFERROR(INDEX(Materials!$B$5:$B$254,MATCH(C544,Materials!$A$5:$A$254,0)),"Add to Materials"))</f>
        <v>0</v>
      </c>
      <c r="E544" s="13">
        <f>IF(C544="","",IFERROR(INDEX(Materials!$H$5:$H$254,MATCH(C544,Materials!$A$5:$A$254,0)),"Add to Materials"))</f>
        <v>0</v>
      </c>
      <c r="J544" s="33">
        <f>IF(C544="","",IF(G544&lt;&gt;"",G544,IFERROR(INDEX(Materials!$W$5:$W$254,MATCH(C544,Materials!$A$5:$A$254,0)),DefaultWaste)))</f>
        <v>0</v>
      </c>
      <c r="K544" s="36">
        <f>IF(C544="","",IF(F544="","",ROUND(F544*(1+J544),4)))</f>
        <v>0</v>
      </c>
      <c r="L544" s="45">
        <f>IF(C544="","",IFERROR(INDEX(Materials!$S$5:$S$254,MATCH(C544,Materials!$A$5:$A$254,0)),""))</f>
        <v>0</v>
      </c>
      <c r="M544" s="45">
        <f>IF(C544="","",IF(OR(K544="",L544=""),"",ROUND(K544*L544,4)))</f>
        <v>0</v>
      </c>
      <c r="N544" s="20">
        <f>IF(A544="","",ROUND(SUMIFS('Material Usage'!$M$5:$M$904,'Material Usage'!$A$5:$A$904,A544),2))</f>
        <v>0</v>
      </c>
      <c r="O544" s="33">
        <f>IF(A544="","",IF(OR(M544="",N544="",N544=0),"",M544/N544))</f>
        <v>0</v>
      </c>
      <c r="P544" s="32">
        <f>IF(A544="","",COUNTIFS($A$5:A544,A544))</f>
        <v>0</v>
      </c>
      <c r="Q544" s="13">
        <f>IF(A544="","",A544&amp;"|"&amp;P544)</f>
        <v>0</v>
      </c>
      <c r="R544" s="43">
        <f>IF(AND(A544="",C544=""),"",IF(A544="","Add - which product?",IF(C544="","Add - which material?",IF(B544="Not found","Check - no such product ID",IF(D544="Add to Materials","Check - no such material ID",IF(OR(F544="",F544=0),"Add - how much?",IF(L544="","Check - that material has no price","OK")))))))</f>
        <v>0</v>
      </c>
    </row>
    <row r="545" spans="2:18">
      <c r="B545" s="13">
        <f>IF(A545="","",IFERROR(INDEX(Products!$B$5:$B$304,MATCH(A545,Products!$A$5:$A$304,0)),"Not found"))</f>
        <v>0</v>
      </c>
      <c r="D545" s="13">
        <f>IF(C545="","",IFERROR(INDEX(Materials!$B$5:$B$254,MATCH(C545,Materials!$A$5:$A$254,0)),"Add to Materials"))</f>
        <v>0</v>
      </c>
      <c r="E545" s="13">
        <f>IF(C545="","",IFERROR(INDEX(Materials!$H$5:$H$254,MATCH(C545,Materials!$A$5:$A$254,0)),"Add to Materials"))</f>
        <v>0</v>
      </c>
      <c r="J545" s="33">
        <f>IF(C545="","",IF(G545&lt;&gt;"",G545,IFERROR(INDEX(Materials!$W$5:$W$254,MATCH(C545,Materials!$A$5:$A$254,0)),DefaultWaste)))</f>
        <v>0</v>
      </c>
      <c r="K545" s="36">
        <f>IF(C545="","",IF(F545="","",ROUND(F545*(1+J545),4)))</f>
        <v>0</v>
      </c>
      <c r="L545" s="45">
        <f>IF(C545="","",IFERROR(INDEX(Materials!$S$5:$S$254,MATCH(C545,Materials!$A$5:$A$254,0)),""))</f>
        <v>0</v>
      </c>
      <c r="M545" s="45">
        <f>IF(C545="","",IF(OR(K545="",L545=""),"",ROUND(K545*L545,4)))</f>
        <v>0</v>
      </c>
      <c r="N545" s="20">
        <f>IF(A545="","",ROUND(SUMIFS('Material Usage'!$M$5:$M$904,'Material Usage'!$A$5:$A$904,A545),2))</f>
        <v>0</v>
      </c>
      <c r="O545" s="33">
        <f>IF(A545="","",IF(OR(M545="",N545="",N545=0),"",M545/N545))</f>
        <v>0</v>
      </c>
      <c r="P545" s="32">
        <f>IF(A545="","",COUNTIFS($A$5:A545,A545))</f>
        <v>0</v>
      </c>
      <c r="Q545" s="13">
        <f>IF(A545="","",A545&amp;"|"&amp;P545)</f>
        <v>0</v>
      </c>
      <c r="R545" s="43">
        <f>IF(AND(A545="",C545=""),"",IF(A545="","Add - which product?",IF(C545="","Add - which material?",IF(B545="Not found","Check - no such product ID",IF(D545="Add to Materials","Check - no such material ID",IF(OR(F545="",F545=0),"Add - how much?",IF(L545="","Check - that material has no price","OK")))))))</f>
        <v>0</v>
      </c>
    </row>
    <row r="546" spans="2:18">
      <c r="B546" s="13">
        <f>IF(A546="","",IFERROR(INDEX(Products!$B$5:$B$304,MATCH(A546,Products!$A$5:$A$304,0)),"Not found"))</f>
        <v>0</v>
      </c>
      <c r="D546" s="13">
        <f>IF(C546="","",IFERROR(INDEX(Materials!$B$5:$B$254,MATCH(C546,Materials!$A$5:$A$254,0)),"Add to Materials"))</f>
        <v>0</v>
      </c>
      <c r="E546" s="13">
        <f>IF(C546="","",IFERROR(INDEX(Materials!$H$5:$H$254,MATCH(C546,Materials!$A$5:$A$254,0)),"Add to Materials"))</f>
        <v>0</v>
      </c>
      <c r="J546" s="33">
        <f>IF(C546="","",IF(G546&lt;&gt;"",G546,IFERROR(INDEX(Materials!$W$5:$W$254,MATCH(C546,Materials!$A$5:$A$254,0)),DefaultWaste)))</f>
        <v>0</v>
      </c>
      <c r="K546" s="36">
        <f>IF(C546="","",IF(F546="","",ROUND(F546*(1+J546),4)))</f>
        <v>0</v>
      </c>
      <c r="L546" s="45">
        <f>IF(C546="","",IFERROR(INDEX(Materials!$S$5:$S$254,MATCH(C546,Materials!$A$5:$A$254,0)),""))</f>
        <v>0</v>
      </c>
      <c r="M546" s="45">
        <f>IF(C546="","",IF(OR(K546="",L546=""),"",ROUND(K546*L546,4)))</f>
        <v>0</v>
      </c>
      <c r="N546" s="20">
        <f>IF(A546="","",ROUND(SUMIFS('Material Usage'!$M$5:$M$904,'Material Usage'!$A$5:$A$904,A546),2))</f>
        <v>0</v>
      </c>
      <c r="O546" s="33">
        <f>IF(A546="","",IF(OR(M546="",N546="",N546=0),"",M546/N546))</f>
        <v>0</v>
      </c>
      <c r="P546" s="32">
        <f>IF(A546="","",COUNTIFS($A$5:A546,A546))</f>
        <v>0</v>
      </c>
      <c r="Q546" s="13">
        <f>IF(A546="","",A546&amp;"|"&amp;P546)</f>
        <v>0</v>
      </c>
      <c r="R546" s="43">
        <f>IF(AND(A546="",C546=""),"",IF(A546="","Add - which product?",IF(C546="","Add - which material?",IF(B546="Not found","Check - no such product ID",IF(D546="Add to Materials","Check - no such material ID",IF(OR(F546="",F546=0),"Add - how much?",IF(L546="","Check - that material has no price","OK")))))))</f>
        <v>0</v>
      </c>
    </row>
    <row r="547" spans="2:18">
      <c r="B547" s="13">
        <f>IF(A547="","",IFERROR(INDEX(Products!$B$5:$B$304,MATCH(A547,Products!$A$5:$A$304,0)),"Not found"))</f>
        <v>0</v>
      </c>
      <c r="D547" s="13">
        <f>IF(C547="","",IFERROR(INDEX(Materials!$B$5:$B$254,MATCH(C547,Materials!$A$5:$A$254,0)),"Add to Materials"))</f>
        <v>0</v>
      </c>
      <c r="E547" s="13">
        <f>IF(C547="","",IFERROR(INDEX(Materials!$H$5:$H$254,MATCH(C547,Materials!$A$5:$A$254,0)),"Add to Materials"))</f>
        <v>0</v>
      </c>
      <c r="J547" s="33">
        <f>IF(C547="","",IF(G547&lt;&gt;"",G547,IFERROR(INDEX(Materials!$W$5:$W$254,MATCH(C547,Materials!$A$5:$A$254,0)),DefaultWaste)))</f>
        <v>0</v>
      </c>
      <c r="K547" s="36">
        <f>IF(C547="","",IF(F547="","",ROUND(F547*(1+J547),4)))</f>
        <v>0</v>
      </c>
      <c r="L547" s="45">
        <f>IF(C547="","",IFERROR(INDEX(Materials!$S$5:$S$254,MATCH(C547,Materials!$A$5:$A$254,0)),""))</f>
        <v>0</v>
      </c>
      <c r="M547" s="45">
        <f>IF(C547="","",IF(OR(K547="",L547=""),"",ROUND(K547*L547,4)))</f>
        <v>0</v>
      </c>
      <c r="N547" s="20">
        <f>IF(A547="","",ROUND(SUMIFS('Material Usage'!$M$5:$M$904,'Material Usage'!$A$5:$A$904,A547),2))</f>
        <v>0</v>
      </c>
      <c r="O547" s="33">
        <f>IF(A547="","",IF(OR(M547="",N547="",N547=0),"",M547/N547))</f>
        <v>0</v>
      </c>
      <c r="P547" s="32">
        <f>IF(A547="","",COUNTIFS($A$5:A547,A547))</f>
        <v>0</v>
      </c>
      <c r="Q547" s="13">
        <f>IF(A547="","",A547&amp;"|"&amp;P547)</f>
        <v>0</v>
      </c>
      <c r="R547" s="43">
        <f>IF(AND(A547="",C547=""),"",IF(A547="","Add - which product?",IF(C547="","Add - which material?",IF(B547="Not found","Check - no such product ID",IF(D547="Add to Materials","Check - no such material ID",IF(OR(F547="",F547=0),"Add - how much?",IF(L547="","Check - that material has no price","OK")))))))</f>
        <v>0</v>
      </c>
    </row>
    <row r="548" spans="2:18">
      <c r="B548" s="13">
        <f>IF(A548="","",IFERROR(INDEX(Products!$B$5:$B$304,MATCH(A548,Products!$A$5:$A$304,0)),"Not found"))</f>
        <v>0</v>
      </c>
      <c r="D548" s="13">
        <f>IF(C548="","",IFERROR(INDEX(Materials!$B$5:$B$254,MATCH(C548,Materials!$A$5:$A$254,0)),"Add to Materials"))</f>
        <v>0</v>
      </c>
      <c r="E548" s="13">
        <f>IF(C548="","",IFERROR(INDEX(Materials!$H$5:$H$254,MATCH(C548,Materials!$A$5:$A$254,0)),"Add to Materials"))</f>
        <v>0</v>
      </c>
      <c r="J548" s="33">
        <f>IF(C548="","",IF(G548&lt;&gt;"",G548,IFERROR(INDEX(Materials!$W$5:$W$254,MATCH(C548,Materials!$A$5:$A$254,0)),DefaultWaste)))</f>
        <v>0</v>
      </c>
      <c r="K548" s="36">
        <f>IF(C548="","",IF(F548="","",ROUND(F548*(1+J548),4)))</f>
        <v>0</v>
      </c>
      <c r="L548" s="45">
        <f>IF(C548="","",IFERROR(INDEX(Materials!$S$5:$S$254,MATCH(C548,Materials!$A$5:$A$254,0)),""))</f>
        <v>0</v>
      </c>
      <c r="M548" s="45">
        <f>IF(C548="","",IF(OR(K548="",L548=""),"",ROUND(K548*L548,4)))</f>
        <v>0</v>
      </c>
      <c r="N548" s="20">
        <f>IF(A548="","",ROUND(SUMIFS('Material Usage'!$M$5:$M$904,'Material Usage'!$A$5:$A$904,A548),2))</f>
        <v>0</v>
      </c>
      <c r="O548" s="33">
        <f>IF(A548="","",IF(OR(M548="",N548="",N548=0),"",M548/N548))</f>
        <v>0</v>
      </c>
      <c r="P548" s="32">
        <f>IF(A548="","",COUNTIFS($A$5:A548,A548))</f>
        <v>0</v>
      </c>
      <c r="Q548" s="13">
        <f>IF(A548="","",A548&amp;"|"&amp;P548)</f>
        <v>0</v>
      </c>
      <c r="R548" s="43">
        <f>IF(AND(A548="",C548=""),"",IF(A548="","Add - which product?",IF(C548="","Add - which material?",IF(B548="Not found","Check - no such product ID",IF(D548="Add to Materials","Check - no such material ID",IF(OR(F548="",F548=0),"Add - how much?",IF(L548="","Check - that material has no price","OK")))))))</f>
        <v>0</v>
      </c>
    </row>
    <row r="549" spans="2:18">
      <c r="B549" s="13">
        <f>IF(A549="","",IFERROR(INDEX(Products!$B$5:$B$304,MATCH(A549,Products!$A$5:$A$304,0)),"Not found"))</f>
        <v>0</v>
      </c>
      <c r="D549" s="13">
        <f>IF(C549="","",IFERROR(INDEX(Materials!$B$5:$B$254,MATCH(C549,Materials!$A$5:$A$254,0)),"Add to Materials"))</f>
        <v>0</v>
      </c>
      <c r="E549" s="13">
        <f>IF(C549="","",IFERROR(INDEX(Materials!$H$5:$H$254,MATCH(C549,Materials!$A$5:$A$254,0)),"Add to Materials"))</f>
        <v>0</v>
      </c>
      <c r="J549" s="33">
        <f>IF(C549="","",IF(G549&lt;&gt;"",G549,IFERROR(INDEX(Materials!$W$5:$W$254,MATCH(C549,Materials!$A$5:$A$254,0)),DefaultWaste)))</f>
        <v>0</v>
      </c>
      <c r="K549" s="36">
        <f>IF(C549="","",IF(F549="","",ROUND(F549*(1+J549),4)))</f>
        <v>0</v>
      </c>
      <c r="L549" s="45">
        <f>IF(C549="","",IFERROR(INDEX(Materials!$S$5:$S$254,MATCH(C549,Materials!$A$5:$A$254,0)),""))</f>
        <v>0</v>
      </c>
      <c r="M549" s="45">
        <f>IF(C549="","",IF(OR(K549="",L549=""),"",ROUND(K549*L549,4)))</f>
        <v>0</v>
      </c>
      <c r="N549" s="20">
        <f>IF(A549="","",ROUND(SUMIFS('Material Usage'!$M$5:$M$904,'Material Usage'!$A$5:$A$904,A549),2))</f>
        <v>0</v>
      </c>
      <c r="O549" s="33">
        <f>IF(A549="","",IF(OR(M549="",N549="",N549=0),"",M549/N549))</f>
        <v>0</v>
      </c>
      <c r="P549" s="32">
        <f>IF(A549="","",COUNTIFS($A$5:A549,A549))</f>
        <v>0</v>
      </c>
      <c r="Q549" s="13">
        <f>IF(A549="","",A549&amp;"|"&amp;P549)</f>
        <v>0</v>
      </c>
      <c r="R549" s="43">
        <f>IF(AND(A549="",C549=""),"",IF(A549="","Add - which product?",IF(C549="","Add - which material?",IF(B549="Not found","Check - no such product ID",IF(D549="Add to Materials","Check - no such material ID",IF(OR(F549="",F549=0),"Add - how much?",IF(L549="","Check - that material has no price","OK")))))))</f>
        <v>0</v>
      </c>
    </row>
    <row r="550" spans="2:18">
      <c r="B550" s="13">
        <f>IF(A550="","",IFERROR(INDEX(Products!$B$5:$B$304,MATCH(A550,Products!$A$5:$A$304,0)),"Not found"))</f>
        <v>0</v>
      </c>
      <c r="D550" s="13">
        <f>IF(C550="","",IFERROR(INDEX(Materials!$B$5:$B$254,MATCH(C550,Materials!$A$5:$A$254,0)),"Add to Materials"))</f>
        <v>0</v>
      </c>
      <c r="E550" s="13">
        <f>IF(C550="","",IFERROR(INDEX(Materials!$H$5:$H$254,MATCH(C550,Materials!$A$5:$A$254,0)),"Add to Materials"))</f>
        <v>0</v>
      </c>
      <c r="J550" s="33">
        <f>IF(C550="","",IF(G550&lt;&gt;"",G550,IFERROR(INDEX(Materials!$W$5:$W$254,MATCH(C550,Materials!$A$5:$A$254,0)),DefaultWaste)))</f>
        <v>0</v>
      </c>
      <c r="K550" s="36">
        <f>IF(C550="","",IF(F550="","",ROUND(F550*(1+J550),4)))</f>
        <v>0</v>
      </c>
      <c r="L550" s="45">
        <f>IF(C550="","",IFERROR(INDEX(Materials!$S$5:$S$254,MATCH(C550,Materials!$A$5:$A$254,0)),""))</f>
        <v>0</v>
      </c>
      <c r="M550" s="45">
        <f>IF(C550="","",IF(OR(K550="",L550=""),"",ROUND(K550*L550,4)))</f>
        <v>0</v>
      </c>
      <c r="N550" s="20">
        <f>IF(A550="","",ROUND(SUMIFS('Material Usage'!$M$5:$M$904,'Material Usage'!$A$5:$A$904,A550),2))</f>
        <v>0</v>
      </c>
      <c r="O550" s="33">
        <f>IF(A550="","",IF(OR(M550="",N550="",N550=0),"",M550/N550))</f>
        <v>0</v>
      </c>
      <c r="P550" s="32">
        <f>IF(A550="","",COUNTIFS($A$5:A550,A550))</f>
        <v>0</v>
      </c>
      <c r="Q550" s="13">
        <f>IF(A550="","",A550&amp;"|"&amp;P550)</f>
        <v>0</v>
      </c>
      <c r="R550" s="43">
        <f>IF(AND(A550="",C550=""),"",IF(A550="","Add - which product?",IF(C550="","Add - which material?",IF(B550="Not found","Check - no such product ID",IF(D550="Add to Materials","Check - no such material ID",IF(OR(F550="",F550=0),"Add - how much?",IF(L550="","Check - that material has no price","OK")))))))</f>
        <v>0</v>
      </c>
    </row>
    <row r="551" spans="2:18">
      <c r="B551" s="13">
        <f>IF(A551="","",IFERROR(INDEX(Products!$B$5:$B$304,MATCH(A551,Products!$A$5:$A$304,0)),"Not found"))</f>
        <v>0</v>
      </c>
      <c r="D551" s="13">
        <f>IF(C551="","",IFERROR(INDEX(Materials!$B$5:$B$254,MATCH(C551,Materials!$A$5:$A$254,0)),"Add to Materials"))</f>
        <v>0</v>
      </c>
      <c r="E551" s="13">
        <f>IF(C551="","",IFERROR(INDEX(Materials!$H$5:$H$254,MATCH(C551,Materials!$A$5:$A$254,0)),"Add to Materials"))</f>
        <v>0</v>
      </c>
      <c r="J551" s="33">
        <f>IF(C551="","",IF(G551&lt;&gt;"",G551,IFERROR(INDEX(Materials!$W$5:$W$254,MATCH(C551,Materials!$A$5:$A$254,0)),DefaultWaste)))</f>
        <v>0</v>
      </c>
      <c r="K551" s="36">
        <f>IF(C551="","",IF(F551="","",ROUND(F551*(1+J551),4)))</f>
        <v>0</v>
      </c>
      <c r="L551" s="45">
        <f>IF(C551="","",IFERROR(INDEX(Materials!$S$5:$S$254,MATCH(C551,Materials!$A$5:$A$254,0)),""))</f>
        <v>0</v>
      </c>
      <c r="M551" s="45">
        <f>IF(C551="","",IF(OR(K551="",L551=""),"",ROUND(K551*L551,4)))</f>
        <v>0</v>
      </c>
      <c r="N551" s="20">
        <f>IF(A551="","",ROUND(SUMIFS('Material Usage'!$M$5:$M$904,'Material Usage'!$A$5:$A$904,A551),2))</f>
        <v>0</v>
      </c>
      <c r="O551" s="33">
        <f>IF(A551="","",IF(OR(M551="",N551="",N551=0),"",M551/N551))</f>
        <v>0</v>
      </c>
      <c r="P551" s="32">
        <f>IF(A551="","",COUNTIFS($A$5:A551,A551))</f>
        <v>0</v>
      </c>
      <c r="Q551" s="13">
        <f>IF(A551="","",A551&amp;"|"&amp;P551)</f>
        <v>0</v>
      </c>
      <c r="R551" s="43">
        <f>IF(AND(A551="",C551=""),"",IF(A551="","Add - which product?",IF(C551="","Add - which material?",IF(B551="Not found","Check - no such product ID",IF(D551="Add to Materials","Check - no such material ID",IF(OR(F551="",F551=0),"Add - how much?",IF(L551="","Check - that material has no price","OK")))))))</f>
        <v>0</v>
      </c>
    </row>
    <row r="552" spans="2:18">
      <c r="B552" s="13">
        <f>IF(A552="","",IFERROR(INDEX(Products!$B$5:$B$304,MATCH(A552,Products!$A$5:$A$304,0)),"Not found"))</f>
        <v>0</v>
      </c>
      <c r="D552" s="13">
        <f>IF(C552="","",IFERROR(INDEX(Materials!$B$5:$B$254,MATCH(C552,Materials!$A$5:$A$254,0)),"Add to Materials"))</f>
        <v>0</v>
      </c>
      <c r="E552" s="13">
        <f>IF(C552="","",IFERROR(INDEX(Materials!$H$5:$H$254,MATCH(C552,Materials!$A$5:$A$254,0)),"Add to Materials"))</f>
        <v>0</v>
      </c>
      <c r="J552" s="33">
        <f>IF(C552="","",IF(G552&lt;&gt;"",G552,IFERROR(INDEX(Materials!$W$5:$W$254,MATCH(C552,Materials!$A$5:$A$254,0)),DefaultWaste)))</f>
        <v>0</v>
      </c>
      <c r="K552" s="36">
        <f>IF(C552="","",IF(F552="","",ROUND(F552*(1+J552),4)))</f>
        <v>0</v>
      </c>
      <c r="L552" s="45">
        <f>IF(C552="","",IFERROR(INDEX(Materials!$S$5:$S$254,MATCH(C552,Materials!$A$5:$A$254,0)),""))</f>
        <v>0</v>
      </c>
      <c r="M552" s="45">
        <f>IF(C552="","",IF(OR(K552="",L552=""),"",ROUND(K552*L552,4)))</f>
        <v>0</v>
      </c>
      <c r="N552" s="20">
        <f>IF(A552="","",ROUND(SUMIFS('Material Usage'!$M$5:$M$904,'Material Usage'!$A$5:$A$904,A552),2))</f>
        <v>0</v>
      </c>
      <c r="O552" s="33">
        <f>IF(A552="","",IF(OR(M552="",N552="",N552=0),"",M552/N552))</f>
        <v>0</v>
      </c>
      <c r="P552" s="32">
        <f>IF(A552="","",COUNTIFS($A$5:A552,A552))</f>
        <v>0</v>
      </c>
      <c r="Q552" s="13">
        <f>IF(A552="","",A552&amp;"|"&amp;P552)</f>
        <v>0</v>
      </c>
      <c r="R552" s="43">
        <f>IF(AND(A552="",C552=""),"",IF(A552="","Add - which product?",IF(C552="","Add - which material?",IF(B552="Not found","Check - no such product ID",IF(D552="Add to Materials","Check - no such material ID",IF(OR(F552="",F552=0),"Add - how much?",IF(L552="","Check - that material has no price","OK")))))))</f>
        <v>0</v>
      </c>
    </row>
    <row r="553" spans="2:18">
      <c r="B553" s="13">
        <f>IF(A553="","",IFERROR(INDEX(Products!$B$5:$B$304,MATCH(A553,Products!$A$5:$A$304,0)),"Not found"))</f>
        <v>0</v>
      </c>
      <c r="D553" s="13">
        <f>IF(C553="","",IFERROR(INDEX(Materials!$B$5:$B$254,MATCH(C553,Materials!$A$5:$A$254,0)),"Add to Materials"))</f>
        <v>0</v>
      </c>
      <c r="E553" s="13">
        <f>IF(C553="","",IFERROR(INDEX(Materials!$H$5:$H$254,MATCH(C553,Materials!$A$5:$A$254,0)),"Add to Materials"))</f>
        <v>0</v>
      </c>
      <c r="J553" s="33">
        <f>IF(C553="","",IF(G553&lt;&gt;"",G553,IFERROR(INDEX(Materials!$W$5:$W$254,MATCH(C553,Materials!$A$5:$A$254,0)),DefaultWaste)))</f>
        <v>0</v>
      </c>
      <c r="K553" s="36">
        <f>IF(C553="","",IF(F553="","",ROUND(F553*(1+J553),4)))</f>
        <v>0</v>
      </c>
      <c r="L553" s="45">
        <f>IF(C553="","",IFERROR(INDEX(Materials!$S$5:$S$254,MATCH(C553,Materials!$A$5:$A$254,0)),""))</f>
        <v>0</v>
      </c>
      <c r="M553" s="45">
        <f>IF(C553="","",IF(OR(K553="",L553=""),"",ROUND(K553*L553,4)))</f>
        <v>0</v>
      </c>
      <c r="N553" s="20">
        <f>IF(A553="","",ROUND(SUMIFS('Material Usage'!$M$5:$M$904,'Material Usage'!$A$5:$A$904,A553),2))</f>
        <v>0</v>
      </c>
      <c r="O553" s="33">
        <f>IF(A553="","",IF(OR(M553="",N553="",N553=0),"",M553/N553))</f>
        <v>0</v>
      </c>
      <c r="P553" s="32">
        <f>IF(A553="","",COUNTIFS($A$5:A553,A553))</f>
        <v>0</v>
      </c>
      <c r="Q553" s="13">
        <f>IF(A553="","",A553&amp;"|"&amp;P553)</f>
        <v>0</v>
      </c>
      <c r="R553" s="43">
        <f>IF(AND(A553="",C553=""),"",IF(A553="","Add - which product?",IF(C553="","Add - which material?",IF(B553="Not found","Check - no such product ID",IF(D553="Add to Materials","Check - no such material ID",IF(OR(F553="",F553=0),"Add - how much?",IF(L553="","Check - that material has no price","OK")))))))</f>
        <v>0</v>
      </c>
    </row>
    <row r="554" spans="2:18">
      <c r="B554" s="13">
        <f>IF(A554="","",IFERROR(INDEX(Products!$B$5:$B$304,MATCH(A554,Products!$A$5:$A$304,0)),"Not found"))</f>
        <v>0</v>
      </c>
      <c r="D554" s="13">
        <f>IF(C554="","",IFERROR(INDEX(Materials!$B$5:$B$254,MATCH(C554,Materials!$A$5:$A$254,0)),"Add to Materials"))</f>
        <v>0</v>
      </c>
      <c r="E554" s="13">
        <f>IF(C554="","",IFERROR(INDEX(Materials!$H$5:$H$254,MATCH(C554,Materials!$A$5:$A$254,0)),"Add to Materials"))</f>
        <v>0</v>
      </c>
      <c r="J554" s="33">
        <f>IF(C554="","",IF(G554&lt;&gt;"",G554,IFERROR(INDEX(Materials!$W$5:$W$254,MATCH(C554,Materials!$A$5:$A$254,0)),DefaultWaste)))</f>
        <v>0</v>
      </c>
      <c r="K554" s="36">
        <f>IF(C554="","",IF(F554="","",ROUND(F554*(1+J554),4)))</f>
        <v>0</v>
      </c>
      <c r="L554" s="45">
        <f>IF(C554="","",IFERROR(INDEX(Materials!$S$5:$S$254,MATCH(C554,Materials!$A$5:$A$254,0)),""))</f>
        <v>0</v>
      </c>
      <c r="M554" s="45">
        <f>IF(C554="","",IF(OR(K554="",L554=""),"",ROUND(K554*L554,4)))</f>
        <v>0</v>
      </c>
      <c r="N554" s="20">
        <f>IF(A554="","",ROUND(SUMIFS('Material Usage'!$M$5:$M$904,'Material Usage'!$A$5:$A$904,A554),2))</f>
        <v>0</v>
      </c>
      <c r="O554" s="33">
        <f>IF(A554="","",IF(OR(M554="",N554="",N554=0),"",M554/N554))</f>
        <v>0</v>
      </c>
      <c r="P554" s="32">
        <f>IF(A554="","",COUNTIFS($A$5:A554,A554))</f>
        <v>0</v>
      </c>
      <c r="Q554" s="13">
        <f>IF(A554="","",A554&amp;"|"&amp;P554)</f>
        <v>0</v>
      </c>
      <c r="R554" s="43">
        <f>IF(AND(A554="",C554=""),"",IF(A554="","Add - which product?",IF(C554="","Add - which material?",IF(B554="Not found","Check - no such product ID",IF(D554="Add to Materials","Check - no such material ID",IF(OR(F554="",F554=0),"Add - how much?",IF(L554="","Check - that material has no price","OK")))))))</f>
        <v>0</v>
      </c>
    </row>
    <row r="555" spans="2:18">
      <c r="B555" s="13">
        <f>IF(A555="","",IFERROR(INDEX(Products!$B$5:$B$304,MATCH(A555,Products!$A$5:$A$304,0)),"Not found"))</f>
        <v>0</v>
      </c>
      <c r="D555" s="13">
        <f>IF(C555="","",IFERROR(INDEX(Materials!$B$5:$B$254,MATCH(C555,Materials!$A$5:$A$254,0)),"Add to Materials"))</f>
        <v>0</v>
      </c>
      <c r="E555" s="13">
        <f>IF(C555="","",IFERROR(INDEX(Materials!$H$5:$H$254,MATCH(C555,Materials!$A$5:$A$254,0)),"Add to Materials"))</f>
        <v>0</v>
      </c>
      <c r="J555" s="33">
        <f>IF(C555="","",IF(G555&lt;&gt;"",G555,IFERROR(INDEX(Materials!$W$5:$W$254,MATCH(C555,Materials!$A$5:$A$254,0)),DefaultWaste)))</f>
        <v>0</v>
      </c>
      <c r="K555" s="36">
        <f>IF(C555="","",IF(F555="","",ROUND(F555*(1+J555),4)))</f>
        <v>0</v>
      </c>
      <c r="L555" s="45">
        <f>IF(C555="","",IFERROR(INDEX(Materials!$S$5:$S$254,MATCH(C555,Materials!$A$5:$A$254,0)),""))</f>
        <v>0</v>
      </c>
      <c r="M555" s="45">
        <f>IF(C555="","",IF(OR(K555="",L555=""),"",ROUND(K555*L555,4)))</f>
        <v>0</v>
      </c>
      <c r="N555" s="20">
        <f>IF(A555="","",ROUND(SUMIFS('Material Usage'!$M$5:$M$904,'Material Usage'!$A$5:$A$904,A555),2))</f>
        <v>0</v>
      </c>
      <c r="O555" s="33">
        <f>IF(A555="","",IF(OR(M555="",N555="",N555=0),"",M555/N555))</f>
        <v>0</v>
      </c>
      <c r="P555" s="32">
        <f>IF(A555="","",COUNTIFS($A$5:A555,A555))</f>
        <v>0</v>
      </c>
      <c r="Q555" s="13">
        <f>IF(A555="","",A555&amp;"|"&amp;P555)</f>
        <v>0</v>
      </c>
      <c r="R555" s="43">
        <f>IF(AND(A555="",C555=""),"",IF(A555="","Add - which product?",IF(C555="","Add - which material?",IF(B555="Not found","Check - no such product ID",IF(D555="Add to Materials","Check - no such material ID",IF(OR(F555="",F555=0),"Add - how much?",IF(L555="","Check - that material has no price","OK")))))))</f>
        <v>0</v>
      </c>
    </row>
    <row r="556" spans="2:18">
      <c r="B556" s="13">
        <f>IF(A556="","",IFERROR(INDEX(Products!$B$5:$B$304,MATCH(A556,Products!$A$5:$A$304,0)),"Not found"))</f>
        <v>0</v>
      </c>
      <c r="D556" s="13">
        <f>IF(C556="","",IFERROR(INDEX(Materials!$B$5:$B$254,MATCH(C556,Materials!$A$5:$A$254,0)),"Add to Materials"))</f>
        <v>0</v>
      </c>
      <c r="E556" s="13">
        <f>IF(C556="","",IFERROR(INDEX(Materials!$H$5:$H$254,MATCH(C556,Materials!$A$5:$A$254,0)),"Add to Materials"))</f>
        <v>0</v>
      </c>
      <c r="J556" s="33">
        <f>IF(C556="","",IF(G556&lt;&gt;"",G556,IFERROR(INDEX(Materials!$W$5:$W$254,MATCH(C556,Materials!$A$5:$A$254,0)),DefaultWaste)))</f>
        <v>0</v>
      </c>
      <c r="K556" s="36">
        <f>IF(C556="","",IF(F556="","",ROUND(F556*(1+J556),4)))</f>
        <v>0</v>
      </c>
      <c r="L556" s="45">
        <f>IF(C556="","",IFERROR(INDEX(Materials!$S$5:$S$254,MATCH(C556,Materials!$A$5:$A$254,0)),""))</f>
        <v>0</v>
      </c>
      <c r="M556" s="45">
        <f>IF(C556="","",IF(OR(K556="",L556=""),"",ROUND(K556*L556,4)))</f>
        <v>0</v>
      </c>
      <c r="N556" s="20">
        <f>IF(A556="","",ROUND(SUMIFS('Material Usage'!$M$5:$M$904,'Material Usage'!$A$5:$A$904,A556),2))</f>
        <v>0</v>
      </c>
      <c r="O556" s="33">
        <f>IF(A556="","",IF(OR(M556="",N556="",N556=0),"",M556/N556))</f>
        <v>0</v>
      </c>
      <c r="P556" s="32">
        <f>IF(A556="","",COUNTIFS($A$5:A556,A556))</f>
        <v>0</v>
      </c>
      <c r="Q556" s="13">
        <f>IF(A556="","",A556&amp;"|"&amp;P556)</f>
        <v>0</v>
      </c>
      <c r="R556" s="43">
        <f>IF(AND(A556="",C556=""),"",IF(A556="","Add - which product?",IF(C556="","Add - which material?",IF(B556="Not found","Check - no such product ID",IF(D556="Add to Materials","Check - no such material ID",IF(OR(F556="",F556=0),"Add - how much?",IF(L556="","Check - that material has no price","OK")))))))</f>
        <v>0</v>
      </c>
    </row>
    <row r="557" spans="2:18">
      <c r="B557" s="13">
        <f>IF(A557="","",IFERROR(INDEX(Products!$B$5:$B$304,MATCH(A557,Products!$A$5:$A$304,0)),"Not found"))</f>
        <v>0</v>
      </c>
      <c r="D557" s="13">
        <f>IF(C557="","",IFERROR(INDEX(Materials!$B$5:$B$254,MATCH(C557,Materials!$A$5:$A$254,0)),"Add to Materials"))</f>
        <v>0</v>
      </c>
      <c r="E557" s="13">
        <f>IF(C557="","",IFERROR(INDEX(Materials!$H$5:$H$254,MATCH(C557,Materials!$A$5:$A$254,0)),"Add to Materials"))</f>
        <v>0</v>
      </c>
      <c r="J557" s="33">
        <f>IF(C557="","",IF(G557&lt;&gt;"",G557,IFERROR(INDEX(Materials!$W$5:$W$254,MATCH(C557,Materials!$A$5:$A$254,0)),DefaultWaste)))</f>
        <v>0</v>
      </c>
      <c r="K557" s="36">
        <f>IF(C557="","",IF(F557="","",ROUND(F557*(1+J557),4)))</f>
        <v>0</v>
      </c>
      <c r="L557" s="45">
        <f>IF(C557="","",IFERROR(INDEX(Materials!$S$5:$S$254,MATCH(C557,Materials!$A$5:$A$254,0)),""))</f>
        <v>0</v>
      </c>
      <c r="M557" s="45">
        <f>IF(C557="","",IF(OR(K557="",L557=""),"",ROUND(K557*L557,4)))</f>
        <v>0</v>
      </c>
      <c r="N557" s="20">
        <f>IF(A557="","",ROUND(SUMIFS('Material Usage'!$M$5:$M$904,'Material Usage'!$A$5:$A$904,A557),2))</f>
        <v>0</v>
      </c>
      <c r="O557" s="33">
        <f>IF(A557="","",IF(OR(M557="",N557="",N557=0),"",M557/N557))</f>
        <v>0</v>
      </c>
      <c r="P557" s="32">
        <f>IF(A557="","",COUNTIFS($A$5:A557,A557))</f>
        <v>0</v>
      </c>
      <c r="Q557" s="13">
        <f>IF(A557="","",A557&amp;"|"&amp;P557)</f>
        <v>0</v>
      </c>
      <c r="R557" s="43">
        <f>IF(AND(A557="",C557=""),"",IF(A557="","Add - which product?",IF(C557="","Add - which material?",IF(B557="Not found","Check - no such product ID",IF(D557="Add to Materials","Check - no such material ID",IF(OR(F557="",F557=0),"Add - how much?",IF(L557="","Check - that material has no price","OK")))))))</f>
        <v>0</v>
      </c>
    </row>
    <row r="558" spans="2:18">
      <c r="B558" s="13">
        <f>IF(A558="","",IFERROR(INDEX(Products!$B$5:$B$304,MATCH(A558,Products!$A$5:$A$304,0)),"Not found"))</f>
        <v>0</v>
      </c>
      <c r="D558" s="13">
        <f>IF(C558="","",IFERROR(INDEX(Materials!$B$5:$B$254,MATCH(C558,Materials!$A$5:$A$254,0)),"Add to Materials"))</f>
        <v>0</v>
      </c>
      <c r="E558" s="13">
        <f>IF(C558="","",IFERROR(INDEX(Materials!$H$5:$H$254,MATCH(C558,Materials!$A$5:$A$254,0)),"Add to Materials"))</f>
        <v>0</v>
      </c>
      <c r="J558" s="33">
        <f>IF(C558="","",IF(G558&lt;&gt;"",G558,IFERROR(INDEX(Materials!$W$5:$W$254,MATCH(C558,Materials!$A$5:$A$254,0)),DefaultWaste)))</f>
        <v>0</v>
      </c>
      <c r="K558" s="36">
        <f>IF(C558="","",IF(F558="","",ROUND(F558*(1+J558),4)))</f>
        <v>0</v>
      </c>
      <c r="L558" s="45">
        <f>IF(C558="","",IFERROR(INDEX(Materials!$S$5:$S$254,MATCH(C558,Materials!$A$5:$A$254,0)),""))</f>
        <v>0</v>
      </c>
      <c r="M558" s="45">
        <f>IF(C558="","",IF(OR(K558="",L558=""),"",ROUND(K558*L558,4)))</f>
        <v>0</v>
      </c>
      <c r="N558" s="20">
        <f>IF(A558="","",ROUND(SUMIFS('Material Usage'!$M$5:$M$904,'Material Usage'!$A$5:$A$904,A558),2))</f>
        <v>0</v>
      </c>
      <c r="O558" s="33">
        <f>IF(A558="","",IF(OR(M558="",N558="",N558=0),"",M558/N558))</f>
        <v>0</v>
      </c>
      <c r="P558" s="32">
        <f>IF(A558="","",COUNTIFS($A$5:A558,A558))</f>
        <v>0</v>
      </c>
      <c r="Q558" s="13">
        <f>IF(A558="","",A558&amp;"|"&amp;P558)</f>
        <v>0</v>
      </c>
      <c r="R558" s="43">
        <f>IF(AND(A558="",C558=""),"",IF(A558="","Add - which product?",IF(C558="","Add - which material?",IF(B558="Not found","Check - no such product ID",IF(D558="Add to Materials","Check - no such material ID",IF(OR(F558="",F558=0),"Add - how much?",IF(L558="","Check - that material has no price","OK")))))))</f>
        <v>0</v>
      </c>
    </row>
    <row r="559" spans="2:18">
      <c r="B559" s="13">
        <f>IF(A559="","",IFERROR(INDEX(Products!$B$5:$B$304,MATCH(A559,Products!$A$5:$A$304,0)),"Not found"))</f>
        <v>0</v>
      </c>
      <c r="D559" s="13">
        <f>IF(C559="","",IFERROR(INDEX(Materials!$B$5:$B$254,MATCH(C559,Materials!$A$5:$A$254,0)),"Add to Materials"))</f>
        <v>0</v>
      </c>
      <c r="E559" s="13">
        <f>IF(C559="","",IFERROR(INDEX(Materials!$H$5:$H$254,MATCH(C559,Materials!$A$5:$A$254,0)),"Add to Materials"))</f>
        <v>0</v>
      </c>
      <c r="J559" s="33">
        <f>IF(C559="","",IF(G559&lt;&gt;"",G559,IFERROR(INDEX(Materials!$W$5:$W$254,MATCH(C559,Materials!$A$5:$A$254,0)),DefaultWaste)))</f>
        <v>0</v>
      </c>
      <c r="K559" s="36">
        <f>IF(C559="","",IF(F559="","",ROUND(F559*(1+J559),4)))</f>
        <v>0</v>
      </c>
      <c r="L559" s="45">
        <f>IF(C559="","",IFERROR(INDEX(Materials!$S$5:$S$254,MATCH(C559,Materials!$A$5:$A$254,0)),""))</f>
        <v>0</v>
      </c>
      <c r="M559" s="45">
        <f>IF(C559="","",IF(OR(K559="",L559=""),"",ROUND(K559*L559,4)))</f>
        <v>0</v>
      </c>
      <c r="N559" s="20">
        <f>IF(A559="","",ROUND(SUMIFS('Material Usage'!$M$5:$M$904,'Material Usage'!$A$5:$A$904,A559),2))</f>
        <v>0</v>
      </c>
      <c r="O559" s="33">
        <f>IF(A559="","",IF(OR(M559="",N559="",N559=0),"",M559/N559))</f>
        <v>0</v>
      </c>
      <c r="P559" s="32">
        <f>IF(A559="","",COUNTIFS($A$5:A559,A559))</f>
        <v>0</v>
      </c>
      <c r="Q559" s="13">
        <f>IF(A559="","",A559&amp;"|"&amp;P559)</f>
        <v>0</v>
      </c>
      <c r="R559" s="43">
        <f>IF(AND(A559="",C559=""),"",IF(A559="","Add - which product?",IF(C559="","Add - which material?",IF(B559="Not found","Check - no such product ID",IF(D559="Add to Materials","Check - no such material ID",IF(OR(F559="",F559=0),"Add - how much?",IF(L559="","Check - that material has no price","OK")))))))</f>
        <v>0</v>
      </c>
    </row>
    <row r="560" spans="2:18">
      <c r="B560" s="13">
        <f>IF(A560="","",IFERROR(INDEX(Products!$B$5:$B$304,MATCH(A560,Products!$A$5:$A$304,0)),"Not found"))</f>
        <v>0</v>
      </c>
      <c r="D560" s="13">
        <f>IF(C560="","",IFERROR(INDEX(Materials!$B$5:$B$254,MATCH(C560,Materials!$A$5:$A$254,0)),"Add to Materials"))</f>
        <v>0</v>
      </c>
      <c r="E560" s="13">
        <f>IF(C560="","",IFERROR(INDEX(Materials!$H$5:$H$254,MATCH(C560,Materials!$A$5:$A$254,0)),"Add to Materials"))</f>
        <v>0</v>
      </c>
      <c r="J560" s="33">
        <f>IF(C560="","",IF(G560&lt;&gt;"",G560,IFERROR(INDEX(Materials!$W$5:$W$254,MATCH(C560,Materials!$A$5:$A$254,0)),DefaultWaste)))</f>
        <v>0</v>
      </c>
      <c r="K560" s="36">
        <f>IF(C560="","",IF(F560="","",ROUND(F560*(1+J560),4)))</f>
        <v>0</v>
      </c>
      <c r="L560" s="45">
        <f>IF(C560="","",IFERROR(INDEX(Materials!$S$5:$S$254,MATCH(C560,Materials!$A$5:$A$254,0)),""))</f>
        <v>0</v>
      </c>
      <c r="M560" s="45">
        <f>IF(C560="","",IF(OR(K560="",L560=""),"",ROUND(K560*L560,4)))</f>
        <v>0</v>
      </c>
      <c r="N560" s="20">
        <f>IF(A560="","",ROUND(SUMIFS('Material Usage'!$M$5:$M$904,'Material Usage'!$A$5:$A$904,A560),2))</f>
        <v>0</v>
      </c>
      <c r="O560" s="33">
        <f>IF(A560="","",IF(OR(M560="",N560="",N560=0),"",M560/N560))</f>
        <v>0</v>
      </c>
      <c r="P560" s="32">
        <f>IF(A560="","",COUNTIFS($A$5:A560,A560))</f>
        <v>0</v>
      </c>
      <c r="Q560" s="13">
        <f>IF(A560="","",A560&amp;"|"&amp;P560)</f>
        <v>0</v>
      </c>
      <c r="R560" s="43">
        <f>IF(AND(A560="",C560=""),"",IF(A560="","Add - which product?",IF(C560="","Add - which material?",IF(B560="Not found","Check - no such product ID",IF(D560="Add to Materials","Check - no such material ID",IF(OR(F560="",F560=0),"Add - how much?",IF(L560="","Check - that material has no price","OK")))))))</f>
        <v>0</v>
      </c>
    </row>
    <row r="561" spans="2:18">
      <c r="B561" s="13">
        <f>IF(A561="","",IFERROR(INDEX(Products!$B$5:$B$304,MATCH(A561,Products!$A$5:$A$304,0)),"Not found"))</f>
        <v>0</v>
      </c>
      <c r="D561" s="13">
        <f>IF(C561="","",IFERROR(INDEX(Materials!$B$5:$B$254,MATCH(C561,Materials!$A$5:$A$254,0)),"Add to Materials"))</f>
        <v>0</v>
      </c>
      <c r="E561" s="13">
        <f>IF(C561="","",IFERROR(INDEX(Materials!$H$5:$H$254,MATCH(C561,Materials!$A$5:$A$254,0)),"Add to Materials"))</f>
        <v>0</v>
      </c>
      <c r="J561" s="33">
        <f>IF(C561="","",IF(G561&lt;&gt;"",G561,IFERROR(INDEX(Materials!$W$5:$W$254,MATCH(C561,Materials!$A$5:$A$254,0)),DefaultWaste)))</f>
        <v>0</v>
      </c>
      <c r="K561" s="36">
        <f>IF(C561="","",IF(F561="","",ROUND(F561*(1+J561),4)))</f>
        <v>0</v>
      </c>
      <c r="L561" s="45">
        <f>IF(C561="","",IFERROR(INDEX(Materials!$S$5:$S$254,MATCH(C561,Materials!$A$5:$A$254,0)),""))</f>
        <v>0</v>
      </c>
      <c r="M561" s="45">
        <f>IF(C561="","",IF(OR(K561="",L561=""),"",ROUND(K561*L561,4)))</f>
        <v>0</v>
      </c>
      <c r="N561" s="20">
        <f>IF(A561="","",ROUND(SUMIFS('Material Usage'!$M$5:$M$904,'Material Usage'!$A$5:$A$904,A561),2))</f>
        <v>0</v>
      </c>
      <c r="O561" s="33">
        <f>IF(A561="","",IF(OR(M561="",N561="",N561=0),"",M561/N561))</f>
        <v>0</v>
      </c>
      <c r="P561" s="32">
        <f>IF(A561="","",COUNTIFS($A$5:A561,A561))</f>
        <v>0</v>
      </c>
      <c r="Q561" s="13">
        <f>IF(A561="","",A561&amp;"|"&amp;P561)</f>
        <v>0</v>
      </c>
      <c r="R561" s="43">
        <f>IF(AND(A561="",C561=""),"",IF(A561="","Add - which product?",IF(C561="","Add - which material?",IF(B561="Not found","Check - no such product ID",IF(D561="Add to Materials","Check - no such material ID",IF(OR(F561="",F561=0),"Add - how much?",IF(L561="","Check - that material has no price","OK")))))))</f>
        <v>0</v>
      </c>
    </row>
    <row r="562" spans="2:18">
      <c r="B562" s="13">
        <f>IF(A562="","",IFERROR(INDEX(Products!$B$5:$B$304,MATCH(A562,Products!$A$5:$A$304,0)),"Not found"))</f>
        <v>0</v>
      </c>
      <c r="D562" s="13">
        <f>IF(C562="","",IFERROR(INDEX(Materials!$B$5:$B$254,MATCH(C562,Materials!$A$5:$A$254,0)),"Add to Materials"))</f>
        <v>0</v>
      </c>
      <c r="E562" s="13">
        <f>IF(C562="","",IFERROR(INDEX(Materials!$H$5:$H$254,MATCH(C562,Materials!$A$5:$A$254,0)),"Add to Materials"))</f>
        <v>0</v>
      </c>
      <c r="J562" s="33">
        <f>IF(C562="","",IF(G562&lt;&gt;"",G562,IFERROR(INDEX(Materials!$W$5:$W$254,MATCH(C562,Materials!$A$5:$A$254,0)),DefaultWaste)))</f>
        <v>0</v>
      </c>
      <c r="K562" s="36">
        <f>IF(C562="","",IF(F562="","",ROUND(F562*(1+J562),4)))</f>
        <v>0</v>
      </c>
      <c r="L562" s="45">
        <f>IF(C562="","",IFERROR(INDEX(Materials!$S$5:$S$254,MATCH(C562,Materials!$A$5:$A$254,0)),""))</f>
        <v>0</v>
      </c>
      <c r="M562" s="45">
        <f>IF(C562="","",IF(OR(K562="",L562=""),"",ROUND(K562*L562,4)))</f>
        <v>0</v>
      </c>
      <c r="N562" s="20">
        <f>IF(A562="","",ROUND(SUMIFS('Material Usage'!$M$5:$M$904,'Material Usage'!$A$5:$A$904,A562),2))</f>
        <v>0</v>
      </c>
      <c r="O562" s="33">
        <f>IF(A562="","",IF(OR(M562="",N562="",N562=0),"",M562/N562))</f>
        <v>0</v>
      </c>
      <c r="P562" s="32">
        <f>IF(A562="","",COUNTIFS($A$5:A562,A562))</f>
        <v>0</v>
      </c>
      <c r="Q562" s="13">
        <f>IF(A562="","",A562&amp;"|"&amp;P562)</f>
        <v>0</v>
      </c>
      <c r="R562" s="43">
        <f>IF(AND(A562="",C562=""),"",IF(A562="","Add - which product?",IF(C562="","Add - which material?",IF(B562="Not found","Check - no such product ID",IF(D562="Add to Materials","Check - no such material ID",IF(OR(F562="",F562=0),"Add - how much?",IF(L562="","Check - that material has no price","OK")))))))</f>
        <v>0</v>
      </c>
    </row>
    <row r="563" spans="2:18">
      <c r="B563" s="13">
        <f>IF(A563="","",IFERROR(INDEX(Products!$B$5:$B$304,MATCH(A563,Products!$A$5:$A$304,0)),"Not found"))</f>
        <v>0</v>
      </c>
      <c r="D563" s="13">
        <f>IF(C563="","",IFERROR(INDEX(Materials!$B$5:$B$254,MATCH(C563,Materials!$A$5:$A$254,0)),"Add to Materials"))</f>
        <v>0</v>
      </c>
      <c r="E563" s="13">
        <f>IF(C563="","",IFERROR(INDEX(Materials!$H$5:$H$254,MATCH(C563,Materials!$A$5:$A$254,0)),"Add to Materials"))</f>
        <v>0</v>
      </c>
      <c r="J563" s="33">
        <f>IF(C563="","",IF(G563&lt;&gt;"",G563,IFERROR(INDEX(Materials!$W$5:$W$254,MATCH(C563,Materials!$A$5:$A$254,0)),DefaultWaste)))</f>
        <v>0</v>
      </c>
      <c r="K563" s="36">
        <f>IF(C563="","",IF(F563="","",ROUND(F563*(1+J563),4)))</f>
        <v>0</v>
      </c>
      <c r="L563" s="45">
        <f>IF(C563="","",IFERROR(INDEX(Materials!$S$5:$S$254,MATCH(C563,Materials!$A$5:$A$254,0)),""))</f>
        <v>0</v>
      </c>
      <c r="M563" s="45">
        <f>IF(C563="","",IF(OR(K563="",L563=""),"",ROUND(K563*L563,4)))</f>
        <v>0</v>
      </c>
      <c r="N563" s="20">
        <f>IF(A563="","",ROUND(SUMIFS('Material Usage'!$M$5:$M$904,'Material Usage'!$A$5:$A$904,A563),2))</f>
        <v>0</v>
      </c>
      <c r="O563" s="33">
        <f>IF(A563="","",IF(OR(M563="",N563="",N563=0),"",M563/N563))</f>
        <v>0</v>
      </c>
      <c r="P563" s="32">
        <f>IF(A563="","",COUNTIFS($A$5:A563,A563))</f>
        <v>0</v>
      </c>
      <c r="Q563" s="13">
        <f>IF(A563="","",A563&amp;"|"&amp;P563)</f>
        <v>0</v>
      </c>
      <c r="R563" s="43">
        <f>IF(AND(A563="",C563=""),"",IF(A563="","Add - which product?",IF(C563="","Add - which material?",IF(B563="Not found","Check - no such product ID",IF(D563="Add to Materials","Check - no such material ID",IF(OR(F563="",F563=0),"Add - how much?",IF(L563="","Check - that material has no price","OK")))))))</f>
        <v>0</v>
      </c>
    </row>
    <row r="564" spans="2:18">
      <c r="B564" s="13">
        <f>IF(A564="","",IFERROR(INDEX(Products!$B$5:$B$304,MATCH(A564,Products!$A$5:$A$304,0)),"Not found"))</f>
        <v>0</v>
      </c>
      <c r="D564" s="13">
        <f>IF(C564="","",IFERROR(INDEX(Materials!$B$5:$B$254,MATCH(C564,Materials!$A$5:$A$254,0)),"Add to Materials"))</f>
        <v>0</v>
      </c>
      <c r="E564" s="13">
        <f>IF(C564="","",IFERROR(INDEX(Materials!$H$5:$H$254,MATCH(C564,Materials!$A$5:$A$254,0)),"Add to Materials"))</f>
        <v>0</v>
      </c>
      <c r="J564" s="33">
        <f>IF(C564="","",IF(G564&lt;&gt;"",G564,IFERROR(INDEX(Materials!$W$5:$W$254,MATCH(C564,Materials!$A$5:$A$254,0)),DefaultWaste)))</f>
        <v>0</v>
      </c>
      <c r="K564" s="36">
        <f>IF(C564="","",IF(F564="","",ROUND(F564*(1+J564),4)))</f>
        <v>0</v>
      </c>
      <c r="L564" s="45">
        <f>IF(C564="","",IFERROR(INDEX(Materials!$S$5:$S$254,MATCH(C564,Materials!$A$5:$A$254,0)),""))</f>
        <v>0</v>
      </c>
      <c r="M564" s="45">
        <f>IF(C564="","",IF(OR(K564="",L564=""),"",ROUND(K564*L564,4)))</f>
        <v>0</v>
      </c>
      <c r="N564" s="20">
        <f>IF(A564="","",ROUND(SUMIFS('Material Usage'!$M$5:$M$904,'Material Usage'!$A$5:$A$904,A564),2))</f>
        <v>0</v>
      </c>
      <c r="O564" s="33">
        <f>IF(A564="","",IF(OR(M564="",N564="",N564=0),"",M564/N564))</f>
        <v>0</v>
      </c>
      <c r="P564" s="32">
        <f>IF(A564="","",COUNTIFS($A$5:A564,A564))</f>
        <v>0</v>
      </c>
      <c r="Q564" s="13">
        <f>IF(A564="","",A564&amp;"|"&amp;P564)</f>
        <v>0</v>
      </c>
      <c r="R564" s="43">
        <f>IF(AND(A564="",C564=""),"",IF(A564="","Add - which product?",IF(C564="","Add - which material?",IF(B564="Not found","Check - no such product ID",IF(D564="Add to Materials","Check - no such material ID",IF(OR(F564="",F564=0),"Add - how much?",IF(L564="","Check - that material has no price","OK")))))))</f>
        <v>0</v>
      </c>
    </row>
    <row r="565" spans="2:18">
      <c r="B565" s="13">
        <f>IF(A565="","",IFERROR(INDEX(Products!$B$5:$B$304,MATCH(A565,Products!$A$5:$A$304,0)),"Not found"))</f>
        <v>0</v>
      </c>
      <c r="D565" s="13">
        <f>IF(C565="","",IFERROR(INDEX(Materials!$B$5:$B$254,MATCH(C565,Materials!$A$5:$A$254,0)),"Add to Materials"))</f>
        <v>0</v>
      </c>
      <c r="E565" s="13">
        <f>IF(C565="","",IFERROR(INDEX(Materials!$H$5:$H$254,MATCH(C565,Materials!$A$5:$A$254,0)),"Add to Materials"))</f>
        <v>0</v>
      </c>
      <c r="J565" s="33">
        <f>IF(C565="","",IF(G565&lt;&gt;"",G565,IFERROR(INDEX(Materials!$W$5:$W$254,MATCH(C565,Materials!$A$5:$A$254,0)),DefaultWaste)))</f>
        <v>0</v>
      </c>
      <c r="K565" s="36">
        <f>IF(C565="","",IF(F565="","",ROUND(F565*(1+J565),4)))</f>
        <v>0</v>
      </c>
      <c r="L565" s="45">
        <f>IF(C565="","",IFERROR(INDEX(Materials!$S$5:$S$254,MATCH(C565,Materials!$A$5:$A$254,0)),""))</f>
        <v>0</v>
      </c>
      <c r="M565" s="45">
        <f>IF(C565="","",IF(OR(K565="",L565=""),"",ROUND(K565*L565,4)))</f>
        <v>0</v>
      </c>
      <c r="N565" s="20">
        <f>IF(A565="","",ROUND(SUMIFS('Material Usage'!$M$5:$M$904,'Material Usage'!$A$5:$A$904,A565),2))</f>
        <v>0</v>
      </c>
      <c r="O565" s="33">
        <f>IF(A565="","",IF(OR(M565="",N565="",N565=0),"",M565/N565))</f>
        <v>0</v>
      </c>
      <c r="P565" s="32">
        <f>IF(A565="","",COUNTIFS($A$5:A565,A565))</f>
        <v>0</v>
      </c>
      <c r="Q565" s="13">
        <f>IF(A565="","",A565&amp;"|"&amp;P565)</f>
        <v>0</v>
      </c>
      <c r="R565" s="43">
        <f>IF(AND(A565="",C565=""),"",IF(A565="","Add - which product?",IF(C565="","Add - which material?",IF(B565="Not found","Check - no such product ID",IF(D565="Add to Materials","Check - no such material ID",IF(OR(F565="",F565=0),"Add - how much?",IF(L565="","Check - that material has no price","OK")))))))</f>
        <v>0</v>
      </c>
    </row>
    <row r="566" spans="2:18">
      <c r="B566" s="13">
        <f>IF(A566="","",IFERROR(INDEX(Products!$B$5:$B$304,MATCH(A566,Products!$A$5:$A$304,0)),"Not found"))</f>
        <v>0</v>
      </c>
      <c r="D566" s="13">
        <f>IF(C566="","",IFERROR(INDEX(Materials!$B$5:$B$254,MATCH(C566,Materials!$A$5:$A$254,0)),"Add to Materials"))</f>
        <v>0</v>
      </c>
      <c r="E566" s="13">
        <f>IF(C566="","",IFERROR(INDEX(Materials!$H$5:$H$254,MATCH(C566,Materials!$A$5:$A$254,0)),"Add to Materials"))</f>
        <v>0</v>
      </c>
      <c r="J566" s="33">
        <f>IF(C566="","",IF(G566&lt;&gt;"",G566,IFERROR(INDEX(Materials!$W$5:$W$254,MATCH(C566,Materials!$A$5:$A$254,0)),DefaultWaste)))</f>
        <v>0</v>
      </c>
      <c r="K566" s="36">
        <f>IF(C566="","",IF(F566="","",ROUND(F566*(1+J566),4)))</f>
        <v>0</v>
      </c>
      <c r="L566" s="45">
        <f>IF(C566="","",IFERROR(INDEX(Materials!$S$5:$S$254,MATCH(C566,Materials!$A$5:$A$254,0)),""))</f>
        <v>0</v>
      </c>
      <c r="M566" s="45">
        <f>IF(C566="","",IF(OR(K566="",L566=""),"",ROUND(K566*L566,4)))</f>
        <v>0</v>
      </c>
      <c r="N566" s="20">
        <f>IF(A566="","",ROUND(SUMIFS('Material Usage'!$M$5:$M$904,'Material Usage'!$A$5:$A$904,A566),2))</f>
        <v>0</v>
      </c>
      <c r="O566" s="33">
        <f>IF(A566="","",IF(OR(M566="",N566="",N566=0),"",M566/N566))</f>
        <v>0</v>
      </c>
      <c r="P566" s="32">
        <f>IF(A566="","",COUNTIFS($A$5:A566,A566))</f>
        <v>0</v>
      </c>
      <c r="Q566" s="13">
        <f>IF(A566="","",A566&amp;"|"&amp;P566)</f>
        <v>0</v>
      </c>
      <c r="R566" s="43">
        <f>IF(AND(A566="",C566=""),"",IF(A566="","Add - which product?",IF(C566="","Add - which material?",IF(B566="Not found","Check - no such product ID",IF(D566="Add to Materials","Check - no such material ID",IF(OR(F566="",F566=0),"Add - how much?",IF(L566="","Check - that material has no price","OK")))))))</f>
        <v>0</v>
      </c>
    </row>
    <row r="567" spans="2:18">
      <c r="B567" s="13">
        <f>IF(A567="","",IFERROR(INDEX(Products!$B$5:$B$304,MATCH(A567,Products!$A$5:$A$304,0)),"Not found"))</f>
        <v>0</v>
      </c>
      <c r="D567" s="13">
        <f>IF(C567="","",IFERROR(INDEX(Materials!$B$5:$B$254,MATCH(C567,Materials!$A$5:$A$254,0)),"Add to Materials"))</f>
        <v>0</v>
      </c>
      <c r="E567" s="13">
        <f>IF(C567="","",IFERROR(INDEX(Materials!$H$5:$H$254,MATCH(C567,Materials!$A$5:$A$254,0)),"Add to Materials"))</f>
        <v>0</v>
      </c>
      <c r="J567" s="33">
        <f>IF(C567="","",IF(G567&lt;&gt;"",G567,IFERROR(INDEX(Materials!$W$5:$W$254,MATCH(C567,Materials!$A$5:$A$254,0)),DefaultWaste)))</f>
        <v>0</v>
      </c>
      <c r="K567" s="36">
        <f>IF(C567="","",IF(F567="","",ROUND(F567*(1+J567),4)))</f>
        <v>0</v>
      </c>
      <c r="L567" s="45">
        <f>IF(C567="","",IFERROR(INDEX(Materials!$S$5:$S$254,MATCH(C567,Materials!$A$5:$A$254,0)),""))</f>
        <v>0</v>
      </c>
      <c r="M567" s="45">
        <f>IF(C567="","",IF(OR(K567="",L567=""),"",ROUND(K567*L567,4)))</f>
        <v>0</v>
      </c>
      <c r="N567" s="20">
        <f>IF(A567="","",ROUND(SUMIFS('Material Usage'!$M$5:$M$904,'Material Usage'!$A$5:$A$904,A567),2))</f>
        <v>0</v>
      </c>
      <c r="O567" s="33">
        <f>IF(A567="","",IF(OR(M567="",N567="",N567=0),"",M567/N567))</f>
        <v>0</v>
      </c>
      <c r="P567" s="32">
        <f>IF(A567="","",COUNTIFS($A$5:A567,A567))</f>
        <v>0</v>
      </c>
      <c r="Q567" s="13">
        <f>IF(A567="","",A567&amp;"|"&amp;P567)</f>
        <v>0</v>
      </c>
      <c r="R567" s="43">
        <f>IF(AND(A567="",C567=""),"",IF(A567="","Add - which product?",IF(C567="","Add - which material?",IF(B567="Not found","Check - no such product ID",IF(D567="Add to Materials","Check - no such material ID",IF(OR(F567="",F567=0),"Add - how much?",IF(L567="","Check - that material has no price","OK")))))))</f>
        <v>0</v>
      </c>
    </row>
    <row r="568" spans="2:18">
      <c r="B568" s="13">
        <f>IF(A568="","",IFERROR(INDEX(Products!$B$5:$B$304,MATCH(A568,Products!$A$5:$A$304,0)),"Not found"))</f>
        <v>0</v>
      </c>
      <c r="D568" s="13">
        <f>IF(C568="","",IFERROR(INDEX(Materials!$B$5:$B$254,MATCH(C568,Materials!$A$5:$A$254,0)),"Add to Materials"))</f>
        <v>0</v>
      </c>
      <c r="E568" s="13">
        <f>IF(C568="","",IFERROR(INDEX(Materials!$H$5:$H$254,MATCH(C568,Materials!$A$5:$A$254,0)),"Add to Materials"))</f>
        <v>0</v>
      </c>
      <c r="J568" s="33">
        <f>IF(C568="","",IF(G568&lt;&gt;"",G568,IFERROR(INDEX(Materials!$W$5:$W$254,MATCH(C568,Materials!$A$5:$A$254,0)),DefaultWaste)))</f>
        <v>0</v>
      </c>
      <c r="K568" s="36">
        <f>IF(C568="","",IF(F568="","",ROUND(F568*(1+J568),4)))</f>
        <v>0</v>
      </c>
      <c r="L568" s="45">
        <f>IF(C568="","",IFERROR(INDEX(Materials!$S$5:$S$254,MATCH(C568,Materials!$A$5:$A$254,0)),""))</f>
        <v>0</v>
      </c>
      <c r="M568" s="45">
        <f>IF(C568="","",IF(OR(K568="",L568=""),"",ROUND(K568*L568,4)))</f>
        <v>0</v>
      </c>
      <c r="N568" s="20">
        <f>IF(A568="","",ROUND(SUMIFS('Material Usage'!$M$5:$M$904,'Material Usage'!$A$5:$A$904,A568),2))</f>
        <v>0</v>
      </c>
      <c r="O568" s="33">
        <f>IF(A568="","",IF(OR(M568="",N568="",N568=0),"",M568/N568))</f>
        <v>0</v>
      </c>
      <c r="P568" s="32">
        <f>IF(A568="","",COUNTIFS($A$5:A568,A568))</f>
        <v>0</v>
      </c>
      <c r="Q568" s="13">
        <f>IF(A568="","",A568&amp;"|"&amp;P568)</f>
        <v>0</v>
      </c>
      <c r="R568" s="43">
        <f>IF(AND(A568="",C568=""),"",IF(A568="","Add - which product?",IF(C568="","Add - which material?",IF(B568="Not found","Check - no such product ID",IF(D568="Add to Materials","Check - no such material ID",IF(OR(F568="",F568=0),"Add - how much?",IF(L568="","Check - that material has no price","OK")))))))</f>
        <v>0</v>
      </c>
    </row>
    <row r="569" spans="2:18">
      <c r="B569" s="13">
        <f>IF(A569="","",IFERROR(INDEX(Products!$B$5:$B$304,MATCH(A569,Products!$A$5:$A$304,0)),"Not found"))</f>
        <v>0</v>
      </c>
      <c r="D569" s="13">
        <f>IF(C569="","",IFERROR(INDEX(Materials!$B$5:$B$254,MATCH(C569,Materials!$A$5:$A$254,0)),"Add to Materials"))</f>
        <v>0</v>
      </c>
      <c r="E569" s="13">
        <f>IF(C569="","",IFERROR(INDEX(Materials!$H$5:$H$254,MATCH(C569,Materials!$A$5:$A$254,0)),"Add to Materials"))</f>
        <v>0</v>
      </c>
      <c r="J569" s="33">
        <f>IF(C569="","",IF(G569&lt;&gt;"",G569,IFERROR(INDEX(Materials!$W$5:$W$254,MATCH(C569,Materials!$A$5:$A$254,0)),DefaultWaste)))</f>
        <v>0</v>
      </c>
      <c r="K569" s="36">
        <f>IF(C569="","",IF(F569="","",ROUND(F569*(1+J569),4)))</f>
        <v>0</v>
      </c>
      <c r="L569" s="45">
        <f>IF(C569="","",IFERROR(INDEX(Materials!$S$5:$S$254,MATCH(C569,Materials!$A$5:$A$254,0)),""))</f>
        <v>0</v>
      </c>
      <c r="M569" s="45">
        <f>IF(C569="","",IF(OR(K569="",L569=""),"",ROUND(K569*L569,4)))</f>
        <v>0</v>
      </c>
      <c r="N569" s="20">
        <f>IF(A569="","",ROUND(SUMIFS('Material Usage'!$M$5:$M$904,'Material Usage'!$A$5:$A$904,A569),2))</f>
        <v>0</v>
      </c>
      <c r="O569" s="33">
        <f>IF(A569="","",IF(OR(M569="",N569="",N569=0),"",M569/N569))</f>
        <v>0</v>
      </c>
      <c r="P569" s="32">
        <f>IF(A569="","",COUNTIFS($A$5:A569,A569))</f>
        <v>0</v>
      </c>
      <c r="Q569" s="13">
        <f>IF(A569="","",A569&amp;"|"&amp;P569)</f>
        <v>0</v>
      </c>
      <c r="R569" s="43">
        <f>IF(AND(A569="",C569=""),"",IF(A569="","Add - which product?",IF(C569="","Add - which material?",IF(B569="Not found","Check - no such product ID",IF(D569="Add to Materials","Check - no such material ID",IF(OR(F569="",F569=0),"Add - how much?",IF(L569="","Check - that material has no price","OK")))))))</f>
        <v>0</v>
      </c>
    </row>
    <row r="570" spans="2:18">
      <c r="B570" s="13">
        <f>IF(A570="","",IFERROR(INDEX(Products!$B$5:$B$304,MATCH(A570,Products!$A$5:$A$304,0)),"Not found"))</f>
        <v>0</v>
      </c>
      <c r="D570" s="13">
        <f>IF(C570="","",IFERROR(INDEX(Materials!$B$5:$B$254,MATCH(C570,Materials!$A$5:$A$254,0)),"Add to Materials"))</f>
        <v>0</v>
      </c>
      <c r="E570" s="13">
        <f>IF(C570="","",IFERROR(INDEX(Materials!$H$5:$H$254,MATCH(C570,Materials!$A$5:$A$254,0)),"Add to Materials"))</f>
        <v>0</v>
      </c>
      <c r="J570" s="33">
        <f>IF(C570="","",IF(G570&lt;&gt;"",G570,IFERROR(INDEX(Materials!$W$5:$W$254,MATCH(C570,Materials!$A$5:$A$254,0)),DefaultWaste)))</f>
        <v>0</v>
      </c>
      <c r="K570" s="36">
        <f>IF(C570="","",IF(F570="","",ROUND(F570*(1+J570),4)))</f>
        <v>0</v>
      </c>
      <c r="L570" s="45">
        <f>IF(C570="","",IFERROR(INDEX(Materials!$S$5:$S$254,MATCH(C570,Materials!$A$5:$A$254,0)),""))</f>
        <v>0</v>
      </c>
      <c r="M570" s="45">
        <f>IF(C570="","",IF(OR(K570="",L570=""),"",ROUND(K570*L570,4)))</f>
        <v>0</v>
      </c>
      <c r="N570" s="20">
        <f>IF(A570="","",ROUND(SUMIFS('Material Usage'!$M$5:$M$904,'Material Usage'!$A$5:$A$904,A570),2))</f>
        <v>0</v>
      </c>
      <c r="O570" s="33">
        <f>IF(A570="","",IF(OR(M570="",N570="",N570=0),"",M570/N570))</f>
        <v>0</v>
      </c>
      <c r="P570" s="32">
        <f>IF(A570="","",COUNTIFS($A$5:A570,A570))</f>
        <v>0</v>
      </c>
      <c r="Q570" s="13">
        <f>IF(A570="","",A570&amp;"|"&amp;P570)</f>
        <v>0</v>
      </c>
      <c r="R570" s="43">
        <f>IF(AND(A570="",C570=""),"",IF(A570="","Add - which product?",IF(C570="","Add - which material?",IF(B570="Not found","Check - no such product ID",IF(D570="Add to Materials","Check - no such material ID",IF(OR(F570="",F570=0),"Add - how much?",IF(L570="","Check - that material has no price","OK")))))))</f>
        <v>0</v>
      </c>
    </row>
    <row r="571" spans="2:18">
      <c r="B571" s="13">
        <f>IF(A571="","",IFERROR(INDEX(Products!$B$5:$B$304,MATCH(A571,Products!$A$5:$A$304,0)),"Not found"))</f>
        <v>0</v>
      </c>
      <c r="D571" s="13">
        <f>IF(C571="","",IFERROR(INDEX(Materials!$B$5:$B$254,MATCH(C571,Materials!$A$5:$A$254,0)),"Add to Materials"))</f>
        <v>0</v>
      </c>
      <c r="E571" s="13">
        <f>IF(C571="","",IFERROR(INDEX(Materials!$H$5:$H$254,MATCH(C571,Materials!$A$5:$A$254,0)),"Add to Materials"))</f>
        <v>0</v>
      </c>
      <c r="J571" s="33">
        <f>IF(C571="","",IF(G571&lt;&gt;"",G571,IFERROR(INDEX(Materials!$W$5:$W$254,MATCH(C571,Materials!$A$5:$A$254,0)),DefaultWaste)))</f>
        <v>0</v>
      </c>
      <c r="K571" s="36">
        <f>IF(C571="","",IF(F571="","",ROUND(F571*(1+J571),4)))</f>
        <v>0</v>
      </c>
      <c r="L571" s="45">
        <f>IF(C571="","",IFERROR(INDEX(Materials!$S$5:$S$254,MATCH(C571,Materials!$A$5:$A$254,0)),""))</f>
        <v>0</v>
      </c>
      <c r="M571" s="45">
        <f>IF(C571="","",IF(OR(K571="",L571=""),"",ROUND(K571*L571,4)))</f>
        <v>0</v>
      </c>
      <c r="N571" s="20">
        <f>IF(A571="","",ROUND(SUMIFS('Material Usage'!$M$5:$M$904,'Material Usage'!$A$5:$A$904,A571),2))</f>
        <v>0</v>
      </c>
      <c r="O571" s="33">
        <f>IF(A571="","",IF(OR(M571="",N571="",N571=0),"",M571/N571))</f>
        <v>0</v>
      </c>
      <c r="P571" s="32">
        <f>IF(A571="","",COUNTIFS($A$5:A571,A571))</f>
        <v>0</v>
      </c>
      <c r="Q571" s="13">
        <f>IF(A571="","",A571&amp;"|"&amp;P571)</f>
        <v>0</v>
      </c>
      <c r="R571" s="43">
        <f>IF(AND(A571="",C571=""),"",IF(A571="","Add - which product?",IF(C571="","Add - which material?",IF(B571="Not found","Check - no such product ID",IF(D571="Add to Materials","Check - no such material ID",IF(OR(F571="",F571=0),"Add - how much?",IF(L571="","Check - that material has no price","OK")))))))</f>
        <v>0</v>
      </c>
    </row>
    <row r="572" spans="2:18">
      <c r="B572" s="13">
        <f>IF(A572="","",IFERROR(INDEX(Products!$B$5:$B$304,MATCH(A572,Products!$A$5:$A$304,0)),"Not found"))</f>
        <v>0</v>
      </c>
      <c r="D572" s="13">
        <f>IF(C572="","",IFERROR(INDEX(Materials!$B$5:$B$254,MATCH(C572,Materials!$A$5:$A$254,0)),"Add to Materials"))</f>
        <v>0</v>
      </c>
      <c r="E572" s="13">
        <f>IF(C572="","",IFERROR(INDEX(Materials!$H$5:$H$254,MATCH(C572,Materials!$A$5:$A$254,0)),"Add to Materials"))</f>
        <v>0</v>
      </c>
      <c r="J572" s="33">
        <f>IF(C572="","",IF(G572&lt;&gt;"",G572,IFERROR(INDEX(Materials!$W$5:$W$254,MATCH(C572,Materials!$A$5:$A$254,0)),DefaultWaste)))</f>
        <v>0</v>
      </c>
      <c r="K572" s="36">
        <f>IF(C572="","",IF(F572="","",ROUND(F572*(1+J572),4)))</f>
        <v>0</v>
      </c>
      <c r="L572" s="45">
        <f>IF(C572="","",IFERROR(INDEX(Materials!$S$5:$S$254,MATCH(C572,Materials!$A$5:$A$254,0)),""))</f>
        <v>0</v>
      </c>
      <c r="M572" s="45">
        <f>IF(C572="","",IF(OR(K572="",L572=""),"",ROUND(K572*L572,4)))</f>
        <v>0</v>
      </c>
      <c r="N572" s="20">
        <f>IF(A572="","",ROUND(SUMIFS('Material Usage'!$M$5:$M$904,'Material Usage'!$A$5:$A$904,A572),2))</f>
        <v>0</v>
      </c>
      <c r="O572" s="33">
        <f>IF(A572="","",IF(OR(M572="",N572="",N572=0),"",M572/N572))</f>
        <v>0</v>
      </c>
      <c r="P572" s="32">
        <f>IF(A572="","",COUNTIFS($A$5:A572,A572))</f>
        <v>0</v>
      </c>
      <c r="Q572" s="13">
        <f>IF(A572="","",A572&amp;"|"&amp;P572)</f>
        <v>0</v>
      </c>
      <c r="R572" s="43">
        <f>IF(AND(A572="",C572=""),"",IF(A572="","Add - which product?",IF(C572="","Add - which material?",IF(B572="Not found","Check - no such product ID",IF(D572="Add to Materials","Check - no such material ID",IF(OR(F572="",F572=0),"Add - how much?",IF(L572="","Check - that material has no price","OK")))))))</f>
        <v>0</v>
      </c>
    </row>
    <row r="573" spans="2:18">
      <c r="B573" s="13">
        <f>IF(A573="","",IFERROR(INDEX(Products!$B$5:$B$304,MATCH(A573,Products!$A$5:$A$304,0)),"Not found"))</f>
        <v>0</v>
      </c>
      <c r="D573" s="13">
        <f>IF(C573="","",IFERROR(INDEX(Materials!$B$5:$B$254,MATCH(C573,Materials!$A$5:$A$254,0)),"Add to Materials"))</f>
        <v>0</v>
      </c>
      <c r="E573" s="13">
        <f>IF(C573="","",IFERROR(INDEX(Materials!$H$5:$H$254,MATCH(C573,Materials!$A$5:$A$254,0)),"Add to Materials"))</f>
        <v>0</v>
      </c>
      <c r="J573" s="33">
        <f>IF(C573="","",IF(G573&lt;&gt;"",G573,IFERROR(INDEX(Materials!$W$5:$W$254,MATCH(C573,Materials!$A$5:$A$254,0)),DefaultWaste)))</f>
        <v>0</v>
      </c>
      <c r="K573" s="36">
        <f>IF(C573="","",IF(F573="","",ROUND(F573*(1+J573),4)))</f>
        <v>0</v>
      </c>
      <c r="L573" s="45">
        <f>IF(C573="","",IFERROR(INDEX(Materials!$S$5:$S$254,MATCH(C573,Materials!$A$5:$A$254,0)),""))</f>
        <v>0</v>
      </c>
      <c r="M573" s="45">
        <f>IF(C573="","",IF(OR(K573="",L573=""),"",ROUND(K573*L573,4)))</f>
        <v>0</v>
      </c>
      <c r="N573" s="20">
        <f>IF(A573="","",ROUND(SUMIFS('Material Usage'!$M$5:$M$904,'Material Usage'!$A$5:$A$904,A573),2))</f>
        <v>0</v>
      </c>
      <c r="O573" s="33">
        <f>IF(A573="","",IF(OR(M573="",N573="",N573=0),"",M573/N573))</f>
        <v>0</v>
      </c>
      <c r="P573" s="32">
        <f>IF(A573="","",COUNTIFS($A$5:A573,A573))</f>
        <v>0</v>
      </c>
      <c r="Q573" s="13">
        <f>IF(A573="","",A573&amp;"|"&amp;P573)</f>
        <v>0</v>
      </c>
      <c r="R573" s="43">
        <f>IF(AND(A573="",C573=""),"",IF(A573="","Add - which product?",IF(C573="","Add - which material?",IF(B573="Not found","Check - no such product ID",IF(D573="Add to Materials","Check - no such material ID",IF(OR(F573="",F573=0),"Add - how much?",IF(L573="","Check - that material has no price","OK")))))))</f>
        <v>0</v>
      </c>
    </row>
    <row r="574" spans="2:18">
      <c r="B574" s="13">
        <f>IF(A574="","",IFERROR(INDEX(Products!$B$5:$B$304,MATCH(A574,Products!$A$5:$A$304,0)),"Not found"))</f>
        <v>0</v>
      </c>
      <c r="D574" s="13">
        <f>IF(C574="","",IFERROR(INDEX(Materials!$B$5:$B$254,MATCH(C574,Materials!$A$5:$A$254,0)),"Add to Materials"))</f>
        <v>0</v>
      </c>
      <c r="E574" s="13">
        <f>IF(C574="","",IFERROR(INDEX(Materials!$H$5:$H$254,MATCH(C574,Materials!$A$5:$A$254,0)),"Add to Materials"))</f>
        <v>0</v>
      </c>
      <c r="J574" s="33">
        <f>IF(C574="","",IF(G574&lt;&gt;"",G574,IFERROR(INDEX(Materials!$W$5:$W$254,MATCH(C574,Materials!$A$5:$A$254,0)),DefaultWaste)))</f>
        <v>0</v>
      </c>
      <c r="K574" s="36">
        <f>IF(C574="","",IF(F574="","",ROUND(F574*(1+J574),4)))</f>
        <v>0</v>
      </c>
      <c r="L574" s="45">
        <f>IF(C574="","",IFERROR(INDEX(Materials!$S$5:$S$254,MATCH(C574,Materials!$A$5:$A$254,0)),""))</f>
        <v>0</v>
      </c>
      <c r="M574" s="45">
        <f>IF(C574="","",IF(OR(K574="",L574=""),"",ROUND(K574*L574,4)))</f>
        <v>0</v>
      </c>
      <c r="N574" s="20">
        <f>IF(A574="","",ROUND(SUMIFS('Material Usage'!$M$5:$M$904,'Material Usage'!$A$5:$A$904,A574),2))</f>
        <v>0</v>
      </c>
      <c r="O574" s="33">
        <f>IF(A574="","",IF(OR(M574="",N574="",N574=0),"",M574/N574))</f>
        <v>0</v>
      </c>
      <c r="P574" s="32">
        <f>IF(A574="","",COUNTIFS($A$5:A574,A574))</f>
        <v>0</v>
      </c>
      <c r="Q574" s="13">
        <f>IF(A574="","",A574&amp;"|"&amp;P574)</f>
        <v>0</v>
      </c>
      <c r="R574" s="43">
        <f>IF(AND(A574="",C574=""),"",IF(A574="","Add - which product?",IF(C574="","Add - which material?",IF(B574="Not found","Check - no such product ID",IF(D574="Add to Materials","Check - no such material ID",IF(OR(F574="",F574=0),"Add - how much?",IF(L574="","Check - that material has no price","OK")))))))</f>
        <v>0</v>
      </c>
    </row>
    <row r="575" spans="2:18">
      <c r="B575" s="13">
        <f>IF(A575="","",IFERROR(INDEX(Products!$B$5:$B$304,MATCH(A575,Products!$A$5:$A$304,0)),"Not found"))</f>
        <v>0</v>
      </c>
      <c r="D575" s="13">
        <f>IF(C575="","",IFERROR(INDEX(Materials!$B$5:$B$254,MATCH(C575,Materials!$A$5:$A$254,0)),"Add to Materials"))</f>
        <v>0</v>
      </c>
      <c r="E575" s="13">
        <f>IF(C575="","",IFERROR(INDEX(Materials!$H$5:$H$254,MATCH(C575,Materials!$A$5:$A$254,0)),"Add to Materials"))</f>
        <v>0</v>
      </c>
      <c r="J575" s="33">
        <f>IF(C575="","",IF(G575&lt;&gt;"",G575,IFERROR(INDEX(Materials!$W$5:$W$254,MATCH(C575,Materials!$A$5:$A$254,0)),DefaultWaste)))</f>
        <v>0</v>
      </c>
      <c r="K575" s="36">
        <f>IF(C575="","",IF(F575="","",ROUND(F575*(1+J575),4)))</f>
        <v>0</v>
      </c>
      <c r="L575" s="45">
        <f>IF(C575="","",IFERROR(INDEX(Materials!$S$5:$S$254,MATCH(C575,Materials!$A$5:$A$254,0)),""))</f>
        <v>0</v>
      </c>
      <c r="M575" s="45">
        <f>IF(C575="","",IF(OR(K575="",L575=""),"",ROUND(K575*L575,4)))</f>
        <v>0</v>
      </c>
      <c r="N575" s="20">
        <f>IF(A575="","",ROUND(SUMIFS('Material Usage'!$M$5:$M$904,'Material Usage'!$A$5:$A$904,A575),2))</f>
        <v>0</v>
      </c>
      <c r="O575" s="33">
        <f>IF(A575="","",IF(OR(M575="",N575="",N575=0),"",M575/N575))</f>
        <v>0</v>
      </c>
      <c r="P575" s="32">
        <f>IF(A575="","",COUNTIFS($A$5:A575,A575))</f>
        <v>0</v>
      </c>
      <c r="Q575" s="13">
        <f>IF(A575="","",A575&amp;"|"&amp;P575)</f>
        <v>0</v>
      </c>
      <c r="R575" s="43">
        <f>IF(AND(A575="",C575=""),"",IF(A575="","Add - which product?",IF(C575="","Add - which material?",IF(B575="Not found","Check - no such product ID",IF(D575="Add to Materials","Check - no such material ID",IF(OR(F575="",F575=0),"Add - how much?",IF(L575="","Check - that material has no price","OK")))))))</f>
        <v>0</v>
      </c>
    </row>
    <row r="576" spans="2:18">
      <c r="B576" s="13">
        <f>IF(A576="","",IFERROR(INDEX(Products!$B$5:$B$304,MATCH(A576,Products!$A$5:$A$304,0)),"Not found"))</f>
        <v>0</v>
      </c>
      <c r="D576" s="13">
        <f>IF(C576="","",IFERROR(INDEX(Materials!$B$5:$B$254,MATCH(C576,Materials!$A$5:$A$254,0)),"Add to Materials"))</f>
        <v>0</v>
      </c>
      <c r="E576" s="13">
        <f>IF(C576="","",IFERROR(INDEX(Materials!$H$5:$H$254,MATCH(C576,Materials!$A$5:$A$254,0)),"Add to Materials"))</f>
        <v>0</v>
      </c>
      <c r="J576" s="33">
        <f>IF(C576="","",IF(G576&lt;&gt;"",G576,IFERROR(INDEX(Materials!$W$5:$W$254,MATCH(C576,Materials!$A$5:$A$254,0)),DefaultWaste)))</f>
        <v>0</v>
      </c>
      <c r="K576" s="36">
        <f>IF(C576="","",IF(F576="","",ROUND(F576*(1+J576),4)))</f>
        <v>0</v>
      </c>
      <c r="L576" s="45">
        <f>IF(C576="","",IFERROR(INDEX(Materials!$S$5:$S$254,MATCH(C576,Materials!$A$5:$A$254,0)),""))</f>
        <v>0</v>
      </c>
      <c r="M576" s="45">
        <f>IF(C576="","",IF(OR(K576="",L576=""),"",ROUND(K576*L576,4)))</f>
        <v>0</v>
      </c>
      <c r="N576" s="20">
        <f>IF(A576="","",ROUND(SUMIFS('Material Usage'!$M$5:$M$904,'Material Usage'!$A$5:$A$904,A576),2))</f>
        <v>0</v>
      </c>
      <c r="O576" s="33">
        <f>IF(A576="","",IF(OR(M576="",N576="",N576=0),"",M576/N576))</f>
        <v>0</v>
      </c>
      <c r="P576" s="32">
        <f>IF(A576="","",COUNTIFS($A$5:A576,A576))</f>
        <v>0</v>
      </c>
      <c r="Q576" s="13">
        <f>IF(A576="","",A576&amp;"|"&amp;P576)</f>
        <v>0</v>
      </c>
      <c r="R576" s="43">
        <f>IF(AND(A576="",C576=""),"",IF(A576="","Add - which product?",IF(C576="","Add - which material?",IF(B576="Not found","Check - no such product ID",IF(D576="Add to Materials","Check - no such material ID",IF(OR(F576="",F576=0),"Add - how much?",IF(L576="","Check - that material has no price","OK")))))))</f>
        <v>0</v>
      </c>
    </row>
    <row r="577" spans="2:18">
      <c r="B577" s="13">
        <f>IF(A577="","",IFERROR(INDEX(Products!$B$5:$B$304,MATCH(A577,Products!$A$5:$A$304,0)),"Not found"))</f>
        <v>0</v>
      </c>
      <c r="D577" s="13">
        <f>IF(C577="","",IFERROR(INDEX(Materials!$B$5:$B$254,MATCH(C577,Materials!$A$5:$A$254,0)),"Add to Materials"))</f>
        <v>0</v>
      </c>
      <c r="E577" s="13">
        <f>IF(C577="","",IFERROR(INDEX(Materials!$H$5:$H$254,MATCH(C577,Materials!$A$5:$A$254,0)),"Add to Materials"))</f>
        <v>0</v>
      </c>
      <c r="J577" s="33">
        <f>IF(C577="","",IF(G577&lt;&gt;"",G577,IFERROR(INDEX(Materials!$W$5:$W$254,MATCH(C577,Materials!$A$5:$A$254,0)),DefaultWaste)))</f>
        <v>0</v>
      </c>
      <c r="K577" s="36">
        <f>IF(C577="","",IF(F577="","",ROUND(F577*(1+J577),4)))</f>
        <v>0</v>
      </c>
      <c r="L577" s="45">
        <f>IF(C577="","",IFERROR(INDEX(Materials!$S$5:$S$254,MATCH(C577,Materials!$A$5:$A$254,0)),""))</f>
        <v>0</v>
      </c>
      <c r="M577" s="45">
        <f>IF(C577="","",IF(OR(K577="",L577=""),"",ROUND(K577*L577,4)))</f>
        <v>0</v>
      </c>
      <c r="N577" s="20">
        <f>IF(A577="","",ROUND(SUMIFS('Material Usage'!$M$5:$M$904,'Material Usage'!$A$5:$A$904,A577),2))</f>
        <v>0</v>
      </c>
      <c r="O577" s="33">
        <f>IF(A577="","",IF(OR(M577="",N577="",N577=0),"",M577/N577))</f>
        <v>0</v>
      </c>
      <c r="P577" s="32">
        <f>IF(A577="","",COUNTIFS($A$5:A577,A577))</f>
        <v>0</v>
      </c>
      <c r="Q577" s="13">
        <f>IF(A577="","",A577&amp;"|"&amp;P577)</f>
        <v>0</v>
      </c>
      <c r="R577" s="43">
        <f>IF(AND(A577="",C577=""),"",IF(A577="","Add - which product?",IF(C577="","Add - which material?",IF(B577="Not found","Check - no such product ID",IF(D577="Add to Materials","Check - no such material ID",IF(OR(F577="",F577=0),"Add - how much?",IF(L577="","Check - that material has no price","OK")))))))</f>
        <v>0</v>
      </c>
    </row>
    <row r="578" spans="2:18">
      <c r="B578" s="13">
        <f>IF(A578="","",IFERROR(INDEX(Products!$B$5:$B$304,MATCH(A578,Products!$A$5:$A$304,0)),"Not found"))</f>
        <v>0</v>
      </c>
      <c r="D578" s="13">
        <f>IF(C578="","",IFERROR(INDEX(Materials!$B$5:$B$254,MATCH(C578,Materials!$A$5:$A$254,0)),"Add to Materials"))</f>
        <v>0</v>
      </c>
      <c r="E578" s="13">
        <f>IF(C578="","",IFERROR(INDEX(Materials!$H$5:$H$254,MATCH(C578,Materials!$A$5:$A$254,0)),"Add to Materials"))</f>
        <v>0</v>
      </c>
      <c r="J578" s="33">
        <f>IF(C578="","",IF(G578&lt;&gt;"",G578,IFERROR(INDEX(Materials!$W$5:$W$254,MATCH(C578,Materials!$A$5:$A$254,0)),DefaultWaste)))</f>
        <v>0</v>
      </c>
      <c r="K578" s="36">
        <f>IF(C578="","",IF(F578="","",ROUND(F578*(1+J578),4)))</f>
        <v>0</v>
      </c>
      <c r="L578" s="45">
        <f>IF(C578="","",IFERROR(INDEX(Materials!$S$5:$S$254,MATCH(C578,Materials!$A$5:$A$254,0)),""))</f>
        <v>0</v>
      </c>
      <c r="M578" s="45">
        <f>IF(C578="","",IF(OR(K578="",L578=""),"",ROUND(K578*L578,4)))</f>
        <v>0</v>
      </c>
      <c r="N578" s="20">
        <f>IF(A578="","",ROUND(SUMIFS('Material Usage'!$M$5:$M$904,'Material Usage'!$A$5:$A$904,A578),2))</f>
        <v>0</v>
      </c>
      <c r="O578" s="33">
        <f>IF(A578="","",IF(OR(M578="",N578="",N578=0),"",M578/N578))</f>
        <v>0</v>
      </c>
      <c r="P578" s="32">
        <f>IF(A578="","",COUNTIFS($A$5:A578,A578))</f>
        <v>0</v>
      </c>
      <c r="Q578" s="13">
        <f>IF(A578="","",A578&amp;"|"&amp;P578)</f>
        <v>0</v>
      </c>
      <c r="R578" s="43">
        <f>IF(AND(A578="",C578=""),"",IF(A578="","Add - which product?",IF(C578="","Add - which material?",IF(B578="Not found","Check - no such product ID",IF(D578="Add to Materials","Check - no such material ID",IF(OR(F578="",F578=0),"Add - how much?",IF(L578="","Check - that material has no price","OK")))))))</f>
        <v>0</v>
      </c>
    </row>
    <row r="579" spans="2:18">
      <c r="B579" s="13">
        <f>IF(A579="","",IFERROR(INDEX(Products!$B$5:$B$304,MATCH(A579,Products!$A$5:$A$304,0)),"Not found"))</f>
        <v>0</v>
      </c>
      <c r="D579" s="13">
        <f>IF(C579="","",IFERROR(INDEX(Materials!$B$5:$B$254,MATCH(C579,Materials!$A$5:$A$254,0)),"Add to Materials"))</f>
        <v>0</v>
      </c>
      <c r="E579" s="13">
        <f>IF(C579="","",IFERROR(INDEX(Materials!$H$5:$H$254,MATCH(C579,Materials!$A$5:$A$254,0)),"Add to Materials"))</f>
        <v>0</v>
      </c>
      <c r="J579" s="33">
        <f>IF(C579="","",IF(G579&lt;&gt;"",G579,IFERROR(INDEX(Materials!$W$5:$W$254,MATCH(C579,Materials!$A$5:$A$254,0)),DefaultWaste)))</f>
        <v>0</v>
      </c>
      <c r="K579" s="36">
        <f>IF(C579="","",IF(F579="","",ROUND(F579*(1+J579),4)))</f>
        <v>0</v>
      </c>
      <c r="L579" s="45">
        <f>IF(C579="","",IFERROR(INDEX(Materials!$S$5:$S$254,MATCH(C579,Materials!$A$5:$A$254,0)),""))</f>
        <v>0</v>
      </c>
      <c r="M579" s="45">
        <f>IF(C579="","",IF(OR(K579="",L579=""),"",ROUND(K579*L579,4)))</f>
        <v>0</v>
      </c>
      <c r="N579" s="20">
        <f>IF(A579="","",ROUND(SUMIFS('Material Usage'!$M$5:$M$904,'Material Usage'!$A$5:$A$904,A579),2))</f>
        <v>0</v>
      </c>
      <c r="O579" s="33">
        <f>IF(A579="","",IF(OR(M579="",N579="",N579=0),"",M579/N579))</f>
        <v>0</v>
      </c>
      <c r="P579" s="32">
        <f>IF(A579="","",COUNTIFS($A$5:A579,A579))</f>
        <v>0</v>
      </c>
      <c r="Q579" s="13">
        <f>IF(A579="","",A579&amp;"|"&amp;P579)</f>
        <v>0</v>
      </c>
      <c r="R579" s="43">
        <f>IF(AND(A579="",C579=""),"",IF(A579="","Add - which product?",IF(C579="","Add - which material?",IF(B579="Not found","Check - no such product ID",IF(D579="Add to Materials","Check - no such material ID",IF(OR(F579="",F579=0),"Add - how much?",IF(L579="","Check - that material has no price","OK")))))))</f>
        <v>0</v>
      </c>
    </row>
    <row r="580" spans="2:18">
      <c r="B580" s="13">
        <f>IF(A580="","",IFERROR(INDEX(Products!$B$5:$B$304,MATCH(A580,Products!$A$5:$A$304,0)),"Not found"))</f>
        <v>0</v>
      </c>
      <c r="D580" s="13">
        <f>IF(C580="","",IFERROR(INDEX(Materials!$B$5:$B$254,MATCH(C580,Materials!$A$5:$A$254,0)),"Add to Materials"))</f>
        <v>0</v>
      </c>
      <c r="E580" s="13">
        <f>IF(C580="","",IFERROR(INDEX(Materials!$H$5:$H$254,MATCH(C580,Materials!$A$5:$A$254,0)),"Add to Materials"))</f>
        <v>0</v>
      </c>
      <c r="J580" s="33">
        <f>IF(C580="","",IF(G580&lt;&gt;"",G580,IFERROR(INDEX(Materials!$W$5:$W$254,MATCH(C580,Materials!$A$5:$A$254,0)),DefaultWaste)))</f>
        <v>0</v>
      </c>
      <c r="K580" s="36">
        <f>IF(C580="","",IF(F580="","",ROUND(F580*(1+J580),4)))</f>
        <v>0</v>
      </c>
      <c r="L580" s="45">
        <f>IF(C580="","",IFERROR(INDEX(Materials!$S$5:$S$254,MATCH(C580,Materials!$A$5:$A$254,0)),""))</f>
        <v>0</v>
      </c>
      <c r="M580" s="45">
        <f>IF(C580="","",IF(OR(K580="",L580=""),"",ROUND(K580*L580,4)))</f>
        <v>0</v>
      </c>
      <c r="N580" s="20">
        <f>IF(A580="","",ROUND(SUMIFS('Material Usage'!$M$5:$M$904,'Material Usage'!$A$5:$A$904,A580),2))</f>
        <v>0</v>
      </c>
      <c r="O580" s="33">
        <f>IF(A580="","",IF(OR(M580="",N580="",N580=0),"",M580/N580))</f>
        <v>0</v>
      </c>
      <c r="P580" s="32">
        <f>IF(A580="","",COUNTIFS($A$5:A580,A580))</f>
        <v>0</v>
      </c>
      <c r="Q580" s="13">
        <f>IF(A580="","",A580&amp;"|"&amp;P580)</f>
        <v>0</v>
      </c>
      <c r="R580" s="43">
        <f>IF(AND(A580="",C580=""),"",IF(A580="","Add - which product?",IF(C580="","Add - which material?",IF(B580="Not found","Check - no such product ID",IF(D580="Add to Materials","Check - no such material ID",IF(OR(F580="",F580=0),"Add - how much?",IF(L580="","Check - that material has no price","OK")))))))</f>
        <v>0</v>
      </c>
    </row>
    <row r="581" spans="2:18">
      <c r="B581" s="13">
        <f>IF(A581="","",IFERROR(INDEX(Products!$B$5:$B$304,MATCH(A581,Products!$A$5:$A$304,0)),"Not found"))</f>
        <v>0</v>
      </c>
      <c r="D581" s="13">
        <f>IF(C581="","",IFERROR(INDEX(Materials!$B$5:$B$254,MATCH(C581,Materials!$A$5:$A$254,0)),"Add to Materials"))</f>
        <v>0</v>
      </c>
      <c r="E581" s="13">
        <f>IF(C581="","",IFERROR(INDEX(Materials!$H$5:$H$254,MATCH(C581,Materials!$A$5:$A$254,0)),"Add to Materials"))</f>
        <v>0</v>
      </c>
      <c r="J581" s="33">
        <f>IF(C581="","",IF(G581&lt;&gt;"",G581,IFERROR(INDEX(Materials!$W$5:$W$254,MATCH(C581,Materials!$A$5:$A$254,0)),DefaultWaste)))</f>
        <v>0</v>
      </c>
      <c r="K581" s="36">
        <f>IF(C581="","",IF(F581="","",ROUND(F581*(1+J581),4)))</f>
        <v>0</v>
      </c>
      <c r="L581" s="45">
        <f>IF(C581="","",IFERROR(INDEX(Materials!$S$5:$S$254,MATCH(C581,Materials!$A$5:$A$254,0)),""))</f>
        <v>0</v>
      </c>
      <c r="M581" s="45">
        <f>IF(C581="","",IF(OR(K581="",L581=""),"",ROUND(K581*L581,4)))</f>
        <v>0</v>
      </c>
      <c r="N581" s="20">
        <f>IF(A581="","",ROUND(SUMIFS('Material Usage'!$M$5:$M$904,'Material Usage'!$A$5:$A$904,A581),2))</f>
        <v>0</v>
      </c>
      <c r="O581" s="33">
        <f>IF(A581="","",IF(OR(M581="",N581="",N581=0),"",M581/N581))</f>
        <v>0</v>
      </c>
      <c r="P581" s="32">
        <f>IF(A581="","",COUNTIFS($A$5:A581,A581))</f>
        <v>0</v>
      </c>
      <c r="Q581" s="13">
        <f>IF(A581="","",A581&amp;"|"&amp;P581)</f>
        <v>0</v>
      </c>
      <c r="R581" s="43">
        <f>IF(AND(A581="",C581=""),"",IF(A581="","Add - which product?",IF(C581="","Add - which material?",IF(B581="Not found","Check - no such product ID",IF(D581="Add to Materials","Check - no such material ID",IF(OR(F581="",F581=0),"Add - how much?",IF(L581="","Check - that material has no price","OK")))))))</f>
        <v>0</v>
      </c>
    </row>
    <row r="582" spans="2:18">
      <c r="B582" s="13">
        <f>IF(A582="","",IFERROR(INDEX(Products!$B$5:$B$304,MATCH(A582,Products!$A$5:$A$304,0)),"Not found"))</f>
        <v>0</v>
      </c>
      <c r="D582" s="13">
        <f>IF(C582="","",IFERROR(INDEX(Materials!$B$5:$B$254,MATCH(C582,Materials!$A$5:$A$254,0)),"Add to Materials"))</f>
        <v>0</v>
      </c>
      <c r="E582" s="13">
        <f>IF(C582="","",IFERROR(INDEX(Materials!$H$5:$H$254,MATCH(C582,Materials!$A$5:$A$254,0)),"Add to Materials"))</f>
        <v>0</v>
      </c>
      <c r="J582" s="33">
        <f>IF(C582="","",IF(G582&lt;&gt;"",G582,IFERROR(INDEX(Materials!$W$5:$W$254,MATCH(C582,Materials!$A$5:$A$254,0)),DefaultWaste)))</f>
        <v>0</v>
      </c>
      <c r="K582" s="36">
        <f>IF(C582="","",IF(F582="","",ROUND(F582*(1+J582),4)))</f>
        <v>0</v>
      </c>
      <c r="L582" s="45">
        <f>IF(C582="","",IFERROR(INDEX(Materials!$S$5:$S$254,MATCH(C582,Materials!$A$5:$A$254,0)),""))</f>
        <v>0</v>
      </c>
      <c r="M582" s="45">
        <f>IF(C582="","",IF(OR(K582="",L582=""),"",ROUND(K582*L582,4)))</f>
        <v>0</v>
      </c>
      <c r="N582" s="20">
        <f>IF(A582="","",ROUND(SUMIFS('Material Usage'!$M$5:$M$904,'Material Usage'!$A$5:$A$904,A582),2))</f>
        <v>0</v>
      </c>
      <c r="O582" s="33">
        <f>IF(A582="","",IF(OR(M582="",N582="",N582=0),"",M582/N582))</f>
        <v>0</v>
      </c>
      <c r="P582" s="32">
        <f>IF(A582="","",COUNTIFS($A$5:A582,A582))</f>
        <v>0</v>
      </c>
      <c r="Q582" s="13">
        <f>IF(A582="","",A582&amp;"|"&amp;P582)</f>
        <v>0</v>
      </c>
      <c r="R582" s="43">
        <f>IF(AND(A582="",C582=""),"",IF(A582="","Add - which product?",IF(C582="","Add - which material?",IF(B582="Not found","Check - no such product ID",IF(D582="Add to Materials","Check - no such material ID",IF(OR(F582="",F582=0),"Add - how much?",IF(L582="","Check - that material has no price","OK")))))))</f>
        <v>0</v>
      </c>
    </row>
    <row r="583" spans="2:18">
      <c r="B583" s="13">
        <f>IF(A583="","",IFERROR(INDEX(Products!$B$5:$B$304,MATCH(A583,Products!$A$5:$A$304,0)),"Not found"))</f>
        <v>0</v>
      </c>
      <c r="D583" s="13">
        <f>IF(C583="","",IFERROR(INDEX(Materials!$B$5:$B$254,MATCH(C583,Materials!$A$5:$A$254,0)),"Add to Materials"))</f>
        <v>0</v>
      </c>
      <c r="E583" s="13">
        <f>IF(C583="","",IFERROR(INDEX(Materials!$H$5:$H$254,MATCH(C583,Materials!$A$5:$A$254,0)),"Add to Materials"))</f>
        <v>0</v>
      </c>
      <c r="J583" s="33">
        <f>IF(C583="","",IF(G583&lt;&gt;"",G583,IFERROR(INDEX(Materials!$W$5:$W$254,MATCH(C583,Materials!$A$5:$A$254,0)),DefaultWaste)))</f>
        <v>0</v>
      </c>
      <c r="K583" s="36">
        <f>IF(C583="","",IF(F583="","",ROUND(F583*(1+J583),4)))</f>
        <v>0</v>
      </c>
      <c r="L583" s="45">
        <f>IF(C583="","",IFERROR(INDEX(Materials!$S$5:$S$254,MATCH(C583,Materials!$A$5:$A$254,0)),""))</f>
        <v>0</v>
      </c>
      <c r="M583" s="45">
        <f>IF(C583="","",IF(OR(K583="",L583=""),"",ROUND(K583*L583,4)))</f>
        <v>0</v>
      </c>
      <c r="N583" s="20">
        <f>IF(A583="","",ROUND(SUMIFS('Material Usage'!$M$5:$M$904,'Material Usage'!$A$5:$A$904,A583),2))</f>
        <v>0</v>
      </c>
      <c r="O583" s="33">
        <f>IF(A583="","",IF(OR(M583="",N583="",N583=0),"",M583/N583))</f>
        <v>0</v>
      </c>
      <c r="P583" s="32">
        <f>IF(A583="","",COUNTIFS($A$5:A583,A583))</f>
        <v>0</v>
      </c>
      <c r="Q583" s="13">
        <f>IF(A583="","",A583&amp;"|"&amp;P583)</f>
        <v>0</v>
      </c>
      <c r="R583" s="43">
        <f>IF(AND(A583="",C583=""),"",IF(A583="","Add - which product?",IF(C583="","Add - which material?",IF(B583="Not found","Check - no such product ID",IF(D583="Add to Materials","Check - no such material ID",IF(OR(F583="",F583=0),"Add - how much?",IF(L583="","Check - that material has no price","OK")))))))</f>
        <v>0</v>
      </c>
    </row>
    <row r="584" spans="2:18">
      <c r="B584" s="13">
        <f>IF(A584="","",IFERROR(INDEX(Products!$B$5:$B$304,MATCH(A584,Products!$A$5:$A$304,0)),"Not found"))</f>
        <v>0</v>
      </c>
      <c r="D584" s="13">
        <f>IF(C584="","",IFERROR(INDEX(Materials!$B$5:$B$254,MATCH(C584,Materials!$A$5:$A$254,0)),"Add to Materials"))</f>
        <v>0</v>
      </c>
      <c r="E584" s="13">
        <f>IF(C584="","",IFERROR(INDEX(Materials!$H$5:$H$254,MATCH(C584,Materials!$A$5:$A$254,0)),"Add to Materials"))</f>
        <v>0</v>
      </c>
      <c r="J584" s="33">
        <f>IF(C584="","",IF(G584&lt;&gt;"",G584,IFERROR(INDEX(Materials!$W$5:$W$254,MATCH(C584,Materials!$A$5:$A$254,0)),DefaultWaste)))</f>
        <v>0</v>
      </c>
      <c r="K584" s="36">
        <f>IF(C584="","",IF(F584="","",ROUND(F584*(1+J584),4)))</f>
        <v>0</v>
      </c>
      <c r="L584" s="45">
        <f>IF(C584="","",IFERROR(INDEX(Materials!$S$5:$S$254,MATCH(C584,Materials!$A$5:$A$254,0)),""))</f>
        <v>0</v>
      </c>
      <c r="M584" s="45">
        <f>IF(C584="","",IF(OR(K584="",L584=""),"",ROUND(K584*L584,4)))</f>
        <v>0</v>
      </c>
      <c r="N584" s="20">
        <f>IF(A584="","",ROUND(SUMIFS('Material Usage'!$M$5:$M$904,'Material Usage'!$A$5:$A$904,A584),2))</f>
        <v>0</v>
      </c>
      <c r="O584" s="33">
        <f>IF(A584="","",IF(OR(M584="",N584="",N584=0),"",M584/N584))</f>
        <v>0</v>
      </c>
      <c r="P584" s="32">
        <f>IF(A584="","",COUNTIFS($A$5:A584,A584))</f>
        <v>0</v>
      </c>
      <c r="Q584" s="13">
        <f>IF(A584="","",A584&amp;"|"&amp;P584)</f>
        <v>0</v>
      </c>
      <c r="R584" s="43">
        <f>IF(AND(A584="",C584=""),"",IF(A584="","Add - which product?",IF(C584="","Add - which material?",IF(B584="Not found","Check - no such product ID",IF(D584="Add to Materials","Check - no such material ID",IF(OR(F584="",F584=0),"Add - how much?",IF(L584="","Check - that material has no price","OK")))))))</f>
        <v>0</v>
      </c>
    </row>
    <row r="585" spans="2:18">
      <c r="B585" s="13">
        <f>IF(A585="","",IFERROR(INDEX(Products!$B$5:$B$304,MATCH(A585,Products!$A$5:$A$304,0)),"Not found"))</f>
        <v>0</v>
      </c>
      <c r="D585" s="13">
        <f>IF(C585="","",IFERROR(INDEX(Materials!$B$5:$B$254,MATCH(C585,Materials!$A$5:$A$254,0)),"Add to Materials"))</f>
        <v>0</v>
      </c>
      <c r="E585" s="13">
        <f>IF(C585="","",IFERROR(INDEX(Materials!$H$5:$H$254,MATCH(C585,Materials!$A$5:$A$254,0)),"Add to Materials"))</f>
        <v>0</v>
      </c>
      <c r="J585" s="33">
        <f>IF(C585="","",IF(G585&lt;&gt;"",G585,IFERROR(INDEX(Materials!$W$5:$W$254,MATCH(C585,Materials!$A$5:$A$254,0)),DefaultWaste)))</f>
        <v>0</v>
      </c>
      <c r="K585" s="36">
        <f>IF(C585="","",IF(F585="","",ROUND(F585*(1+J585),4)))</f>
        <v>0</v>
      </c>
      <c r="L585" s="45">
        <f>IF(C585="","",IFERROR(INDEX(Materials!$S$5:$S$254,MATCH(C585,Materials!$A$5:$A$254,0)),""))</f>
        <v>0</v>
      </c>
      <c r="M585" s="45">
        <f>IF(C585="","",IF(OR(K585="",L585=""),"",ROUND(K585*L585,4)))</f>
        <v>0</v>
      </c>
      <c r="N585" s="20">
        <f>IF(A585="","",ROUND(SUMIFS('Material Usage'!$M$5:$M$904,'Material Usage'!$A$5:$A$904,A585),2))</f>
        <v>0</v>
      </c>
      <c r="O585" s="33">
        <f>IF(A585="","",IF(OR(M585="",N585="",N585=0),"",M585/N585))</f>
        <v>0</v>
      </c>
      <c r="P585" s="32">
        <f>IF(A585="","",COUNTIFS($A$5:A585,A585))</f>
        <v>0</v>
      </c>
      <c r="Q585" s="13">
        <f>IF(A585="","",A585&amp;"|"&amp;P585)</f>
        <v>0</v>
      </c>
      <c r="R585" s="43">
        <f>IF(AND(A585="",C585=""),"",IF(A585="","Add - which product?",IF(C585="","Add - which material?",IF(B585="Not found","Check - no such product ID",IF(D585="Add to Materials","Check - no such material ID",IF(OR(F585="",F585=0),"Add - how much?",IF(L585="","Check - that material has no price","OK")))))))</f>
        <v>0</v>
      </c>
    </row>
    <row r="586" spans="2:18">
      <c r="B586" s="13">
        <f>IF(A586="","",IFERROR(INDEX(Products!$B$5:$B$304,MATCH(A586,Products!$A$5:$A$304,0)),"Not found"))</f>
        <v>0</v>
      </c>
      <c r="D586" s="13">
        <f>IF(C586="","",IFERROR(INDEX(Materials!$B$5:$B$254,MATCH(C586,Materials!$A$5:$A$254,0)),"Add to Materials"))</f>
        <v>0</v>
      </c>
      <c r="E586" s="13">
        <f>IF(C586="","",IFERROR(INDEX(Materials!$H$5:$H$254,MATCH(C586,Materials!$A$5:$A$254,0)),"Add to Materials"))</f>
        <v>0</v>
      </c>
      <c r="J586" s="33">
        <f>IF(C586="","",IF(G586&lt;&gt;"",G586,IFERROR(INDEX(Materials!$W$5:$W$254,MATCH(C586,Materials!$A$5:$A$254,0)),DefaultWaste)))</f>
        <v>0</v>
      </c>
      <c r="K586" s="36">
        <f>IF(C586="","",IF(F586="","",ROUND(F586*(1+J586),4)))</f>
        <v>0</v>
      </c>
      <c r="L586" s="45">
        <f>IF(C586="","",IFERROR(INDEX(Materials!$S$5:$S$254,MATCH(C586,Materials!$A$5:$A$254,0)),""))</f>
        <v>0</v>
      </c>
      <c r="M586" s="45">
        <f>IF(C586="","",IF(OR(K586="",L586=""),"",ROUND(K586*L586,4)))</f>
        <v>0</v>
      </c>
      <c r="N586" s="20">
        <f>IF(A586="","",ROUND(SUMIFS('Material Usage'!$M$5:$M$904,'Material Usage'!$A$5:$A$904,A586),2))</f>
        <v>0</v>
      </c>
      <c r="O586" s="33">
        <f>IF(A586="","",IF(OR(M586="",N586="",N586=0),"",M586/N586))</f>
        <v>0</v>
      </c>
      <c r="P586" s="32">
        <f>IF(A586="","",COUNTIFS($A$5:A586,A586))</f>
        <v>0</v>
      </c>
      <c r="Q586" s="13">
        <f>IF(A586="","",A586&amp;"|"&amp;P586)</f>
        <v>0</v>
      </c>
      <c r="R586" s="43">
        <f>IF(AND(A586="",C586=""),"",IF(A586="","Add - which product?",IF(C586="","Add - which material?",IF(B586="Not found","Check - no such product ID",IF(D586="Add to Materials","Check - no such material ID",IF(OR(F586="",F586=0),"Add - how much?",IF(L586="","Check - that material has no price","OK")))))))</f>
        <v>0</v>
      </c>
    </row>
    <row r="587" spans="2:18">
      <c r="B587" s="13">
        <f>IF(A587="","",IFERROR(INDEX(Products!$B$5:$B$304,MATCH(A587,Products!$A$5:$A$304,0)),"Not found"))</f>
        <v>0</v>
      </c>
      <c r="D587" s="13">
        <f>IF(C587="","",IFERROR(INDEX(Materials!$B$5:$B$254,MATCH(C587,Materials!$A$5:$A$254,0)),"Add to Materials"))</f>
        <v>0</v>
      </c>
      <c r="E587" s="13">
        <f>IF(C587="","",IFERROR(INDEX(Materials!$H$5:$H$254,MATCH(C587,Materials!$A$5:$A$254,0)),"Add to Materials"))</f>
        <v>0</v>
      </c>
      <c r="J587" s="33">
        <f>IF(C587="","",IF(G587&lt;&gt;"",G587,IFERROR(INDEX(Materials!$W$5:$W$254,MATCH(C587,Materials!$A$5:$A$254,0)),DefaultWaste)))</f>
        <v>0</v>
      </c>
      <c r="K587" s="36">
        <f>IF(C587="","",IF(F587="","",ROUND(F587*(1+J587),4)))</f>
        <v>0</v>
      </c>
      <c r="L587" s="45">
        <f>IF(C587="","",IFERROR(INDEX(Materials!$S$5:$S$254,MATCH(C587,Materials!$A$5:$A$254,0)),""))</f>
        <v>0</v>
      </c>
      <c r="M587" s="45">
        <f>IF(C587="","",IF(OR(K587="",L587=""),"",ROUND(K587*L587,4)))</f>
        <v>0</v>
      </c>
      <c r="N587" s="20">
        <f>IF(A587="","",ROUND(SUMIFS('Material Usage'!$M$5:$M$904,'Material Usage'!$A$5:$A$904,A587),2))</f>
        <v>0</v>
      </c>
      <c r="O587" s="33">
        <f>IF(A587="","",IF(OR(M587="",N587="",N587=0),"",M587/N587))</f>
        <v>0</v>
      </c>
      <c r="P587" s="32">
        <f>IF(A587="","",COUNTIFS($A$5:A587,A587))</f>
        <v>0</v>
      </c>
      <c r="Q587" s="13">
        <f>IF(A587="","",A587&amp;"|"&amp;P587)</f>
        <v>0</v>
      </c>
      <c r="R587" s="43">
        <f>IF(AND(A587="",C587=""),"",IF(A587="","Add - which product?",IF(C587="","Add - which material?",IF(B587="Not found","Check - no such product ID",IF(D587="Add to Materials","Check - no such material ID",IF(OR(F587="",F587=0),"Add - how much?",IF(L587="","Check - that material has no price","OK")))))))</f>
        <v>0</v>
      </c>
    </row>
    <row r="588" spans="2:18">
      <c r="B588" s="13">
        <f>IF(A588="","",IFERROR(INDEX(Products!$B$5:$B$304,MATCH(A588,Products!$A$5:$A$304,0)),"Not found"))</f>
        <v>0</v>
      </c>
      <c r="D588" s="13">
        <f>IF(C588="","",IFERROR(INDEX(Materials!$B$5:$B$254,MATCH(C588,Materials!$A$5:$A$254,0)),"Add to Materials"))</f>
        <v>0</v>
      </c>
      <c r="E588" s="13">
        <f>IF(C588="","",IFERROR(INDEX(Materials!$H$5:$H$254,MATCH(C588,Materials!$A$5:$A$254,0)),"Add to Materials"))</f>
        <v>0</v>
      </c>
      <c r="J588" s="33">
        <f>IF(C588="","",IF(G588&lt;&gt;"",G588,IFERROR(INDEX(Materials!$W$5:$W$254,MATCH(C588,Materials!$A$5:$A$254,0)),DefaultWaste)))</f>
        <v>0</v>
      </c>
      <c r="K588" s="36">
        <f>IF(C588="","",IF(F588="","",ROUND(F588*(1+J588),4)))</f>
        <v>0</v>
      </c>
      <c r="L588" s="45">
        <f>IF(C588="","",IFERROR(INDEX(Materials!$S$5:$S$254,MATCH(C588,Materials!$A$5:$A$254,0)),""))</f>
        <v>0</v>
      </c>
      <c r="M588" s="45">
        <f>IF(C588="","",IF(OR(K588="",L588=""),"",ROUND(K588*L588,4)))</f>
        <v>0</v>
      </c>
      <c r="N588" s="20">
        <f>IF(A588="","",ROUND(SUMIFS('Material Usage'!$M$5:$M$904,'Material Usage'!$A$5:$A$904,A588),2))</f>
        <v>0</v>
      </c>
      <c r="O588" s="33">
        <f>IF(A588="","",IF(OR(M588="",N588="",N588=0),"",M588/N588))</f>
        <v>0</v>
      </c>
      <c r="P588" s="32">
        <f>IF(A588="","",COUNTIFS($A$5:A588,A588))</f>
        <v>0</v>
      </c>
      <c r="Q588" s="13">
        <f>IF(A588="","",A588&amp;"|"&amp;P588)</f>
        <v>0</v>
      </c>
      <c r="R588" s="43">
        <f>IF(AND(A588="",C588=""),"",IF(A588="","Add - which product?",IF(C588="","Add - which material?",IF(B588="Not found","Check - no such product ID",IF(D588="Add to Materials","Check - no such material ID",IF(OR(F588="",F588=0),"Add - how much?",IF(L588="","Check - that material has no price","OK")))))))</f>
        <v>0</v>
      </c>
    </row>
    <row r="589" spans="2:18">
      <c r="B589" s="13">
        <f>IF(A589="","",IFERROR(INDEX(Products!$B$5:$B$304,MATCH(A589,Products!$A$5:$A$304,0)),"Not found"))</f>
        <v>0</v>
      </c>
      <c r="D589" s="13">
        <f>IF(C589="","",IFERROR(INDEX(Materials!$B$5:$B$254,MATCH(C589,Materials!$A$5:$A$254,0)),"Add to Materials"))</f>
        <v>0</v>
      </c>
      <c r="E589" s="13">
        <f>IF(C589="","",IFERROR(INDEX(Materials!$H$5:$H$254,MATCH(C589,Materials!$A$5:$A$254,0)),"Add to Materials"))</f>
        <v>0</v>
      </c>
      <c r="J589" s="33">
        <f>IF(C589="","",IF(G589&lt;&gt;"",G589,IFERROR(INDEX(Materials!$W$5:$W$254,MATCH(C589,Materials!$A$5:$A$254,0)),DefaultWaste)))</f>
        <v>0</v>
      </c>
      <c r="K589" s="36">
        <f>IF(C589="","",IF(F589="","",ROUND(F589*(1+J589),4)))</f>
        <v>0</v>
      </c>
      <c r="L589" s="45">
        <f>IF(C589="","",IFERROR(INDEX(Materials!$S$5:$S$254,MATCH(C589,Materials!$A$5:$A$254,0)),""))</f>
        <v>0</v>
      </c>
      <c r="M589" s="45">
        <f>IF(C589="","",IF(OR(K589="",L589=""),"",ROUND(K589*L589,4)))</f>
        <v>0</v>
      </c>
      <c r="N589" s="20">
        <f>IF(A589="","",ROUND(SUMIFS('Material Usage'!$M$5:$M$904,'Material Usage'!$A$5:$A$904,A589),2))</f>
        <v>0</v>
      </c>
      <c r="O589" s="33">
        <f>IF(A589="","",IF(OR(M589="",N589="",N589=0),"",M589/N589))</f>
        <v>0</v>
      </c>
      <c r="P589" s="32">
        <f>IF(A589="","",COUNTIFS($A$5:A589,A589))</f>
        <v>0</v>
      </c>
      <c r="Q589" s="13">
        <f>IF(A589="","",A589&amp;"|"&amp;P589)</f>
        <v>0</v>
      </c>
      <c r="R589" s="43">
        <f>IF(AND(A589="",C589=""),"",IF(A589="","Add - which product?",IF(C589="","Add - which material?",IF(B589="Not found","Check - no such product ID",IF(D589="Add to Materials","Check - no such material ID",IF(OR(F589="",F589=0),"Add - how much?",IF(L589="","Check - that material has no price","OK")))))))</f>
        <v>0</v>
      </c>
    </row>
    <row r="590" spans="2:18">
      <c r="B590" s="13">
        <f>IF(A590="","",IFERROR(INDEX(Products!$B$5:$B$304,MATCH(A590,Products!$A$5:$A$304,0)),"Not found"))</f>
        <v>0</v>
      </c>
      <c r="D590" s="13">
        <f>IF(C590="","",IFERROR(INDEX(Materials!$B$5:$B$254,MATCH(C590,Materials!$A$5:$A$254,0)),"Add to Materials"))</f>
        <v>0</v>
      </c>
      <c r="E590" s="13">
        <f>IF(C590="","",IFERROR(INDEX(Materials!$H$5:$H$254,MATCH(C590,Materials!$A$5:$A$254,0)),"Add to Materials"))</f>
        <v>0</v>
      </c>
      <c r="J590" s="33">
        <f>IF(C590="","",IF(G590&lt;&gt;"",G590,IFERROR(INDEX(Materials!$W$5:$W$254,MATCH(C590,Materials!$A$5:$A$254,0)),DefaultWaste)))</f>
        <v>0</v>
      </c>
      <c r="K590" s="36">
        <f>IF(C590="","",IF(F590="","",ROUND(F590*(1+J590),4)))</f>
        <v>0</v>
      </c>
      <c r="L590" s="45">
        <f>IF(C590="","",IFERROR(INDEX(Materials!$S$5:$S$254,MATCH(C590,Materials!$A$5:$A$254,0)),""))</f>
        <v>0</v>
      </c>
      <c r="M590" s="45">
        <f>IF(C590="","",IF(OR(K590="",L590=""),"",ROUND(K590*L590,4)))</f>
        <v>0</v>
      </c>
      <c r="N590" s="20">
        <f>IF(A590="","",ROUND(SUMIFS('Material Usage'!$M$5:$M$904,'Material Usage'!$A$5:$A$904,A590),2))</f>
        <v>0</v>
      </c>
      <c r="O590" s="33">
        <f>IF(A590="","",IF(OR(M590="",N590="",N590=0),"",M590/N590))</f>
        <v>0</v>
      </c>
      <c r="P590" s="32">
        <f>IF(A590="","",COUNTIFS($A$5:A590,A590))</f>
        <v>0</v>
      </c>
      <c r="Q590" s="13">
        <f>IF(A590="","",A590&amp;"|"&amp;P590)</f>
        <v>0</v>
      </c>
      <c r="R590" s="43">
        <f>IF(AND(A590="",C590=""),"",IF(A590="","Add - which product?",IF(C590="","Add - which material?",IF(B590="Not found","Check - no such product ID",IF(D590="Add to Materials","Check - no such material ID",IF(OR(F590="",F590=0),"Add - how much?",IF(L590="","Check - that material has no price","OK")))))))</f>
        <v>0</v>
      </c>
    </row>
    <row r="591" spans="2:18">
      <c r="B591" s="13">
        <f>IF(A591="","",IFERROR(INDEX(Products!$B$5:$B$304,MATCH(A591,Products!$A$5:$A$304,0)),"Not found"))</f>
        <v>0</v>
      </c>
      <c r="D591" s="13">
        <f>IF(C591="","",IFERROR(INDEX(Materials!$B$5:$B$254,MATCH(C591,Materials!$A$5:$A$254,0)),"Add to Materials"))</f>
        <v>0</v>
      </c>
      <c r="E591" s="13">
        <f>IF(C591="","",IFERROR(INDEX(Materials!$H$5:$H$254,MATCH(C591,Materials!$A$5:$A$254,0)),"Add to Materials"))</f>
        <v>0</v>
      </c>
      <c r="J591" s="33">
        <f>IF(C591="","",IF(G591&lt;&gt;"",G591,IFERROR(INDEX(Materials!$W$5:$W$254,MATCH(C591,Materials!$A$5:$A$254,0)),DefaultWaste)))</f>
        <v>0</v>
      </c>
      <c r="K591" s="36">
        <f>IF(C591="","",IF(F591="","",ROUND(F591*(1+J591),4)))</f>
        <v>0</v>
      </c>
      <c r="L591" s="45">
        <f>IF(C591="","",IFERROR(INDEX(Materials!$S$5:$S$254,MATCH(C591,Materials!$A$5:$A$254,0)),""))</f>
        <v>0</v>
      </c>
      <c r="M591" s="45">
        <f>IF(C591="","",IF(OR(K591="",L591=""),"",ROUND(K591*L591,4)))</f>
        <v>0</v>
      </c>
      <c r="N591" s="20">
        <f>IF(A591="","",ROUND(SUMIFS('Material Usage'!$M$5:$M$904,'Material Usage'!$A$5:$A$904,A591),2))</f>
        <v>0</v>
      </c>
      <c r="O591" s="33">
        <f>IF(A591="","",IF(OR(M591="",N591="",N591=0),"",M591/N591))</f>
        <v>0</v>
      </c>
      <c r="P591" s="32">
        <f>IF(A591="","",COUNTIFS($A$5:A591,A591))</f>
        <v>0</v>
      </c>
      <c r="Q591" s="13">
        <f>IF(A591="","",A591&amp;"|"&amp;P591)</f>
        <v>0</v>
      </c>
      <c r="R591" s="43">
        <f>IF(AND(A591="",C591=""),"",IF(A591="","Add - which product?",IF(C591="","Add - which material?",IF(B591="Not found","Check - no such product ID",IF(D591="Add to Materials","Check - no such material ID",IF(OR(F591="",F591=0),"Add - how much?",IF(L591="","Check - that material has no price","OK")))))))</f>
        <v>0</v>
      </c>
    </row>
    <row r="592" spans="2:18">
      <c r="B592" s="13">
        <f>IF(A592="","",IFERROR(INDEX(Products!$B$5:$B$304,MATCH(A592,Products!$A$5:$A$304,0)),"Not found"))</f>
        <v>0</v>
      </c>
      <c r="D592" s="13">
        <f>IF(C592="","",IFERROR(INDEX(Materials!$B$5:$B$254,MATCH(C592,Materials!$A$5:$A$254,0)),"Add to Materials"))</f>
        <v>0</v>
      </c>
      <c r="E592" s="13">
        <f>IF(C592="","",IFERROR(INDEX(Materials!$H$5:$H$254,MATCH(C592,Materials!$A$5:$A$254,0)),"Add to Materials"))</f>
        <v>0</v>
      </c>
      <c r="J592" s="33">
        <f>IF(C592="","",IF(G592&lt;&gt;"",G592,IFERROR(INDEX(Materials!$W$5:$W$254,MATCH(C592,Materials!$A$5:$A$254,0)),DefaultWaste)))</f>
        <v>0</v>
      </c>
      <c r="K592" s="36">
        <f>IF(C592="","",IF(F592="","",ROUND(F592*(1+J592),4)))</f>
        <v>0</v>
      </c>
      <c r="L592" s="45">
        <f>IF(C592="","",IFERROR(INDEX(Materials!$S$5:$S$254,MATCH(C592,Materials!$A$5:$A$254,0)),""))</f>
        <v>0</v>
      </c>
      <c r="M592" s="45">
        <f>IF(C592="","",IF(OR(K592="",L592=""),"",ROUND(K592*L592,4)))</f>
        <v>0</v>
      </c>
      <c r="N592" s="20">
        <f>IF(A592="","",ROUND(SUMIFS('Material Usage'!$M$5:$M$904,'Material Usage'!$A$5:$A$904,A592),2))</f>
        <v>0</v>
      </c>
      <c r="O592" s="33">
        <f>IF(A592="","",IF(OR(M592="",N592="",N592=0),"",M592/N592))</f>
        <v>0</v>
      </c>
      <c r="P592" s="32">
        <f>IF(A592="","",COUNTIFS($A$5:A592,A592))</f>
        <v>0</v>
      </c>
      <c r="Q592" s="13">
        <f>IF(A592="","",A592&amp;"|"&amp;P592)</f>
        <v>0</v>
      </c>
      <c r="R592" s="43">
        <f>IF(AND(A592="",C592=""),"",IF(A592="","Add - which product?",IF(C592="","Add - which material?",IF(B592="Not found","Check - no such product ID",IF(D592="Add to Materials","Check - no such material ID",IF(OR(F592="",F592=0),"Add - how much?",IF(L592="","Check - that material has no price","OK")))))))</f>
        <v>0</v>
      </c>
    </row>
    <row r="593" spans="2:18">
      <c r="B593" s="13">
        <f>IF(A593="","",IFERROR(INDEX(Products!$B$5:$B$304,MATCH(A593,Products!$A$5:$A$304,0)),"Not found"))</f>
        <v>0</v>
      </c>
      <c r="D593" s="13">
        <f>IF(C593="","",IFERROR(INDEX(Materials!$B$5:$B$254,MATCH(C593,Materials!$A$5:$A$254,0)),"Add to Materials"))</f>
        <v>0</v>
      </c>
      <c r="E593" s="13">
        <f>IF(C593="","",IFERROR(INDEX(Materials!$H$5:$H$254,MATCH(C593,Materials!$A$5:$A$254,0)),"Add to Materials"))</f>
        <v>0</v>
      </c>
      <c r="J593" s="33">
        <f>IF(C593="","",IF(G593&lt;&gt;"",G593,IFERROR(INDEX(Materials!$W$5:$W$254,MATCH(C593,Materials!$A$5:$A$254,0)),DefaultWaste)))</f>
        <v>0</v>
      </c>
      <c r="K593" s="36">
        <f>IF(C593="","",IF(F593="","",ROUND(F593*(1+J593),4)))</f>
        <v>0</v>
      </c>
      <c r="L593" s="45">
        <f>IF(C593="","",IFERROR(INDEX(Materials!$S$5:$S$254,MATCH(C593,Materials!$A$5:$A$254,0)),""))</f>
        <v>0</v>
      </c>
      <c r="M593" s="45">
        <f>IF(C593="","",IF(OR(K593="",L593=""),"",ROUND(K593*L593,4)))</f>
        <v>0</v>
      </c>
      <c r="N593" s="20">
        <f>IF(A593="","",ROUND(SUMIFS('Material Usage'!$M$5:$M$904,'Material Usage'!$A$5:$A$904,A593),2))</f>
        <v>0</v>
      </c>
      <c r="O593" s="33">
        <f>IF(A593="","",IF(OR(M593="",N593="",N593=0),"",M593/N593))</f>
        <v>0</v>
      </c>
      <c r="P593" s="32">
        <f>IF(A593="","",COUNTIFS($A$5:A593,A593))</f>
        <v>0</v>
      </c>
      <c r="Q593" s="13">
        <f>IF(A593="","",A593&amp;"|"&amp;P593)</f>
        <v>0</v>
      </c>
      <c r="R593" s="43">
        <f>IF(AND(A593="",C593=""),"",IF(A593="","Add - which product?",IF(C593="","Add - which material?",IF(B593="Not found","Check - no such product ID",IF(D593="Add to Materials","Check - no such material ID",IF(OR(F593="",F593=0),"Add - how much?",IF(L593="","Check - that material has no price","OK")))))))</f>
        <v>0</v>
      </c>
    </row>
    <row r="594" spans="2:18">
      <c r="B594" s="13">
        <f>IF(A594="","",IFERROR(INDEX(Products!$B$5:$B$304,MATCH(A594,Products!$A$5:$A$304,0)),"Not found"))</f>
        <v>0</v>
      </c>
      <c r="D594" s="13">
        <f>IF(C594="","",IFERROR(INDEX(Materials!$B$5:$B$254,MATCH(C594,Materials!$A$5:$A$254,0)),"Add to Materials"))</f>
        <v>0</v>
      </c>
      <c r="E594" s="13">
        <f>IF(C594="","",IFERROR(INDEX(Materials!$H$5:$H$254,MATCH(C594,Materials!$A$5:$A$254,0)),"Add to Materials"))</f>
        <v>0</v>
      </c>
      <c r="J594" s="33">
        <f>IF(C594="","",IF(G594&lt;&gt;"",G594,IFERROR(INDEX(Materials!$W$5:$W$254,MATCH(C594,Materials!$A$5:$A$254,0)),DefaultWaste)))</f>
        <v>0</v>
      </c>
      <c r="K594" s="36">
        <f>IF(C594="","",IF(F594="","",ROUND(F594*(1+J594),4)))</f>
        <v>0</v>
      </c>
      <c r="L594" s="45">
        <f>IF(C594="","",IFERROR(INDEX(Materials!$S$5:$S$254,MATCH(C594,Materials!$A$5:$A$254,0)),""))</f>
        <v>0</v>
      </c>
      <c r="M594" s="45">
        <f>IF(C594="","",IF(OR(K594="",L594=""),"",ROUND(K594*L594,4)))</f>
        <v>0</v>
      </c>
      <c r="N594" s="20">
        <f>IF(A594="","",ROUND(SUMIFS('Material Usage'!$M$5:$M$904,'Material Usage'!$A$5:$A$904,A594),2))</f>
        <v>0</v>
      </c>
      <c r="O594" s="33">
        <f>IF(A594="","",IF(OR(M594="",N594="",N594=0),"",M594/N594))</f>
        <v>0</v>
      </c>
      <c r="P594" s="32">
        <f>IF(A594="","",COUNTIFS($A$5:A594,A594))</f>
        <v>0</v>
      </c>
      <c r="Q594" s="13">
        <f>IF(A594="","",A594&amp;"|"&amp;P594)</f>
        <v>0</v>
      </c>
      <c r="R594" s="43">
        <f>IF(AND(A594="",C594=""),"",IF(A594="","Add - which product?",IF(C594="","Add - which material?",IF(B594="Not found","Check - no such product ID",IF(D594="Add to Materials","Check - no such material ID",IF(OR(F594="",F594=0),"Add - how much?",IF(L594="","Check - that material has no price","OK")))))))</f>
        <v>0</v>
      </c>
    </row>
    <row r="595" spans="2:18">
      <c r="B595" s="13">
        <f>IF(A595="","",IFERROR(INDEX(Products!$B$5:$B$304,MATCH(A595,Products!$A$5:$A$304,0)),"Not found"))</f>
        <v>0</v>
      </c>
      <c r="D595" s="13">
        <f>IF(C595="","",IFERROR(INDEX(Materials!$B$5:$B$254,MATCH(C595,Materials!$A$5:$A$254,0)),"Add to Materials"))</f>
        <v>0</v>
      </c>
      <c r="E595" s="13">
        <f>IF(C595="","",IFERROR(INDEX(Materials!$H$5:$H$254,MATCH(C595,Materials!$A$5:$A$254,0)),"Add to Materials"))</f>
        <v>0</v>
      </c>
      <c r="J595" s="33">
        <f>IF(C595="","",IF(G595&lt;&gt;"",G595,IFERROR(INDEX(Materials!$W$5:$W$254,MATCH(C595,Materials!$A$5:$A$254,0)),DefaultWaste)))</f>
        <v>0</v>
      </c>
      <c r="K595" s="36">
        <f>IF(C595="","",IF(F595="","",ROUND(F595*(1+J595),4)))</f>
        <v>0</v>
      </c>
      <c r="L595" s="45">
        <f>IF(C595="","",IFERROR(INDEX(Materials!$S$5:$S$254,MATCH(C595,Materials!$A$5:$A$254,0)),""))</f>
        <v>0</v>
      </c>
      <c r="M595" s="45">
        <f>IF(C595="","",IF(OR(K595="",L595=""),"",ROUND(K595*L595,4)))</f>
        <v>0</v>
      </c>
      <c r="N595" s="20">
        <f>IF(A595="","",ROUND(SUMIFS('Material Usage'!$M$5:$M$904,'Material Usage'!$A$5:$A$904,A595),2))</f>
        <v>0</v>
      </c>
      <c r="O595" s="33">
        <f>IF(A595="","",IF(OR(M595="",N595="",N595=0),"",M595/N595))</f>
        <v>0</v>
      </c>
      <c r="P595" s="32">
        <f>IF(A595="","",COUNTIFS($A$5:A595,A595))</f>
        <v>0</v>
      </c>
      <c r="Q595" s="13">
        <f>IF(A595="","",A595&amp;"|"&amp;P595)</f>
        <v>0</v>
      </c>
      <c r="R595" s="43">
        <f>IF(AND(A595="",C595=""),"",IF(A595="","Add - which product?",IF(C595="","Add - which material?",IF(B595="Not found","Check - no such product ID",IF(D595="Add to Materials","Check - no such material ID",IF(OR(F595="",F595=0),"Add - how much?",IF(L595="","Check - that material has no price","OK")))))))</f>
        <v>0</v>
      </c>
    </row>
    <row r="596" spans="2:18">
      <c r="B596" s="13">
        <f>IF(A596="","",IFERROR(INDEX(Products!$B$5:$B$304,MATCH(A596,Products!$A$5:$A$304,0)),"Not found"))</f>
        <v>0</v>
      </c>
      <c r="D596" s="13">
        <f>IF(C596="","",IFERROR(INDEX(Materials!$B$5:$B$254,MATCH(C596,Materials!$A$5:$A$254,0)),"Add to Materials"))</f>
        <v>0</v>
      </c>
      <c r="E596" s="13">
        <f>IF(C596="","",IFERROR(INDEX(Materials!$H$5:$H$254,MATCH(C596,Materials!$A$5:$A$254,0)),"Add to Materials"))</f>
        <v>0</v>
      </c>
      <c r="J596" s="33">
        <f>IF(C596="","",IF(G596&lt;&gt;"",G596,IFERROR(INDEX(Materials!$W$5:$W$254,MATCH(C596,Materials!$A$5:$A$254,0)),DefaultWaste)))</f>
        <v>0</v>
      </c>
      <c r="K596" s="36">
        <f>IF(C596="","",IF(F596="","",ROUND(F596*(1+J596),4)))</f>
        <v>0</v>
      </c>
      <c r="L596" s="45">
        <f>IF(C596="","",IFERROR(INDEX(Materials!$S$5:$S$254,MATCH(C596,Materials!$A$5:$A$254,0)),""))</f>
        <v>0</v>
      </c>
      <c r="M596" s="45">
        <f>IF(C596="","",IF(OR(K596="",L596=""),"",ROUND(K596*L596,4)))</f>
        <v>0</v>
      </c>
      <c r="N596" s="20">
        <f>IF(A596="","",ROUND(SUMIFS('Material Usage'!$M$5:$M$904,'Material Usage'!$A$5:$A$904,A596),2))</f>
        <v>0</v>
      </c>
      <c r="O596" s="33">
        <f>IF(A596="","",IF(OR(M596="",N596="",N596=0),"",M596/N596))</f>
        <v>0</v>
      </c>
      <c r="P596" s="32">
        <f>IF(A596="","",COUNTIFS($A$5:A596,A596))</f>
        <v>0</v>
      </c>
      <c r="Q596" s="13">
        <f>IF(A596="","",A596&amp;"|"&amp;P596)</f>
        <v>0</v>
      </c>
      <c r="R596" s="43">
        <f>IF(AND(A596="",C596=""),"",IF(A596="","Add - which product?",IF(C596="","Add - which material?",IF(B596="Not found","Check - no such product ID",IF(D596="Add to Materials","Check - no such material ID",IF(OR(F596="",F596=0),"Add - how much?",IF(L596="","Check - that material has no price","OK")))))))</f>
        <v>0</v>
      </c>
    </row>
    <row r="597" spans="2:18">
      <c r="B597" s="13">
        <f>IF(A597="","",IFERROR(INDEX(Products!$B$5:$B$304,MATCH(A597,Products!$A$5:$A$304,0)),"Not found"))</f>
        <v>0</v>
      </c>
      <c r="D597" s="13">
        <f>IF(C597="","",IFERROR(INDEX(Materials!$B$5:$B$254,MATCH(C597,Materials!$A$5:$A$254,0)),"Add to Materials"))</f>
        <v>0</v>
      </c>
      <c r="E597" s="13">
        <f>IF(C597="","",IFERROR(INDEX(Materials!$H$5:$H$254,MATCH(C597,Materials!$A$5:$A$254,0)),"Add to Materials"))</f>
        <v>0</v>
      </c>
      <c r="J597" s="33">
        <f>IF(C597="","",IF(G597&lt;&gt;"",G597,IFERROR(INDEX(Materials!$W$5:$W$254,MATCH(C597,Materials!$A$5:$A$254,0)),DefaultWaste)))</f>
        <v>0</v>
      </c>
      <c r="K597" s="36">
        <f>IF(C597="","",IF(F597="","",ROUND(F597*(1+J597),4)))</f>
        <v>0</v>
      </c>
      <c r="L597" s="45">
        <f>IF(C597="","",IFERROR(INDEX(Materials!$S$5:$S$254,MATCH(C597,Materials!$A$5:$A$254,0)),""))</f>
        <v>0</v>
      </c>
      <c r="M597" s="45">
        <f>IF(C597="","",IF(OR(K597="",L597=""),"",ROUND(K597*L597,4)))</f>
        <v>0</v>
      </c>
      <c r="N597" s="20">
        <f>IF(A597="","",ROUND(SUMIFS('Material Usage'!$M$5:$M$904,'Material Usage'!$A$5:$A$904,A597),2))</f>
        <v>0</v>
      </c>
      <c r="O597" s="33">
        <f>IF(A597="","",IF(OR(M597="",N597="",N597=0),"",M597/N597))</f>
        <v>0</v>
      </c>
      <c r="P597" s="32">
        <f>IF(A597="","",COUNTIFS($A$5:A597,A597))</f>
        <v>0</v>
      </c>
      <c r="Q597" s="13">
        <f>IF(A597="","",A597&amp;"|"&amp;P597)</f>
        <v>0</v>
      </c>
      <c r="R597" s="43">
        <f>IF(AND(A597="",C597=""),"",IF(A597="","Add - which product?",IF(C597="","Add - which material?",IF(B597="Not found","Check - no such product ID",IF(D597="Add to Materials","Check - no such material ID",IF(OR(F597="",F597=0),"Add - how much?",IF(L597="","Check - that material has no price","OK")))))))</f>
        <v>0</v>
      </c>
    </row>
    <row r="598" spans="2:18">
      <c r="B598" s="13">
        <f>IF(A598="","",IFERROR(INDEX(Products!$B$5:$B$304,MATCH(A598,Products!$A$5:$A$304,0)),"Not found"))</f>
        <v>0</v>
      </c>
      <c r="D598" s="13">
        <f>IF(C598="","",IFERROR(INDEX(Materials!$B$5:$B$254,MATCH(C598,Materials!$A$5:$A$254,0)),"Add to Materials"))</f>
        <v>0</v>
      </c>
      <c r="E598" s="13">
        <f>IF(C598="","",IFERROR(INDEX(Materials!$H$5:$H$254,MATCH(C598,Materials!$A$5:$A$254,0)),"Add to Materials"))</f>
        <v>0</v>
      </c>
      <c r="J598" s="33">
        <f>IF(C598="","",IF(G598&lt;&gt;"",G598,IFERROR(INDEX(Materials!$W$5:$W$254,MATCH(C598,Materials!$A$5:$A$254,0)),DefaultWaste)))</f>
        <v>0</v>
      </c>
      <c r="K598" s="36">
        <f>IF(C598="","",IF(F598="","",ROUND(F598*(1+J598),4)))</f>
        <v>0</v>
      </c>
      <c r="L598" s="45">
        <f>IF(C598="","",IFERROR(INDEX(Materials!$S$5:$S$254,MATCH(C598,Materials!$A$5:$A$254,0)),""))</f>
        <v>0</v>
      </c>
      <c r="M598" s="45">
        <f>IF(C598="","",IF(OR(K598="",L598=""),"",ROUND(K598*L598,4)))</f>
        <v>0</v>
      </c>
      <c r="N598" s="20">
        <f>IF(A598="","",ROUND(SUMIFS('Material Usage'!$M$5:$M$904,'Material Usage'!$A$5:$A$904,A598),2))</f>
        <v>0</v>
      </c>
      <c r="O598" s="33">
        <f>IF(A598="","",IF(OR(M598="",N598="",N598=0),"",M598/N598))</f>
        <v>0</v>
      </c>
      <c r="P598" s="32">
        <f>IF(A598="","",COUNTIFS($A$5:A598,A598))</f>
        <v>0</v>
      </c>
      <c r="Q598" s="13">
        <f>IF(A598="","",A598&amp;"|"&amp;P598)</f>
        <v>0</v>
      </c>
      <c r="R598" s="43">
        <f>IF(AND(A598="",C598=""),"",IF(A598="","Add - which product?",IF(C598="","Add - which material?",IF(B598="Not found","Check - no such product ID",IF(D598="Add to Materials","Check - no such material ID",IF(OR(F598="",F598=0),"Add - how much?",IF(L598="","Check - that material has no price","OK")))))))</f>
        <v>0</v>
      </c>
    </row>
    <row r="599" spans="2:18">
      <c r="B599" s="13">
        <f>IF(A599="","",IFERROR(INDEX(Products!$B$5:$B$304,MATCH(A599,Products!$A$5:$A$304,0)),"Not found"))</f>
        <v>0</v>
      </c>
      <c r="D599" s="13">
        <f>IF(C599="","",IFERROR(INDEX(Materials!$B$5:$B$254,MATCH(C599,Materials!$A$5:$A$254,0)),"Add to Materials"))</f>
        <v>0</v>
      </c>
      <c r="E599" s="13">
        <f>IF(C599="","",IFERROR(INDEX(Materials!$H$5:$H$254,MATCH(C599,Materials!$A$5:$A$254,0)),"Add to Materials"))</f>
        <v>0</v>
      </c>
      <c r="J599" s="33">
        <f>IF(C599="","",IF(G599&lt;&gt;"",G599,IFERROR(INDEX(Materials!$W$5:$W$254,MATCH(C599,Materials!$A$5:$A$254,0)),DefaultWaste)))</f>
        <v>0</v>
      </c>
      <c r="K599" s="36">
        <f>IF(C599="","",IF(F599="","",ROUND(F599*(1+J599),4)))</f>
        <v>0</v>
      </c>
      <c r="L599" s="45">
        <f>IF(C599="","",IFERROR(INDEX(Materials!$S$5:$S$254,MATCH(C599,Materials!$A$5:$A$254,0)),""))</f>
        <v>0</v>
      </c>
      <c r="M599" s="45">
        <f>IF(C599="","",IF(OR(K599="",L599=""),"",ROUND(K599*L599,4)))</f>
        <v>0</v>
      </c>
      <c r="N599" s="20">
        <f>IF(A599="","",ROUND(SUMIFS('Material Usage'!$M$5:$M$904,'Material Usage'!$A$5:$A$904,A599),2))</f>
        <v>0</v>
      </c>
      <c r="O599" s="33">
        <f>IF(A599="","",IF(OR(M599="",N599="",N599=0),"",M599/N599))</f>
        <v>0</v>
      </c>
      <c r="P599" s="32">
        <f>IF(A599="","",COUNTIFS($A$5:A599,A599))</f>
        <v>0</v>
      </c>
      <c r="Q599" s="13">
        <f>IF(A599="","",A599&amp;"|"&amp;P599)</f>
        <v>0</v>
      </c>
      <c r="R599" s="43">
        <f>IF(AND(A599="",C599=""),"",IF(A599="","Add - which product?",IF(C599="","Add - which material?",IF(B599="Not found","Check - no such product ID",IF(D599="Add to Materials","Check - no such material ID",IF(OR(F599="",F599=0),"Add - how much?",IF(L599="","Check - that material has no price","OK")))))))</f>
        <v>0</v>
      </c>
    </row>
    <row r="600" spans="2:18">
      <c r="B600" s="13">
        <f>IF(A600="","",IFERROR(INDEX(Products!$B$5:$B$304,MATCH(A600,Products!$A$5:$A$304,0)),"Not found"))</f>
        <v>0</v>
      </c>
      <c r="D600" s="13">
        <f>IF(C600="","",IFERROR(INDEX(Materials!$B$5:$B$254,MATCH(C600,Materials!$A$5:$A$254,0)),"Add to Materials"))</f>
        <v>0</v>
      </c>
      <c r="E600" s="13">
        <f>IF(C600="","",IFERROR(INDEX(Materials!$H$5:$H$254,MATCH(C600,Materials!$A$5:$A$254,0)),"Add to Materials"))</f>
        <v>0</v>
      </c>
      <c r="J600" s="33">
        <f>IF(C600="","",IF(G600&lt;&gt;"",G600,IFERROR(INDEX(Materials!$W$5:$W$254,MATCH(C600,Materials!$A$5:$A$254,0)),DefaultWaste)))</f>
        <v>0</v>
      </c>
      <c r="K600" s="36">
        <f>IF(C600="","",IF(F600="","",ROUND(F600*(1+J600),4)))</f>
        <v>0</v>
      </c>
      <c r="L600" s="45">
        <f>IF(C600="","",IFERROR(INDEX(Materials!$S$5:$S$254,MATCH(C600,Materials!$A$5:$A$254,0)),""))</f>
        <v>0</v>
      </c>
      <c r="M600" s="45">
        <f>IF(C600="","",IF(OR(K600="",L600=""),"",ROUND(K600*L600,4)))</f>
        <v>0</v>
      </c>
      <c r="N600" s="20">
        <f>IF(A600="","",ROUND(SUMIFS('Material Usage'!$M$5:$M$904,'Material Usage'!$A$5:$A$904,A600),2))</f>
        <v>0</v>
      </c>
      <c r="O600" s="33">
        <f>IF(A600="","",IF(OR(M600="",N600="",N600=0),"",M600/N600))</f>
        <v>0</v>
      </c>
      <c r="P600" s="32">
        <f>IF(A600="","",COUNTIFS($A$5:A600,A600))</f>
        <v>0</v>
      </c>
      <c r="Q600" s="13">
        <f>IF(A600="","",A600&amp;"|"&amp;P600)</f>
        <v>0</v>
      </c>
      <c r="R600" s="43">
        <f>IF(AND(A600="",C600=""),"",IF(A600="","Add - which product?",IF(C600="","Add - which material?",IF(B600="Not found","Check - no such product ID",IF(D600="Add to Materials","Check - no such material ID",IF(OR(F600="",F600=0),"Add - how much?",IF(L600="","Check - that material has no price","OK")))))))</f>
        <v>0</v>
      </c>
    </row>
    <row r="601" spans="2:18">
      <c r="B601" s="13">
        <f>IF(A601="","",IFERROR(INDEX(Products!$B$5:$B$304,MATCH(A601,Products!$A$5:$A$304,0)),"Not found"))</f>
        <v>0</v>
      </c>
      <c r="D601" s="13">
        <f>IF(C601="","",IFERROR(INDEX(Materials!$B$5:$B$254,MATCH(C601,Materials!$A$5:$A$254,0)),"Add to Materials"))</f>
        <v>0</v>
      </c>
      <c r="E601" s="13">
        <f>IF(C601="","",IFERROR(INDEX(Materials!$H$5:$H$254,MATCH(C601,Materials!$A$5:$A$254,0)),"Add to Materials"))</f>
        <v>0</v>
      </c>
      <c r="J601" s="33">
        <f>IF(C601="","",IF(G601&lt;&gt;"",G601,IFERROR(INDEX(Materials!$W$5:$W$254,MATCH(C601,Materials!$A$5:$A$254,0)),DefaultWaste)))</f>
        <v>0</v>
      </c>
      <c r="K601" s="36">
        <f>IF(C601="","",IF(F601="","",ROUND(F601*(1+J601),4)))</f>
        <v>0</v>
      </c>
      <c r="L601" s="45">
        <f>IF(C601="","",IFERROR(INDEX(Materials!$S$5:$S$254,MATCH(C601,Materials!$A$5:$A$254,0)),""))</f>
        <v>0</v>
      </c>
      <c r="M601" s="45">
        <f>IF(C601="","",IF(OR(K601="",L601=""),"",ROUND(K601*L601,4)))</f>
        <v>0</v>
      </c>
      <c r="N601" s="20">
        <f>IF(A601="","",ROUND(SUMIFS('Material Usage'!$M$5:$M$904,'Material Usage'!$A$5:$A$904,A601),2))</f>
        <v>0</v>
      </c>
      <c r="O601" s="33">
        <f>IF(A601="","",IF(OR(M601="",N601="",N601=0),"",M601/N601))</f>
        <v>0</v>
      </c>
      <c r="P601" s="32">
        <f>IF(A601="","",COUNTIFS($A$5:A601,A601))</f>
        <v>0</v>
      </c>
      <c r="Q601" s="13">
        <f>IF(A601="","",A601&amp;"|"&amp;P601)</f>
        <v>0</v>
      </c>
      <c r="R601" s="43">
        <f>IF(AND(A601="",C601=""),"",IF(A601="","Add - which product?",IF(C601="","Add - which material?",IF(B601="Not found","Check - no such product ID",IF(D601="Add to Materials","Check - no such material ID",IF(OR(F601="",F601=0),"Add - how much?",IF(L601="","Check - that material has no price","OK")))))))</f>
        <v>0</v>
      </c>
    </row>
    <row r="602" spans="2:18">
      <c r="B602" s="13">
        <f>IF(A602="","",IFERROR(INDEX(Products!$B$5:$B$304,MATCH(A602,Products!$A$5:$A$304,0)),"Not found"))</f>
        <v>0</v>
      </c>
      <c r="D602" s="13">
        <f>IF(C602="","",IFERROR(INDEX(Materials!$B$5:$B$254,MATCH(C602,Materials!$A$5:$A$254,0)),"Add to Materials"))</f>
        <v>0</v>
      </c>
      <c r="E602" s="13">
        <f>IF(C602="","",IFERROR(INDEX(Materials!$H$5:$H$254,MATCH(C602,Materials!$A$5:$A$254,0)),"Add to Materials"))</f>
        <v>0</v>
      </c>
      <c r="J602" s="33">
        <f>IF(C602="","",IF(G602&lt;&gt;"",G602,IFERROR(INDEX(Materials!$W$5:$W$254,MATCH(C602,Materials!$A$5:$A$254,0)),DefaultWaste)))</f>
        <v>0</v>
      </c>
      <c r="K602" s="36">
        <f>IF(C602="","",IF(F602="","",ROUND(F602*(1+J602),4)))</f>
        <v>0</v>
      </c>
      <c r="L602" s="45">
        <f>IF(C602="","",IFERROR(INDEX(Materials!$S$5:$S$254,MATCH(C602,Materials!$A$5:$A$254,0)),""))</f>
        <v>0</v>
      </c>
      <c r="M602" s="45">
        <f>IF(C602="","",IF(OR(K602="",L602=""),"",ROUND(K602*L602,4)))</f>
        <v>0</v>
      </c>
      <c r="N602" s="20">
        <f>IF(A602="","",ROUND(SUMIFS('Material Usage'!$M$5:$M$904,'Material Usage'!$A$5:$A$904,A602),2))</f>
        <v>0</v>
      </c>
      <c r="O602" s="33">
        <f>IF(A602="","",IF(OR(M602="",N602="",N602=0),"",M602/N602))</f>
        <v>0</v>
      </c>
      <c r="P602" s="32">
        <f>IF(A602="","",COUNTIFS($A$5:A602,A602))</f>
        <v>0</v>
      </c>
      <c r="Q602" s="13">
        <f>IF(A602="","",A602&amp;"|"&amp;P602)</f>
        <v>0</v>
      </c>
      <c r="R602" s="43">
        <f>IF(AND(A602="",C602=""),"",IF(A602="","Add - which product?",IF(C602="","Add - which material?",IF(B602="Not found","Check - no such product ID",IF(D602="Add to Materials","Check - no such material ID",IF(OR(F602="",F602=0),"Add - how much?",IF(L602="","Check - that material has no price","OK")))))))</f>
        <v>0</v>
      </c>
    </row>
    <row r="603" spans="2:18">
      <c r="B603" s="13">
        <f>IF(A603="","",IFERROR(INDEX(Products!$B$5:$B$304,MATCH(A603,Products!$A$5:$A$304,0)),"Not found"))</f>
        <v>0</v>
      </c>
      <c r="D603" s="13">
        <f>IF(C603="","",IFERROR(INDEX(Materials!$B$5:$B$254,MATCH(C603,Materials!$A$5:$A$254,0)),"Add to Materials"))</f>
        <v>0</v>
      </c>
      <c r="E603" s="13">
        <f>IF(C603="","",IFERROR(INDEX(Materials!$H$5:$H$254,MATCH(C603,Materials!$A$5:$A$254,0)),"Add to Materials"))</f>
        <v>0</v>
      </c>
      <c r="J603" s="33">
        <f>IF(C603="","",IF(G603&lt;&gt;"",G603,IFERROR(INDEX(Materials!$W$5:$W$254,MATCH(C603,Materials!$A$5:$A$254,0)),DefaultWaste)))</f>
        <v>0</v>
      </c>
      <c r="K603" s="36">
        <f>IF(C603="","",IF(F603="","",ROUND(F603*(1+J603),4)))</f>
        <v>0</v>
      </c>
      <c r="L603" s="45">
        <f>IF(C603="","",IFERROR(INDEX(Materials!$S$5:$S$254,MATCH(C603,Materials!$A$5:$A$254,0)),""))</f>
        <v>0</v>
      </c>
      <c r="M603" s="45">
        <f>IF(C603="","",IF(OR(K603="",L603=""),"",ROUND(K603*L603,4)))</f>
        <v>0</v>
      </c>
      <c r="N603" s="20">
        <f>IF(A603="","",ROUND(SUMIFS('Material Usage'!$M$5:$M$904,'Material Usage'!$A$5:$A$904,A603),2))</f>
        <v>0</v>
      </c>
      <c r="O603" s="33">
        <f>IF(A603="","",IF(OR(M603="",N603="",N603=0),"",M603/N603))</f>
        <v>0</v>
      </c>
      <c r="P603" s="32">
        <f>IF(A603="","",COUNTIFS($A$5:A603,A603))</f>
        <v>0</v>
      </c>
      <c r="Q603" s="13">
        <f>IF(A603="","",A603&amp;"|"&amp;P603)</f>
        <v>0</v>
      </c>
      <c r="R603" s="43">
        <f>IF(AND(A603="",C603=""),"",IF(A603="","Add - which product?",IF(C603="","Add - which material?",IF(B603="Not found","Check - no such product ID",IF(D603="Add to Materials","Check - no such material ID",IF(OR(F603="",F603=0),"Add - how much?",IF(L603="","Check - that material has no price","OK")))))))</f>
        <v>0</v>
      </c>
    </row>
    <row r="604" spans="2:18">
      <c r="B604" s="13">
        <f>IF(A604="","",IFERROR(INDEX(Products!$B$5:$B$304,MATCH(A604,Products!$A$5:$A$304,0)),"Not found"))</f>
        <v>0</v>
      </c>
      <c r="D604" s="13">
        <f>IF(C604="","",IFERROR(INDEX(Materials!$B$5:$B$254,MATCH(C604,Materials!$A$5:$A$254,0)),"Add to Materials"))</f>
        <v>0</v>
      </c>
      <c r="E604" s="13">
        <f>IF(C604="","",IFERROR(INDEX(Materials!$H$5:$H$254,MATCH(C604,Materials!$A$5:$A$254,0)),"Add to Materials"))</f>
        <v>0</v>
      </c>
      <c r="J604" s="33">
        <f>IF(C604="","",IF(G604&lt;&gt;"",G604,IFERROR(INDEX(Materials!$W$5:$W$254,MATCH(C604,Materials!$A$5:$A$254,0)),DefaultWaste)))</f>
        <v>0</v>
      </c>
      <c r="K604" s="36">
        <f>IF(C604="","",IF(F604="","",ROUND(F604*(1+J604),4)))</f>
        <v>0</v>
      </c>
      <c r="L604" s="45">
        <f>IF(C604="","",IFERROR(INDEX(Materials!$S$5:$S$254,MATCH(C604,Materials!$A$5:$A$254,0)),""))</f>
        <v>0</v>
      </c>
      <c r="M604" s="45">
        <f>IF(C604="","",IF(OR(K604="",L604=""),"",ROUND(K604*L604,4)))</f>
        <v>0</v>
      </c>
      <c r="N604" s="20">
        <f>IF(A604="","",ROUND(SUMIFS('Material Usage'!$M$5:$M$904,'Material Usage'!$A$5:$A$904,A604),2))</f>
        <v>0</v>
      </c>
      <c r="O604" s="33">
        <f>IF(A604="","",IF(OR(M604="",N604="",N604=0),"",M604/N604))</f>
        <v>0</v>
      </c>
      <c r="P604" s="32">
        <f>IF(A604="","",COUNTIFS($A$5:A604,A604))</f>
        <v>0</v>
      </c>
      <c r="Q604" s="13">
        <f>IF(A604="","",A604&amp;"|"&amp;P604)</f>
        <v>0</v>
      </c>
      <c r="R604" s="43">
        <f>IF(AND(A604="",C604=""),"",IF(A604="","Add - which product?",IF(C604="","Add - which material?",IF(B604="Not found","Check - no such product ID",IF(D604="Add to Materials","Check - no such material ID",IF(OR(F604="",F604=0),"Add - how much?",IF(L604="","Check - that material has no price","OK")))))))</f>
        <v>0</v>
      </c>
    </row>
    <row r="605" spans="2:18">
      <c r="B605" s="13">
        <f>IF(A605="","",IFERROR(INDEX(Products!$B$5:$B$304,MATCH(A605,Products!$A$5:$A$304,0)),"Not found"))</f>
        <v>0</v>
      </c>
      <c r="D605" s="13">
        <f>IF(C605="","",IFERROR(INDEX(Materials!$B$5:$B$254,MATCH(C605,Materials!$A$5:$A$254,0)),"Add to Materials"))</f>
        <v>0</v>
      </c>
      <c r="E605" s="13">
        <f>IF(C605="","",IFERROR(INDEX(Materials!$H$5:$H$254,MATCH(C605,Materials!$A$5:$A$254,0)),"Add to Materials"))</f>
        <v>0</v>
      </c>
      <c r="J605" s="33">
        <f>IF(C605="","",IF(G605&lt;&gt;"",G605,IFERROR(INDEX(Materials!$W$5:$W$254,MATCH(C605,Materials!$A$5:$A$254,0)),DefaultWaste)))</f>
        <v>0</v>
      </c>
      <c r="K605" s="36">
        <f>IF(C605="","",IF(F605="","",ROUND(F605*(1+J605),4)))</f>
        <v>0</v>
      </c>
      <c r="L605" s="45">
        <f>IF(C605="","",IFERROR(INDEX(Materials!$S$5:$S$254,MATCH(C605,Materials!$A$5:$A$254,0)),""))</f>
        <v>0</v>
      </c>
      <c r="M605" s="45">
        <f>IF(C605="","",IF(OR(K605="",L605=""),"",ROUND(K605*L605,4)))</f>
        <v>0</v>
      </c>
      <c r="N605" s="20">
        <f>IF(A605="","",ROUND(SUMIFS('Material Usage'!$M$5:$M$904,'Material Usage'!$A$5:$A$904,A605),2))</f>
        <v>0</v>
      </c>
      <c r="O605" s="33">
        <f>IF(A605="","",IF(OR(M605="",N605="",N605=0),"",M605/N605))</f>
        <v>0</v>
      </c>
      <c r="P605" s="32">
        <f>IF(A605="","",COUNTIFS($A$5:A605,A605))</f>
        <v>0</v>
      </c>
      <c r="Q605" s="13">
        <f>IF(A605="","",A605&amp;"|"&amp;P605)</f>
        <v>0</v>
      </c>
      <c r="R605" s="43">
        <f>IF(AND(A605="",C605=""),"",IF(A605="","Add - which product?",IF(C605="","Add - which material?",IF(B605="Not found","Check - no such product ID",IF(D605="Add to Materials","Check - no such material ID",IF(OR(F605="",F605=0),"Add - how much?",IF(L605="","Check - that material has no price","OK")))))))</f>
        <v>0</v>
      </c>
    </row>
    <row r="606" spans="2:18">
      <c r="B606" s="13">
        <f>IF(A606="","",IFERROR(INDEX(Products!$B$5:$B$304,MATCH(A606,Products!$A$5:$A$304,0)),"Not found"))</f>
        <v>0</v>
      </c>
      <c r="D606" s="13">
        <f>IF(C606="","",IFERROR(INDEX(Materials!$B$5:$B$254,MATCH(C606,Materials!$A$5:$A$254,0)),"Add to Materials"))</f>
        <v>0</v>
      </c>
      <c r="E606" s="13">
        <f>IF(C606="","",IFERROR(INDEX(Materials!$H$5:$H$254,MATCH(C606,Materials!$A$5:$A$254,0)),"Add to Materials"))</f>
        <v>0</v>
      </c>
      <c r="J606" s="33">
        <f>IF(C606="","",IF(G606&lt;&gt;"",G606,IFERROR(INDEX(Materials!$W$5:$W$254,MATCH(C606,Materials!$A$5:$A$254,0)),DefaultWaste)))</f>
        <v>0</v>
      </c>
      <c r="K606" s="36">
        <f>IF(C606="","",IF(F606="","",ROUND(F606*(1+J606),4)))</f>
        <v>0</v>
      </c>
      <c r="L606" s="45">
        <f>IF(C606="","",IFERROR(INDEX(Materials!$S$5:$S$254,MATCH(C606,Materials!$A$5:$A$254,0)),""))</f>
        <v>0</v>
      </c>
      <c r="M606" s="45">
        <f>IF(C606="","",IF(OR(K606="",L606=""),"",ROUND(K606*L606,4)))</f>
        <v>0</v>
      </c>
      <c r="N606" s="20">
        <f>IF(A606="","",ROUND(SUMIFS('Material Usage'!$M$5:$M$904,'Material Usage'!$A$5:$A$904,A606),2))</f>
        <v>0</v>
      </c>
      <c r="O606" s="33">
        <f>IF(A606="","",IF(OR(M606="",N606="",N606=0),"",M606/N606))</f>
        <v>0</v>
      </c>
      <c r="P606" s="32">
        <f>IF(A606="","",COUNTIFS($A$5:A606,A606))</f>
        <v>0</v>
      </c>
      <c r="Q606" s="13">
        <f>IF(A606="","",A606&amp;"|"&amp;P606)</f>
        <v>0</v>
      </c>
      <c r="R606" s="43">
        <f>IF(AND(A606="",C606=""),"",IF(A606="","Add - which product?",IF(C606="","Add - which material?",IF(B606="Not found","Check - no such product ID",IF(D606="Add to Materials","Check - no such material ID",IF(OR(F606="",F606=0),"Add - how much?",IF(L606="","Check - that material has no price","OK")))))))</f>
        <v>0</v>
      </c>
    </row>
    <row r="607" spans="2:18">
      <c r="B607" s="13">
        <f>IF(A607="","",IFERROR(INDEX(Products!$B$5:$B$304,MATCH(A607,Products!$A$5:$A$304,0)),"Not found"))</f>
        <v>0</v>
      </c>
      <c r="D607" s="13">
        <f>IF(C607="","",IFERROR(INDEX(Materials!$B$5:$B$254,MATCH(C607,Materials!$A$5:$A$254,0)),"Add to Materials"))</f>
        <v>0</v>
      </c>
      <c r="E607" s="13">
        <f>IF(C607="","",IFERROR(INDEX(Materials!$H$5:$H$254,MATCH(C607,Materials!$A$5:$A$254,0)),"Add to Materials"))</f>
        <v>0</v>
      </c>
      <c r="J607" s="33">
        <f>IF(C607="","",IF(G607&lt;&gt;"",G607,IFERROR(INDEX(Materials!$W$5:$W$254,MATCH(C607,Materials!$A$5:$A$254,0)),DefaultWaste)))</f>
        <v>0</v>
      </c>
      <c r="K607" s="36">
        <f>IF(C607="","",IF(F607="","",ROUND(F607*(1+J607),4)))</f>
        <v>0</v>
      </c>
      <c r="L607" s="45">
        <f>IF(C607="","",IFERROR(INDEX(Materials!$S$5:$S$254,MATCH(C607,Materials!$A$5:$A$254,0)),""))</f>
        <v>0</v>
      </c>
      <c r="M607" s="45">
        <f>IF(C607="","",IF(OR(K607="",L607=""),"",ROUND(K607*L607,4)))</f>
        <v>0</v>
      </c>
      <c r="N607" s="20">
        <f>IF(A607="","",ROUND(SUMIFS('Material Usage'!$M$5:$M$904,'Material Usage'!$A$5:$A$904,A607),2))</f>
        <v>0</v>
      </c>
      <c r="O607" s="33">
        <f>IF(A607="","",IF(OR(M607="",N607="",N607=0),"",M607/N607))</f>
        <v>0</v>
      </c>
      <c r="P607" s="32">
        <f>IF(A607="","",COUNTIFS($A$5:A607,A607))</f>
        <v>0</v>
      </c>
      <c r="Q607" s="13">
        <f>IF(A607="","",A607&amp;"|"&amp;P607)</f>
        <v>0</v>
      </c>
      <c r="R607" s="43">
        <f>IF(AND(A607="",C607=""),"",IF(A607="","Add - which product?",IF(C607="","Add - which material?",IF(B607="Not found","Check - no such product ID",IF(D607="Add to Materials","Check - no such material ID",IF(OR(F607="",F607=0),"Add - how much?",IF(L607="","Check - that material has no price","OK")))))))</f>
        <v>0</v>
      </c>
    </row>
    <row r="608" spans="2:18">
      <c r="B608" s="13">
        <f>IF(A608="","",IFERROR(INDEX(Products!$B$5:$B$304,MATCH(A608,Products!$A$5:$A$304,0)),"Not found"))</f>
        <v>0</v>
      </c>
      <c r="D608" s="13">
        <f>IF(C608="","",IFERROR(INDEX(Materials!$B$5:$B$254,MATCH(C608,Materials!$A$5:$A$254,0)),"Add to Materials"))</f>
        <v>0</v>
      </c>
      <c r="E608" s="13">
        <f>IF(C608="","",IFERROR(INDEX(Materials!$H$5:$H$254,MATCH(C608,Materials!$A$5:$A$254,0)),"Add to Materials"))</f>
        <v>0</v>
      </c>
      <c r="J608" s="33">
        <f>IF(C608="","",IF(G608&lt;&gt;"",G608,IFERROR(INDEX(Materials!$W$5:$W$254,MATCH(C608,Materials!$A$5:$A$254,0)),DefaultWaste)))</f>
        <v>0</v>
      </c>
      <c r="K608" s="36">
        <f>IF(C608="","",IF(F608="","",ROUND(F608*(1+J608),4)))</f>
        <v>0</v>
      </c>
      <c r="L608" s="45">
        <f>IF(C608="","",IFERROR(INDEX(Materials!$S$5:$S$254,MATCH(C608,Materials!$A$5:$A$254,0)),""))</f>
        <v>0</v>
      </c>
      <c r="M608" s="45">
        <f>IF(C608="","",IF(OR(K608="",L608=""),"",ROUND(K608*L608,4)))</f>
        <v>0</v>
      </c>
      <c r="N608" s="20">
        <f>IF(A608="","",ROUND(SUMIFS('Material Usage'!$M$5:$M$904,'Material Usage'!$A$5:$A$904,A608),2))</f>
        <v>0</v>
      </c>
      <c r="O608" s="33">
        <f>IF(A608="","",IF(OR(M608="",N608="",N608=0),"",M608/N608))</f>
        <v>0</v>
      </c>
      <c r="P608" s="32">
        <f>IF(A608="","",COUNTIFS($A$5:A608,A608))</f>
        <v>0</v>
      </c>
      <c r="Q608" s="13">
        <f>IF(A608="","",A608&amp;"|"&amp;P608)</f>
        <v>0</v>
      </c>
      <c r="R608" s="43">
        <f>IF(AND(A608="",C608=""),"",IF(A608="","Add - which product?",IF(C608="","Add - which material?",IF(B608="Not found","Check - no such product ID",IF(D608="Add to Materials","Check - no such material ID",IF(OR(F608="",F608=0),"Add - how much?",IF(L608="","Check - that material has no price","OK")))))))</f>
        <v>0</v>
      </c>
    </row>
    <row r="609" spans="2:18">
      <c r="B609" s="13">
        <f>IF(A609="","",IFERROR(INDEX(Products!$B$5:$B$304,MATCH(A609,Products!$A$5:$A$304,0)),"Not found"))</f>
        <v>0</v>
      </c>
      <c r="D609" s="13">
        <f>IF(C609="","",IFERROR(INDEX(Materials!$B$5:$B$254,MATCH(C609,Materials!$A$5:$A$254,0)),"Add to Materials"))</f>
        <v>0</v>
      </c>
      <c r="E609" s="13">
        <f>IF(C609="","",IFERROR(INDEX(Materials!$H$5:$H$254,MATCH(C609,Materials!$A$5:$A$254,0)),"Add to Materials"))</f>
        <v>0</v>
      </c>
      <c r="J609" s="33">
        <f>IF(C609="","",IF(G609&lt;&gt;"",G609,IFERROR(INDEX(Materials!$W$5:$W$254,MATCH(C609,Materials!$A$5:$A$254,0)),DefaultWaste)))</f>
        <v>0</v>
      </c>
      <c r="K609" s="36">
        <f>IF(C609="","",IF(F609="","",ROUND(F609*(1+J609),4)))</f>
        <v>0</v>
      </c>
      <c r="L609" s="45">
        <f>IF(C609="","",IFERROR(INDEX(Materials!$S$5:$S$254,MATCH(C609,Materials!$A$5:$A$254,0)),""))</f>
        <v>0</v>
      </c>
      <c r="M609" s="45">
        <f>IF(C609="","",IF(OR(K609="",L609=""),"",ROUND(K609*L609,4)))</f>
        <v>0</v>
      </c>
      <c r="N609" s="20">
        <f>IF(A609="","",ROUND(SUMIFS('Material Usage'!$M$5:$M$904,'Material Usage'!$A$5:$A$904,A609),2))</f>
        <v>0</v>
      </c>
      <c r="O609" s="33">
        <f>IF(A609="","",IF(OR(M609="",N609="",N609=0),"",M609/N609))</f>
        <v>0</v>
      </c>
      <c r="P609" s="32">
        <f>IF(A609="","",COUNTIFS($A$5:A609,A609))</f>
        <v>0</v>
      </c>
      <c r="Q609" s="13">
        <f>IF(A609="","",A609&amp;"|"&amp;P609)</f>
        <v>0</v>
      </c>
      <c r="R609" s="43">
        <f>IF(AND(A609="",C609=""),"",IF(A609="","Add - which product?",IF(C609="","Add - which material?",IF(B609="Not found","Check - no such product ID",IF(D609="Add to Materials","Check - no such material ID",IF(OR(F609="",F609=0),"Add - how much?",IF(L609="","Check - that material has no price","OK")))))))</f>
        <v>0</v>
      </c>
    </row>
    <row r="610" spans="2:18">
      <c r="B610" s="13">
        <f>IF(A610="","",IFERROR(INDEX(Products!$B$5:$B$304,MATCH(A610,Products!$A$5:$A$304,0)),"Not found"))</f>
        <v>0</v>
      </c>
      <c r="D610" s="13">
        <f>IF(C610="","",IFERROR(INDEX(Materials!$B$5:$B$254,MATCH(C610,Materials!$A$5:$A$254,0)),"Add to Materials"))</f>
        <v>0</v>
      </c>
      <c r="E610" s="13">
        <f>IF(C610="","",IFERROR(INDEX(Materials!$H$5:$H$254,MATCH(C610,Materials!$A$5:$A$254,0)),"Add to Materials"))</f>
        <v>0</v>
      </c>
      <c r="J610" s="33">
        <f>IF(C610="","",IF(G610&lt;&gt;"",G610,IFERROR(INDEX(Materials!$W$5:$W$254,MATCH(C610,Materials!$A$5:$A$254,0)),DefaultWaste)))</f>
        <v>0</v>
      </c>
      <c r="K610" s="36">
        <f>IF(C610="","",IF(F610="","",ROUND(F610*(1+J610),4)))</f>
        <v>0</v>
      </c>
      <c r="L610" s="45">
        <f>IF(C610="","",IFERROR(INDEX(Materials!$S$5:$S$254,MATCH(C610,Materials!$A$5:$A$254,0)),""))</f>
        <v>0</v>
      </c>
      <c r="M610" s="45">
        <f>IF(C610="","",IF(OR(K610="",L610=""),"",ROUND(K610*L610,4)))</f>
        <v>0</v>
      </c>
      <c r="N610" s="20">
        <f>IF(A610="","",ROUND(SUMIFS('Material Usage'!$M$5:$M$904,'Material Usage'!$A$5:$A$904,A610),2))</f>
        <v>0</v>
      </c>
      <c r="O610" s="33">
        <f>IF(A610="","",IF(OR(M610="",N610="",N610=0),"",M610/N610))</f>
        <v>0</v>
      </c>
      <c r="P610" s="32">
        <f>IF(A610="","",COUNTIFS($A$5:A610,A610))</f>
        <v>0</v>
      </c>
      <c r="Q610" s="13">
        <f>IF(A610="","",A610&amp;"|"&amp;P610)</f>
        <v>0</v>
      </c>
      <c r="R610" s="43">
        <f>IF(AND(A610="",C610=""),"",IF(A610="","Add - which product?",IF(C610="","Add - which material?",IF(B610="Not found","Check - no such product ID",IF(D610="Add to Materials","Check - no such material ID",IF(OR(F610="",F610=0),"Add - how much?",IF(L610="","Check - that material has no price","OK")))))))</f>
        <v>0</v>
      </c>
    </row>
    <row r="611" spans="2:18">
      <c r="B611" s="13">
        <f>IF(A611="","",IFERROR(INDEX(Products!$B$5:$B$304,MATCH(A611,Products!$A$5:$A$304,0)),"Not found"))</f>
        <v>0</v>
      </c>
      <c r="D611" s="13">
        <f>IF(C611="","",IFERROR(INDEX(Materials!$B$5:$B$254,MATCH(C611,Materials!$A$5:$A$254,0)),"Add to Materials"))</f>
        <v>0</v>
      </c>
      <c r="E611" s="13">
        <f>IF(C611="","",IFERROR(INDEX(Materials!$H$5:$H$254,MATCH(C611,Materials!$A$5:$A$254,0)),"Add to Materials"))</f>
        <v>0</v>
      </c>
      <c r="J611" s="33">
        <f>IF(C611="","",IF(G611&lt;&gt;"",G611,IFERROR(INDEX(Materials!$W$5:$W$254,MATCH(C611,Materials!$A$5:$A$254,0)),DefaultWaste)))</f>
        <v>0</v>
      </c>
      <c r="K611" s="36">
        <f>IF(C611="","",IF(F611="","",ROUND(F611*(1+J611),4)))</f>
        <v>0</v>
      </c>
      <c r="L611" s="45">
        <f>IF(C611="","",IFERROR(INDEX(Materials!$S$5:$S$254,MATCH(C611,Materials!$A$5:$A$254,0)),""))</f>
        <v>0</v>
      </c>
      <c r="M611" s="45">
        <f>IF(C611="","",IF(OR(K611="",L611=""),"",ROUND(K611*L611,4)))</f>
        <v>0</v>
      </c>
      <c r="N611" s="20">
        <f>IF(A611="","",ROUND(SUMIFS('Material Usage'!$M$5:$M$904,'Material Usage'!$A$5:$A$904,A611),2))</f>
        <v>0</v>
      </c>
      <c r="O611" s="33">
        <f>IF(A611="","",IF(OR(M611="",N611="",N611=0),"",M611/N611))</f>
        <v>0</v>
      </c>
      <c r="P611" s="32">
        <f>IF(A611="","",COUNTIFS($A$5:A611,A611))</f>
        <v>0</v>
      </c>
      <c r="Q611" s="13">
        <f>IF(A611="","",A611&amp;"|"&amp;P611)</f>
        <v>0</v>
      </c>
      <c r="R611" s="43">
        <f>IF(AND(A611="",C611=""),"",IF(A611="","Add - which product?",IF(C611="","Add - which material?",IF(B611="Not found","Check - no such product ID",IF(D611="Add to Materials","Check - no such material ID",IF(OR(F611="",F611=0),"Add - how much?",IF(L611="","Check - that material has no price","OK")))))))</f>
        <v>0</v>
      </c>
    </row>
    <row r="612" spans="2:18">
      <c r="B612" s="13">
        <f>IF(A612="","",IFERROR(INDEX(Products!$B$5:$B$304,MATCH(A612,Products!$A$5:$A$304,0)),"Not found"))</f>
        <v>0</v>
      </c>
      <c r="D612" s="13">
        <f>IF(C612="","",IFERROR(INDEX(Materials!$B$5:$B$254,MATCH(C612,Materials!$A$5:$A$254,0)),"Add to Materials"))</f>
        <v>0</v>
      </c>
      <c r="E612" s="13">
        <f>IF(C612="","",IFERROR(INDEX(Materials!$H$5:$H$254,MATCH(C612,Materials!$A$5:$A$254,0)),"Add to Materials"))</f>
        <v>0</v>
      </c>
      <c r="J612" s="33">
        <f>IF(C612="","",IF(G612&lt;&gt;"",G612,IFERROR(INDEX(Materials!$W$5:$W$254,MATCH(C612,Materials!$A$5:$A$254,0)),DefaultWaste)))</f>
        <v>0</v>
      </c>
      <c r="K612" s="36">
        <f>IF(C612="","",IF(F612="","",ROUND(F612*(1+J612),4)))</f>
        <v>0</v>
      </c>
      <c r="L612" s="45">
        <f>IF(C612="","",IFERROR(INDEX(Materials!$S$5:$S$254,MATCH(C612,Materials!$A$5:$A$254,0)),""))</f>
        <v>0</v>
      </c>
      <c r="M612" s="45">
        <f>IF(C612="","",IF(OR(K612="",L612=""),"",ROUND(K612*L612,4)))</f>
        <v>0</v>
      </c>
      <c r="N612" s="20">
        <f>IF(A612="","",ROUND(SUMIFS('Material Usage'!$M$5:$M$904,'Material Usage'!$A$5:$A$904,A612),2))</f>
        <v>0</v>
      </c>
      <c r="O612" s="33">
        <f>IF(A612="","",IF(OR(M612="",N612="",N612=0),"",M612/N612))</f>
        <v>0</v>
      </c>
      <c r="P612" s="32">
        <f>IF(A612="","",COUNTIFS($A$5:A612,A612))</f>
        <v>0</v>
      </c>
      <c r="Q612" s="13">
        <f>IF(A612="","",A612&amp;"|"&amp;P612)</f>
        <v>0</v>
      </c>
      <c r="R612" s="43">
        <f>IF(AND(A612="",C612=""),"",IF(A612="","Add - which product?",IF(C612="","Add - which material?",IF(B612="Not found","Check - no such product ID",IF(D612="Add to Materials","Check - no such material ID",IF(OR(F612="",F612=0),"Add - how much?",IF(L612="","Check - that material has no price","OK")))))))</f>
        <v>0</v>
      </c>
    </row>
    <row r="613" spans="2:18">
      <c r="B613" s="13">
        <f>IF(A613="","",IFERROR(INDEX(Products!$B$5:$B$304,MATCH(A613,Products!$A$5:$A$304,0)),"Not found"))</f>
        <v>0</v>
      </c>
      <c r="D613" s="13">
        <f>IF(C613="","",IFERROR(INDEX(Materials!$B$5:$B$254,MATCH(C613,Materials!$A$5:$A$254,0)),"Add to Materials"))</f>
        <v>0</v>
      </c>
      <c r="E613" s="13">
        <f>IF(C613="","",IFERROR(INDEX(Materials!$H$5:$H$254,MATCH(C613,Materials!$A$5:$A$254,0)),"Add to Materials"))</f>
        <v>0</v>
      </c>
      <c r="J613" s="33">
        <f>IF(C613="","",IF(G613&lt;&gt;"",G613,IFERROR(INDEX(Materials!$W$5:$W$254,MATCH(C613,Materials!$A$5:$A$254,0)),DefaultWaste)))</f>
        <v>0</v>
      </c>
      <c r="K613" s="36">
        <f>IF(C613="","",IF(F613="","",ROUND(F613*(1+J613),4)))</f>
        <v>0</v>
      </c>
      <c r="L613" s="45">
        <f>IF(C613="","",IFERROR(INDEX(Materials!$S$5:$S$254,MATCH(C613,Materials!$A$5:$A$254,0)),""))</f>
        <v>0</v>
      </c>
      <c r="M613" s="45">
        <f>IF(C613="","",IF(OR(K613="",L613=""),"",ROUND(K613*L613,4)))</f>
        <v>0</v>
      </c>
      <c r="N613" s="20">
        <f>IF(A613="","",ROUND(SUMIFS('Material Usage'!$M$5:$M$904,'Material Usage'!$A$5:$A$904,A613),2))</f>
        <v>0</v>
      </c>
      <c r="O613" s="33">
        <f>IF(A613="","",IF(OR(M613="",N613="",N613=0),"",M613/N613))</f>
        <v>0</v>
      </c>
      <c r="P613" s="32">
        <f>IF(A613="","",COUNTIFS($A$5:A613,A613))</f>
        <v>0</v>
      </c>
      <c r="Q613" s="13">
        <f>IF(A613="","",A613&amp;"|"&amp;P613)</f>
        <v>0</v>
      </c>
      <c r="R613" s="43">
        <f>IF(AND(A613="",C613=""),"",IF(A613="","Add - which product?",IF(C613="","Add - which material?",IF(B613="Not found","Check - no such product ID",IF(D613="Add to Materials","Check - no such material ID",IF(OR(F613="",F613=0),"Add - how much?",IF(L613="","Check - that material has no price","OK")))))))</f>
        <v>0</v>
      </c>
    </row>
    <row r="614" spans="2:18">
      <c r="B614" s="13">
        <f>IF(A614="","",IFERROR(INDEX(Products!$B$5:$B$304,MATCH(A614,Products!$A$5:$A$304,0)),"Not found"))</f>
        <v>0</v>
      </c>
      <c r="D614" s="13">
        <f>IF(C614="","",IFERROR(INDEX(Materials!$B$5:$B$254,MATCH(C614,Materials!$A$5:$A$254,0)),"Add to Materials"))</f>
        <v>0</v>
      </c>
      <c r="E614" s="13">
        <f>IF(C614="","",IFERROR(INDEX(Materials!$H$5:$H$254,MATCH(C614,Materials!$A$5:$A$254,0)),"Add to Materials"))</f>
        <v>0</v>
      </c>
      <c r="J614" s="33">
        <f>IF(C614="","",IF(G614&lt;&gt;"",G614,IFERROR(INDEX(Materials!$W$5:$W$254,MATCH(C614,Materials!$A$5:$A$254,0)),DefaultWaste)))</f>
        <v>0</v>
      </c>
      <c r="K614" s="36">
        <f>IF(C614="","",IF(F614="","",ROUND(F614*(1+J614),4)))</f>
        <v>0</v>
      </c>
      <c r="L614" s="45">
        <f>IF(C614="","",IFERROR(INDEX(Materials!$S$5:$S$254,MATCH(C614,Materials!$A$5:$A$254,0)),""))</f>
        <v>0</v>
      </c>
      <c r="M614" s="45">
        <f>IF(C614="","",IF(OR(K614="",L614=""),"",ROUND(K614*L614,4)))</f>
        <v>0</v>
      </c>
      <c r="N614" s="20">
        <f>IF(A614="","",ROUND(SUMIFS('Material Usage'!$M$5:$M$904,'Material Usage'!$A$5:$A$904,A614),2))</f>
        <v>0</v>
      </c>
      <c r="O614" s="33">
        <f>IF(A614="","",IF(OR(M614="",N614="",N614=0),"",M614/N614))</f>
        <v>0</v>
      </c>
      <c r="P614" s="32">
        <f>IF(A614="","",COUNTIFS($A$5:A614,A614))</f>
        <v>0</v>
      </c>
      <c r="Q614" s="13">
        <f>IF(A614="","",A614&amp;"|"&amp;P614)</f>
        <v>0</v>
      </c>
      <c r="R614" s="43">
        <f>IF(AND(A614="",C614=""),"",IF(A614="","Add - which product?",IF(C614="","Add - which material?",IF(B614="Not found","Check - no such product ID",IF(D614="Add to Materials","Check - no such material ID",IF(OR(F614="",F614=0),"Add - how much?",IF(L614="","Check - that material has no price","OK")))))))</f>
        <v>0</v>
      </c>
    </row>
    <row r="615" spans="2:18">
      <c r="B615" s="13">
        <f>IF(A615="","",IFERROR(INDEX(Products!$B$5:$B$304,MATCH(A615,Products!$A$5:$A$304,0)),"Not found"))</f>
        <v>0</v>
      </c>
      <c r="D615" s="13">
        <f>IF(C615="","",IFERROR(INDEX(Materials!$B$5:$B$254,MATCH(C615,Materials!$A$5:$A$254,0)),"Add to Materials"))</f>
        <v>0</v>
      </c>
      <c r="E615" s="13">
        <f>IF(C615="","",IFERROR(INDEX(Materials!$H$5:$H$254,MATCH(C615,Materials!$A$5:$A$254,0)),"Add to Materials"))</f>
        <v>0</v>
      </c>
      <c r="J615" s="33">
        <f>IF(C615="","",IF(G615&lt;&gt;"",G615,IFERROR(INDEX(Materials!$W$5:$W$254,MATCH(C615,Materials!$A$5:$A$254,0)),DefaultWaste)))</f>
        <v>0</v>
      </c>
      <c r="K615" s="36">
        <f>IF(C615="","",IF(F615="","",ROUND(F615*(1+J615),4)))</f>
        <v>0</v>
      </c>
      <c r="L615" s="45">
        <f>IF(C615="","",IFERROR(INDEX(Materials!$S$5:$S$254,MATCH(C615,Materials!$A$5:$A$254,0)),""))</f>
        <v>0</v>
      </c>
      <c r="M615" s="45">
        <f>IF(C615="","",IF(OR(K615="",L615=""),"",ROUND(K615*L615,4)))</f>
        <v>0</v>
      </c>
      <c r="N615" s="20">
        <f>IF(A615="","",ROUND(SUMIFS('Material Usage'!$M$5:$M$904,'Material Usage'!$A$5:$A$904,A615),2))</f>
        <v>0</v>
      </c>
      <c r="O615" s="33">
        <f>IF(A615="","",IF(OR(M615="",N615="",N615=0),"",M615/N615))</f>
        <v>0</v>
      </c>
      <c r="P615" s="32">
        <f>IF(A615="","",COUNTIFS($A$5:A615,A615))</f>
        <v>0</v>
      </c>
      <c r="Q615" s="13">
        <f>IF(A615="","",A615&amp;"|"&amp;P615)</f>
        <v>0</v>
      </c>
      <c r="R615" s="43">
        <f>IF(AND(A615="",C615=""),"",IF(A615="","Add - which product?",IF(C615="","Add - which material?",IF(B615="Not found","Check - no such product ID",IF(D615="Add to Materials","Check - no such material ID",IF(OR(F615="",F615=0),"Add - how much?",IF(L615="","Check - that material has no price","OK")))))))</f>
        <v>0</v>
      </c>
    </row>
    <row r="616" spans="2:18">
      <c r="B616" s="13">
        <f>IF(A616="","",IFERROR(INDEX(Products!$B$5:$B$304,MATCH(A616,Products!$A$5:$A$304,0)),"Not found"))</f>
        <v>0</v>
      </c>
      <c r="D616" s="13">
        <f>IF(C616="","",IFERROR(INDEX(Materials!$B$5:$B$254,MATCH(C616,Materials!$A$5:$A$254,0)),"Add to Materials"))</f>
        <v>0</v>
      </c>
      <c r="E616" s="13">
        <f>IF(C616="","",IFERROR(INDEX(Materials!$H$5:$H$254,MATCH(C616,Materials!$A$5:$A$254,0)),"Add to Materials"))</f>
        <v>0</v>
      </c>
      <c r="J616" s="33">
        <f>IF(C616="","",IF(G616&lt;&gt;"",G616,IFERROR(INDEX(Materials!$W$5:$W$254,MATCH(C616,Materials!$A$5:$A$254,0)),DefaultWaste)))</f>
        <v>0</v>
      </c>
      <c r="K616" s="36">
        <f>IF(C616="","",IF(F616="","",ROUND(F616*(1+J616),4)))</f>
        <v>0</v>
      </c>
      <c r="L616" s="45">
        <f>IF(C616="","",IFERROR(INDEX(Materials!$S$5:$S$254,MATCH(C616,Materials!$A$5:$A$254,0)),""))</f>
        <v>0</v>
      </c>
      <c r="M616" s="45">
        <f>IF(C616="","",IF(OR(K616="",L616=""),"",ROUND(K616*L616,4)))</f>
        <v>0</v>
      </c>
      <c r="N616" s="20">
        <f>IF(A616="","",ROUND(SUMIFS('Material Usage'!$M$5:$M$904,'Material Usage'!$A$5:$A$904,A616),2))</f>
        <v>0</v>
      </c>
      <c r="O616" s="33">
        <f>IF(A616="","",IF(OR(M616="",N616="",N616=0),"",M616/N616))</f>
        <v>0</v>
      </c>
      <c r="P616" s="32">
        <f>IF(A616="","",COUNTIFS($A$5:A616,A616))</f>
        <v>0</v>
      </c>
      <c r="Q616" s="13">
        <f>IF(A616="","",A616&amp;"|"&amp;P616)</f>
        <v>0</v>
      </c>
      <c r="R616" s="43">
        <f>IF(AND(A616="",C616=""),"",IF(A616="","Add - which product?",IF(C616="","Add - which material?",IF(B616="Not found","Check - no such product ID",IF(D616="Add to Materials","Check - no such material ID",IF(OR(F616="",F616=0),"Add - how much?",IF(L616="","Check - that material has no price","OK")))))))</f>
        <v>0</v>
      </c>
    </row>
    <row r="617" spans="2:18">
      <c r="B617" s="13">
        <f>IF(A617="","",IFERROR(INDEX(Products!$B$5:$B$304,MATCH(A617,Products!$A$5:$A$304,0)),"Not found"))</f>
        <v>0</v>
      </c>
      <c r="D617" s="13">
        <f>IF(C617="","",IFERROR(INDEX(Materials!$B$5:$B$254,MATCH(C617,Materials!$A$5:$A$254,0)),"Add to Materials"))</f>
        <v>0</v>
      </c>
      <c r="E617" s="13">
        <f>IF(C617="","",IFERROR(INDEX(Materials!$H$5:$H$254,MATCH(C617,Materials!$A$5:$A$254,0)),"Add to Materials"))</f>
        <v>0</v>
      </c>
      <c r="J617" s="33">
        <f>IF(C617="","",IF(G617&lt;&gt;"",G617,IFERROR(INDEX(Materials!$W$5:$W$254,MATCH(C617,Materials!$A$5:$A$254,0)),DefaultWaste)))</f>
        <v>0</v>
      </c>
      <c r="K617" s="36">
        <f>IF(C617="","",IF(F617="","",ROUND(F617*(1+J617),4)))</f>
        <v>0</v>
      </c>
      <c r="L617" s="45">
        <f>IF(C617="","",IFERROR(INDEX(Materials!$S$5:$S$254,MATCH(C617,Materials!$A$5:$A$254,0)),""))</f>
        <v>0</v>
      </c>
      <c r="M617" s="45">
        <f>IF(C617="","",IF(OR(K617="",L617=""),"",ROUND(K617*L617,4)))</f>
        <v>0</v>
      </c>
      <c r="N617" s="20">
        <f>IF(A617="","",ROUND(SUMIFS('Material Usage'!$M$5:$M$904,'Material Usage'!$A$5:$A$904,A617),2))</f>
        <v>0</v>
      </c>
      <c r="O617" s="33">
        <f>IF(A617="","",IF(OR(M617="",N617="",N617=0),"",M617/N617))</f>
        <v>0</v>
      </c>
      <c r="P617" s="32">
        <f>IF(A617="","",COUNTIFS($A$5:A617,A617))</f>
        <v>0</v>
      </c>
      <c r="Q617" s="13">
        <f>IF(A617="","",A617&amp;"|"&amp;P617)</f>
        <v>0</v>
      </c>
      <c r="R617" s="43">
        <f>IF(AND(A617="",C617=""),"",IF(A617="","Add - which product?",IF(C617="","Add - which material?",IF(B617="Not found","Check - no such product ID",IF(D617="Add to Materials","Check - no such material ID",IF(OR(F617="",F617=0),"Add - how much?",IF(L617="","Check - that material has no price","OK")))))))</f>
        <v>0</v>
      </c>
    </row>
    <row r="618" spans="2:18">
      <c r="B618" s="13">
        <f>IF(A618="","",IFERROR(INDEX(Products!$B$5:$B$304,MATCH(A618,Products!$A$5:$A$304,0)),"Not found"))</f>
        <v>0</v>
      </c>
      <c r="D618" s="13">
        <f>IF(C618="","",IFERROR(INDEX(Materials!$B$5:$B$254,MATCH(C618,Materials!$A$5:$A$254,0)),"Add to Materials"))</f>
        <v>0</v>
      </c>
      <c r="E618" s="13">
        <f>IF(C618="","",IFERROR(INDEX(Materials!$H$5:$H$254,MATCH(C618,Materials!$A$5:$A$254,0)),"Add to Materials"))</f>
        <v>0</v>
      </c>
      <c r="J618" s="33">
        <f>IF(C618="","",IF(G618&lt;&gt;"",G618,IFERROR(INDEX(Materials!$W$5:$W$254,MATCH(C618,Materials!$A$5:$A$254,0)),DefaultWaste)))</f>
        <v>0</v>
      </c>
      <c r="K618" s="36">
        <f>IF(C618="","",IF(F618="","",ROUND(F618*(1+J618),4)))</f>
        <v>0</v>
      </c>
      <c r="L618" s="45">
        <f>IF(C618="","",IFERROR(INDEX(Materials!$S$5:$S$254,MATCH(C618,Materials!$A$5:$A$254,0)),""))</f>
        <v>0</v>
      </c>
      <c r="M618" s="45">
        <f>IF(C618="","",IF(OR(K618="",L618=""),"",ROUND(K618*L618,4)))</f>
        <v>0</v>
      </c>
      <c r="N618" s="20">
        <f>IF(A618="","",ROUND(SUMIFS('Material Usage'!$M$5:$M$904,'Material Usage'!$A$5:$A$904,A618),2))</f>
        <v>0</v>
      </c>
      <c r="O618" s="33">
        <f>IF(A618="","",IF(OR(M618="",N618="",N618=0),"",M618/N618))</f>
        <v>0</v>
      </c>
      <c r="P618" s="32">
        <f>IF(A618="","",COUNTIFS($A$5:A618,A618))</f>
        <v>0</v>
      </c>
      <c r="Q618" s="13">
        <f>IF(A618="","",A618&amp;"|"&amp;P618)</f>
        <v>0</v>
      </c>
      <c r="R618" s="43">
        <f>IF(AND(A618="",C618=""),"",IF(A618="","Add - which product?",IF(C618="","Add - which material?",IF(B618="Not found","Check - no such product ID",IF(D618="Add to Materials","Check - no such material ID",IF(OR(F618="",F618=0),"Add - how much?",IF(L618="","Check - that material has no price","OK")))))))</f>
        <v>0</v>
      </c>
    </row>
    <row r="619" spans="2:18">
      <c r="B619" s="13">
        <f>IF(A619="","",IFERROR(INDEX(Products!$B$5:$B$304,MATCH(A619,Products!$A$5:$A$304,0)),"Not found"))</f>
        <v>0</v>
      </c>
      <c r="D619" s="13">
        <f>IF(C619="","",IFERROR(INDEX(Materials!$B$5:$B$254,MATCH(C619,Materials!$A$5:$A$254,0)),"Add to Materials"))</f>
        <v>0</v>
      </c>
      <c r="E619" s="13">
        <f>IF(C619="","",IFERROR(INDEX(Materials!$H$5:$H$254,MATCH(C619,Materials!$A$5:$A$254,0)),"Add to Materials"))</f>
        <v>0</v>
      </c>
      <c r="J619" s="33">
        <f>IF(C619="","",IF(G619&lt;&gt;"",G619,IFERROR(INDEX(Materials!$W$5:$W$254,MATCH(C619,Materials!$A$5:$A$254,0)),DefaultWaste)))</f>
        <v>0</v>
      </c>
      <c r="K619" s="36">
        <f>IF(C619="","",IF(F619="","",ROUND(F619*(1+J619),4)))</f>
        <v>0</v>
      </c>
      <c r="L619" s="45">
        <f>IF(C619="","",IFERROR(INDEX(Materials!$S$5:$S$254,MATCH(C619,Materials!$A$5:$A$254,0)),""))</f>
        <v>0</v>
      </c>
      <c r="M619" s="45">
        <f>IF(C619="","",IF(OR(K619="",L619=""),"",ROUND(K619*L619,4)))</f>
        <v>0</v>
      </c>
      <c r="N619" s="20">
        <f>IF(A619="","",ROUND(SUMIFS('Material Usage'!$M$5:$M$904,'Material Usage'!$A$5:$A$904,A619),2))</f>
        <v>0</v>
      </c>
      <c r="O619" s="33">
        <f>IF(A619="","",IF(OR(M619="",N619="",N619=0),"",M619/N619))</f>
        <v>0</v>
      </c>
      <c r="P619" s="32">
        <f>IF(A619="","",COUNTIFS($A$5:A619,A619))</f>
        <v>0</v>
      </c>
      <c r="Q619" s="13">
        <f>IF(A619="","",A619&amp;"|"&amp;P619)</f>
        <v>0</v>
      </c>
      <c r="R619" s="43">
        <f>IF(AND(A619="",C619=""),"",IF(A619="","Add - which product?",IF(C619="","Add - which material?",IF(B619="Not found","Check - no such product ID",IF(D619="Add to Materials","Check - no such material ID",IF(OR(F619="",F619=0),"Add - how much?",IF(L619="","Check - that material has no price","OK")))))))</f>
        <v>0</v>
      </c>
    </row>
    <row r="620" spans="2:18">
      <c r="B620" s="13">
        <f>IF(A620="","",IFERROR(INDEX(Products!$B$5:$B$304,MATCH(A620,Products!$A$5:$A$304,0)),"Not found"))</f>
        <v>0</v>
      </c>
      <c r="D620" s="13">
        <f>IF(C620="","",IFERROR(INDEX(Materials!$B$5:$B$254,MATCH(C620,Materials!$A$5:$A$254,0)),"Add to Materials"))</f>
        <v>0</v>
      </c>
      <c r="E620" s="13">
        <f>IF(C620="","",IFERROR(INDEX(Materials!$H$5:$H$254,MATCH(C620,Materials!$A$5:$A$254,0)),"Add to Materials"))</f>
        <v>0</v>
      </c>
      <c r="J620" s="33">
        <f>IF(C620="","",IF(G620&lt;&gt;"",G620,IFERROR(INDEX(Materials!$W$5:$W$254,MATCH(C620,Materials!$A$5:$A$254,0)),DefaultWaste)))</f>
        <v>0</v>
      </c>
      <c r="K620" s="36">
        <f>IF(C620="","",IF(F620="","",ROUND(F620*(1+J620),4)))</f>
        <v>0</v>
      </c>
      <c r="L620" s="45">
        <f>IF(C620="","",IFERROR(INDEX(Materials!$S$5:$S$254,MATCH(C620,Materials!$A$5:$A$254,0)),""))</f>
        <v>0</v>
      </c>
      <c r="M620" s="45">
        <f>IF(C620="","",IF(OR(K620="",L620=""),"",ROUND(K620*L620,4)))</f>
        <v>0</v>
      </c>
      <c r="N620" s="20">
        <f>IF(A620="","",ROUND(SUMIFS('Material Usage'!$M$5:$M$904,'Material Usage'!$A$5:$A$904,A620),2))</f>
        <v>0</v>
      </c>
      <c r="O620" s="33">
        <f>IF(A620="","",IF(OR(M620="",N620="",N620=0),"",M620/N620))</f>
        <v>0</v>
      </c>
      <c r="P620" s="32">
        <f>IF(A620="","",COUNTIFS($A$5:A620,A620))</f>
        <v>0</v>
      </c>
      <c r="Q620" s="13">
        <f>IF(A620="","",A620&amp;"|"&amp;P620)</f>
        <v>0</v>
      </c>
      <c r="R620" s="43">
        <f>IF(AND(A620="",C620=""),"",IF(A620="","Add - which product?",IF(C620="","Add - which material?",IF(B620="Not found","Check - no such product ID",IF(D620="Add to Materials","Check - no such material ID",IF(OR(F620="",F620=0),"Add - how much?",IF(L620="","Check - that material has no price","OK")))))))</f>
        <v>0</v>
      </c>
    </row>
    <row r="621" spans="2:18">
      <c r="B621" s="13">
        <f>IF(A621="","",IFERROR(INDEX(Products!$B$5:$B$304,MATCH(A621,Products!$A$5:$A$304,0)),"Not found"))</f>
        <v>0</v>
      </c>
      <c r="D621" s="13">
        <f>IF(C621="","",IFERROR(INDEX(Materials!$B$5:$B$254,MATCH(C621,Materials!$A$5:$A$254,0)),"Add to Materials"))</f>
        <v>0</v>
      </c>
      <c r="E621" s="13">
        <f>IF(C621="","",IFERROR(INDEX(Materials!$H$5:$H$254,MATCH(C621,Materials!$A$5:$A$254,0)),"Add to Materials"))</f>
        <v>0</v>
      </c>
      <c r="J621" s="33">
        <f>IF(C621="","",IF(G621&lt;&gt;"",G621,IFERROR(INDEX(Materials!$W$5:$W$254,MATCH(C621,Materials!$A$5:$A$254,0)),DefaultWaste)))</f>
        <v>0</v>
      </c>
      <c r="K621" s="36">
        <f>IF(C621="","",IF(F621="","",ROUND(F621*(1+J621),4)))</f>
        <v>0</v>
      </c>
      <c r="L621" s="45">
        <f>IF(C621="","",IFERROR(INDEX(Materials!$S$5:$S$254,MATCH(C621,Materials!$A$5:$A$254,0)),""))</f>
        <v>0</v>
      </c>
      <c r="M621" s="45">
        <f>IF(C621="","",IF(OR(K621="",L621=""),"",ROUND(K621*L621,4)))</f>
        <v>0</v>
      </c>
      <c r="N621" s="20">
        <f>IF(A621="","",ROUND(SUMIFS('Material Usage'!$M$5:$M$904,'Material Usage'!$A$5:$A$904,A621),2))</f>
        <v>0</v>
      </c>
      <c r="O621" s="33">
        <f>IF(A621="","",IF(OR(M621="",N621="",N621=0),"",M621/N621))</f>
        <v>0</v>
      </c>
      <c r="P621" s="32">
        <f>IF(A621="","",COUNTIFS($A$5:A621,A621))</f>
        <v>0</v>
      </c>
      <c r="Q621" s="13">
        <f>IF(A621="","",A621&amp;"|"&amp;P621)</f>
        <v>0</v>
      </c>
      <c r="R621" s="43">
        <f>IF(AND(A621="",C621=""),"",IF(A621="","Add - which product?",IF(C621="","Add - which material?",IF(B621="Not found","Check - no such product ID",IF(D621="Add to Materials","Check - no such material ID",IF(OR(F621="",F621=0),"Add - how much?",IF(L621="","Check - that material has no price","OK")))))))</f>
        <v>0</v>
      </c>
    </row>
    <row r="622" spans="2:18">
      <c r="B622" s="13">
        <f>IF(A622="","",IFERROR(INDEX(Products!$B$5:$B$304,MATCH(A622,Products!$A$5:$A$304,0)),"Not found"))</f>
        <v>0</v>
      </c>
      <c r="D622" s="13">
        <f>IF(C622="","",IFERROR(INDEX(Materials!$B$5:$B$254,MATCH(C622,Materials!$A$5:$A$254,0)),"Add to Materials"))</f>
        <v>0</v>
      </c>
      <c r="E622" s="13">
        <f>IF(C622="","",IFERROR(INDEX(Materials!$H$5:$H$254,MATCH(C622,Materials!$A$5:$A$254,0)),"Add to Materials"))</f>
        <v>0</v>
      </c>
      <c r="J622" s="33">
        <f>IF(C622="","",IF(G622&lt;&gt;"",G622,IFERROR(INDEX(Materials!$W$5:$W$254,MATCH(C622,Materials!$A$5:$A$254,0)),DefaultWaste)))</f>
        <v>0</v>
      </c>
      <c r="K622" s="36">
        <f>IF(C622="","",IF(F622="","",ROUND(F622*(1+J622),4)))</f>
        <v>0</v>
      </c>
      <c r="L622" s="45">
        <f>IF(C622="","",IFERROR(INDEX(Materials!$S$5:$S$254,MATCH(C622,Materials!$A$5:$A$254,0)),""))</f>
        <v>0</v>
      </c>
      <c r="M622" s="45">
        <f>IF(C622="","",IF(OR(K622="",L622=""),"",ROUND(K622*L622,4)))</f>
        <v>0</v>
      </c>
      <c r="N622" s="20">
        <f>IF(A622="","",ROUND(SUMIFS('Material Usage'!$M$5:$M$904,'Material Usage'!$A$5:$A$904,A622),2))</f>
        <v>0</v>
      </c>
      <c r="O622" s="33">
        <f>IF(A622="","",IF(OR(M622="",N622="",N622=0),"",M622/N622))</f>
        <v>0</v>
      </c>
      <c r="P622" s="32">
        <f>IF(A622="","",COUNTIFS($A$5:A622,A622))</f>
        <v>0</v>
      </c>
      <c r="Q622" s="13">
        <f>IF(A622="","",A622&amp;"|"&amp;P622)</f>
        <v>0</v>
      </c>
      <c r="R622" s="43">
        <f>IF(AND(A622="",C622=""),"",IF(A622="","Add - which product?",IF(C622="","Add - which material?",IF(B622="Not found","Check - no such product ID",IF(D622="Add to Materials","Check - no such material ID",IF(OR(F622="",F622=0),"Add - how much?",IF(L622="","Check - that material has no price","OK")))))))</f>
        <v>0</v>
      </c>
    </row>
    <row r="623" spans="2:18">
      <c r="B623" s="13">
        <f>IF(A623="","",IFERROR(INDEX(Products!$B$5:$B$304,MATCH(A623,Products!$A$5:$A$304,0)),"Not found"))</f>
        <v>0</v>
      </c>
      <c r="D623" s="13">
        <f>IF(C623="","",IFERROR(INDEX(Materials!$B$5:$B$254,MATCH(C623,Materials!$A$5:$A$254,0)),"Add to Materials"))</f>
        <v>0</v>
      </c>
      <c r="E623" s="13">
        <f>IF(C623="","",IFERROR(INDEX(Materials!$H$5:$H$254,MATCH(C623,Materials!$A$5:$A$254,0)),"Add to Materials"))</f>
        <v>0</v>
      </c>
      <c r="J623" s="33">
        <f>IF(C623="","",IF(G623&lt;&gt;"",G623,IFERROR(INDEX(Materials!$W$5:$W$254,MATCH(C623,Materials!$A$5:$A$254,0)),DefaultWaste)))</f>
        <v>0</v>
      </c>
      <c r="K623" s="36">
        <f>IF(C623="","",IF(F623="","",ROUND(F623*(1+J623),4)))</f>
        <v>0</v>
      </c>
      <c r="L623" s="45">
        <f>IF(C623="","",IFERROR(INDEX(Materials!$S$5:$S$254,MATCH(C623,Materials!$A$5:$A$254,0)),""))</f>
        <v>0</v>
      </c>
      <c r="M623" s="45">
        <f>IF(C623="","",IF(OR(K623="",L623=""),"",ROUND(K623*L623,4)))</f>
        <v>0</v>
      </c>
      <c r="N623" s="20">
        <f>IF(A623="","",ROUND(SUMIFS('Material Usage'!$M$5:$M$904,'Material Usage'!$A$5:$A$904,A623),2))</f>
        <v>0</v>
      </c>
      <c r="O623" s="33">
        <f>IF(A623="","",IF(OR(M623="",N623="",N623=0),"",M623/N623))</f>
        <v>0</v>
      </c>
      <c r="P623" s="32">
        <f>IF(A623="","",COUNTIFS($A$5:A623,A623))</f>
        <v>0</v>
      </c>
      <c r="Q623" s="13">
        <f>IF(A623="","",A623&amp;"|"&amp;P623)</f>
        <v>0</v>
      </c>
      <c r="R623" s="43">
        <f>IF(AND(A623="",C623=""),"",IF(A623="","Add - which product?",IF(C623="","Add - which material?",IF(B623="Not found","Check - no such product ID",IF(D623="Add to Materials","Check - no such material ID",IF(OR(F623="",F623=0),"Add - how much?",IF(L623="","Check - that material has no price","OK")))))))</f>
        <v>0</v>
      </c>
    </row>
    <row r="624" spans="2:18">
      <c r="B624" s="13">
        <f>IF(A624="","",IFERROR(INDEX(Products!$B$5:$B$304,MATCH(A624,Products!$A$5:$A$304,0)),"Not found"))</f>
        <v>0</v>
      </c>
      <c r="D624" s="13">
        <f>IF(C624="","",IFERROR(INDEX(Materials!$B$5:$B$254,MATCH(C624,Materials!$A$5:$A$254,0)),"Add to Materials"))</f>
        <v>0</v>
      </c>
      <c r="E624" s="13">
        <f>IF(C624="","",IFERROR(INDEX(Materials!$H$5:$H$254,MATCH(C624,Materials!$A$5:$A$254,0)),"Add to Materials"))</f>
        <v>0</v>
      </c>
      <c r="J624" s="33">
        <f>IF(C624="","",IF(G624&lt;&gt;"",G624,IFERROR(INDEX(Materials!$W$5:$W$254,MATCH(C624,Materials!$A$5:$A$254,0)),DefaultWaste)))</f>
        <v>0</v>
      </c>
      <c r="K624" s="36">
        <f>IF(C624="","",IF(F624="","",ROUND(F624*(1+J624),4)))</f>
        <v>0</v>
      </c>
      <c r="L624" s="45">
        <f>IF(C624="","",IFERROR(INDEX(Materials!$S$5:$S$254,MATCH(C624,Materials!$A$5:$A$254,0)),""))</f>
        <v>0</v>
      </c>
      <c r="M624" s="45">
        <f>IF(C624="","",IF(OR(K624="",L624=""),"",ROUND(K624*L624,4)))</f>
        <v>0</v>
      </c>
      <c r="N624" s="20">
        <f>IF(A624="","",ROUND(SUMIFS('Material Usage'!$M$5:$M$904,'Material Usage'!$A$5:$A$904,A624),2))</f>
        <v>0</v>
      </c>
      <c r="O624" s="33">
        <f>IF(A624="","",IF(OR(M624="",N624="",N624=0),"",M624/N624))</f>
        <v>0</v>
      </c>
      <c r="P624" s="32">
        <f>IF(A624="","",COUNTIFS($A$5:A624,A624))</f>
        <v>0</v>
      </c>
      <c r="Q624" s="13">
        <f>IF(A624="","",A624&amp;"|"&amp;P624)</f>
        <v>0</v>
      </c>
      <c r="R624" s="43">
        <f>IF(AND(A624="",C624=""),"",IF(A624="","Add - which product?",IF(C624="","Add - which material?",IF(B624="Not found","Check - no such product ID",IF(D624="Add to Materials","Check - no such material ID",IF(OR(F624="",F624=0),"Add - how much?",IF(L624="","Check - that material has no price","OK")))))))</f>
        <v>0</v>
      </c>
    </row>
    <row r="625" spans="2:18">
      <c r="B625" s="13">
        <f>IF(A625="","",IFERROR(INDEX(Products!$B$5:$B$304,MATCH(A625,Products!$A$5:$A$304,0)),"Not found"))</f>
        <v>0</v>
      </c>
      <c r="D625" s="13">
        <f>IF(C625="","",IFERROR(INDEX(Materials!$B$5:$B$254,MATCH(C625,Materials!$A$5:$A$254,0)),"Add to Materials"))</f>
        <v>0</v>
      </c>
      <c r="E625" s="13">
        <f>IF(C625="","",IFERROR(INDEX(Materials!$H$5:$H$254,MATCH(C625,Materials!$A$5:$A$254,0)),"Add to Materials"))</f>
        <v>0</v>
      </c>
      <c r="J625" s="33">
        <f>IF(C625="","",IF(G625&lt;&gt;"",G625,IFERROR(INDEX(Materials!$W$5:$W$254,MATCH(C625,Materials!$A$5:$A$254,0)),DefaultWaste)))</f>
        <v>0</v>
      </c>
      <c r="K625" s="36">
        <f>IF(C625="","",IF(F625="","",ROUND(F625*(1+J625),4)))</f>
        <v>0</v>
      </c>
      <c r="L625" s="45">
        <f>IF(C625="","",IFERROR(INDEX(Materials!$S$5:$S$254,MATCH(C625,Materials!$A$5:$A$254,0)),""))</f>
        <v>0</v>
      </c>
      <c r="M625" s="45">
        <f>IF(C625="","",IF(OR(K625="",L625=""),"",ROUND(K625*L625,4)))</f>
        <v>0</v>
      </c>
      <c r="N625" s="20">
        <f>IF(A625="","",ROUND(SUMIFS('Material Usage'!$M$5:$M$904,'Material Usage'!$A$5:$A$904,A625),2))</f>
        <v>0</v>
      </c>
      <c r="O625" s="33">
        <f>IF(A625="","",IF(OR(M625="",N625="",N625=0),"",M625/N625))</f>
        <v>0</v>
      </c>
      <c r="P625" s="32">
        <f>IF(A625="","",COUNTIFS($A$5:A625,A625))</f>
        <v>0</v>
      </c>
      <c r="Q625" s="13">
        <f>IF(A625="","",A625&amp;"|"&amp;P625)</f>
        <v>0</v>
      </c>
      <c r="R625" s="43">
        <f>IF(AND(A625="",C625=""),"",IF(A625="","Add - which product?",IF(C625="","Add - which material?",IF(B625="Not found","Check - no such product ID",IF(D625="Add to Materials","Check - no such material ID",IF(OR(F625="",F625=0),"Add - how much?",IF(L625="","Check - that material has no price","OK")))))))</f>
        <v>0</v>
      </c>
    </row>
    <row r="626" spans="2:18">
      <c r="B626" s="13">
        <f>IF(A626="","",IFERROR(INDEX(Products!$B$5:$B$304,MATCH(A626,Products!$A$5:$A$304,0)),"Not found"))</f>
        <v>0</v>
      </c>
      <c r="D626" s="13">
        <f>IF(C626="","",IFERROR(INDEX(Materials!$B$5:$B$254,MATCH(C626,Materials!$A$5:$A$254,0)),"Add to Materials"))</f>
        <v>0</v>
      </c>
      <c r="E626" s="13">
        <f>IF(C626="","",IFERROR(INDEX(Materials!$H$5:$H$254,MATCH(C626,Materials!$A$5:$A$254,0)),"Add to Materials"))</f>
        <v>0</v>
      </c>
      <c r="J626" s="33">
        <f>IF(C626="","",IF(G626&lt;&gt;"",G626,IFERROR(INDEX(Materials!$W$5:$W$254,MATCH(C626,Materials!$A$5:$A$254,0)),DefaultWaste)))</f>
        <v>0</v>
      </c>
      <c r="K626" s="36">
        <f>IF(C626="","",IF(F626="","",ROUND(F626*(1+J626),4)))</f>
        <v>0</v>
      </c>
      <c r="L626" s="45">
        <f>IF(C626="","",IFERROR(INDEX(Materials!$S$5:$S$254,MATCH(C626,Materials!$A$5:$A$254,0)),""))</f>
        <v>0</v>
      </c>
      <c r="M626" s="45">
        <f>IF(C626="","",IF(OR(K626="",L626=""),"",ROUND(K626*L626,4)))</f>
        <v>0</v>
      </c>
      <c r="N626" s="20">
        <f>IF(A626="","",ROUND(SUMIFS('Material Usage'!$M$5:$M$904,'Material Usage'!$A$5:$A$904,A626),2))</f>
        <v>0</v>
      </c>
      <c r="O626" s="33">
        <f>IF(A626="","",IF(OR(M626="",N626="",N626=0),"",M626/N626))</f>
        <v>0</v>
      </c>
      <c r="P626" s="32">
        <f>IF(A626="","",COUNTIFS($A$5:A626,A626))</f>
        <v>0</v>
      </c>
      <c r="Q626" s="13">
        <f>IF(A626="","",A626&amp;"|"&amp;P626)</f>
        <v>0</v>
      </c>
      <c r="R626" s="43">
        <f>IF(AND(A626="",C626=""),"",IF(A626="","Add - which product?",IF(C626="","Add - which material?",IF(B626="Not found","Check - no such product ID",IF(D626="Add to Materials","Check - no such material ID",IF(OR(F626="",F626=0),"Add - how much?",IF(L626="","Check - that material has no price","OK")))))))</f>
        <v>0</v>
      </c>
    </row>
    <row r="627" spans="2:18">
      <c r="B627" s="13">
        <f>IF(A627="","",IFERROR(INDEX(Products!$B$5:$B$304,MATCH(A627,Products!$A$5:$A$304,0)),"Not found"))</f>
        <v>0</v>
      </c>
      <c r="D627" s="13">
        <f>IF(C627="","",IFERROR(INDEX(Materials!$B$5:$B$254,MATCH(C627,Materials!$A$5:$A$254,0)),"Add to Materials"))</f>
        <v>0</v>
      </c>
      <c r="E627" s="13">
        <f>IF(C627="","",IFERROR(INDEX(Materials!$H$5:$H$254,MATCH(C627,Materials!$A$5:$A$254,0)),"Add to Materials"))</f>
        <v>0</v>
      </c>
      <c r="J627" s="33">
        <f>IF(C627="","",IF(G627&lt;&gt;"",G627,IFERROR(INDEX(Materials!$W$5:$W$254,MATCH(C627,Materials!$A$5:$A$254,0)),DefaultWaste)))</f>
        <v>0</v>
      </c>
      <c r="K627" s="36">
        <f>IF(C627="","",IF(F627="","",ROUND(F627*(1+J627),4)))</f>
        <v>0</v>
      </c>
      <c r="L627" s="45">
        <f>IF(C627="","",IFERROR(INDEX(Materials!$S$5:$S$254,MATCH(C627,Materials!$A$5:$A$254,0)),""))</f>
        <v>0</v>
      </c>
      <c r="M627" s="45">
        <f>IF(C627="","",IF(OR(K627="",L627=""),"",ROUND(K627*L627,4)))</f>
        <v>0</v>
      </c>
      <c r="N627" s="20">
        <f>IF(A627="","",ROUND(SUMIFS('Material Usage'!$M$5:$M$904,'Material Usage'!$A$5:$A$904,A627),2))</f>
        <v>0</v>
      </c>
      <c r="O627" s="33">
        <f>IF(A627="","",IF(OR(M627="",N627="",N627=0),"",M627/N627))</f>
        <v>0</v>
      </c>
      <c r="P627" s="32">
        <f>IF(A627="","",COUNTIFS($A$5:A627,A627))</f>
        <v>0</v>
      </c>
      <c r="Q627" s="13">
        <f>IF(A627="","",A627&amp;"|"&amp;P627)</f>
        <v>0</v>
      </c>
      <c r="R627" s="43">
        <f>IF(AND(A627="",C627=""),"",IF(A627="","Add - which product?",IF(C627="","Add - which material?",IF(B627="Not found","Check - no such product ID",IF(D627="Add to Materials","Check - no such material ID",IF(OR(F627="",F627=0),"Add - how much?",IF(L627="","Check - that material has no price","OK")))))))</f>
        <v>0</v>
      </c>
    </row>
    <row r="628" spans="2:18">
      <c r="B628" s="13">
        <f>IF(A628="","",IFERROR(INDEX(Products!$B$5:$B$304,MATCH(A628,Products!$A$5:$A$304,0)),"Not found"))</f>
        <v>0</v>
      </c>
      <c r="D628" s="13">
        <f>IF(C628="","",IFERROR(INDEX(Materials!$B$5:$B$254,MATCH(C628,Materials!$A$5:$A$254,0)),"Add to Materials"))</f>
        <v>0</v>
      </c>
      <c r="E628" s="13">
        <f>IF(C628="","",IFERROR(INDEX(Materials!$H$5:$H$254,MATCH(C628,Materials!$A$5:$A$254,0)),"Add to Materials"))</f>
        <v>0</v>
      </c>
      <c r="J628" s="33">
        <f>IF(C628="","",IF(G628&lt;&gt;"",G628,IFERROR(INDEX(Materials!$W$5:$W$254,MATCH(C628,Materials!$A$5:$A$254,0)),DefaultWaste)))</f>
        <v>0</v>
      </c>
      <c r="K628" s="36">
        <f>IF(C628="","",IF(F628="","",ROUND(F628*(1+J628),4)))</f>
        <v>0</v>
      </c>
      <c r="L628" s="45">
        <f>IF(C628="","",IFERROR(INDEX(Materials!$S$5:$S$254,MATCH(C628,Materials!$A$5:$A$254,0)),""))</f>
        <v>0</v>
      </c>
      <c r="M628" s="45">
        <f>IF(C628="","",IF(OR(K628="",L628=""),"",ROUND(K628*L628,4)))</f>
        <v>0</v>
      </c>
      <c r="N628" s="20">
        <f>IF(A628="","",ROUND(SUMIFS('Material Usage'!$M$5:$M$904,'Material Usage'!$A$5:$A$904,A628),2))</f>
        <v>0</v>
      </c>
      <c r="O628" s="33">
        <f>IF(A628="","",IF(OR(M628="",N628="",N628=0),"",M628/N628))</f>
        <v>0</v>
      </c>
      <c r="P628" s="32">
        <f>IF(A628="","",COUNTIFS($A$5:A628,A628))</f>
        <v>0</v>
      </c>
      <c r="Q628" s="13">
        <f>IF(A628="","",A628&amp;"|"&amp;P628)</f>
        <v>0</v>
      </c>
      <c r="R628" s="43">
        <f>IF(AND(A628="",C628=""),"",IF(A628="","Add - which product?",IF(C628="","Add - which material?",IF(B628="Not found","Check - no such product ID",IF(D628="Add to Materials","Check - no such material ID",IF(OR(F628="",F628=0),"Add - how much?",IF(L628="","Check - that material has no price","OK")))))))</f>
        <v>0</v>
      </c>
    </row>
    <row r="629" spans="2:18">
      <c r="B629" s="13">
        <f>IF(A629="","",IFERROR(INDEX(Products!$B$5:$B$304,MATCH(A629,Products!$A$5:$A$304,0)),"Not found"))</f>
        <v>0</v>
      </c>
      <c r="D629" s="13">
        <f>IF(C629="","",IFERROR(INDEX(Materials!$B$5:$B$254,MATCH(C629,Materials!$A$5:$A$254,0)),"Add to Materials"))</f>
        <v>0</v>
      </c>
      <c r="E629" s="13">
        <f>IF(C629="","",IFERROR(INDEX(Materials!$H$5:$H$254,MATCH(C629,Materials!$A$5:$A$254,0)),"Add to Materials"))</f>
        <v>0</v>
      </c>
      <c r="J629" s="33">
        <f>IF(C629="","",IF(G629&lt;&gt;"",G629,IFERROR(INDEX(Materials!$W$5:$W$254,MATCH(C629,Materials!$A$5:$A$254,0)),DefaultWaste)))</f>
        <v>0</v>
      </c>
      <c r="K629" s="36">
        <f>IF(C629="","",IF(F629="","",ROUND(F629*(1+J629),4)))</f>
        <v>0</v>
      </c>
      <c r="L629" s="45">
        <f>IF(C629="","",IFERROR(INDEX(Materials!$S$5:$S$254,MATCH(C629,Materials!$A$5:$A$254,0)),""))</f>
        <v>0</v>
      </c>
      <c r="M629" s="45">
        <f>IF(C629="","",IF(OR(K629="",L629=""),"",ROUND(K629*L629,4)))</f>
        <v>0</v>
      </c>
      <c r="N629" s="20">
        <f>IF(A629="","",ROUND(SUMIFS('Material Usage'!$M$5:$M$904,'Material Usage'!$A$5:$A$904,A629),2))</f>
        <v>0</v>
      </c>
      <c r="O629" s="33">
        <f>IF(A629="","",IF(OR(M629="",N629="",N629=0),"",M629/N629))</f>
        <v>0</v>
      </c>
      <c r="P629" s="32">
        <f>IF(A629="","",COUNTIFS($A$5:A629,A629))</f>
        <v>0</v>
      </c>
      <c r="Q629" s="13">
        <f>IF(A629="","",A629&amp;"|"&amp;P629)</f>
        <v>0</v>
      </c>
      <c r="R629" s="43">
        <f>IF(AND(A629="",C629=""),"",IF(A629="","Add - which product?",IF(C629="","Add - which material?",IF(B629="Not found","Check - no such product ID",IF(D629="Add to Materials","Check - no such material ID",IF(OR(F629="",F629=0),"Add - how much?",IF(L629="","Check - that material has no price","OK")))))))</f>
        <v>0</v>
      </c>
    </row>
    <row r="630" spans="2:18">
      <c r="B630" s="13">
        <f>IF(A630="","",IFERROR(INDEX(Products!$B$5:$B$304,MATCH(A630,Products!$A$5:$A$304,0)),"Not found"))</f>
        <v>0</v>
      </c>
      <c r="D630" s="13">
        <f>IF(C630="","",IFERROR(INDEX(Materials!$B$5:$B$254,MATCH(C630,Materials!$A$5:$A$254,0)),"Add to Materials"))</f>
        <v>0</v>
      </c>
      <c r="E630" s="13">
        <f>IF(C630="","",IFERROR(INDEX(Materials!$H$5:$H$254,MATCH(C630,Materials!$A$5:$A$254,0)),"Add to Materials"))</f>
        <v>0</v>
      </c>
      <c r="J630" s="33">
        <f>IF(C630="","",IF(G630&lt;&gt;"",G630,IFERROR(INDEX(Materials!$W$5:$W$254,MATCH(C630,Materials!$A$5:$A$254,0)),DefaultWaste)))</f>
        <v>0</v>
      </c>
      <c r="K630" s="36">
        <f>IF(C630="","",IF(F630="","",ROUND(F630*(1+J630),4)))</f>
        <v>0</v>
      </c>
      <c r="L630" s="45">
        <f>IF(C630="","",IFERROR(INDEX(Materials!$S$5:$S$254,MATCH(C630,Materials!$A$5:$A$254,0)),""))</f>
        <v>0</v>
      </c>
      <c r="M630" s="45">
        <f>IF(C630="","",IF(OR(K630="",L630=""),"",ROUND(K630*L630,4)))</f>
        <v>0</v>
      </c>
      <c r="N630" s="20">
        <f>IF(A630="","",ROUND(SUMIFS('Material Usage'!$M$5:$M$904,'Material Usage'!$A$5:$A$904,A630),2))</f>
        <v>0</v>
      </c>
      <c r="O630" s="33">
        <f>IF(A630="","",IF(OR(M630="",N630="",N630=0),"",M630/N630))</f>
        <v>0</v>
      </c>
      <c r="P630" s="32">
        <f>IF(A630="","",COUNTIFS($A$5:A630,A630))</f>
        <v>0</v>
      </c>
      <c r="Q630" s="13">
        <f>IF(A630="","",A630&amp;"|"&amp;P630)</f>
        <v>0</v>
      </c>
      <c r="R630" s="43">
        <f>IF(AND(A630="",C630=""),"",IF(A630="","Add - which product?",IF(C630="","Add - which material?",IF(B630="Not found","Check - no such product ID",IF(D630="Add to Materials","Check - no such material ID",IF(OR(F630="",F630=0),"Add - how much?",IF(L630="","Check - that material has no price","OK")))))))</f>
        <v>0</v>
      </c>
    </row>
    <row r="631" spans="2:18">
      <c r="B631" s="13">
        <f>IF(A631="","",IFERROR(INDEX(Products!$B$5:$B$304,MATCH(A631,Products!$A$5:$A$304,0)),"Not found"))</f>
        <v>0</v>
      </c>
      <c r="D631" s="13">
        <f>IF(C631="","",IFERROR(INDEX(Materials!$B$5:$B$254,MATCH(C631,Materials!$A$5:$A$254,0)),"Add to Materials"))</f>
        <v>0</v>
      </c>
      <c r="E631" s="13">
        <f>IF(C631="","",IFERROR(INDEX(Materials!$H$5:$H$254,MATCH(C631,Materials!$A$5:$A$254,0)),"Add to Materials"))</f>
        <v>0</v>
      </c>
      <c r="J631" s="33">
        <f>IF(C631="","",IF(G631&lt;&gt;"",G631,IFERROR(INDEX(Materials!$W$5:$W$254,MATCH(C631,Materials!$A$5:$A$254,0)),DefaultWaste)))</f>
        <v>0</v>
      </c>
      <c r="K631" s="36">
        <f>IF(C631="","",IF(F631="","",ROUND(F631*(1+J631),4)))</f>
        <v>0</v>
      </c>
      <c r="L631" s="45">
        <f>IF(C631="","",IFERROR(INDEX(Materials!$S$5:$S$254,MATCH(C631,Materials!$A$5:$A$254,0)),""))</f>
        <v>0</v>
      </c>
      <c r="M631" s="45">
        <f>IF(C631="","",IF(OR(K631="",L631=""),"",ROUND(K631*L631,4)))</f>
        <v>0</v>
      </c>
      <c r="N631" s="20">
        <f>IF(A631="","",ROUND(SUMIFS('Material Usage'!$M$5:$M$904,'Material Usage'!$A$5:$A$904,A631),2))</f>
        <v>0</v>
      </c>
      <c r="O631" s="33">
        <f>IF(A631="","",IF(OR(M631="",N631="",N631=0),"",M631/N631))</f>
        <v>0</v>
      </c>
      <c r="P631" s="32">
        <f>IF(A631="","",COUNTIFS($A$5:A631,A631))</f>
        <v>0</v>
      </c>
      <c r="Q631" s="13">
        <f>IF(A631="","",A631&amp;"|"&amp;P631)</f>
        <v>0</v>
      </c>
      <c r="R631" s="43">
        <f>IF(AND(A631="",C631=""),"",IF(A631="","Add - which product?",IF(C631="","Add - which material?",IF(B631="Not found","Check - no such product ID",IF(D631="Add to Materials","Check - no such material ID",IF(OR(F631="",F631=0),"Add - how much?",IF(L631="","Check - that material has no price","OK")))))))</f>
        <v>0</v>
      </c>
    </row>
    <row r="632" spans="2:18">
      <c r="B632" s="13">
        <f>IF(A632="","",IFERROR(INDEX(Products!$B$5:$B$304,MATCH(A632,Products!$A$5:$A$304,0)),"Not found"))</f>
        <v>0</v>
      </c>
      <c r="D632" s="13">
        <f>IF(C632="","",IFERROR(INDEX(Materials!$B$5:$B$254,MATCH(C632,Materials!$A$5:$A$254,0)),"Add to Materials"))</f>
        <v>0</v>
      </c>
      <c r="E632" s="13">
        <f>IF(C632="","",IFERROR(INDEX(Materials!$H$5:$H$254,MATCH(C632,Materials!$A$5:$A$254,0)),"Add to Materials"))</f>
        <v>0</v>
      </c>
      <c r="J632" s="33">
        <f>IF(C632="","",IF(G632&lt;&gt;"",G632,IFERROR(INDEX(Materials!$W$5:$W$254,MATCH(C632,Materials!$A$5:$A$254,0)),DefaultWaste)))</f>
        <v>0</v>
      </c>
      <c r="K632" s="36">
        <f>IF(C632="","",IF(F632="","",ROUND(F632*(1+J632),4)))</f>
        <v>0</v>
      </c>
      <c r="L632" s="45">
        <f>IF(C632="","",IFERROR(INDEX(Materials!$S$5:$S$254,MATCH(C632,Materials!$A$5:$A$254,0)),""))</f>
        <v>0</v>
      </c>
      <c r="M632" s="45">
        <f>IF(C632="","",IF(OR(K632="",L632=""),"",ROUND(K632*L632,4)))</f>
        <v>0</v>
      </c>
      <c r="N632" s="20">
        <f>IF(A632="","",ROUND(SUMIFS('Material Usage'!$M$5:$M$904,'Material Usage'!$A$5:$A$904,A632),2))</f>
        <v>0</v>
      </c>
      <c r="O632" s="33">
        <f>IF(A632="","",IF(OR(M632="",N632="",N632=0),"",M632/N632))</f>
        <v>0</v>
      </c>
      <c r="P632" s="32">
        <f>IF(A632="","",COUNTIFS($A$5:A632,A632))</f>
        <v>0</v>
      </c>
      <c r="Q632" s="13">
        <f>IF(A632="","",A632&amp;"|"&amp;P632)</f>
        <v>0</v>
      </c>
      <c r="R632" s="43">
        <f>IF(AND(A632="",C632=""),"",IF(A632="","Add - which product?",IF(C632="","Add - which material?",IF(B632="Not found","Check - no such product ID",IF(D632="Add to Materials","Check - no such material ID",IF(OR(F632="",F632=0),"Add - how much?",IF(L632="","Check - that material has no price","OK")))))))</f>
        <v>0</v>
      </c>
    </row>
    <row r="633" spans="2:18">
      <c r="B633" s="13">
        <f>IF(A633="","",IFERROR(INDEX(Products!$B$5:$B$304,MATCH(A633,Products!$A$5:$A$304,0)),"Not found"))</f>
        <v>0</v>
      </c>
      <c r="D633" s="13">
        <f>IF(C633="","",IFERROR(INDEX(Materials!$B$5:$B$254,MATCH(C633,Materials!$A$5:$A$254,0)),"Add to Materials"))</f>
        <v>0</v>
      </c>
      <c r="E633" s="13">
        <f>IF(C633="","",IFERROR(INDEX(Materials!$H$5:$H$254,MATCH(C633,Materials!$A$5:$A$254,0)),"Add to Materials"))</f>
        <v>0</v>
      </c>
      <c r="J633" s="33">
        <f>IF(C633="","",IF(G633&lt;&gt;"",G633,IFERROR(INDEX(Materials!$W$5:$W$254,MATCH(C633,Materials!$A$5:$A$254,0)),DefaultWaste)))</f>
        <v>0</v>
      </c>
      <c r="K633" s="36">
        <f>IF(C633="","",IF(F633="","",ROUND(F633*(1+J633),4)))</f>
        <v>0</v>
      </c>
      <c r="L633" s="45">
        <f>IF(C633="","",IFERROR(INDEX(Materials!$S$5:$S$254,MATCH(C633,Materials!$A$5:$A$254,0)),""))</f>
        <v>0</v>
      </c>
      <c r="M633" s="45">
        <f>IF(C633="","",IF(OR(K633="",L633=""),"",ROUND(K633*L633,4)))</f>
        <v>0</v>
      </c>
      <c r="N633" s="20">
        <f>IF(A633="","",ROUND(SUMIFS('Material Usage'!$M$5:$M$904,'Material Usage'!$A$5:$A$904,A633),2))</f>
        <v>0</v>
      </c>
      <c r="O633" s="33">
        <f>IF(A633="","",IF(OR(M633="",N633="",N633=0),"",M633/N633))</f>
        <v>0</v>
      </c>
      <c r="P633" s="32">
        <f>IF(A633="","",COUNTIFS($A$5:A633,A633))</f>
        <v>0</v>
      </c>
      <c r="Q633" s="13">
        <f>IF(A633="","",A633&amp;"|"&amp;P633)</f>
        <v>0</v>
      </c>
      <c r="R633" s="43">
        <f>IF(AND(A633="",C633=""),"",IF(A633="","Add - which product?",IF(C633="","Add - which material?",IF(B633="Not found","Check - no such product ID",IF(D633="Add to Materials","Check - no such material ID",IF(OR(F633="",F633=0),"Add - how much?",IF(L633="","Check - that material has no price","OK")))))))</f>
        <v>0</v>
      </c>
    </row>
    <row r="634" spans="2:18">
      <c r="B634" s="13">
        <f>IF(A634="","",IFERROR(INDEX(Products!$B$5:$B$304,MATCH(A634,Products!$A$5:$A$304,0)),"Not found"))</f>
        <v>0</v>
      </c>
      <c r="D634" s="13">
        <f>IF(C634="","",IFERROR(INDEX(Materials!$B$5:$B$254,MATCH(C634,Materials!$A$5:$A$254,0)),"Add to Materials"))</f>
        <v>0</v>
      </c>
      <c r="E634" s="13">
        <f>IF(C634="","",IFERROR(INDEX(Materials!$H$5:$H$254,MATCH(C634,Materials!$A$5:$A$254,0)),"Add to Materials"))</f>
        <v>0</v>
      </c>
      <c r="J634" s="33">
        <f>IF(C634="","",IF(G634&lt;&gt;"",G634,IFERROR(INDEX(Materials!$W$5:$W$254,MATCH(C634,Materials!$A$5:$A$254,0)),DefaultWaste)))</f>
        <v>0</v>
      </c>
      <c r="K634" s="36">
        <f>IF(C634="","",IF(F634="","",ROUND(F634*(1+J634),4)))</f>
        <v>0</v>
      </c>
      <c r="L634" s="45">
        <f>IF(C634="","",IFERROR(INDEX(Materials!$S$5:$S$254,MATCH(C634,Materials!$A$5:$A$254,0)),""))</f>
        <v>0</v>
      </c>
      <c r="M634" s="45">
        <f>IF(C634="","",IF(OR(K634="",L634=""),"",ROUND(K634*L634,4)))</f>
        <v>0</v>
      </c>
      <c r="N634" s="20">
        <f>IF(A634="","",ROUND(SUMIFS('Material Usage'!$M$5:$M$904,'Material Usage'!$A$5:$A$904,A634),2))</f>
        <v>0</v>
      </c>
      <c r="O634" s="33">
        <f>IF(A634="","",IF(OR(M634="",N634="",N634=0),"",M634/N634))</f>
        <v>0</v>
      </c>
      <c r="P634" s="32">
        <f>IF(A634="","",COUNTIFS($A$5:A634,A634))</f>
        <v>0</v>
      </c>
      <c r="Q634" s="13">
        <f>IF(A634="","",A634&amp;"|"&amp;P634)</f>
        <v>0</v>
      </c>
      <c r="R634" s="43">
        <f>IF(AND(A634="",C634=""),"",IF(A634="","Add - which product?",IF(C634="","Add - which material?",IF(B634="Not found","Check - no such product ID",IF(D634="Add to Materials","Check - no such material ID",IF(OR(F634="",F634=0),"Add - how much?",IF(L634="","Check - that material has no price","OK")))))))</f>
        <v>0</v>
      </c>
    </row>
    <row r="635" spans="2:18">
      <c r="B635" s="13">
        <f>IF(A635="","",IFERROR(INDEX(Products!$B$5:$B$304,MATCH(A635,Products!$A$5:$A$304,0)),"Not found"))</f>
        <v>0</v>
      </c>
      <c r="D635" s="13">
        <f>IF(C635="","",IFERROR(INDEX(Materials!$B$5:$B$254,MATCH(C635,Materials!$A$5:$A$254,0)),"Add to Materials"))</f>
        <v>0</v>
      </c>
      <c r="E635" s="13">
        <f>IF(C635="","",IFERROR(INDEX(Materials!$H$5:$H$254,MATCH(C635,Materials!$A$5:$A$254,0)),"Add to Materials"))</f>
        <v>0</v>
      </c>
      <c r="J635" s="33">
        <f>IF(C635="","",IF(G635&lt;&gt;"",G635,IFERROR(INDEX(Materials!$W$5:$W$254,MATCH(C635,Materials!$A$5:$A$254,0)),DefaultWaste)))</f>
        <v>0</v>
      </c>
      <c r="K635" s="36">
        <f>IF(C635="","",IF(F635="","",ROUND(F635*(1+J635),4)))</f>
        <v>0</v>
      </c>
      <c r="L635" s="45">
        <f>IF(C635="","",IFERROR(INDEX(Materials!$S$5:$S$254,MATCH(C635,Materials!$A$5:$A$254,0)),""))</f>
        <v>0</v>
      </c>
      <c r="M635" s="45">
        <f>IF(C635="","",IF(OR(K635="",L635=""),"",ROUND(K635*L635,4)))</f>
        <v>0</v>
      </c>
      <c r="N635" s="20">
        <f>IF(A635="","",ROUND(SUMIFS('Material Usage'!$M$5:$M$904,'Material Usage'!$A$5:$A$904,A635),2))</f>
        <v>0</v>
      </c>
      <c r="O635" s="33">
        <f>IF(A635="","",IF(OR(M635="",N635="",N635=0),"",M635/N635))</f>
        <v>0</v>
      </c>
      <c r="P635" s="32">
        <f>IF(A635="","",COUNTIFS($A$5:A635,A635))</f>
        <v>0</v>
      </c>
      <c r="Q635" s="13">
        <f>IF(A635="","",A635&amp;"|"&amp;P635)</f>
        <v>0</v>
      </c>
      <c r="R635" s="43">
        <f>IF(AND(A635="",C635=""),"",IF(A635="","Add - which product?",IF(C635="","Add - which material?",IF(B635="Not found","Check - no such product ID",IF(D635="Add to Materials","Check - no such material ID",IF(OR(F635="",F635=0),"Add - how much?",IF(L635="","Check - that material has no price","OK")))))))</f>
        <v>0</v>
      </c>
    </row>
    <row r="636" spans="2:18">
      <c r="B636" s="13">
        <f>IF(A636="","",IFERROR(INDEX(Products!$B$5:$B$304,MATCH(A636,Products!$A$5:$A$304,0)),"Not found"))</f>
        <v>0</v>
      </c>
      <c r="D636" s="13">
        <f>IF(C636="","",IFERROR(INDEX(Materials!$B$5:$B$254,MATCH(C636,Materials!$A$5:$A$254,0)),"Add to Materials"))</f>
        <v>0</v>
      </c>
      <c r="E636" s="13">
        <f>IF(C636="","",IFERROR(INDEX(Materials!$H$5:$H$254,MATCH(C636,Materials!$A$5:$A$254,0)),"Add to Materials"))</f>
        <v>0</v>
      </c>
      <c r="J636" s="33">
        <f>IF(C636="","",IF(G636&lt;&gt;"",G636,IFERROR(INDEX(Materials!$W$5:$W$254,MATCH(C636,Materials!$A$5:$A$254,0)),DefaultWaste)))</f>
        <v>0</v>
      </c>
      <c r="K636" s="36">
        <f>IF(C636="","",IF(F636="","",ROUND(F636*(1+J636),4)))</f>
        <v>0</v>
      </c>
      <c r="L636" s="45">
        <f>IF(C636="","",IFERROR(INDEX(Materials!$S$5:$S$254,MATCH(C636,Materials!$A$5:$A$254,0)),""))</f>
        <v>0</v>
      </c>
      <c r="M636" s="45">
        <f>IF(C636="","",IF(OR(K636="",L636=""),"",ROUND(K636*L636,4)))</f>
        <v>0</v>
      </c>
      <c r="N636" s="20">
        <f>IF(A636="","",ROUND(SUMIFS('Material Usage'!$M$5:$M$904,'Material Usage'!$A$5:$A$904,A636),2))</f>
        <v>0</v>
      </c>
      <c r="O636" s="33">
        <f>IF(A636="","",IF(OR(M636="",N636="",N636=0),"",M636/N636))</f>
        <v>0</v>
      </c>
      <c r="P636" s="32">
        <f>IF(A636="","",COUNTIFS($A$5:A636,A636))</f>
        <v>0</v>
      </c>
      <c r="Q636" s="13">
        <f>IF(A636="","",A636&amp;"|"&amp;P636)</f>
        <v>0</v>
      </c>
      <c r="R636" s="43">
        <f>IF(AND(A636="",C636=""),"",IF(A636="","Add - which product?",IF(C636="","Add - which material?",IF(B636="Not found","Check - no such product ID",IF(D636="Add to Materials","Check - no such material ID",IF(OR(F636="",F636=0),"Add - how much?",IF(L636="","Check - that material has no price","OK")))))))</f>
        <v>0</v>
      </c>
    </row>
    <row r="637" spans="2:18">
      <c r="B637" s="13">
        <f>IF(A637="","",IFERROR(INDEX(Products!$B$5:$B$304,MATCH(A637,Products!$A$5:$A$304,0)),"Not found"))</f>
        <v>0</v>
      </c>
      <c r="D637" s="13">
        <f>IF(C637="","",IFERROR(INDEX(Materials!$B$5:$B$254,MATCH(C637,Materials!$A$5:$A$254,0)),"Add to Materials"))</f>
        <v>0</v>
      </c>
      <c r="E637" s="13">
        <f>IF(C637="","",IFERROR(INDEX(Materials!$H$5:$H$254,MATCH(C637,Materials!$A$5:$A$254,0)),"Add to Materials"))</f>
        <v>0</v>
      </c>
      <c r="J637" s="33">
        <f>IF(C637="","",IF(G637&lt;&gt;"",G637,IFERROR(INDEX(Materials!$W$5:$W$254,MATCH(C637,Materials!$A$5:$A$254,0)),DefaultWaste)))</f>
        <v>0</v>
      </c>
      <c r="K637" s="36">
        <f>IF(C637="","",IF(F637="","",ROUND(F637*(1+J637),4)))</f>
        <v>0</v>
      </c>
      <c r="L637" s="45">
        <f>IF(C637="","",IFERROR(INDEX(Materials!$S$5:$S$254,MATCH(C637,Materials!$A$5:$A$254,0)),""))</f>
        <v>0</v>
      </c>
      <c r="M637" s="45">
        <f>IF(C637="","",IF(OR(K637="",L637=""),"",ROUND(K637*L637,4)))</f>
        <v>0</v>
      </c>
      <c r="N637" s="20">
        <f>IF(A637="","",ROUND(SUMIFS('Material Usage'!$M$5:$M$904,'Material Usage'!$A$5:$A$904,A637),2))</f>
        <v>0</v>
      </c>
      <c r="O637" s="33">
        <f>IF(A637="","",IF(OR(M637="",N637="",N637=0),"",M637/N637))</f>
        <v>0</v>
      </c>
      <c r="P637" s="32">
        <f>IF(A637="","",COUNTIFS($A$5:A637,A637))</f>
        <v>0</v>
      </c>
      <c r="Q637" s="13">
        <f>IF(A637="","",A637&amp;"|"&amp;P637)</f>
        <v>0</v>
      </c>
      <c r="R637" s="43">
        <f>IF(AND(A637="",C637=""),"",IF(A637="","Add - which product?",IF(C637="","Add - which material?",IF(B637="Not found","Check - no such product ID",IF(D637="Add to Materials","Check - no such material ID",IF(OR(F637="",F637=0),"Add - how much?",IF(L637="","Check - that material has no price","OK")))))))</f>
        <v>0</v>
      </c>
    </row>
    <row r="638" spans="2:18">
      <c r="B638" s="13">
        <f>IF(A638="","",IFERROR(INDEX(Products!$B$5:$B$304,MATCH(A638,Products!$A$5:$A$304,0)),"Not found"))</f>
        <v>0</v>
      </c>
      <c r="D638" s="13">
        <f>IF(C638="","",IFERROR(INDEX(Materials!$B$5:$B$254,MATCH(C638,Materials!$A$5:$A$254,0)),"Add to Materials"))</f>
        <v>0</v>
      </c>
      <c r="E638" s="13">
        <f>IF(C638="","",IFERROR(INDEX(Materials!$H$5:$H$254,MATCH(C638,Materials!$A$5:$A$254,0)),"Add to Materials"))</f>
        <v>0</v>
      </c>
      <c r="J638" s="33">
        <f>IF(C638="","",IF(G638&lt;&gt;"",G638,IFERROR(INDEX(Materials!$W$5:$W$254,MATCH(C638,Materials!$A$5:$A$254,0)),DefaultWaste)))</f>
        <v>0</v>
      </c>
      <c r="K638" s="36">
        <f>IF(C638="","",IF(F638="","",ROUND(F638*(1+J638),4)))</f>
        <v>0</v>
      </c>
      <c r="L638" s="45">
        <f>IF(C638="","",IFERROR(INDEX(Materials!$S$5:$S$254,MATCH(C638,Materials!$A$5:$A$254,0)),""))</f>
        <v>0</v>
      </c>
      <c r="M638" s="45">
        <f>IF(C638="","",IF(OR(K638="",L638=""),"",ROUND(K638*L638,4)))</f>
        <v>0</v>
      </c>
      <c r="N638" s="20">
        <f>IF(A638="","",ROUND(SUMIFS('Material Usage'!$M$5:$M$904,'Material Usage'!$A$5:$A$904,A638),2))</f>
        <v>0</v>
      </c>
      <c r="O638" s="33">
        <f>IF(A638="","",IF(OR(M638="",N638="",N638=0),"",M638/N638))</f>
        <v>0</v>
      </c>
      <c r="P638" s="32">
        <f>IF(A638="","",COUNTIFS($A$5:A638,A638))</f>
        <v>0</v>
      </c>
      <c r="Q638" s="13">
        <f>IF(A638="","",A638&amp;"|"&amp;P638)</f>
        <v>0</v>
      </c>
      <c r="R638" s="43">
        <f>IF(AND(A638="",C638=""),"",IF(A638="","Add - which product?",IF(C638="","Add - which material?",IF(B638="Not found","Check - no such product ID",IF(D638="Add to Materials","Check - no such material ID",IF(OR(F638="",F638=0),"Add - how much?",IF(L638="","Check - that material has no price","OK")))))))</f>
        <v>0</v>
      </c>
    </row>
    <row r="639" spans="2:18">
      <c r="B639" s="13">
        <f>IF(A639="","",IFERROR(INDEX(Products!$B$5:$B$304,MATCH(A639,Products!$A$5:$A$304,0)),"Not found"))</f>
        <v>0</v>
      </c>
      <c r="D639" s="13">
        <f>IF(C639="","",IFERROR(INDEX(Materials!$B$5:$B$254,MATCH(C639,Materials!$A$5:$A$254,0)),"Add to Materials"))</f>
        <v>0</v>
      </c>
      <c r="E639" s="13">
        <f>IF(C639="","",IFERROR(INDEX(Materials!$H$5:$H$254,MATCH(C639,Materials!$A$5:$A$254,0)),"Add to Materials"))</f>
        <v>0</v>
      </c>
      <c r="J639" s="33">
        <f>IF(C639="","",IF(G639&lt;&gt;"",G639,IFERROR(INDEX(Materials!$W$5:$W$254,MATCH(C639,Materials!$A$5:$A$254,0)),DefaultWaste)))</f>
        <v>0</v>
      </c>
      <c r="K639" s="36">
        <f>IF(C639="","",IF(F639="","",ROUND(F639*(1+J639),4)))</f>
        <v>0</v>
      </c>
      <c r="L639" s="45">
        <f>IF(C639="","",IFERROR(INDEX(Materials!$S$5:$S$254,MATCH(C639,Materials!$A$5:$A$254,0)),""))</f>
        <v>0</v>
      </c>
      <c r="M639" s="45">
        <f>IF(C639="","",IF(OR(K639="",L639=""),"",ROUND(K639*L639,4)))</f>
        <v>0</v>
      </c>
      <c r="N639" s="20">
        <f>IF(A639="","",ROUND(SUMIFS('Material Usage'!$M$5:$M$904,'Material Usage'!$A$5:$A$904,A639),2))</f>
        <v>0</v>
      </c>
      <c r="O639" s="33">
        <f>IF(A639="","",IF(OR(M639="",N639="",N639=0),"",M639/N639))</f>
        <v>0</v>
      </c>
      <c r="P639" s="32">
        <f>IF(A639="","",COUNTIFS($A$5:A639,A639))</f>
        <v>0</v>
      </c>
      <c r="Q639" s="13">
        <f>IF(A639="","",A639&amp;"|"&amp;P639)</f>
        <v>0</v>
      </c>
      <c r="R639" s="43">
        <f>IF(AND(A639="",C639=""),"",IF(A639="","Add - which product?",IF(C639="","Add - which material?",IF(B639="Not found","Check - no such product ID",IF(D639="Add to Materials","Check - no such material ID",IF(OR(F639="",F639=0),"Add - how much?",IF(L639="","Check - that material has no price","OK")))))))</f>
        <v>0</v>
      </c>
    </row>
    <row r="640" spans="2:18">
      <c r="B640" s="13">
        <f>IF(A640="","",IFERROR(INDEX(Products!$B$5:$B$304,MATCH(A640,Products!$A$5:$A$304,0)),"Not found"))</f>
        <v>0</v>
      </c>
      <c r="D640" s="13">
        <f>IF(C640="","",IFERROR(INDEX(Materials!$B$5:$B$254,MATCH(C640,Materials!$A$5:$A$254,0)),"Add to Materials"))</f>
        <v>0</v>
      </c>
      <c r="E640" s="13">
        <f>IF(C640="","",IFERROR(INDEX(Materials!$H$5:$H$254,MATCH(C640,Materials!$A$5:$A$254,0)),"Add to Materials"))</f>
        <v>0</v>
      </c>
      <c r="J640" s="33">
        <f>IF(C640="","",IF(G640&lt;&gt;"",G640,IFERROR(INDEX(Materials!$W$5:$W$254,MATCH(C640,Materials!$A$5:$A$254,0)),DefaultWaste)))</f>
        <v>0</v>
      </c>
      <c r="K640" s="36">
        <f>IF(C640="","",IF(F640="","",ROUND(F640*(1+J640),4)))</f>
        <v>0</v>
      </c>
      <c r="L640" s="45">
        <f>IF(C640="","",IFERROR(INDEX(Materials!$S$5:$S$254,MATCH(C640,Materials!$A$5:$A$254,0)),""))</f>
        <v>0</v>
      </c>
      <c r="M640" s="45">
        <f>IF(C640="","",IF(OR(K640="",L640=""),"",ROUND(K640*L640,4)))</f>
        <v>0</v>
      </c>
      <c r="N640" s="20">
        <f>IF(A640="","",ROUND(SUMIFS('Material Usage'!$M$5:$M$904,'Material Usage'!$A$5:$A$904,A640),2))</f>
        <v>0</v>
      </c>
      <c r="O640" s="33">
        <f>IF(A640="","",IF(OR(M640="",N640="",N640=0),"",M640/N640))</f>
        <v>0</v>
      </c>
      <c r="P640" s="32">
        <f>IF(A640="","",COUNTIFS($A$5:A640,A640))</f>
        <v>0</v>
      </c>
      <c r="Q640" s="13">
        <f>IF(A640="","",A640&amp;"|"&amp;P640)</f>
        <v>0</v>
      </c>
      <c r="R640" s="43">
        <f>IF(AND(A640="",C640=""),"",IF(A640="","Add - which product?",IF(C640="","Add - which material?",IF(B640="Not found","Check - no such product ID",IF(D640="Add to Materials","Check - no such material ID",IF(OR(F640="",F640=0),"Add - how much?",IF(L640="","Check - that material has no price","OK")))))))</f>
        <v>0</v>
      </c>
    </row>
    <row r="641" spans="2:18">
      <c r="B641" s="13">
        <f>IF(A641="","",IFERROR(INDEX(Products!$B$5:$B$304,MATCH(A641,Products!$A$5:$A$304,0)),"Not found"))</f>
        <v>0</v>
      </c>
      <c r="D641" s="13">
        <f>IF(C641="","",IFERROR(INDEX(Materials!$B$5:$B$254,MATCH(C641,Materials!$A$5:$A$254,0)),"Add to Materials"))</f>
        <v>0</v>
      </c>
      <c r="E641" s="13">
        <f>IF(C641="","",IFERROR(INDEX(Materials!$H$5:$H$254,MATCH(C641,Materials!$A$5:$A$254,0)),"Add to Materials"))</f>
        <v>0</v>
      </c>
      <c r="J641" s="33">
        <f>IF(C641="","",IF(G641&lt;&gt;"",G641,IFERROR(INDEX(Materials!$W$5:$W$254,MATCH(C641,Materials!$A$5:$A$254,0)),DefaultWaste)))</f>
        <v>0</v>
      </c>
      <c r="K641" s="36">
        <f>IF(C641="","",IF(F641="","",ROUND(F641*(1+J641),4)))</f>
        <v>0</v>
      </c>
      <c r="L641" s="45">
        <f>IF(C641="","",IFERROR(INDEX(Materials!$S$5:$S$254,MATCH(C641,Materials!$A$5:$A$254,0)),""))</f>
        <v>0</v>
      </c>
      <c r="M641" s="45">
        <f>IF(C641="","",IF(OR(K641="",L641=""),"",ROUND(K641*L641,4)))</f>
        <v>0</v>
      </c>
      <c r="N641" s="20">
        <f>IF(A641="","",ROUND(SUMIFS('Material Usage'!$M$5:$M$904,'Material Usage'!$A$5:$A$904,A641),2))</f>
        <v>0</v>
      </c>
      <c r="O641" s="33">
        <f>IF(A641="","",IF(OR(M641="",N641="",N641=0),"",M641/N641))</f>
        <v>0</v>
      </c>
      <c r="P641" s="32">
        <f>IF(A641="","",COUNTIFS($A$5:A641,A641))</f>
        <v>0</v>
      </c>
      <c r="Q641" s="13">
        <f>IF(A641="","",A641&amp;"|"&amp;P641)</f>
        <v>0</v>
      </c>
      <c r="R641" s="43">
        <f>IF(AND(A641="",C641=""),"",IF(A641="","Add - which product?",IF(C641="","Add - which material?",IF(B641="Not found","Check - no such product ID",IF(D641="Add to Materials","Check - no such material ID",IF(OR(F641="",F641=0),"Add - how much?",IF(L641="","Check - that material has no price","OK")))))))</f>
        <v>0</v>
      </c>
    </row>
    <row r="642" spans="2:18">
      <c r="B642" s="13">
        <f>IF(A642="","",IFERROR(INDEX(Products!$B$5:$B$304,MATCH(A642,Products!$A$5:$A$304,0)),"Not found"))</f>
        <v>0</v>
      </c>
      <c r="D642" s="13">
        <f>IF(C642="","",IFERROR(INDEX(Materials!$B$5:$B$254,MATCH(C642,Materials!$A$5:$A$254,0)),"Add to Materials"))</f>
        <v>0</v>
      </c>
      <c r="E642" s="13">
        <f>IF(C642="","",IFERROR(INDEX(Materials!$H$5:$H$254,MATCH(C642,Materials!$A$5:$A$254,0)),"Add to Materials"))</f>
        <v>0</v>
      </c>
      <c r="J642" s="33">
        <f>IF(C642="","",IF(G642&lt;&gt;"",G642,IFERROR(INDEX(Materials!$W$5:$W$254,MATCH(C642,Materials!$A$5:$A$254,0)),DefaultWaste)))</f>
        <v>0</v>
      </c>
      <c r="K642" s="36">
        <f>IF(C642="","",IF(F642="","",ROUND(F642*(1+J642),4)))</f>
        <v>0</v>
      </c>
      <c r="L642" s="45">
        <f>IF(C642="","",IFERROR(INDEX(Materials!$S$5:$S$254,MATCH(C642,Materials!$A$5:$A$254,0)),""))</f>
        <v>0</v>
      </c>
      <c r="M642" s="45">
        <f>IF(C642="","",IF(OR(K642="",L642=""),"",ROUND(K642*L642,4)))</f>
        <v>0</v>
      </c>
      <c r="N642" s="20">
        <f>IF(A642="","",ROUND(SUMIFS('Material Usage'!$M$5:$M$904,'Material Usage'!$A$5:$A$904,A642),2))</f>
        <v>0</v>
      </c>
      <c r="O642" s="33">
        <f>IF(A642="","",IF(OR(M642="",N642="",N642=0),"",M642/N642))</f>
        <v>0</v>
      </c>
      <c r="P642" s="32">
        <f>IF(A642="","",COUNTIFS($A$5:A642,A642))</f>
        <v>0</v>
      </c>
      <c r="Q642" s="13">
        <f>IF(A642="","",A642&amp;"|"&amp;P642)</f>
        <v>0</v>
      </c>
      <c r="R642" s="43">
        <f>IF(AND(A642="",C642=""),"",IF(A642="","Add - which product?",IF(C642="","Add - which material?",IF(B642="Not found","Check - no such product ID",IF(D642="Add to Materials","Check - no such material ID",IF(OR(F642="",F642=0),"Add - how much?",IF(L642="","Check - that material has no price","OK")))))))</f>
        <v>0</v>
      </c>
    </row>
    <row r="643" spans="2:18">
      <c r="B643" s="13">
        <f>IF(A643="","",IFERROR(INDEX(Products!$B$5:$B$304,MATCH(A643,Products!$A$5:$A$304,0)),"Not found"))</f>
        <v>0</v>
      </c>
      <c r="D643" s="13">
        <f>IF(C643="","",IFERROR(INDEX(Materials!$B$5:$B$254,MATCH(C643,Materials!$A$5:$A$254,0)),"Add to Materials"))</f>
        <v>0</v>
      </c>
      <c r="E643" s="13">
        <f>IF(C643="","",IFERROR(INDEX(Materials!$H$5:$H$254,MATCH(C643,Materials!$A$5:$A$254,0)),"Add to Materials"))</f>
        <v>0</v>
      </c>
      <c r="J643" s="33">
        <f>IF(C643="","",IF(G643&lt;&gt;"",G643,IFERROR(INDEX(Materials!$W$5:$W$254,MATCH(C643,Materials!$A$5:$A$254,0)),DefaultWaste)))</f>
        <v>0</v>
      </c>
      <c r="K643" s="36">
        <f>IF(C643="","",IF(F643="","",ROUND(F643*(1+J643),4)))</f>
        <v>0</v>
      </c>
      <c r="L643" s="45">
        <f>IF(C643="","",IFERROR(INDEX(Materials!$S$5:$S$254,MATCH(C643,Materials!$A$5:$A$254,0)),""))</f>
        <v>0</v>
      </c>
      <c r="M643" s="45">
        <f>IF(C643="","",IF(OR(K643="",L643=""),"",ROUND(K643*L643,4)))</f>
        <v>0</v>
      </c>
      <c r="N643" s="20">
        <f>IF(A643="","",ROUND(SUMIFS('Material Usage'!$M$5:$M$904,'Material Usage'!$A$5:$A$904,A643),2))</f>
        <v>0</v>
      </c>
      <c r="O643" s="33">
        <f>IF(A643="","",IF(OR(M643="",N643="",N643=0),"",M643/N643))</f>
        <v>0</v>
      </c>
      <c r="P643" s="32">
        <f>IF(A643="","",COUNTIFS($A$5:A643,A643))</f>
        <v>0</v>
      </c>
      <c r="Q643" s="13">
        <f>IF(A643="","",A643&amp;"|"&amp;P643)</f>
        <v>0</v>
      </c>
      <c r="R643" s="43">
        <f>IF(AND(A643="",C643=""),"",IF(A643="","Add - which product?",IF(C643="","Add - which material?",IF(B643="Not found","Check - no such product ID",IF(D643="Add to Materials","Check - no such material ID",IF(OR(F643="",F643=0),"Add - how much?",IF(L643="","Check - that material has no price","OK")))))))</f>
        <v>0</v>
      </c>
    </row>
    <row r="644" spans="2:18">
      <c r="B644" s="13">
        <f>IF(A644="","",IFERROR(INDEX(Products!$B$5:$B$304,MATCH(A644,Products!$A$5:$A$304,0)),"Not found"))</f>
        <v>0</v>
      </c>
      <c r="D644" s="13">
        <f>IF(C644="","",IFERROR(INDEX(Materials!$B$5:$B$254,MATCH(C644,Materials!$A$5:$A$254,0)),"Add to Materials"))</f>
        <v>0</v>
      </c>
      <c r="E644" s="13">
        <f>IF(C644="","",IFERROR(INDEX(Materials!$H$5:$H$254,MATCH(C644,Materials!$A$5:$A$254,0)),"Add to Materials"))</f>
        <v>0</v>
      </c>
      <c r="J644" s="33">
        <f>IF(C644="","",IF(G644&lt;&gt;"",G644,IFERROR(INDEX(Materials!$W$5:$W$254,MATCH(C644,Materials!$A$5:$A$254,0)),DefaultWaste)))</f>
        <v>0</v>
      </c>
      <c r="K644" s="36">
        <f>IF(C644="","",IF(F644="","",ROUND(F644*(1+J644),4)))</f>
        <v>0</v>
      </c>
      <c r="L644" s="45">
        <f>IF(C644="","",IFERROR(INDEX(Materials!$S$5:$S$254,MATCH(C644,Materials!$A$5:$A$254,0)),""))</f>
        <v>0</v>
      </c>
      <c r="M644" s="45">
        <f>IF(C644="","",IF(OR(K644="",L644=""),"",ROUND(K644*L644,4)))</f>
        <v>0</v>
      </c>
      <c r="N644" s="20">
        <f>IF(A644="","",ROUND(SUMIFS('Material Usage'!$M$5:$M$904,'Material Usage'!$A$5:$A$904,A644),2))</f>
        <v>0</v>
      </c>
      <c r="O644" s="33">
        <f>IF(A644="","",IF(OR(M644="",N644="",N644=0),"",M644/N644))</f>
        <v>0</v>
      </c>
      <c r="P644" s="32">
        <f>IF(A644="","",COUNTIFS($A$5:A644,A644))</f>
        <v>0</v>
      </c>
      <c r="Q644" s="13">
        <f>IF(A644="","",A644&amp;"|"&amp;P644)</f>
        <v>0</v>
      </c>
      <c r="R644" s="43">
        <f>IF(AND(A644="",C644=""),"",IF(A644="","Add - which product?",IF(C644="","Add - which material?",IF(B644="Not found","Check - no such product ID",IF(D644="Add to Materials","Check - no such material ID",IF(OR(F644="",F644=0),"Add - how much?",IF(L644="","Check - that material has no price","OK")))))))</f>
        <v>0</v>
      </c>
    </row>
    <row r="645" spans="2:18">
      <c r="B645" s="13">
        <f>IF(A645="","",IFERROR(INDEX(Products!$B$5:$B$304,MATCH(A645,Products!$A$5:$A$304,0)),"Not found"))</f>
        <v>0</v>
      </c>
      <c r="D645" s="13">
        <f>IF(C645="","",IFERROR(INDEX(Materials!$B$5:$B$254,MATCH(C645,Materials!$A$5:$A$254,0)),"Add to Materials"))</f>
        <v>0</v>
      </c>
      <c r="E645" s="13">
        <f>IF(C645="","",IFERROR(INDEX(Materials!$H$5:$H$254,MATCH(C645,Materials!$A$5:$A$254,0)),"Add to Materials"))</f>
        <v>0</v>
      </c>
      <c r="J645" s="33">
        <f>IF(C645="","",IF(G645&lt;&gt;"",G645,IFERROR(INDEX(Materials!$W$5:$W$254,MATCH(C645,Materials!$A$5:$A$254,0)),DefaultWaste)))</f>
        <v>0</v>
      </c>
      <c r="K645" s="36">
        <f>IF(C645="","",IF(F645="","",ROUND(F645*(1+J645),4)))</f>
        <v>0</v>
      </c>
      <c r="L645" s="45">
        <f>IF(C645="","",IFERROR(INDEX(Materials!$S$5:$S$254,MATCH(C645,Materials!$A$5:$A$254,0)),""))</f>
        <v>0</v>
      </c>
      <c r="M645" s="45">
        <f>IF(C645="","",IF(OR(K645="",L645=""),"",ROUND(K645*L645,4)))</f>
        <v>0</v>
      </c>
      <c r="N645" s="20">
        <f>IF(A645="","",ROUND(SUMIFS('Material Usage'!$M$5:$M$904,'Material Usage'!$A$5:$A$904,A645),2))</f>
        <v>0</v>
      </c>
      <c r="O645" s="33">
        <f>IF(A645="","",IF(OR(M645="",N645="",N645=0),"",M645/N645))</f>
        <v>0</v>
      </c>
      <c r="P645" s="32">
        <f>IF(A645="","",COUNTIFS($A$5:A645,A645))</f>
        <v>0</v>
      </c>
      <c r="Q645" s="13">
        <f>IF(A645="","",A645&amp;"|"&amp;P645)</f>
        <v>0</v>
      </c>
      <c r="R645" s="43">
        <f>IF(AND(A645="",C645=""),"",IF(A645="","Add - which product?",IF(C645="","Add - which material?",IF(B645="Not found","Check - no such product ID",IF(D645="Add to Materials","Check - no such material ID",IF(OR(F645="",F645=0),"Add - how much?",IF(L645="","Check - that material has no price","OK")))))))</f>
        <v>0</v>
      </c>
    </row>
    <row r="646" spans="2:18">
      <c r="B646" s="13">
        <f>IF(A646="","",IFERROR(INDEX(Products!$B$5:$B$304,MATCH(A646,Products!$A$5:$A$304,0)),"Not found"))</f>
        <v>0</v>
      </c>
      <c r="D646" s="13">
        <f>IF(C646="","",IFERROR(INDEX(Materials!$B$5:$B$254,MATCH(C646,Materials!$A$5:$A$254,0)),"Add to Materials"))</f>
        <v>0</v>
      </c>
      <c r="E646" s="13">
        <f>IF(C646="","",IFERROR(INDEX(Materials!$H$5:$H$254,MATCH(C646,Materials!$A$5:$A$254,0)),"Add to Materials"))</f>
        <v>0</v>
      </c>
      <c r="J646" s="33">
        <f>IF(C646="","",IF(G646&lt;&gt;"",G646,IFERROR(INDEX(Materials!$W$5:$W$254,MATCH(C646,Materials!$A$5:$A$254,0)),DefaultWaste)))</f>
        <v>0</v>
      </c>
      <c r="K646" s="36">
        <f>IF(C646="","",IF(F646="","",ROUND(F646*(1+J646),4)))</f>
        <v>0</v>
      </c>
      <c r="L646" s="45">
        <f>IF(C646="","",IFERROR(INDEX(Materials!$S$5:$S$254,MATCH(C646,Materials!$A$5:$A$254,0)),""))</f>
        <v>0</v>
      </c>
      <c r="M646" s="45">
        <f>IF(C646="","",IF(OR(K646="",L646=""),"",ROUND(K646*L646,4)))</f>
        <v>0</v>
      </c>
      <c r="N646" s="20">
        <f>IF(A646="","",ROUND(SUMIFS('Material Usage'!$M$5:$M$904,'Material Usage'!$A$5:$A$904,A646),2))</f>
        <v>0</v>
      </c>
      <c r="O646" s="33">
        <f>IF(A646="","",IF(OR(M646="",N646="",N646=0),"",M646/N646))</f>
        <v>0</v>
      </c>
      <c r="P646" s="32">
        <f>IF(A646="","",COUNTIFS($A$5:A646,A646))</f>
        <v>0</v>
      </c>
      <c r="Q646" s="13">
        <f>IF(A646="","",A646&amp;"|"&amp;P646)</f>
        <v>0</v>
      </c>
      <c r="R646" s="43">
        <f>IF(AND(A646="",C646=""),"",IF(A646="","Add - which product?",IF(C646="","Add - which material?",IF(B646="Not found","Check - no such product ID",IF(D646="Add to Materials","Check - no such material ID",IF(OR(F646="",F646=0),"Add - how much?",IF(L646="","Check - that material has no price","OK")))))))</f>
        <v>0</v>
      </c>
    </row>
    <row r="647" spans="2:18">
      <c r="B647" s="13">
        <f>IF(A647="","",IFERROR(INDEX(Products!$B$5:$B$304,MATCH(A647,Products!$A$5:$A$304,0)),"Not found"))</f>
        <v>0</v>
      </c>
      <c r="D647" s="13">
        <f>IF(C647="","",IFERROR(INDEX(Materials!$B$5:$B$254,MATCH(C647,Materials!$A$5:$A$254,0)),"Add to Materials"))</f>
        <v>0</v>
      </c>
      <c r="E647" s="13">
        <f>IF(C647="","",IFERROR(INDEX(Materials!$H$5:$H$254,MATCH(C647,Materials!$A$5:$A$254,0)),"Add to Materials"))</f>
        <v>0</v>
      </c>
      <c r="J647" s="33">
        <f>IF(C647="","",IF(G647&lt;&gt;"",G647,IFERROR(INDEX(Materials!$W$5:$W$254,MATCH(C647,Materials!$A$5:$A$254,0)),DefaultWaste)))</f>
        <v>0</v>
      </c>
      <c r="K647" s="36">
        <f>IF(C647="","",IF(F647="","",ROUND(F647*(1+J647),4)))</f>
        <v>0</v>
      </c>
      <c r="L647" s="45">
        <f>IF(C647="","",IFERROR(INDEX(Materials!$S$5:$S$254,MATCH(C647,Materials!$A$5:$A$254,0)),""))</f>
        <v>0</v>
      </c>
      <c r="M647" s="45">
        <f>IF(C647="","",IF(OR(K647="",L647=""),"",ROUND(K647*L647,4)))</f>
        <v>0</v>
      </c>
      <c r="N647" s="20">
        <f>IF(A647="","",ROUND(SUMIFS('Material Usage'!$M$5:$M$904,'Material Usage'!$A$5:$A$904,A647),2))</f>
        <v>0</v>
      </c>
      <c r="O647" s="33">
        <f>IF(A647="","",IF(OR(M647="",N647="",N647=0),"",M647/N647))</f>
        <v>0</v>
      </c>
      <c r="P647" s="32">
        <f>IF(A647="","",COUNTIFS($A$5:A647,A647))</f>
        <v>0</v>
      </c>
      <c r="Q647" s="13">
        <f>IF(A647="","",A647&amp;"|"&amp;P647)</f>
        <v>0</v>
      </c>
      <c r="R647" s="43">
        <f>IF(AND(A647="",C647=""),"",IF(A647="","Add - which product?",IF(C647="","Add - which material?",IF(B647="Not found","Check - no such product ID",IF(D647="Add to Materials","Check - no such material ID",IF(OR(F647="",F647=0),"Add - how much?",IF(L647="","Check - that material has no price","OK")))))))</f>
        <v>0</v>
      </c>
    </row>
    <row r="648" spans="2:18">
      <c r="B648" s="13">
        <f>IF(A648="","",IFERROR(INDEX(Products!$B$5:$B$304,MATCH(A648,Products!$A$5:$A$304,0)),"Not found"))</f>
        <v>0</v>
      </c>
      <c r="D648" s="13">
        <f>IF(C648="","",IFERROR(INDEX(Materials!$B$5:$B$254,MATCH(C648,Materials!$A$5:$A$254,0)),"Add to Materials"))</f>
        <v>0</v>
      </c>
      <c r="E648" s="13">
        <f>IF(C648="","",IFERROR(INDEX(Materials!$H$5:$H$254,MATCH(C648,Materials!$A$5:$A$254,0)),"Add to Materials"))</f>
        <v>0</v>
      </c>
      <c r="J648" s="33">
        <f>IF(C648="","",IF(G648&lt;&gt;"",G648,IFERROR(INDEX(Materials!$W$5:$W$254,MATCH(C648,Materials!$A$5:$A$254,0)),DefaultWaste)))</f>
        <v>0</v>
      </c>
      <c r="K648" s="36">
        <f>IF(C648="","",IF(F648="","",ROUND(F648*(1+J648),4)))</f>
        <v>0</v>
      </c>
      <c r="L648" s="45">
        <f>IF(C648="","",IFERROR(INDEX(Materials!$S$5:$S$254,MATCH(C648,Materials!$A$5:$A$254,0)),""))</f>
        <v>0</v>
      </c>
      <c r="M648" s="45">
        <f>IF(C648="","",IF(OR(K648="",L648=""),"",ROUND(K648*L648,4)))</f>
        <v>0</v>
      </c>
      <c r="N648" s="20">
        <f>IF(A648="","",ROUND(SUMIFS('Material Usage'!$M$5:$M$904,'Material Usage'!$A$5:$A$904,A648),2))</f>
        <v>0</v>
      </c>
      <c r="O648" s="33">
        <f>IF(A648="","",IF(OR(M648="",N648="",N648=0),"",M648/N648))</f>
        <v>0</v>
      </c>
      <c r="P648" s="32">
        <f>IF(A648="","",COUNTIFS($A$5:A648,A648))</f>
        <v>0</v>
      </c>
      <c r="Q648" s="13">
        <f>IF(A648="","",A648&amp;"|"&amp;P648)</f>
        <v>0</v>
      </c>
      <c r="R648" s="43">
        <f>IF(AND(A648="",C648=""),"",IF(A648="","Add - which product?",IF(C648="","Add - which material?",IF(B648="Not found","Check - no such product ID",IF(D648="Add to Materials","Check - no such material ID",IF(OR(F648="",F648=0),"Add - how much?",IF(L648="","Check - that material has no price","OK")))))))</f>
        <v>0</v>
      </c>
    </row>
    <row r="649" spans="2:18">
      <c r="B649" s="13">
        <f>IF(A649="","",IFERROR(INDEX(Products!$B$5:$B$304,MATCH(A649,Products!$A$5:$A$304,0)),"Not found"))</f>
        <v>0</v>
      </c>
      <c r="D649" s="13">
        <f>IF(C649="","",IFERROR(INDEX(Materials!$B$5:$B$254,MATCH(C649,Materials!$A$5:$A$254,0)),"Add to Materials"))</f>
        <v>0</v>
      </c>
      <c r="E649" s="13">
        <f>IF(C649="","",IFERROR(INDEX(Materials!$H$5:$H$254,MATCH(C649,Materials!$A$5:$A$254,0)),"Add to Materials"))</f>
        <v>0</v>
      </c>
      <c r="J649" s="33">
        <f>IF(C649="","",IF(G649&lt;&gt;"",G649,IFERROR(INDEX(Materials!$W$5:$W$254,MATCH(C649,Materials!$A$5:$A$254,0)),DefaultWaste)))</f>
        <v>0</v>
      </c>
      <c r="K649" s="36">
        <f>IF(C649="","",IF(F649="","",ROUND(F649*(1+J649),4)))</f>
        <v>0</v>
      </c>
      <c r="L649" s="45">
        <f>IF(C649="","",IFERROR(INDEX(Materials!$S$5:$S$254,MATCH(C649,Materials!$A$5:$A$254,0)),""))</f>
        <v>0</v>
      </c>
      <c r="M649" s="45">
        <f>IF(C649="","",IF(OR(K649="",L649=""),"",ROUND(K649*L649,4)))</f>
        <v>0</v>
      </c>
      <c r="N649" s="20">
        <f>IF(A649="","",ROUND(SUMIFS('Material Usage'!$M$5:$M$904,'Material Usage'!$A$5:$A$904,A649),2))</f>
        <v>0</v>
      </c>
      <c r="O649" s="33">
        <f>IF(A649="","",IF(OR(M649="",N649="",N649=0),"",M649/N649))</f>
        <v>0</v>
      </c>
      <c r="P649" s="32">
        <f>IF(A649="","",COUNTIFS($A$5:A649,A649))</f>
        <v>0</v>
      </c>
      <c r="Q649" s="13">
        <f>IF(A649="","",A649&amp;"|"&amp;P649)</f>
        <v>0</v>
      </c>
      <c r="R649" s="43">
        <f>IF(AND(A649="",C649=""),"",IF(A649="","Add - which product?",IF(C649="","Add - which material?",IF(B649="Not found","Check - no such product ID",IF(D649="Add to Materials","Check - no such material ID",IF(OR(F649="",F649=0),"Add - how much?",IF(L649="","Check - that material has no price","OK")))))))</f>
        <v>0</v>
      </c>
    </row>
    <row r="650" spans="2:18">
      <c r="B650" s="13">
        <f>IF(A650="","",IFERROR(INDEX(Products!$B$5:$B$304,MATCH(A650,Products!$A$5:$A$304,0)),"Not found"))</f>
        <v>0</v>
      </c>
      <c r="D650" s="13">
        <f>IF(C650="","",IFERROR(INDEX(Materials!$B$5:$B$254,MATCH(C650,Materials!$A$5:$A$254,0)),"Add to Materials"))</f>
        <v>0</v>
      </c>
      <c r="E650" s="13">
        <f>IF(C650="","",IFERROR(INDEX(Materials!$H$5:$H$254,MATCH(C650,Materials!$A$5:$A$254,0)),"Add to Materials"))</f>
        <v>0</v>
      </c>
      <c r="J650" s="33">
        <f>IF(C650="","",IF(G650&lt;&gt;"",G650,IFERROR(INDEX(Materials!$W$5:$W$254,MATCH(C650,Materials!$A$5:$A$254,0)),DefaultWaste)))</f>
        <v>0</v>
      </c>
      <c r="K650" s="36">
        <f>IF(C650="","",IF(F650="","",ROUND(F650*(1+J650),4)))</f>
        <v>0</v>
      </c>
      <c r="L650" s="45">
        <f>IF(C650="","",IFERROR(INDEX(Materials!$S$5:$S$254,MATCH(C650,Materials!$A$5:$A$254,0)),""))</f>
        <v>0</v>
      </c>
      <c r="M650" s="45">
        <f>IF(C650="","",IF(OR(K650="",L650=""),"",ROUND(K650*L650,4)))</f>
        <v>0</v>
      </c>
      <c r="N650" s="20">
        <f>IF(A650="","",ROUND(SUMIFS('Material Usage'!$M$5:$M$904,'Material Usage'!$A$5:$A$904,A650),2))</f>
        <v>0</v>
      </c>
      <c r="O650" s="33">
        <f>IF(A650="","",IF(OR(M650="",N650="",N650=0),"",M650/N650))</f>
        <v>0</v>
      </c>
      <c r="P650" s="32">
        <f>IF(A650="","",COUNTIFS($A$5:A650,A650))</f>
        <v>0</v>
      </c>
      <c r="Q650" s="13">
        <f>IF(A650="","",A650&amp;"|"&amp;P650)</f>
        <v>0</v>
      </c>
      <c r="R650" s="43">
        <f>IF(AND(A650="",C650=""),"",IF(A650="","Add - which product?",IF(C650="","Add - which material?",IF(B650="Not found","Check - no such product ID",IF(D650="Add to Materials","Check - no such material ID",IF(OR(F650="",F650=0),"Add - how much?",IF(L650="","Check - that material has no price","OK")))))))</f>
        <v>0</v>
      </c>
    </row>
    <row r="651" spans="2:18">
      <c r="B651" s="13">
        <f>IF(A651="","",IFERROR(INDEX(Products!$B$5:$B$304,MATCH(A651,Products!$A$5:$A$304,0)),"Not found"))</f>
        <v>0</v>
      </c>
      <c r="D651" s="13">
        <f>IF(C651="","",IFERROR(INDEX(Materials!$B$5:$B$254,MATCH(C651,Materials!$A$5:$A$254,0)),"Add to Materials"))</f>
        <v>0</v>
      </c>
      <c r="E651" s="13">
        <f>IF(C651="","",IFERROR(INDEX(Materials!$H$5:$H$254,MATCH(C651,Materials!$A$5:$A$254,0)),"Add to Materials"))</f>
        <v>0</v>
      </c>
      <c r="J651" s="33">
        <f>IF(C651="","",IF(G651&lt;&gt;"",G651,IFERROR(INDEX(Materials!$W$5:$W$254,MATCH(C651,Materials!$A$5:$A$254,0)),DefaultWaste)))</f>
        <v>0</v>
      </c>
      <c r="K651" s="36">
        <f>IF(C651="","",IF(F651="","",ROUND(F651*(1+J651),4)))</f>
        <v>0</v>
      </c>
      <c r="L651" s="45">
        <f>IF(C651="","",IFERROR(INDEX(Materials!$S$5:$S$254,MATCH(C651,Materials!$A$5:$A$254,0)),""))</f>
        <v>0</v>
      </c>
      <c r="M651" s="45">
        <f>IF(C651="","",IF(OR(K651="",L651=""),"",ROUND(K651*L651,4)))</f>
        <v>0</v>
      </c>
      <c r="N651" s="20">
        <f>IF(A651="","",ROUND(SUMIFS('Material Usage'!$M$5:$M$904,'Material Usage'!$A$5:$A$904,A651),2))</f>
        <v>0</v>
      </c>
      <c r="O651" s="33">
        <f>IF(A651="","",IF(OR(M651="",N651="",N651=0),"",M651/N651))</f>
        <v>0</v>
      </c>
      <c r="P651" s="32">
        <f>IF(A651="","",COUNTIFS($A$5:A651,A651))</f>
        <v>0</v>
      </c>
      <c r="Q651" s="13">
        <f>IF(A651="","",A651&amp;"|"&amp;P651)</f>
        <v>0</v>
      </c>
      <c r="R651" s="43">
        <f>IF(AND(A651="",C651=""),"",IF(A651="","Add - which product?",IF(C651="","Add - which material?",IF(B651="Not found","Check - no such product ID",IF(D651="Add to Materials","Check - no such material ID",IF(OR(F651="",F651=0),"Add - how much?",IF(L651="","Check - that material has no price","OK")))))))</f>
        <v>0</v>
      </c>
    </row>
    <row r="652" spans="2:18">
      <c r="B652" s="13">
        <f>IF(A652="","",IFERROR(INDEX(Products!$B$5:$B$304,MATCH(A652,Products!$A$5:$A$304,0)),"Not found"))</f>
        <v>0</v>
      </c>
      <c r="D652" s="13">
        <f>IF(C652="","",IFERROR(INDEX(Materials!$B$5:$B$254,MATCH(C652,Materials!$A$5:$A$254,0)),"Add to Materials"))</f>
        <v>0</v>
      </c>
      <c r="E652" s="13">
        <f>IF(C652="","",IFERROR(INDEX(Materials!$H$5:$H$254,MATCH(C652,Materials!$A$5:$A$254,0)),"Add to Materials"))</f>
        <v>0</v>
      </c>
      <c r="J652" s="33">
        <f>IF(C652="","",IF(G652&lt;&gt;"",G652,IFERROR(INDEX(Materials!$W$5:$W$254,MATCH(C652,Materials!$A$5:$A$254,0)),DefaultWaste)))</f>
        <v>0</v>
      </c>
      <c r="K652" s="36">
        <f>IF(C652="","",IF(F652="","",ROUND(F652*(1+J652),4)))</f>
        <v>0</v>
      </c>
      <c r="L652" s="45">
        <f>IF(C652="","",IFERROR(INDEX(Materials!$S$5:$S$254,MATCH(C652,Materials!$A$5:$A$254,0)),""))</f>
        <v>0</v>
      </c>
      <c r="M652" s="45">
        <f>IF(C652="","",IF(OR(K652="",L652=""),"",ROUND(K652*L652,4)))</f>
        <v>0</v>
      </c>
      <c r="N652" s="20">
        <f>IF(A652="","",ROUND(SUMIFS('Material Usage'!$M$5:$M$904,'Material Usage'!$A$5:$A$904,A652),2))</f>
        <v>0</v>
      </c>
      <c r="O652" s="33">
        <f>IF(A652="","",IF(OR(M652="",N652="",N652=0),"",M652/N652))</f>
        <v>0</v>
      </c>
      <c r="P652" s="32">
        <f>IF(A652="","",COUNTIFS($A$5:A652,A652))</f>
        <v>0</v>
      </c>
      <c r="Q652" s="13">
        <f>IF(A652="","",A652&amp;"|"&amp;P652)</f>
        <v>0</v>
      </c>
      <c r="R652" s="43">
        <f>IF(AND(A652="",C652=""),"",IF(A652="","Add - which product?",IF(C652="","Add - which material?",IF(B652="Not found","Check - no such product ID",IF(D652="Add to Materials","Check - no such material ID",IF(OR(F652="",F652=0),"Add - how much?",IF(L652="","Check - that material has no price","OK")))))))</f>
        <v>0</v>
      </c>
    </row>
    <row r="653" spans="2:18">
      <c r="B653" s="13">
        <f>IF(A653="","",IFERROR(INDEX(Products!$B$5:$B$304,MATCH(A653,Products!$A$5:$A$304,0)),"Not found"))</f>
        <v>0</v>
      </c>
      <c r="D653" s="13">
        <f>IF(C653="","",IFERROR(INDEX(Materials!$B$5:$B$254,MATCH(C653,Materials!$A$5:$A$254,0)),"Add to Materials"))</f>
        <v>0</v>
      </c>
      <c r="E653" s="13">
        <f>IF(C653="","",IFERROR(INDEX(Materials!$H$5:$H$254,MATCH(C653,Materials!$A$5:$A$254,0)),"Add to Materials"))</f>
        <v>0</v>
      </c>
      <c r="J653" s="33">
        <f>IF(C653="","",IF(G653&lt;&gt;"",G653,IFERROR(INDEX(Materials!$W$5:$W$254,MATCH(C653,Materials!$A$5:$A$254,0)),DefaultWaste)))</f>
        <v>0</v>
      </c>
      <c r="K653" s="36">
        <f>IF(C653="","",IF(F653="","",ROUND(F653*(1+J653),4)))</f>
        <v>0</v>
      </c>
      <c r="L653" s="45">
        <f>IF(C653="","",IFERROR(INDEX(Materials!$S$5:$S$254,MATCH(C653,Materials!$A$5:$A$254,0)),""))</f>
        <v>0</v>
      </c>
      <c r="M653" s="45">
        <f>IF(C653="","",IF(OR(K653="",L653=""),"",ROUND(K653*L653,4)))</f>
        <v>0</v>
      </c>
      <c r="N653" s="20">
        <f>IF(A653="","",ROUND(SUMIFS('Material Usage'!$M$5:$M$904,'Material Usage'!$A$5:$A$904,A653),2))</f>
        <v>0</v>
      </c>
      <c r="O653" s="33">
        <f>IF(A653="","",IF(OR(M653="",N653="",N653=0),"",M653/N653))</f>
        <v>0</v>
      </c>
      <c r="P653" s="32">
        <f>IF(A653="","",COUNTIFS($A$5:A653,A653))</f>
        <v>0</v>
      </c>
      <c r="Q653" s="13">
        <f>IF(A653="","",A653&amp;"|"&amp;P653)</f>
        <v>0</v>
      </c>
      <c r="R653" s="43">
        <f>IF(AND(A653="",C653=""),"",IF(A653="","Add - which product?",IF(C653="","Add - which material?",IF(B653="Not found","Check - no such product ID",IF(D653="Add to Materials","Check - no such material ID",IF(OR(F653="",F653=0),"Add - how much?",IF(L653="","Check - that material has no price","OK")))))))</f>
        <v>0</v>
      </c>
    </row>
    <row r="654" spans="2:18">
      <c r="B654" s="13">
        <f>IF(A654="","",IFERROR(INDEX(Products!$B$5:$B$304,MATCH(A654,Products!$A$5:$A$304,0)),"Not found"))</f>
        <v>0</v>
      </c>
      <c r="D654" s="13">
        <f>IF(C654="","",IFERROR(INDEX(Materials!$B$5:$B$254,MATCH(C654,Materials!$A$5:$A$254,0)),"Add to Materials"))</f>
        <v>0</v>
      </c>
      <c r="E654" s="13">
        <f>IF(C654="","",IFERROR(INDEX(Materials!$H$5:$H$254,MATCH(C654,Materials!$A$5:$A$254,0)),"Add to Materials"))</f>
        <v>0</v>
      </c>
      <c r="J654" s="33">
        <f>IF(C654="","",IF(G654&lt;&gt;"",G654,IFERROR(INDEX(Materials!$W$5:$W$254,MATCH(C654,Materials!$A$5:$A$254,0)),DefaultWaste)))</f>
        <v>0</v>
      </c>
      <c r="K654" s="36">
        <f>IF(C654="","",IF(F654="","",ROUND(F654*(1+J654),4)))</f>
        <v>0</v>
      </c>
      <c r="L654" s="45">
        <f>IF(C654="","",IFERROR(INDEX(Materials!$S$5:$S$254,MATCH(C654,Materials!$A$5:$A$254,0)),""))</f>
        <v>0</v>
      </c>
      <c r="M654" s="45">
        <f>IF(C654="","",IF(OR(K654="",L654=""),"",ROUND(K654*L654,4)))</f>
        <v>0</v>
      </c>
      <c r="N654" s="20">
        <f>IF(A654="","",ROUND(SUMIFS('Material Usage'!$M$5:$M$904,'Material Usage'!$A$5:$A$904,A654),2))</f>
        <v>0</v>
      </c>
      <c r="O654" s="33">
        <f>IF(A654="","",IF(OR(M654="",N654="",N654=0),"",M654/N654))</f>
        <v>0</v>
      </c>
      <c r="P654" s="32">
        <f>IF(A654="","",COUNTIFS($A$5:A654,A654))</f>
        <v>0</v>
      </c>
      <c r="Q654" s="13">
        <f>IF(A654="","",A654&amp;"|"&amp;P654)</f>
        <v>0</v>
      </c>
      <c r="R654" s="43">
        <f>IF(AND(A654="",C654=""),"",IF(A654="","Add - which product?",IF(C654="","Add - which material?",IF(B654="Not found","Check - no such product ID",IF(D654="Add to Materials","Check - no such material ID",IF(OR(F654="",F654=0),"Add - how much?",IF(L654="","Check - that material has no price","OK")))))))</f>
        <v>0</v>
      </c>
    </row>
    <row r="655" spans="2:18">
      <c r="B655" s="13">
        <f>IF(A655="","",IFERROR(INDEX(Products!$B$5:$B$304,MATCH(A655,Products!$A$5:$A$304,0)),"Not found"))</f>
        <v>0</v>
      </c>
      <c r="D655" s="13">
        <f>IF(C655="","",IFERROR(INDEX(Materials!$B$5:$B$254,MATCH(C655,Materials!$A$5:$A$254,0)),"Add to Materials"))</f>
        <v>0</v>
      </c>
      <c r="E655" s="13">
        <f>IF(C655="","",IFERROR(INDEX(Materials!$H$5:$H$254,MATCH(C655,Materials!$A$5:$A$254,0)),"Add to Materials"))</f>
        <v>0</v>
      </c>
      <c r="J655" s="33">
        <f>IF(C655="","",IF(G655&lt;&gt;"",G655,IFERROR(INDEX(Materials!$W$5:$W$254,MATCH(C655,Materials!$A$5:$A$254,0)),DefaultWaste)))</f>
        <v>0</v>
      </c>
      <c r="K655" s="36">
        <f>IF(C655="","",IF(F655="","",ROUND(F655*(1+J655),4)))</f>
        <v>0</v>
      </c>
      <c r="L655" s="45">
        <f>IF(C655="","",IFERROR(INDEX(Materials!$S$5:$S$254,MATCH(C655,Materials!$A$5:$A$254,0)),""))</f>
        <v>0</v>
      </c>
      <c r="M655" s="45">
        <f>IF(C655="","",IF(OR(K655="",L655=""),"",ROUND(K655*L655,4)))</f>
        <v>0</v>
      </c>
      <c r="N655" s="20">
        <f>IF(A655="","",ROUND(SUMIFS('Material Usage'!$M$5:$M$904,'Material Usage'!$A$5:$A$904,A655),2))</f>
        <v>0</v>
      </c>
      <c r="O655" s="33">
        <f>IF(A655="","",IF(OR(M655="",N655="",N655=0),"",M655/N655))</f>
        <v>0</v>
      </c>
      <c r="P655" s="32">
        <f>IF(A655="","",COUNTIFS($A$5:A655,A655))</f>
        <v>0</v>
      </c>
      <c r="Q655" s="13">
        <f>IF(A655="","",A655&amp;"|"&amp;P655)</f>
        <v>0</v>
      </c>
      <c r="R655" s="43">
        <f>IF(AND(A655="",C655=""),"",IF(A655="","Add - which product?",IF(C655="","Add - which material?",IF(B655="Not found","Check - no such product ID",IF(D655="Add to Materials","Check - no such material ID",IF(OR(F655="",F655=0),"Add - how much?",IF(L655="","Check - that material has no price","OK")))))))</f>
        <v>0</v>
      </c>
    </row>
    <row r="656" spans="2:18">
      <c r="B656" s="13">
        <f>IF(A656="","",IFERROR(INDEX(Products!$B$5:$B$304,MATCH(A656,Products!$A$5:$A$304,0)),"Not found"))</f>
        <v>0</v>
      </c>
      <c r="D656" s="13">
        <f>IF(C656="","",IFERROR(INDEX(Materials!$B$5:$B$254,MATCH(C656,Materials!$A$5:$A$254,0)),"Add to Materials"))</f>
        <v>0</v>
      </c>
      <c r="E656" s="13">
        <f>IF(C656="","",IFERROR(INDEX(Materials!$H$5:$H$254,MATCH(C656,Materials!$A$5:$A$254,0)),"Add to Materials"))</f>
        <v>0</v>
      </c>
      <c r="J656" s="33">
        <f>IF(C656="","",IF(G656&lt;&gt;"",G656,IFERROR(INDEX(Materials!$W$5:$W$254,MATCH(C656,Materials!$A$5:$A$254,0)),DefaultWaste)))</f>
        <v>0</v>
      </c>
      <c r="K656" s="36">
        <f>IF(C656="","",IF(F656="","",ROUND(F656*(1+J656),4)))</f>
        <v>0</v>
      </c>
      <c r="L656" s="45">
        <f>IF(C656="","",IFERROR(INDEX(Materials!$S$5:$S$254,MATCH(C656,Materials!$A$5:$A$254,0)),""))</f>
        <v>0</v>
      </c>
      <c r="M656" s="45">
        <f>IF(C656="","",IF(OR(K656="",L656=""),"",ROUND(K656*L656,4)))</f>
        <v>0</v>
      </c>
      <c r="N656" s="20">
        <f>IF(A656="","",ROUND(SUMIFS('Material Usage'!$M$5:$M$904,'Material Usage'!$A$5:$A$904,A656),2))</f>
        <v>0</v>
      </c>
      <c r="O656" s="33">
        <f>IF(A656="","",IF(OR(M656="",N656="",N656=0),"",M656/N656))</f>
        <v>0</v>
      </c>
      <c r="P656" s="32">
        <f>IF(A656="","",COUNTIFS($A$5:A656,A656))</f>
        <v>0</v>
      </c>
      <c r="Q656" s="13">
        <f>IF(A656="","",A656&amp;"|"&amp;P656)</f>
        <v>0</v>
      </c>
      <c r="R656" s="43">
        <f>IF(AND(A656="",C656=""),"",IF(A656="","Add - which product?",IF(C656="","Add - which material?",IF(B656="Not found","Check - no such product ID",IF(D656="Add to Materials","Check - no such material ID",IF(OR(F656="",F656=0),"Add - how much?",IF(L656="","Check - that material has no price","OK")))))))</f>
        <v>0</v>
      </c>
    </row>
    <row r="657" spans="2:18">
      <c r="B657" s="13">
        <f>IF(A657="","",IFERROR(INDEX(Products!$B$5:$B$304,MATCH(A657,Products!$A$5:$A$304,0)),"Not found"))</f>
        <v>0</v>
      </c>
      <c r="D657" s="13">
        <f>IF(C657="","",IFERROR(INDEX(Materials!$B$5:$B$254,MATCH(C657,Materials!$A$5:$A$254,0)),"Add to Materials"))</f>
        <v>0</v>
      </c>
      <c r="E657" s="13">
        <f>IF(C657="","",IFERROR(INDEX(Materials!$H$5:$H$254,MATCH(C657,Materials!$A$5:$A$254,0)),"Add to Materials"))</f>
        <v>0</v>
      </c>
      <c r="J657" s="33">
        <f>IF(C657="","",IF(G657&lt;&gt;"",G657,IFERROR(INDEX(Materials!$W$5:$W$254,MATCH(C657,Materials!$A$5:$A$254,0)),DefaultWaste)))</f>
        <v>0</v>
      </c>
      <c r="K657" s="36">
        <f>IF(C657="","",IF(F657="","",ROUND(F657*(1+J657),4)))</f>
        <v>0</v>
      </c>
      <c r="L657" s="45">
        <f>IF(C657="","",IFERROR(INDEX(Materials!$S$5:$S$254,MATCH(C657,Materials!$A$5:$A$254,0)),""))</f>
        <v>0</v>
      </c>
      <c r="M657" s="45">
        <f>IF(C657="","",IF(OR(K657="",L657=""),"",ROUND(K657*L657,4)))</f>
        <v>0</v>
      </c>
      <c r="N657" s="20">
        <f>IF(A657="","",ROUND(SUMIFS('Material Usage'!$M$5:$M$904,'Material Usage'!$A$5:$A$904,A657),2))</f>
        <v>0</v>
      </c>
      <c r="O657" s="33">
        <f>IF(A657="","",IF(OR(M657="",N657="",N657=0),"",M657/N657))</f>
        <v>0</v>
      </c>
      <c r="P657" s="32">
        <f>IF(A657="","",COUNTIFS($A$5:A657,A657))</f>
        <v>0</v>
      </c>
      <c r="Q657" s="13">
        <f>IF(A657="","",A657&amp;"|"&amp;P657)</f>
        <v>0</v>
      </c>
      <c r="R657" s="43">
        <f>IF(AND(A657="",C657=""),"",IF(A657="","Add - which product?",IF(C657="","Add - which material?",IF(B657="Not found","Check - no such product ID",IF(D657="Add to Materials","Check - no such material ID",IF(OR(F657="",F657=0),"Add - how much?",IF(L657="","Check - that material has no price","OK")))))))</f>
        <v>0</v>
      </c>
    </row>
    <row r="658" spans="2:18">
      <c r="B658" s="13">
        <f>IF(A658="","",IFERROR(INDEX(Products!$B$5:$B$304,MATCH(A658,Products!$A$5:$A$304,0)),"Not found"))</f>
        <v>0</v>
      </c>
      <c r="D658" s="13">
        <f>IF(C658="","",IFERROR(INDEX(Materials!$B$5:$B$254,MATCH(C658,Materials!$A$5:$A$254,0)),"Add to Materials"))</f>
        <v>0</v>
      </c>
      <c r="E658" s="13">
        <f>IF(C658="","",IFERROR(INDEX(Materials!$H$5:$H$254,MATCH(C658,Materials!$A$5:$A$254,0)),"Add to Materials"))</f>
        <v>0</v>
      </c>
      <c r="J658" s="33">
        <f>IF(C658="","",IF(G658&lt;&gt;"",G658,IFERROR(INDEX(Materials!$W$5:$W$254,MATCH(C658,Materials!$A$5:$A$254,0)),DefaultWaste)))</f>
        <v>0</v>
      </c>
      <c r="K658" s="36">
        <f>IF(C658="","",IF(F658="","",ROUND(F658*(1+J658),4)))</f>
        <v>0</v>
      </c>
      <c r="L658" s="45">
        <f>IF(C658="","",IFERROR(INDEX(Materials!$S$5:$S$254,MATCH(C658,Materials!$A$5:$A$254,0)),""))</f>
        <v>0</v>
      </c>
      <c r="M658" s="45">
        <f>IF(C658="","",IF(OR(K658="",L658=""),"",ROUND(K658*L658,4)))</f>
        <v>0</v>
      </c>
      <c r="N658" s="20">
        <f>IF(A658="","",ROUND(SUMIFS('Material Usage'!$M$5:$M$904,'Material Usage'!$A$5:$A$904,A658),2))</f>
        <v>0</v>
      </c>
      <c r="O658" s="33">
        <f>IF(A658="","",IF(OR(M658="",N658="",N658=0),"",M658/N658))</f>
        <v>0</v>
      </c>
      <c r="P658" s="32">
        <f>IF(A658="","",COUNTIFS($A$5:A658,A658))</f>
        <v>0</v>
      </c>
      <c r="Q658" s="13">
        <f>IF(A658="","",A658&amp;"|"&amp;P658)</f>
        <v>0</v>
      </c>
      <c r="R658" s="43">
        <f>IF(AND(A658="",C658=""),"",IF(A658="","Add - which product?",IF(C658="","Add - which material?",IF(B658="Not found","Check - no such product ID",IF(D658="Add to Materials","Check - no such material ID",IF(OR(F658="",F658=0),"Add - how much?",IF(L658="","Check - that material has no price","OK")))))))</f>
        <v>0</v>
      </c>
    </row>
    <row r="659" spans="2:18">
      <c r="B659" s="13">
        <f>IF(A659="","",IFERROR(INDEX(Products!$B$5:$B$304,MATCH(A659,Products!$A$5:$A$304,0)),"Not found"))</f>
        <v>0</v>
      </c>
      <c r="D659" s="13">
        <f>IF(C659="","",IFERROR(INDEX(Materials!$B$5:$B$254,MATCH(C659,Materials!$A$5:$A$254,0)),"Add to Materials"))</f>
        <v>0</v>
      </c>
      <c r="E659" s="13">
        <f>IF(C659="","",IFERROR(INDEX(Materials!$H$5:$H$254,MATCH(C659,Materials!$A$5:$A$254,0)),"Add to Materials"))</f>
        <v>0</v>
      </c>
      <c r="J659" s="33">
        <f>IF(C659="","",IF(G659&lt;&gt;"",G659,IFERROR(INDEX(Materials!$W$5:$W$254,MATCH(C659,Materials!$A$5:$A$254,0)),DefaultWaste)))</f>
        <v>0</v>
      </c>
      <c r="K659" s="36">
        <f>IF(C659="","",IF(F659="","",ROUND(F659*(1+J659),4)))</f>
        <v>0</v>
      </c>
      <c r="L659" s="45">
        <f>IF(C659="","",IFERROR(INDEX(Materials!$S$5:$S$254,MATCH(C659,Materials!$A$5:$A$254,0)),""))</f>
        <v>0</v>
      </c>
      <c r="M659" s="45">
        <f>IF(C659="","",IF(OR(K659="",L659=""),"",ROUND(K659*L659,4)))</f>
        <v>0</v>
      </c>
      <c r="N659" s="20">
        <f>IF(A659="","",ROUND(SUMIFS('Material Usage'!$M$5:$M$904,'Material Usage'!$A$5:$A$904,A659),2))</f>
        <v>0</v>
      </c>
      <c r="O659" s="33">
        <f>IF(A659="","",IF(OR(M659="",N659="",N659=0),"",M659/N659))</f>
        <v>0</v>
      </c>
      <c r="P659" s="32">
        <f>IF(A659="","",COUNTIFS($A$5:A659,A659))</f>
        <v>0</v>
      </c>
      <c r="Q659" s="13">
        <f>IF(A659="","",A659&amp;"|"&amp;P659)</f>
        <v>0</v>
      </c>
      <c r="R659" s="43">
        <f>IF(AND(A659="",C659=""),"",IF(A659="","Add - which product?",IF(C659="","Add - which material?",IF(B659="Not found","Check - no such product ID",IF(D659="Add to Materials","Check - no such material ID",IF(OR(F659="",F659=0),"Add - how much?",IF(L659="","Check - that material has no price","OK")))))))</f>
        <v>0</v>
      </c>
    </row>
    <row r="660" spans="2:18">
      <c r="B660" s="13">
        <f>IF(A660="","",IFERROR(INDEX(Products!$B$5:$B$304,MATCH(A660,Products!$A$5:$A$304,0)),"Not found"))</f>
        <v>0</v>
      </c>
      <c r="D660" s="13">
        <f>IF(C660="","",IFERROR(INDEX(Materials!$B$5:$B$254,MATCH(C660,Materials!$A$5:$A$254,0)),"Add to Materials"))</f>
        <v>0</v>
      </c>
      <c r="E660" s="13">
        <f>IF(C660="","",IFERROR(INDEX(Materials!$H$5:$H$254,MATCH(C660,Materials!$A$5:$A$254,0)),"Add to Materials"))</f>
        <v>0</v>
      </c>
      <c r="J660" s="33">
        <f>IF(C660="","",IF(G660&lt;&gt;"",G660,IFERROR(INDEX(Materials!$W$5:$W$254,MATCH(C660,Materials!$A$5:$A$254,0)),DefaultWaste)))</f>
        <v>0</v>
      </c>
      <c r="K660" s="36">
        <f>IF(C660="","",IF(F660="","",ROUND(F660*(1+J660),4)))</f>
        <v>0</v>
      </c>
      <c r="L660" s="45">
        <f>IF(C660="","",IFERROR(INDEX(Materials!$S$5:$S$254,MATCH(C660,Materials!$A$5:$A$254,0)),""))</f>
        <v>0</v>
      </c>
      <c r="M660" s="45">
        <f>IF(C660="","",IF(OR(K660="",L660=""),"",ROUND(K660*L660,4)))</f>
        <v>0</v>
      </c>
      <c r="N660" s="20">
        <f>IF(A660="","",ROUND(SUMIFS('Material Usage'!$M$5:$M$904,'Material Usage'!$A$5:$A$904,A660),2))</f>
        <v>0</v>
      </c>
      <c r="O660" s="33">
        <f>IF(A660="","",IF(OR(M660="",N660="",N660=0),"",M660/N660))</f>
        <v>0</v>
      </c>
      <c r="P660" s="32">
        <f>IF(A660="","",COUNTIFS($A$5:A660,A660))</f>
        <v>0</v>
      </c>
      <c r="Q660" s="13">
        <f>IF(A660="","",A660&amp;"|"&amp;P660)</f>
        <v>0</v>
      </c>
      <c r="R660" s="43">
        <f>IF(AND(A660="",C660=""),"",IF(A660="","Add - which product?",IF(C660="","Add - which material?",IF(B660="Not found","Check - no such product ID",IF(D660="Add to Materials","Check - no such material ID",IF(OR(F660="",F660=0),"Add - how much?",IF(L660="","Check - that material has no price","OK")))))))</f>
        <v>0</v>
      </c>
    </row>
    <row r="661" spans="2:18">
      <c r="B661" s="13">
        <f>IF(A661="","",IFERROR(INDEX(Products!$B$5:$B$304,MATCH(A661,Products!$A$5:$A$304,0)),"Not found"))</f>
        <v>0</v>
      </c>
      <c r="D661" s="13">
        <f>IF(C661="","",IFERROR(INDEX(Materials!$B$5:$B$254,MATCH(C661,Materials!$A$5:$A$254,0)),"Add to Materials"))</f>
        <v>0</v>
      </c>
      <c r="E661" s="13">
        <f>IF(C661="","",IFERROR(INDEX(Materials!$H$5:$H$254,MATCH(C661,Materials!$A$5:$A$254,0)),"Add to Materials"))</f>
        <v>0</v>
      </c>
      <c r="J661" s="33">
        <f>IF(C661="","",IF(G661&lt;&gt;"",G661,IFERROR(INDEX(Materials!$W$5:$W$254,MATCH(C661,Materials!$A$5:$A$254,0)),DefaultWaste)))</f>
        <v>0</v>
      </c>
      <c r="K661" s="36">
        <f>IF(C661="","",IF(F661="","",ROUND(F661*(1+J661),4)))</f>
        <v>0</v>
      </c>
      <c r="L661" s="45">
        <f>IF(C661="","",IFERROR(INDEX(Materials!$S$5:$S$254,MATCH(C661,Materials!$A$5:$A$254,0)),""))</f>
        <v>0</v>
      </c>
      <c r="M661" s="45">
        <f>IF(C661="","",IF(OR(K661="",L661=""),"",ROUND(K661*L661,4)))</f>
        <v>0</v>
      </c>
      <c r="N661" s="20">
        <f>IF(A661="","",ROUND(SUMIFS('Material Usage'!$M$5:$M$904,'Material Usage'!$A$5:$A$904,A661),2))</f>
        <v>0</v>
      </c>
      <c r="O661" s="33">
        <f>IF(A661="","",IF(OR(M661="",N661="",N661=0),"",M661/N661))</f>
        <v>0</v>
      </c>
      <c r="P661" s="32">
        <f>IF(A661="","",COUNTIFS($A$5:A661,A661))</f>
        <v>0</v>
      </c>
      <c r="Q661" s="13">
        <f>IF(A661="","",A661&amp;"|"&amp;P661)</f>
        <v>0</v>
      </c>
      <c r="R661" s="43">
        <f>IF(AND(A661="",C661=""),"",IF(A661="","Add - which product?",IF(C661="","Add - which material?",IF(B661="Not found","Check - no such product ID",IF(D661="Add to Materials","Check - no such material ID",IF(OR(F661="",F661=0),"Add - how much?",IF(L661="","Check - that material has no price","OK")))))))</f>
        <v>0</v>
      </c>
    </row>
    <row r="662" spans="2:18">
      <c r="B662" s="13">
        <f>IF(A662="","",IFERROR(INDEX(Products!$B$5:$B$304,MATCH(A662,Products!$A$5:$A$304,0)),"Not found"))</f>
        <v>0</v>
      </c>
      <c r="D662" s="13">
        <f>IF(C662="","",IFERROR(INDEX(Materials!$B$5:$B$254,MATCH(C662,Materials!$A$5:$A$254,0)),"Add to Materials"))</f>
        <v>0</v>
      </c>
      <c r="E662" s="13">
        <f>IF(C662="","",IFERROR(INDEX(Materials!$H$5:$H$254,MATCH(C662,Materials!$A$5:$A$254,0)),"Add to Materials"))</f>
        <v>0</v>
      </c>
      <c r="J662" s="33">
        <f>IF(C662="","",IF(G662&lt;&gt;"",G662,IFERROR(INDEX(Materials!$W$5:$W$254,MATCH(C662,Materials!$A$5:$A$254,0)),DefaultWaste)))</f>
        <v>0</v>
      </c>
      <c r="K662" s="36">
        <f>IF(C662="","",IF(F662="","",ROUND(F662*(1+J662),4)))</f>
        <v>0</v>
      </c>
      <c r="L662" s="45">
        <f>IF(C662="","",IFERROR(INDEX(Materials!$S$5:$S$254,MATCH(C662,Materials!$A$5:$A$254,0)),""))</f>
        <v>0</v>
      </c>
      <c r="M662" s="45">
        <f>IF(C662="","",IF(OR(K662="",L662=""),"",ROUND(K662*L662,4)))</f>
        <v>0</v>
      </c>
      <c r="N662" s="20">
        <f>IF(A662="","",ROUND(SUMIFS('Material Usage'!$M$5:$M$904,'Material Usage'!$A$5:$A$904,A662),2))</f>
        <v>0</v>
      </c>
      <c r="O662" s="33">
        <f>IF(A662="","",IF(OR(M662="",N662="",N662=0),"",M662/N662))</f>
        <v>0</v>
      </c>
      <c r="P662" s="32">
        <f>IF(A662="","",COUNTIFS($A$5:A662,A662))</f>
        <v>0</v>
      </c>
      <c r="Q662" s="13">
        <f>IF(A662="","",A662&amp;"|"&amp;P662)</f>
        <v>0</v>
      </c>
      <c r="R662" s="43">
        <f>IF(AND(A662="",C662=""),"",IF(A662="","Add - which product?",IF(C662="","Add - which material?",IF(B662="Not found","Check - no such product ID",IF(D662="Add to Materials","Check - no such material ID",IF(OR(F662="",F662=0),"Add - how much?",IF(L662="","Check - that material has no price","OK")))))))</f>
        <v>0</v>
      </c>
    </row>
    <row r="663" spans="2:18">
      <c r="B663" s="13">
        <f>IF(A663="","",IFERROR(INDEX(Products!$B$5:$B$304,MATCH(A663,Products!$A$5:$A$304,0)),"Not found"))</f>
        <v>0</v>
      </c>
      <c r="D663" s="13">
        <f>IF(C663="","",IFERROR(INDEX(Materials!$B$5:$B$254,MATCH(C663,Materials!$A$5:$A$254,0)),"Add to Materials"))</f>
        <v>0</v>
      </c>
      <c r="E663" s="13">
        <f>IF(C663="","",IFERROR(INDEX(Materials!$H$5:$H$254,MATCH(C663,Materials!$A$5:$A$254,0)),"Add to Materials"))</f>
        <v>0</v>
      </c>
      <c r="J663" s="33">
        <f>IF(C663="","",IF(G663&lt;&gt;"",G663,IFERROR(INDEX(Materials!$W$5:$W$254,MATCH(C663,Materials!$A$5:$A$254,0)),DefaultWaste)))</f>
        <v>0</v>
      </c>
      <c r="K663" s="36">
        <f>IF(C663="","",IF(F663="","",ROUND(F663*(1+J663),4)))</f>
        <v>0</v>
      </c>
      <c r="L663" s="45">
        <f>IF(C663="","",IFERROR(INDEX(Materials!$S$5:$S$254,MATCH(C663,Materials!$A$5:$A$254,0)),""))</f>
        <v>0</v>
      </c>
      <c r="M663" s="45">
        <f>IF(C663="","",IF(OR(K663="",L663=""),"",ROUND(K663*L663,4)))</f>
        <v>0</v>
      </c>
      <c r="N663" s="20">
        <f>IF(A663="","",ROUND(SUMIFS('Material Usage'!$M$5:$M$904,'Material Usage'!$A$5:$A$904,A663),2))</f>
        <v>0</v>
      </c>
      <c r="O663" s="33">
        <f>IF(A663="","",IF(OR(M663="",N663="",N663=0),"",M663/N663))</f>
        <v>0</v>
      </c>
      <c r="P663" s="32">
        <f>IF(A663="","",COUNTIFS($A$5:A663,A663))</f>
        <v>0</v>
      </c>
      <c r="Q663" s="13">
        <f>IF(A663="","",A663&amp;"|"&amp;P663)</f>
        <v>0</v>
      </c>
      <c r="R663" s="43">
        <f>IF(AND(A663="",C663=""),"",IF(A663="","Add - which product?",IF(C663="","Add - which material?",IF(B663="Not found","Check - no such product ID",IF(D663="Add to Materials","Check - no such material ID",IF(OR(F663="",F663=0),"Add - how much?",IF(L663="","Check - that material has no price","OK")))))))</f>
        <v>0</v>
      </c>
    </row>
    <row r="664" spans="2:18">
      <c r="B664" s="13">
        <f>IF(A664="","",IFERROR(INDEX(Products!$B$5:$B$304,MATCH(A664,Products!$A$5:$A$304,0)),"Not found"))</f>
        <v>0</v>
      </c>
      <c r="D664" s="13">
        <f>IF(C664="","",IFERROR(INDEX(Materials!$B$5:$B$254,MATCH(C664,Materials!$A$5:$A$254,0)),"Add to Materials"))</f>
        <v>0</v>
      </c>
      <c r="E664" s="13">
        <f>IF(C664="","",IFERROR(INDEX(Materials!$H$5:$H$254,MATCH(C664,Materials!$A$5:$A$254,0)),"Add to Materials"))</f>
        <v>0</v>
      </c>
      <c r="J664" s="33">
        <f>IF(C664="","",IF(G664&lt;&gt;"",G664,IFERROR(INDEX(Materials!$W$5:$W$254,MATCH(C664,Materials!$A$5:$A$254,0)),DefaultWaste)))</f>
        <v>0</v>
      </c>
      <c r="K664" s="36">
        <f>IF(C664="","",IF(F664="","",ROUND(F664*(1+J664),4)))</f>
        <v>0</v>
      </c>
      <c r="L664" s="45">
        <f>IF(C664="","",IFERROR(INDEX(Materials!$S$5:$S$254,MATCH(C664,Materials!$A$5:$A$254,0)),""))</f>
        <v>0</v>
      </c>
      <c r="M664" s="45">
        <f>IF(C664="","",IF(OR(K664="",L664=""),"",ROUND(K664*L664,4)))</f>
        <v>0</v>
      </c>
      <c r="N664" s="20">
        <f>IF(A664="","",ROUND(SUMIFS('Material Usage'!$M$5:$M$904,'Material Usage'!$A$5:$A$904,A664),2))</f>
        <v>0</v>
      </c>
      <c r="O664" s="33">
        <f>IF(A664="","",IF(OR(M664="",N664="",N664=0),"",M664/N664))</f>
        <v>0</v>
      </c>
      <c r="P664" s="32">
        <f>IF(A664="","",COUNTIFS($A$5:A664,A664))</f>
        <v>0</v>
      </c>
      <c r="Q664" s="13">
        <f>IF(A664="","",A664&amp;"|"&amp;P664)</f>
        <v>0</v>
      </c>
      <c r="R664" s="43">
        <f>IF(AND(A664="",C664=""),"",IF(A664="","Add - which product?",IF(C664="","Add - which material?",IF(B664="Not found","Check - no such product ID",IF(D664="Add to Materials","Check - no such material ID",IF(OR(F664="",F664=0),"Add - how much?",IF(L664="","Check - that material has no price","OK")))))))</f>
        <v>0</v>
      </c>
    </row>
    <row r="665" spans="2:18">
      <c r="B665" s="13">
        <f>IF(A665="","",IFERROR(INDEX(Products!$B$5:$B$304,MATCH(A665,Products!$A$5:$A$304,0)),"Not found"))</f>
        <v>0</v>
      </c>
      <c r="D665" s="13">
        <f>IF(C665="","",IFERROR(INDEX(Materials!$B$5:$B$254,MATCH(C665,Materials!$A$5:$A$254,0)),"Add to Materials"))</f>
        <v>0</v>
      </c>
      <c r="E665" s="13">
        <f>IF(C665="","",IFERROR(INDEX(Materials!$H$5:$H$254,MATCH(C665,Materials!$A$5:$A$254,0)),"Add to Materials"))</f>
        <v>0</v>
      </c>
      <c r="J665" s="33">
        <f>IF(C665="","",IF(G665&lt;&gt;"",G665,IFERROR(INDEX(Materials!$W$5:$W$254,MATCH(C665,Materials!$A$5:$A$254,0)),DefaultWaste)))</f>
        <v>0</v>
      </c>
      <c r="K665" s="36">
        <f>IF(C665="","",IF(F665="","",ROUND(F665*(1+J665),4)))</f>
        <v>0</v>
      </c>
      <c r="L665" s="45">
        <f>IF(C665="","",IFERROR(INDEX(Materials!$S$5:$S$254,MATCH(C665,Materials!$A$5:$A$254,0)),""))</f>
        <v>0</v>
      </c>
      <c r="M665" s="45">
        <f>IF(C665="","",IF(OR(K665="",L665=""),"",ROUND(K665*L665,4)))</f>
        <v>0</v>
      </c>
      <c r="N665" s="20">
        <f>IF(A665="","",ROUND(SUMIFS('Material Usage'!$M$5:$M$904,'Material Usage'!$A$5:$A$904,A665),2))</f>
        <v>0</v>
      </c>
      <c r="O665" s="33">
        <f>IF(A665="","",IF(OR(M665="",N665="",N665=0),"",M665/N665))</f>
        <v>0</v>
      </c>
      <c r="P665" s="32">
        <f>IF(A665="","",COUNTIFS($A$5:A665,A665))</f>
        <v>0</v>
      </c>
      <c r="Q665" s="13">
        <f>IF(A665="","",A665&amp;"|"&amp;P665)</f>
        <v>0</v>
      </c>
      <c r="R665" s="43">
        <f>IF(AND(A665="",C665=""),"",IF(A665="","Add - which product?",IF(C665="","Add - which material?",IF(B665="Not found","Check - no such product ID",IF(D665="Add to Materials","Check - no such material ID",IF(OR(F665="",F665=0),"Add - how much?",IF(L665="","Check - that material has no price","OK")))))))</f>
        <v>0</v>
      </c>
    </row>
    <row r="666" spans="2:18">
      <c r="B666" s="13">
        <f>IF(A666="","",IFERROR(INDEX(Products!$B$5:$B$304,MATCH(A666,Products!$A$5:$A$304,0)),"Not found"))</f>
        <v>0</v>
      </c>
      <c r="D666" s="13">
        <f>IF(C666="","",IFERROR(INDEX(Materials!$B$5:$B$254,MATCH(C666,Materials!$A$5:$A$254,0)),"Add to Materials"))</f>
        <v>0</v>
      </c>
      <c r="E666" s="13">
        <f>IF(C666="","",IFERROR(INDEX(Materials!$H$5:$H$254,MATCH(C666,Materials!$A$5:$A$254,0)),"Add to Materials"))</f>
        <v>0</v>
      </c>
      <c r="J666" s="33">
        <f>IF(C666="","",IF(G666&lt;&gt;"",G666,IFERROR(INDEX(Materials!$W$5:$W$254,MATCH(C666,Materials!$A$5:$A$254,0)),DefaultWaste)))</f>
        <v>0</v>
      </c>
      <c r="K666" s="36">
        <f>IF(C666="","",IF(F666="","",ROUND(F666*(1+J666),4)))</f>
        <v>0</v>
      </c>
      <c r="L666" s="45">
        <f>IF(C666="","",IFERROR(INDEX(Materials!$S$5:$S$254,MATCH(C666,Materials!$A$5:$A$254,0)),""))</f>
        <v>0</v>
      </c>
      <c r="M666" s="45">
        <f>IF(C666="","",IF(OR(K666="",L666=""),"",ROUND(K666*L666,4)))</f>
        <v>0</v>
      </c>
      <c r="N666" s="20">
        <f>IF(A666="","",ROUND(SUMIFS('Material Usage'!$M$5:$M$904,'Material Usage'!$A$5:$A$904,A666),2))</f>
        <v>0</v>
      </c>
      <c r="O666" s="33">
        <f>IF(A666="","",IF(OR(M666="",N666="",N666=0),"",M666/N666))</f>
        <v>0</v>
      </c>
      <c r="P666" s="32">
        <f>IF(A666="","",COUNTIFS($A$5:A666,A666))</f>
        <v>0</v>
      </c>
      <c r="Q666" s="13">
        <f>IF(A666="","",A666&amp;"|"&amp;P666)</f>
        <v>0</v>
      </c>
      <c r="R666" s="43">
        <f>IF(AND(A666="",C666=""),"",IF(A666="","Add - which product?",IF(C666="","Add - which material?",IF(B666="Not found","Check - no such product ID",IF(D666="Add to Materials","Check - no such material ID",IF(OR(F666="",F666=0),"Add - how much?",IF(L666="","Check - that material has no price","OK")))))))</f>
        <v>0</v>
      </c>
    </row>
    <row r="667" spans="2:18">
      <c r="B667" s="13">
        <f>IF(A667="","",IFERROR(INDEX(Products!$B$5:$B$304,MATCH(A667,Products!$A$5:$A$304,0)),"Not found"))</f>
        <v>0</v>
      </c>
      <c r="D667" s="13">
        <f>IF(C667="","",IFERROR(INDEX(Materials!$B$5:$B$254,MATCH(C667,Materials!$A$5:$A$254,0)),"Add to Materials"))</f>
        <v>0</v>
      </c>
      <c r="E667" s="13">
        <f>IF(C667="","",IFERROR(INDEX(Materials!$H$5:$H$254,MATCH(C667,Materials!$A$5:$A$254,0)),"Add to Materials"))</f>
        <v>0</v>
      </c>
      <c r="J667" s="33">
        <f>IF(C667="","",IF(G667&lt;&gt;"",G667,IFERROR(INDEX(Materials!$W$5:$W$254,MATCH(C667,Materials!$A$5:$A$254,0)),DefaultWaste)))</f>
        <v>0</v>
      </c>
      <c r="K667" s="36">
        <f>IF(C667="","",IF(F667="","",ROUND(F667*(1+J667),4)))</f>
        <v>0</v>
      </c>
      <c r="L667" s="45">
        <f>IF(C667="","",IFERROR(INDEX(Materials!$S$5:$S$254,MATCH(C667,Materials!$A$5:$A$254,0)),""))</f>
        <v>0</v>
      </c>
      <c r="M667" s="45">
        <f>IF(C667="","",IF(OR(K667="",L667=""),"",ROUND(K667*L667,4)))</f>
        <v>0</v>
      </c>
      <c r="N667" s="20">
        <f>IF(A667="","",ROUND(SUMIFS('Material Usage'!$M$5:$M$904,'Material Usage'!$A$5:$A$904,A667),2))</f>
        <v>0</v>
      </c>
      <c r="O667" s="33">
        <f>IF(A667="","",IF(OR(M667="",N667="",N667=0),"",M667/N667))</f>
        <v>0</v>
      </c>
      <c r="P667" s="32">
        <f>IF(A667="","",COUNTIFS($A$5:A667,A667))</f>
        <v>0</v>
      </c>
      <c r="Q667" s="13">
        <f>IF(A667="","",A667&amp;"|"&amp;P667)</f>
        <v>0</v>
      </c>
      <c r="R667" s="43">
        <f>IF(AND(A667="",C667=""),"",IF(A667="","Add - which product?",IF(C667="","Add - which material?",IF(B667="Not found","Check - no such product ID",IF(D667="Add to Materials","Check - no such material ID",IF(OR(F667="",F667=0),"Add - how much?",IF(L667="","Check - that material has no price","OK")))))))</f>
        <v>0</v>
      </c>
    </row>
    <row r="668" spans="2:18">
      <c r="B668" s="13">
        <f>IF(A668="","",IFERROR(INDEX(Products!$B$5:$B$304,MATCH(A668,Products!$A$5:$A$304,0)),"Not found"))</f>
        <v>0</v>
      </c>
      <c r="D668" s="13">
        <f>IF(C668="","",IFERROR(INDEX(Materials!$B$5:$B$254,MATCH(C668,Materials!$A$5:$A$254,0)),"Add to Materials"))</f>
        <v>0</v>
      </c>
      <c r="E668" s="13">
        <f>IF(C668="","",IFERROR(INDEX(Materials!$H$5:$H$254,MATCH(C668,Materials!$A$5:$A$254,0)),"Add to Materials"))</f>
        <v>0</v>
      </c>
      <c r="J668" s="33">
        <f>IF(C668="","",IF(G668&lt;&gt;"",G668,IFERROR(INDEX(Materials!$W$5:$W$254,MATCH(C668,Materials!$A$5:$A$254,0)),DefaultWaste)))</f>
        <v>0</v>
      </c>
      <c r="K668" s="36">
        <f>IF(C668="","",IF(F668="","",ROUND(F668*(1+J668),4)))</f>
        <v>0</v>
      </c>
      <c r="L668" s="45">
        <f>IF(C668="","",IFERROR(INDEX(Materials!$S$5:$S$254,MATCH(C668,Materials!$A$5:$A$254,0)),""))</f>
        <v>0</v>
      </c>
      <c r="M668" s="45">
        <f>IF(C668="","",IF(OR(K668="",L668=""),"",ROUND(K668*L668,4)))</f>
        <v>0</v>
      </c>
      <c r="N668" s="20">
        <f>IF(A668="","",ROUND(SUMIFS('Material Usage'!$M$5:$M$904,'Material Usage'!$A$5:$A$904,A668),2))</f>
        <v>0</v>
      </c>
      <c r="O668" s="33">
        <f>IF(A668="","",IF(OR(M668="",N668="",N668=0),"",M668/N668))</f>
        <v>0</v>
      </c>
      <c r="P668" s="32">
        <f>IF(A668="","",COUNTIFS($A$5:A668,A668))</f>
        <v>0</v>
      </c>
      <c r="Q668" s="13">
        <f>IF(A668="","",A668&amp;"|"&amp;P668)</f>
        <v>0</v>
      </c>
      <c r="R668" s="43">
        <f>IF(AND(A668="",C668=""),"",IF(A668="","Add - which product?",IF(C668="","Add - which material?",IF(B668="Not found","Check - no such product ID",IF(D668="Add to Materials","Check - no such material ID",IF(OR(F668="",F668=0),"Add - how much?",IF(L668="","Check - that material has no price","OK")))))))</f>
        <v>0</v>
      </c>
    </row>
    <row r="669" spans="2:18">
      <c r="B669" s="13">
        <f>IF(A669="","",IFERROR(INDEX(Products!$B$5:$B$304,MATCH(A669,Products!$A$5:$A$304,0)),"Not found"))</f>
        <v>0</v>
      </c>
      <c r="D669" s="13">
        <f>IF(C669="","",IFERROR(INDEX(Materials!$B$5:$B$254,MATCH(C669,Materials!$A$5:$A$254,0)),"Add to Materials"))</f>
        <v>0</v>
      </c>
      <c r="E669" s="13">
        <f>IF(C669="","",IFERROR(INDEX(Materials!$H$5:$H$254,MATCH(C669,Materials!$A$5:$A$254,0)),"Add to Materials"))</f>
        <v>0</v>
      </c>
      <c r="J669" s="33">
        <f>IF(C669="","",IF(G669&lt;&gt;"",G669,IFERROR(INDEX(Materials!$W$5:$W$254,MATCH(C669,Materials!$A$5:$A$254,0)),DefaultWaste)))</f>
        <v>0</v>
      </c>
      <c r="K669" s="36">
        <f>IF(C669="","",IF(F669="","",ROUND(F669*(1+J669),4)))</f>
        <v>0</v>
      </c>
      <c r="L669" s="45">
        <f>IF(C669="","",IFERROR(INDEX(Materials!$S$5:$S$254,MATCH(C669,Materials!$A$5:$A$254,0)),""))</f>
        <v>0</v>
      </c>
      <c r="M669" s="45">
        <f>IF(C669="","",IF(OR(K669="",L669=""),"",ROUND(K669*L669,4)))</f>
        <v>0</v>
      </c>
      <c r="N669" s="20">
        <f>IF(A669="","",ROUND(SUMIFS('Material Usage'!$M$5:$M$904,'Material Usage'!$A$5:$A$904,A669),2))</f>
        <v>0</v>
      </c>
      <c r="O669" s="33">
        <f>IF(A669="","",IF(OR(M669="",N669="",N669=0),"",M669/N669))</f>
        <v>0</v>
      </c>
      <c r="P669" s="32">
        <f>IF(A669="","",COUNTIFS($A$5:A669,A669))</f>
        <v>0</v>
      </c>
      <c r="Q669" s="13">
        <f>IF(A669="","",A669&amp;"|"&amp;P669)</f>
        <v>0</v>
      </c>
      <c r="R669" s="43">
        <f>IF(AND(A669="",C669=""),"",IF(A669="","Add - which product?",IF(C669="","Add - which material?",IF(B669="Not found","Check - no such product ID",IF(D669="Add to Materials","Check - no such material ID",IF(OR(F669="",F669=0),"Add - how much?",IF(L669="","Check - that material has no price","OK")))))))</f>
        <v>0</v>
      </c>
    </row>
    <row r="670" spans="2:18">
      <c r="B670" s="13">
        <f>IF(A670="","",IFERROR(INDEX(Products!$B$5:$B$304,MATCH(A670,Products!$A$5:$A$304,0)),"Not found"))</f>
        <v>0</v>
      </c>
      <c r="D670" s="13">
        <f>IF(C670="","",IFERROR(INDEX(Materials!$B$5:$B$254,MATCH(C670,Materials!$A$5:$A$254,0)),"Add to Materials"))</f>
        <v>0</v>
      </c>
      <c r="E670" s="13">
        <f>IF(C670="","",IFERROR(INDEX(Materials!$H$5:$H$254,MATCH(C670,Materials!$A$5:$A$254,0)),"Add to Materials"))</f>
        <v>0</v>
      </c>
      <c r="J670" s="33">
        <f>IF(C670="","",IF(G670&lt;&gt;"",G670,IFERROR(INDEX(Materials!$W$5:$W$254,MATCH(C670,Materials!$A$5:$A$254,0)),DefaultWaste)))</f>
        <v>0</v>
      </c>
      <c r="K670" s="36">
        <f>IF(C670="","",IF(F670="","",ROUND(F670*(1+J670),4)))</f>
        <v>0</v>
      </c>
      <c r="L670" s="45">
        <f>IF(C670="","",IFERROR(INDEX(Materials!$S$5:$S$254,MATCH(C670,Materials!$A$5:$A$254,0)),""))</f>
        <v>0</v>
      </c>
      <c r="M670" s="45">
        <f>IF(C670="","",IF(OR(K670="",L670=""),"",ROUND(K670*L670,4)))</f>
        <v>0</v>
      </c>
      <c r="N670" s="20">
        <f>IF(A670="","",ROUND(SUMIFS('Material Usage'!$M$5:$M$904,'Material Usage'!$A$5:$A$904,A670),2))</f>
        <v>0</v>
      </c>
      <c r="O670" s="33">
        <f>IF(A670="","",IF(OR(M670="",N670="",N670=0),"",M670/N670))</f>
        <v>0</v>
      </c>
      <c r="P670" s="32">
        <f>IF(A670="","",COUNTIFS($A$5:A670,A670))</f>
        <v>0</v>
      </c>
      <c r="Q670" s="13">
        <f>IF(A670="","",A670&amp;"|"&amp;P670)</f>
        <v>0</v>
      </c>
      <c r="R670" s="43">
        <f>IF(AND(A670="",C670=""),"",IF(A670="","Add - which product?",IF(C670="","Add - which material?",IF(B670="Not found","Check - no such product ID",IF(D670="Add to Materials","Check - no such material ID",IF(OR(F670="",F670=0),"Add - how much?",IF(L670="","Check - that material has no price","OK")))))))</f>
        <v>0</v>
      </c>
    </row>
    <row r="671" spans="2:18">
      <c r="B671" s="13">
        <f>IF(A671="","",IFERROR(INDEX(Products!$B$5:$B$304,MATCH(A671,Products!$A$5:$A$304,0)),"Not found"))</f>
        <v>0</v>
      </c>
      <c r="D671" s="13">
        <f>IF(C671="","",IFERROR(INDEX(Materials!$B$5:$B$254,MATCH(C671,Materials!$A$5:$A$254,0)),"Add to Materials"))</f>
        <v>0</v>
      </c>
      <c r="E671" s="13">
        <f>IF(C671="","",IFERROR(INDEX(Materials!$H$5:$H$254,MATCH(C671,Materials!$A$5:$A$254,0)),"Add to Materials"))</f>
        <v>0</v>
      </c>
      <c r="J671" s="33">
        <f>IF(C671="","",IF(G671&lt;&gt;"",G671,IFERROR(INDEX(Materials!$W$5:$W$254,MATCH(C671,Materials!$A$5:$A$254,0)),DefaultWaste)))</f>
        <v>0</v>
      </c>
      <c r="K671" s="36">
        <f>IF(C671="","",IF(F671="","",ROUND(F671*(1+J671),4)))</f>
        <v>0</v>
      </c>
      <c r="L671" s="45">
        <f>IF(C671="","",IFERROR(INDEX(Materials!$S$5:$S$254,MATCH(C671,Materials!$A$5:$A$254,0)),""))</f>
        <v>0</v>
      </c>
      <c r="M671" s="45">
        <f>IF(C671="","",IF(OR(K671="",L671=""),"",ROUND(K671*L671,4)))</f>
        <v>0</v>
      </c>
      <c r="N671" s="20">
        <f>IF(A671="","",ROUND(SUMIFS('Material Usage'!$M$5:$M$904,'Material Usage'!$A$5:$A$904,A671),2))</f>
        <v>0</v>
      </c>
      <c r="O671" s="33">
        <f>IF(A671="","",IF(OR(M671="",N671="",N671=0),"",M671/N671))</f>
        <v>0</v>
      </c>
      <c r="P671" s="32">
        <f>IF(A671="","",COUNTIFS($A$5:A671,A671))</f>
        <v>0</v>
      </c>
      <c r="Q671" s="13">
        <f>IF(A671="","",A671&amp;"|"&amp;P671)</f>
        <v>0</v>
      </c>
      <c r="R671" s="43">
        <f>IF(AND(A671="",C671=""),"",IF(A671="","Add - which product?",IF(C671="","Add - which material?",IF(B671="Not found","Check - no such product ID",IF(D671="Add to Materials","Check - no such material ID",IF(OR(F671="",F671=0),"Add - how much?",IF(L671="","Check - that material has no price","OK")))))))</f>
        <v>0</v>
      </c>
    </row>
    <row r="672" spans="2:18">
      <c r="B672" s="13">
        <f>IF(A672="","",IFERROR(INDEX(Products!$B$5:$B$304,MATCH(A672,Products!$A$5:$A$304,0)),"Not found"))</f>
        <v>0</v>
      </c>
      <c r="D672" s="13">
        <f>IF(C672="","",IFERROR(INDEX(Materials!$B$5:$B$254,MATCH(C672,Materials!$A$5:$A$254,0)),"Add to Materials"))</f>
        <v>0</v>
      </c>
      <c r="E672" s="13">
        <f>IF(C672="","",IFERROR(INDEX(Materials!$H$5:$H$254,MATCH(C672,Materials!$A$5:$A$254,0)),"Add to Materials"))</f>
        <v>0</v>
      </c>
      <c r="J672" s="33">
        <f>IF(C672="","",IF(G672&lt;&gt;"",G672,IFERROR(INDEX(Materials!$W$5:$W$254,MATCH(C672,Materials!$A$5:$A$254,0)),DefaultWaste)))</f>
        <v>0</v>
      </c>
      <c r="K672" s="36">
        <f>IF(C672="","",IF(F672="","",ROUND(F672*(1+J672),4)))</f>
        <v>0</v>
      </c>
      <c r="L672" s="45">
        <f>IF(C672="","",IFERROR(INDEX(Materials!$S$5:$S$254,MATCH(C672,Materials!$A$5:$A$254,0)),""))</f>
        <v>0</v>
      </c>
      <c r="M672" s="45">
        <f>IF(C672="","",IF(OR(K672="",L672=""),"",ROUND(K672*L672,4)))</f>
        <v>0</v>
      </c>
      <c r="N672" s="20">
        <f>IF(A672="","",ROUND(SUMIFS('Material Usage'!$M$5:$M$904,'Material Usage'!$A$5:$A$904,A672),2))</f>
        <v>0</v>
      </c>
      <c r="O672" s="33">
        <f>IF(A672="","",IF(OR(M672="",N672="",N672=0),"",M672/N672))</f>
        <v>0</v>
      </c>
      <c r="P672" s="32">
        <f>IF(A672="","",COUNTIFS($A$5:A672,A672))</f>
        <v>0</v>
      </c>
      <c r="Q672" s="13">
        <f>IF(A672="","",A672&amp;"|"&amp;P672)</f>
        <v>0</v>
      </c>
      <c r="R672" s="43">
        <f>IF(AND(A672="",C672=""),"",IF(A672="","Add - which product?",IF(C672="","Add - which material?",IF(B672="Not found","Check - no such product ID",IF(D672="Add to Materials","Check - no such material ID",IF(OR(F672="",F672=0),"Add - how much?",IF(L672="","Check - that material has no price","OK")))))))</f>
        <v>0</v>
      </c>
    </row>
    <row r="673" spans="2:18">
      <c r="B673" s="13">
        <f>IF(A673="","",IFERROR(INDEX(Products!$B$5:$B$304,MATCH(A673,Products!$A$5:$A$304,0)),"Not found"))</f>
        <v>0</v>
      </c>
      <c r="D673" s="13">
        <f>IF(C673="","",IFERROR(INDEX(Materials!$B$5:$B$254,MATCH(C673,Materials!$A$5:$A$254,0)),"Add to Materials"))</f>
        <v>0</v>
      </c>
      <c r="E673" s="13">
        <f>IF(C673="","",IFERROR(INDEX(Materials!$H$5:$H$254,MATCH(C673,Materials!$A$5:$A$254,0)),"Add to Materials"))</f>
        <v>0</v>
      </c>
      <c r="J673" s="33">
        <f>IF(C673="","",IF(G673&lt;&gt;"",G673,IFERROR(INDEX(Materials!$W$5:$W$254,MATCH(C673,Materials!$A$5:$A$254,0)),DefaultWaste)))</f>
        <v>0</v>
      </c>
      <c r="K673" s="36">
        <f>IF(C673="","",IF(F673="","",ROUND(F673*(1+J673),4)))</f>
        <v>0</v>
      </c>
      <c r="L673" s="45">
        <f>IF(C673="","",IFERROR(INDEX(Materials!$S$5:$S$254,MATCH(C673,Materials!$A$5:$A$254,0)),""))</f>
        <v>0</v>
      </c>
      <c r="M673" s="45">
        <f>IF(C673="","",IF(OR(K673="",L673=""),"",ROUND(K673*L673,4)))</f>
        <v>0</v>
      </c>
      <c r="N673" s="20">
        <f>IF(A673="","",ROUND(SUMIFS('Material Usage'!$M$5:$M$904,'Material Usage'!$A$5:$A$904,A673),2))</f>
        <v>0</v>
      </c>
      <c r="O673" s="33">
        <f>IF(A673="","",IF(OR(M673="",N673="",N673=0),"",M673/N673))</f>
        <v>0</v>
      </c>
      <c r="P673" s="32">
        <f>IF(A673="","",COUNTIFS($A$5:A673,A673))</f>
        <v>0</v>
      </c>
      <c r="Q673" s="13">
        <f>IF(A673="","",A673&amp;"|"&amp;P673)</f>
        <v>0</v>
      </c>
      <c r="R673" s="43">
        <f>IF(AND(A673="",C673=""),"",IF(A673="","Add - which product?",IF(C673="","Add - which material?",IF(B673="Not found","Check - no such product ID",IF(D673="Add to Materials","Check - no such material ID",IF(OR(F673="",F673=0),"Add - how much?",IF(L673="","Check - that material has no price","OK")))))))</f>
        <v>0</v>
      </c>
    </row>
    <row r="674" spans="2:18">
      <c r="B674" s="13">
        <f>IF(A674="","",IFERROR(INDEX(Products!$B$5:$B$304,MATCH(A674,Products!$A$5:$A$304,0)),"Not found"))</f>
        <v>0</v>
      </c>
      <c r="D674" s="13">
        <f>IF(C674="","",IFERROR(INDEX(Materials!$B$5:$B$254,MATCH(C674,Materials!$A$5:$A$254,0)),"Add to Materials"))</f>
        <v>0</v>
      </c>
      <c r="E674" s="13">
        <f>IF(C674="","",IFERROR(INDEX(Materials!$H$5:$H$254,MATCH(C674,Materials!$A$5:$A$254,0)),"Add to Materials"))</f>
        <v>0</v>
      </c>
      <c r="J674" s="33">
        <f>IF(C674="","",IF(G674&lt;&gt;"",G674,IFERROR(INDEX(Materials!$W$5:$W$254,MATCH(C674,Materials!$A$5:$A$254,0)),DefaultWaste)))</f>
        <v>0</v>
      </c>
      <c r="K674" s="36">
        <f>IF(C674="","",IF(F674="","",ROUND(F674*(1+J674),4)))</f>
        <v>0</v>
      </c>
      <c r="L674" s="45">
        <f>IF(C674="","",IFERROR(INDEX(Materials!$S$5:$S$254,MATCH(C674,Materials!$A$5:$A$254,0)),""))</f>
        <v>0</v>
      </c>
      <c r="M674" s="45">
        <f>IF(C674="","",IF(OR(K674="",L674=""),"",ROUND(K674*L674,4)))</f>
        <v>0</v>
      </c>
      <c r="N674" s="20">
        <f>IF(A674="","",ROUND(SUMIFS('Material Usage'!$M$5:$M$904,'Material Usage'!$A$5:$A$904,A674),2))</f>
        <v>0</v>
      </c>
      <c r="O674" s="33">
        <f>IF(A674="","",IF(OR(M674="",N674="",N674=0),"",M674/N674))</f>
        <v>0</v>
      </c>
      <c r="P674" s="32">
        <f>IF(A674="","",COUNTIFS($A$5:A674,A674))</f>
        <v>0</v>
      </c>
      <c r="Q674" s="13">
        <f>IF(A674="","",A674&amp;"|"&amp;P674)</f>
        <v>0</v>
      </c>
      <c r="R674" s="43">
        <f>IF(AND(A674="",C674=""),"",IF(A674="","Add - which product?",IF(C674="","Add - which material?",IF(B674="Not found","Check - no such product ID",IF(D674="Add to Materials","Check - no such material ID",IF(OR(F674="",F674=0),"Add - how much?",IF(L674="","Check - that material has no price","OK")))))))</f>
        <v>0</v>
      </c>
    </row>
    <row r="675" spans="2:18">
      <c r="B675" s="13">
        <f>IF(A675="","",IFERROR(INDEX(Products!$B$5:$B$304,MATCH(A675,Products!$A$5:$A$304,0)),"Not found"))</f>
        <v>0</v>
      </c>
      <c r="D675" s="13">
        <f>IF(C675="","",IFERROR(INDEX(Materials!$B$5:$B$254,MATCH(C675,Materials!$A$5:$A$254,0)),"Add to Materials"))</f>
        <v>0</v>
      </c>
      <c r="E675" s="13">
        <f>IF(C675="","",IFERROR(INDEX(Materials!$H$5:$H$254,MATCH(C675,Materials!$A$5:$A$254,0)),"Add to Materials"))</f>
        <v>0</v>
      </c>
      <c r="J675" s="33">
        <f>IF(C675="","",IF(G675&lt;&gt;"",G675,IFERROR(INDEX(Materials!$W$5:$W$254,MATCH(C675,Materials!$A$5:$A$254,0)),DefaultWaste)))</f>
        <v>0</v>
      </c>
      <c r="K675" s="36">
        <f>IF(C675="","",IF(F675="","",ROUND(F675*(1+J675),4)))</f>
        <v>0</v>
      </c>
      <c r="L675" s="45">
        <f>IF(C675="","",IFERROR(INDEX(Materials!$S$5:$S$254,MATCH(C675,Materials!$A$5:$A$254,0)),""))</f>
        <v>0</v>
      </c>
      <c r="M675" s="45">
        <f>IF(C675="","",IF(OR(K675="",L675=""),"",ROUND(K675*L675,4)))</f>
        <v>0</v>
      </c>
      <c r="N675" s="20">
        <f>IF(A675="","",ROUND(SUMIFS('Material Usage'!$M$5:$M$904,'Material Usage'!$A$5:$A$904,A675),2))</f>
        <v>0</v>
      </c>
      <c r="O675" s="33">
        <f>IF(A675="","",IF(OR(M675="",N675="",N675=0),"",M675/N675))</f>
        <v>0</v>
      </c>
      <c r="P675" s="32">
        <f>IF(A675="","",COUNTIFS($A$5:A675,A675))</f>
        <v>0</v>
      </c>
      <c r="Q675" s="13">
        <f>IF(A675="","",A675&amp;"|"&amp;P675)</f>
        <v>0</v>
      </c>
      <c r="R675" s="43">
        <f>IF(AND(A675="",C675=""),"",IF(A675="","Add - which product?",IF(C675="","Add - which material?",IF(B675="Not found","Check - no such product ID",IF(D675="Add to Materials","Check - no such material ID",IF(OR(F675="",F675=0),"Add - how much?",IF(L675="","Check - that material has no price","OK")))))))</f>
        <v>0</v>
      </c>
    </row>
    <row r="676" spans="2:18">
      <c r="B676" s="13">
        <f>IF(A676="","",IFERROR(INDEX(Products!$B$5:$B$304,MATCH(A676,Products!$A$5:$A$304,0)),"Not found"))</f>
        <v>0</v>
      </c>
      <c r="D676" s="13">
        <f>IF(C676="","",IFERROR(INDEX(Materials!$B$5:$B$254,MATCH(C676,Materials!$A$5:$A$254,0)),"Add to Materials"))</f>
        <v>0</v>
      </c>
      <c r="E676" s="13">
        <f>IF(C676="","",IFERROR(INDEX(Materials!$H$5:$H$254,MATCH(C676,Materials!$A$5:$A$254,0)),"Add to Materials"))</f>
        <v>0</v>
      </c>
      <c r="J676" s="33">
        <f>IF(C676="","",IF(G676&lt;&gt;"",G676,IFERROR(INDEX(Materials!$W$5:$W$254,MATCH(C676,Materials!$A$5:$A$254,0)),DefaultWaste)))</f>
        <v>0</v>
      </c>
      <c r="K676" s="36">
        <f>IF(C676="","",IF(F676="","",ROUND(F676*(1+J676),4)))</f>
        <v>0</v>
      </c>
      <c r="L676" s="45">
        <f>IF(C676="","",IFERROR(INDEX(Materials!$S$5:$S$254,MATCH(C676,Materials!$A$5:$A$254,0)),""))</f>
        <v>0</v>
      </c>
      <c r="M676" s="45">
        <f>IF(C676="","",IF(OR(K676="",L676=""),"",ROUND(K676*L676,4)))</f>
        <v>0</v>
      </c>
      <c r="N676" s="20">
        <f>IF(A676="","",ROUND(SUMIFS('Material Usage'!$M$5:$M$904,'Material Usage'!$A$5:$A$904,A676),2))</f>
        <v>0</v>
      </c>
      <c r="O676" s="33">
        <f>IF(A676="","",IF(OR(M676="",N676="",N676=0),"",M676/N676))</f>
        <v>0</v>
      </c>
      <c r="P676" s="32">
        <f>IF(A676="","",COUNTIFS($A$5:A676,A676))</f>
        <v>0</v>
      </c>
      <c r="Q676" s="13">
        <f>IF(A676="","",A676&amp;"|"&amp;P676)</f>
        <v>0</v>
      </c>
      <c r="R676" s="43">
        <f>IF(AND(A676="",C676=""),"",IF(A676="","Add - which product?",IF(C676="","Add - which material?",IF(B676="Not found","Check - no such product ID",IF(D676="Add to Materials","Check - no such material ID",IF(OR(F676="",F676=0),"Add - how much?",IF(L676="","Check - that material has no price","OK")))))))</f>
        <v>0</v>
      </c>
    </row>
    <row r="677" spans="2:18">
      <c r="B677" s="13">
        <f>IF(A677="","",IFERROR(INDEX(Products!$B$5:$B$304,MATCH(A677,Products!$A$5:$A$304,0)),"Not found"))</f>
        <v>0</v>
      </c>
      <c r="D677" s="13">
        <f>IF(C677="","",IFERROR(INDEX(Materials!$B$5:$B$254,MATCH(C677,Materials!$A$5:$A$254,0)),"Add to Materials"))</f>
        <v>0</v>
      </c>
      <c r="E677" s="13">
        <f>IF(C677="","",IFERROR(INDEX(Materials!$H$5:$H$254,MATCH(C677,Materials!$A$5:$A$254,0)),"Add to Materials"))</f>
        <v>0</v>
      </c>
      <c r="J677" s="33">
        <f>IF(C677="","",IF(G677&lt;&gt;"",G677,IFERROR(INDEX(Materials!$W$5:$W$254,MATCH(C677,Materials!$A$5:$A$254,0)),DefaultWaste)))</f>
        <v>0</v>
      </c>
      <c r="K677" s="36">
        <f>IF(C677="","",IF(F677="","",ROUND(F677*(1+J677),4)))</f>
        <v>0</v>
      </c>
      <c r="L677" s="45">
        <f>IF(C677="","",IFERROR(INDEX(Materials!$S$5:$S$254,MATCH(C677,Materials!$A$5:$A$254,0)),""))</f>
        <v>0</v>
      </c>
      <c r="M677" s="45">
        <f>IF(C677="","",IF(OR(K677="",L677=""),"",ROUND(K677*L677,4)))</f>
        <v>0</v>
      </c>
      <c r="N677" s="20">
        <f>IF(A677="","",ROUND(SUMIFS('Material Usage'!$M$5:$M$904,'Material Usage'!$A$5:$A$904,A677),2))</f>
        <v>0</v>
      </c>
      <c r="O677" s="33">
        <f>IF(A677="","",IF(OR(M677="",N677="",N677=0),"",M677/N677))</f>
        <v>0</v>
      </c>
      <c r="P677" s="32">
        <f>IF(A677="","",COUNTIFS($A$5:A677,A677))</f>
        <v>0</v>
      </c>
      <c r="Q677" s="13">
        <f>IF(A677="","",A677&amp;"|"&amp;P677)</f>
        <v>0</v>
      </c>
      <c r="R677" s="43">
        <f>IF(AND(A677="",C677=""),"",IF(A677="","Add - which product?",IF(C677="","Add - which material?",IF(B677="Not found","Check - no such product ID",IF(D677="Add to Materials","Check - no such material ID",IF(OR(F677="",F677=0),"Add - how much?",IF(L677="","Check - that material has no price","OK")))))))</f>
        <v>0</v>
      </c>
    </row>
    <row r="678" spans="2:18">
      <c r="B678" s="13">
        <f>IF(A678="","",IFERROR(INDEX(Products!$B$5:$B$304,MATCH(A678,Products!$A$5:$A$304,0)),"Not found"))</f>
        <v>0</v>
      </c>
      <c r="D678" s="13">
        <f>IF(C678="","",IFERROR(INDEX(Materials!$B$5:$B$254,MATCH(C678,Materials!$A$5:$A$254,0)),"Add to Materials"))</f>
        <v>0</v>
      </c>
      <c r="E678" s="13">
        <f>IF(C678="","",IFERROR(INDEX(Materials!$H$5:$H$254,MATCH(C678,Materials!$A$5:$A$254,0)),"Add to Materials"))</f>
        <v>0</v>
      </c>
      <c r="J678" s="33">
        <f>IF(C678="","",IF(G678&lt;&gt;"",G678,IFERROR(INDEX(Materials!$W$5:$W$254,MATCH(C678,Materials!$A$5:$A$254,0)),DefaultWaste)))</f>
        <v>0</v>
      </c>
      <c r="K678" s="36">
        <f>IF(C678="","",IF(F678="","",ROUND(F678*(1+J678),4)))</f>
        <v>0</v>
      </c>
      <c r="L678" s="45">
        <f>IF(C678="","",IFERROR(INDEX(Materials!$S$5:$S$254,MATCH(C678,Materials!$A$5:$A$254,0)),""))</f>
        <v>0</v>
      </c>
      <c r="M678" s="45">
        <f>IF(C678="","",IF(OR(K678="",L678=""),"",ROUND(K678*L678,4)))</f>
        <v>0</v>
      </c>
      <c r="N678" s="20">
        <f>IF(A678="","",ROUND(SUMIFS('Material Usage'!$M$5:$M$904,'Material Usage'!$A$5:$A$904,A678),2))</f>
        <v>0</v>
      </c>
      <c r="O678" s="33">
        <f>IF(A678="","",IF(OR(M678="",N678="",N678=0),"",M678/N678))</f>
        <v>0</v>
      </c>
      <c r="P678" s="32">
        <f>IF(A678="","",COUNTIFS($A$5:A678,A678))</f>
        <v>0</v>
      </c>
      <c r="Q678" s="13">
        <f>IF(A678="","",A678&amp;"|"&amp;P678)</f>
        <v>0</v>
      </c>
      <c r="R678" s="43">
        <f>IF(AND(A678="",C678=""),"",IF(A678="","Add - which product?",IF(C678="","Add - which material?",IF(B678="Not found","Check - no such product ID",IF(D678="Add to Materials","Check - no such material ID",IF(OR(F678="",F678=0),"Add - how much?",IF(L678="","Check - that material has no price","OK")))))))</f>
        <v>0</v>
      </c>
    </row>
    <row r="679" spans="2:18">
      <c r="B679" s="13">
        <f>IF(A679="","",IFERROR(INDEX(Products!$B$5:$B$304,MATCH(A679,Products!$A$5:$A$304,0)),"Not found"))</f>
        <v>0</v>
      </c>
      <c r="D679" s="13">
        <f>IF(C679="","",IFERROR(INDEX(Materials!$B$5:$B$254,MATCH(C679,Materials!$A$5:$A$254,0)),"Add to Materials"))</f>
        <v>0</v>
      </c>
      <c r="E679" s="13">
        <f>IF(C679="","",IFERROR(INDEX(Materials!$H$5:$H$254,MATCH(C679,Materials!$A$5:$A$254,0)),"Add to Materials"))</f>
        <v>0</v>
      </c>
      <c r="J679" s="33">
        <f>IF(C679="","",IF(G679&lt;&gt;"",G679,IFERROR(INDEX(Materials!$W$5:$W$254,MATCH(C679,Materials!$A$5:$A$254,0)),DefaultWaste)))</f>
        <v>0</v>
      </c>
      <c r="K679" s="36">
        <f>IF(C679="","",IF(F679="","",ROUND(F679*(1+J679),4)))</f>
        <v>0</v>
      </c>
      <c r="L679" s="45">
        <f>IF(C679="","",IFERROR(INDEX(Materials!$S$5:$S$254,MATCH(C679,Materials!$A$5:$A$254,0)),""))</f>
        <v>0</v>
      </c>
      <c r="M679" s="45">
        <f>IF(C679="","",IF(OR(K679="",L679=""),"",ROUND(K679*L679,4)))</f>
        <v>0</v>
      </c>
      <c r="N679" s="20">
        <f>IF(A679="","",ROUND(SUMIFS('Material Usage'!$M$5:$M$904,'Material Usage'!$A$5:$A$904,A679),2))</f>
        <v>0</v>
      </c>
      <c r="O679" s="33">
        <f>IF(A679="","",IF(OR(M679="",N679="",N679=0),"",M679/N679))</f>
        <v>0</v>
      </c>
      <c r="P679" s="32">
        <f>IF(A679="","",COUNTIFS($A$5:A679,A679))</f>
        <v>0</v>
      </c>
      <c r="Q679" s="13">
        <f>IF(A679="","",A679&amp;"|"&amp;P679)</f>
        <v>0</v>
      </c>
      <c r="R679" s="43">
        <f>IF(AND(A679="",C679=""),"",IF(A679="","Add - which product?",IF(C679="","Add - which material?",IF(B679="Not found","Check - no such product ID",IF(D679="Add to Materials","Check - no such material ID",IF(OR(F679="",F679=0),"Add - how much?",IF(L679="","Check - that material has no price","OK")))))))</f>
        <v>0</v>
      </c>
    </row>
    <row r="680" spans="2:18">
      <c r="B680" s="13">
        <f>IF(A680="","",IFERROR(INDEX(Products!$B$5:$B$304,MATCH(A680,Products!$A$5:$A$304,0)),"Not found"))</f>
        <v>0</v>
      </c>
      <c r="D680" s="13">
        <f>IF(C680="","",IFERROR(INDEX(Materials!$B$5:$B$254,MATCH(C680,Materials!$A$5:$A$254,0)),"Add to Materials"))</f>
        <v>0</v>
      </c>
      <c r="E680" s="13">
        <f>IF(C680="","",IFERROR(INDEX(Materials!$H$5:$H$254,MATCH(C680,Materials!$A$5:$A$254,0)),"Add to Materials"))</f>
        <v>0</v>
      </c>
      <c r="J680" s="33">
        <f>IF(C680="","",IF(G680&lt;&gt;"",G680,IFERROR(INDEX(Materials!$W$5:$W$254,MATCH(C680,Materials!$A$5:$A$254,0)),DefaultWaste)))</f>
        <v>0</v>
      </c>
      <c r="K680" s="36">
        <f>IF(C680="","",IF(F680="","",ROUND(F680*(1+J680),4)))</f>
        <v>0</v>
      </c>
      <c r="L680" s="45">
        <f>IF(C680="","",IFERROR(INDEX(Materials!$S$5:$S$254,MATCH(C680,Materials!$A$5:$A$254,0)),""))</f>
        <v>0</v>
      </c>
      <c r="M680" s="45">
        <f>IF(C680="","",IF(OR(K680="",L680=""),"",ROUND(K680*L680,4)))</f>
        <v>0</v>
      </c>
      <c r="N680" s="20">
        <f>IF(A680="","",ROUND(SUMIFS('Material Usage'!$M$5:$M$904,'Material Usage'!$A$5:$A$904,A680),2))</f>
        <v>0</v>
      </c>
      <c r="O680" s="33">
        <f>IF(A680="","",IF(OR(M680="",N680="",N680=0),"",M680/N680))</f>
        <v>0</v>
      </c>
      <c r="P680" s="32">
        <f>IF(A680="","",COUNTIFS($A$5:A680,A680))</f>
        <v>0</v>
      </c>
      <c r="Q680" s="13">
        <f>IF(A680="","",A680&amp;"|"&amp;P680)</f>
        <v>0</v>
      </c>
      <c r="R680" s="43">
        <f>IF(AND(A680="",C680=""),"",IF(A680="","Add - which product?",IF(C680="","Add - which material?",IF(B680="Not found","Check - no such product ID",IF(D680="Add to Materials","Check - no such material ID",IF(OR(F680="",F680=0),"Add - how much?",IF(L680="","Check - that material has no price","OK")))))))</f>
        <v>0</v>
      </c>
    </row>
    <row r="681" spans="2:18">
      <c r="B681" s="13">
        <f>IF(A681="","",IFERROR(INDEX(Products!$B$5:$B$304,MATCH(A681,Products!$A$5:$A$304,0)),"Not found"))</f>
        <v>0</v>
      </c>
      <c r="D681" s="13">
        <f>IF(C681="","",IFERROR(INDEX(Materials!$B$5:$B$254,MATCH(C681,Materials!$A$5:$A$254,0)),"Add to Materials"))</f>
        <v>0</v>
      </c>
      <c r="E681" s="13">
        <f>IF(C681="","",IFERROR(INDEX(Materials!$H$5:$H$254,MATCH(C681,Materials!$A$5:$A$254,0)),"Add to Materials"))</f>
        <v>0</v>
      </c>
      <c r="J681" s="33">
        <f>IF(C681="","",IF(G681&lt;&gt;"",G681,IFERROR(INDEX(Materials!$W$5:$W$254,MATCH(C681,Materials!$A$5:$A$254,0)),DefaultWaste)))</f>
        <v>0</v>
      </c>
      <c r="K681" s="36">
        <f>IF(C681="","",IF(F681="","",ROUND(F681*(1+J681),4)))</f>
        <v>0</v>
      </c>
      <c r="L681" s="45">
        <f>IF(C681="","",IFERROR(INDEX(Materials!$S$5:$S$254,MATCH(C681,Materials!$A$5:$A$254,0)),""))</f>
        <v>0</v>
      </c>
      <c r="M681" s="45">
        <f>IF(C681="","",IF(OR(K681="",L681=""),"",ROUND(K681*L681,4)))</f>
        <v>0</v>
      </c>
      <c r="N681" s="20">
        <f>IF(A681="","",ROUND(SUMIFS('Material Usage'!$M$5:$M$904,'Material Usage'!$A$5:$A$904,A681),2))</f>
        <v>0</v>
      </c>
      <c r="O681" s="33">
        <f>IF(A681="","",IF(OR(M681="",N681="",N681=0),"",M681/N681))</f>
        <v>0</v>
      </c>
      <c r="P681" s="32">
        <f>IF(A681="","",COUNTIFS($A$5:A681,A681))</f>
        <v>0</v>
      </c>
      <c r="Q681" s="13">
        <f>IF(A681="","",A681&amp;"|"&amp;P681)</f>
        <v>0</v>
      </c>
      <c r="R681" s="43">
        <f>IF(AND(A681="",C681=""),"",IF(A681="","Add - which product?",IF(C681="","Add - which material?",IF(B681="Not found","Check - no such product ID",IF(D681="Add to Materials","Check - no such material ID",IF(OR(F681="",F681=0),"Add - how much?",IF(L681="","Check - that material has no price","OK")))))))</f>
        <v>0</v>
      </c>
    </row>
    <row r="682" spans="2:18">
      <c r="B682" s="13">
        <f>IF(A682="","",IFERROR(INDEX(Products!$B$5:$B$304,MATCH(A682,Products!$A$5:$A$304,0)),"Not found"))</f>
        <v>0</v>
      </c>
      <c r="D682" s="13">
        <f>IF(C682="","",IFERROR(INDEX(Materials!$B$5:$B$254,MATCH(C682,Materials!$A$5:$A$254,0)),"Add to Materials"))</f>
        <v>0</v>
      </c>
      <c r="E682" s="13">
        <f>IF(C682="","",IFERROR(INDEX(Materials!$H$5:$H$254,MATCH(C682,Materials!$A$5:$A$254,0)),"Add to Materials"))</f>
        <v>0</v>
      </c>
      <c r="J682" s="33">
        <f>IF(C682="","",IF(G682&lt;&gt;"",G682,IFERROR(INDEX(Materials!$W$5:$W$254,MATCH(C682,Materials!$A$5:$A$254,0)),DefaultWaste)))</f>
        <v>0</v>
      </c>
      <c r="K682" s="36">
        <f>IF(C682="","",IF(F682="","",ROUND(F682*(1+J682),4)))</f>
        <v>0</v>
      </c>
      <c r="L682" s="45">
        <f>IF(C682="","",IFERROR(INDEX(Materials!$S$5:$S$254,MATCH(C682,Materials!$A$5:$A$254,0)),""))</f>
        <v>0</v>
      </c>
      <c r="M682" s="45">
        <f>IF(C682="","",IF(OR(K682="",L682=""),"",ROUND(K682*L682,4)))</f>
        <v>0</v>
      </c>
      <c r="N682" s="20">
        <f>IF(A682="","",ROUND(SUMIFS('Material Usage'!$M$5:$M$904,'Material Usage'!$A$5:$A$904,A682),2))</f>
        <v>0</v>
      </c>
      <c r="O682" s="33">
        <f>IF(A682="","",IF(OR(M682="",N682="",N682=0),"",M682/N682))</f>
        <v>0</v>
      </c>
      <c r="P682" s="32">
        <f>IF(A682="","",COUNTIFS($A$5:A682,A682))</f>
        <v>0</v>
      </c>
      <c r="Q682" s="13">
        <f>IF(A682="","",A682&amp;"|"&amp;P682)</f>
        <v>0</v>
      </c>
      <c r="R682" s="43">
        <f>IF(AND(A682="",C682=""),"",IF(A682="","Add - which product?",IF(C682="","Add - which material?",IF(B682="Not found","Check - no such product ID",IF(D682="Add to Materials","Check - no such material ID",IF(OR(F682="",F682=0),"Add - how much?",IF(L682="","Check - that material has no price","OK")))))))</f>
        <v>0</v>
      </c>
    </row>
    <row r="683" spans="2:18">
      <c r="B683" s="13">
        <f>IF(A683="","",IFERROR(INDEX(Products!$B$5:$B$304,MATCH(A683,Products!$A$5:$A$304,0)),"Not found"))</f>
        <v>0</v>
      </c>
      <c r="D683" s="13">
        <f>IF(C683="","",IFERROR(INDEX(Materials!$B$5:$B$254,MATCH(C683,Materials!$A$5:$A$254,0)),"Add to Materials"))</f>
        <v>0</v>
      </c>
      <c r="E683" s="13">
        <f>IF(C683="","",IFERROR(INDEX(Materials!$H$5:$H$254,MATCH(C683,Materials!$A$5:$A$254,0)),"Add to Materials"))</f>
        <v>0</v>
      </c>
      <c r="J683" s="33">
        <f>IF(C683="","",IF(G683&lt;&gt;"",G683,IFERROR(INDEX(Materials!$W$5:$W$254,MATCH(C683,Materials!$A$5:$A$254,0)),DefaultWaste)))</f>
        <v>0</v>
      </c>
      <c r="K683" s="36">
        <f>IF(C683="","",IF(F683="","",ROUND(F683*(1+J683),4)))</f>
        <v>0</v>
      </c>
      <c r="L683" s="45">
        <f>IF(C683="","",IFERROR(INDEX(Materials!$S$5:$S$254,MATCH(C683,Materials!$A$5:$A$254,0)),""))</f>
        <v>0</v>
      </c>
      <c r="M683" s="45">
        <f>IF(C683="","",IF(OR(K683="",L683=""),"",ROUND(K683*L683,4)))</f>
        <v>0</v>
      </c>
      <c r="N683" s="20">
        <f>IF(A683="","",ROUND(SUMIFS('Material Usage'!$M$5:$M$904,'Material Usage'!$A$5:$A$904,A683),2))</f>
        <v>0</v>
      </c>
      <c r="O683" s="33">
        <f>IF(A683="","",IF(OR(M683="",N683="",N683=0),"",M683/N683))</f>
        <v>0</v>
      </c>
      <c r="P683" s="32">
        <f>IF(A683="","",COUNTIFS($A$5:A683,A683))</f>
        <v>0</v>
      </c>
      <c r="Q683" s="13">
        <f>IF(A683="","",A683&amp;"|"&amp;P683)</f>
        <v>0</v>
      </c>
      <c r="R683" s="43">
        <f>IF(AND(A683="",C683=""),"",IF(A683="","Add - which product?",IF(C683="","Add - which material?",IF(B683="Not found","Check - no such product ID",IF(D683="Add to Materials","Check - no such material ID",IF(OR(F683="",F683=0),"Add - how much?",IF(L683="","Check - that material has no price","OK")))))))</f>
        <v>0</v>
      </c>
    </row>
    <row r="684" spans="2:18">
      <c r="B684" s="13">
        <f>IF(A684="","",IFERROR(INDEX(Products!$B$5:$B$304,MATCH(A684,Products!$A$5:$A$304,0)),"Not found"))</f>
        <v>0</v>
      </c>
      <c r="D684" s="13">
        <f>IF(C684="","",IFERROR(INDEX(Materials!$B$5:$B$254,MATCH(C684,Materials!$A$5:$A$254,0)),"Add to Materials"))</f>
        <v>0</v>
      </c>
      <c r="E684" s="13">
        <f>IF(C684="","",IFERROR(INDEX(Materials!$H$5:$H$254,MATCH(C684,Materials!$A$5:$A$254,0)),"Add to Materials"))</f>
        <v>0</v>
      </c>
      <c r="J684" s="33">
        <f>IF(C684="","",IF(G684&lt;&gt;"",G684,IFERROR(INDEX(Materials!$W$5:$W$254,MATCH(C684,Materials!$A$5:$A$254,0)),DefaultWaste)))</f>
        <v>0</v>
      </c>
      <c r="K684" s="36">
        <f>IF(C684="","",IF(F684="","",ROUND(F684*(1+J684),4)))</f>
        <v>0</v>
      </c>
      <c r="L684" s="45">
        <f>IF(C684="","",IFERROR(INDEX(Materials!$S$5:$S$254,MATCH(C684,Materials!$A$5:$A$254,0)),""))</f>
        <v>0</v>
      </c>
      <c r="M684" s="45">
        <f>IF(C684="","",IF(OR(K684="",L684=""),"",ROUND(K684*L684,4)))</f>
        <v>0</v>
      </c>
      <c r="N684" s="20">
        <f>IF(A684="","",ROUND(SUMIFS('Material Usage'!$M$5:$M$904,'Material Usage'!$A$5:$A$904,A684),2))</f>
        <v>0</v>
      </c>
      <c r="O684" s="33">
        <f>IF(A684="","",IF(OR(M684="",N684="",N684=0),"",M684/N684))</f>
        <v>0</v>
      </c>
      <c r="P684" s="32">
        <f>IF(A684="","",COUNTIFS($A$5:A684,A684))</f>
        <v>0</v>
      </c>
      <c r="Q684" s="13">
        <f>IF(A684="","",A684&amp;"|"&amp;P684)</f>
        <v>0</v>
      </c>
      <c r="R684" s="43">
        <f>IF(AND(A684="",C684=""),"",IF(A684="","Add - which product?",IF(C684="","Add - which material?",IF(B684="Not found","Check - no such product ID",IF(D684="Add to Materials","Check - no such material ID",IF(OR(F684="",F684=0),"Add - how much?",IF(L684="","Check - that material has no price","OK")))))))</f>
        <v>0</v>
      </c>
    </row>
    <row r="685" spans="2:18">
      <c r="B685" s="13">
        <f>IF(A685="","",IFERROR(INDEX(Products!$B$5:$B$304,MATCH(A685,Products!$A$5:$A$304,0)),"Not found"))</f>
        <v>0</v>
      </c>
      <c r="D685" s="13">
        <f>IF(C685="","",IFERROR(INDEX(Materials!$B$5:$B$254,MATCH(C685,Materials!$A$5:$A$254,0)),"Add to Materials"))</f>
        <v>0</v>
      </c>
      <c r="E685" s="13">
        <f>IF(C685="","",IFERROR(INDEX(Materials!$H$5:$H$254,MATCH(C685,Materials!$A$5:$A$254,0)),"Add to Materials"))</f>
        <v>0</v>
      </c>
      <c r="J685" s="33">
        <f>IF(C685="","",IF(G685&lt;&gt;"",G685,IFERROR(INDEX(Materials!$W$5:$W$254,MATCH(C685,Materials!$A$5:$A$254,0)),DefaultWaste)))</f>
        <v>0</v>
      </c>
      <c r="K685" s="36">
        <f>IF(C685="","",IF(F685="","",ROUND(F685*(1+J685),4)))</f>
        <v>0</v>
      </c>
      <c r="L685" s="45">
        <f>IF(C685="","",IFERROR(INDEX(Materials!$S$5:$S$254,MATCH(C685,Materials!$A$5:$A$254,0)),""))</f>
        <v>0</v>
      </c>
      <c r="M685" s="45">
        <f>IF(C685="","",IF(OR(K685="",L685=""),"",ROUND(K685*L685,4)))</f>
        <v>0</v>
      </c>
      <c r="N685" s="20">
        <f>IF(A685="","",ROUND(SUMIFS('Material Usage'!$M$5:$M$904,'Material Usage'!$A$5:$A$904,A685),2))</f>
        <v>0</v>
      </c>
      <c r="O685" s="33">
        <f>IF(A685="","",IF(OR(M685="",N685="",N685=0),"",M685/N685))</f>
        <v>0</v>
      </c>
      <c r="P685" s="32">
        <f>IF(A685="","",COUNTIFS($A$5:A685,A685))</f>
        <v>0</v>
      </c>
      <c r="Q685" s="13">
        <f>IF(A685="","",A685&amp;"|"&amp;P685)</f>
        <v>0</v>
      </c>
      <c r="R685" s="43">
        <f>IF(AND(A685="",C685=""),"",IF(A685="","Add - which product?",IF(C685="","Add - which material?",IF(B685="Not found","Check - no such product ID",IF(D685="Add to Materials","Check - no such material ID",IF(OR(F685="",F685=0),"Add - how much?",IF(L685="","Check - that material has no price","OK")))))))</f>
        <v>0</v>
      </c>
    </row>
    <row r="686" spans="2:18">
      <c r="B686" s="13">
        <f>IF(A686="","",IFERROR(INDEX(Products!$B$5:$B$304,MATCH(A686,Products!$A$5:$A$304,0)),"Not found"))</f>
        <v>0</v>
      </c>
      <c r="D686" s="13">
        <f>IF(C686="","",IFERROR(INDEX(Materials!$B$5:$B$254,MATCH(C686,Materials!$A$5:$A$254,0)),"Add to Materials"))</f>
        <v>0</v>
      </c>
      <c r="E686" s="13">
        <f>IF(C686="","",IFERROR(INDEX(Materials!$H$5:$H$254,MATCH(C686,Materials!$A$5:$A$254,0)),"Add to Materials"))</f>
        <v>0</v>
      </c>
      <c r="J686" s="33">
        <f>IF(C686="","",IF(G686&lt;&gt;"",G686,IFERROR(INDEX(Materials!$W$5:$W$254,MATCH(C686,Materials!$A$5:$A$254,0)),DefaultWaste)))</f>
        <v>0</v>
      </c>
      <c r="K686" s="36">
        <f>IF(C686="","",IF(F686="","",ROUND(F686*(1+J686),4)))</f>
        <v>0</v>
      </c>
      <c r="L686" s="45">
        <f>IF(C686="","",IFERROR(INDEX(Materials!$S$5:$S$254,MATCH(C686,Materials!$A$5:$A$254,0)),""))</f>
        <v>0</v>
      </c>
      <c r="M686" s="45">
        <f>IF(C686="","",IF(OR(K686="",L686=""),"",ROUND(K686*L686,4)))</f>
        <v>0</v>
      </c>
      <c r="N686" s="20">
        <f>IF(A686="","",ROUND(SUMIFS('Material Usage'!$M$5:$M$904,'Material Usage'!$A$5:$A$904,A686),2))</f>
        <v>0</v>
      </c>
      <c r="O686" s="33">
        <f>IF(A686="","",IF(OR(M686="",N686="",N686=0),"",M686/N686))</f>
        <v>0</v>
      </c>
      <c r="P686" s="32">
        <f>IF(A686="","",COUNTIFS($A$5:A686,A686))</f>
        <v>0</v>
      </c>
      <c r="Q686" s="13">
        <f>IF(A686="","",A686&amp;"|"&amp;P686)</f>
        <v>0</v>
      </c>
      <c r="R686" s="43">
        <f>IF(AND(A686="",C686=""),"",IF(A686="","Add - which product?",IF(C686="","Add - which material?",IF(B686="Not found","Check - no such product ID",IF(D686="Add to Materials","Check - no such material ID",IF(OR(F686="",F686=0),"Add - how much?",IF(L686="","Check - that material has no price","OK")))))))</f>
        <v>0</v>
      </c>
    </row>
    <row r="687" spans="2:18">
      <c r="B687" s="13">
        <f>IF(A687="","",IFERROR(INDEX(Products!$B$5:$B$304,MATCH(A687,Products!$A$5:$A$304,0)),"Not found"))</f>
        <v>0</v>
      </c>
      <c r="D687" s="13">
        <f>IF(C687="","",IFERROR(INDEX(Materials!$B$5:$B$254,MATCH(C687,Materials!$A$5:$A$254,0)),"Add to Materials"))</f>
        <v>0</v>
      </c>
      <c r="E687" s="13">
        <f>IF(C687="","",IFERROR(INDEX(Materials!$H$5:$H$254,MATCH(C687,Materials!$A$5:$A$254,0)),"Add to Materials"))</f>
        <v>0</v>
      </c>
      <c r="J687" s="33">
        <f>IF(C687="","",IF(G687&lt;&gt;"",G687,IFERROR(INDEX(Materials!$W$5:$W$254,MATCH(C687,Materials!$A$5:$A$254,0)),DefaultWaste)))</f>
        <v>0</v>
      </c>
      <c r="K687" s="36">
        <f>IF(C687="","",IF(F687="","",ROUND(F687*(1+J687),4)))</f>
        <v>0</v>
      </c>
      <c r="L687" s="45">
        <f>IF(C687="","",IFERROR(INDEX(Materials!$S$5:$S$254,MATCH(C687,Materials!$A$5:$A$254,0)),""))</f>
        <v>0</v>
      </c>
      <c r="M687" s="45">
        <f>IF(C687="","",IF(OR(K687="",L687=""),"",ROUND(K687*L687,4)))</f>
        <v>0</v>
      </c>
      <c r="N687" s="20">
        <f>IF(A687="","",ROUND(SUMIFS('Material Usage'!$M$5:$M$904,'Material Usage'!$A$5:$A$904,A687),2))</f>
        <v>0</v>
      </c>
      <c r="O687" s="33">
        <f>IF(A687="","",IF(OR(M687="",N687="",N687=0),"",M687/N687))</f>
        <v>0</v>
      </c>
      <c r="P687" s="32">
        <f>IF(A687="","",COUNTIFS($A$5:A687,A687))</f>
        <v>0</v>
      </c>
      <c r="Q687" s="13">
        <f>IF(A687="","",A687&amp;"|"&amp;P687)</f>
        <v>0</v>
      </c>
      <c r="R687" s="43">
        <f>IF(AND(A687="",C687=""),"",IF(A687="","Add - which product?",IF(C687="","Add - which material?",IF(B687="Not found","Check - no such product ID",IF(D687="Add to Materials","Check - no such material ID",IF(OR(F687="",F687=0),"Add - how much?",IF(L687="","Check - that material has no price","OK")))))))</f>
        <v>0</v>
      </c>
    </row>
    <row r="688" spans="2:18">
      <c r="B688" s="13">
        <f>IF(A688="","",IFERROR(INDEX(Products!$B$5:$B$304,MATCH(A688,Products!$A$5:$A$304,0)),"Not found"))</f>
        <v>0</v>
      </c>
      <c r="D688" s="13">
        <f>IF(C688="","",IFERROR(INDEX(Materials!$B$5:$B$254,MATCH(C688,Materials!$A$5:$A$254,0)),"Add to Materials"))</f>
        <v>0</v>
      </c>
      <c r="E688" s="13">
        <f>IF(C688="","",IFERROR(INDEX(Materials!$H$5:$H$254,MATCH(C688,Materials!$A$5:$A$254,0)),"Add to Materials"))</f>
        <v>0</v>
      </c>
      <c r="J688" s="33">
        <f>IF(C688="","",IF(G688&lt;&gt;"",G688,IFERROR(INDEX(Materials!$W$5:$W$254,MATCH(C688,Materials!$A$5:$A$254,0)),DefaultWaste)))</f>
        <v>0</v>
      </c>
      <c r="K688" s="36">
        <f>IF(C688="","",IF(F688="","",ROUND(F688*(1+J688),4)))</f>
        <v>0</v>
      </c>
      <c r="L688" s="45">
        <f>IF(C688="","",IFERROR(INDEX(Materials!$S$5:$S$254,MATCH(C688,Materials!$A$5:$A$254,0)),""))</f>
        <v>0</v>
      </c>
      <c r="M688" s="45">
        <f>IF(C688="","",IF(OR(K688="",L688=""),"",ROUND(K688*L688,4)))</f>
        <v>0</v>
      </c>
      <c r="N688" s="20">
        <f>IF(A688="","",ROUND(SUMIFS('Material Usage'!$M$5:$M$904,'Material Usage'!$A$5:$A$904,A688),2))</f>
        <v>0</v>
      </c>
      <c r="O688" s="33">
        <f>IF(A688="","",IF(OR(M688="",N688="",N688=0),"",M688/N688))</f>
        <v>0</v>
      </c>
      <c r="P688" s="32">
        <f>IF(A688="","",COUNTIFS($A$5:A688,A688))</f>
        <v>0</v>
      </c>
      <c r="Q688" s="13">
        <f>IF(A688="","",A688&amp;"|"&amp;P688)</f>
        <v>0</v>
      </c>
      <c r="R688" s="43">
        <f>IF(AND(A688="",C688=""),"",IF(A688="","Add - which product?",IF(C688="","Add - which material?",IF(B688="Not found","Check - no such product ID",IF(D688="Add to Materials","Check - no such material ID",IF(OR(F688="",F688=0),"Add - how much?",IF(L688="","Check - that material has no price","OK")))))))</f>
        <v>0</v>
      </c>
    </row>
    <row r="689" spans="2:18">
      <c r="B689" s="13">
        <f>IF(A689="","",IFERROR(INDEX(Products!$B$5:$B$304,MATCH(A689,Products!$A$5:$A$304,0)),"Not found"))</f>
        <v>0</v>
      </c>
      <c r="D689" s="13">
        <f>IF(C689="","",IFERROR(INDEX(Materials!$B$5:$B$254,MATCH(C689,Materials!$A$5:$A$254,0)),"Add to Materials"))</f>
        <v>0</v>
      </c>
      <c r="E689" s="13">
        <f>IF(C689="","",IFERROR(INDEX(Materials!$H$5:$H$254,MATCH(C689,Materials!$A$5:$A$254,0)),"Add to Materials"))</f>
        <v>0</v>
      </c>
      <c r="J689" s="33">
        <f>IF(C689="","",IF(G689&lt;&gt;"",G689,IFERROR(INDEX(Materials!$W$5:$W$254,MATCH(C689,Materials!$A$5:$A$254,0)),DefaultWaste)))</f>
        <v>0</v>
      </c>
      <c r="K689" s="36">
        <f>IF(C689="","",IF(F689="","",ROUND(F689*(1+J689),4)))</f>
        <v>0</v>
      </c>
      <c r="L689" s="45">
        <f>IF(C689="","",IFERROR(INDEX(Materials!$S$5:$S$254,MATCH(C689,Materials!$A$5:$A$254,0)),""))</f>
        <v>0</v>
      </c>
      <c r="M689" s="45">
        <f>IF(C689="","",IF(OR(K689="",L689=""),"",ROUND(K689*L689,4)))</f>
        <v>0</v>
      </c>
      <c r="N689" s="20">
        <f>IF(A689="","",ROUND(SUMIFS('Material Usage'!$M$5:$M$904,'Material Usage'!$A$5:$A$904,A689),2))</f>
        <v>0</v>
      </c>
      <c r="O689" s="33">
        <f>IF(A689="","",IF(OR(M689="",N689="",N689=0),"",M689/N689))</f>
        <v>0</v>
      </c>
      <c r="P689" s="32">
        <f>IF(A689="","",COUNTIFS($A$5:A689,A689))</f>
        <v>0</v>
      </c>
      <c r="Q689" s="13">
        <f>IF(A689="","",A689&amp;"|"&amp;P689)</f>
        <v>0</v>
      </c>
      <c r="R689" s="43">
        <f>IF(AND(A689="",C689=""),"",IF(A689="","Add - which product?",IF(C689="","Add - which material?",IF(B689="Not found","Check - no such product ID",IF(D689="Add to Materials","Check - no such material ID",IF(OR(F689="",F689=0),"Add - how much?",IF(L689="","Check - that material has no price","OK")))))))</f>
        <v>0</v>
      </c>
    </row>
    <row r="690" spans="2:18">
      <c r="B690" s="13">
        <f>IF(A690="","",IFERROR(INDEX(Products!$B$5:$B$304,MATCH(A690,Products!$A$5:$A$304,0)),"Not found"))</f>
        <v>0</v>
      </c>
      <c r="D690" s="13">
        <f>IF(C690="","",IFERROR(INDEX(Materials!$B$5:$B$254,MATCH(C690,Materials!$A$5:$A$254,0)),"Add to Materials"))</f>
        <v>0</v>
      </c>
      <c r="E690" s="13">
        <f>IF(C690="","",IFERROR(INDEX(Materials!$H$5:$H$254,MATCH(C690,Materials!$A$5:$A$254,0)),"Add to Materials"))</f>
        <v>0</v>
      </c>
      <c r="J690" s="33">
        <f>IF(C690="","",IF(G690&lt;&gt;"",G690,IFERROR(INDEX(Materials!$W$5:$W$254,MATCH(C690,Materials!$A$5:$A$254,0)),DefaultWaste)))</f>
        <v>0</v>
      </c>
      <c r="K690" s="36">
        <f>IF(C690="","",IF(F690="","",ROUND(F690*(1+J690),4)))</f>
        <v>0</v>
      </c>
      <c r="L690" s="45">
        <f>IF(C690="","",IFERROR(INDEX(Materials!$S$5:$S$254,MATCH(C690,Materials!$A$5:$A$254,0)),""))</f>
        <v>0</v>
      </c>
      <c r="M690" s="45">
        <f>IF(C690="","",IF(OR(K690="",L690=""),"",ROUND(K690*L690,4)))</f>
        <v>0</v>
      </c>
      <c r="N690" s="20">
        <f>IF(A690="","",ROUND(SUMIFS('Material Usage'!$M$5:$M$904,'Material Usage'!$A$5:$A$904,A690),2))</f>
        <v>0</v>
      </c>
      <c r="O690" s="33">
        <f>IF(A690="","",IF(OR(M690="",N690="",N690=0),"",M690/N690))</f>
        <v>0</v>
      </c>
      <c r="P690" s="32">
        <f>IF(A690="","",COUNTIFS($A$5:A690,A690))</f>
        <v>0</v>
      </c>
      <c r="Q690" s="13">
        <f>IF(A690="","",A690&amp;"|"&amp;P690)</f>
        <v>0</v>
      </c>
      <c r="R690" s="43">
        <f>IF(AND(A690="",C690=""),"",IF(A690="","Add - which product?",IF(C690="","Add - which material?",IF(B690="Not found","Check - no such product ID",IF(D690="Add to Materials","Check - no such material ID",IF(OR(F690="",F690=0),"Add - how much?",IF(L690="","Check - that material has no price","OK")))))))</f>
        <v>0</v>
      </c>
    </row>
    <row r="691" spans="2:18">
      <c r="B691" s="13">
        <f>IF(A691="","",IFERROR(INDEX(Products!$B$5:$B$304,MATCH(A691,Products!$A$5:$A$304,0)),"Not found"))</f>
        <v>0</v>
      </c>
      <c r="D691" s="13">
        <f>IF(C691="","",IFERROR(INDEX(Materials!$B$5:$B$254,MATCH(C691,Materials!$A$5:$A$254,0)),"Add to Materials"))</f>
        <v>0</v>
      </c>
      <c r="E691" s="13">
        <f>IF(C691="","",IFERROR(INDEX(Materials!$H$5:$H$254,MATCH(C691,Materials!$A$5:$A$254,0)),"Add to Materials"))</f>
        <v>0</v>
      </c>
      <c r="J691" s="33">
        <f>IF(C691="","",IF(G691&lt;&gt;"",G691,IFERROR(INDEX(Materials!$W$5:$W$254,MATCH(C691,Materials!$A$5:$A$254,0)),DefaultWaste)))</f>
        <v>0</v>
      </c>
      <c r="K691" s="36">
        <f>IF(C691="","",IF(F691="","",ROUND(F691*(1+J691),4)))</f>
        <v>0</v>
      </c>
      <c r="L691" s="45">
        <f>IF(C691="","",IFERROR(INDEX(Materials!$S$5:$S$254,MATCH(C691,Materials!$A$5:$A$254,0)),""))</f>
        <v>0</v>
      </c>
      <c r="M691" s="45">
        <f>IF(C691="","",IF(OR(K691="",L691=""),"",ROUND(K691*L691,4)))</f>
        <v>0</v>
      </c>
      <c r="N691" s="20">
        <f>IF(A691="","",ROUND(SUMIFS('Material Usage'!$M$5:$M$904,'Material Usage'!$A$5:$A$904,A691),2))</f>
        <v>0</v>
      </c>
      <c r="O691" s="33">
        <f>IF(A691="","",IF(OR(M691="",N691="",N691=0),"",M691/N691))</f>
        <v>0</v>
      </c>
      <c r="P691" s="32">
        <f>IF(A691="","",COUNTIFS($A$5:A691,A691))</f>
        <v>0</v>
      </c>
      <c r="Q691" s="13">
        <f>IF(A691="","",A691&amp;"|"&amp;P691)</f>
        <v>0</v>
      </c>
      <c r="R691" s="43">
        <f>IF(AND(A691="",C691=""),"",IF(A691="","Add - which product?",IF(C691="","Add - which material?",IF(B691="Not found","Check - no such product ID",IF(D691="Add to Materials","Check - no such material ID",IF(OR(F691="",F691=0),"Add - how much?",IF(L691="","Check - that material has no price","OK")))))))</f>
        <v>0</v>
      </c>
    </row>
    <row r="692" spans="2:18">
      <c r="B692" s="13">
        <f>IF(A692="","",IFERROR(INDEX(Products!$B$5:$B$304,MATCH(A692,Products!$A$5:$A$304,0)),"Not found"))</f>
        <v>0</v>
      </c>
      <c r="D692" s="13">
        <f>IF(C692="","",IFERROR(INDEX(Materials!$B$5:$B$254,MATCH(C692,Materials!$A$5:$A$254,0)),"Add to Materials"))</f>
        <v>0</v>
      </c>
      <c r="E692" s="13">
        <f>IF(C692="","",IFERROR(INDEX(Materials!$H$5:$H$254,MATCH(C692,Materials!$A$5:$A$254,0)),"Add to Materials"))</f>
        <v>0</v>
      </c>
      <c r="J692" s="33">
        <f>IF(C692="","",IF(G692&lt;&gt;"",G692,IFERROR(INDEX(Materials!$W$5:$W$254,MATCH(C692,Materials!$A$5:$A$254,0)),DefaultWaste)))</f>
        <v>0</v>
      </c>
      <c r="K692" s="36">
        <f>IF(C692="","",IF(F692="","",ROUND(F692*(1+J692),4)))</f>
        <v>0</v>
      </c>
      <c r="L692" s="45">
        <f>IF(C692="","",IFERROR(INDEX(Materials!$S$5:$S$254,MATCH(C692,Materials!$A$5:$A$254,0)),""))</f>
        <v>0</v>
      </c>
      <c r="M692" s="45">
        <f>IF(C692="","",IF(OR(K692="",L692=""),"",ROUND(K692*L692,4)))</f>
        <v>0</v>
      </c>
      <c r="N692" s="20">
        <f>IF(A692="","",ROUND(SUMIFS('Material Usage'!$M$5:$M$904,'Material Usage'!$A$5:$A$904,A692),2))</f>
        <v>0</v>
      </c>
      <c r="O692" s="33">
        <f>IF(A692="","",IF(OR(M692="",N692="",N692=0),"",M692/N692))</f>
        <v>0</v>
      </c>
      <c r="P692" s="32">
        <f>IF(A692="","",COUNTIFS($A$5:A692,A692))</f>
        <v>0</v>
      </c>
      <c r="Q692" s="13">
        <f>IF(A692="","",A692&amp;"|"&amp;P692)</f>
        <v>0</v>
      </c>
      <c r="R692" s="43">
        <f>IF(AND(A692="",C692=""),"",IF(A692="","Add - which product?",IF(C692="","Add - which material?",IF(B692="Not found","Check - no such product ID",IF(D692="Add to Materials","Check - no such material ID",IF(OR(F692="",F692=0),"Add - how much?",IF(L692="","Check - that material has no price","OK")))))))</f>
        <v>0</v>
      </c>
    </row>
    <row r="693" spans="2:18">
      <c r="B693" s="13">
        <f>IF(A693="","",IFERROR(INDEX(Products!$B$5:$B$304,MATCH(A693,Products!$A$5:$A$304,0)),"Not found"))</f>
        <v>0</v>
      </c>
      <c r="D693" s="13">
        <f>IF(C693="","",IFERROR(INDEX(Materials!$B$5:$B$254,MATCH(C693,Materials!$A$5:$A$254,0)),"Add to Materials"))</f>
        <v>0</v>
      </c>
      <c r="E693" s="13">
        <f>IF(C693="","",IFERROR(INDEX(Materials!$H$5:$H$254,MATCH(C693,Materials!$A$5:$A$254,0)),"Add to Materials"))</f>
        <v>0</v>
      </c>
      <c r="J693" s="33">
        <f>IF(C693="","",IF(G693&lt;&gt;"",G693,IFERROR(INDEX(Materials!$W$5:$W$254,MATCH(C693,Materials!$A$5:$A$254,0)),DefaultWaste)))</f>
        <v>0</v>
      </c>
      <c r="K693" s="36">
        <f>IF(C693="","",IF(F693="","",ROUND(F693*(1+J693),4)))</f>
        <v>0</v>
      </c>
      <c r="L693" s="45">
        <f>IF(C693="","",IFERROR(INDEX(Materials!$S$5:$S$254,MATCH(C693,Materials!$A$5:$A$254,0)),""))</f>
        <v>0</v>
      </c>
      <c r="M693" s="45">
        <f>IF(C693="","",IF(OR(K693="",L693=""),"",ROUND(K693*L693,4)))</f>
        <v>0</v>
      </c>
      <c r="N693" s="20">
        <f>IF(A693="","",ROUND(SUMIFS('Material Usage'!$M$5:$M$904,'Material Usage'!$A$5:$A$904,A693),2))</f>
        <v>0</v>
      </c>
      <c r="O693" s="33">
        <f>IF(A693="","",IF(OR(M693="",N693="",N693=0),"",M693/N693))</f>
        <v>0</v>
      </c>
      <c r="P693" s="32">
        <f>IF(A693="","",COUNTIFS($A$5:A693,A693))</f>
        <v>0</v>
      </c>
      <c r="Q693" s="13">
        <f>IF(A693="","",A693&amp;"|"&amp;P693)</f>
        <v>0</v>
      </c>
      <c r="R693" s="43">
        <f>IF(AND(A693="",C693=""),"",IF(A693="","Add - which product?",IF(C693="","Add - which material?",IF(B693="Not found","Check - no such product ID",IF(D693="Add to Materials","Check - no such material ID",IF(OR(F693="",F693=0),"Add - how much?",IF(L693="","Check - that material has no price","OK")))))))</f>
        <v>0</v>
      </c>
    </row>
    <row r="694" spans="2:18">
      <c r="B694" s="13">
        <f>IF(A694="","",IFERROR(INDEX(Products!$B$5:$B$304,MATCH(A694,Products!$A$5:$A$304,0)),"Not found"))</f>
        <v>0</v>
      </c>
      <c r="D694" s="13">
        <f>IF(C694="","",IFERROR(INDEX(Materials!$B$5:$B$254,MATCH(C694,Materials!$A$5:$A$254,0)),"Add to Materials"))</f>
        <v>0</v>
      </c>
      <c r="E694" s="13">
        <f>IF(C694="","",IFERROR(INDEX(Materials!$H$5:$H$254,MATCH(C694,Materials!$A$5:$A$254,0)),"Add to Materials"))</f>
        <v>0</v>
      </c>
      <c r="J694" s="33">
        <f>IF(C694="","",IF(G694&lt;&gt;"",G694,IFERROR(INDEX(Materials!$W$5:$W$254,MATCH(C694,Materials!$A$5:$A$254,0)),DefaultWaste)))</f>
        <v>0</v>
      </c>
      <c r="K694" s="36">
        <f>IF(C694="","",IF(F694="","",ROUND(F694*(1+J694),4)))</f>
        <v>0</v>
      </c>
      <c r="L694" s="45">
        <f>IF(C694="","",IFERROR(INDEX(Materials!$S$5:$S$254,MATCH(C694,Materials!$A$5:$A$254,0)),""))</f>
        <v>0</v>
      </c>
      <c r="M694" s="45">
        <f>IF(C694="","",IF(OR(K694="",L694=""),"",ROUND(K694*L694,4)))</f>
        <v>0</v>
      </c>
      <c r="N694" s="20">
        <f>IF(A694="","",ROUND(SUMIFS('Material Usage'!$M$5:$M$904,'Material Usage'!$A$5:$A$904,A694),2))</f>
        <v>0</v>
      </c>
      <c r="O694" s="33">
        <f>IF(A694="","",IF(OR(M694="",N694="",N694=0),"",M694/N694))</f>
        <v>0</v>
      </c>
      <c r="P694" s="32">
        <f>IF(A694="","",COUNTIFS($A$5:A694,A694))</f>
        <v>0</v>
      </c>
      <c r="Q694" s="13">
        <f>IF(A694="","",A694&amp;"|"&amp;P694)</f>
        <v>0</v>
      </c>
      <c r="R694" s="43">
        <f>IF(AND(A694="",C694=""),"",IF(A694="","Add - which product?",IF(C694="","Add - which material?",IF(B694="Not found","Check - no such product ID",IF(D694="Add to Materials","Check - no such material ID",IF(OR(F694="",F694=0),"Add - how much?",IF(L694="","Check - that material has no price","OK")))))))</f>
        <v>0</v>
      </c>
    </row>
    <row r="695" spans="2:18">
      <c r="B695" s="13">
        <f>IF(A695="","",IFERROR(INDEX(Products!$B$5:$B$304,MATCH(A695,Products!$A$5:$A$304,0)),"Not found"))</f>
        <v>0</v>
      </c>
      <c r="D695" s="13">
        <f>IF(C695="","",IFERROR(INDEX(Materials!$B$5:$B$254,MATCH(C695,Materials!$A$5:$A$254,0)),"Add to Materials"))</f>
        <v>0</v>
      </c>
      <c r="E695" s="13">
        <f>IF(C695="","",IFERROR(INDEX(Materials!$H$5:$H$254,MATCH(C695,Materials!$A$5:$A$254,0)),"Add to Materials"))</f>
        <v>0</v>
      </c>
      <c r="J695" s="33">
        <f>IF(C695="","",IF(G695&lt;&gt;"",G695,IFERROR(INDEX(Materials!$W$5:$W$254,MATCH(C695,Materials!$A$5:$A$254,0)),DefaultWaste)))</f>
        <v>0</v>
      </c>
      <c r="K695" s="36">
        <f>IF(C695="","",IF(F695="","",ROUND(F695*(1+J695),4)))</f>
        <v>0</v>
      </c>
      <c r="L695" s="45">
        <f>IF(C695="","",IFERROR(INDEX(Materials!$S$5:$S$254,MATCH(C695,Materials!$A$5:$A$254,0)),""))</f>
        <v>0</v>
      </c>
      <c r="M695" s="45">
        <f>IF(C695="","",IF(OR(K695="",L695=""),"",ROUND(K695*L695,4)))</f>
        <v>0</v>
      </c>
      <c r="N695" s="20">
        <f>IF(A695="","",ROUND(SUMIFS('Material Usage'!$M$5:$M$904,'Material Usage'!$A$5:$A$904,A695),2))</f>
        <v>0</v>
      </c>
      <c r="O695" s="33">
        <f>IF(A695="","",IF(OR(M695="",N695="",N695=0),"",M695/N695))</f>
        <v>0</v>
      </c>
      <c r="P695" s="32">
        <f>IF(A695="","",COUNTIFS($A$5:A695,A695))</f>
        <v>0</v>
      </c>
      <c r="Q695" s="13">
        <f>IF(A695="","",A695&amp;"|"&amp;P695)</f>
        <v>0</v>
      </c>
      <c r="R695" s="43">
        <f>IF(AND(A695="",C695=""),"",IF(A695="","Add - which product?",IF(C695="","Add - which material?",IF(B695="Not found","Check - no such product ID",IF(D695="Add to Materials","Check - no such material ID",IF(OR(F695="",F695=0),"Add - how much?",IF(L695="","Check - that material has no price","OK")))))))</f>
        <v>0</v>
      </c>
    </row>
    <row r="696" spans="2:18">
      <c r="B696" s="13">
        <f>IF(A696="","",IFERROR(INDEX(Products!$B$5:$B$304,MATCH(A696,Products!$A$5:$A$304,0)),"Not found"))</f>
        <v>0</v>
      </c>
      <c r="D696" s="13">
        <f>IF(C696="","",IFERROR(INDEX(Materials!$B$5:$B$254,MATCH(C696,Materials!$A$5:$A$254,0)),"Add to Materials"))</f>
        <v>0</v>
      </c>
      <c r="E696" s="13">
        <f>IF(C696="","",IFERROR(INDEX(Materials!$H$5:$H$254,MATCH(C696,Materials!$A$5:$A$254,0)),"Add to Materials"))</f>
        <v>0</v>
      </c>
      <c r="J696" s="33">
        <f>IF(C696="","",IF(G696&lt;&gt;"",G696,IFERROR(INDEX(Materials!$W$5:$W$254,MATCH(C696,Materials!$A$5:$A$254,0)),DefaultWaste)))</f>
        <v>0</v>
      </c>
      <c r="K696" s="36">
        <f>IF(C696="","",IF(F696="","",ROUND(F696*(1+J696),4)))</f>
        <v>0</v>
      </c>
      <c r="L696" s="45">
        <f>IF(C696="","",IFERROR(INDEX(Materials!$S$5:$S$254,MATCH(C696,Materials!$A$5:$A$254,0)),""))</f>
        <v>0</v>
      </c>
      <c r="M696" s="45">
        <f>IF(C696="","",IF(OR(K696="",L696=""),"",ROUND(K696*L696,4)))</f>
        <v>0</v>
      </c>
      <c r="N696" s="20">
        <f>IF(A696="","",ROUND(SUMIFS('Material Usage'!$M$5:$M$904,'Material Usage'!$A$5:$A$904,A696),2))</f>
        <v>0</v>
      </c>
      <c r="O696" s="33">
        <f>IF(A696="","",IF(OR(M696="",N696="",N696=0),"",M696/N696))</f>
        <v>0</v>
      </c>
      <c r="P696" s="32">
        <f>IF(A696="","",COUNTIFS($A$5:A696,A696))</f>
        <v>0</v>
      </c>
      <c r="Q696" s="13">
        <f>IF(A696="","",A696&amp;"|"&amp;P696)</f>
        <v>0</v>
      </c>
      <c r="R696" s="43">
        <f>IF(AND(A696="",C696=""),"",IF(A696="","Add - which product?",IF(C696="","Add - which material?",IF(B696="Not found","Check - no such product ID",IF(D696="Add to Materials","Check - no such material ID",IF(OR(F696="",F696=0),"Add - how much?",IF(L696="","Check - that material has no price","OK")))))))</f>
        <v>0</v>
      </c>
    </row>
    <row r="697" spans="2:18">
      <c r="B697" s="13">
        <f>IF(A697="","",IFERROR(INDEX(Products!$B$5:$B$304,MATCH(A697,Products!$A$5:$A$304,0)),"Not found"))</f>
        <v>0</v>
      </c>
      <c r="D697" s="13">
        <f>IF(C697="","",IFERROR(INDEX(Materials!$B$5:$B$254,MATCH(C697,Materials!$A$5:$A$254,0)),"Add to Materials"))</f>
        <v>0</v>
      </c>
      <c r="E697" s="13">
        <f>IF(C697="","",IFERROR(INDEX(Materials!$H$5:$H$254,MATCH(C697,Materials!$A$5:$A$254,0)),"Add to Materials"))</f>
        <v>0</v>
      </c>
      <c r="J697" s="33">
        <f>IF(C697="","",IF(G697&lt;&gt;"",G697,IFERROR(INDEX(Materials!$W$5:$W$254,MATCH(C697,Materials!$A$5:$A$254,0)),DefaultWaste)))</f>
        <v>0</v>
      </c>
      <c r="K697" s="36">
        <f>IF(C697="","",IF(F697="","",ROUND(F697*(1+J697),4)))</f>
        <v>0</v>
      </c>
      <c r="L697" s="45">
        <f>IF(C697="","",IFERROR(INDEX(Materials!$S$5:$S$254,MATCH(C697,Materials!$A$5:$A$254,0)),""))</f>
        <v>0</v>
      </c>
      <c r="M697" s="45">
        <f>IF(C697="","",IF(OR(K697="",L697=""),"",ROUND(K697*L697,4)))</f>
        <v>0</v>
      </c>
      <c r="N697" s="20">
        <f>IF(A697="","",ROUND(SUMIFS('Material Usage'!$M$5:$M$904,'Material Usage'!$A$5:$A$904,A697),2))</f>
        <v>0</v>
      </c>
      <c r="O697" s="33">
        <f>IF(A697="","",IF(OR(M697="",N697="",N697=0),"",M697/N697))</f>
        <v>0</v>
      </c>
      <c r="P697" s="32">
        <f>IF(A697="","",COUNTIFS($A$5:A697,A697))</f>
        <v>0</v>
      </c>
      <c r="Q697" s="13">
        <f>IF(A697="","",A697&amp;"|"&amp;P697)</f>
        <v>0</v>
      </c>
      <c r="R697" s="43">
        <f>IF(AND(A697="",C697=""),"",IF(A697="","Add - which product?",IF(C697="","Add - which material?",IF(B697="Not found","Check - no such product ID",IF(D697="Add to Materials","Check - no such material ID",IF(OR(F697="",F697=0),"Add - how much?",IF(L697="","Check - that material has no price","OK")))))))</f>
        <v>0</v>
      </c>
    </row>
    <row r="698" spans="2:18">
      <c r="B698" s="13">
        <f>IF(A698="","",IFERROR(INDEX(Products!$B$5:$B$304,MATCH(A698,Products!$A$5:$A$304,0)),"Not found"))</f>
        <v>0</v>
      </c>
      <c r="D698" s="13">
        <f>IF(C698="","",IFERROR(INDEX(Materials!$B$5:$B$254,MATCH(C698,Materials!$A$5:$A$254,0)),"Add to Materials"))</f>
        <v>0</v>
      </c>
      <c r="E698" s="13">
        <f>IF(C698="","",IFERROR(INDEX(Materials!$H$5:$H$254,MATCH(C698,Materials!$A$5:$A$254,0)),"Add to Materials"))</f>
        <v>0</v>
      </c>
      <c r="J698" s="33">
        <f>IF(C698="","",IF(G698&lt;&gt;"",G698,IFERROR(INDEX(Materials!$W$5:$W$254,MATCH(C698,Materials!$A$5:$A$254,0)),DefaultWaste)))</f>
        <v>0</v>
      </c>
      <c r="K698" s="36">
        <f>IF(C698="","",IF(F698="","",ROUND(F698*(1+J698),4)))</f>
        <v>0</v>
      </c>
      <c r="L698" s="45">
        <f>IF(C698="","",IFERROR(INDEX(Materials!$S$5:$S$254,MATCH(C698,Materials!$A$5:$A$254,0)),""))</f>
        <v>0</v>
      </c>
      <c r="M698" s="45">
        <f>IF(C698="","",IF(OR(K698="",L698=""),"",ROUND(K698*L698,4)))</f>
        <v>0</v>
      </c>
      <c r="N698" s="20">
        <f>IF(A698="","",ROUND(SUMIFS('Material Usage'!$M$5:$M$904,'Material Usage'!$A$5:$A$904,A698),2))</f>
        <v>0</v>
      </c>
      <c r="O698" s="33">
        <f>IF(A698="","",IF(OR(M698="",N698="",N698=0),"",M698/N698))</f>
        <v>0</v>
      </c>
      <c r="P698" s="32">
        <f>IF(A698="","",COUNTIFS($A$5:A698,A698))</f>
        <v>0</v>
      </c>
      <c r="Q698" s="13">
        <f>IF(A698="","",A698&amp;"|"&amp;P698)</f>
        <v>0</v>
      </c>
      <c r="R698" s="43">
        <f>IF(AND(A698="",C698=""),"",IF(A698="","Add - which product?",IF(C698="","Add - which material?",IF(B698="Not found","Check - no such product ID",IF(D698="Add to Materials","Check - no such material ID",IF(OR(F698="",F698=0),"Add - how much?",IF(L698="","Check - that material has no price","OK")))))))</f>
        <v>0</v>
      </c>
    </row>
    <row r="699" spans="2:18">
      <c r="B699" s="13">
        <f>IF(A699="","",IFERROR(INDEX(Products!$B$5:$B$304,MATCH(A699,Products!$A$5:$A$304,0)),"Not found"))</f>
        <v>0</v>
      </c>
      <c r="D699" s="13">
        <f>IF(C699="","",IFERROR(INDEX(Materials!$B$5:$B$254,MATCH(C699,Materials!$A$5:$A$254,0)),"Add to Materials"))</f>
        <v>0</v>
      </c>
      <c r="E699" s="13">
        <f>IF(C699="","",IFERROR(INDEX(Materials!$H$5:$H$254,MATCH(C699,Materials!$A$5:$A$254,0)),"Add to Materials"))</f>
        <v>0</v>
      </c>
      <c r="J699" s="33">
        <f>IF(C699="","",IF(G699&lt;&gt;"",G699,IFERROR(INDEX(Materials!$W$5:$W$254,MATCH(C699,Materials!$A$5:$A$254,0)),DefaultWaste)))</f>
        <v>0</v>
      </c>
      <c r="K699" s="36">
        <f>IF(C699="","",IF(F699="","",ROUND(F699*(1+J699),4)))</f>
        <v>0</v>
      </c>
      <c r="L699" s="45">
        <f>IF(C699="","",IFERROR(INDEX(Materials!$S$5:$S$254,MATCH(C699,Materials!$A$5:$A$254,0)),""))</f>
        <v>0</v>
      </c>
      <c r="M699" s="45">
        <f>IF(C699="","",IF(OR(K699="",L699=""),"",ROUND(K699*L699,4)))</f>
        <v>0</v>
      </c>
      <c r="N699" s="20">
        <f>IF(A699="","",ROUND(SUMIFS('Material Usage'!$M$5:$M$904,'Material Usage'!$A$5:$A$904,A699),2))</f>
        <v>0</v>
      </c>
      <c r="O699" s="33">
        <f>IF(A699="","",IF(OR(M699="",N699="",N699=0),"",M699/N699))</f>
        <v>0</v>
      </c>
      <c r="P699" s="32">
        <f>IF(A699="","",COUNTIFS($A$5:A699,A699))</f>
        <v>0</v>
      </c>
      <c r="Q699" s="13">
        <f>IF(A699="","",A699&amp;"|"&amp;P699)</f>
        <v>0</v>
      </c>
      <c r="R699" s="43">
        <f>IF(AND(A699="",C699=""),"",IF(A699="","Add - which product?",IF(C699="","Add - which material?",IF(B699="Not found","Check - no such product ID",IF(D699="Add to Materials","Check - no such material ID",IF(OR(F699="",F699=0),"Add - how much?",IF(L699="","Check - that material has no price","OK")))))))</f>
        <v>0</v>
      </c>
    </row>
    <row r="700" spans="2:18">
      <c r="B700" s="13">
        <f>IF(A700="","",IFERROR(INDEX(Products!$B$5:$B$304,MATCH(A700,Products!$A$5:$A$304,0)),"Not found"))</f>
        <v>0</v>
      </c>
      <c r="D700" s="13">
        <f>IF(C700="","",IFERROR(INDEX(Materials!$B$5:$B$254,MATCH(C700,Materials!$A$5:$A$254,0)),"Add to Materials"))</f>
        <v>0</v>
      </c>
      <c r="E700" s="13">
        <f>IF(C700="","",IFERROR(INDEX(Materials!$H$5:$H$254,MATCH(C700,Materials!$A$5:$A$254,0)),"Add to Materials"))</f>
        <v>0</v>
      </c>
      <c r="J700" s="33">
        <f>IF(C700="","",IF(G700&lt;&gt;"",G700,IFERROR(INDEX(Materials!$W$5:$W$254,MATCH(C700,Materials!$A$5:$A$254,0)),DefaultWaste)))</f>
        <v>0</v>
      </c>
      <c r="K700" s="36">
        <f>IF(C700="","",IF(F700="","",ROUND(F700*(1+J700),4)))</f>
        <v>0</v>
      </c>
      <c r="L700" s="45">
        <f>IF(C700="","",IFERROR(INDEX(Materials!$S$5:$S$254,MATCH(C700,Materials!$A$5:$A$254,0)),""))</f>
        <v>0</v>
      </c>
      <c r="M700" s="45">
        <f>IF(C700="","",IF(OR(K700="",L700=""),"",ROUND(K700*L700,4)))</f>
        <v>0</v>
      </c>
      <c r="N700" s="20">
        <f>IF(A700="","",ROUND(SUMIFS('Material Usage'!$M$5:$M$904,'Material Usage'!$A$5:$A$904,A700),2))</f>
        <v>0</v>
      </c>
      <c r="O700" s="33">
        <f>IF(A700="","",IF(OR(M700="",N700="",N700=0),"",M700/N700))</f>
        <v>0</v>
      </c>
      <c r="P700" s="32">
        <f>IF(A700="","",COUNTIFS($A$5:A700,A700))</f>
        <v>0</v>
      </c>
      <c r="Q700" s="13">
        <f>IF(A700="","",A700&amp;"|"&amp;P700)</f>
        <v>0</v>
      </c>
      <c r="R700" s="43">
        <f>IF(AND(A700="",C700=""),"",IF(A700="","Add - which product?",IF(C700="","Add - which material?",IF(B700="Not found","Check - no such product ID",IF(D700="Add to Materials","Check - no such material ID",IF(OR(F700="",F700=0),"Add - how much?",IF(L700="","Check - that material has no price","OK")))))))</f>
        <v>0</v>
      </c>
    </row>
    <row r="701" spans="2:18">
      <c r="B701" s="13">
        <f>IF(A701="","",IFERROR(INDEX(Products!$B$5:$B$304,MATCH(A701,Products!$A$5:$A$304,0)),"Not found"))</f>
        <v>0</v>
      </c>
      <c r="D701" s="13">
        <f>IF(C701="","",IFERROR(INDEX(Materials!$B$5:$B$254,MATCH(C701,Materials!$A$5:$A$254,0)),"Add to Materials"))</f>
        <v>0</v>
      </c>
      <c r="E701" s="13">
        <f>IF(C701="","",IFERROR(INDEX(Materials!$H$5:$H$254,MATCH(C701,Materials!$A$5:$A$254,0)),"Add to Materials"))</f>
        <v>0</v>
      </c>
      <c r="J701" s="33">
        <f>IF(C701="","",IF(G701&lt;&gt;"",G701,IFERROR(INDEX(Materials!$W$5:$W$254,MATCH(C701,Materials!$A$5:$A$254,0)),DefaultWaste)))</f>
        <v>0</v>
      </c>
      <c r="K701" s="36">
        <f>IF(C701="","",IF(F701="","",ROUND(F701*(1+J701),4)))</f>
        <v>0</v>
      </c>
      <c r="L701" s="45">
        <f>IF(C701="","",IFERROR(INDEX(Materials!$S$5:$S$254,MATCH(C701,Materials!$A$5:$A$254,0)),""))</f>
        <v>0</v>
      </c>
      <c r="M701" s="45">
        <f>IF(C701="","",IF(OR(K701="",L701=""),"",ROUND(K701*L701,4)))</f>
        <v>0</v>
      </c>
      <c r="N701" s="20">
        <f>IF(A701="","",ROUND(SUMIFS('Material Usage'!$M$5:$M$904,'Material Usage'!$A$5:$A$904,A701),2))</f>
        <v>0</v>
      </c>
      <c r="O701" s="33">
        <f>IF(A701="","",IF(OR(M701="",N701="",N701=0),"",M701/N701))</f>
        <v>0</v>
      </c>
      <c r="P701" s="32">
        <f>IF(A701="","",COUNTIFS($A$5:A701,A701))</f>
        <v>0</v>
      </c>
      <c r="Q701" s="13">
        <f>IF(A701="","",A701&amp;"|"&amp;P701)</f>
        <v>0</v>
      </c>
      <c r="R701" s="43">
        <f>IF(AND(A701="",C701=""),"",IF(A701="","Add - which product?",IF(C701="","Add - which material?",IF(B701="Not found","Check - no such product ID",IF(D701="Add to Materials","Check - no such material ID",IF(OR(F701="",F701=0),"Add - how much?",IF(L701="","Check - that material has no price","OK")))))))</f>
        <v>0</v>
      </c>
    </row>
    <row r="702" spans="2:18">
      <c r="B702" s="13">
        <f>IF(A702="","",IFERROR(INDEX(Products!$B$5:$B$304,MATCH(A702,Products!$A$5:$A$304,0)),"Not found"))</f>
        <v>0</v>
      </c>
      <c r="D702" s="13">
        <f>IF(C702="","",IFERROR(INDEX(Materials!$B$5:$B$254,MATCH(C702,Materials!$A$5:$A$254,0)),"Add to Materials"))</f>
        <v>0</v>
      </c>
      <c r="E702" s="13">
        <f>IF(C702="","",IFERROR(INDEX(Materials!$H$5:$H$254,MATCH(C702,Materials!$A$5:$A$254,0)),"Add to Materials"))</f>
        <v>0</v>
      </c>
      <c r="J702" s="33">
        <f>IF(C702="","",IF(G702&lt;&gt;"",G702,IFERROR(INDEX(Materials!$W$5:$W$254,MATCH(C702,Materials!$A$5:$A$254,0)),DefaultWaste)))</f>
        <v>0</v>
      </c>
      <c r="K702" s="36">
        <f>IF(C702="","",IF(F702="","",ROUND(F702*(1+J702),4)))</f>
        <v>0</v>
      </c>
      <c r="L702" s="45">
        <f>IF(C702="","",IFERROR(INDEX(Materials!$S$5:$S$254,MATCH(C702,Materials!$A$5:$A$254,0)),""))</f>
        <v>0</v>
      </c>
      <c r="M702" s="45">
        <f>IF(C702="","",IF(OR(K702="",L702=""),"",ROUND(K702*L702,4)))</f>
        <v>0</v>
      </c>
      <c r="N702" s="20">
        <f>IF(A702="","",ROUND(SUMIFS('Material Usage'!$M$5:$M$904,'Material Usage'!$A$5:$A$904,A702),2))</f>
        <v>0</v>
      </c>
      <c r="O702" s="33">
        <f>IF(A702="","",IF(OR(M702="",N702="",N702=0),"",M702/N702))</f>
        <v>0</v>
      </c>
      <c r="P702" s="32">
        <f>IF(A702="","",COUNTIFS($A$5:A702,A702))</f>
        <v>0</v>
      </c>
      <c r="Q702" s="13">
        <f>IF(A702="","",A702&amp;"|"&amp;P702)</f>
        <v>0</v>
      </c>
      <c r="R702" s="43">
        <f>IF(AND(A702="",C702=""),"",IF(A702="","Add - which product?",IF(C702="","Add - which material?",IF(B702="Not found","Check - no such product ID",IF(D702="Add to Materials","Check - no such material ID",IF(OR(F702="",F702=0),"Add - how much?",IF(L702="","Check - that material has no price","OK")))))))</f>
        <v>0</v>
      </c>
    </row>
    <row r="703" spans="2:18">
      <c r="B703" s="13">
        <f>IF(A703="","",IFERROR(INDEX(Products!$B$5:$B$304,MATCH(A703,Products!$A$5:$A$304,0)),"Not found"))</f>
        <v>0</v>
      </c>
      <c r="D703" s="13">
        <f>IF(C703="","",IFERROR(INDEX(Materials!$B$5:$B$254,MATCH(C703,Materials!$A$5:$A$254,0)),"Add to Materials"))</f>
        <v>0</v>
      </c>
      <c r="E703" s="13">
        <f>IF(C703="","",IFERROR(INDEX(Materials!$H$5:$H$254,MATCH(C703,Materials!$A$5:$A$254,0)),"Add to Materials"))</f>
        <v>0</v>
      </c>
      <c r="J703" s="33">
        <f>IF(C703="","",IF(G703&lt;&gt;"",G703,IFERROR(INDEX(Materials!$W$5:$W$254,MATCH(C703,Materials!$A$5:$A$254,0)),DefaultWaste)))</f>
        <v>0</v>
      </c>
      <c r="K703" s="36">
        <f>IF(C703="","",IF(F703="","",ROUND(F703*(1+J703),4)))</f>
        <v>0</v>
      </c>
      <c r="L703" s="45">
        <f>IF(C703="","",IFERROR(INDEX(Materials!$S$5:$S$254,MATCH(C703,Materials!$A$5:$A$254,0)),""))</f>
        <v>0</v>
      </c>
      <c r="M703" s="45">
        <f>IF(C703="","",IF(OR(K703="",L703=""),"",ROUND(K703*L703,4)))</f>
        <v>0</v>
      </c>
      <c r="N703" s="20">
        <f>IF(A703="","",ROUND(SUMIFS('Material Usage'!$M$5:$M$904,'Material Usage'!$A$5:$A$904,A703),2))</f>
        <v>0</v>
      </c>
      <c r="O703" s="33">
        <f>IF(A703="","",IF(OR(M703="",N703="",N703=0),"",M703/N703))</f>
        <v>0</v>
      </c>
      <c r="P703" s="32">
        <f>IF(A703="","",COUNTIFS($A$5:A703,A703))</f>
        <v>0</v>
      </c>
      <c r="Q703" s="13">
        <f>IF(A703="","",A703&amp;"|"&amp;P703)</f>
        <v>0</v>
      </c>
      <c r="R703" s="43">
        <f>IF(AND(A703="",C703=""),"",IF(A703="","Add - which product?",IF(C703="","Add - which material?",IF(B703="Not found","Check - no such product ID",IF(D703="Add to Materials","Check - no such material ID",IF(OR(F703="",F703=0),"Add - how much?",IF(L703="","Check - that material has no price","OK")))))))</f>
        <v>0</v>
      </c>
    </row>
    <row r="704" spans="2:18">
      <c r="B704" s="13">
        <f>IF(A704="","",IFERROR(INDEX(Products!$B$5:$B$304,MATCH(A704,Products!$A$5:$A$304,0)),"Not found"))</f>
        <v>0</v>
      </c>
      <c r="D704" s="13">
        <f>IF(C704="","",IFERROR(INDEX(Materials!$B$5:$B$254,MATCH(C704,Materials!$A$5:$A$254,0)),"Add to Materials"))</f>
        <v>0</v>
      </c>
      <c r="E704" s="13">
        <f>IF(C704="","",IFERROR(INDEX(Materials!$H$5:$H$254,MATCH(C704,Materials!$A$5:$A$254,0)),"Add to Materials"))</f>
        <v>0</v>
      </c>
      <c r="J704" s="33">
        <f>IF(C704="","",IF(G704&lt;&gt;"",G704,IFERROR(INDEX(Materials!$W$5:$W$254,MATCH(C704,Materials!$A$5:$A$254,0)),DefaultWaste)))</f>
        <v>0</v>
      </c>
      <c r="K704" s="36">
        <f>IF(C704="","",IF(F704="","",ROUND(F704*(1+J704),4)))</f>
        <v>0</v>
      </c>
      <c r="L704" s="45">
        <f>IF(C704="","",IFERROR(INDEX(Materials!$S$5:$S$254,MATCH(C704,Materials!$A$5:$A$254,0)),""))</f>
        <v>0</v>
      </c>
      <c r="M704" s="45">
        <f>IF(C704="","",IF(OR(K704="",L704=""),"",ROUND(K704*L704,4)))</f>
        <v>0</v>
      </c>
      <c r="N704" s="20">
        <f>IF(A704="","",ROUND(SUMIFS('Material Usage'!$M$5:$M$904,'Material Usage'!$A$5:$A$904,A704),2))</f>
        <v>0</v>
      </c>
      <c r="O704" s="33">
        <f>IF(A704="","",IF(OR(M704="",N704="",N704=0),"",M704/N704))</f>
        <v>0</v>
      </c>
      <c r="P704" s="32">
        <f>IF(A704="","",COUNTIFS($A$5:A704,A704))</f>
        <v>0</v>
      </c>
      <c r="Q704" s="13">
        <f>IF(A704="","",A704&amp;"|"&amp;P704)</f>
        <v>0</v>
      </c>
      <c r="R704" s="43">
        <f>IF(AND(A704="",C704=""),"",IF(A704="","Add - which product?",IF(C704="","Add - which material?",IF(B704="Not found","Check - no such product ID",IF(D704="Add to Materials","Check - no such material ID",IF(OR(F704="",F704=0),"Add - how much?",IF(L704="","Check - that material has no price","OK")))))))</f>
        <v>0</v>
      </c>
    </row>
    <row r="705" spans="2:18">
      <c r="B705" s="13">
        <f>IF(A705="","",IFERROR(INDEX(Products!$B$5:$B$304,MATCH(A705,Products!$A$5:$A$304,0)),"Not found"))</f>
        <v>0</v>
      </c>
      <c r="D705" s="13">
        <f>IF(C705="","",IFERROR(INDEX(Materials!$B$5:$B$254,MATCH(C705,Materials!$A$5:$A$254,0)),"Add to Materials"))</f>
        <v>0</v>
      </c>
      <c r="E705" s="13">
        <f>IF(C705="","",IFERROR(INDEX(Materials!$H$5:$H$254,MATCH(C705,Materials!$A$5:$A$254,0)),"Add to Materials"))</f>
        <v>0</v>
      </c>
      <c r="J705" s="33">
        <f>IF(C705="","",IF(G705&lt;&gt;"",G705,IFERROR(INDEX(Materials!$W$5:$W$254,MATCH(C705,Materials!$A$5:$A$254,0)),DefaultWaste)))</f>
        <v>0</v>
      </c>
      <c r="K705" s="36">
        <f>IF(C705="","",IF(F705="","",ROUND(F705*(1+J705),4)))</f>
        <v>0</v>
      </c>
      <c r="L705" s="45">
        <f>IF(C705="","",IFERROR(INDEX(Materials!$S$5:$S$254,MATCH(C705,Materials!$A$5:$A$254,0)),""))</f>
        <v>0</v>
      </c>
      <c r="M705" s="45">
        <f>IF(C705="","",IF(OR(K705="",L705=""),"",ROUND(K705*L705,4)))</f>
        <v>0</v>
      </c>
      <c r="N705" s="20">
        <f>IF(A705="","",ROUND(SUMIFS('Material Usage'!$M$5:$M$904,'Material Usage'!$A$5:$A$904,A705),2))</f>
        <v>0</v>
      </c>
      <c r="O705" s="33">
        <f>IF(A705="","",IF(OR(M705="",N705="",N705=0),"",M705/N705))</f>
        <v>0</v>
      </c>
      <c r="P705" s="32">
        <f>IF(A705="","",COUNTIFS($A$5:A705,A705))</f>
        <v>0</v>
      </c>
      <c r="Q705" s="13">
        <f>IF(A705="","",A705&amp;"|"&amp;P705)</f>
        <v>0</v>
      </c>
      <c r="R705" s="43">
        <f>IF(AND(A705="",C705=""),"",IF(A705="","Add - which product?",IF(C705="","Add - which material?",IF(B705="Not found","Check - no such product ID",IF(D705="Add to Materials","Check - no such material ID",IF(OR(F705="",F705=0),"Add - how much?",IF(L705="","Check - that material has no price","OK")))))))</f>
        <v>0</v>
      </c>
    </row>
    <row r="706" spans="2:18">
      <c r="B706" s="13">
        <f>IF(A706="","",IFERROR(INDEX(Products!$B$5:$B$304,MATCH(A706,Products!$A$5:$A$304,0)),"Not found"))</f>
        <v>0</v>
      </c>
      <c r="D706" s="13">
        <f>IF(C706="","",IFERROR(INDEX(Materials!$B$5:$B$254,MATCH(C706,Materials!$A$5:$A$254,0)),"Add to Materials"))</f>
        <v>0</v>
      </c>
      <c r="E706" s="13">
        <f>IF(C706="","",IFERROR(INDEX(Materials!$H$5:$H$254,MATCH(C706,Materials!$A$5:$A$254,0)),"Add to Materials"))</f>
        <v>0</v>
      </c>
      <c r="J706" s="33">
        <f>IF(C706="","",IF(G706&lt;&gt;"",G706,IFERROR(INDEX(Materials!$W$5:$W$254,MATCH(C706,Materials!$A$5:$A$254,0)),DefaultWaste)))</f>
        <v>0</v>
      </c>
      <c r="K706" s="36">
        <f>IF(C706="","",IF(F706="","",ROUND(F706*(1+J706),4)))</f>
        <v>0</v>
      </c>
      <c r="L706" s="45">
        <f>IF(C706="","",IFERROR(INDEX(Materials!$S$5:$S$254,MATCH(C706,Materials!$A$5:$A$254,0)),""))</f>
        <v>0</v>
      </c>
      <c r="M706" s="45">
        <f>IF(C706="","",IF(OR(K706="",L706=""),"",ROUND(K706*L706,4)))</f>
        <v>0</v>
      </c>
      <c r="N706" s="20">
        <f>IF(A706="","",ROUND(SUMIFS('Material Usage'!$M$5:$M$904,'Material Usage'!$A$5:$A$904,A706),2))</f>
        <v>0</v>
      </c>
      <c r="O706" s="33">
        <f>IF(A706="","",IF(OR(M706="",N706="",N706=0),"",M706/N706))</f>
        <v>0</v>
      </c>
      <c r="P706" s="32">
        <f>IF(A706="","",COUNTIFS($A$5:A706,A706))</f>
        <v>0</v>
      </c>
      <c r="Q706" s="13">
        <f>IF(A706="","",A706&amp;"|"&amp;P706)</f>
        <v>0</v>
      </c>
      <c r="R706" s="43">
        <f>IF(AND(A706="",C706=""),"",IF(A706="","Add - which product?",IF(C706="","Add - which material?",IF(B706="Not found","Check - no such product ID",IF(D706="Add to Materials","Check - no such material ID",IF(OR(F706="",F706=0),"Add - how much?",IF(L706="","Check - that material has no price","OK")))))))</f>
        <v>0</v>
      </c>
    </row>
    <row r="707" spans="2:18">
      <c r="B707" s="13">
        <f>IF(A707="","",IFERROR(INDEX(Products!$B$5:$B$304,MATCH(A707,Products!$A$5:$A$304,0)),"Not found"))</f>
        <v>0</v>
      </c>
      <c r="D707" s="13">
        <f>IF(C707="","",IFERROR(INDEX(Materials!$B$5:$B$254,MATCH(C707,Materials!$A$5:$A$254,0)),"Add to Materials"))</f>
        <v>0</v>
      </c>
      <c r="E707" s="13">
        <f>IF(C707="","",IFERROR(INDEX(Materials!$H$5:$H$254,MATCH(C707,Materials!$A$5:$A$254,0)),"Add to Materials"))</f>
        <v>0</v>
      </c>
      <c r="J707" s="33">
        <f>IF(C707="","",IF(G707&lt;&gt;"",G707,IFERROR(INDEX(Materials!$W$5:$W$254,MATCH(C707,Materials!$A$5:$A$254,0)),DefaultWaste)))</f>
        <v>0</v>
      </c>
      <c r="K707" s="36">
        <f>IF(C707="","",IF(F707="","",ROUND(F707*(1+J707),4)))</f>
        <v>0</v>
      </c>
      <c r="L707" s="45">
        <f>IF(C707="","",IFERROR(INDEX(Materials!$S$5:$S$254,MATCH(C707,Materials!$A$5:$A$254,0)),""))</f>
        <v>0</v>
      </c>
      <c r="M707" s="45">
        <f>IF(C707="","",IF(OR(K707="",L707=""),"",ROUND(K707*L707,4)))</f>
        <v>0</v>
      </c>
      <c r="N707" s="20">
        <f>IF(A707="","",ROUND(SUMIFS('Material Usage'!$M$5:$M$904,'Material Usage'!$A$5:$A$904,A707),2))</f>
        <v>0</v>
      </c>
      <c r="O707" s="33">
        <f>IF(A707="","",IF(OR(M707="",N707="",N707=0),"",M707/N707))</f>
        <v>0</v>
      </c>
      <c r="P707" s="32">
        <f>IF(A707="","",COUNTIFS($A$5:A707,A707))</f>
        <v>0</v>
      </c>
      <c r="Q707" s="13">
        <f>IF(A707="","",A707&amp;"|"&amp;P707)</f>
        <v>0</v>
      </c>
      <c r="R707" s="43">
        <f>IF(AND(A707="",C707=""),"",IF(A707="","Add - which product?",IF(C707="","Add - which material?",IF(B707="Not found","Check - no such product ID",IF(D707="Add to Materials","Check - no such material ID",IF(OR(F707="",F707=0),"Add - how much?",IF(L707="","Check - that material has no price","OK")))))))</f>
        <v>0</v>
      </c>
    </row>
    <row r="708" spans="2:18">
      <c r="B708" s="13">
        <f>IF(A708="","",IFERROR(INDEX(Products!$B$5:$B$304,MATCH(A708,Products!$A$5:$A$304,0)),"Not found"))</f>
        <v>0</v>
      </c>
      <c r="D708" s="13">
        <f>IF(C708="","",IFERROR(INDEX(Materials!$B$5:$B$254,MATCH(C708,Materials!$A$5:$A$254,0)),"Add to Materials"))</f>
        <v>0</v>
      </c>
      <c r="E708" s="13">
        <f>IF(C708="","",IFERROR(INDEX(Materials!$H$5:$H$254,MATCH(C708,Materials!$A$5:$A$254,0)),"Add to Materials"))</f>
        <v>0</v>
      </c>
      <c r="J708" s="33">
        <f>IF(C708="","",IF(G708&lt;&gt;"",G708,IFERROR(INDEX(Materials!$W$5:$W$254,MATCH(C708,Materials!$A$5:$A$254,0)),DefaultWaste)))</f>
        <v>0</v>
      </c>
      <c r="K708" s="36">
        <f>IF(C708="","",IF(F708="","",ROUND(F708*(1+J708),4)))</f>
        <v>0</v>
      </c>
      <c r="L708" s="45">
        <f>IF(C708="","",IFERROR(INDEX(Materials!$S$5:$S$254,MATCH(C708,Materials!$A$5:$A$254,0)),""))</f>
        <v>0</v>
      </c>
      <c r="M708" s="45">
        <f>IF(C708="","",IF(OR(K708="",L708=""),"",ROUND(K708*L708,4)))</f>
        <v>0</v>
      </c>
      <c r="N708" s="20">
        <f>IF(A708="","",ROUND(SUMIFS('Material Usage'!$M$5:$M$904,'Material Usage'!$A$5:$A$904,A708),2))</f>
        <v>0</v>
      </c>
      <c r="O708" s="33">
        <f>IF(A708="","",IF(OR(M708="",N708="",N708=0),"",M708/N708))</f>
        <v>0</v>
      </c>
      <c r="P708" s="32">
        <f>IF(A708="","",COUNTIFS($A$5:A708,A708))</f>
        <v>0</v>
      </c>
      <c r="Q708" s="13">
        <f>IF(A708="","",A708&amp;"|"&amp;P708)</f>
        <v>0</v>
      </c>
      <c r="R708" s="43">
        <f>IF(AND(A708="",C708=""),"",IF(A708="","Add - which product?",IF(C708="","Add - which material?",IF(B708="Not found","Check - no such product ID",IF(D708="Add to Materials","Check - no such material ID",IF(OR(F708="",F708=0),"Add - how much?",IF(L708="","Check - that material has no price","OK")))))))</f>
        <v>0</v>
      </c>
    </row>
    <row r="709" spans="2:18">
      <c r="B709" s="13">
        <f>IF(A709="","",IFERROR(INDEX(Products!$B$5:$B$304,MATCH(A709,Products!$A$5:$A$304,0)),"Not found"))</f>
        <v>0</v>
      </c>
      <c r="D709" s="13">
        <f>IF(C709="","",IFERROR(INDEX(Materials!$B$5:$B$254,MATCH(C709,Materials!$A$5:$A$254,0)),"Add to Materials"))</f>
        <v>0</v>
      </c>
      <c r="E709" s="13">
        <f>IF(C709="","",IFERROR(INDEX(Materials!$H$5:$H$254,MATCH(C709,Materials!$A$5:$A$254,0)),"Add to Materials"))</f>
        <v>0</v>
      </c>
      <c r="J709" s="33">
        <f>IF(C709="","",IF(G709&lt;&gt;"",G709,IFERROR(INDEX(Materials!$W$5:$W$254,MATCH(C709,Materials!$A$5:$A$254,0)),DefaultWaste)))</f>
        <v>0</v>
      </c>
      <c r="K709" s="36">
        <f>IF(C709="","",IF(F709="","",ROUND(F709*(1+J709),4)))</f>
        <v>0</v>
      </c>
      <c r="L709" s="45">
        <f>IF(C709="","",IFERROR(INDEX(Materials!$S$5:$S$254,MATCH(C709,Materials!$A$5:$A$254,0)),""))</f>
        <v>0</v>
      </c>
      <c r="M709" s="45">
        <f>IF(C709="","",IF(OR(K709="",L709=""),"",ROUND(K709*L709,4)))</f>
        <v>0</v>
      </c>
      <c r="N709" s="20">
        <f>IF(A709="","",ROUND(SUMIFS('Material Usage'!$M$5:$M$904,'Material Usage'!$A$5:$A$904,A709),2))</f>
        <v>0</v>
      </c>
      <c r="O709" s="33">
        <f>IF(A709="","",IF(OR(M709="",N709="",N709=0),"",M709/N709))</f>
        <v>0</v>
      </c>
      <c r="P709" s="32">
        <f>IF(A709="","",COUNTIFS($A$5:A709,A709))</f>
        <v>0</v>
      </c>
      <c r="Q709" s="13">
        <f>IF(A709="","",A709&amp;"|"&amp;P709)</f>
        <v>0</v>
      </c>
      <c r="R709" s="43">
        <f>IF(AND(A709="",C709=""),"",IF(A709="","Add - which product?",IF(C709="","Add - which material?",IF(B709="Not found","Check - no such product ID",IF(D709="Add to Materials","Check - no such material ID",IF(OR(F709="",F709=0),"Add - how much?",IF(L709="","Check - that material has no price","OK")))))))</f>
        <v>0</v>
      </c>
    </row>
    <row r="710" spans="2:18">
      <c r="B710" s="13">
        <f>IF(A710="","",IFERROR(INDEX(Products!$B$5:$B$304,MATCH(A710,Products!$A$5:$A$304,0)),"Not found"))</f>
        <v>0</v>
      </c>
      <c r="D710" s="13">
        <f>IF(C710="","",IFERROR(INDEX(Materials!$B$5:$B$254,MATCH(C710,Materials!$A$5:$A$254,0)),"Add to Materials"))</f>
        <v>0</v>
      </c>
      <c r="E710" s="13">
        <f>IF(C710="","",IFERROR(INDEX(Materials!$H$5:$H$254,MATCH(C710,Materials!$A$5:$A$254,0)),"Add to Materials"))</f>
        <v>0</v>
      </c>
      <c r="J710" s="33">
        <f>IF(C710="","",IF(G710&lt;&gt;"",G710,IFERROR(INDEX(Materials!$W$5:$W$254,MATCH(C710,Materials!$A$5:$A$254,0)),DefaultWaste)))</f>
        <v>0</v>
      </c>
      <c r="K710" s="36">
        <f>IF(C710="","",IF(F710="","",ROUND(F710*(1+J710),4)))</f>
        <v>0</v>
      </c>
      <c r="L710" s="45">
        <f>IF(C710="","",IFERROR(INDEX(Materials!$S$5:$S$254,MATCH(C710,Materials!$A$5:$A$254,0)),""))</f>
        <v>0</v>
      </c>
      <c r="M710" s="45">
        <f>IF(C710="","",IF(OR(K710="",L710=""),"",ROUND(K710*L710,4)))</f>
        <v>0</v>
      </c>
      <c r="N710" s="20">
        <f>IF(A710="","",ROUND(SUMIFS('Material Usage'!$M$5:$M$904,'Material Usage'!$A$5:$A$904,A710),2))</f>
        <v>0</v>
      </c>
      <c r="O710" s="33">
        <f>IF(A710="","",IF(OR(M710="",N710="",N710=0),"",M710/N710))</f>
        <v>0</v>
      </c>
      <c r="P710" s="32">
        <f>IF(A710="","",COUNTIFS($A$5:A710,A710))</f>
        <v>0</v>
      </c>
      <c r="Q710" s="13">
        <f>IF(A710="","",A710&amp;"|"&amp;P710)</f>
        <v>0</v>
      </c>
      <c r="R710" s="43">
        <f>IF(AND(A710="",C710=""),"",IF(A710="","Add - which product?",IF(C710="","Add - which material?",IF(B710="Not found","Check - no such product ID",IF(D710="Add to Materials","Check - no such material ID",IF(OR(F710="",F710=0),"Add - how much?",IF(L710="","Check - that material has no price","OK")))))))</f>
        <v>0</v>
      </c>
    </row>
    <row r="711" spans="2:18">
      <c r="B711" s="13">
        <f>IF(A711="","",IFERROR(INDEX(Products!$B$5:$B$304,MATCH(A711,Products!$A$5:$A$304,0)),"Not found"))</f>
        <v>0</v>
      </c>
      <c r="D711" s="13">
        <f>IF(C711="","",IFERROR(INDEX(Materials!$B$5:$B$254,MATCH(C711,Materials!$A$5:$A$254,0)),"Add to Materials"))</f>
        <v>0</v>
      </c>
      <c r="E711" s="13">
        <f>IF(C711="","",IFERROR(INDEX(Materials!$H$5:$H$254,MATCH(C711,Materials!$A$5:$A$254,0)),"Add to Materials"))</f>
        <v>0</v>
      </c>
      <c r="J711" s="33">
        <f>IF(C711="","",IF(G711&lt;&gt;"",G711,IFERROR(INDEX(Materials!$W$5:$W$254,MATCH(C711,Materials!$A$5:$A$254,0)),DefaultWaste)))</f>
        <v>0</v>
      </c>
      <c r="K711" s="36">
        <f>IF(C711="","",IF(F711="","",ROUND(F711*(1+J711),4)))</f>
        <v>0</v>
      </c>
      <c r="L711" s="45">
        <f>IF(C711="","",IFERROR(INDEX(Materials!$S$5:$S$254,MATCH(C711,Materials!$A$5:$A$254,0)),""))</f>
        <v>0</v>
      </c>
      <c r="M711" s="45">
        <f>IF(C711="","",IF(OR(K711="",L711=""),"",ROUND(K711*L711,4)))</f>
        <v>0</v>
      </c>
      <c r="N711" s="20">
        <f>IF(A711="","",ROUND(SUMIFS('Material Usage'!$M$5:$M$904,'Material Usage'!$A$5:$A$904,A711),2))</f>
        <v>0</v>
      </c>
      <c r="O711" s="33">
        <f>IF(A711="","",IF(OR(M711="",N711="",N711=0),"",M711/N711))</f>
        <v>0</v>
      </c>
      <c r="P711" s="32">
        <f>IF(A711="","",COUNTIFS($A$5:A711,A711))</f>
        <v>0</v>
      </c>
      <c r="Q711" s="13">
        <f>IF(A711="","",A711&amp;"|"&amp;P711)</f>
        <v>0</v>
      </c>
      <c r="R711" s="43">
        <f>IF(AND(A711="",C711=""),"",IF(A711="","Add - which product?",IF(C711="","Add - which material?",IF(B711="Not found","Check - no such product ID",IF(D711="Add to Materials","Check - no such material ID",IF(OR(F711="",F711=0),"Add - how much?",IF(L711="","Check - that material has no price","OK")))))))</f>
        <v>0</v>
      </c>
    </row>
    <row r="712" spans="2:18">
      <c r="B712" s="13">
        <f>IF(A712="","",IFERROR(INDEX(Products!$B$5:$B$304,MATCH(A712,Products!$A$5:$A$304,0)),"Not found"))</f>
        <v>0</v>
      </c>
      <c r="D712" s="13">
        <f>IF(C712="","",IFERROR(INDEX(Materials!$B$5:$B$254,MATCH(C712,Materials!$A$5:$A$254,0)),"Add to Materials"))</f>
        <v>0</v>
      </c>
      <c r="E712" s="13">
        <f>IF(C712="","",IFERROR(INDEX(Materials!$H$5:$H$254,MATCH(C712,Materials!$A$5:$A$254,0)),"Add to Materials"))</f>
        <v>0</v>
      </c>
      <c r="J712" s="33">
        <f>IF(C712="","",IF(G712&lt;&gt;"",G712,IFERROR(INDEX(Materials!$W$5:$W$254,MATCH(C712,Materials!$A$5:$A$254,0)),DefaultWaste)))</f>
        <v>0</v>
      </c>
      <c r="K712" s="36">
        <f>IF(C712="","",IF(F712="","",ROUND(F712*(1+J712),4)))</f>
        <v>0</v>
      </c>
      <c r="L712" s="45">
        <f>IF(C712="","",IFERROR(INDEX(Materials!$S$5:$S$254,MATCH(C712,Materials!$A$5:$A$254,0)),""))</f>
        <v>0</v>
      </c>
      <c r="M712" s="45">
        <f>IF(C712="","",IF(OR(K712="",L712=""),"",ROUND(K712*L712,4)))</f>
        <v>0</v>
      </c>
      <c r="N712" s="20">
        <f>IF(A712="","",ROUND(SUMIFS('Material Usage'!$M$5:$M$904,'Material Usage'!$A$5:$A$904,A712),2))</f>
        <v>0</v>
      </c>
      <c r="O712" s="33">
        <f>IF(A712="","",IF(OR(M712="",N712="",N712=0),"",M712/N712))</f>
        <v>0</v>
      </c>
      <c r="P712" s="32">
        <f>IF(A712="","",COUNTIFS($A$5:A712,A712))</f>
        <v>0</v>
      </c>
      <c r="Q712" s="13">
        <f>IF(A712="","",A712&amp;"|"&amp;P712)</f>
        <v>0</v>
      </c>
      <c r="R712" s="43">
        <f>IF(AND(A712="",C712=""),"",IF(A712="","Add - which product?",IF(C712="","Add - which material?",IF(B712="Not found","Check - no such product ID",IF(D712="Add to Materials","Check - no such material ID",IF(OR(F712="",F712=0),"Add - how much?",IF(L712="","Check - that material has no price","OK")))))))</f>
        <v>0</v>
      </c>
    </row>
    <row r="713" spans="2:18">
      <c r="B713" s="13">
        <f>IF(A713="","",IFERROR(INDEX(Products!$B$5:$B$304,MATCH(A713,Products!$A$5:$A$304,0)),"Not found"))</f>
        <v>0</v>
      </c>
      <c r="D713" s="13">
        <f>IF(C713="","",IFERROR(INDEX(Materials!$B$5:$B$254,MATCH(C713,Materials!$A$5:$A$254,0)),"Add to Materials"))</f>
        <v>0</v>
      </c>
      <c r="E713" s="13">
        <f>IF(C713="","",IFERROR(INDEX(Materials!$H$5:$H$254,MATCH(C713,Materials!$A$5:$A$254,0)),"Add to Materials"))</f>
        <v>0</v>
      </c>
      <c r="J713" s="33">
        <f>IF(C713="","",IF(G713&lt;&gt;"",G713,IFERROR(INDEX(Materials!$W$5:$W$254,MATCH(C713,Materials!$A$5:$A$254,0)),DefaultWaste)))</f>
        <v>0</v>
      </c>
      <c r="K713" s="36">
        <f>IF(C713="","",IF(F713="","",ROUND(F713*(1+J713),4)))</f>
        <v>0</v>
      </c>
      <c r="L713" s="45">
        <f>IF(C713="","",IFERROR(INDEX(Materials!$S$5:$S$254,MATCH(C713,Materials!$A$5:$A$254,0)),""))</f>
        <v>0</v>
      </c>
      <c r="M713" s="45">
        <f>IF(C713="","",IF(OR(K713="",L713=""),"",ROUND(K713*L713,4)))</f>
        <v>0</v>
      </c>
      <c r="N713" s="20">
        <f>IF(A713="","",ROUND(SUMIFS('Material Usage'!$M$5:$M$904,'Material Usage'!$A$5:$A$904,A713),2))</f>
        <v>0</v>
      </c>
      <c r="O713" s="33">
        <f>IF(A713="","",IF(OR(M713="",N713="",N713=0),"",M713/N713))</f>
        <v>0</v>
      </c>
      <c r="P713" s="32">
        <f>IF(A713="","",COUNTIFS($A$5:A713,A713))</f>
        <v>0</v>
      </c>
      <c r="Q713" s="13">
        <f>IF(A713="","",A713&amp;"|"&amp;P713)</f>
        <v>0</v>
      </c>
      <c r="R713" s="43">
        <f>IF(AND(A713="",C713=""),"",IF(A713="","Add - which product?",IF(C713="","Add - which material?",IF(B713="Not found","Check - no such product ID",IF(D713="Add to Materials","Check - no such material ID",IF(OR(F713="",F713=0),"Add - how much?",IF(L713="","Check - that material has no price","OK")))))))</f>
        <v>0</v>
      </c>
    </row>
    <row r="714" spans="2:18">
      <c r="B714" s="13">
        <f>IF(A714="","",IFERROR(INDEX(Products!$B$5:$B$304,MATCH(A714,Products!$A$5:$A$304,0)),"Not found"))</f>
        <v>0</v>
      </c>
      <c r="D714" s="13">
        <f>IF(C714="","",IFERROR(INDEX(Materials!$B$5:$B$254,MATCH(C714,Materials!$A$5:$A$254,0)),"Add to Materials"))</f>
        <v>0</v>
      </c>
      <c r="E714" s="13">
        <f>IF(C714="","",IFERROR(INDEX(Materials!$H$5:$H$254,MATCH(C714,Materials!$A$5:$A$254,0)),"Add to Materials"))</f>
        <v>0</v>
      </c>
      <c r="J714" s="33">
        <f>IF(C714="","",IF(G714&lt;&gt;"",G714,IFERROR(INDEX(Materials!$W$5:$W$254,MATCH(C714,Materials!$A$5:$A$254,0)),DefaultWaste)))</f>
        <v>0</v>
      </c>
      <c r="K714" s="36">
        <f>IF(C714="","",IF(F714="","",ROUND(F714*(1+J714),4)))</f>
        <v>0</v>
      </c>
      <c r="L714" s="45">
        <f>IF(C714="","",IFERROR(INDEX(Materials!$S$5:$S$254,MATCH(C714,Materials!$A$5:$A$254,0)),""))</f>
        <v>0</v>
      </c>
      <c r="M714" s="45">
        <f>IF(C714="","",IF(OR(K714="",L714=""),"",ROUND(K714*L714,4)))</f>
        <v>0</v>
      </c>
      <c r="N714" s="20">
        <f>IF(A714="","",ROUND(SUMIFS('Material Usage'!$M$5:$M$904,'Material Usage'!$A$5:$A$904,A714),2))</f>
        <v>0</v>
      </c>
      <c r="O714" s="33">
        <f>IF(A714="","",IF(OR(M714="",N714="",N714=0),"",M714/N714))</f>
        <v>0</v>
      </c>
      <c r="P714" s="32">
        <f>IF(A714="","",COUNTIFS($A$5:A714,A714))</f>
        <v>0</v>
      </c>
      <c r="Q714" s="13">
        <f>IF(A714="","",A714&amp;"|"&amp;P714)</f>
        <v>0</v>
      </c>
      <c r="R714" s="43">
        <f>IF(AND(A714="",C714=""),"",IF(A714="","Add - which product?",IF(C714="","Add - which material?",IF(B714="Not found","Check - no such product ID",IF(D714="Add to Materials","Check - no such material ID",IF(OR(F714="",F714=0),"Add - how much?",IF(L714="","Check - that material has no price","OK")))))))</f>
        <v>0</v>
      </c>
    </row>
    <row r="715" spans="2:18">
      <c r="B715" s="13">
        <f>IF(A715="","",IFERROR(INDEX(Products!$B$5:$B$304,MATCH(A715,Products!$A$5:$A$304,0)),"Not found"))</f>
        <v>0</v>
      </c>
      <c r="D715" s="13">
        <f>IF(C715="","",IFERROR(INDEX(Materials!$B$5:$B$254,MATCH(C715,Materials!$A$5:$A$254,0)),"Add to Materials"))</f>
        <v>0</v>
      </c>
      <c r="E715" s="13">
        <f>IF(C715="","",IFERROR(INDEX(Materials!$H$5:$H$254,MATCH(C715,Materials!$A$5:$A$254,0)),"Add to Materials"))</f>
        <v>0</v>
      </c>
      <c r="J715" s="33">
        <f>IF(C715="","",IF(G715&lt;&gt;"",G715,IFERROR(INDEX(Materials!$W$5:$W$254,MATCH(C715,Materials!$A$5:$A$254,0)),DefaultWaste)))</f>
        <v>0</v>
      </c>
      <c r="K715" s="36">
        <f>IF(C715="","",IF(F715="","",ROUND(F715*(1+J715),4)))</f>
        <v>0</v>
      </c>
      <c r="L715" s="45">
        <f>IF(C715="","",IFERROR(INDEX(Materials!$S$5:$S$254,MATCH(C715,Materials!$A$5:$A$254,0)),""))</f>
        <v>0</v>
      </c>
      <c r="M715" s="45">
        <f>IF(C715="","",IF(OR(K715="",L715=""),"",ROUND(K715*L715,4)))</f>
        <v>0</v>
      </c>
      <c r="N715" s="20">
        <f>IF(A715="","",ROUND(SUMIFS('Material Usage'!$M$5:$M$904,'Material Usage'!$A$5:$A$904,A715),2))</f>
        <v>0</v>
      </c>
      <c r="O715" s="33">
        <f>IF(A715="","",IF(OR(M715="",N715="",N715=0),"",M715/N715))</f>
        <v>0</v>
      </c>
      <c r="P715" s="32">
        <f>IF(A715="","",COUNTIFS($A$5:A715,A715))</f>
        <v>0</v>
      </c>
      <c r="Q715" s="13">
        <f>IF(A715="","",A715&amp;"|"&amp;P715)</f>
        <v>0</v>
      </c>
      <c r="R715" s="43">
        <f>IF(AND(A715="",C715=""),"",IF(A715="","Add - which product?",IF(C715="","Add - which material?",IF(B715="Not found","Check - no such product ID",IF(D715="Add to Materials","Check - no such material ID",IF(OR(F715="",F715=0),"Add - how much?",IF(L715="","Check - that material has no price","OK")))))))</f>
        <v>0</v>
      </c>
    </row>
    <row r="716" spans="2:18">
      <c r="B716" s="13">
        <f>IF(A716="","",IFERROR(INDEX(Products!$B$5:$B$304,MATCH(A716,Products!$A$5:$A$304,0)),"Not found"))</f>
        <v>0</v>
      </c>
      <c r="D716" s="13">
        <f>IF(C716="","",IFERROR(INDEX(Materials!$B$5:$B$254,MATCH(C716,Materials!$A$5:$A$254,0)),"Add to Materials"))</f>
        <v>0</v>
      </c>
      <c r="E716" s="13">
        <f>IF(C716="","",IFERROR(INDEX(Materials!$H$5:$H$254,MATCH(C716,Materials!$A$5:$A$254,0)),"Add to Materials"))</f>
        <v>0</v>
      </c>
      <c r="J716" s="33">
        <f>IF(C716="","",IF(G716&lt;&gt;"",G716,IFERROR(INDEX(Materials!$W$5:$W$254,MATCH(C716,Materials!$A$5:$A$254,0)),DefaultWaste)))</f>
        <v>0</v>
      </c>
      <c r="K716" s="36">
        <f>IF(C716="","",IF(F716="","",ROUND(F716*(1+J716),4)))</f>
        <v>0</v>
      </c>
      <c r="L716" s="45">
        <f>IF(C716="","",IFERROR(INDEX(Materials!$S$5:$S$254,MATCH(C716,Materials!$A$5:$A$254,0)),""))</f>
        <v>0</v>
      </c>
      <c r="M716" s="45">
        <f>IF(C716="","",IF(OR(K716="",L716=""),"",ROUND(K716*L716,4)))</f>
        <v>0</v>
      </c>
      <c r="N716" s="20">
        <f>IF(A716="","",ROUND(SUMIFS('Material Usage'!$M$5:$M$904,'Material Usage'!$A$5:$A$904,A716),2))</f>
        <v>0</v>
      </c>
      <c r="O716" s="33">
        <f>IF(A716="","",IF(OR(M716="",N716="",N716=0),"",M716/N716))</f>
        <v>0</v>
      </c>
      <c r="P716" s="32">
        <f>IF(A716="","",COUNTIFS($A$5:A716,A716))</f>
        <v>0</v>
      </c>
      <c r="Q716" s="13">
        <f>IF(A716="","",A716&amp;"|"&amp;P716)</f>
        <v>0</v>
      </c>
      <c r="R716" s="43">
        <f>IF(AND(A716="",C716=""),"",IF(A716="","Add - which product?",IF(C716="","Add - which material?",IF(B716="Not found","Check - no such product ID",IF(D716="Add to Materials","Check - no such material ID",IF(OR(F716="",F716=0),"Add - how much?",IF(L716="","Check - that material has no price","OK")))))))</f>
        <v>0</v>
      </c>
    </row>
    <row r="717" spans="2:18">
      <c r="B717" s="13">
        <f>IF(A717="","",IFERROR(INDEX(Products!$B$5:$B$304,MATCH(A717,Products!$A$5:$A$304,0)),"Not found"))</f>
        <v>0</v>
      </c>
      <c r="D717" s="13">
        <f>IF(C717="","",IFERROR(INDEX(Materials!$B$5:$B$254,MATCH(C717,Materials!$A$5:$A$254,0)),"Add to Materials"))</f>
        <v>0</v>
      </c>
      <c r="E717" s="13">
        <f>IF(C717="","",IFERROR(INDEX(Materials!$H$5:$H$254,MATCH(C717,Materials!$A$5:$A$254,0)),"Add to Materials"))</f>
        <v>0</v>
      </c>
      <c r="J717" s="33">
        <f>IF(C717="","",IF(G717&lt;&gt;"",G717,IFERROR(INDEX(Materials!$W$5:$W$254,MATCH(C717,Materials!$A$5:$A$254,0)),DefaultWaste)))</f>
        <v>0</v>
      </c>
      <c r="K717" s="36">
        <f>IF(C717="","",IF(F717="","",ROUND(F717*(1+J717),4)))</f>
        <v>0</v>
      </c>
      <c r="L717" s="45">
        <f>IF(C717="","",IFERROR(INDEX(Materials!$S$5:$S$254,MATCH(C717,Materials!$A$5:$A$254,0)),""))</f>
        <v>0</v>
      </c>
      <c r="M717" s="45">
        <f>IF(C717="","",IF(OR(K717="",L717=""),"",ROUND(K717*L717,4)))</f>
        <v>0</v>
      </c>
      <c r="N717" s="20">
        <f>IF(A717="","",ROUND(SUMIFS('Material Usage'!$M$5:$M$904,'Material Usage'!$A$5:$A$904,A717),2))</f>
        <v>0</v>
      </c>
      <c r="O717" s="33">
        <f>IF(A717="","",IF(OR(M717="",N717="",N717=0),"",M717/N717))</f>
        <v>0</v>
      </c>
      <c r="P717" s="32">
        <f>IF(A717="","",COUNTIFS($A$5:A717,A717))</f>
        <v>0</v>
      </c>
      <c r="Q717" s="13">
        <f>IF(A717="","",A717&amp;"|"&amp;P717)</f>
        <v>0</v>
      </c>
      <c r="R717" s="43">
        <f>IF(AND(A717="",C717=""),"",IF(A717="","Add - which product?",IF(C717="","Add - which material?",IF(B717="Not found","Check - no such product ID",IF(D717="Add to Materials","Check - no such material ID",IF(OR(F717="",F717=0),"Add - how much?",IF(L717="","Check - that material has no price","OK")))))))</f>
        <v>0</v>
      </c>
    </row>
    <row r="718" spans="2:18">
      <c r="B718" s="13">
        <f>IF(A718="","",IFERROR(INDEX(Products!$B$5:$B$304,MATCH(A718,Products!$A$5:$A$304,0)),"Not found"))</f>
        <v>0</v>
      </c>
      <c r="D718" s="13">
        <f>IF(C718="","",IFERROR(INDEX(Materials!$B$5:$B$254,MATCH(C718,Materials!$A$5:$A$254,0)),"Add to Materials"))</f>
        <v>0</v>
      </c>
      <c r="E718" s="13">
        <f>IF(C718="","",IFERROR(INDEX(Materials!$H$5:$H$254,MATCH(C718,Materials!$A$5:$A$254,0)),"Add to Materials"))</f>
        <v>0</v>
      </c>
      <c r="J718" s="33">
        <f>IF(C718="","",IF(G718&lt;&gt;"",G718,IFERROR(INDEX(Materials!$W$5:$W$254,MATCH(C718,Materials!$A$5:$A$254,0)),DefaultWaste)))</f>
        <v>0</v>
      </c>
      <c r="K718" s="36">
        <f>IF(C718="","",IF(F718="","",ROUND(F718*(1+J718),4)))</f>
        <v>0</v>
      </c>
      <c r="L718" s="45">
        <f>IF(C718="","",IFERROR(INDEX(Materials!$S$5:$S$254,MATCH(C718,Materials!$A$5:$A$254,0)),""))</f>
        <v>0</v>
      </c>
      <c r="M718" s="45">
        <f>IF(C718="","",IF(OR(K718="",L718=""),"",ROUND(K718*L718,4)))</f>
        <v>0</v>
      </c>
      <c r="N718" s="20">
        <f>IF(A718="","",ROUND(SUMIFS('Material Usage'!$M$5:$M$904,'Material Usage'!$A$5:$A$904,A718),2))</f>
        <v>0</v>
      </c>
      <c r="O718" s="33">
        <f>IF(A718="","",IF(OR(M718="",N718="",N718=0),"",M718/N718))</f>
        <v>0</v>
      </c>
      <c r="P718" s="32">
        <f>IF(A718="","",COUNTIFS($A$5:A718,A718))</f>
        <v>0</v>
      </c>
      <c r="Q718" s="13">
        <f>IF(A718="","",A718&amp;"|"&amp;P718)</f>
        <v>0</v>
      </c>
      <c r="R718" s="43">
        <f>IF(AND(A718="",C718=""),"",IF(A718="","Add - which product?",IF(C718="","Add - which material?",IF(B718="Not found","Check - no such product ID",IF(D718="Add to Materials","Check - no such material ID",IF(OR(F718="",F718=0),"Add - how much?",IF(L718="","Check - that material has no price","OK")))))))</f>
        <v>0</v>
      </c>
    </row>
    <row r="719" spans="2:18">
      <c r="B719" s="13">
        <f>IF(A719="","",IFERROR(INDEX(Products!$B$5:$B$304,MATCH(A719,Products!$A$5:$A$304,0)),"Not found"))</f>
        <v>0</v>
      </c>
      <c r="D719" s="13">
        <f>IF(C719="","",IFERROR(INDEX(Materials!$B$5:$B$254,MATCH(C719,Materials!$A$5:$A$254,0)),"Add to Materials"))</f>
        <v>0</v>
      </c>
      <c r="E719" s="13">
        <f>IF(C719="","",IFERROR(INDEX(Materials!$H$5:$H$254,MATCH(C719,Materials!$A$5:$A$254,0)),"Add to Materials"))</f>
        <v>0</v>
      </c>
      <c r="J719" s="33">
        <f>IF(C719="","",IF(G719&lt;&gt;"",G719,IFERROR(INDEX(Materials!$W$5:$W$254,MATCH(C719,Materials!$A$5:$A$254,0)),DefaultWaste)))</f>
        <v>0</v>
      </c>
      <c r="K719" s="36">
        <f>IF(C719="","",IF(F719="","",ROUND(F719*(1+J719),4)))</f>
        <v>0</v>
      </c>
      <c r="L719" s="45">
        <f>IF(C719="","",IFERROR(INDEX(Materials!$S$5:$S$254,MATCH(C719,Materials!$A$5:$A$254,0)),""))</f>
        <v>0</v>
      </c>
      <c r="M719" s="45">
        <f>IF(C719="","",IF(OR(K719="",L719=""),"",ROUND(K719*L719,4)))</f>
        <v>0</v>
      </c>
      <c r="N719" s="20">
        <f>IF(A719="","",ROUND(SUMIFS('Material Usage'!$M$5:$M$904,'Material Usage'!$A$5:$A$904,A719),2))</f>
        <v>0</v>
      </c>
      <c r="O719" s="33">
        <f>IF(A719="","",IF(OR(M719="",N719="",N719=0),"",M719/N719))</f>
        <v>0</v>
      </c>
      <c r="P719" s="32">
        <f>IF(A719="","",COUNTIFS($A$5:A719,A719))</f>
        <v>0</v>
      </c>
      <c r="Q719" s="13">
        <f>IF(A719="","",A719&amp;"|"&amp;P719)</f>
        <v>0</v>
      </c>
      <c r="R719" s="43">
        <f>IF(AND(A719="",C719=""),"",IF(A719="","Add - which product?",IF(C719="","Add - which material?",IF(B719="Not found","Check - no such product ID",IF(D719="Add to Materials","Check - no such material ID",IF(OR(F719="",F719=0),"Add - how much?",IF(L719="","Check - that material has no price","OK")))))))</f>
        <v>0</v>
      </c>
    </row>
    <row r="720" spans="2:18">
      <c r="B720" s="13">
        <f>IF(A720="","",IFERROR(INDEX(Products!$B$5:$B$304,MATCH(A720,Products!$A$5:$A$304,0)),"Not found"))</f>
        <v>0</v>
      </c>
      <c r="D720" s="13">
        <f>IF(C720="","",IFERROR(INDEX(Materials!$B$5:$B$254,MATCH(C720,Materials!$A$5:$A$254,0)),"Add to Materials"))</f>
        <v>0</v>
      </c>
      <c r="E720" s="13">
        <f>IF(C720="","",IFERROR(INDEX(Materials!$H$5:$H$254,MATCH(C720,Materials!$A$5:$A$254,0)),"Add to Materials"))</f>
        <v>0</v>
      </c>
      <c r="J720" s="33">
        <f>IF(C720="","",IF(G720&lt;&gt;"",G720,IFERROR(INDEX(Materials!$W$5:$W$254,MATCH(C720,Materials!$A$5:$A$254,0)),DefaultWaste)))</f>
        <v>0</v>
      </c>
      <c r="K720" s="36">
        <f>IF(C720="","",IF(F720="","",ROUND(F720*(1+J720),4)))</f>
        <v>0</v>
      </c>
      <c r="L720" s="45">
        <f>IF(C720="","",IFERROR(INDEX(Materials!$S$5:$S$254,MATCH(C720,Materials!$A$5:$A$254,0)),""))</f>
        <v>0</v>
      </c>
      <c r="M720" s="45">
        <f>IF(C720="","",IF(OR(K720="",L720=""),"",ROUND(K720*L720,4)))</f>
        <v>0</v>
      </c>
      <c r="N720" s="20">
        <f>IF(A720="","",ROUND(SUMIFS('Material Usage'!$M$5:$M$904,'Material Usage'!$A$5:$A$904,A720),2))</f>
        <v>0</v>
      </c>
      <c r="O720" s="33">
        <f>IF(A720="","",IF(OR(M720="",N720="",N720=0),"",M720/N720))</f>
        <v>0</v>
      </c>
      <c r="P720" s="32">
        <f>IF(A720="","",COUNTIFS($A$5:A720,A720))</f>
        <v>0</v>
      </c>
      <c r="Q720" s="13">
        <f>IF(A720="","",A720&amp;"|"&amp;P720)</f>
        <v>0</v>
      </c>
      <c r="R720" s="43">
        <f>IF(AND(A720="",C720=""),"",IF(A720="","Add - which product?",IF(C720="","Add - which material?",IF(B720="Not found","Check - no such product ID",IF(D720="Add to Materials","Check - no such material ID",IF(OR(F720="",F720=0),"Add - how much?",IF(L720="","Check - that material has no price","OK")))))))</f>
        <v>0</v>
      </c>
    </row>
    <row r="721" spans="2:18">
      <c r="B721" s="13">
        <f>IF(A721="","",IFERROR(INDEX(Products!$B$5:$B$304,MATCH(A721,Products!$A$5:$A$304,0)),"Not found"))</f>
        <v>0</v>
      </c>
      <c r="D721" s="13">
        <f>IF(C721="","",IFERROR(INDEX(Materials!$B$5:$B$254,MATCH(C721,Materials!$A$5:$A$254,0)),"Add to Materials"))</f>
        <v>0</v>
      </c>
      <c r="E721" s="13">
        <f>IF(C721="","",IFERROR(INDEX(Materials!$H$5:$H$254,MATCH(C721,Materials!$A$5:$A$254,0)),"Add to Materials"))</f>
        <v>0</v>
      </c>
      <c r="J721" s="33">
        <f>IF(C721="","",IF(G721&lt;&gt;"",G721,IFERROR(INDEX(Materials!$W$5:$W$254,MATCH(C721,Materials!$A$5:$A$254,0)),DefaultWaste)))</f>
        <v>0</v>
      </c>
      <c r="K721" s="36">
        <f>IF(C721="","",IF(F721="","",ROUND(F721*(1+J721),4)))</f>
        <v>0</v>
      </c>
      <c r="L721" s="45">
        <f>IF(C721="","",IFERROR(INDEX(Materials!$S$5:$S$254,MATCH(C721,Materials!$A$5:$A$254,0)),""))</f>
        <v>0</v>
      </c>
      <c r="M721" s="45">
        <f>IF(C721="","",IF(OR(K721="",L721=""),"",ROUND(K721*L721,4)))</f>
        <v>0</v>
      </c>
      <c r="N721" s="20">
        <f>IF(A721="","",ROUND(SUMIFS('Material Usage'!$M$5:$M$904,'Material Usage'!$A$5:$A$904,A721),2))</f>
        <v>0</v>
      </c>
      <c r="O721" s="33">
        <f>IF(A721="","",IF(OR(M721="",N721="",N721=0),"",M721/N721))</f>
        <v>0</v>
      </c>
      <c r="P721" s="32">
        <f>IF(A721="","",COUNTIFS($A$5:A721,A721))</f>
        <v>0</v>
      </c>
      <c r="Q721" s="13">
        <f>IF(A721="","",A721&amp;"|"&amp;P721)</f>
        <v>0</v>
      </c>
      <c r="R721" s="43">
        <f>IF(AND(A721="",C721=""),"",IF(A721="","Add - which product?",IF(C721="","Add - which material?",IF(B721="Not found","Check - no such product ID",IF(D721="Add to Materials","Check - no such material ID",IF(OR(F721="",F721=0),"Add - how much?",IF(L721="","Check - that material has no price","OK")))))))</f>
        <v>0</v>
      </c>
    </row>
    <row r="722" spans="2:18">
      <c r="B722" s="13">
        <f>IF(A722="","",IFERROR(INDEX(Products!$B$5:$B$304,MATCH(A722,Products!$A$5:$A$304,0)),"Not found"))</f>
        <v>0</v>
      </c>
      <c r="D722" s="13">
        <f>IF(C722="","",IFERROR(INDEX(Materials!$B$5:$B$254,MATCH(C722,Materials!$A$5:$A$254,0)),"Add to Materials"))</f>
        <v>0</v>
      </c>
      <c r="E722" s="13">
        <f>IF(C722="","",IFERROR(INDEX(Materials!$H$5:$H$254,MATCH(C722,Materials!$A$5:$A$254,0)),"Add to Materials"))</f>
        <v>0</v>
      </c>
      <c r="J722" s="33">
        <f>IF(C722="","",IF(G722&lt;&gt;"",G722,IFERROR(INDEX(Materials!$W$5:$W$254,MATCH(C722,Materials!$A$5:$A$254,0)),DefaultWaste)))</f>
        <v>0</v>
      </c>
      <c r="K722" s="36">
        <f>IF(C722="","",IF(F722="","",ROUND(F722*(1+J722),4)))</f>
        <v>0</v>
      </c>
      <c r="L722" s="45">
        <f>IF(C722="","",IFERROR(INDEX(Materials!$S$5:$S$254,MATCH(C722,Materials!$A$5:$A$254,0)),""))</f>
        <v>0</v>
      </c>
      <c r="M722" s="45">
        <f>IF(C722="","",IF(OR(K722="",L722=""),"",ROUND(K722*L722,4)))</f>
        <v>0</v>
      </c>
      <c r="N722" s="20">
        <f>IF(A722="","",ROUND(SUMIFS('Material Usage'!$M$5:$M$904,'Material Usage'!$A$5:$A$904,A722),2))</f>
        <v>0</v>
      </c>
      <c r="O722" s="33">
        <f>IF(A722="","",IF(OR(M722="",N722="",N722=0),"",M722/N722))</f>
        <v>0</v>
      </c>
      <c r="P722" s="32">
        <f>IF(A722="","",COUNTIFS($A$5:A722,A722))</f>
        <v>0</v>
      </c>
      <c r="Q722" s="13">
        <f>IF(A722="","",A722&amp;"|"&amp;P722)</f>
        <v>0</v>
      </c>
      <c r="R722" s="43">
        <f>IF(AND(A722="",C722=""),"",IF(A722="","Add - which product?",IF(C722="","Add - which material?",IF(B722="Not found","Check - no such product ID",IF(D722="Add to Materials","Check - no such material ID",IF(OR(F722="",F722=0),"Add - how much?",IF(L722="","Check - that material has no price","OK")))))))</f>
        <v>0</v>
      </c>
    </row>
    <row r="723" spans="2:18">
      <c r="B723" s="13">
        <f>IF(A723="","",IFERROR(INDEX(Products!$B$5:$B$304,MATCH(A723,Products!$A$5:$A$304,0)),"Not found"))</f>
        <v>0</v>
      </c>
      <c r="D723" s="13">
        <f>IF(C723="","",IFERROR(INDEX(Materials!$B$5:$B$254,MATCH(C723,Materials!$A$5:$A$254,0)),"Add to Materials"))</f>
        <v>0</v>
      </c>
      <c r="E723" s="13">
        <f>IF(C723="","",IFERROR(INDEX(Materials!$H$5:$H$254,MATCH(C723,Materials!$A$5:$A$254,0)),"Add to Materials"))</f>
        <v>0</v>
      </c>
      <c r="J723" s="33">
        <f>IF(C723="","",IF(G723&lt;&gt;"",G723,IFERROR(INDEX(Materials!$W$5:$W$254,MATCH(C723,Materials!$A$5:$A$254,0)),DefaultWaste)))</f>
        <v>0</v>
      </c>
      <c r="K723" s="36">
        <f>IF(C723="","",IF(F723="","",ROUND(F723*(1+J723),4)))</f>
        <v>0</v>
      </c>
      <c r="L723" s="45">
        <f>IF(C723="","",IFERROR(INDEX(Materials!$S$5:$S$254,MATCH(C723,Materials!$A$5:$A$254,0)),""))</f>
        <v>0</v>
      </c>
      <c r="M723" s="45">
        <f>IF(C723="","",IF(OR(K723="",L723=""),"",ROUND(K723*L723,4)))</f>
        <v>0</v>
      </c>
      <c r="N723" s="20">
        <f>IF(A723="","",ROUND(SUMIFS('Material Usage'!$M$5:$M$904,'Material Usage'!$A$5:$A$904,A723),2))</f>
        <v>0</v>
      </c>
      <c r="O723" s="33">
        <f>IF(A723="","",IF(OR(M723="",N723="",N723=0),"",M723/N723))</f>
        <v>0</v>
      </c>
      <c r="P723" s="32">
        <f>IF(A723="","",COUNTIFS($A$5:A723,A723))</f>
        <v>0</v>
      </c>
      <c r="Q723" s="13">
        <f>IF(A723="","",A723&amp;"|"&amp;P723)</f>
        <v>0</v>
      </c>
      <c r="R723" s="43">
        <f>IF(AND(A723="",C723=""),"",IF(A723="","Add - which product?",IF(C723="","Add - which material?",IF(B723="Not found","Check - no such product ID",IF(D723="Add to Materials","Check - no such material ID",IF(OR(F723="",F723=0),"Add - how much?",IF(L723="","Check - that material has no price","OK")))))))</f>
        <v>0</v>
      </c>
    </row>
    <row r="724" spans="2:18">
      <c r="B724" s="13">
        <f>IF(A724="","",IFERROR(INDEX(Products!$B$5:$B$304,MATCH(A724,Products!$A$5:$A$304,0)),"Not found"))</f>
        <v>0</v>
      </c>
      <c r="D724" s="13">
        <f>IF(C724="","",IFERROR(INDEX(Materials!$B$5:$B$254,MATCH(C724,Materials!$A$5:$A$254,0)),"Add to Materials"))</f>
        <v>0</v>
      </c>
      <c r="E724" s="13">
        <f>IF(C724="","",IFERROR(INDEX(Materials!$H$5:$H$254,MATCH(C724,Materials!$A$5:$A$254,0)),"Add to Materials"))</f>
        <v>0</v>
      </c>
      <c r="J724" s="33">
        <f>IF(C724="","",IF(G724&lt;&gt;"",G724,IFERROR(INDEX(Materials!$W$5:$W$254,MATCH(C724,Materials!$A$5:$A$254,0)),DefaultWaste)))</f>
        <v>0</v>
      </c>
      <c r="K724" s="36">
        <f>IF(C724="","",IF(F724="","",ROUND(F724*(1+J724),4)))</f>
        <v>0</v>
      </c>
      <c r="L724" s="45">
        <f>IF(C724="","",IFERROR(INDEX(Materials!$S$5:$S$254,MATCH(C724,Materials!$A$5:$A$254,0)),""))</f>
        <v>0</v>
      </c>
      <c r="M724" s="45">
        <f>IF(C724="","",IF(OR(K724="",L724=""),"",ROUND(K724*L724,4)))</f>
        <v>0</v>
      </c>
      <c r="N724" s="20">
        <f>IF(A724="","",ROUND(SUMIFS('Material Usage'!$M$5:$M$904,'Material Usage'!$A$5:$A$904,A724),2))</f>
        <v>0</v>
      </c>
      <c r="O724" s="33">
        <f>IF(A724="","",IF(OR(M724="",N724="",N724=0),"",M724/N724))</f>
        <v>0</v>
      </c>
      <c r="P724" s="32">
        <f>IF(A724="","",COUNTIFS($A$5:A724,A724))</f>
        <v>0</v>
      </c>
      <c r="Q724" s="13">
        <f>IF(A724="","",A724&amp;"|"&amp;P724)</f>
        <v>0</v>
      </c>
      <c r="R724" s="43">
        <f>IF(AND(A724="",C724=""),"",IF(A724="","Add - which product?",IF(C724="","Add - which material?",IF(B724="Not found","Check - no such product ID",IF(D724="Add to Materials","Check - no such material ID",IF(OR(F724="",F724=0),"Add - how much?",IF(L724="","Check - that material has no price","OK")))))))</f>
        <v>0</v>
      </c>
    </row>
    <row r="725" spans="2:18">
      <c r="B725" s="13">
        <f>IF(A725="","",IFERROR(INDEX(Products!$B$5:$B$304,MATCH(A725,Products!$A$5:$A$304,0)),"Not found"))</f>
        <v>0</v>
      </c>
      <c r="D725" s="13">
        <f>IF(C725="","",IFERROR(INDEX(Materials!$B$5:$B$254,MATCH(C725,Materials!$A$5:$A$254,0)),"Add to Materials"))</f>
        <v>0</v>
      </c>
      <c r="E725" s="13">
        <f>IF(C725="","",IFERROR(INDEX(Materials!$H$5:$H$254,MATCH(C725,Materials!$A$5:$A$254,0)),"Add to Materials"))</f>
        <v>0</v>
      </c>
      <c r="J725" s="33">
        <f>IF(C725="","",IF(G725&lt;&gt;"",G725,IFERROR(INDEX(Materials!$W$5:$W$254,MATCH(C725,Materials!$A$5:$A$254,0)),DefaultWaste)))</f>
        <v>0</v>
      </c>
      <c r="K725" s="36">
        <f>IF(C725="","",IF(F725="","",ROUND(F725*(1+J725),4)))</f>
        <v>0</v>
      </c>
      <c r="L725" s="45">
        <f>IF(C725="","",IFERROR(INDEX(Materials!$S$5:$S$254,MATCH(C725,Materials!$A$5:$A$254,0)),""))</f>
        <v>0</v>
      </c>
      <c r="M725" s="45">
        <f>IF(C725="","",IF(OR(K725="",L725=""),"",ROUND(K725*L725,4)))</f>
        <v>0</v>
      </c>
      <c r="N725" s="20">
        <f>IF(A725="","",ROUND(SUMIFS('Material Usage'!$M$5:$M$904,'Material Usage'!$A$5:$A$904,A725),2))</f>
        <v>0</v>
      </c>
      <c r="O725" s="33">
        <f>IF(A725="","",IF(OR(M725="",N725="",N725=0),"",M725/N725))</f>
        <v>0</v>
      </c>
      <c r="P725" s="32">
        <f>IF(A725="","",COUNTIFS($A$5:A725,A725))</f>
        <v>0</v>
      </c>
      <c r="Q725" s="13">
        <f>IF(A725="","",A725&amp;"|"&amp;P725)</f>
        <v>0</v>
      </c>
      <c r="R725" s="43">
        <f>IF(AND(A725="",C725=""),"",IF(A725="","Add - which product?",IF(C725="","Add - which material?",IF(B725="Not found","Check - no such product ID",IF(D725="Add to Materials","Check - no such material ID",IF(OR(F725="",F725=0),"Add - how much?",IF(L725="","Check - that material has no price","OK")))))))</f>
        <v>0</v>
      </c>
    </row>
    <row r="726" spans="2:18">
      <c r="B726" s="13">
        <f>IF(A726="","",IFERROR(INDEX(Products!$B$5:$B$304,MATCH(A726,Products!$A$5:$A$304,0)),"Not found"))</f>
        <v>0</v>
      </c>
      <c r="D726" s="13">
        <f>IF(C726="","",IFERROR(INDEX(Materials!$B$5:$B$254,MATCH(C726,Materials!$A$5:$A$254,0)),"Add to Materials"))</f>
        <v>0</v>
      </c>
      <c r="E726" s="13">
        <f>IF(C726="","",IFERROR(INDEX(Materials!$H$5:$H$254,MATCH(C726,Materials!$A$5:$A$254,0)),"Add to Materials"))</f>
        <v>0</v>
      </c>
      <c r="J726" s="33">
        <f>IF(C726="","",IF(G726&lt;&gt;"",G726,IFERROR(INDEX(Materials!$W$5:$W$254,MATCH(C726,Materials!$A$5:$A$254,0)),DefaultWaste)))</f>
        <v>0</v>
      </c>
      <c r="K726" s="36">
        <f>IF(C726="","",IF(F726="","",ROUND(F726*(1+J726),4)))</f>
        <v>0</v>
      </c>
      <c r="L726" s="45">
        <f>IF(C726="","",IFERROR(INDEX(Materials!$S$5:$S$254,MATCH(C726,Materials!$A$5:$A$254,0)),""))</f>
        <v>0</v>
      </c>
      <c r="M726" s="45">
        <f>IF(C726="","",IF(OR(K726="",L726=""),"",ROUND(K726*L726,4)))</f>
        <v>0</v>
      </c>
      <c r="N726" s="20">
        <f>IF(A726="","",ROUND(SUMIFS('Material Usage'!$M$5:$M$904,'Material Usage'!$A$5:$A$904,A726),2))</f>
        <v>0</v>
      </c>
      <c r="O726" s="33">
        <f>IF(A726="","",IF(OR(M726="",N726="",N726=0),"",M726/N726))</f>
        <v>0</v>
      </c>
      <c r="P726" s="32">
        <f>IF(A726="","",COUNTIFS($A$5:A726,A726))</f>
        <v>0</v>
      </c>
      <c r="Q726" s="13">
        <f>IF(A726="","",A726&amp;"|"&amp;P726)</f>
        <v>0</v>
      </c>
      <c r="R726" s="43">
        <f>IF(AND(A726="",C726=""),"",IF(A726="","Add - which product?",IF(C726="","Add - which material?",IF(B726="Not found","Check - no such product ID",IF(D726="Add to Materials","Check - no such material ID",IF(OR(F726="",F726=0),"Add - how much?",IF(L726="","Check - that material has no price","OK")))))))</f>
        <v>0</v>
      </c>
    </row>
    <row r="727" spans="2:18">
      <c r="B727" s="13">
        <f>IF(A727="","",IFERROR(INDEX(Products!$B$5:$B$304,MATCH(A727,Products!$A$5:$A$304,0)),"Not found"))</f>
        <v>0</v>
      </c>
      <c r="D727" s="13">
        <f>IF(C727="","",IFERROR(INDEX(Materials!$B$5:$B$254,MATCH(C727,Materials!$A$5:$A$254,0)),"Add to Materials"))</f>
        <v>0</v>
      </c>
      <c r="E727" s="13">
        <f>IF(C727="","",IFERROR(INDEX(Materials!$H$5:$H$254,MATCH(C727,Materials!$A$5:$A$254,0)),"Add to Materials"))</f>
        <v>0</v>
      </c>
      <c r="J727" s="33">
        <f>IF(C727="","",IF(G727&lt;&gt;"",G727,IFERROR(INDEX(Materials!$W$5:$W$254,MATCH(C727,Materials!$A$5:$A$254,0)),DefaultWaste)))</f>
        <v>0</v>
      </c>
      <c r="K727" s="36">
        <f>IF(C727="","",IF(F727="","",ROUND(F727*(1+J727),4)))</f>
        <v>0</v>
      </c>
      <c r="L727" s="45">
        <f>IF(C727="","",IFERROR(INDEX(Materials!$S$5:$S$254,MATCH(C727,Materials!$A$5:$A$254,0)),""))</f>
        <v>0</v>
      </c>
      <c r="M727" s="45">
        <f>IF(C727="","",IF(OR(K727="",L727=""),"",ROUND(K727*L727,4)))</f>
        <v>0</v>
      </c>
      <c r="N727" s="20">
        <f>IF(A727="","",ROUND(SUMIFS('Material Usage'!$M$5:$M$904,'Material Usage'!$A$5:$A$904,A727),2))</f>
        <v>0</v>
      </c>
      <c r="O727" s="33">
        <f>IF(A727="","",IF(OR(M727="",N727="",N727=0),"",M727/N727))</f>
        <v>0</v>
      </c>
      <c r="P727" s="32">
        <f>IF(A727="","",COUNTIFS($A$5:A727,A727))</f>
        <v>0</v>
      </c>
      <c r="Q727" s="13">
        <f>IF(A727="","",A727&amp;"|"&amp;P727)</f>
        <v>0</v>
      </c>
      <c r="R727" s="43">
        <f>IF(AND(A727="",C727=""),"",IF(A727="","Add - which product?",IF(C727="","Add - which material?",IF(B727="Not found","Check - no such product ID",IF(D727="Add to Materials","Check - no such material ID",IF(OR(F727="",F727=0),"Add - how much?",IF(L727="","Check - that material has no price","OK")))))))</f>
        <v>0</v>
      </c>
    </row>
    <row r="728" spans="2:18">
      <c r="B728" s="13">
        <f>IF(A728="","",IFERROR(INDEX(Products!$B$5:$B$304,MATCH(A728,Products!$A$5:$A$304,0)),"Not found"))</f>
        <v>0</v>
      </c>
      <c r="D728" s="13">
        <f>IF(C728="","",IFERROR(INDEX(Materials!$B$5:$B$254,MATCH(C728,Materials!$A$5:$A$254,0)),"Add to Materials"))</f>
        <v>0</v>
      </c>
      <c r="E728" s="13">
        <f>IF(C728="","",IFERROR(INDEX(Materials!$H$5:$H$254,MATCH(C728,Materials!$A$5:$A$254,0)),"Add to Materials"))</f>
        <v>0</v>
      </c>
      <c r="J728" s="33">
        <f>IF(C728="","",IF(G728&lt;&gt;"",G728,IFERROR(INDEX(Materials!$W$5:$W$254,MATCH(C728,Materials!$A$5:$A$254,0)),DefaultWaste)))</f>
        <v>0</v>
      </c>
      <c r="K728" s="36">
        <f>IF(C728="","",IF(F728="","",ROUND(F728*(1+J728),4)))</f>
        <v>0</v>
      </c>
      <c r="L728" s="45">
        <f>IF(C728="","",IFERROR(INDEX(Materials!$S$5:$S$254,MATCH(C728,Materials!$A$5:$A$254,0)),""))</f>
        <v>0</v>
      </c>
      <c r="M728" s="45">
        <f>IF(C728="","",IF(OR(K728="",L728=""),"",ROUND(K728*L728,4)))</f>
        <v>0</v>
      </c>
      <c r="N728" s="20">
        <f>IF(A728="","",ROUND(SUMIFS('Material Usage'!$M$5:$M$904,'Material Usage'!$A$5:$A$904,A728),2))</f>
        <v>0</v>
      </c>
      <c r="O728" s="33">
        <f>IF(A728="","",IF(OR(M728="",N728="",N728=0),"",M728/N728))</f>
        <v>0</v>
      </c>
      <c r="P728" s="32">
        <f>IF(A728="","",COUNTIFS($A$5:A728,A728))</f>
        <v>0</v>
      </c>
      <c r="Q728" s="13">
        <f>IF(A728="","",A728&amp;"|"&amp;P728)</f>
        <v>0</v>
      </c>
      <c r="R728" s="43">
        <f>IF(AND(A728="",C728=""),"",IF(A728="","Add - which product?",IF(C728="","Add - which material?",IF(B728="Not found","Check - no such product ID",IF(D728="Add to Materials","Check - no such material ID",IF(OR(F728="",F728=0),"Add - how much?",IF(L728="","Check - that material has no price","OK")))))))</f>
        <v>0</v>
      </c>
    </row>
    <row r="729" spans="2:18">
      <c r="B729" s="13">
        <f>IF(A729="","",IFERROR(INDEX(Products!$B$5:$B$304,MATCH(A729,Products!$A$5:$A$304,0)),"Not found"))</f>
        <v>0</v>
      </c>
      <c r="D729" s="13">
        <f>IF(C729="","",IFERROR(INDEX(Materials!$B$5:$B$254,MATCH(C729,Materials!$A$5:$A$254,0)),"Add to Materials"))</f>
        <v>0</v>
      </c>
      <c r="E729" s="13">
        <f>IF(C729="","",IFERROR(INDEX(Materials!$H$5:$H$254,MATCH(C729,Materials!$A$5:$A$254,0)),"Add to Materials"))</f>
        <v>0</v>
      </c>
      <c r="J729" s="33">
        <f>IF(C729="","",IF(G729&lt;&gt;"",G729,IFERROR(INDEX(Materials!$W$5:$W$254,MATCH(C729,Materials!$A$5:$A$254,0)),DefaultWaste)))</f>
        <v>0</v>
      </c>
      <c r="K729" s="36">
        <f>IF(C729="","",IF(F729="","",ROUND(F729*(1+J729),4)))</f>
        <v>0</v>
      </c>
      <c r="L729" s="45">
        <f>IF(C729="","",IFERROR(INDEX(Materials!$S$5:$S$254,MATCH(C729,Materials!$A$5:$A$254,0)),""))</f>
        <v>0</v>
      </c>
      <c r="M729" s="45">
        <f>IF(C729="","",IF(OR(K729="",L729=""),"",ROUND(K729*L729,4)))</f>
        <v>0</v>
      </c>
      <c r="N729" s="20">
        <f>IF(A729="","",ROUND(SUMIFS('Material Usage'!$M$5:$M$904,'Material Usage'!$A$5:$A$904,A729),2))</f>
        <v>0</v>
      </c>
      <c r="O729" s="33">
        <f>IF(A729="","",IF(OR(M729="",N729="",N729=0),"",M729/N729))</f>
        <v>0</v>
      </c>
      <c r="P729" s="32">
        <f>IF(A729="","",COUNTIFS($A$5:A729,A729))</f>
        <v>0</v>
      </c>
      <c r="Q729" s="13">
        <f>IF(A729="","",A729&amp;"|"&amp;P729)</f>
        <v>0</v>
      </c>
      <c r="R729" s="43">
        <f>IF(AND(A729="",C729=""),"",IF(A729="","Add - which product?",IF(C729="","Add - which material?",IF(B729="Not found","Check - no such product ID",IF(D729="Add to Materials","Check - no such material ID",IF(OR(F729="",F729=0),"Add - how much?",IF(L729="","Check - that material has no price","OK")))))))</f>
        <v>0</v>
      </c>
    </row>
    <row r="730" spans="2:18">
      <c r="B730" s="13">
        <f>IF(A730="","",IFERROR(INDEX(Products!$B$5:$B$304,MATCH(A730,Products!$A$5:$A$304,0)),"Not found"))</f>
        <v>0</v>
      </c>
      <c r="D730" s="13">
        <f>IF(C730="","",IFERROR(INDEX(Materials!$B$5:$B$254,MATCH(C730,Materials!$A$5:$A$254,0)),"Add to Materials"))</f>
        <v>0</v>
      </c>
      <c r="E730" s="13">
        <f>IF(C730="","",IFERROR(INDEX(Materials!$H$5:$H$254,MATCH(C730,Materials!$A$5:$A$254,0)),"Add to Materials"))</f>
        <v>0</v>
      </c>
      <c r="J730" s="33">
        <f>IF(C730="","",IF(G730&lt;&gt;"",G730,IFERROR(INDEX(Materials!$W$5:$W$254,MATCH(C730,Materials!$A$5:$A$254,0)),DefaultWaste)))</f>
        <v>0</v>
      </c>
      <c r="K730" s="36">
        <f>IF(C730="","",IF(F730="","",ROUND(F730*(1+J730),4)))</f>
        <v>0</v>
      </c>
      <c r="L730" s="45">
        <f>IF(C730="","",IFERROR(INDEX(Materials!$S$5:$S$254,MATCH(C730,Materials!$A$5:$A$254,0)),""))</f>
        <v>0</v>
      </c>
      <c r="M730" s="45">
        <f>IF(C730="","",IF(OR(K730="",L730=""),"",ROUND(K730*L730,4)))</f>
        <v>0</v>
      </c>
      <c r="N730" s="20">
        <f>IF(A730="","",ROUND(SUMIFS('Material Usage'!$M$5:$M$904,'Material Usage'!$A$5:$A$904,A730),2))</f>
        <v>0</v>
      </c>
      <c r="O730" s="33">
        <f>IF(A730="","",IF(OR(M730="",N730="",N730=0),"",M730/N730))</f>
        <v>0</v>
      </c>
      <c r="P730" s="32">
        <f>IF(A730="","",COUNTIFS($A$5:A730,A730))</f>
        <v>0</v>
      </c>
      <c r="Q730" s="13">
        <f>IF(A730="","",A730&amp;"|"&amp;P730)</f>
        <v>0</v>
      </c>
      <c r="R730" s="43">
        <f>IF(AND(A730="",C730=""),"",IF(A730="","Add - which product?",IF(C730="","Add - which material?",IF(B730="Not found","Check - no such product ID",IF(D730="Add to Materials","Check - no such material ID",IF(OR(F730="",F730=0),"Add - how much?",IF(L730="","Check - that material has no price","OK")))))))</f>
        <v>0</v>
      </c>
    </row>
    <row r="731" spans="2:18">
      <c r="B731" s="13">
        <f>IF(A731="","",IFERROR(INDEX(Products!$B$5:$B$304,MATCH(A731,Products!$A$5:$A$304,0)),"Not found"))</f>
        <v>0</v>
      </c>
      <c r="D731" s="13">
        <f>IF(C731="","",IFERROR(INDEX(Materials!$B$5:$B$254,MATCH(C731,Materials!$A$5:$A$254,0)),"Add to Materials"))</f>
        <v>0</v>
      </c>
      <c r="E731" s="13">
        <f>IF(C731="","",IFERROR(INDEX(Materials!$H$5:$H$254,MATCH(C731,Materials!$A$5:$A$254,0)),"Add to Materials"))</f>
        <v>0</v>
      </c>
      <c r="J731" s="33">
        <f>IF(C731="","",IF(G731&lt;&gt;"",G731,IFERROR(INDEX(Materials!$W$5:$W$254,MATCH(C731,Materials!$A$5:$A$254,0)),DefaultWaste)))</f>
        <v>0</v>
      </c>
      <c r="K731" s="36">
        <f>IF(C731="","",IF(F731="","",ROUND(F731*(1+J731),4)))</f>
        <v>0</v>
      </c>
      <c r="L731" s="45">
        <f>IF(C731="","",IFERROR(INDEX(Materials!$S$5:$S$254,MATCH(C731,Materials!$A$5:$A$254,0)),""))</f>
        <v>0</v>
      </c>
      <c r="M731" s="45">
        <f>IF(C731="","",IF(OR(K731="",L731=""),"",ROUND(K731*L731,4)))</f>
        <v>0</v>
      </c>
      <c r="N731" s="20">
        <f>IF(A731="","",ROUND(SUMIFS('Material Usage'!$M$5:$M$904,'Material Usage'!$A$5:$A$904,A731),2))</f>
        <v>0</v>
      </c>
      <c r="O731" s="33">
        <f>IF(A731="","",IF(OR(M731="",N731="",N731=0),"",M731/N731))</f>
        <v>0</v>
      </c>
      <c r="P731" s="32">
        <f>IF(A731="","",COUNTIFS($A$5:A731,A731))</f>
        <v>0</v>
      </c>
      <c r="Q731" s="13">
        <f>IF(A731="","",A731&amp;"|"&amp;P731)</f>
        <v>0</v>
      </c>
      <c r="R731" s="43">
        <f>IF(AND(A731="",C731=""),"",IF(A731="","Add - which product?",IF(C731="","Add - which material?",IF(B731="Not found","Check - no such product ID",IF(D731="Add to Materials","Check - no such material ID",IF(OR(F731="",F731=0),"Add - how much?",IF(L731="","Check - that material has no price","OK")))))))</f>
        <v>0</v>
      </c>
    </row>
    <row r="732" spans="2:18">
      <c r="B732" s="13">
        <f>IF(A732="","",IFERROR(INDEX(Products!$B$5:$B$304,MATCH(A732,Products!$A$5:$A$304,0)),"Not found"))</f>
        <v>0</v>
      </c>
      <c r="D732" s="13">
        <f>IF(C732="","",IFERROR(INDEX(Materials!$B$5:$B$254,MATCH(C732,Materials!$A$5:$A$254,0)),"Add to Materials"))</f>
        <v>0</v>
      </c>
      <c r="E732" s="13">
        <f>IF(C732="","",IFERROR(INDEX(Materials!$H$5:$H$254,MATCH(C732,Materials!$A$5:$A$254,0)),"Add to Materials"))</f>
        <v>0</v>
      </c>
      <c r="J732" s="33">
        <f>IF(C732="","",IF(G732&lt;&gt;"",G732,IFERROR(INDEX(Materials!$W$5:$W$254,MATCH(C732,Materials!$A$5:$A$254,0)),DefaultWaste)))</f>
        <v>0</v>
      </c>
      <c r="K732" s="36">
        <f>IF(C732="","",IF(F732="","",ROUND(F732*(1+J732),4)))</f>
        <v>0</v>
      </c>
      <c r="L732" s="45">
        <f>IF(C732="","",IFERROR(INDEX(Materials!$S$5:$S$254,MATCH(C732,Materials!$A$5:$A$254,0)),""))</f>
        <v>0</v>
      </c>
      <c r="M732" s="45">
        <f>IF(C732="","",IF(OR(K732="",L732=""),"",ROUND(K732*L732,4)))</f>
        <v>0</v>
      </c>
      <c r="N732" s="20">
        <f>IF(A732="","",ROUND(SUMIFS('Material Usage'!$M$5:$M$904,'Material Usage'!$A$5:$A$904,A732),2))</f>
        <v>0</v>
      </c>
      <c r="O732" s="33">
        <f>IF(A732="","",IF(OR(M732="",N732="",N732=0),"",M732/N732))</f>
        <v>0</v>
      </c>
      <c r="P732" s="32">
        <f>IF(A732="","",COUNTIFS($A$5:A732,A732))</f>
        <v>0</v>
      </c>
      <c r="Q732" s="13">
        <f>IF(A732="","",A732&amp;"|"&amp;P732)</f>
        <v>0</v>
      </c>
      <c r="R732" s="43">
        <f>IF(AND(A732="",C732=""),"",IF(A732="","Add - which product?",IF(C732="","Add - which material?",IF(B732="Not found","Check - no such product ID",IF(D732="Add to Materials","Check - no such material ID",IF(OR(F732="",F732=0),"Add - how much?",IF(L732="","Check - that material has no price","OK")))))))</f>
        <v>0</v>
      </c>
    </row>
    <row r="733" spans="2:18">
      <c r="B733" s="13">
        <f>IF(A733="","",IFERROR(INDEX(Products!$B$5:$B$304,MATCH(A733,Products!$A$5:$A$304,0)),"Not found"))</f>
        <v>0</v>
      </c>
      <c r="D733" s="13">
        <f>IF(C733="","",IFERROR(INDEX(Materials!$B$5:$B$254,MATCH(C733,Materials!$A$5:$A$254,0)),"Add to Materials"))</f>
        <v>0</v>
      </c>
      <c r="E733" s="13">
        <f>IF(C733="","",IFERROR(INDEX(Materials!$H$5:$H$254,MATCH(C733,Materials!$A$5:$A$254,0)),"Add to Materials"))</f>
        <v>0</v>
      </c>
      <c r="J733" s="33">
        <f>IF(C733="","",IF(G733&lt;&gt;"",G733,IFERROR(INDEX(Materials!$W$5:$W$254,MATCH(C733,Materials!$A$5:$A$254,0)),DefaultWaste)))</f>
        <v>0</v>
      </c>
      <c r="K733" s="36">
        <f>IF(C733="","",IF(F733="","",ROUND(F733*(1+J733),4)))</f>
        <v>0</v>
      </c>
      <c r="L733" s="45">
        <f>IF(C733="","",IFERROR(INDEX(Materials!$S$5:$S$254,MATCH(C733,Materials!$A$5:$A$254,0)),""))</f>
        <v>0</v>
      </c>
      <c r="M733" s="45">
        <f>IF(C733="","",IF(OR(K733="",L733=""),"",ROUND(K733*L733,4)))</f>
        <v>0</v>
      </c>
      <c r="N733" s="20">
        <f>IF(A733="","",ROUND(SUMIFS('Material Usage'!$M$5:$M$904,'Material Usage'!$A$5:$A$904,A733),2))</f>
        <v>0</v>
      </c>
      <c r="O733" s="33">
        <f>IF(A733="","",IF(OR(M733="",N733="",N733=0),"",M733/N733))</f>
        <v>0</v>
      </c>
      <c r="P733" s="32">
        <f>IF(A733="","",COUNTIFS($A$5:A733,A733))</f>
        <v>0</v>
      </c>
      <c r="Q733" s="13">
        <f>IF(A733="","",A733&amp;"|"&amp;P733)</f>
        <v>0</v>
      </c>
      <c r="R733" s="43">
        <f>IF(AND(A733="",C733=""),"",IF(A733="","Add - which product?",IF(C733="","Add - which material?",IF(B733="Not found","Check - no such product ID",IF(D733="Add to Materials","Check - no such material ID",IF(OR(F733="",F733=0),"Add - how much?",IF(L733="","Check - that material has no price","OK")))))))</f>
        <v>0</v>
      </c>
    </row>
    <row r="734" spans="2:18">
      <c r="B734" s="13">
        <f>IF(A734="","",IFERROR(INDEX(Products!$B$5:$B$304,MATCH(A734,Products!$A$5:$A$304,0)),"Not found"))</f>
        <v>0</v>
      </c>
      <c r="D734" s="13">
        <f>IF(C734="","",IFERROR(INDEX(Materials!$B$5:$B$254,MATCH(C734,Materials!$A$5:$A$254,0)),"Add to Materials"))</f>
        <v>0</v>
      </c>
      <c r="E734" s="13">
        <f>IF(C734="","",IFERROR(INDEX(Materials!$H$5:$H$254,MATCH(C734,Materials!$A$5:$A$254,0)),"Add to Materials"))</f>
        <v>0</v>
      </c>
      <c r="J734" s="33">
        <f>IF(C734="","",IF(G734&lt;&gt;"",G734,IFERROR(INDEX(Materials!$W$5:$W$254,MATCH(C734,Materials!$A$5:$A$254,0)),DefaultWaste)))</f>
        <v>0</v>
      </c>
      <c r="K734" s="36">
        <f>IF(C734="","",IF(F734="","",ROUND(F734*(1+J734),4)))</f>
        <v>0</v>
      </c>
      <c r="L734" s="45">
        <f>IF(C734="","",IFERROR(INDEX(Materials!$S$5:$S$254,MATCH(C734,Materials!$A$5:$A$254,0)),""))</f>
        <v>0</v>
      </c>
      <c r="M734" s="45">
        <f>IF(C734="","",IF(OR(K734="",L734=""),"",ROUND(K734*L734,4)))</f>
        <v>0</v>
      </c>
      <c r="N734" s="20">
        <f>IF(A734="","",ROUND(SUMIFS('Material Usage'!$M$5:$M$904,'Material Usage'!$A$5:$A$904,A734),2))</f>
        <v>0</v>
      </c>
      <c r="O734" s="33">
        <f>IF(A734="","",IF(OR(M734="",N734="",N734=0),"",M734/N734))</f>
        <v>0</v>
      </c>
      <c r="P734" s="32">
        <f>IF(A734="","",COUNTIFS($A$5:A734,A734))</f>
        <v>0</v>
      </c>
      <c r="Q734" s="13">
        <f>IF(A734="","",A734&amp;"|"&amp;P734)</f>
        <v>0</v>
      </c>
      <c r="R734" s="43">
        <f>IF(AND(A734="",C734=""),"",IF(A734="","Add - which product?",IF(C734="","Add - which material?",IF(B734="Not found","Check - no such product ID",IF(D734="Add to Materials","Check - no such material ID",IF(OR(F734="",F734=0),"Add - how much?",IF(L734="","Check - that material has no price","OK")))))))</f>
        <v>0</v>
      </c>
    </row>
    <row r="735" spans="2:18">
      <c r="B735" s="13">
        <f>IF(A735="","",IFERROR(INDEX(Products!$B$5:$B$304,MATCH(A735,Products!$A$5:$A$304,0)),"Not found"))</f>
        <v>0</v>
      </c>
      <c r="D735" s="13">
        <f>IF(C735="","",IFERROR(INDEX(Materials!$B$5:$B$254,MATCH(C735,Materials!$A$5:$A$254,0)),"Add to Materials"))</f>
        <v>0</v>
      </c>
      <c r="E735" s="13">
        <f>IF(C735="","",IFERROR(INDEX(Materials!$H$5:$H$254,MATCH(C735,Materials!$A$5:$A$254,0)),"Add to Materials"))</f>
        <v>0</v>
      </c>
      <c r="J735" s="33">
        <f>IF(C735="","",IF(G735&lt;&gt;"",G735,IFERROR(INDEX(Materials!$W$5:$W$254,MATCH(C735,Materials!$A$5:$A$254,0)),DefaultWaste)))</f>
        <v>0</v>
      </c>
      <c r="K735" s="36">
        <f>IF(C735="","",IF(F735="","",ROUND(F735*(1+J735),4)))</f>
        <v>0</v>
      </c>
      <c r="L735" s="45">
        <f>IF(C735="","",IFERROR(INDEX(Materials!$S$5:$S$254,MATCH(C735,Materials!$A$5:$A$254,0)),""))</f>
        <v>0</v>
      </c>
      <c r="M735" s="45">
        <f>IF(C735="","",IF(OR(K735="",L735=""),"",ROUND(K735*L735,4)))</f>
        <v>0</v>
      </c>
      <c r="N735" s="20">
        <f>IF(A735="","",ROUND(SUMIFS('Material Usage'!$M$5:$M$904,'Material Usage'!$A$5:$A$904,A735),2))</f>
        <v>0</v>
      </c>
      <c r="O735" s="33">
        <f>IF(A735="","",IF(OR(M735="",N735="",N735=0),"",M735/N735))</f>
        <v>0</v>
      </c>
      <c r="P735" s="32">
        <f>IF(A735="","",COUNTIFS($A$5:A735,A735))</f>
        <v>0</v>
      </c>
      <c r="Q735" s="13">
        <f>IF(A735="","",A735&amp;"|"&amp;P735)</f>
        <v>0</v>
      </c>
      <c r="R735" s="43">
        <f>IF(AND(A735="",C735=""),"",IF(A735="","Add - which product?",IF(C735="","Add - which material?",IF(B735="Not found","Check - no such product ID",IF(D735="Add to Materials","Check - no such material ID",IF(OR(F735="",F735=0),"Add - how much?",IF(L735="","Check - that material has no price","OK")))))))</f>
        <v>0</v>
      </c>
    </row>
    <row r="736" spans="2:18">
      <c r="B736" s="13">
        <f>IF(A736="","",IFERROR(INDEX(Products!$B$5:$B$304,MATCH(A736,Products!$A$5:$A$304,0)),"Not found"))</f>
        <v>0</v>
      </c>
      <c r="D736" s="13">
        <f>IF(C736="","",IFERROR(INDEX(Materials!$B$5:$B$254,MATCH(C736,Materials!$A$5:$A$254,0)),"Add to Materials"))</f>
        <v>0</v>
      </c>
      <c r="E736" s="13">
        <f>IF(C736="","",IFERROR(INDEX(Materials!$H$5:$H$254,MATCH(C736,Materials!$A$5:$A$254,0)),"Add to Materials"))</f>
        <v>0</v>
      </c>
      <c r="J736" s="33">
        <f>IF(C736="","",IF(G736&lt;&gt;"",G736,IFERROR(INDEX(Materials!$W$5:$W$254,MATCH(C736,Materials!$A$5:$A$254,0)),DefaultWaste)))</f>
        <v>0</v>
      </c>
      <c r="K736" s="36">
        <f>IF(C736="","",IF(F736="","",ROUND(F736*(1+J736),4)))</f>
        <v>0</v>
      </c>
      <c r="L736" s="45">
        <f>IF(C736="","",IFERROR(INDEX(Materials!$S$5:$S$254,MATCH(C736,Materials!$A$5:$A$254,0)),""))</f>
        <v>0</v>
      </c>
      <c r="M736" s="45">
        <f>IF(C736="","",IF(OR(K736="",L736=""),"",ROUND(K736*L736,4)))</f>
        <v>0</v>
      </c>
      <c r="N736" s="20">
        <f>IF(A736="","",ROUND(SUMIFS('Material Usage'!$M$5:$M$904,'Material Usage'!$A$5:$A$904,A736),2))</f>
        <v>0</v>
      </c>
      <c r="O736" s="33">
        <f>IF(A736="","",IF(OR(M736="",N736="",N736=0),"",M736/N736))</f>
        <v>0</v>
      </c>
      <c r="P736" s="32">
        <f>IF(A736="","",COUNTIFS($A$5:A736,A736))</f>
        <v>0</v>
      </c>
      <c r="Q736" s="13">
        <f>IF(A736="","",A736&amp;"|"&amp;P736)</f>
        <v>0</v>
      </c>
      <c r="R736" s="43">
        <f>IF(AND(A736="",C736=""),"",IF(A736="","Add - which product?",IF(C736="","Add - which material?",IF(B736="Not found","Check - no such product ID",IF(D736="Add to Materials","Check - no such material ID",IF(OR(F736="",F736=0),"Add - how much?",IF(L736="","Check - that material has no price","OK")))))))</f>
        <v>0</v>
      </c>
    </row>
    <row r="737" spans="2:18">
      <c r="B737" s="13">
        <f>IF(A737="","",IFERROR(INDEX(Products!$B$5:$B$304,MATCH(A737,Products!$A$5:$A$304,0)),"Not found"))</f>
        <v>0</v>
      </c>
      <c r="D737" s="13">
        <f>IF(C737="","",IFERROR(INDEX(Materials!$B$5:$B$254,MATCH(C737,Materials!$A$5:$A$254,0)),"Add to Materials"))</f>
        <v>0</v>
      </c>
      <c r="E737" s="13">
        <f>IF(C737="","",IFERROR(INDEX(Materials!$H$5:$H$254,MATCH(C737,Materials!$A$5:$A$254,0)),"Add to Materials"))</f>
        <v>0</v>
      </c>
      <c r="J737" s="33">
        <f>IF(C737="","",IF(G737&lt;&gt;"",G737,IFERROR(INDEX(Materials!$W$5:$W$254,MATCH(C737,Materials!$A$5:$A$254,0)),DefaultWaste)))</f>
        <v>0</v>
      </c>
      <c r="K737" s="36">
        <f>IF(C737="","",IF(F737="","",ROUND(F737*(1+J737),4)))</f>
        <v>0</v>
      </c>
      <c r="L737" s="45">
        <f>IF(C737="","",IFERROR(INDEX(Materials!$S$5:$S$254,MATCH(C737,Materials!$A$5:$A$254,0)),""))</f>
        <v>0</v>
      </c>
      <c r="M737" s="45">
        <f>IF(C737="","",IF(OR(K737="",L737=""),"",ROUND(K737*L737,4)))</f>
        <v>0</v>
      </c>
      <c r="N737" s="20">
        <f>IF(A737="","",ROUND(SUMIFS('Material Usage'!$M$5:$M$904,'Material Usage'!$A$5:$A$904,A737),2))</f>
        <v>0</v>
      </c>
      <c r="O737" s="33">
        <f>IF(A737="","",IF(OR(M737="",N737="",N737=0),"",M737/N737))</f>
        <v>0</v>
      </c>
      <c r="P737" s="32">
        <f>IF(A737="","",COUNTIFS($A$5:A737,A737))</f>
        <v>0</v>
      </c>
      <c r="Q737" s="13">
        <f>IF(A737="","",A737&amp;"|"&amp;P737)</f>
        <v>0</v>
      </c>
      <c r="R737" s="43">
        <f>IF(AND(A737="",C737=""),"",IF(A737="","Add - which product?",IF(C737="","Add - which material?",IF(B737="Not found","Check - no such product ID",IF(D737="Add to Materials","Check - no such material ID",IF(OR(F737="",F737=0),"Add - how much?",IF(L737="","Check - that material has no price","OK")))))))</f>
        <v>0</v>
      </c>
    </row>
    <row r="738" spans="2:18">
      <c r="B738" s="13">
        <f>IF(A738="","",IFERROR(INDEX(Products!$B$5:$B$304,MATCH(A738,Products!$A$5:$A$304,0)),"Not found"))</f>
        <v>0</v>
      </c>
      <c r="D738" s="13">
        <f>IF(C738="","",IFERROR(INDEX(Materials!$B$5:$B$254,MATCH(C738,Materials!$A$5:$A$254,0)),"Add to Materials"))</f>
        <v>0</v>
      </c>
      <c r="E738" s="13">
        <f>IF(C738="","",IFERROR(INDEX(Materials!$H$5:$H$254,MATCH(C738,Materials!$A$5:$A$254,0)),"Add to Materials"))</f>
        <v>0</v>
      </c>
      <c r="J738" s="33">
        <f>IF(C738="","",IF(G738&lt;&gt;"",G738,IFERROR(INDEX(Materials!$W$5:$W$254,MATCH(C738,Materials!$A$5:$A$254,0)),DefaultWaste)))</f>
        <v>0</v>
      </c>
      <c r="K738" s="36">
        <f>IF(C738="","",IF(F738="","",ROUND(F738*(1+J738),4)))</f>
        <v>0</v>
      </c>
      <c r="L738" s="45">
        <f>IF(C738="","",IFERROR(INDEX(Materials!$S$5:$S$254,MATCH(C738,Materials!$A$5:$A$254,0)),""))</f>
        <v>0</v>
      </c>
      <c r="M738" s="45">
        <f>IF(C738="","",IF(OR(K738="",L738=""),"",ROUND(K738*L738,4)))</f>
        <v>0</v>
      </c>
      <c r="N738" s="20">
        <f>IF(A738="","",ROUND(SUMIFS('Material Usage'!$M$5:$M$904,'Material Usage'!$A$5:$A$904,A738),2))</f>
        <v>0</v>
      </c>
      <c r="O738" s="33">
        <f>IF(A738="","",IF(OR(M738="",N738="",N738=0),"",M738/N738))</f>
        <v>0</v>
      </c>
      <c r="P738" s="32">
        <f>IF(A738="","",COUNTIFS($A$5:A738,A738))</f>
        <v>0</v>
      </c>
      <c r="Q738" s="13">
        <f>IF(A738="","",A738&amp;"|"&amp;P738)</f>
        <v>0</v>
      </c>
      <c r="R738" s="43">
        <f>IF(AND(A738="",C738=""),"",IF(A738="","Add - which product?",IF(C738="","Add - which material?",IF(B738="Not found","Check - no such product ID",IF(D738="Add to Materials","Check - no such material ID",IF(OR(F738="",F738=0),"Add - how much?",IF(L738="","Check - that material has no price","OK")))))))</f>
        <v>0</v>
      </c>
    </row>
    <row r="739" spans="2:18">
      <c r="B739" s="13">
        <f>IF(A739="","",IFERROR(INDEX(Products!$B$5:$B$304,MATCH(A739,Products!$A$5:$A$304,0)),"Not found"))</f>
        <v>0</v>
      </c>
      <c r="D739" s="13">
        <f>IF(C739="","",IFERROR(INDEX(Materials!$B$5:$B$254,MATCH(C739,Materials!$A$5:$A$254,0)),"Add to Materials"))</f>
        <v>0</v>
      </c>
      <c r="E739" s="13">
        <f>IF(C739="","",IFERROR(INDEX(Materials!$H$5:$H$254,MATCH(C739,Materials!$A$5:$A$254,0)),"Add to Materials"))</f>
        <v>0</v>
      </c>
      <c r="J739" s="33">
        <f>IF(C739="","",IF(G739&lt;&gt;"",G739,IFERROR(INDEX(Materials!$W$5:$W$254,MATCH(C739,Materials!$A$5:$A$254,0)),DefaultWaste)))</f>
        <v>0</v>
      </c>
      <c r="K739" s="36">
        <f>IF(C739="","",IF(F739="","",ROUND(F739*(1+J739),4)))</f>
        <v>0</v>
      </c>
      <c r="L739" s="45">
        <f>IF(C739="","",IFERROR(INDEX(Materials!$S$5:$S$254,MATCH(C739,Materials!$A$5:$A$254,0)),""))</f>
        <v>0</v>
      </c>
      <c r="M739" s="45">
        <f>IF(C739="","",IF(OR(K739="",L739=""),"",ROUND(K739*L739,4)))</f>
        <v>0</v>
      </c>
      <c r="N739" s="20">
        <f>IF(A739="","",ROUND(SUMIFS('Material Usage'!$M$5:$M$904,'Material Usage'!$A$5:$A$904,A739),2))</f>
        <v>0</v>
      </c>
      <c r="O739" s="33">
        <f>IF(A739="","",IF(OR(M739="",N739="",N739=0),"",M739/N739))</f>
        <v>0</v>
      </c>
      <c r="P739" s="32">
        <f>IF(A739="","",COUNTIFS($A$5:A739,A739))</f>
        <v>0</v>
      </c>
      <c r="Q739" s="13">
        <f>IF(A739="","",A739&amp;"|"&amp;P739)</f>
        <v>0</v>
      </c>
      <c r="R739" s="43">
        <f>IF(AND(A739="",C739=""),"",IF(A739="","Add - which product?",IF(C739="","Add - which material?",IF(B739="Not found","Check - no such product ID",IF(D739="Add to Materials","Check - no such material ID",IF(OR(F739="",F739=0),"Add - how much?",IF(L739="","Check - that material has no price","OK")))))))</f>
        <v>0</v>
      </c>
    </row>
    <row r="740" spans="2:18">
      <c r="B740" s="13">
        <f>IF(A740="","",IFERROR(INDEX(Products!$B$5:$B$304,MATCH(A740,Products!$A$5:$A$304,0)),"Not found"))</f>
        <v>0</v>
      </c>
      <c r="D740" s="13">
        <f>IF(C740="","",IFERROR(INDEX(Materials!$B$5:$B$254,MATCH(C740,Materials!$A$5:$A$254,0)),"Add to Materials"))</f>
        <v>0</v>
      </c>
      <c r="E740" s="13">
        <f>IF(C740="","",IFERROR(INDEX(Materials!$H$5:$H$254,MATCH(C740,Materials!$A$5:$A$254,0)),"Add to Materials"))</f>
        <v>0</v>
      </c>
      <c r="J740" s="33">
        <f>IF(C740="","",IF(G740&lt;&gt;"",G740,IFERROR(INDEX(Materials!$W$5:$W$254,MATCH(C740,Materials!$A$5:$A$254,0)),DefaultWaste)))</f>
        <v>0</v>
      </c>
      <c r="K740" s="36">
        <f>IF(C740="","",IF(F740="","",ROUND(F740*(1+J740),4)))</f>
        <v>0</v>
      </c>
      <c r="L740" s="45">
        <f>IF(C740="","",IFERROR(INDEX(Materials!$S$5:$S$254,MATCH(C740,Materials!$A$5:$A$254,0)),""))</f>
        <v>0</v>
      </c>
      <c r="M740" s="45">
        <f>IF(C740="","",IF(OR(K740="",L740=""),"",ROUND(K740*L740,4)))</f>
        <v>0</v>
      </c>
      <c r="N740" s="20">
        <f>IF(A740="","",ROUND(SUMIFS('Material Usage'!$M$5:$M$904,'Material Usage'!$A$5:$A$904,A740),2))</f>
        <v>0</v>
      </c>
      <c r="O740" s="33">
        <f>IF(A740="","",IF(OR(M740="",N740="",N740=0),"",M740/N740))</f>
        <v>0</v>
      </c>
      <c r="P740" s="32">
        <f>IF(A740="","",COUNTIFS($A$5:A740,A740))</f>
        <v>0</v>
      </c>
      <c r="Q740" s="13">
        <f>IF(A740="","",A740&amp;"|"&amp;P740)</f>
        <v>0</v>
      </c>
      <c r="R740" s="43">
        <f>IF(AND(A740="",C740=""),"",IF(A740="","Add - which product?",IF(C740="","Add - which material?",IF(B740="Not found","Check - no such product ID",IF(D740="Add to Materials","Check - no such material ID",IF(OR(F740="",F740=0),"Add - how much?",IF(L740="","Check - that material has no price","OK")))))))</f>
        <v>0</v>
      </c>
    </row>
    <row r="741" spans="2:18">
      <c r="B741" s="13">
        <f>IF(A741="","",IFERROR(INDEX(Products!$B$5:$B$304,MATCH(A741,Products!$A$5:$A$304,0)),"Not found"))</f>
        <v>0</v>
      </c>
      <c r="D741" s="13">
        <f>IF(C741="","",IFERROR(INDEX(Materials!$B$5:$B$254,MATCH(C741,Materials!$A$5:$A$254,0)),"Add to Materials"))</f>
        <v>0</v>
      </c>
      <c r="E741" s="13">
        <f>IF(C741="","",IFERROR(INDEX(Materials!$H$5:$H$254,MATCH(C741,Materials!$A$5:$A$254,0)),"Add to Materials"))</f>
        <v>0</v>
      </c>
      <c r="J741" s="33">
        <f>IF(C741="","",IF(G741&lt;&gt;"",G741,IFERROR(INDEX(Materials!$W$5:$W$254,MATCH(C741,Materials!$A$5:$A$254,0)),DefaultWaste)))</f>
        <v>0</v>
      </c>
      <c r="K741" s="36">
        <f>IF(C741="","",IF(F741="","",ROUND(F741*(1+J741),4)))</f>
        <v>0</v>
      </c>
      <c r="L741" s="45">
        <f>IF(C741="","",IFERROR(INDEX(Materials!$S$5:$S$254,MATCH(C741,Materials!$A$5:$A$254,0)),""))</f>
        <v>0</v>
      </c>
      <c r="M741" s="45">
        <f>IF(C741="","",IF(OR(K741="",L741=""),"",ROUND(K741*L741,4)))</f>
        <v>0</v>
      </c>
      <c r="N741" s="20">
        <f>IF(A741="","",ROUND(SUMIFS('Material Usage'!$M$5:$M$904,'Material Usage'!$A$5:$A$904,A741),2))</f>
        <v>0</v>
      </c>
      <c r="O741" s="33">
        <f>IF(A741="","",IF(OR(M741="",N741="",N741=0),"",M741/N741))</f>
        <v>0</v>
      </c>
      <c r="P741" s="32">
        <f>IF(A741="","",COUNTIFS($A$5:A741,A741))</f>
        <v>0</v>
      </c>
      <c r="Q741" s="13">
        <f>IF(A741="","",A741&amp;"|"&amp;P741)</f>
        <v>0</v>
      </c>
      <c r="R741" s="43">
        <f>IF(AND(A741="",C741=""),"",IF(A741="","Add - which product?",IF(C741="","Add - which material?",IF(B741="Not found","Check - no such product ID",IF(D741="Add to Materials","Check - no such material ID",IF(OR(F741="",F741=0),"Add - how much?",IF(L741="","Check - that material has no price","OK")))))))</f>
        <v>0</v>
      </c>
    </row>
    <row r="742" spans="2:18">
      <c r="B742" s="13">
        <f>IF(A742="","",IFERROR(INDEX(Products!$B$5:$B$304,MATCH(A742,Products!$A$5:$A$304,0)),"Not found"))</f>
        <v>0</v>
      </c>
      <c r="D742" s="13">
        <f>IF(C742="","",IFERROR(INDEX(Materials!$B$5:$B$254,MATCH(C742,Materials!$A$5:$A$254,0)),"Add to Materials"))</f>
        <v>0</v>
      </c>
      <c r="E742" s="13">
        <f>IF(C742="","",IFERROR(INDEX(Materials!$H$5:$H$254,MATCH(C742,Materials!$A$5:$A$254,0)),"Add to Materials"))</f>
        <v>0</v>
      </c>
      <c r="J742" s="33">
        <f>IF(C742="","",IF(G742&lt;&gt;"",G742,IFERROR(INDEX(Materials!$W$5:$W$254,MATCH(C742,Materials!$A$5:$A$254,0)),DefaultWaste)))</f>
        <v>0</v>
      </c>
      <c r="K742" s="36">
        <f>IF(C742="","",IF(F742="","",ROUND(F742*(1+J742),4)))</f>
        <v>0</v>
      </c>
      <c r="L742" s="45">
        <f>IF(C742="","",IFERROR(INDEX(Materials!$S$5:$S$254,MATCH(C742,Materials!$A$5:$A$254,0)),""))</f>
        <v>0</v>
      </c>
      <c r="M742" s="45">
        <f>IF(C742="","",IF(OR(K742="",L742=""),"",ROUND(K742*L742,4)))</f>
        <v>0</v>
      </c>
      <c r="N742" s="20">
        <f>IF(A742="","",ROUND(SUMIFS('Material Usage'!$M$5:$M$904,'Material Usage'!$A$5:$A$904,A742),2))</f>
        <v>0</v>
      </c>
      <c r="O742" s="33">
        <f>IF(A742="","",IF(OR(M742="",N742="",N742=0),"",M742/N742))</f>
        <v>0</v>
      </c>
      <c r="P742" s="32">
        <f>IF(A742="","",COUNTIFS($A$5:A742,A742))</f>
        <v>0</v>
      </c>
      <c r="Q742" s="13">
        <f>IF(A742="","",A742&amp;"|"&amp;P742)</f>
        <v>0</v>
      </c>
      <c r="R742" s="43">
        <f>IF(AND(A742="",C742=""),"",IF(A742="","Add - which product?",IF(C742="","Add - which material?",IF(B742="Not found","Check - no such product ID",IF(D742="Add to Materials","Check - no such material ID",IF(OR(F742="",F742=0),"Add - how much?",IF(L742="","Check - that material has no price","OK")))))))</f>
        <v>0</v>
      </c>
    </row>
    <row r="743" spans="2:18">
      <c r="B743" s="13">
        <f>IF(A743="","",IFERROR(INDEX(Products!$B$5:$B$304,MATCH(A743,Products!$A$5:$A$304,0)),"Not found"))</f>
        <v>0</v>
      </c>
      <c r="D743" s="13">
        <f>IF(C743="","",IFERROR(INDEX(Materials!$B$5:$B$254,MATCH(C743,Materials!$A$5:$A$254,0)),"Add to Materials"))</f>
        <v>0</v>
      </c>
      <c r="E743" s="13">
        <f>IF(C743="","",IFERROR(INDEX(Materials!$H$5:$H$254,MATCH(C743,Materials!$A$5:$A$254,0)),"Add to Materials"))</f>
        <v>0</v>
      </c>
      <c r="J743" s="33">
        <f>IF(C743="","",IF(G743&lt;&gt;"",G743,IFERROR(INDEX(Materials!$W$5:$W$254,MATCH(C743,Materials!$A$5:$A$254,0)),DefaultWaste)))</f>
        <v>0</v>
      </c>
      <c r="K743" s="36">
        <f>IF(C743="","",IF(F743="","",ROUND(F743*(1+J743),4)))</f>
        <v>0</v>
      </c>
      <c r="L743" s="45">
        <f>IF(C743="","",IFERROR(INDEX(Materials!$S$5:$S$254,MATCH(C743,Materials!$A$5:$A$254,0)),""))</f>
        <v>0</v>
      </c>
      <c r="M743" s="45">
        <f>IF(C743="","",IF(OR(K743="",L743=""),"",ROUND(K743*L743,4)))</f>
        <v>0</v>
      </c>
      <c r="N743" s="20">
        <f>IF(A743="","",ROUND(SUMIFS('Material Usage'!$M$5:$M$904,'Material Usage'!$A$5:$A$904,A743),2))</f>
        <v>0</v>
      </c>
      <c r="O743" s="33">
        <f>IF(A743="","",IF(OR(M743="",N743="",N743=0),"",M743/N743))</f>
        <v>0</v>
      </c>
      <c r="P743" s="32">
        <f>IF(A743="","",COUNTIFS($A$5:A743,A743))</f>
        <v>0</v>
      </c>
      <c r="Q743" s="13">
        <f>IF(A743="","",A743&amp;"|"&amp;P743)</f>
        <v>0</v>
      </c>
      <c r="R743" s="43">
        <f>IF(AND(A743="",C743=""),"",IF(A743="","Add - which product?",IF(C743="","Add - which material?",IF(B743="Not found","Check - no such product ID",IF(D743="Add to Materials","Check - no such material ID",IF(OR(F743="",F743=0),"Add - how much?",IF(L743="","Check - that material has no price","OK")))))))</f>
        <v>0</v>
      </c>
    </row>
    <row r="744" spans="2:18">
      <c r="B744" s="13">
        <f>IF(A744="","",IFERROR(INDEX(Products!$B$5:$B$304,MATCH(A744,Products!$A$5:$A$304,0)),"Not found"))</f>
        <v>0</v>
      </c>
      <c r="D744" s="13">
        <f>IF(C744="","",IFERROR(INDEX(Materials!$B$5:$B$254,MATCH(C744,Materials!$A$5:$A$254,0)),"Add to Materials"))</f>
        <v>0</v>
      </c>
      <c r="E744" s="13">
        <f>IF(C744="","",IFERROR(INDEX(Materials!$H$5:$H$254,MATCH(C744,Materials!$A$5:$A$254,0)),"Add to Materials"))</f>
        <v>0</v>
      </c>
      <c r="J744" s="33">
        <f>IF(C744="","",IF(G744&lt;&gt;"",G744,IFERROR(INDEX(Materials!$W$5:$W$254,MATCH(C744,Materials!$A$5:$A$254,0)),DefaultWaste)))</f>
        <v>0</v>
      </c>
      <c r="K744" s="36">
        <f>IF(C744="","",IF(F744="","",ROUND(F744*(1+J744),4)))</f>
        <v>0</v>
      </c>
      <c r="L744" s="45">
        <f>IF(C744="","",IFERROR(INDEX(Materials!$S$5:$S$254,MATCH(C744,Materials!$A$5:$A$254,0)),""))</f>
        <v>0</v>
      </c>
      <c r="M744" s="45">
        <f>IF(C744="","",IF(OR(K744="",L744=""),"",ROUND(K744*L744,4)))</f>
        <v>0</v>
      </c>
      <c r="N744" s="20">
        <f>IF(A744="","",ROUND(SUMIFS('Material Usage'!$M$5:$M$904,'Material Usage'!$A$5:$A$904,A744),2))</f>
        <v>0</v>
      </c>
      <c r="O744" s="33">
        <f>IF(A744="","",IF(OR(M744="",N744="",N744=0),"",M744/N744))</f>
        <v>0</v>
      </c>
      <c r="P744" s="32">
        <f>IF(A744="","",COUNTIFS($A$5:A744,A744))</f>
        <v>0</v>
      </c>
      <c r="Q744" s="13">
        <f>IF(A744="","",A744&amp;"|"&amp;P744)</f>
        <v>0</v>
      </c>
      <c r="R744" s="43">
        <f>IF(AND(A744="",C744=""),"",IF(A744="","Add - which product?",IF(C744="","Add - which material?",IF(B744="Not found","Check - no such product ID",IF(D744="Add to Materials","Check - no such material ID",IF(OR(F744="",F744=0),"Add - how much?",IF(L744="","Check - that material has no price","OK")))))))</f>
        <v>0</v>
      </c>
    </row>
    <row r="745" spans="2:18">
      <c r="B745" s="13">
        <f>IF(A745="","",IFERROR(INDEX(Products!$B$5:$B$304,MATCH(A745,Products!$A$5:$A$304,0)),"Not found"))</f>
        <v>0</v>
      </c>
      <c r="D745" s="13">
        <f>IF(C745="","",IFERROR(INDEX(Materials!$B$5:$B$254,MATCH(C745,Materials!$A$5:$A$254,0)),"Add to Materials"))</f>
        <v>0</v>
      </c>
      <c r="E745" s="13">
        <f>IF(C745="","",IFERROR(INDEX(Materials!$H$5:$H$254,MATCH(C745,Materials!$A$5:$A$254,0)),"Add to Materials"))</f>
        <v>0</v>
      </c>
      <c r="J745" s="33">
        <f>IF(C745="","",IF(G745&lt;&gt;"",G745,IFERROR(INDEX(Materials!$W$5:$W$254,MATCH(C745,Materials!$A$5:$A$254,0)),DefaultWaste)))</f>
        <v>0</v>
      </c>
      <c r="K745" s="36">
        <f>IF(C745="","",IF(F745="","",ROUND(F745*(1+J745),4)))</f>
        <v>0</v>
      </c>
      <c r="L745" s="45">
        <f>IF(C745="","",IFERROR(INDEX(Materials!$S$5:$S$254,MATCH(C745,Materials!$A$5:$A$254,0)),""))</f>
        <v>0</v>
      </c>
      <c r="M745" s="45">
        <f>IF(C745="","",IF(OR(K745="",L745=""),"",ROUND(K745*L745,4)))</f>
        <v>0</v>
      </c>
      <c r="N745" s="20">
        <f>IF(A745="","",ROUND(SUMIFS('Material Usage'!$M$5:$M$904,'Material Usage'!$A$5:$A$904,A745),2))</f>
        <v>0</v>
      </c>
      <c r="O745" s="33">
        <f>IF(A745="","",IF(OR(M745="",N745="",N745=0),"",M745/N745))</f>
        <v>0</v>
      </c>
      <c r="P745" s="32">
        <f>IF(A745="","",COUNTIFS($A$5:A745,A745))</f>
        <v>0</v>
      </c>
      <c r="Q745" s="13">
        <f>IF(A745="","",A745&amp;"|"&amp;P745)</f>
        <v>0</v>
      </c>
      <c r="R745" s="43">
        <f>IF(AND(A745="",C745=""),"",IF(A745="","Add - which product?",IF(C745="","Add - which material?",IF(B745="Not found","Check - no such product ID",IF(D745="Add to Materials","Check - no such material ID",IF(OR(F745="",F745=0),"Add - how much?",IF(L745="","Check - that material has no price","OK")))))))</f>
        <v>0</v>
      </c>
    </row>
    <row r="746" spans="2:18">
      <c r="B746" s="13">
        <f>IF(A746="","",IFERROR(INDEX(Products!$B$5:$B$304,MATCH(A746,Products!$A$5:$A$304,0)),"Not found"))</f>
        <v>0</v>
      </c>
      <c r="D746" s="13">
        <f>IF(C746="","",IFERROR(INDEX(Materials!$B$5:$B$254,MATCH(C746,Materials!$A$5:$A$254,0)),"Add to Materials"))</f>
        <v>0</v>
      </c>
      <c r="E746" s="13">
        <f>IF(C746="","",IFERROR(INDEX(Materials!$H$5:$H$254,MATCH(C746,Materials!$A$5:$A$254,0)),"Add to Materials"))</f>
        <v>0</v>
      </c>
      <c r="J746" s="33">
        <f>IF(C746="","",IF(G746&lt;&gt;"",G746,IFERROR(INDEX(Materials!$W$5:$W$254,MATCH(C746,Materials!$A$5:$A$254,0)),DefaultWaste)))</f>
        <v>0</v>
      </c>
      <c r="K746" s="36">
        <f>IF(C746="","",IF(F746="","",ROUND(F746*(1+J746),4)))</f>
        <v>0</v>
      </c>
      <c r="L746" s="45">
        <f>IF(C746="","",IFERROR(INDEX(Materials!$S$5:$S$254,MATCH(C746,Materials!$A$5:$A$254,0)),""))</f>
        <v>0</v>
      </c>
      <c r="M746" s="45">
        <f>IF(C746="","",IF(OR(K746="",L746=""),"",ROUND(K746*L746,4)))</f>
        <v>0</v>
      </c>
      <c r="N746" s="20">
        <f>IF(A746="","",ROUND(SUMIFS('Material Usage'!$M$5:$M$904,'Material Usage'!$A$5:$A$904,A746),2))</f>
        <v>0</v>
      </c>
      <c r="O746" s="33">
        <f>IF(A746="","",IF(OR(M746="",N746="",N746=0),"",M746/N746))</f>
        <v>0</v>
      </c>
      <c r="P746" s="32">
        <f>IF(A746="","",COUNTIFS($A$5:A746,A746))</f>
        <v>0</v>
      </c>
      <c r="Q746" s="13">
        <f>IF(A746="","",A746&amp;"|"&amp;P746)</f>
        <v>0</v>
      </c>
      <c r="R746" s="43">
        <f>IF(AND(A746="",C746=""),"",IF(A746="","Add - which product?",IF(C746="","Add - which material?",IF(B746="Not found","Check - no such product ID",IF(D746="Add to Materials","Check - no such material ID",IF(OR(F746="",F746=0),"Add - how much?",IF(L746="","Check - that material has no price","OK")))))))</f>
        <v>0</v>
      </c>
    </row>
    <row r="747" spans="2:18">
      <c r="B747" s="13">
        <f>IF(A747="","",IFERROR(INDEX(Products!$B$5:$B$304,MATCH(A747,Products!$A$5:$A$304,0)),"Not found"))</f>
        <v>0</v>
      </c>
      <c r="D747" s="13">
        <f>IF(C747="","",IFERROR(INDEX(Materials!$B$5:$B$254,MATCH(C747,Materials!$A$5:$A$254,0)),"Add to Materials"))</f>
        <v>0</v>
      </c>
      <c r="E747" s="13">
        <f>IF(C747="","",IFERROR(INDEX(Materials!$H$5:$H$254,MATCH(C747,Materials!$A$5:$A$254,0)),"Add to Materials"))</f>
        <v>0</v>
      </c>
      <c r="J747" s="33">
        <f>IF(C747="","",IF(G747&lt;&gt;"",G747,IFERROR(INDEX(Materials!$W$5:$W$254,MATCH(C747,Materials!$A$5:$A$254,0)),DefaultWaste)))</f>
        <v>0</v>
      </c>
      <c r="K747" s="36">
        <f>IF(C747="","",IF(F747="","",ROUND(F747*(1+J747),4)))</f>
        <v>0</v>
      </c>
      <c r="L747" s="45">
        <f>IF(C747="","",IFERROR(INDEX(Materials!$S$5:$S$254,MATCH(C747,Materials!$A$5:$A$254,0)),""))</f>
        <v>0</v>
      </c>
      <c r="M747" s="45">
        <f>IF(C747="","",IF(OR(K747="",L747=""),"",ROUND(K747*L747,4)))</f>
        <v>0</v>
      </c>
      <c r="N747" s="20">
        <f>IF(A747="","",ROUND(SUMIFS('Material Usage'!$M$5:$M$904,'Material Usage'!$A$5:$A$904,A747),2))</f>
        <v>0</v>
      </c>
      <c r="O747" s="33">
        <f>IF(A747="","",IF(OR(M747="",N747="",N747=0),"",M747/N747))</f>
        <v>0</v>
      </c>
      <c r="P747" s="32">
        <f>IF(A747="","",COUNTIFS($A$5:A747,A747))</f>
        <v>0</v>
      </c>
      <c r="Q747" s="13">
        <f>IF(A747="","",A747&amp;"|"&amp;P747)</f>
        <v>0</v>
      </c>
      <c r="R747" s="43">
        <f>IF(AND(A747="",C747=""),"",IF(A747="","Add - which product?",IF(C747="","Add - which material?",IF(B747="Not found","Check - no such product ID",IF(D747="Add to Materials","Check - no such material ID",IF(OR(F747="",F747=0),"Add - how much?",IF(L747="","Check - that material has no price","OK")))))))</f>
        <v>0</v>
      </c>
    </row>
    <row r="748" spans="2:18">
      <c r="B748" s="13">
        <f>IF(A748="","",IFERROR(INDEX(Products!$B$5:$B$304,MATCH(A748,Products!$A$5:$A$304,0)),"Not found"))</f>
        <v>0</v>
      </c>
      <c r="D748" s="13">
        <f>IF(C748="","",IFERROR(INDEX(Materials!$B$5:$B$254,MATCH(C748,Materials!$A$5:$A$254,0)),"Add to Materials"))</f>
        <v>0</v>
      </c>
      <c r="E748" s="13">
        <f>IF(C748="","",IFERROR(INDEX(Materials!$H$5:$H$254,MATCH(C748,Materials!$A$5:$A$254,0)),"Add to Materials"))</f>
        <v>0</v>
      </c>
      <c r="J748" s="33">
        <f>IF(C748="","",IF(G748&lt;&gt;"",G748,IFERROR(INDEX(Materials!$W$5:$W$254,MATCH(C748,Materials!$A$5:$A$254,0)),DefaultWaste)))</f>
        <v>0</v>
      </c>
      <c r="K748" s="36">
        <f>IF(C748="","",IF(F748="","",ROUND(F748*(1+J748),4)))</f>
        <v>0</v>
      </c>
      <c r="L748" s="45">
        <f>IF(C748="","",IFERROR(INDEX(Materials!$S$5:$S$254,MATCH(C748,Materials!$A$5:$A$254,0)),""))</f>
        <v>0</v>
      </c>
      <c r="M748" s="45">
        <f>IF(C748="","",IF(OR(K748="",L748=""),"",ROUND(K748*L748,4)))</f>
        <v>0</v>
      </c>
      <c r="N748" s="20">
        <f>IF(A748="","",ROUND(SUMIFS('Material Usage'!$M$5:$M$904,'Material Usage'!$A$5:$A$904,A748),2))</f>
        <v>0</v>
      </c>
      <c r="O748" s="33">
        <f>IF(A748="","",IF(OR(M748="",N748="",N748=0),"",M748/N748))</f>
        <v>0</v>
      </c>
      <c r="P748" s="32">
        <f>IF(A748="","",COUNTIFS($A$5:A748,A748))</f>
        <v>0</v>
      </c>
      <c r="Q748" s="13">
        <f>IF(A748="","",A748&amp;"|"&amp;P748)</f>
        <v>0</v>
      </c>
      <c r="R748" s="43">
        <f>IF(AND(A748="",C748=""),"",IF(A748="","Add - which product?",IF(C748="","Add - which material?",IF(B748="Not found","Check - no such product ID",IF(D748="Add to Materials","Check - no such material ID",IF(OR(F748="",F748=0),"Add - how much?",IF(L748="","Check - that material has no price","OK")))))))</f>
        <v>0</v>
      </c>
    </row>
    <row r="749" spans="2:18">
      <c r="B749" s="13">
        <f>IF(A749="","",IFERROR(INDEX(Products!$B$5:$B$304,MATCH(A749,Products!$A$5:$A$304,0)),"Not found"))</f>
        <v>0</v>
      </c>
      <c r="D749" s="13">
        <f>IF(C749="","",IFERROR(INDEX(Materials!$B$5:$B$254,MATCH(C749,Materials!$A$5:$A$254,0)),"Add to Materials"))</f>
        <v>0</v>
      </c>
      <c r="E749" s="13">
        <f>IF(C749="","",IFERROR(INDEX(Materials!$H$5:$H$254,MATCH(C749,Materials!$A$5:$A$254,0)),"Add to Materials"))</f>
        <v>0</v>
      </c>
      <c r="J749" s="33">
        <f>IF(C749="","",IF(G749&lt;&gt;"",G749,IFERROR(INDEX(Materials!$W$5:$W$254,MATCH(C749,Materials!$A$5:$A$254,0)),DefaultWaste)))</f>
        <v>0</v>
      </c>
      <c r="K749" s="36">
        <f>IF(C749="","",IF(F749="","",ROUND(F749*(1+J749),4)))</f>
        <v>0</v>
      </c>
      <c r="L749" s="45">
        <f>IF(C749="","",IFERROR(INDEX(Materials!$S$5:$S$254,MATCH(C749,Materials!$A$5:$A$254,0)),""))</f>
        <v>0</v>
      </c>
      <c r="M749" s="45">
        <f>IF(C749="","",IF(OR(K749="",L749=""),"",ROUND(K749*L749,4)))</f>
        <v>0</v>
      </c>
      <c r="N749" s="20">
        <f>IF(A749="","",ROUND(SUMIFS('Material Usage'!$M$5:$M$904,'Material Usage'!$A$5:$A$904,A749),2))</f>
        <v>0</v>
      </c>
      <c r="O749" s="33">
        <f>IF(A749="","",IF(OR(M749="",N749="",N749=0),"",M749/N749))</f>
        <v>0</v>
      </c>
      <c r="P749" s="32">
        <f>IF(A749="","",COUNTIFS($A$5:A749,A749))</f>
        <v>0</v>
      </c>
      <c r="Q749" s="13">
        <f>IF(A749="","",A749&amp;"|"&amp;P749)</f>
        <v>0</v>
      </c>
      <c r="R749" s="43">
        <f>IF(AND(A749="",C749=""),"",IF(A749="","Add - which product?",IF(C749="","Add - which material?",IF(B749="Not found","Check - no such product ID",IF(D749="Add to Materials","Check - no such material ID",IF(OR(F749="",F749=0),"Add - how much?",IF(L749="","Check - that material has no price","OK")))))))</f>
        <v>0</v>
      </c>
    </row>
    <row r="750" spans="2:18">
      <c r="B750" s="13">
        <f>IF(A750="","",IFERROR(INDEX(Products!$B$5:$B$304,MATCH(A750,Products!$A$5:$A$304,0)),"Not found"))</f>
        <v>0</v>
      </c>
      <c r="D750" s="13">
        <f>IF(C750="","",IFERROR(INDEX(Materials!$B$5:$B$254,MATCH(C750,Materials!$A$5:$A$254,0)),"Add to Materials"))</f>
        <v>0</v>
      </c>
      <c r="E750" s="13">
        <f>IF(C750="","",IFERROR(INDEX(Materials!$H$5:$H$254,MATCH(C750,Materials!$A$5:$A$254,0)),"Add to Materials"))</f>
        <v>0</v>
      </c>
      <c r="J750" s="33">
        <f>IF(C750="","",IF(G750&lt;&gt;"",G750,IFERROR(INDEX(Materials!$W$5:$W$254,MATCH(C750,Materials!$A$5:$A$254,0)),DefaultWaste)))</f>
        <v>0</v>
      </c>
      <c r="K750" s="36">
        <f>IF(C750="","",IF(F750="","",ROUND(F750*(1+J750),4)))</f>
        <v>0</v>
      </c>
      <c r="L750" s="45">
        <f>IF(C750="","",IFERROR(INDEX(Materials!$S$5:$S$254,MATCH(C750,Materials!$A$5:$A$254,0)),""))</f>
        <v>0</v>
      </c>
      <c r="M750" s="45">
        <f>IF(C750="","",IF(OR(K750="",L750=""),"",ROUND(K750*L750,4)))</f>
        <v>0</v>
      </c>
      <c r="N750" s="20">
        <f>IF(A750="","",ROUND(SUMIFS('Material Usage'!$M$5:$M$904,'Material Usage'!$A$5:$A$904,A750),2))</f>
        <v>0</v>
      </c>
      <c r="O750" s="33">
        <f>IF(A750="","",IF(OR(M750="",N750="",N750=0),"",M750/N750))</f>
        <v>0</v>
      </c>
      <c r="P750" s="32">
        <f>IF(A750="","",COUNTIFS($A$5:A750,A750))</f>
        <v>0</v>
      </c>
      <c r="Q750" s="13">
        <f>IF(A750="","",A750&amp;"|"&amp;P750)</f>
        <v>0</v>
      </c>
      <c r="R750" s="43">
        <f>IF(AND(A750="",C750=""),"",IF(A750="","Add - which product?",IF(C750="","Add - which material?",IF(B750="Not found","Check - no such product ID",IF(D750="Add to Materials","Check - no such material ID",IF(OR(F750="",F750=0),"Add - how much?",IF(L750="","Check - that material has no price","OK")))))))</f>
        <v>0</v>
      </c>
    </row>
    <row r="751" spans="2:18">
      <c r="B751" s="13">
        <f>IF(A751="","",IFERROR(INDEX(Products!$B$5:$B$304,MATCH(A751,Products!$A$5:$A$304,0)),"Not found"))</f>
        <v>0</v>
      </c>
      <c r="D751" s="13">
        <f>IF(C751="","",IFERROR(INDEX(Materials!$B$5:$B$254,MATCH(C751,Materials!$A$5:$A$254,0)),"Add to Materials"))</f>
        <v>0</v>
      </c>
      <c r="E751" s="13">
        <f>IF(C751="","",IFERROR(INDEX(Materials!$H$5:$H$254,MATCH(C751,Materials!$A$5:$A$254,0)),"Add to Materials"))</f>
        <v>0</v>
      </c>
      <c r="J751" s="33">
        <f>IF(C751="","",IF(G751&lt;&gt;"",G751,IFERROR(INDEX(Materials!$W$5:$W$254,MATCH(C751,Materials!$A$5:$A$254,0)),DefaultWaste)))</f>
        <v>0</v>
      </c>
      <c r="K751" s="36">
        <f>IF(C751="","",IF(F751="","",ROUND(F751*(1+J751),4)))</f>
        <v>0</v>
      </c>
      <c r="L751" s="45">
        <f>IF(C751="","",IFERROR(INDEX(Materials!$S$5:$S$254,MATCH(C751,Materials!$A$5:$A$254,0)),""))</f>
        <v>0</v>
      </c>
      <c r="M751" s="45">
        <f>IF(C751="","",IF(OR(K751="",L751=""),"",ROUND(K751*L751,4)))</f>
        <v>0</v>
      </c>
      <c r="N751" s="20">
        <f>IF(A751="","",ROUND(SUMIFS('Material Usage'!$M$5:$M$904,'Material Usage'!$A$5:$A$904,A751),2))</f>
        <v>0</v>
      </c>
      <c r="O751" s="33">
        <f>IF(A751="","",IF(OR(M751="",N751="",N751=0),"",M751/N751))</f>
        <v>0</v>
      </c>
      <c r="P751" s="32">
        <f>IF(A751="","",COUNTIFS($A$5:A751,A751))</f>
        <v>0</v>
      </c>
      <c r="Q751" s="13">
        <f>IF(A751="","",A751&amp;"|"&amp;P751)</f>
        <v>0</v>
      </c>
      <c r="R751" s="43">
        <f>IF(AND(A751="",C751=""),"",IF(A751="","Add - which product?",IF(C751="","Add - which material?",IF(B751="Not found","Check - no such product ID",IF(D751="Add to Materials","Check - no such material ID",IF(OR(F751="",F751=0),"Add - how much?",IF(L751="","Check - that material has no price","OK")))))))</f>
        <v>0</v>
      </c>
    </row>
    <row r="752" spans="2:18">
      <c r="B752" s="13">
        <f>IF(A752="","",IFERROR(INDEX(Products!$B$5:$B$304,MATCH(A752,Products!$A$5:$A$304,0)),"Not found"))</f>
        <v>0</v>
      </c>
      <c r="D752" s="13">
        <f>IF(C752="","",IFERROR(INDEX(Materials!$B$5:$B$254,MATCH(C752,Materials!$A$5:$A$254,0)),"Add to Materials"))</f>
        <v>0</v>
      </c>
      <c r="E752" s="13">
        <f>IF(C752="","",IFERROR(INDEX(Materials!$H$5:$H$254,MATCH(C752,Materials!$A$5:$A$254,0)),"Add to Materials"))</f>
        <v>0</v>
      </c>
      <c r="J752" s="33">
        <f>IF(C752="","",IF(G752&lt;&gt;"",G752,IFERROR(INDEX(Materials!$W$5:$W$254,MATCH(C752,Materials!$A$5:$A$254,0)),DefaultWaste)))</f>
        <v>0</v>
      </c>
      <c r="K752" s="36">
        <f>IF(C752="","",IF(F752="","",ROUND(F752*(1+J752),4)))</f>
        <v>0</v>
      </c>
      <c r="L752" s="45">
        <f>IF(C752="","",IFERROR(INDEX(Materials!$S$5:$S$254,MATCH(C752,Materials!$A$5:$A$254,0)),""))</f>
        <v>0</v>
      </c>
      <c r="M752" s="45">
        <f>IF(C752="","",IF(OR(K752="",L752=""),"",ROUND(K752*L752,4)))</f>
        <v>0</v>
      </c>
      <c r="N752" s="20">
        <f>IF(A752="","",ROUND(SUMIFS('Material Usage'!$M$5:$M$904,'Material Usage'!$A$5:$A$904,A752),2))</f>
        <v>0</v>
      </c>
      <c r="O752" s="33">
        <f>IF(A752="","",IF(OR(M752="",N752="",N752=0),"",M752/N752))</f>
        <v>0</v>
      </c>
      <c r="P752" s="32">
        <f>IF(A752="","",COUNTIFS($A$5:A752,A752))</f>
        <v>0</v>
      </c>
      <c r="Q752" s="13">
        <f>IF(A752="","",A752&amp;"|"&amp;P752)</f>
        <v>0</v>
      </c>
      <c r="R752" s="43">
        <f>IF(AND(A752="",C752=""),"",IF(A752="","Add - which product?",IF(C752="","Add - which material?",IF(B752="Not found","Check - no such product ID",IF(D752="Add to Materials","Check - no such material ID",IF(OR(F752="",F752=0),"Add - how much?",IF(L752="","Check - that material has no price","OK")))))))</f>
        <v>0</v>
      </c>
    </row>
    <row r="753" spans="2:18">
      <c r="B753" s="13">
        <f>IF(A753="","",IFERROR(INDEX(Products!$B$5:$B$304,MATCH(A753,Products!$A$5:$A$304,0)),"Not found"))</f>
        <v>0</v>
      </c>
      <c r="D753" s="13">
        <f>IF(C753="","",IFERROR(INDEX(Materials!$B$5:$B$254,MATCH(C753,Materials!$A$5:$A$254,0)),"Add to Materials"))</f>
        <v>0</v>
      </c>
      <c r="E753" s="13">
        <f>IF(C753="","",IFERROR(INDEX(Materials!$H$5:$H$254,MATCH(C753,Materials!$A$5:$A$254,0)),"Add to Materials"))</f>
        <v>0</v>
      </c>
      <c r="J753" s="33">
        <f>IF(C753="","",IF(G753&lt;&gt;"",G753,IFERROR(INDEX(Materials!$W$5:$W$254,MATCH(C753,Materials!$A$5:$A$254,0)),DefaultWaste)))</f>
        <v>0</v>
      </c>
      <c r="K753" s="36">
        <f>IF(C753="","",IF(F753="","",ROUND(F753*(1+J753),4)))</f>
        <v>0</v>
      </c>
      <c r="L753" s="45">
        <f>IF(C753="","",IFERROR(INDEX(Materials!$S$5:$S$254,MATCH(C753,Materials!$A$5:$A$254,0)),""))</f>
        <v>0</v>
      </c>
      <c r="M753" s="45">
        <f>IF(C753="","",IF(OR(K753="",L753=""),"",ROUND(K753*L753,4)))</f>
        <v>0</v>
      </c>
      <c r="N753" s="20">
        <f>IF(A753="","",ROUND(SUMIFS('Material Usage'!$M$5:$M$904,'Material Usage'!$A$5:$A$904,A753),2))</f>
        <v>0</v>
      </c>
      <c r="O753" s="33">
        <f>IF(A753="","",IF(OR(M753="",N753="",N753=0),"",M753/N753))</f>
        <v>0</v>
      </c>
      <c r="P753" s="32">
        <f>IF(A753="","",COUNTIFS($A$5:A753,A753))</f>
        <v>0</v>
      </c>
      <c r="Q753" s="13">
        <f>IF(A753="","",A753&amp;"|"&amp;P753)</f>
        <v>0</v>
      </c>
      <c r="R753" s="43">
        <f>IF(AND(A753="",C753=""),"",IF(A753="","Add - which product?",IF(C753="","Add - which material?",IF(B753="Not found","Check - no such product ID",IF(D753="Add to Materials","Check - no such material ID",IF(OR(F753="",F753=0),"Add - how much?",IF(L753="","Check - that material has no price","OK")))))))</f>
        <v>0</v>
      </c>
    </row>
    <row r="754" spans="2:18">
      <c r="B754" s="13">
        <f>IF(A754="","",IFERROR(INDEX(Products!$B$5:$B$304,MATCH(A754,Products!$A$5:$A$304,0)),"Not found"))</f>
        <v>0</v>
      </c>
      <c r="D754" s="13">
        <f>IF(C754="","",IFERROR(INDEX(Materials!$B$5:$B$254,MATCH(C754,Materials!$A$5:$A$254,0)),"Add to Materials"))</f>
        <v>0</v>
      </c>
      <c r="E754" s="13">
        <f>IF(C754="","",IFERROR(INDEX(Materials!$H$5:$H$254,MATCH(C754,Materials!$A$5:$A$254,0)),"Add to Materials"))</f>
        <v>0</v>
      </c>
      <c r="J754" s="33">
        <f>IF(C754="","",IF(G754&lt;&gt;"",G754,IFERROR(INDEX(Materials!$W$5:$W$254,MATCH(C754,Materials!$A$5:$A$254,0)),DefaultWaste)))</f>
        <v>0</v>
      </c>
      <c r="K754" s="36">
        <f>IF(C754="","",IF(F754="","",ROUND(F754*(1+J754),4)))</f>
        <v>0</v>
      </c>
      <c r="L754" s="45">
        <f>IF(C754="","",IFERROR(INDEX(Materials!$S$5:$S$254,MATCH(C754,Materials!$A$5:$A$254,0)),""))</f>
        <v>0</v>
      </c>
      <c r="M754" s="45">
        <f>IF(C754="","",IF(OR(K754="",L754=""),"",ROUND(K754*L754,4)))</f>
        <v>0</v>
      </c>
      <c r="N754" s="20">
        <f>IF(A754="","",ROUND(SUMIFS('Material Usage'!$M$5:$M$904,'Material Usage'!$A$5:$A$904,A754),2))</f>
        <v>0</v>
      </c>
      <c r="O754" s="33">
        <f>IF(A754="","",IF(OR(M754="",N754="",N754=0),"",M754/N754))</f>
        <v>0</v>
      </c>
      <c r="P754" s="32">
        <f>IF(A754="","",COUNTIFS($A$5:A754,A754))</f>
        <v>0</v>
      </c>
      <c r="Q754" s="13">
        <f>IF(A754="","",A754&amp;"|"&amp;P754)</f>
        <v>0</v>
      </c>
      <c r="R754" s="43">
        <f>IF(AND(A754="",C754=""),"",IF(A754="","Add - which product?",IF(C754="","Add - which material?",IF(B754="Not found","Check - no such product ID",IF(D754="Add to Materials","Check - no such material ID",IF(OR(F754="",F754=0),"Add - how much?",IF(L754="","Check - that material has no price","OK")))))))</f>
        <v>0</v>
      </c>
    </row>
    <row r="755" spans="2:18">
      <c r="B755" s="13">
        <f>IF(A755="","",IFERROR(INDEX(Products!$B$5:$B$304,MATCH(A755,Products!$A$5:$A$304,0)),"Not found"))</f>
        <v>0</v>
      </c>
      <c r="D755" s="13">
        <f>IF(C755="","",IFERROR(INDEX(Materials!$B$5:$B$254,MATCH(C755,Materials!$A$5:$A$254,0)),"Add to Materials"))</f>
        <v>0</v>
      </c>
      <c r="E755" s="13">
        <f>IF(C755="","",IFERROR(INDEX(Materials!$H$5:$H$254,MATCH(C755,Materials!$A$5:$A$254,0)),"Add to Materials"))</f>
        <v>0</v>
      </c>
      <c r="J755" s="33">
        <f>IF(C755="","",IF(G755&lt;&gt;"",G755,IFERROR(INDEX(Materials!$W$5:$W$254,MATCH(C755,Materials!$A$5:$A$254,0)),DefaultWaste)))</f>
        <v>0</v>
      </c>
      <c r="K755" s="36">
        <f>IF(C755="","",IF(F755="","",ROUND(F755*(1+J755),4)))</f>
        <v>0</v>
      </c>
      <c r="L755" s="45">
        <f>IF(C755="","",IFERROR(INDEX(Materials!$S$5:$S$254,MATCH(C755,Materials!$A$5:$A$254,0)),""))</f>
        <v>0</v>
      </c>
      <c r="M755" s="45">
        <f>IF(C755="","",IF(OR(K755="",L755=""),"",ROUND(K755*L755,4)))</f>
        <v>0</v>
      </c>
      <c r="N755" s="20">
        <f>IF(A755="","",ROUND(SUMIFS('Material Usage'!$M$5:$M$904,'Material Usage'!$A$5:$A$904,A755),2))</f>
        <v>0</v>
      </c>
      <c r="O755" s="33">
        <f>IF(A755="","",IF(OR(M755="",N755="",N755=0),"",M755/N755))</f>
        <v>0</v>
      </c>
      <c r="P755" s="32">
        <f>IF(A755="","",COUNTIFS($A$5:A755,A755))</f>
        <v>0</v>
      </c>
      <c r="Q755" s="13">
        <f>IF(A755="","",A755&amp;"|"&amp;P755)</f>
        <v>0</v>
      </c>
      <c r="R755" s="43">
        <f>IF(AND(A755="",C755=""),"",IF(A755="","Add - which product?",IF(C755="","Add - which material?",IF(B755="Not found","Check - no such product ID",IF(D755="Add to Materials","Check - no such material ID",IF(OR(F755="",F755=0),"Add - how much?",IF(L755="","Check - that material has no price","OK")))))))</f>
        <v>0</v>
      </c>
    </row>
    <row r="756" spans="2:18">
      <c r="B756" s="13">
        <f>IF(A756="","",IFERROR(INDEX(Products!$B$5:$B$304,MATCH(A756,Products!$A$5:$A$304,0)),"Not found"))</f>
        <v>0</v>
      </c>
      <c r="D756" s="13">
        <f>IF(C756="","",IFERROR(INDEX(Materials!$B$5:$B$254,MATCH(C756,Materials!$A$5:$A$254,0)),"Add to Materials"))</f>
        <v>0</v>
      </c>
      <c r="E756" s="13">
        <f>IF(C756="","",IFERROR(INDEX(Materials!$H$5:$H$254,MATCH(C756,Materials!$A$5:$A$254,0)),"Add to Materials"))</f>
        <v>0</v>
      </c>
      <c r="J756" s="33">
        <f>IF(C756="","",IF(G756&lt;&gt;"",G756,IFERROR(INDEX(Materials!$W$5:$W$254,MATCH(C756,Materials!$A$5:$A$254,0)),DefaultWaste)))</f>
        <v>0</v>
      </c>
      <c r="K756" s="36">
        <f>IF(C756="","",IF(F756="","",ROUND(F756*(1+J756),4)))</f>
        <v>0</v>
      </c>
      <c r="L756" s="45">
        <f>IF(C756="","",IFERROR(INDEX(Materials!$S$5:$S$254,MATCH(C756,Materials!$A$5:$A$254,0)),""))</f>
        <v>0</v>
      </c>
      <c r="M756" s="45">
        <f>IF(C756="","",IF(OR(K756="",L756=""),"",ROUND(K756*L756,4)))</f>
        <v>0</v>
      </c>
      <c r="N756" s="20">
        <f>IF(A756="","",ROUND(SUMIFS('Material Usage'!$M$5:$M$904,'Material Usage'!$A$5:$A$904,A756),2))</f>
        <v>0</v>
      </c>
      <c r="O756" s="33">
        <f>IF(A756="","",IF(OR(M756="",N756="",N756=0),"",M756/N756))</f>
        <v>0</v>
      </c>
      <c r="P756" s="32">
        <f>IF(A756="","",COUNTIFS($A$5:A756,A756))</f>
        <v>0</v>
      </c>
      <c r="Q756" s="13">
        <f>IF(A756="","",A756&amp;"|"&amp;P756)</f>
        <v>0</v>
      </c>
      <c r="R756" s="43">
        <f>IF(AND(A756="",C756=""),"",IF(A756="","Add - which product?",IF(C756="","Add - which material?",IF(B756="Not found","Check - no such product ID",IF(D756="Add to Materials","Check - no such material ID",IF(OR(F756="",F756=0),"Add - how much?",IF(L756="","Check - that material has no price","OK")))))))</f>
        <v>0</v>
      </c>
    </row>
    <row r="757" spans="2:18">
      <c r="B757" s="13">
        <f>IF(A757="","",IFERROR(INDEX(Products!$B$5:$B$304,MATCH(A757,Products!$A$5:$A$304,0)),"Not found"))</f>
        <v>0</v>
      </c>
      <c r="D757" s="13">
        <f>IF(C757="","",IFERROR(INDEX(Materials!$B$5:$B$254,MATCH(C757,Materials!$A$5:$A$254,0)),"Add to Materials"))</f>
        <v>0</v>
      </c>
      <c r="E757" s="13">
        <f>IF(C757="","",IFERROR(INDEX(Materials!$H$5:$H$254,MATCH(C757,Materials!$A$5:$A$254,0)),"Add to Materials"))</f>
        <v>0</v>
      </c>
      <c r="J757" s="33">
        <f>IF(C757="","",IF(G757&lt;&gt;"",G757,IFERROR(INDEX(Materials!$W$5:$W$254,MATCH(C757,Materials!$A$5:$A$254,0)),DefaultWaste)))</f>
        <v>0</v>
      </c>
      <c r="K757" s="36">
        <f>IF(C757="","",IF(F757="","",ROUND(F757*(1+J757),4)))</f>
        <v>0</v>
      </c>
      <c r="L757" s="45">
        <f>IF(C757="","",IFERROR(INDEX(Materials!$S$5:$S$254,MATCH(C757,Materials!$A$5:$A$254,0)),""))</f>
        <v>0</v>
      </c>
      <c r="M757" s="45">
        <f>IF(C757="","",IF(OR(K757="",L757=""),"",ROUND(K757*L757,4)))</f>
        <v>0</v>
      </c>
      <c r="N757" s="20">
        <f>IF(A757="","",ROUND(SUMIFS('Material Usage'!$M$5:$M$904,'Material Usage'!$A$5:$A$904,A757),2))</f>
        <v>0</v>
      </c>
      <c r="O757" s="33">
        <f>IF(A757="","",IF(OR(M757="",N757="",N757=0),"",M757/N757))</f>
        <v>0</v>
      </c>
      <c r="P757" s="32">
        <f>IF(A757="","",COUNTIFS($A$5:A757,A757))</f>
        <v>0</v>
      </c>
      <c r="Q757" s="13">
        <f>IF(A757="","",A757&amp;"|"&amp;P757)</f>
        <v>0</v>
      </c>
      <c r="R757" s="43">
        <f>IF(AND(A757="",C757=""),"",IF(A757="","Add - which product?",IF(C757="","Add - which material?",IF(B757="Not found","Check - no such product ID",IF(D757="Add to Materials","Check - no such material ID",IF(OR(F757="",F757=0),"Add - how much?",IF(L757="","Check - that material has no price","OK")))))))</f>
        <v>0</v>
      </c>
    </row>
    <row r="758" spans="2:18">
      <c r="B758" s="13">
        <f>IF(A758="","",IFERROR(INDEX(Products!$B$5:$B$304,MATCH(A758,Products!$A$5:$A$304,0)),"Not found"))</f>
        <v>0</v>
      </c>
      <c r="D758" s="13">
        <f>IF(C758="","",IFERROR(INDEX(Materials!$B$5:$B$254,MATCH(C758,Materials!$A$5:$A$254,0)),"Add to Materials"))</f>
        <v>0</v>
      </c>
      <c r="E758" s="13">
        <f>IF(C758="","",IFERROR(INDEX(Materials!$H$5:$H$254,MATCH(C758,Materials!$A$5:$A$254,0)),"Add to Materials"))</f>
        <v>0</v>
      </c>
      <c r="J758" s="33">
        <f>IF(C758="","",IF(G758&lt;&gt;"",G758,IFERROR(INDEX(Materials!$W$5:$W$254,MATCH(C758,Materials!$A$5:$A$254,0)),DefaultWaste)))</f>
        <v>0</v>
      </c>
      <c r="K758" s="36">
        <f>IF(C758="","",IF(F758="","",ROUND(F758*(1+J758),4)))</f>
        <v>0</v>
      </c>
      <c r="L758" s="45">
        <f>IF(C758="","",IFERROR(INDEX(Materials!$S$5:$S$254,MATCH(C758,Materials!$A$5:$A$254,0)),""))</f>
        <v>0</v>
      </c>
      <c r="M758" s="45">
        <f>IF(C758="","",IF(OR(K758="",L758=""),"",ROUND(K758*L758,4)))</f>
        <v>0</v>
      </c>
      <c r="N758" s="20">
        <f>IF(A758="","",ROUND(SUMIFS('Material Usage'!$M$5:$M$904,'Material Usage'!$A$5:$A$904,A758),2))</f>
        <v>0</v>
      </c>
      <c r="O758" s="33">
        <f>IF(A758="","",IF(OR(M758="",N758="",N758=0),"",M758/N758))</f>
        <v>0</v>
      </c>
      <c r="P758" s="32">
        <f>IF(A758="","",COUNTIFS($A$5:A758,A758))</f>
        <v>0</v>
      </c>
      <c r="Q758" s="13">
        <f>IF(A758="","",A758&amp;"|"&amp;P758)</f>
        <v>0</v>
      </c>
      <c r="R758" s="43">
        <f>IF(AND(A758="",C758=""),"",IF(A758="","Add - which product?",IF(C758="","Add - which material?",IF(B758="Not found","Check - no such product ID",IF(D758="Add to Materials","Check - no such material ID",IF(OR(F758="",F758=0),"Add - how much?",IF(L758="","Check - that material has no price","OK")))))))</f>
        <v>0</v>
      </c>
    </row>
    <row r="759" spans="2:18">
      <c r="B759" s="13">
        <f>IF(A759="","",IFERROR(INDEX(Products!$B$5:$B$304,MATCH(A759,Products!$A$5:$A$304,0)),"Not found"))</f>
        <v>0</v>
      </c>
      <c r="D759" s="13">
        <f>IF(C759="","",IFERROR(INDEX(Materials!$B$5:$B$254,MATCH(C759,Materials!$A$5:$A$254,0)),"Add to Materials"))</f>
        <v>0</v>
      </c>
      <c r="E759" s="13">
        <f>IF(C759="","",IFERROR(INDEX(Materials!$H$5:$H$254,MATCH(C759,Materials!$A$5:$A$254,0)),"Add to Materials"))</f>
        <v>0</v>
      </c>
      <c r="J759" s="33">
        <f>IF(C759="","",IF(G759&lt;&gt;"",G759,IFERROR(INDEX(Materials!$W$5:$W$254,MATCH(C759,Materials!$A$5:$A$254,0)),DefaultWaste)))</f>
        <v>0</v>
      </c>
      <c r="K759" s="36">
        <f>IF(C759="","",IF(F759="","",ROUND(F759*(1+J759),4)))</f>
        <v>0</v>
      </c>
      <c r="L759" s="45">
        <f>IF(C759="","",IFERROR(INDEX(Materials!$S$5:$S$254,MATCH(C759,Materials!$A$5:$A$254,0)),""))</f>
        <v>0</v>
      </c>
      <c r="M759" s="45">
        <f>IF(C759="","",IF(OR(K759="",L759=""),"",ROUND(K759*L759,4)))</f>
        <v>0</v>
      </c>
      <c r="N759" s="20">
        <f>IF(A759="","",ROUND(SUMIFS('Material Usage'!$M$5:$M$904,'Material Usage'!$A$5:$A$904,A759),2))</f>
        <v>0</v>
      </c>
      <c r="O759" s="33">
        <f>IF(A759="","",IF(OR(M759="",N759="",N759=0),"",M759/N759))</f>
        <v>0</v>
      </c>
      <c r="P759" s="32">
        <f>IF(A759="","",COUNTIFS($A$5:A759,A759))</f>
        <v>0</v>
      </c>
      <c r="Q759" s="13">
        <f>IF(A759="","",A759&amp;"|"&amp;P759)</f>
        <v>0</v>
      </c>
      <c r="R759" s="43">
        <f>IF(AND(A759="",C759=""),"",IF(A759="","Add - which product?",IF(C759="","Add - which material?",IF(B759="Not found","Check - no such product ID",IF(D759="Add to Materials","Check - no such material ID",IF(OR(F759="",F759=0),"Add - how much?",IF(L759="","Check - that material has no price","OK")))))))</f>
        <v>0</v>
      </c>
    </row>
    <row r="760" spans="2:18">
      <c r="B760" s="13">
        <f>IF(A760="","",IFERROR(INDEX(Products!$B$5:$B$304,MATCH(A760,Products!$A$5:$A$304,0)),"Not found"))</f>
        <v>0</v>
      </c>
      <c r="D760" s="13">
        <f>IF(C760="","",IFERROR(INDEX(Materials!$B$5:$B$254,MATCH(C760,Materials!$A$5:$A$254,0)),"Add to Materials"))</f>
        <v>0</v>
      </c>
      <c r="E760" s="13">
        <f>IF(C760="","",IFERROR(INDEX(Materials!$H$5:$H$254,MATCH(C760,Materials!$A$5:$A$254,0)),"Add to Materials"))</f>
        <v>0</v>
      </c>
      <c r="J760" s="33">
        <f>IF(C760="","",IF(G760&lt;&gt;"",G760,IFERROR(INDEX(Materials!$W$5:$W$254,MATCH(C760,Materials!$A$5:$A$254,0)),DefaultWaste)))</f>
        <v>0</v>
      </c>
      <c r="K760" s="36">
        <f>IF(C760="","",IF(F760="","",ROUND(F760*(1+J760),4)))</f>
        <v>0</v>
      </c>
      <c r="L760" s="45">
        <f>IF(C760="","",IFERROR(INDEX(Materials!$S$5:$S$254,MATCH(C760,Materials!$A$5:$A$254,0)),""))</f>
        <v>0</v>
      </c>
      <c r="M760" s="45">
        <f>IF(C760="","",IF(OR(K760="",L760=""),"",ROUND(K760*L760,4)))</f>
        <v>0</v>
      </c>
      <c r="N760" s="20">
        <f>IF(A760="","",ROUND(SUMIFS('Material Usage'!$M$5:$M$904,'Material Usage'!$A$5:$A$904,A760),2))</f>
        <v>0</v>
      </c>
      <c r="O760" s="33">
        <f>IF(A760="","",IF(OR(M760="",N760="",N760=0),"",M760/N760))</f>
        <v>0</v>
      </c>
      <c r="P760" s="32">
        <f>IF(A760="","",COUNTIFS($A$5:A760,A760))</f>
        <v>0</v>
      </c>
      <c r="Q760" s="13">
        <f>IF(A760="","",A760&amp;"|"&amp;P760)</f>
        <v>0</v>
      </c>
      <c r="R760" s="43">
        <f>IF(AND(A760="",C760=""),"",IF(A760="","Add - which product?",IF(C760="","Add - which material?",IF(B760="Not found","Check - no such product ID",IF(D760="Add to Materials","Check - no such material ID",IF(OR(F760="",F760=0),"Add - how much?",IF(L760="","Check - that material has no price","OK")))))))</f>
        <v>0</v>
      </c>
    </row>
    <row r="761" spans="2:18">
      <c r="B761" s="13">
        <f>IF(A761="","",IFERROR(INDEX(Products!$B$5:$B$304,MATCH(A761,Products!$A$5:$A$304,0)),"Not found"))</f>
        <v>0</v>
      </c>
      <c r="D761" s="13">
        <f>IF(C761="","",IFERROR(INDEX(Materials!$B$5:$B$254,MATCH(C761,Materials!$A$5:$A$254,0)),"Add to Materials"))</f>
        <v>0</v>
      </c>
      <c r="E761" s="13">
        <f>IF(C761="","",IFERROR(INDEX(Materials!$H$5:$H$254,MATCH(C761,Materials!$A$5:$A$254,0)),"Add to Materials"))</f>
        <v>0</v>
      </c>
      <c r="J761" s="33">
        <f>IF(C761="","",IF(G761&lt;&gt;"",G761,IFERROR(INDEX(Materials!$W$5:$W$254,MATCH(C761,Materials!$A$5:$A$254,0)),DefaultWaste)))</f>
        <v>0</v>
      </c>
      <c r="K761" s="36">
        <f>IF(C761="","",IF(F761="","",ROUND(F761*(1+J761),4)))</f>
        <v>0</v>
      </c>
      <c r="L761" s="45">
        <f>IF(C761="","",IFERROR(INDEX(Materials!$S$5:$S$254,MATCH(C761,Materials!$A$5:$A$254,0)),""))</f>
        <v>0</v>
      </c>
      <c r="M761" s="45">
        <f>IF(C761="","",IF(OR(K761="",L761=""),"",ROUND(K761*L761,4)))</f>
        <v>0</v>
      </c>
      <c r="N761" s="20">
        <f>IF(A761="","",ROUND(SUMIFS('Material Usage'!$M$5:$M$904,'Material Usage'!$A$5:$A$904,A761),2))</f>
        <v>0</v>
      </c>
      <c r="O761" s="33">
        <f>IF(A761="","",IF(OR(M761="",N761="",N761=0),"",M761/N761))</f>
        <v>0</v>
      </c>
      <c r="P761" s="32">
        <f>IF(A761="","",COUNTIFS($A$5:A761,A761))</f>
        <v>0</v>
      </c>
      <c r="Q761" s="13">
        <f>IF(A761="","",A761&amp;"|"&amp;P761)</f>
        <v>0</v>
      </c>
      <c r="R761" s="43">
        <f>IF(AND(A761="",C761=""),"",IF(A761="","Add - which product?",IF(C761="","Add - which material?",IF(B761="Not found","Check - no such product ID",IF(D761="Add to Materials","Check - no such material ID",IF(OR(F761="",F761=0),"Add - how much?",IF(L761="","Check - that material has no price","OK")))))))</f>
        <v>0</v>
      </c>
    </row>
    <row r="762" spans="2:18">
      <c r="B762" s="13">
        <f>IF(A762="","",IFERROR(INDEX(Products!$B$5:$B$304,MATCH(A762,Products!$A$5:$A$304,0)),"Not found"))</f>
        <v>0</v>
      </c>
      <c r="D762" s="13">
        <f>IF(C762="","",IFERROR(INDEX(Materials!$B$5:$B$254,MATCH(C762,Materials!$A$5:$A$254,0)),"Add to Materials"))</f>
        <v>0</v>
      </c>
      <c r="E762" s="13">
        <f>IF(C762="","",IFERROR(INDEX(Materials!$H$5:$H$254,MATCH(C762,Materials!$A$5:$A$254,0)),"Add to Materials"))</f>
        <v>0</v>
      </c>
      <c r="J762" s="33">
        <f>IF(C762="","",IF(G762&lt;&gt;"",G762,IFERROR(INDEX(Materials!$W$5:$W$254,MATCH(C762,Materials!$A$5:$A$254,0)),DefaultWaste)))</f>
        <v>0</v>
      </c>
      <c r="K762" s="36">
        <f>IF(C762="","",IF(F762="","",ROUND(F762*(1+J762),4)))</f>
        <v>0</v>
      </c>
      <c r="L762" s="45">
        <f>IF(C762="","",IFERROR(INDEX(Materials!$S$5:$S$254,MATCH(C762,Materials!$A$5:$A$254,0)),""))</f>
        <v>0</v>
      </c>
      <c r="M762" s="45">
        <f>IF(C762="","",IF(OR(K762="",L762=""),"",ROUND(K762*L762,4)))</f>
        <v>0</v>
      </c>
      <c r="N762" s="20">
        <f>IF(A762="","",ROUND(SUMIFS('Material Usage'!$M$5:$M$904,'Material Usage'!$A$5:$A$904,A762),2))</f>
        <v>0</v>
      </c>
      <c r="O762" s="33">
        <f>IF(A762="","",IF(OR(M762="",N762="",N762=0),"",M762/N762))</f>
        <v>0</v>
      </c>
      <c r="P762" s="32">
        <f>IF(A762="","",COUNTIFS($A$5:A762,A762))</f>
        <v>0</v>
      </c>
      <c r="Q762" s="13">
        <f>IF(A762="","",A762&amp;"|"&amp;P762)</f>
        <v>0</v>
      </c>
      <c r="R762" s="43">
        <f>IF(AND(A762="",C762=""),"",IF(A762="","Add - which product?",IF(C762="","Add - which material?",IF(B762="Not found","Check - no such product ID",IF(D762="Add to Materials","Check - no such material ID",IF(OR(F762="",F762=0),"Add - how much?",IF(L762="","Check - that material has no price","OK")))))))</f>
        <v>0</v>
      </c>
    </row>
    <row r="763" spans="2:18">
      <c r="B763" s="13">
        <f>IF(A763="","",IFERROR(INDEX(Products!$B$5:$B$304,MATCH(A763,Products!$A$5:$A$304,0)),"Not found"))</f>
        <v>0</v>
      </c>
      <c r="D763" s="13">
        <f>IF(C763="","",IFERROR(INDEX(Materials!$B$5:$B$254,MATCH(C763,Materials!$A$5:$A$254,0)),"Add to Materials"))</f>
        <v>0</v>
      </c>
      <c r="E763" s="13">
        <f>IF(C763="","",IFERROR(INDEX(Materials!$H$5:$H$254,MATCH(C763,Materials!$A$5:$A$254,0)),"Add to Materials"))</f>
        <v>0</v>
      </c>
      <c r="J763" s="33">
        <f>IF(C763="","",IF(G763&lt;&gt;"",G763,IFERROR(INDEX(Materials!$W$5:$W$254,MATCH(C763,Materials!$A$5:$A$254,0)),DefaultWaste)))</f>
        <v>0</v>
      </c>
      <c r="K763" s="36">
        <f>IF(C763="","",IF(F763="","",ROUND(F763*(1+J763),4)))</f>
        <v>0</v>
      </c>
      <c r="L763" s="45">
        <f>IF(C763="","",IFERROR(INDEX(Materials!$S$5:$S$254,MATCH(C763,Materials!$A$5:$A$254,0)),""))</f>
        <v>0</v>
      </c>
      <c r="M763" s="45">
        <f>IF(C763="","",IF(OR(K763="",L763=""),"",ROUND(K763*L763,4)))</f>
        <v>0</v>
      </c>
      <c r="N763" s="20">
        <f>IF(A763="","",ROUND(SUMIFS('Material Usage'!$M$5:$M$904,'Material Usage'!$A$5:$A$904,A763),2))</f>
        <v>0</v>
      </c>
      <c r="O763" s="33">
        <f>IF(A763="","",IF(OR(M763="",N763="",N763=0),"",M763/N763))</f>
        <v>0</v>
      </c>
      <c r="P763" s="32">
        <f>IF(A763="","",COUNTIFS($A$5:A763,A763))</f>
        <v>0</v>
      </c>
      <c r="Q763" s="13">
        <f>IF(A763="","",A763&amp;"|"&amp;P763)</f>
        <v>0</v>
      </c>
      <c r="R763" s="43">
        <f>IF(AND(A763="",C763=""),"",IF(A763="","Add - which product?",IF(C763="","Add - which material?",IF(B763="Not found","Check - no such product ID",IF(D763="Add to Materials","Check - no such material ID",IF(OR(F763="",F763=0),"Add - how much?",IF(L763="","Check - that material has no price","OK")))))))</f>
        <v>0</v>
      </c>
    </row>
    <row r="764" spans="2:18">
      <c r="B764" s="13">
        <f>IF(A764="","",IFERROR(INDEX(Products!$B$5:$B$304,MATCH(A764,Products!$A$5:$A$304,0)),"Not found"))</f>
        <v>0</v>
      </c>
      <c r="D764" s="13">
        <f>IF(C764="","",IFERROR(INDEX(Materials!$B$5:$B$254,MATCH(C764,Materials!$A$5:$A$254,0)),"Add to Materials"))</f>
        <v>0</v>
      </c>
      <c r="E764" s="13">
        <f>IF(C764="","",IFERROR(INDEX(Materials!$H$5:$H$254,MATCH(C764,Materials!$A$5:$A$254,0)),"Add to Materials"))</f>
        <v>0</v>
      </c>
      <c r="J764" s="33">
        <f>IF(C764="","",IF(G764&lt;&gt;"",G764,IFERROR(INDEX(Materials!$W$5:$W$254,MATCH(C764,Materials!$A$5:$A$254,0)),DefaultWaste)))</f>
        <v>0</v>
      </c>
      <c r="K764" s="36">
        <f>IF(C764="","",IF(F764="","",ROUND(F764*(1+J764),4)))</f>
        <v>0</v>
      </c>
      <c r="L764" s="45">
        <f>IF(C764="","",IFERROR(INDEX(Materials!$S$5:$S$254,MATCH(C764,Materials!$A$5:$A$254,0)),""))</f>
        <v>0</v>
      </c>
      <c r="M764" s="45">
        <f>IF(C764="","",IF(OR(K764="",L764=""),"",ROUND(K764*L764,4)))</f>
        <v>0</v>
      </c>
      <c r="N764" s="20">
        <f>IF(A764="","",ROUND(SUMIFS('Material Usage'!$M$5:$M$904,'Material Usage'!$A$5:$A$904,A764),2))</f>
        <v>0</v>
      </c>
      <c r="O764" s="33">
        <f>IF(A764="","",IF(OR(M764="",N764="",N764=0),"",M764/N764))</f>
        <v>0</v>
      </c>
      <c r="P764" s="32">
        <f>IF(A764="","",COUNTIFS($A$5:A764,A764))</f>
        <v>0</v>
      </c>
      <c r="Q764" s="13">
        <f>IF(A764="","",A764&amp;"|"&amp;P764)</f>
        <v>0</v>
      </c>
      <c r="R764" s="43">
        <f>IF(AND(A764="",C764=""),"",IF(A764="","Add - which product?",IF(C764="","Add - which material?",IF(B764="Not found","Check - no such product ID",IF(D764="Add to Materials","Check - no such material ID",IF(OR(F764="",F764=0),"Add - how much?",IF(L764="","Check - that material has no price","OK")))))))</f>
        <v>0</v>
      </c>
    </row>
    <row r="765" spans="2:18">
      <c r="B765" s="13">
        <f>IF(A765="","",IFERROR(INDEX(Products!$B$5:$B$304,MATCH(A765,Products!$A$5:$A$304,0)),"Not found"))</f>
        <v>0</v>
      </c>
      <c r="D765" s="13">
        <f>IF(C765="","",IFERROR(INDEX(Materials!$B$5:$B$254,MATCH(C765,Materials!$A$5:$A$254,0)),"Add to Materials"))</f>
        <v>0</v>
      </c>
      <c r="E765" s="13">
        <f>IF(C765="","",IFERROR(INDEX(Materials!$H$5:$H$254,MATCH(C765,Materials!$A$5:$A$254,0)),"Add to Materials"))</f>
        <v>0</v>
      </c>
      <c r="J765" s="33">
        <f>IF(C765="","",IF(G765&lt;&gt;"",G765,IFERROR(INDEX(Materials!$W$5:$W$254,MATCH(C765,Materials!$A$5:$A$254,0)),DefaultWaste)))</f>
        <v>0</v>
      </c>
      <c r="K765" s="36">
        <f>IF(C765="","",IF(F765="","",ROUND(F765*(1+J765),4)))</f>
        <v>0</v>
      </c>
      <c r="L765" s="45">
        <f>IF(C765="","",IFERROR(INDEX(Materials!$S$5:$S$254,MATCH(C765,Materials!$A$5:$A$254,0)),""))</f>
        <v>0</v>
      </c>
      <c r="M765" s="45">
        <f>IF(C765="","",IF(OR(K765="",L765=""),"",ROUND(K765*L765,4)))</f>
        <v>0</v>
      </c>
      <c r="N765" s="20">
        <f>IF(A765="","",ROUND(SUMIFS('Material Usage'!$M$5:$M$904,'Material Usage'!$A$5:$A$904,A765),2))</f>
        <v>0</v>
      </c>
      <c r="O765" s="33">
        <f>IF(A765="","",IF(OR(M765="",N765="",N765=0),"",M765/N765))</f>
        <v>0</v>
      </c>
      <c r="P765" s="32">
        <f>IF(A765="","",COUNTIFS($A$5:A765,A765))</f>
        <v>0</v>
      </c>
      <c r="Q765" s="13">
        <f>IF(A765="","",A765&amp;"|"&amp;P765)</f>
        <v>0</v>
      </c>
      <c r="R765" s="43">
        <f>IF(AND(A765="",C765=""),"",IF(A765="","Add - which product?",IF(C765="","Add - which material?",IF(B765="Not found","Check - no such product ID",IF(D765="Add to Materials","Check - no such material ID",IF(OR(F765="",F765=0),"Add - how much?",IF(L765="","Check - that material has no price","OK")))))))</f>
        <v>0</v>
      </c>
    </row>
    <row r="766" spans="2:18">
      <c r="B766" s="13">
        <f>IF(A766="","",IFERROR(INDEX(Products!$B$5:$B$304,MATCH(A766,Products!$A$5:$A$304,0)),"Not found"))</f>
        <v>0</v>
      </c>
      <c r="D766" s="13">
        <f>IF(C766="","",IFERROR(INDEX(Materials!$B$5:$B$254,MATCH(C766,Materials!$A$5:$A$254,0)),"Add to Materials"))</f>
        <v>0</v>
      </c>
      <c r="E766" s="13">
        <f>IF(C766="","",IFERROR(INDEX(Materials!$H$5:$H$254,MATCH(C766,Materials!$A$5:$A$254,0)),"Add to Materials"))</f>
        <v>0</v>
      </c>
      <c r="J766" s="33">
        <f>IF(C766="","",IF(G766&lt;&gt;"",G766,IFERROR(INDEX(Materials!$W$5:$W$254,MATCH(C766,Materials!$A$5:$A$254,0)),DefaultWaste)))</f>
        <v>0</v>
      </c>
      <c r="K766" s="36">
        <f>IF(C766="","",IF(F766="","",ROUND(F766*(1+J766),4)))</f>
        <v>0</v>
      </c>
      <c r="L766" s="45">
        <f>IF(C766="","",IFERROR(INDEX(Materials!$S$5:$S$254,MATCH(C766,Materials!$A$5:$A$254,0)),""))</f>
        <v>0</v>
      </c>
      <c r="M766" s="45">
        <f>IF(C766="","",IF(OR(K766="",L766=""),"",ROUND(K766*L766,4)))</f>
        <v>0</v>
      </c>
      <c r="N766" s="20">
        <f>IF(A766="","",ROUND(SUMIFS('Material Usage'!$M$5:$M$904,'Material Usage'!$A$5:$A$904,A766),2))</f>
        <v>0</v>
      </c>
      <c r="O766" s="33">
        <f>IF(A766="","",IF(OR(M766="",N766="",N766=0),"",M766/N766))</f>
        <v>0</v>
      </c>
      <c r="P766" s="32">
        <f>IF(A766="","",COUNTIFS($A$5:A766,A766))</f>
        <v>0</v>
      </c>
      <c r="Q766" s="13">
        <f>IF(A766="","",A766&amp;"|"&amp;P766)</f>
        <v>0</v>
      </c>
      <c r="R766" s="43">
        <f>IF(AND(A766="",C766=""),"",IF(A766="","Add - which product?",IF(C766="","Add - which material?",IF(B766="Not found","Check - no such product ID",IF(D766="Add to Materials","Check - no such material ID",IF(OR(F766="",F766=0),"Add - how much?",IF(L766="","Check - that material has no price","OK")))))))</f>
        <v>0</v>
      </c>
    </row>
    <row r="767" spans="2:18">
      <c r="B767" s="13">
        <f>IF(A767="","",IFERROR(INDEX(Products!$B$5:$B$304,MATCH(A767,Products!$A$5:$A$304,0)),"Not found"))</f>
        <v>0</v>
      </c>
      <c r="D767" s="13">
        <f>IF(C767="","",IFERROR(INDEX(Materials!$B$5:$B$254,MATCH(C767,Materials!$A$5:$A$254,0)),"Add to Materials"))</f>
        <v>0</v>
      </c>
      <c r="E767" s="13">
        <f>IF(C767="","",IFERROR(INDEX(Materials!$H$5:$H$254,MATCH(C767,Materials!$A$5:$A$254,0)),"Add to Materials"))</f>
        <v>0</v>
      </c>
      <c r="J767" s="33">
        <f>IF(C767="","",IF(G767&lt;&gt;"",G767,IFERROR(INDEX(Materials!$W$5:$W$254,MATCH(C767,Materials!$A$5:$A$254,0)),DefaultWaste)))</f>
        <v>0</v>
      </c>
      <c r="K767" s="36">
        <f>IF(C767="","",IF(F767="","",ROUND(F767*(1+J767),4)))</f>
        <v>0</v>
      </c>
      <c r="L767" s="45">
        <f>IF(C767="","",IFERROR(INDEX(Materials!$S$5:$S$254,MATCH(C767,Materials!$A$5:$A$254,0)),""))</f>
        <v>0</v>
      </c>
      <c r="M767" s="45">
        <f>IF(C767="","",IF(OR(K767="",L767=""),"",ROUND(K767*L767,4)))</f>
        <v>0</v>
      </c>
      <c r="N767" s="20">
        <f>IF(A767="","",ROUND(SUMIFS('Material Usage'!$M$5:$M$904,'Material Usage'!$A$5:$A$904,A767),2))</f>
        <v>0</v>
      </c>
      <c r="O767" s="33">
        <f>IF(A767="","",IF(OR(M767="",N767="",N767=0),"",M767/N767))</f>
        <v>0</v>
      </c>
      <c r="P767" s="32">
        <f>IF(A767="","",COUNTIFS($A$5:A767,A767))</f>
        <v>0</v>
      </c>
      <c r="Q767" s="13">
        <f>IF(A767="","",A767&amp;"|"&amp;P767)</f>
        <v>0</v>
      </c>
      <c r="R767" s="43">
        <f>IF(AND(A767="",C767=""),"",IF(A767="","Add - which product?",IF(C767="","Add - which material?",IF(B767="Not found","Check - no such product ID",IF(D767="Add to Materials","Check - no such material ID",IF(OR(F767="",F767=0),"Add - how much?",IF(L767="","Check - that material has no price","OK")))))))</f>
        <v>0</v>
      </c>
    </row>
    <row r="768" spans="2:18">
      <c r="B768" s="13">
        <f>IF(A768="","",IFERROR(INDEX(Products!$B$5:$B$304,MATCH(A768,Products!$A$5:$A$304,0)),"Not found"))</f>
        <v>0</v>
      </c>
      <c r="D768" s="13">
        <f>IF(C768="","",IFERROR(INDEX(Materials!$B$5:$B$254,MATCH(C768,Materials!$A$5:$A$254,0)),"Add to Materials"))</f>
        <v>0</v>
      </c>
      <c r="E768" s="13">
        <f>IF(C768="","",IFERROR(INDEX(Materials!$H$5:$H$254,MATCH(C768,Materials!$A$5:$A$254,0)),"Add to Materials"))</f>
        <v>0</v>
      </c>
      <c r="J768" s="33">
        <f>IF(C768="","",IF(G768&lt;&gt;"",G768,IFERROR(INDEX(Materials!$W$5:$W$254,MATCH(C768,Materials!$A$5:$A$254,0)),DefaultWaste)))</f>
        <v>0</v>
      </c>
      <c r="K768" s="36">
        <f>IF(C768="","",IF(F768="","",ROUND(F768*(1+J768),4)))</f>
        <v>0</v>
      </c>
      <c r="L768" s="45">
        <f>IF(C768="","",IFERROR(INDEX(Materials!$S$5:$S$254,MATCH(C768,Materials!$A$5:$A$254,0)),""))</f>
        <v>0</v>
      </c>
      <c r="M768" s="45">
        <f>IF(C768="","",IF(OR(K768="",L768=""),"",ROUND(K768*L768,4)))</f>
        <v>0</v>
      </c>
      <c r="N768" s="20">
        <f>IF(A768="","",ROUND(SUMIFS('Material Usage'!$M$5:$M$904,'Material Usage'!$A$5:$A$904,A768),2))</f>
        <v>0</v>
      </c>
      <c r="O768" s="33">
        <f>IF(A768="","",IF(OR(M768="",N768="",N768=0),"",M768/N768))</f>
        <v>0</v>
      </c>
      <c r="P768" s="32">
        <f>IF(A768="","",COUNTIFS($A$5:A768,A768))</f>
        <v>0</v>
      </c>
      <c r="Q768" s="13">
        <f>IF(A768="","",A768&amp;"|"&amp;P768)</f>
        <v>0</v>
      </c>
      <c r="R768" s="43">
        <f>IF(AND(A768="",C768=""),"",IF(A768="","Add - which product?",IF(C768="","Add - which material?",IF(B768="Not found","Check - no such product ID",IF(D768="Add to Materials","Check - no such material ID",IF(OR(F768="",F768=0),"Add - how much?",IF(L768="","Check - that material has no price","OK")))))))</f>
        <v>0</v>
      </c>
    </row>
    <row r="769" spans="2:18">
      <c r="B769" s="13">
        <f>IF(A769="","",IFERROR(INDEX(Products!$B$5:$B$304,MATCH(A769,Products!$A$5:$A$304,0)),"Not found"))</f>
        <v>0</v>
      </c>
      <c r="D769" s="13">
        <f>IF(C769="","",IFERROR(INDEX(Materials!$B$5:$B$254,MATCH(C769,Materials!$A$5:$A$254,0)),"Add to Materials"))</f>
        <v>0</v>
      </c>
      <c r="E769" s="13">
        <f>IF(C769="","",IFERROR(INDEX(Materials!$H$5:$H$254,MATCH(C769,Materials!$A$5:$A$254,0)),"Add to Materials"))</f>
        <v>0</v>
      </c>
      <c r="J769" s="33">
        <f>IF(C769="","",IF(G769&lt;&gt;"",G769,IFERROR(INDEX(Materials!$W$5:$W$254,MATCH(C769,Materials!$A$5:$A$254,0)),DefaultWaste)))</f>
        <v>0</v>
      </c>
      <c r="K769" s="36">
        <f>IF(C769="","",IF(F769="","",ROUND(F769*(1+J769),4)))</f>
        <v>0</v>
      </c>
      <c r="L769" s="45">
        <f>IF(C769="","",IFERROR(INDEX(Materials!$S$5:$S$254,MATCH(C769,Materials!$A$5:$A$254,0)),""))</f>
        <v>0</v>
      </c>
      <c r="M769" s="45">
        <f>IF(C769="","",IF(OR(K769="",L769=""),"",ROUND(K769*L769,4)))</f>
        <v>0</v>
      </c>
      <c r="N769" s="20">
        <f>IF(A769="","",ROUND(SUMIFS('Material Usage'!$M$5:$M$904,'Material Usage'!$A$5:$A$904,A769),2))</f>
        <v>0</v>
      </c>
      <c r="O769" s="33">
        <f>IF(A769="","",IF(OR(M769="",N769="",N769=0),"",M769/N769))</f>
        <v>0</v>
      </c>
      <c r="P769" s="32">
        <f>IF(A769="","",COUNTIFS($A$5:A769,A769))</f>
        <v>0</v>
      </c>
      <c r="Q769" s="13">
        <f>IF(A769="","",A769&amp;"|"&amp;P769)</f>
        <v>0</v>
      </c>
      <c r="R769" s="43">
        <f>IF(AND(A769="",C769=""),"",IF(A769="","Add - which product?",IF(C769="","Add - which material?",IF(B769="Not found","Check - no such product ID",IF(D769="Add to Materials","Check - no such material ID",IF(OR(F769="",F769=0),"Add - how much?",IF(L769="","Check - that material has no price","OK")))))))</f>
        <v>0</v>
      </c>
    </row>
    <row r="770" spans="2:18">
      <c r="B770" s="13">
        <f>IF(A770="","",IFERROR(INDEX(Products!$B$5:$B$304,MATCH(A770,Products!$A$5:$A$304,0)),"Not found"))</f>
        <v>0</v>
      </c>
      <c r="D770" s="13">
        <f>IF(C770="","",IFERROR(INDEX(Materials!$B$5:$B$254,MATCH(C770,Materials!$A$5:$A$254,0)),"Add to Materials"))</f>
        <v>0</v>
      </c>
      <c r="E770" s="13">
        <f>IF(C770="","",IFERROR(INDEX(Materials!$H$5:$H$254,MATCH(C770,Materials!$A$5:$A$254,0)),"Add to Materials"))</f>
        <v>0</v>
      </c>
      <c r="J770" s="33">
        <f>IF(C770="","",IF(G770&lt;&gt;"",G770,IFERROR(INDEX(Materials!$W$5:$W$254,MATCH(C770,Materials!$A$5:$A$254,0)),DefaultWaste)))</f>
        <v>0</v>
      </c>
      <c r="K770" s="36">
        <f>IF(C770="","",IF(F770="","",ROUND(F770*(1+J770),4)))</f>
        <v>0</v>
      </c>
      <c r="L770" s="45">
        <f>IF(C770="","",IFERROR(INDEX(Materials!$S$5:$S$254,MATCH(C770,Materials!$A$5:$A$254,0)),""))</f>
        <v>0</v>
      </c>
      <c r="M770" s="45">
        <f>IF(C770="","",IF(OR(K770="",L770=""),"",ROUND(K770*L770,4)))</f>
        <v>0</v>
      </c>
      <c r="N770" s="20">
        <f>IF(A770="","",ROUND(SUMIFS('Material Usage'!$M$5:$M$904,'Material Usage'!$A$5:$A$904,A770),2))</f>
        <v>0</v>
      </c>
      <c r="O770" s="33">
        <f>IF(A770="","",IF(OR(M770="",N770="",N770=0),"",M770/N770))</f>
        <v>0</v>
      </c>
      <c r="P770" s="32">
        <f>IF(A770="","",COUNTIFS($A$5:A770,A770))</f>
        <v>0</v>
      </c>
      <c r="Q770" s="13">
        <f>IF(A770="","",A770&amp;"|"&amp;P770)</f>
        <v>0</v>
      </c>
      <c r="R770" s="43">
        <f>IF(AND(A770="",C770=""),"",IF(A770="","Add - which product?",IF(C770="","Add - which material?",IF(B770="Not found","Check - no such product ID",IF(D770="Add to Materials","Check - no such material ID",IF(OR(F770="",F770=0),"Add - how much?",IF(L770="","Check - that material has no price","OK")))))))</f>
        <v>0</v>
      </c>
    </row>
    <row r="771" spans="2:18">
      <c r="B771" s="13">
        <f>IF(A771="","",IFERROR(INDEX(Products!$B$5:$B$304,MATCH(A771,Products!$A$5:$A$304,0)),"Not found"))</f>
        <v>0</v>
      </c>
      <c r="D771" s="13">
        <f>IF(C771="","",IFERROR(INDEX(Materials!$B$5:$B$254,MATCH(C771,Materials!$A$5:$A$254,0)),"Add to Materials"))</f>
        <v>0</v>
      </c>
      <c r="E771" s="13">
        <f>IF(C771="","",IFERROR(INDEX(Materials!$H$5:$H$254,MATCH(C771,Materials!$A$5:$A$254,0)),"Add to Materials"))</f>
        <v>0</v>
      </c>
      <c r="J771" s="33">
        <f>IF(C771="","",IF(G771&lt;&gt;"",G771,IFERROR(INDEX(Materials!$W$5:$W$254,MATCH(C771,Materials!$A$5:$A$254,0)),DefaultWaste)))</f>
        <v>0</v>
      </c>
      <c r="K771" s="36">
        <f>IF(C771="","",IF(F771="","",ROUND(F771*(1+J771),4)))</f>
        <v>0</v>
      </c>
      <c r="L771" s="45">
        <f>IF(C771="","",IFERROR(INDEX(Materials!$S$5:$S$254,MATCH(C771,Materials!$A$5:$A$254,0)),""))</f>
        <v>0</v>
      </c>
      <c r="M771" s="45">
        <f>IF(C771="","",IF(OR(K771="",L771=""),"",ROUND(K771*L771,4)))</f>
        <v>0</v>
      </c>
      <c r="N771" s="20">
        <f>IF(A771="","",ROUND(SUMIFS('Material Usage'!$M$5:$M$904,'Material Usage'!$A$5:$A$904,A771),2))</f>
        <v>0</v>
      </c>
      <c r="O771" s="33">
        <f>IF(A771="","",IF(OR(M771="",N771="",N771=0),"",M771/N771))</f>
        <v>0</v>
      </c>
      <c r="P771" s="32">
        <f>IF(A771="","",COUNTIFS($A$5:A771,A771))</f>
        <v>0</v>
      </c>
      <c r="Q771" s="13">
        <f>IF(A771="","",A771&amp;"|"&amp;P771)</f>
        <v>0</v>
      </c>
      <c r="R771" s="43">
        <f>IF(AND(A771="",C771=""),"",IF(A771="","Add - which product?",IF(C771="","Add - which material?",IF(B771="Not found","Check - no such product ID",IF(D771="Add to Materials","Check - no such material ID",IF(OR(F771="",F771=0),"Add - how much?",IF(L771="","Check - that material has no price","OK")))))))</f>
        <v>0</v>
      </c>
    </row>
    <row r="772" spans="2:18">
      <c r="B772" s="13">
        <f>IF(A772="","",IFERROR(INDEX(Products!$B$5:$B$304,MATCH(A772,Products!$A$5:$A$304,0)),"Not found"))</f>
        <v>0</v>
      </c>
      <c r="D772" s="13">
        <f>IF(C772="","",IFERROR(INDEX(Materials!$B$5:$B$254,MATCH(C772,Materials!$A$5:$A$254,0)),"Add to Materials"))</f>
        <v>0</v>
      </c>
      <c r="E772" s="13">
        <f>IF(C772="","",IFERROR(INDEX(Materials!$H$5:$H$254,MATCH(C772,Materials!$A$5:$A$254,0)),"Add to Materials"))</f>
        <v>0</v>
      </c>
      <c r="J772" s="33">
        <f>IF(C772="","",IF(G772&lt;&gt;"",G772,IFERROR(INDEX(Materials!$W$5:$W$254,MATCH(C772,Materials!$A$5:$A$254,0)),DefaultWaste)))</f>
        <v>0</v>
      </c>
      <c r="K772" s="36">
        <f>IF(C772="","",IF(F772="","",ROUND(F772*(1+J772),4)))</f>
        <v>0</v>
      </c>
      <c r="L772" s="45">
        <f>IF(C772="","",IFERROR(INDEX(Materials!$S$5:$S$254,MATCH(C772,Materials!$A$5:$A$254,0)),""))</f>
        <v>0</v>
      </c>
      <c r="M772" s="45">
        <f>IF(C772="","",IF(OR(K772="",L772=""),"",ROUND(K772*L772,4)))</f>
        <v>0</v>
      </c>
      <c r="N772" s="20">
        <f>IF(A772="","",ROUND(SUMIFS('Material Usage'!$M$5:$M$904,'Material Usage'!$A$5:$A$904,A772),2))</f>
        <v>0</v>
      </c>
      <c r="O772" s="33">
        <f>IF(A772="","",IF(OR(M772="",N772="",N772=0),"",M772/N772))</f>
        <v>0</v>
      </c>
      <c r="P772" s="32">
        <f>IF(A772="","",COUNTIFS($A$5:A772,A772))</f>
        <v>0</v>
      </c>
      <c r="Q772" s="13">
        <f>IF(A772="","",A772&amp;"|"&amp;P772)</f>
        <v>0</v>
      </c>
      <c r="R772" s="43">
        <f>IF(AND(A772="",C772=""),"",IF(A772="","Add - which product?",IF(C772="","Add - which material?",IF(B772="Not found","Check - no such product ID",IF(D772="Add to Materials","Check - no such material ID",IF(OR(F772="",F772=0),"Add - how much?",IF(L772="","Check - that material has no price","OK")))))))</f>
        <v>0</v>
      </c>
    </row>
    <row r="773" spans="2:18">
      <c r="B773" s="13">
        <f>IF(A773="","",IFERROR(INDEX(Products!$B$5:$B$304,MATCH(A773,Products!$A$5:$A$304,0)),"Not found"))</f>
        <v>0</v>
      </c>
      <c r="D773" s="13">
        <f>IF(C773="","",IFERROR(INDEX(Materials!$B$5:$B$254,MATCH(C773,Materials!$A$5:$A$254,0)),"Add to Materials"))</f>
        <v>0</v>
      </c>
      <c r="E773" s="13">
        <f>IF(C773="","",IFERROR(INDEX(Materials!$H$5:$H$254,MATCH(C773,Materials!$A$5:$A$254,0)),"Add to Materials"))</f>
        <v>0</v>
      </c>
      <c r="J773" s="33">
        <f>IF(C773="","",IF(G773&lt;&gt;"",G773,IFERROR(INDEX(Materials!$W$5:$W$254,MATCH(C773,Materials!$A$5:$A$254,0)),DefaultWaste)))</f>
        <v>0</v>
      </c>
      <c r="K773" s="36">
        <f>IF(C773="","",IF(F773="","",ROUND(F773*(1+J773),4)))</f>
        <v>0</v>
      </c>
      <c r="L773" s="45">
        <f>IF(C773="","",IFERROR(INDEX(Materials!$S$5:$S$254,MATCH(C773,Materials!$A$5:$A$254,0)),""))</f>
        <v>0</v>
      </c>
      <c r="M773" s="45">
        <f>IF(C773="","",IF(OR(K773="",L773=""),"",ROUND(K773*L773,4)))</f>
        <v>0</v>
      </c>
      <c r="N773" s="20">
        <f>IF(A773="","",ROUND(SUMIFS('Material Usage'!$M$5:$M$904,'Material Usage'!$A$5:$A$904,A773),2))</f>
        <v>0</v>
      </c>
      <c r="O773" s="33">
        <f>IF(A773="","",IF(OR(M773="",N773="",N773=0),"",M773/N773))</f>
        <v>0</v>
      </c>
      <c r="P773" s="32">
        <f>IF(A773="","",COUNTIFS($A$5:A773,A773))</f>
        <v>0</v>
      </c>
      <c r="Q773" s="13">
        <f>IF(A773="","",A773&amp;"|"&amp;P773)</f>
        <v>0</v>
      </c>
      <c r="R773" s="43">
        <f>IF(AND(A773="",C773=""),"",IF(A773="","Add - which product?",IF(C773="","Add - which material?",IF(B773="Not found","Check - no such product ID",IF(D773="Add to Materials","Check - no such material ID",IF(OR(F773="",F773=0),"Add - how much?",IF(L773="","Check - that material has no price","OK")))))))</f>
        <v>0</v>
      </c>
    </row>
    <row r="774" spans="2:18">
      <c r="B774" s="13">
        <f>IF(A774="","",IFERROR(INDEX(Products!$B$5:$B$304,MATCH(A774,Products!$A$5:$A$304,0)),"Not found"))</f>
        <v>0</v>
      </c>
      <c r="D774" s="13">
        <f>IF(C774="","",IFERROR(INDEX(Materials!$B$5:$B$254,MATCH(C774,Materials!$A$5:$A$254,0)),"Add to Materials"))</f>
        <v>0</v>
      </c>
      <c r="E774" s="13">
        <f>IF(C774="","",IFERROR(INDEX(Materials!$H$5:$H$254,MATCH(C774,Materials!$A$5:$A$254,0)),"Add to Materials"))</f>
        <v>0</v>
      </c>
      <c r="J774" s="33">
        <f>IF(C774="","",IF(G774&lt;&gt;"",G774,IFERROR(INDEX(Materials!$W$5:$W$254,MATCH(C774,Materials!$A$5:$A$254,0)),DefaultWaste)))</f>
        <v>0</v>
      </c>
      <c r="K774" s="36">
        <f>IF(C774="","",IF(F774="","",ROUND(F774*(1+J774),4)))</f>
        <v>0</v>
      </c>
      <c r="L774" s="45">
        <f>IF(C774="","",IFERROR(INDEX(Materials!$S$5:$S$254,MATCH(C774,Materials!$A$5:$A$254,0)),""))</f>
        <v>0</v>
      </c>
      <c r="M774" s="45">
        <f>IF(C774="","",IF(OR(K774="",L774=""),"",ROUND(K774*L774,4)))</f>
        <v>0</v>
      </c>
      <c r="N774" s="20">
        <f>IF(A774="","",ROUND(SUMIFS('Material Usage'!$M$5:$M$904,'Material Usage'!$A$5:$A$904,A774),2))</f>
        <v>0</v>
      </c>
      <c r="O774" s="33">
        <f>IF(A774="","",IF(OR(M774="",N774="",N774=0),"",M774/N774))</f>
        <v>0</v>
      </c>
      <c r="P774" s="32">
        <f>IF(A774="","",COUNTIFS($A$5:A774,A774))</f>
        <v>0</v>
      </c>
      <c r="Q774" s="13">
        <f>IF(A774="","",A774&amp;"|"&amp;P774)</f>
        <v>0</v>
      </c>
      <c r="R774" s="43">
        <f>IF(AND(A774="",C774=""),"",IF(A774="","Add - which product?",IF(C774="","Add - which material?",IF(B774="Not found","Check - no such product ID",IF(D774="Add to Materials","Check - no such material ID",IF(OR(F774="",F774=0),"Add - how much?",IF(L774="","Check - that material has no price","OK")))))))</f>
        <v>0</v>
      </c>
    </row>
    <row r="775" spans="2:18">
      <c r="B775" s="13">
        <f>IF(A775="","",IFERROR(INDEX(Products!$B$5:$B$304,MATCH(A775,Products!$A$5:$A$304,0)),"Not found"))</f>
        <v>0</v>
      </c>
      <c r="D775" s="13">
        <f>IF(C775="","",IFERROR(INDEX(Materials!$B$5:$B$254,MATCH(C775,Materials!$A$5:$A$254,0)),"Add to Materials"))</f>
        <v>0</v>
      </c>
      <c r="E775" s="13">
        <f>IF(C775="","",IFERROR(INDEX(Materials!$H$5:$H$254,MATCH(C775,Materials!$A$5:$A$254,0)),"Add to Materials"))</f>
        <v>0</v>
      </c>
      <c r="J775" s="33">
        <f>IF(C775="","",IF(G775&lt;&gt;"",G775,IFERROR(INDEX(Materials!$W$5:$W$254,MATCH(C775,Materials!$A$5:$A$254,0)),DefaultWaste)))</f>
        <v>0</v>
      </c>
      <c r="K775" s="36">
        <f>IF(C775="","",IF(F775="","",ROUND(F775*(1+J775),4)))</f>
        <v>0</v>
      </c>
      <c r="L775" s="45">
        <f>IF(C775="","",IFERROR(INDEX(Materials!$S$5:$S$254,MATCH(C775,Materials!$A$5:$A$254,0)),""))</f>
        <v>0</v>
      </c>
      <c r="M775" s="45">
        <f>IF(C775="","",IF(OR(K775="",L775=""),"",ROUND(K775*L775,4)))</f>
        <v>0</v>
      </c>
      <c r="N775" s="20">
        <f>IF(A775="","",ROUND(SUMIFS('Material Usage'!$M$5:$M$904,'Material Usage'!$A$5:$A$904,A775),2))</f>
        <v>0</v>
      </c>
      <c r="O775" s="33">
        <f>IF(A775="","",IF(OR(M775="",N775="",N775=0),"",M775/N775))</f>
        <v>0</v>
      </c>
      <c r="P775" s="32">
        <f>IF(A775="","",COUNTIFS($A$5:A775,A775))</f>
        <v>0</v>
      </c>
      <c r="Q775" s="13">
        <f>IF(A775="","",A775&amp;"|"&amp;P775)</f>
        <v>0</v>
      </c>
      <c r="R775" s="43">
        <f>IF(AND(A775="",C775=""),"",IF(A775="","Add - which product?",IF(C775="","Add - which material?",IF(B775="Not found","Check - no such product ID",IF(D775="Add to Materials","Check - no such material ID",IF(OR(F775="",F775=0),"Add - how much?",IF(L775="","Check - that material has no price","OK")))))))</f>
        <v>0</v>
      </c>
    </row>
    <row r="776" spans="2:18">
      <c r="B776" s="13">
        <f>IF(A776="","",IFERROR(INDEX(Products!$B$5:$B$304,MATCH(A776,Products!$A$5:$A$304,0)),"Not found"))</f>
        <v>0</v>
      </c>
      <c r="D776" s="13">
        <f>IF(C776="","",IFERROR(INDEX(Materials!$B$5:$B$254,MATCH(C776,Materials!$A$5:$A$254,0)),"Add to Materials"))</f>
        <v>0</v>
      </c>
      <c r="E776" s="13">
        <f>IF(C776="","",IFERROR(INDEX(Materials!$H$5:$H$254,MATCH(C776,Materials!$A$5:$A$254,0)),"Add to Materials"))</f>
        <v>0</v>
      </c>
      <c r="J776" s="33">
        <f>IF(C776="","",IF(G776&lt;&gt;"",G776,IFERROR(INDEX(Materials!$W$5:$W$254,MATCH(C776,Materials!$A$5:$A$254,0)),DefaultWaste)))</f>
        <v>0</v>
      </c>
      <c r="K776" s="36">
        <f>IF(C776="","",IF(F776="","",ROUND(F776*(1+J776),4)))</f>
        <v>0</v>
      </c>
      <c r="L776" s="45">
        <f>IF(C776="","",IFERROR(INDEX(Materials!$S$5:$S$254,MATCH(C776,Materials!$A$5:$A$254,0)),""))</f>
        <v>0</v>
      </c>
      <c r="M776" s="45">
        <f>IF(C776="","",IF(OR(K776="",L776=""),"",ROUND(K776*L776,4)))</f>
        <v>0</v>
      </c>
      <c r="N776" s="20">
        <f>IF(A776="","",ROUND(SUMIFS('Material Usage'!$M$5:$M$904,'Material Usage'!$A$5:$A$904,A776),2))</f>
        <v>0</v>
      </c>
      <c r="O776" s="33">
        <f>IF(A776="","",IF(OR(M776="",N776="",N776=0),"",M776/N776))</f>
        <v>0</v>
      </c>
      <c r="P776" s="32">
        <f>IF(A776="","",COUNTIFS($A$5:A776,A776))</f>
        <v>0</v>
      </c>
      <c r="Q776" s="13">
        <f>IF(A776="","",A776&amp;"|"&amp;P776)</f>
        <v>0</v>
      </c>
      <c r="R776" s="43">
        <f>IF(AND(A776="",C776=""),"",IF(A776="","Add - which product?",IF(C776="","Add - which material?",IF(B776="Not found","Check - no such product ID",IF(D776="Add to Materials","Check - no such material ID",IF(OR(F776="",F776=0),"Add - how much?",IF(L776="","Check - that material has no price","OK")))))))</f>
        <v>0</v>
      </c>
    </row>
    <row r="777" spans="2:18">
      <c r="B777" s="13">
        <f>IF(A777="","",IFERROR(INDEX(Products!$B$5:$B$304,MATCH(A777,Products!$A$5:$A$304,0)),"Not found"))</f>
        <v>0</v>
      </c>
      <c r="D777" s="13">
        <f>IF(C777="","",IFERROR(INDEX(Materials!$B$5:$B$254,MATCH(C777,Materials!$A$5:$A$254,0)),"Add to Materials"))</f>
        <v>0</v>
      </c>
      <c r="E777" s="13">
        <f>IF(C777="","",IFERROR(INDEX(Materials!$H$5:$H$254,MATCH(C777,Materials!$A$5:$A$254,0)),"Add to Materials"))</f>
        <v>0</v>
      </c>
      <c r="J777" s="33">
        <f>IF(C777="","",IF(G777&lt;&gt;"",G777,IFERROR(INDEX(Materials!$W$5:$W$254,MATCH(C777,Materials!$A$5:$A$254,0)),DefaultWaste)))</f>
        <v>0</v>
      </c>
      <c r="K777" s="36">
        <f>IF(C777="","",IF(F777="","",ROUND(F777*(1+J777),4)))</f>
        <v>0</v>
      </c>
      <c r="L777" s="45">
        <f>IF(C777="","",IFERROR(INDEX(Materials!$S$5:$S$254,MATCH(C777,Materials!$A$5:$A$254,0)),""))</f>
        <v>0</v>
      </c>
      <c r="M777" s="45">
        <f>IF(C777="","",IF(OR(K777="",L777=""),"",ROUND(K777*L777,4)))</f>
        <v>0</v>
      </c>
      <c r="N777" s="20">
        <f>IF(A777="","",ROUND(SUMIFS('Material Usage'!$M$5:$M$904,'Material Usage'!$A$5:$A$904,A777),2))</f>
        <v>0</v>
      </c>
      <c r="O777" s="33">
        <f>IF(A777="","",IF(OR(M777="",N777="",N777=0),"",M777/N777))</f>
        <v>0</v>
      </c>
      <c r="P777" s="32">
        <f>IF(A777="","",COUNTIFS($A$5:A777,A777))</f>
        <v>0</v>
      </c>
      <c r="Q777" s="13">
        <f>IF(A777="","",A777&amp;"|"&amp;P777)</f>
        <v>0</v>
      </c>
      <c r="R777" s="43">
        <f>IF(AND(A777="",C777=""),"",IF(A777="","Add - which product?",IF(C777="","Add - which material?",IF(B777="Not found","Check - no such product ID",IF(D777="Add to Materials","Check - no such material ID",IF(OR(F777="",F777=0),"Add - how much?",IF(L777="","Check - that material has no price","OK")))))))</f>
        <v>0</v>
      </c>
    </row>
    <row r="778" spans="2:18">
      <c r="B778" s="13">
        <f>IF(A778="","",IFERROR(INDEX(Products!$B$5:$B$304,MATCH(A778,Products!$A$5:$A$304,0)),"Not found"))</f>
        <v>0</v>
      </c>
      <c r="D778" s="13">
        <f>IF(C778="","",IFERROR(INDEX(Materials!$B$5:$B$254,MATCH(C778,Materials!$A$5:$A$254,0)),"Add to Materials"))</f>
        <v>0</v>
      </c>
      <c r="E778" s="13">
        <f>IF(C778="","",IFERROR(INDEX(Materials!$H$5:$H$254,MATCH(C778,Materials!$A$5:$A$254,0)),"Add to Materials"))</f>
        <v>0</v>
      </c>
      <c r="J778" s="33">
        <f>IF(C778="","",IF(G778&lt;&gt;"",G778,IFERROR(INDEX(Materials!$W$5:$W$254,MATCH(C778,Materials!$A$5:$A$254,0)),DefaultWaste)))</f>
        <v>0</v>
      </c>
      <c r="K778" s="36">
        <f>IF(C778="","",IF(F778="","",ROUND(F778*(1+J778),4)))</f>
        <v>0</v>
      </c>
      <c r="L778" s="45">
        <f>IF(C778="","",IFERROR(INDEX(Materials!$S$5:$S$254,MATCH(C778,Materials!$A$5:$A$254,0)),""))</f>
        <v>0</v>
      </c>
      <c r="M778" s="45">
        <f>IF(C778="","",IF(OR(K778="",L778=""),"",ROUND(K778*L778,4)))</f>
        <v>0</v>
      </c>
      <c r="N778" s="20">
        <f>IF(A778="","",ROUND(SUMIFS('Material Usage'!$M$5:$M$904,'Material Usage'!$A$5:$A$904,A778),2))</f>
        <v>0</v>
      </c>
      <c r="O778" s="33">
        <f>IF(A778="","",IF(OR(M778="",N778="",N778=0),"",M778/N778))</f>
        <v>0</v>
      </c>
      <c r="P778" s="32">
        <f>IF(A778="","",COUNTIFS($A$5:A778,A778))</f>
        <v>0</v>
      </c>
      <c r="Q778" s="13">
        <f>IF(A778="","",A778&amp;"|"&amp;P778)</f>
        <v>0</v>
      </c>
      <c r="R778" s="43">
        <f>IF(AND(A778="",C778=""),"",IF(A778="","Add - which product?",IF(C778="","Add - which material?",IF(B778="Not found","Check - no such product ID",IF(D778="Add to Materials","Check - no such material ID",IF(OR(F778="",F778=0),"Add - how much?",IF(L778="","Check - that material has no price","OK")))))))</f>
        <v>0</v>
      </c>
    </row>
    <row r="779" spans="2:18">
      <c r="B779" s="13">
        <f>IF(A779="","",IFERROR(INDEX(Products!$B$5:$B$304,MATCH(A779,Products!$A$5:$A$304,0)),"Not found"))</f>
        <v>0</v>
      </c>
      <c r="D779" s="13">
        <f>IF(C779="","",IFERROR(INDEX(Materials!$B$5:$B$254,MATCH(C779,Materials!$A$5:$A$254,0)),"Add to Materials"))</f>
        <v>0</v>
      </c>
      <c r="E779" s="13">
        <f>IF(C779="","",IFERROR(INDEX(Materials!$H$5:$H$254,MATCH(C779,Materials!$A$5:$A$254,0)),"Add to Materials"))</f>
        <v>0</v>
      </c>
      <c r="J779" s="33">
        <f>IF(C779="","",IF(G779&lt;&gt;"",G779,IFERROR(INDEX(Materials!$W$5:$W$254,MATCH(C779,Materials!$A$5:$A$254,0)),DefaultWaste)))</f>
        <v>0</v>
      </c>
      <c r="K779" s="36">
        <f>IF(C779="","",IF(F779="","",ROUND(F779*(1+J779),4)))</f>
        <v>0</v>
      </c>
      <c r="L779" s="45">
        <f>IF(C779="","",IFERROR(INDEX(Materials!$S$5:$S$254,MATCH(C779,Materials!$A$5:$A$254,0)),""))</f>
        <v>0</v>
      </c>
      <c r="M779" s="45">
        <f>IF(C779="","",IF(OR(K779="",L779=""),"",ROUND(K779*L779,4)))</f>
        <v>0</v>
      </c>
      <c r="N779" s="20">
        <f>IF(A779="","",ROUND(SUMIFS('Material Usage'!$M$5:$M$904,'Material Usage'!$A$5:$A$904,A779),2))</f>
        <v>0</v>
      </c>
      <c r="O779" s="33">
        <f>IF(A779="","",IF(OR(M779="",N779="",N779=0),"",M779/N779))</f>
        <v>0</v>
      </c>
      <c r="P779" s="32">
        <f>IF(A779="","",COUNTIFS($A$5:A779,A779))</f>
        <v>0</v>
      </c>
      <c r="Q779" s="13">
        <f>IF(A779="","",A779&amp;"|"&amp;P779)</f>
        <v>0</v>
      </c>
      <c r="R779" s="43">
        <f>IF(AND(A779="",C779=""),"",IF(A779="","Add - which product?",IF(C779="","Add - which material?",IF(B779="Not found","Check - no such product ID",IF(D779="Add to Materials","Check - no such material ID",IF(OR(F779="",F779=0),"Add - how much?",IF(L779="","Check - that material has no price","OK")))))))</f>
        <v>0</v>
      </c>
    </row>
    <row r="780" spans="2:18">
      <c r="B780" s="13">
        <f>IF(A780="","",IFERROR(INDEX(Products!$B$5:$B$304,MATCH(A780,Products!$A$5:$A$304,0)),"Not found"))</f>
        <v>0</v>
      </c>
      <c r="D780" s="13">
        <f>IF(C780="","",IFERROR(INDEX(Materials!$B$5:$B$254,MATCH(C780,Materials!$A$5:$A$254,0)),"Add to Materials"))</f>
        <v>0</v>
      </c>
      <c r="E780" s="13">
        <f>IF(C780="","",IFERROR(INDEX(Materials!$H$5:$H$254,MATCH(C780,Materials!$A$5:$A$254,0)),"Add to Materials"))</f>
        <v>0</v>
      </c>
      <c r="J780" s="33">
        <f>IF(C780="","",IF(G780&lt;&gt;"",G780,IFERROR(INDEX(Materials!$W$5:$W$254,MATCH(C780,Materials!$A$5:$A$254,0)),DefaultWaste)))</f>
        <v>0</v>
      </c>
      <c r="K780" s="36">
        <f>IF(C780="","",IF(F780="","",ROUND(F780*(1+J780),4)))</f>
        <v>0</v>
      </c>
      <c r="L780" s="45">
        <f>IF(C780="","",IFERROR(INDEX(Materials!$S$5:$S$254,MATCH(C780,Materials!$A$5:$A$254,0)),""))</f>
        <v>0</v>
      </c>
      <c r="M780" s="45">
        <f>IF(C780="","",IF(OR(K780="",L780=""),"",ROUND(K780*L780,4)))</f>
        <v>0</v>
      </c>
      <c r="N780" s="20">
        <f>IF(A780="","",ROUND(SUMIFS('Material Usage'!$M$5:$M$904,'Material Usage'!$A$5:$A$904,A780),2))</f>
        <v>0</v>
      </c>
      <c r="O780" s="33">
        <f>IF(A780="","",IF(OR(M780="",N780="",N780=0),"",M780/N780))</f>
        <v>0</v>
      </c>
      <c r="P780" s="32">
        <f>IF(A780="","",COUNTIFS($A$5:A780,A780))</f>
        <v>0</v>
      </c>
      <c r="Q780" s="13">
        <f>IF(A780="","",A780&amp;"|"&amp;P780)</f>
        <v>0</v>
      </c>
      <c r="R780" s="43">
        <f>IF(AND(A780="",C780=""),"",IF(A780="","Add - which product?",IF(C780="","Add - which material?",IF(B780="Not found","Check - no such product ID",IF(D780="Add to Materials","Check - no such material ID",IF(OR(F780="",F780=0),"Add - how much?",IF(L780="","Check - that material has no price","OK")))))))</f>
        <v>0</v>
      </c>
    </row>
    <row r="781" spans="2:18">
      <c r="B781" s="13">
        <f>IF(A781="","",IFERROR(INDEX(Products!$B$5:$B$304,MATCH(A781,Products!$A$5:$A$304,0)),"Not found"))</f>
        <v>0</v>
      </c>
      <c r="D781" s="13">
        <f>IF(C781="","",IFERROR(INDEX(Materials!$B$5:$B$254,MATCH(C781,Materials!$A$5:$A$254,0)),"Add to Materials"))</f>
        <v>0</v>
      </c>
      <c r="E781" s="13">
        <f>IF(C781="","",IFERROR(INDEX(Materials!$H$5:$H$254,MATCH(C781,Materials!$A$5:$A$254,0)),"Add to Materials"))</f>
        <v>0</v>
      </c>
      <c r="J781" s="33">
        <f>IF(C781="","",IF(G781&lt;&gt;"",G781,IFERROR(INDEX(Materials!$W$5:$W$254,MATCH(C781,Materials!$A$5:$A$254,0)),DefaultWaste)))</f>
        <v>0</v>
      </c>
      <c r="K781" s="36">
        <f>IF(C781="","",IF(F781="","",ROUND(F781*(1+J781),4)))</f>
        <v>0</v>
      </c>
      <c r="L781" s="45">
        <f>IF(C781="","",IFERROR(INDEX(Materials!$S$5:$S$254,MATCH(C781,Materials!$A$5:$A$254,0)),""))</f>
        <v>0</v>
      </c>
      <c r="M781" s="45">
        <f>IF(C781="","",IF(OR(K781="",L781=""),"",ROUND(K781*L781,4)))</f>
        <v>0</v>
      </c>
      <c r="N781" s="20">
        <f>IF(A781="","",ROUND(SUMIFS('Material Usage'!$M$5:$M$904,'Material Usage'!$A$5:$A$904,A781),2))</f>
        <v>0</v>
      </c>
      <c r="O781" s="33">
        <f>IF(A781="","",IF(OR(M781="",N781="",N781=0),"",M781/N781))</f>
        <v>0</v>
      </c>
      <c r="P781" s="32">
        <f>IF(A781="","",COUNTIFS($A$5:A781,A781))</f>
        <v>0</v>
      </c>
      <c r="Q781" s="13">
        <f>IF(A781="","",A781&amp;"|"&amp;P781)</f>
        <v>0</v>
      </c>
      <c r="R781" s="43">
        <f>IF(AND(A781="",C781=""),"",IF(A781="","Add - which product?",IF(C781="","Add - which material?",IF(B781="Not found","Check - no such product ID",IF(D781="Add to Materials","Check - no such material ID",IF(OR(F781="",F781=0),"Add - how much?",IF(L781="","Check - that material has no price","OK")))))))</f>
        <v>0</v>
      </c>
    </row>
    <row r="782" spans="2:18">
      <c r="B782" s="13">
        <f>IF(A782="","",IFERROR(INDEX(Products!$B$5:$B$304,MATCH(A782,Products!$A$5:$A$304,0)),"Not found"))</f>
        <v>0</v>
      </c>
      <c r="D782" s="13">
        <f>IF(C782="","",IFERROR(INDEX(Materials!$B$5:$B$254,MATCH(C782,Materials!$A$5:$A$254,0)),"Add to Materials"))</f>
        <v>0</v>
      </c>
      <c r="E782" s="13">
        <f>IF(C782="","",IFERROR(INDEX(Materials!$H$5:$H$254,MATCH(C782,Materials!$A$5:$A$254,0)),"Add to Materials"))</f>
        <v>0</v>
      </c>
      <c r="J782" s="33">
        <f>IF(C782="","",IF(G782&lt;&gt;"",G782,IFERROR(INDEX(Materials!$W$5:$W$254,MATCH(C782,Materials!$A$5:$A$254,0)),DefaultWaste)))</f>
        <v>0</v>
      </c>
      <c r="K782" s="36">
        <f>IF(C782="","",IF(F782="","",ROUND(F782*(1+J782),4)))</f>
        <v>0</v>
      </c>
      <c r="L782" s="45">
        <f>IF(C782="","",IFERROR(INDEX(Materials!$S$5:$S$254,MATCH(C782,Materials!$A$5:$A$254,0)),""))</f>
        <v>0</v>
      </c>
      <c r="M782" s="45">
        <f>IF(C782="","",IF(OR(K782="",L782=""),"",ROUND(K782*L782,4)))</f>
        <v>0</v>
      </c>
      <c r="N782" s="20">
        <f>IF(A782="","",ROUND(SUMIFS('Material Usage'!$M$5:$M$904,'Material Usage'!$A$5:$A$904,A782),2))</f>
        <v>0</v>
      </c>
      <c r="O782" s="33">
        <f>IF(A782="","",IF(OR(M782="",N782="",N782=0),"",M782/N782))</f>
        <v>0</v>
      </c>
      <c r="P782" s="32">
        <f>IF(A782="","",COUNTIFS($A$5:A782,A782))</f>
        <v>0</v>
      </c>
      <c r="Q782" s="13">
        <f>IF(A782="","",A782&amp;"|"&amp;P782)</f>
        <v>0</v>
      </c>
      <c r="R782" s="43">
        <f>IF(AND(A782="",C782=""),"",IF(A782="","Add - which product?",IF(C782="","Add - which material?",IF(B782="Not found","Check - no such product ID",IF(D782="Add to Materials","Check - no such material ID",IF(OR(F782="",F782=0),"Add - how much?",IF(L782="","Check - that material has no price","OK")))))))</f>
        <v>0</v>
      </c>
    </row>
    <row r="783" spans="2:18">
      <c r="B783" s="13">
        <f>IF(A783="","",IFERROR(INDEX(Products!$B$5:$B$304,MATCH(A783,Products!$A$5:$A$304,0)),"Not found"))</f>
        <v>0</v>
      </c>
      <c r="D783" s="13">
        <f>IF(C783="","",IFERROR(INDEX(Materials!$B$5:$B$254,MATCH(C783,Materials!$A$5:$A$254,0)),"Add to Materials"))</f>
        <v>0</v>
      </c>
      <c r="E783" s="13">
        <f>IF(C783="","",IFERROR(INDEX(Materials!$H$5:$H$254,MATCH(C783,Materials!$A$5:$A$254,0)),"Add to Materials"))</f>
        <v>0</v>
      </c>
      <c r="J783" s="33">
        <f>IF(C783="","",IF(G783&lt;&gt;"",G783,IFERROR(INDEX(Materials!$W$5:$W$254,MATCH(C783,Materials!$A$5:$A$254,0)),DefaultWaste)))</f>
        <v>0</v>
      </c>
      <c r="K783" s="36">
        <f>IF(C783="","",IF(F783="","",ROUND(F783*(1+J783),4)))</f>
        <v>0</v>
      </c>
      <c r="L783" s="45">
        <f>IF(C783="","",IFERROR(INDEX(Materials!$S$5:$S$254,MATCH(C783,Materials!$A$5:$A$254,0)),""))</f>
        <v>0</v>
      </c>
      <c r="M783" s="45">
        <f>IF(C783="","",IF(OR(K783="",L783=""),"",ROUND(K783*L783,4)))</f>
        <v>0</v>
      </c>
      <c r="N783" s="20">
        <f>IF(A783="","",ROUND(SUMIFS('Material Usage'!$M$5:$M$904,'Material Usage'!$A$5:$A$904,A783),2))</f>
        <v>0</v>
      </c>
      <c r="O783" s="33">
        <f>IF(A783="","",IF(OR(M783="",N783="",N783=0),"",M783/N783))</f>
        <v>0</v>
      </c>
      <c r="P783" s="32">
        <f>IF(A783="","",COUNTIFS($A$5:A783,A783))</f>
        <v>0</v>
      </c>
      <c r="Q783" s="13">
        <f>IF(A783="","",A783&amp;"|"&amp;P783)</f>
        <v>0</v>
      </c>
      <c r="R783" s="43">
        <f>IF(AND(A783="",C783=""),"",IF(A783="","Add - which product?",IF(C783="","Add - which material?",IF(B783="Not found","Check - no such product ID",IF(D783="Add to Materials","Check - no such material ID",IF(OR(F783="",F783=0),"Add - how much?",IF(L783="","Check - that material has no price","OK")))))))</f>
        <v>0</v>
      </c>
    </row>
    <row r="784" spans="2:18">
      <c r="B784" s="13">
        <f>IF(A784="","",IFERROR(INDEX(Products!$B$5:$B$304,MATCH(A784,Products!$A$5:$A$304,0)),"Not found"))</f>
        <v>0</v>
      </c>
      <c r="D784" s="13">
        <f>IF(C784="","",IFERROR(INDEX(Materials!$B$5:$B$254,MATCH(C784,Materials!$A$5:$A$254,0)),"Add to Materials"))</f>
        <v>0</v>
      </c>
      <c r="E784" s="13">
        <f>IF(C784="","",IFERROR(INDEX(Materials!$H$5:$H$254,MATCH(C784,Materials!$A$5:$A$254,0)),"Add to Materials"))</f>
        <v>0</v>
      </c>
      <c r="J784" s="33">
        <f>IF(C784="","",IF(G784&lt;&gt;"",G784,IFERROR(INDEX(Materials!$W$5:$W$254,MATCH(C784,Materials!$A$5:$A$254,0)),DefaultWaste)))</f>
        <v>0</v>
      </c>
      <c r="K784" s="36">
        <f>IF(C784="","",IF(F784="","",ROUND(F784*(1+J784),4)))</f>
        <v>0</v>
      </c>
      <c r="L784" s="45">
        <f>IF(C784="","",IFERROR(INDEX(Materials!$S$5:$S$254,MATCH(C784,Materials!$A$5:$A$254,0)),""))</f>
        <v>0</v>
      </c>
      <c r="M784" s="45">
        <f>IF(C784="","",IF(OR(K784="",L784=""),"",ROUND(K784*L784,4)))</f>
        <v>0</v>
      </c>
      <c r="N784" s="20">
        <f>IF(A784="","",ROUND(SUMIFS('Material Usage'!$M$5:$M$904,'Material Usage'!$A$5:$A$904,A784),2))</f>
        <v>0</v>
      </c>
      <c r="O784" s="33">
        <f>IF(A784="","",IF(OR(M784="",N784="",N784=0),"",M784/N784))</f>
        <v>0</v>
      </c>
      <c r="P784" s="32">
        <f>IF(A784="","",COUNTIFS($A$5:A784,A784))</f>
        <v>0</v>
      </c>
      <c r="Q784" s="13">
        <f>IF(A784="","",A784&amp;"|"&amp;P784)</f>
        <v>0</v>
      </c>
      <c r="R784" s="43">
        <f>IF(AND(A784="",C784=""),"",IF(A784="","Add - which product?",IF(C784="","Add - which material?",IF(B784="Not found","Check - no such product ID",IF(D784="Add to Materials","Check - no such material ID",IF(OR(F784="",F784=0),"Add - how much?",IF(L784="","Check - that material has no price","OK")))))))</f>
        <v>0</v>
      </c>
    </row>
    <row r="785" spans="2:18">
      <c r="B785" s="13">
        <f>IF(A785="","",IFERROR(INDEX(Products!$B$5:$B$304,MATCH(A785,Products!$A$5:$A$304,0)),"Not found"))</f>
        <v>0</v>
      </c>
      <c r="D785" s="13">
        <f>IF(C785="","",IFERROR(INDEX(Materials!$B$5:$B$254,MATCH(C785,Materials!$A$5:$A$254,0)),"Add to Materials"))</f>
        <v>0</v>
      </c>
      <c r="E785" s="13">
        <f>IF(C785="","",IFERROR(INDEX(Materials!$H$5:$H$254,MATCH(C785,Materials!$A$5:$A$254,0)),"Add to Materials"))</f>
        <v>0</v>
      </c>
      <c r="J785" s="33">
        <f>IF(C785="","",IF(G785&lt;&gt;"",G785,IFERROR(INDEX(Materials!$W$5:$W$254,MATCH(C785,Materials!$A$5:$A$254,0)),DefaultWaste)))</f>
        <v>0</v>
      </c>
      <c r="K785" s="36">
        <f>IF(C785="","",IF(F785="","",ROUND(F785*(1+J785),4)))</f>
        <v>0</v>
      </c>
      <c r="L785" s="45">
        <f>IF(C785="","",IFERROR(INDEX(Materials!$S$5:$S$254,MATCH(C785,Materials!$A$5:$A$254,0)),""))</f>
        <v>0</v>
      </c>
      <c r="M785" s="45">
        <f>IF(C785="","",IF(OR(K785="",L785=""),"",ROUND(K785*L785,4)))</f>
        <v>0</v>
      </c>
      <c r="N785" s="20">
        <f>IF(A785="","",ROUND(SUMIFS('Material Usage'!$M$5:$M$904,'Material Usage'!$A$5:$A$904,A785),2))</f>
        <v>0</v>
      </c>
      <c r="O785" s="33">
        <f>IF(A785="","",IF(OR(M785="",N785="",N785=0),"",M785/N785))</f>
        <v>0</v>
      </c>
      <c r="P785" s="32">
        <f>IF(A785="","",COUNTIFS($A$5:A785,A785))</f>
        <v>0</v>
      </c>
      <c r="Q785" s="13">
        <f>IF(A785="","",A785&amp;"|"&amp;P785)</f>
        <v>0</v>
      </c>
      <c r="R785" s="43">
        <f>IF(AND(A785="",C785=""),"",IF(A785="","Add - which product?",IF(C785="","Add - which material?",IF(B785="Not found","Check - no such product ID",IF(D785="Add to Materials","Check - no such material ID",IF(OR(F785="",F785=0),"Add - how much?",IF(L785="","Check - that material has no price","OK")))))))</f>
        <v>0</v>
      </c>
    </row>
    <row r="786" spans="2:18">
      <c r="B786" s="13">
        <f>IF(A786="","",IFERROR(INDEX(Products!$B$5:$B$304,MATCH(A786,Products!$A$5:$A$304,0)),"Not found"))</f>
        <v>0</v>
      </c>
      <c r="D786" s="13">
        <f>IF(C786="","",IFERROR(INDEX(Materials!$B$5:$B$254,MATCH(C786,Materials!$A$5:$A$254,0)),"Add to Materials"))</f>
        <v>0</v>
      </c>
      <c r="E786" s="13">
        <f>IF(C786="","",IFERROR(INDEX(Materials!$H$5:$H$254,MATCH(C786,Materials!$A$5:$A$254,0)),"Add to Materials"))</f>
        <v>0</v>
      </c>
      <c r="J786" s="33">
        <f>IF(C786="","",IF(G786&lt;&gt;"",G786,IFERROR(INDEX(Materials!$W$5:$W$254,MATCH(C786,Materials!$A$5:$A$254,0)),DefaultWaste)))</f>
        <v>0</v>
      </c>
      <c r="K786" s="36">
        <f>IF(C786="","",IF(F786="","",ROUND(F786*(1+J786),4)))</f>
        <v>0</v>
      </c>
      <c r="L786" s="45">
        <f>IF(C786="","",IFERROR(INDEX(Materials!$S$5:$S$254,MATCH(C786,Materials!$A$5:$A$254,0)),""))</f>
        <v>0</v>
      </c>
      <c r="M786" s="45">
        <f>IF(C786="","",IF(OR(K786="",L786=""),"",ROUND(K786*L786,4)))</f>
        <v>0</v>
      </c>
      <c r="N786" s="20">
        <f>IF(A786="","",ROUND(SUMIFS('Material Usage'!$M$5:$M$904,'Material Usage'!$A$5:$A$904,A786),2))</f>
        <v>0</v>
      </c>
      <c r="O786" s="33">
        <f>IF(A786="","",IF(OR(M786="",N786="",N786=0),"",M786/N786))</f>
        <v>0</v>
      </c>
      <c r="P786" s="32">
        <f>IF(A786="","",COUNTIFS($A$5:A786,A786))</f>
        <v>0</v>
      </c>
      <c r="Q786" s="13">
        <f>IF(A786="","",A786&amp;"|"&amp;P786)</f>
        <v>0</v>
      </c>
      <c r="R786" s="43">
        <f>IF(AND(A786="",C786=""),"",IF(A786="","Add - which product?",IF(C786="","Add - which material?",IF(B786="Not found","Check - no such product ID",IF(D786="Add to Materials","Check - no such material ID",IF(OR(F786="",F786=0),"Add - how much?",IF(L786="","Check - that material has no price","OK")))))))</f>
        <v>0</v>
      </c>
    </row>
    <row r="787" spans="2:18">
      <c r="B787" s="13">
        <f>IF(A787="","",IFERROR(INDEX(Products!$B$5:$B$304,MATCH(A787,Products!$A$5:$A$304,0)),"Not found"))</f>
        <v>0</v>
      </c>
      <c r="D787" s="13">
        <f>IF(C787="","",IFERROR(INDEX(Materials!$B$5:$B$254,MATCH(C787,Materials!$A$5:$A$254,0)),"Add to Materials"))</f>
        <v>0</v>
      </c>
      <c r="E787" s="13">
        <f>IF(C787="","",IFERROR(INDEX(Materials!$H$5:$H$254,MATCH(C787,Materials!$A$5:$A$254,0)),"Add to Materials"))</f>
        <v>0</v>
      </c>
      <c r="J787" s="33">
        <f>IF(C787="","",IF(G787&lt;&gt;"",G787,IFERROR(INDEX(Materials!$W$5:$W$254,MATCH(C787,Materials!$A$5:$A$254,0)),DefaultWaste)))</f>
        <v>0</v>
      </c>
      <c r="K787" s="36">
        <f>IF(C787="","",IF(F787="","",ROUND(F787*(1+J787),4)))</f>
        <v>0</v>
      </c>
      <c r="L787" s="45">
        <f>IF(C787="","",IFERROR(INDEX(Materials!$S$5:$S$254,MATCH(C787,Materials!$A$5:$A$254,0)),""))</f>
        <v>0</v>
      </c>
      <c r="M787" s="45">
        <f>IF(C787="","",IF(OR(K787="",L787=""),"",ROUND(K787*L787,4)))</f>
        <v>0</v>
      </c>
      <c r="N787" s="20">
        <f>IF(A787="","",ROUND(SUMIFS('Material Usage'!$M$5:$M$904,'Material Usage'!$A$5:$A$904,A787),2))</f>
        <v>0</v>
      </c>
      <c r="O787" s="33">
        <f>IF(A787="","",IF(OR(M787="",N787="",N787=0),"",M787/N787))</f>
        <v>0</v>
      </c>
      <c r="P787" s="32">
        <f>IF(A787="","",COUNTIFS($A$5:A787,A787))</f>
        <v>0</v>
      </c>
      <c r="Q787" s="13">
        <f>IF(A787="","",A787&amp;"|"&amp;P787)</f>
        <v>0</v>
      </c>
      <c r="R787" s="43">
        <f>IF(AND(A787="",C787=""),"",IF(A787="","Add - which product?",IF(C787="","Add - which material?",IF(B787="Not found","Check - no such product ID",IF(D787="Add to Materials","Check - no such material ID",IF(OR(F787="",F787=0),"Add - how much?",IF(L787="","Check - that material has no price","OK")))))))</f>
        <v>0</v>
      </c>
    </row>
    <row r="788" spans="2:18">
      <c r="B788" s="13">
        <f>IF(A788="","",IFERROR(INDEX(Products!$B$5:$B$304,MATCH(A788,Products!$A$5:$A$304,0)),"Not found"))</f>
        <v>0</v>
      </c>
      <c r="D788" s="13">
        <f>IF(C788="","",IFERROR(INDEX(Materials!$B$5:$B$254,MATCH(C788,Materials!$A$5:$A$254,0)),"Add to Materials"))</f>
        <v>0</v>
      </c>
      <c r="E788" s="13">
        <f>IF(C788="","",IFERROR(INDEX(Materials!$H$5:$H$254,MATCH(C788,Materials!$A$5:$A$254,0)),"Add to Materials"))</f>
        <v>0</v>
      </c>
      <c r="J788" s="33">
        <f>IF(C788="","",IF(G788&lt;&gt;"",G788,IFERROR(INDEX(Materials!$W$5:$W$254,MATCH(C788,Materials!$A$5:$A$254,0)),DefaultWaste)))</f>
        <v>0</v>
      </c>
      <c r="K788" s="36">
        <f>IF(C788="","",IF(F788="","",ROUND(F788*(1+J788),4)))</f>
        <v>0</v>
      </c>
      <c r="L788" s="45">
        <f>IF(C788="","",IFERROR(INDEX(Materials!$S$5:$S$254,MATCH(C788,Materials!$A$5:$A$254,0)),""))</f>
        <v>0</v>
      </c>
      <c r="M788" s="45">
        <f>IF(C788="","",IF(OR(K788="",L788=""),"",ROUND(K788*L788,4)))</f>
        <v>0</v>
      </c>
      <c r="N788" s="20">
        <f>IF(A788="","",ROUND(SUMIFS('Material Usage'!$M$5:$M$904,'Material Usage'!$A$5:$A$904,A788),2))</f>
        <v>0</v>
      </c>
      <c r="O788" s="33">
        <f>IF(A788="","",IF(OR(M788="",N788="",N788=0),"",M788/N788))</f>
        <v>0</v>
      </c>
      <c r="P788" s="32">
        <f>IF(A788="","",COUNTIFS($A$5:A788,A788))</f>
        <v>0</v>
      </c>
      <c r="Q788" s="13">
        <f>IF(A788="","",A788&amp;"|"&amp;P788)</f>
        <v>0</v>
      </c>
      <c r="R788" s="43">
        <f>IF(AND(A788="",C788=""),"",IF(A788="","Add - which product?",IF(C788="","Add - which material?",IF(B788="Not found","Check - no such product ID",IF(D788="Add to Materials","Check - no such material ID",IF(OR(F788="",F788=0),"Add - how much?",IF(L788="","Check - that material has no price","OK")))))))</f>
        <v>0</v>
      </c>
    </row>
    <row r="789" spans="2:18">
      <c r="B789" s="13">
        <f>IF(A789="","",IFERROR(INDEX(Products!$B$5:$B$304,MATCH(A789,Products!$A$5:$A$304,0)),"Not found"))</f>
        <v>0</v>
      </c>
      <c r="D789" s="13">
        <f>IF(C789="","",IFERROR(INDEX(Materials!$B$5:$B$254,MATCH(C789,Materials!$A$5:$A$254,0)),"Add to Materials"))</f>
        <v>0</v>
      </c>
      <c r="E789" s="13">
        <f>IF(C789="","",IFERROR(INDEX(Materials!$H$5:$H$254,MATCH(C789,Materials!$A$5:$A$254,0)),"Add to Materials"))</f>
        <v>0</v>
      </c>
      <c r="J789" s="33">
        <f>IF(C789="","",IF(G789&lt;&gt;"",G789,IFERROR(INDEX(Materials!$W$5:$W$254,MATCH(C789,Materials!$A$5:$A$254,0)),DefaultWaste)))</f>
        <v>0</v>
      </c>
      <c r="K789" s="36">
        <f>IF(C789="","",IF(F789="","",ROUND(F789*(1+J789),4)))</f>
        <v>0</v>
      </c>
      <c r="L789" s="45">
        <f>IF(C789="","",IFERROR(INDEX(Materials!$S$5:$S$254,MATCH(C789,Materials!$A$5:$A$254,0)),""))</f>
        <v>0</v>
      </c>
      <c r="M789" s="45">
        <f>IF(C789="","",IF(OR(K789="",L789=""),"",ROUND(K789*L789,4)))</f>
        <v>0</v>
      </c>
      <c r="N789" s="20">
        <f>IF(A789="","",ROUND(SUMIFS('Material Usage'!$M$5:$M$904,'Material Usage'!$A$5:$A$904,A789),2))</f>
        <v>0</v>
      </c>
      <c r="O789" s="33">
        <f>IF(A789="","",IF(OR(M789="",N789="",N789=0),"",M789/N789))</f>
        <v>0</v>
      </c>
      <c r="P789" s="32">
        <f>IF(A789="","",COUNTIFS($A$5:A789,A789))</f>
        <v>0</v>
      </c>
      <c r="Q789" s="13">
        <f>IF(A789="","",A789&amp;"|"&amp;P789)</f>
        <v>0</v>
      </c>
      <c r="R789" s="43">
        <f>IF(AND(A789="",C789=""),"",IF(A789="","Add - which product?",IF(C789="","Add - which material?",IF(B789="Not found","Check - no such product ID",IF(D789="Add to Materials","Check - no such material ID",IF(OR(F789="",F789=0),"Add - how much?",IF(L789="","Check - that material has no price","OK")))))))</f>
        <v>0</v>
      </c>
    </row>
    <row r="790" spans="2:18">
      <c r="B790" s="13">
        <f>IF(A790="","",IFERROR(INDEX(Products!$B$5:$B$304,MATCH(A790,Products!$A$5:$A$304,0)),"Not found"))</f>
        <v>0</v>
      </c>
      <c r="D790" s="13">
        <f>IF(C790="","",IFERROR(INDEX(Materials!$B$5:$B$254,MATCH(C790,Materials!$A$5:$A$254,0)),"Add to Materials"))</f>
        <v>0</v>
      </c>
      <c r="E790" s="13">
        <f>IF(C790="","",IFERROR(INDEX(Materials!$H$5:$H$254,MATCH(C790,Materials!$A$5:$A$254,0)),"Add to Materials"))</f>
        <v>0</v>
      </c>
      <c r="J790" s="33">
        <f>IF(C790="","",IF(G790&lt;&gt;"",G790,IFERROR(INDEX(Materials!$W$5:$W$254,MATCH(C790,Materials!$A$5:$A$254,0)),DefaultWaste)))</f>
        <v>0</v>
      </c>
      <c r="K790" s="36">
        <f>IF(C790="","",IF(F790="","",ROUND(F790*(1+J790),4)))</f>
        <v>0</v>
      </c>
      <c r="L790" s="45">
        <f>IF(C790="","",IFERROR(INDEX(Materials!$S$5:$S$254,MATCH(C790,Materials!$A$5:$A$254,0)),""))</f>
        <v>0</v>
      </c>
      <c r="M790" s="45">
        <f>IF(C790="","",IF(OR(K790="",L790=""),"",ROUND(K790*L790,4)))</f>
        <v>0</v>
      </c>
      <c r="N790" s="20">
        <f>IF(A790="","",ROUND(SUMIFS('Material Usage'!$M$5:$M$904,'Material Usage'!$A$5:$A$904,A790),2))</f>
        <v>0</v>
      </c>
      <c r="O790" s="33">
        <f>IF(A790="","",IF(OR(M790="",N790="",N790=0),"",M790/N790))</f>
        <v>0</v>
      </c>
      <c r="P790" s="32">
        <f>IF(A790="","",COUNTIFS($A$5:A790,A790))</f>
        <v>0</v>
      </c>
      <c r="Q790" s="13">
        <f>IF(A790="","",A790&amp;"|"&amp;P790)</f>
        <v>0</v>
      </c>
      <c r="R790" s="43">
        <f>IF(AND(A790="",C790=""),"",IF(A790="","Add - which product?",IF(C790="","Add - which material?",IF(B790="Not found","Check - no such product ID",IF(D790="Add to Materials","Check - no such material ID",IF(OR(F790="",F790=0),"Add - how much?",IF(L790="","Check - that material has no price","OK")))))))</f>
        <v>0</v>
      </c>
    </row>
    <row r="791" spans="2:18">
      <c r="B791" s="13">
        <f>IF(A791="","",IFERROR(INDEX(Products!$B$5:$B$304,MATCH(A791,Products!$A$5:$A$304,0)),"Not found"))</f>
        <v>0</v>
      </c>
      <c r="D791" s="13">
        <f>IF(C791="","",IFERROR(INDEX(Materials!$B$5:$B$254,MATCH(C791,Materials!$A$5:$A$254,0)),"Add to Materials"))</f>
        <v>0</v>
      </c>
      <c r="E791" s="13">
        <f>IF(C791="","",IFERROR(INDEX(Materials!$H$5:$H$254,MATCH(C791,Materials!$A$5:$A$254,0)),"Add to Materials"))</f>
        <v>0</v>
      </c>
      <c r="J791" s="33">
        <f>IF(C791="","",IF(G791&lt;&gt;"",G791,IFERROR(INDEX(Materials!$W$5:$W$254,MATCH(C791,Materials!$A$5:$A$254,0)),DefaultWaste)))</f>
        <v>0</v>
      </c>
      <c r="K791" s="36">
        <f>IF(C791="","",IF(F791="","",ROUND(F791*(1+J791),4)))</f>
        <v>0</v>
      </c>
      <c r="L791" s="45">
        <f>IF(C791="","",IFERROR(INDEX(Materials!$S$5:$S$254,MATCH(C791,Materials!$A$5:$A$254,0)),""))</f>
        <v>0</v>
      </c>
      <c r="M791" s="45">
        <f>IF(C791="","",IF(OR(K791="",L791=""),"",ROUND(K791*L791,4)))</f>
        <v>0</v>
      </c>
      <c r="N791" s="20">
        <f>IF(A791="","",ROUND(SUMIFS('Material Usage'!$M$5:$M$904,'Material Usage'!$A$5:$A$904,A791),2))</f>
        <v>0</v>
      </c>
      <c r="O791" s="33">
        <f>IF(A791="","",IF(OR(M791="",N791="",N791=0),"",M791/N791))</f>
        <v>0</v>
      </c>
      <c r="P791" s="32">
        <f>IF(A791="","",COUNTIFS($A$5:A791,A791))</f>
        <v>0</v>
      </c>
      <c r="Q791" s="13">
        <f>IF(A791="","",A791&amp;"|"&amp;P791)</f>
        <v>0</v>
      </c>
      <c r="R791" s="43">
        <f>IF(AND(A791="",C791=""),"",IF(A791="","Add - which product?",IF(C791="","Add - which material?",IF(B791="Not found","Check - no such product ID",IF(D791="Add to Materials","Check - no such material ID",IF(OR(F791="",F791=0),"Add - how much?",IF(L791="","Check - that material has no price","OK")))))))</f>
        <v>0</v>
      </c>
    </row>
    <row r="792" spans="2:18">
      <c r="B792" s="13">
        <f>IF(A792="","",IFERROR(INDEX(Products!$B$5:$B$304,MATCH(A792,Products!$A$5:$A$304,0)),"Not found"))</f>
        <v>0</v>
      </c>
      <c r="D792" s="13">
        <f>IF(C792="","",IFERROR(INDEX(Materials!$B$5:$B$254,MATCH(C792,Materials!$A$5:$A$254,0)),"Add to Materials"))</f>
        <v>0</v>
      </c>
      <c r="E792" s="13">
        <f>IF(C792="","",IFERROR(INDEX(Materials!$H$5:$H$254,MATCH(C792,Materials!$A$5:$A$254,0)),"Add to Materials"))</f>
        <v>0</v>
      </c>
      <c r="J792" s="33">
        <f>IF(C792="","",IF(G792&lt;&gt;"",G792,IFERROR(INDEX(Materials!$W$5:$W$254,MATCH(C792,Materials!$A$5:$A$254,0)),DefaultWaste)))</f>
        <v>0</v>
      </c>
      <c r="K792" s="36">
        <f>IF(C792="","",IF(F792="","",ROUND(F792*(1+J792),4)))</f>
        <v>0</v>
      </c>
      <c r="L792" s="45">
        <f>IF(C792="","",IFERROR(INDEX(Materials!$S$5:$S$254,MATCH(C792,Materials!$A$5:$A$254,0)),""))</f>
        <v>0</v>
      </c>
      <c r="M792" s="45">
        <f>IF(C792="","",IF(OR(K792="",L792=""),"",ROUND(K792*L792,4)))</f>
        <v>0</v>
      </c>
      <c r="N792" s="20">
        <f>IF(A792="","",ROUND(SUMIFS('Material Usage'!$M$5:$M$904,'Material Usage'!$A$5:$A$904,A792),2))</f>
        <v>0</v>
      </c>
      <c r="O792" s="33">
        <f>IF(A792="","",IF(OR(M792="",N792="",N792=0),"",M792/N792))</f>
        <v>0</v>
      </c>
      <c r="P792" s="32">
        <f>IF(A792="","",COUNTIFS($A$5:A792,A792))</f>
        <v>0</v>
      </c>
      <c r="Q792" s="13">
        <f>IF(A792="","",A792&amp;"|"&amp;P792)</f>
        <v>0</v>
      </c>
      <c r="R792" s="43">
        <f>IF(AND(A792="",C792=""),"",IF(A792="","Add - which product?",IF(C792="","Add - which material?",IF(B792="Not found","Check - no such product ID",IF(D792="Add to Materials","Check - no such material ID",IF(OR(F792="",F792=0),"Add - how much?",IF(L792="","Check - that material has no price","OK")))))))</f>
        <v>0</v>
      </c>
    </row>
    <row r="793" spans="2:18">
      <c r="B793" s="13">
        <f>IF(A793="","",IFERROR(INDEX(Products!$B$5:$B$304,MATCH(A793,Products!$A$5:$A$304,0)),"Not found"))</f>
        <v>0</v>
      </c>
      <c r="D793" s="13">
        <f>IF(C793="","",IFERROR(INDEX(Materials!$B$5:$B$254,MATCH(C793,Materials!$A$5:$A$254,0)),"Add to Materials"))</f>
        <v>0</v>
      </c>
      <c r="E793" s="13">
        <f>IF(C793="","",IFERROR(INDEX(Materials!$H$5:$H$254,MATCH(C793,Materials!$A$5:$A$254,0)),"Add to Materials"))</f>
        <v>0</v>
      </c>
      <c r="J793" s="33">
        <f>IF(C793="","",IF(G793&lt;&gt;"",G793,IFERROR(INDEX(Materials!$W$5:$W$254,MATCH(C793,Materials!$A$5:$A$254,0)),DefaultWaste)))</f>
        <v>0</v>
      </c>
      <c r="K793" s="36">
        <f>IF(C793="","",IF(F793="","",ROUND(F793*(1+J793),4)))</f>
        <v>0</v>
      </c>
      <c r="L793" s="45">
        <f>IF(C793="","",IFERROR(INDEX(Materials!$S$5:$S$254,MATCH(C793,Materials!$A$5:$A$254,0)),""))</f>
        <v>0</v>
      </c>
      <c r="M793" s="45">
        <f>IF(C793="","",IF(OR(K793="",L793=""),"",ROUND(K793*L793,4)))</f>
        <v>0</v>
      </c>
      <c r="N793" s="20">
        <f>IF(A793="","",ROUND(SUMIFS('Material Usage'!$M$5:$M$904,'Material Usage'!$A$5:$A$904,A793),2))</f>
        <v>0</v>
      </c>
      <c r="O793" s="33">
        <f>IF(A793="","",IF(OR(M793="",N793="",N793=0),"",M793/N793))</f>
        <v>0</v>
      </c>
      <c r="P793" s="32">
        <f>IF(A793="","",COUNTIFS($A$5:A793,A793))</f>
        <v>0</v>
      </c>
      <c r="Q793" s="13">
        <f>IF(A793="","",A793&amp;"|"&amp;P793)</f>
        <v>0</v>
      </c>
      <c r="R793" s="43">
        <f>IF(AND(A793="",C793=""),"",IF(A793="","Add - which product?",IF(C793="","Add - which material?",IF(B793="Not found","Check - no such product ID",IF(D793="Add to Materials","Check - no such material ID",IF(OR(F793="",F793=0),"Add - how much?",IF(L793="","Check - that material has no price","OK")))))))</f>
        <v>0</v>
      </c>
    </row>
    <row r="794" spans="2:18">
      <c r="B794" s="13">
        <f>IF(A794="","",IFERROR(INDEX(Products!$B$5:$B$304,MATCH(A794,Products!$A$5:$A$304,0)),"Not found"))</f>
        <v>0</v>
      </c>
      <c r="D794" s="13">
        <f>IF(C794="","",IFERROR(INDEX(Materials!$B$5:$B$254,MATCH(C794,Materials!$A$5:$A$254,0)),"Add to Materials"))</f>
        <v>0</v>
      </c>
      <c r="E794" s="13">
        <f>IF(C794="","",IFERROR(INDEX(Materials!$H$5:$H$254,MATCH(C794,Materials!$A$5:$A$254,0)),"Add to Materials"))</f>
        <v>0</v>
      </c>
      <c r="J794" s="33">
        <f>IF(C794="","",IF(G794&lt;&gt;"",G794,IFERROR(INDEX(Materials!$W$5:$W$254,MATCH(C794,Materials!$A$5:$A$254,0)),DefaultWaste)))</f>
        <v>0</v>
      </c>
      <c r="K794" s="36">
        <f>IF(C794="","",IF(F794="","",ROUND(F794*(1+J794),4)))</f>
        <v>0</v>
      </c>
      <c r="L794" s="45">
        <f>IF(C794="","",IFERROR(INDEX(Materials!$S$5:$S$254,MATCH(C794,Materials!$A$5:$A$254,0)),""))</f>
        <v>0</v>
      </c>
      <c r="M794" s="45">
        <f>IF(C794="","",IF(OR(K794="",L794=""),"",ROUND(K794*L794,4)))</f>
        <v>0</v>
      </c>
      <c r="N794" s="20">
        <f>IF(A794="","",ROUND(SUMIFS('Material Usage'!$M$5:$M$904,'Material Usage'!$A$5:$A$904,A794),2))</f>
        <v>0</v>
      </c>
      <c r="O794" s="33">
        <f>IF(A794="","",IF(OR(M794="",N794="",N794=0),"",M794/N794))</f>
        <v>0</v>
      </c>
      <c r="P794" s="32">
        <f>IF(A794="","",COUNTIFS($A$5:A794,A794))</f>
        <v>0</v>
      </c>
      <c r="Q794" s="13">
        <f>IF(A794="","",A794&amp;"|"&amp;P794)</f>
        <v>0</v>
      </c>
      <c r="R794" s="43">
        <f>IF(AND(A794="",C794=""),"",IF(A794="","Add - which product?",IF(C794="","Add - which material?",IF(B794="Not found","Check - no such product ID",IF(D794="Add to Materials","Check - no such material ID",IF(OR(F794="",F794=0),"Add - how much?",IF(L794="","Check - that material has no price","OK")))))))</f>
        <v>0</v>
      </c>
    </row>
    <row r="795" spans="2:18">
      <c r="B795" s="13">
        <f>IF(A795="","",IFERROR(INDEX(Products!$B$5:$B$304,MATCH(A795,Products!$A$5:$A$304,0)),"Not found"))</f>
        <v>0</v>
      </c>
      <c r="D795" s="13">
        <f>IF(C795="","",IFERROR(INDEX(Materials!$B$5:$B$254,MATCH(C795,Materials!$A$5:$A$254,0)),"Add to Materials"))</f>
        <v>0</v>
      </c>
      <c r="E795" s="13">
        <f>IF(C795="","",IFERROR(INDEX(Materials!$H$5:$H$254,MATCH(C795,Materials!$A$5:$A$254,0)),"Add to Materials"))</f>
        <v>0</v>
      </c>
      <c r="J795" s="33">
        <f>IF(C795="","",IF(G795&lt;&gt;"",G795,IFERROR(INDEX(Materials!$W$5:$W$254,MATCH(C795,Materials!$A$5:$A$254,0)),DefaultWaste)))</f>
        <v>0</v>
      </c>
      <c r="K795" s="36">
        <f>IF(C795="","",IF(F795="","",ROUND(F795*(1+J795),4)))</f>
        <v>0</v>
      </c>
      <c r="L795" s="45">
        <f>IF(C795="","",IFERROR(INDEX(Materials!$S$5:$S$254,MATCH(C795,Materials!$A$5:$A$254,0)),""))</f>
        <v>0</v>
      </c>
      <c r="M795" s="45">
        <f>IF(C795="","",IF(OR(K795="",L795=""),"",ROUND(K795*L795,4)))</f>
        <v>0</v>
      </c>
      <c r="N795" s="20">
        <f>IF(A795="","",ROUND(SUMIFS('Material Usage'!$M$5:$M$904,'Material Usage'!$A$5:$A$904,A795),2))</f>
        <v>0</v>
      </c>
      <c r="O795" s="33">
        <f>IF(A795="","",IF(OR(M795="",N795="",N795=0),"",M795/N795))</f>
        <v>0</v>
      </c>
      <c r="P795" s="32">
        <f>IF(A795="","",COUNTIFS($A$5:A795,A795))</f>
        <v>0</v>
      </c>
      <c r="Q795" s="13">
        <f>IF(A795="","",A795&amp;"|"&amp;P795)</f>
        <v>0</v>
      </c>
      <c r="R795" s="43">
        <f>IF(AND(A795="",C795=""),"",IF(A795="","Add - which product?",IF(C795="","Add - which material?",IF(B795="Not found","Check - no such product ID",IF(D795="Add to Materials","Check - no such material ID",IF(OR(F795="",F795=0),"Add - how much?",IF(L795="","Check - that material has no price","OK")))))))</f>
        <v>0</v>
      </c>
    </row>
    <row r="796" spans="2:18">
      <c r="B796" s="13">
        <f>IF(A796="","",IFERROR(INDEX(Products!$B$5:$B$304,MATCH(A796,Products!$A$5:$A$304,0)),"Not found"))</f>
        <v>0</v>
      </c>
      <c r="D796" s="13">
        <f>IF(C796="","",IFERROR(INDEX(Materials!$B$5:$B$254,MATCH(C796,Materials!$A$5:$A$254,0)),"Add to Materials"))</f>
        <v>0</v>
      </c>
      <c r="E796" s="13">
        <f>IF(C796="","",IFERROR(INDEX(Materials!$H$5:$H$254,MATCH(C796,Materials!$A$5:$A$254,0)),"Add to Materials"))</f>
        <v>0</v>
      </c>
      <c r="J796" s="33">
        <f>IF(C796="","",IF(G796&lt;&gt;"",G796,IFERROR(INDEX(Materials!$W$5:$W$254,MATCH(C796,Materials!$A$5:$A$254,0)),DefaultWaste)))</f>
        <v>0</v>
      </c>
      <c r="K796" s="36">
        <f>IF(C796="","",IF(F796="","",ROUND(F796*(1+J796),4)))</f>
        <v>0</v>
      </c>
      <c r="L796" s="45">
        <f>IF(C796="","",IFERROR(INDEX(Materials!$S$5:$S$254,MATCH(C796,Materials!$A$5:$A$254,0)),""))</f>
        <v>0</v>
      </c>
      <c r="M796" s="45">
        <f>IF(C796="","",IF(OR(K796="",L796=""),"",ROUND(K796*L796,4)))</f>
        <v>0</v>
      </c>
      <c r="N796" s="20">
        <f>IF(A796="","",ROUND(SUMIFS('Material Usage'!$M$5:$M$904,'Material Usage'!$A$5:$A$904,A796),2))</f>
        <v>0</v>
      </c>
      <c r="O796" s="33">
        <f>IF(A796="","",IF(OR(M796="",N796="",N796=0),"",M796/N796))</f>
        <v>0</v>
      </c>
      <c r="P796" s="32">
        <f>IF(A796="","",COUNTIFS($A$5:A796,A796))</f>
        <v>0</v>
      </c>
      <c r="Q796" s="13">
        <f>IF(A796="","",A796&amp;"|"&amp;P796)</f>
        <v>0</v>
      </c>
      <c r="R796" s="43">
        <f>IF(AND(A796="",C796=""),"",IF(A796="","Add - which product?",IF(C796="","Add - which material?",IF(B796="Not found","Check - no such product ID",IF(D796="Add to Materials","Check - no such material ID",IF(OR(F796="",F796=0),"Add - how much?",IF(L796="","Check - that material has no price","OK")))))))</f>
        <v>0</v>
      </c>
    </row>
    <row r="797" spans="2:18">
      <c r="B797" s="13">
        <f>IF(A797="","",IFERROR(INDEX(Products!$B$5:$B$304,MATCH(A797,Products!$A$5:$A$304,0)),"Not found"))</f>
        <v>0</v>
      </c>
      <c r="D797" s="13">
        <f>IF(C797="","",IFERROR(INDEX(Materials!$B$5:$B$254,MATCH(C797,Materials!$A$5:$A$254,0)),"Add to Materials"))</f>
        <v>0</v>
      </c>
      <c r="E797" s="13">
        <f>IF(C797="","",IFERROR(INDEX(Materials!$H$5:$H$254,MATCH(C797,Materials!$A$5:$A$254,0)),"Add to Materials"))</f>
        <v>0</v>
      </c>
      <c r="J797" s="33">
        <f>IF(C797="","",IF(G797&lt;&gt;"",G797,IFERROR(INDEX(Materials!$W$5:$W$254,MATCH(C797,Materials!$A$5:$A$254,0)),DefaultWaste)))</f>
        <v>0</v>
      </c>
      <c r="K797" s="36">
        <f>IF(C797="","",IF(F797="","",ROUND(F797*(1+J797),4)))</f>
        <v>0</v>
      </c>
      <c r="L797" s="45">
        <f>IF(C797="","",IFERROR(INDEX(Materials!$S$5:$S$254,MATCH(C797,Materials!$A$5:$A$254,0)),""))</f>
        <v>0</v>
      </c>
      <c r="M797" s="45">
        <f>IF(C797="","",IF(OR(K797="",L797=""),"",ROUND(K797*L797,4)))</f>
        <v>0</v>
      </c>
      <c r="N797" s="20">
        <f>IF(A797="","",ROUND(SUMIFS('Material Usage'!$M$5:$M$904,'Material Usage'!$A$5:$A$904,A797),2))</f>
        <v>0</v>
      </c>
      <c r="O797" s="33">
        <f>IF(A797="","",IF(OR(M797="",N797="",N797=0),"",M797/N797))</f>
        <v>0</v>
      </c>
      <c r="P797" s="32">
        <f>IF(A797="","",COUNTIFS($A$5:A797,A797))</f>
        <v>0</v>
      </c>
      <c r="Q797" s="13">
        <f>IF(A797="","",A797&amp;"|"&amp;P797)</f>
        <v>0</v>
      </c>
      <c r="R797" s="43">
        <f>IF(AND(A797="",C797=""),"",IF(A797="","Add - which product?",IF(C797="","Add - which material?",IF(B797="Not found","Check - no such product ID",IF(D797="Add to Materials","Check - no such material ID",IF(OR(F797="",F797=0),"Add - how much?",IF(L797="","Check - that material has no price","OK")))))))</f>
        <v>0</v>
      </c>
    </row>
    <row r="798" spans="2:18">
      <c r="B798" s="13">
        <f>IF(A798="","",IFERROR(INDEX(Products!$B$5:$B$304,MATCH(A798,Products!$A$5:$A$304,0)),"Not found"))</f>
        <v>0</v>
      </c>
      <c r="D798" s="13">
        <f>IF(C798="","",IFERROR(INDEX(Materials!$B$5:$B$254,MATCH(C798,Materials!$A$5:$A$254,0)),"Add to Materials"))</f>
        <v>0</v>
      </c>
      <c r="E798" s="13">
        <f>IF(C798="","",IFERROR(INDEX(Materials!$H$5:$H$254,MATCH(C798,Materials!$A$5:$A$254,0)),"Add to Materials"))</f>
        <v>0</v>
      </c>
      <c r="J798" s="33">
        <f>IF(C798="","",IF(G798&lt;&gt;"",G798,IFERROR(INDEX(Materials!$W$5:$W$254,MATCH(C798,Materials!$A$5:$A$254,0)),DefaultWaste)))</f>
        <v>0</v>
      </c>
      <c r="K798" s="36">
        <f>IF(C798="","",IF(F798="","",ROUND(F798*(1+J798),4)))</f>
        <v>0</v>
      </c>
      <c r="L798" s="45">
        <f>IF(C798="","",IFERROR(INDEX(Materials!$S$5:$S$254,MATCH(C798,Materials!$A$5:$A$254,0)),""))</f>
        <v>0</v>
      </c>
      <c r="M798" s="45">
        <f>IF(C798="","",IF(OR(K798="",L798=""),"",ROUND(K798*L798,4)))</f>
        <v>0</v>
      </c>
      <c r="N798" s="20">
        <f>IF(A798="","",ROUND(SUMIFS('Material Usage'!$M$5:$M$904,'Material Usage'!$A$5:$A$904,A798),2))</f>
        <v>0</v>
      </c>
      <c r="O798" s="33">
        <f>IF(A798="","",IF(OR(M798="",N798="",N798=0),"",M798/N798))</f>
        <v>0</v>
      </c>
      <c r="P798" s="32">
        <f>IF(A798="","",COUNTIFS($A$5:A798,A798))</f>
        <v>0</v>
      </c>
      <c r="Q798" s="13">
        <f>IF(A798="","",A798&amp;"|"&amp;P798)</f>
        <v>0</v>
      </c>
      <c r="R798" s="43">
        <f>IF(AND(A798="",C798=""),"",IF(A798="","Add - which product?",IF(C798="","Add - which material?",IF(B798="Not found","Check - no such product ID",IF(D798="Add to Materials","Check - no such material ID",IF(OR(F798="",F798=0),"Add - how much?",IF(L798="","Check - that material has no price","OK")))))))</f>
        <v>0</v>
      </c>
    </row>
    <row r="799" spans="2:18">
      <c r="B799" s="13">
        <f>IF(A799="","",IFERROR(INDEX(Products!$B$5:$B$304,MATCH(A799,Products!$A$5:$A$304,0)),"Not found"))</f>
        <v>0</v>
      </c>
      <c r="D799" s="13">
        <f>IF(C799="","",IFERROR(INDEX(Materials!$B$5:$B$254,MATCH(C799,Materials!$A$5:$A$254,0)),"Add to Materials"))</f>
        <v>0</v>
      </c>
      <c r="E799" s="13">
        <f>IF(C799="","",IFERROR(INDEX(Materials!$H$5:$H$254,MATCH(C799,Materials!$A$5:$A$254,0)),"Add to Materials"))</f>
        <v>0</v>
      </c>
      <c r="J799" s="33">
        <f>IF(C799="","",IF(G799&lt;&gt;"",G799,IFERROR(INDEX(Materials!$W$5:$W$254,MATCH(C799,Materials!$A$5:$A$254,0)),DefaultWaste)))</f>
        <v>0</v>
      </c>
      <c r="K799" s="36">
        <f>IF(C799="","",IF(F799="","",ROUND(F799*(1+J799),4)))</f>
        <v>0</v>
      </c>
      <c r="L799" s="45">
        <f>IF(C799="","",IFERROR(INDEX(Materials!$S$5:$S$254,MATCH(C799,Materials!$A$5:$A$254,0)),""))</f>
        <v>0</v>
      </c>
      <c r="M799" s="45">
        <f>IF(C799="","",IF(OR(K799="",L799=""),"",ROUND(K799*L799,4)))</f>
        <v>0</v>
      </c>
      <c r="N799" s="20">
        <f>IF(A799="","",ROUND(SUMIFS('Material Usage'!$M$5:$M$904,'Material Usage'!$A$5:$A$904,A799),2))</f>
        <v>0</v>
      </c>
      <c r="O799" s="33">
        <f>IF(A799="","",IF(OR(M799="",N799="",N799=0),"",M799/N799))</f>
        <v>0</v>
      </c>
      <c r="P799" s="32">
        <f>IF(A799="","",COUNTIFS($A$5:A799,A799))</f>
        <v>0</v>
      </c>
      <c r="Q799" s="13">
        <f>IF(A799="","",A799&amp;"|"&amp;P799)</f>
        <v>0</v>
      </c>
      <c r="R799" s="43">
        <f>IF(AND(A799="",C799=""),"",IF(A799="","Add - which product?",IF(C799="","Add - which material?",IF(B799="Not found","Check - no such product ID",IF(D799="Add to Materials","Check - no such material ID",IF(OR(F799="",F799=0),"Add - how much?",IF(L799="","Check - that material has no price","OK")))))))</f>
        <v>0</v>
      </c>
    </row>
    <row r="800" spans="2:18">
      <c r="B800" s="13">
        <f>IF(A800="","",IFERROR(INDEX(Products!$B$5:$B$304,MATCH(A800,Products!$A$5:$A$304,0)),"Not found"))</f>
        <v>0</v>
      </c>
      <c r="D800" s="13">
        <f>IF(C800="","",IFERROR(INDEX(Materials!$B$5:$B$254,MATCH(C800,Materials!$A$5:$A$254,0)),"Add to Materials"))</f>
        <v>0</v>
      </c>
      <c r="E800" s="13">
        <f>IF(C800="","",IFERROR(INDEX(Materials!$H$5:$H$254,MATCH(C800,Materials!$A$5:$A$254,0)),"Add to Materials"))</f>
        <v>0</v>
      </c>
      <c r="J800" s="33">
        <f>IF(C800="","",IF(G800&lt;&gt;"",G800,IFERROR(INDEX(Materials!$W$5:$W$254,MATCH(C800,Materials!$A$5:$A$254,0)),DefaultWaste)))</f>
        <v>0</v>
      </c>
      <c r="K800" s="36">
        <f>IF(C800="","",IF(F800="","",ROUND(F800*(1+J800),4)))</f>
        <v>0</v>
      </c>
      <c r="L800" s="45">
        <f>IF(C800="","",IFERROR(INDEX(Materials!$S$5:$S$254,MATCH(C800,Materials!$A$5:$A$254,0)),""))</f>
        <v>0</v>
      </c>
      <c r="M800" s="45">
        <f>IF(C800="","",IF(OR(K800="",L800=""),"",ROUND(K800*L800,4)))</f>
        <v>0</v>
      </c>
      <c r="N800" s="20">
        <f>IF(A800="","",ROUND(SUMIFS('Material Usage'!$M$5:$M$904,'Material Usage'!$A$5:$A$904,A800),2))</f>
        <v>0</v>
      </c>
      <c r="O800" s="33">
        <f>IF(A800="","",IF(OR(M800="",N800="",N800=0),"",M800/N800))</f>
        <v>0</v>
      </c>
      <c r="P800" s="32">
        <f>IF(A800="","",COUNTIFS($A$5:A800,A800))</f>
        <v>0</v>
      </c>
      <c r="Q800" s="13">
        <f>IF(A800="","",A800&amp;"|"&amp;P800)</f>
        <v>0</v>
      </c>
      <c r="R800" s="43">
        <f>IF(AND(A800="",C800=""),"",IF(A800="","Add - which product?",IF(C800="","Add - which material?",IF(B800="Not found","Check - no such product ID",IF(D800="Add to Materials","Check - no such material ID",IF(OR(F800="",F800=0),"Add - how much?",IF(L800="","Check - that material has no price","OK")))))))</f>
        <v>0</v>
      </c>
    </row>
    <row r="801" spans="2:18">
      <c r="B801" s="13">
        <f>IF(A801="","",IFERROR(INDEX(Products!$B$5:$B$304,MATCH(A801,Products!$A$5:$A$304,0)),"Not found"))</f>
        <v>0</v>
      </c>
      <c r="D801" s="13">
        <f>IF(C801="","",IFERROR(INDEX(Materials!$B$5:$B$254,MATCH(C801,Materials!$A$5:$A$254,0)),"Add to Materials"))</f>
        <v>0</v>
      </c>
      <c r="E801" s="13">
        <f>IF(C801="","",IFERROR(INDEX(Materials!$H$5:$H$254,MATCH(C801,Materials!$A$5:$A$254,0)),"Add to Materials"))</f>
        <v>0</v>
      </c>
      <c r="J801" s="33">
        <f>IF(C801="","",IF(G801&lt;&gt;"",G801,IFERROR(INDEX(Materials!$W$5:$W$254,MATCH(C801,Materials!$A$5:$A$254,0)),DefaultWaste)))</f>
        <v>0</v>
      </c>
      <c r="K801" s="36">
        <f>IF(C801="","",IF(F801="","",ROUND(F801*(1+J801),4)))</f>
        <v>0</v>
      </c>
      <c r="L801" s="45">
        <f>IF(C801="","",IFERROR(INDEX(Materials!$S$5:$S$254,MATCH(C801,Materials!$A$5:$A$254,0)),""))</f>
        <v>0</v>
      </c>
      <c r="M801" s="45">
        <f>IF(C801="","",IF(OR(K801="",L801=""),"",ROUND(K801*L801,4)))</f>
        <v>0</v>
      </c>
      <c r="N801" s="20">
        <f>IF(A801="","",ROUND(SUMIFS('Material Usage'!$M$5:$M$904,'Material Usage'!$A$5:$A$904,A801),2))</f>
        <v>0</v>
      </c>
      <c r="O801" s="33">
        <f>IF(A801="","",IF(OR(M801="",N801="",N801=0),"",M801/N801))</f>
        <v>0</v>
      </c>
      <c r="P801" s="32">
        <f>IF(A801="","",COUNTIFS($A$5:A801,A801))</f>
        <v>0</v>
      </c>
      <c r="Q801" s="13">
        <f>IF(A801="","",A801&amp;"|"&amp;P801)</f>
        <v>0</v>
      </c>
      <c r="R801" s="43">
        <f>IF(AND(A801="",C801=""),"",IF(A801="","Add - which product?",IF(C801="","Add - which material?",IF(B801="Not found","Check - no such product ID",IF(D801="Add to Materials","Check - no such material ID",IF(OR(F801="",F801=0),"Add - how much?",IF(L801="","Check - that material has no price","OK")))))))</f>
        <v>0</v>
      </c>
    </row>
    <row r="802" spans="2:18">
      <c r="B802" s="13">
        <f>IF(A802="","",IFERROR(INDEX(Products!$B$5:$B$304,MATCH(A802,Products!$A$5:$A$304,0)),"Not found"))</f>
        <v>0</v>
      </c>
      <c r="D802" s="13">
        <f>IF(C802="","",IFERROR(INDEX(Materials!$B$5:$B$254,MATCH(C802,Materials!$A$5:$A$254,0)),"Add to Materials"))</f>
        <v>0</v>
      </c>
      <c r="E802" s="13">
        <f>IF(C802="","",IFERROR(INDEX(Materials!$H$5:$H$254,MATCH(C802,Materials!$A$5:$A$254,0)),"Add to Materials"))</f>
        <v>0</v>
      </c>
      <c r="J802" s="33">
        <f>IF(C802="","",IF(G802&lt;&gt;"",G802,IFERROR(INDEX(Materials!$W$5:$W$254,MATCH(C802,Materials!$A$5:$A$254,0)),DefaultWaste)))</f>
        <v>0</v>
      </c>
      <c r="K802" s="36">
        <f>IF(C802="","",IF(F802="","",ROUND(F802*(1+J802),4)))</f>
        <v>0</v>
      </c>
      <c r="L802" s="45">
        <f>IF(C802="","",IFERROR(INDEX(Materials!$S$5:$S$254,MATCH(C802,Materials!$A$5:$A$254,0)),""))</f>
        <v>0</v>
      </c>
      <c r="M802" s="45">
        <f>IF(C802="","",IF(OR(K802="",L802=""),"",ROUND(K802*L802,4)))</f>
        <v>0</v>
      </c>
      <c r="N802" s="20">
        <f>IF(A802="","",ROUND(SUMIFS('Material Usage'!$M$5:$M$904,'Material Usage'!$A$5:$A$904,A802),2))</f>
        <v>0</v>
      </c>
      <c r="O802" s="33">
        <f>IF(A802="","",IF(OR(M802="",N802="",N802=0),"",M802/N802))</f>
        <v>0</v>
      </c>
      <c r="P802" s="32">
        <f>IF(A802="","",COUNTIFS($A$5:A802,A802))</f>
        <v>0</v>
      </c>
      <c r="Q802" s="13">
        <f>IF(A802="","",A802&amp;"|"&amp;P802)</f>
        <v>0</v>
      </c>
      <c r="R802" s="43">
        <f>IF(AND(A802="",C802=""),"",IF(A802="","Add - which product?",IF(C802="","Add - which material?",IF(B802="Not found","Check - no such product ID",IF(D802="Add to Materials","Check - no such material ID",IF(OR(F802="",F802=0),"Add - how much?",IF(L802="","Check - that material has no price","OK")))))))</f>
        <v>0</v>
      </c>
    </row>
    <row r="803" spans="2:18">
      <c r="B803" s="13">
        <f>IF(A803="","",IFERROR(INDEX(Products!$B$5:$B$304,MATCH(A803,Products!$A$5:$A$304,0)),"Not found"))</f>
        <v>0</v>
      </c>
      <c r="D803" s="13">
        <f>IF(C803="","",IFERROR(INDEX(Materials!$B$5:$B$254,MATCH(C803,Materials!$A$5:$A$254,0)),"Add to Materials"))</f>
        <v>0</v>
      </c>
      <c r="E803" s="13">
        <f>IF(C803="","",IFERROR(INDEX(Materials!$H$5:$H$254,MATCH(C803,Materials!$A$5:$A$254,0)),"Add to Materials"))</f>
        <v>0</v>
      </c>
      <c r="J803" s="33">
        <f>IF(C803="","",IF(G803&lt;&gt;"",G803,IFERROR(INDEX(Materials!$W$5:$W$254,MATCH(C803,Materials!$A$5:$A$254,0)),DefaultWaste)))</f>
        <v>0</v>
      </c>
      <c r="K803" s="36">
        <f>IF(C803="","",IF(F803="","",ROUND(F803*(1+J803),4)))</f>
        <v>0</v>
      </c>
      <c r="L803" s="45">
        <f>IF(C803="","",IFERROR(INDEX(Materials!$S$5:$S$254,MATCH(C803,Materials!$A$5:$A$254,0)),""))</f>
        <v>0</v>
      </c>
      <c r="M803" s="45">
        <f>IF(C803="","",IF(OR(K803="",L803=""),"",ROUND(K803*L803,4)))</f>
        <v>0</v>
      </c>
      <c r="N803" s="20">
        <f>IF(A803="","",ROUND(SUMIFS('Material Usage'!$M$5:$M$904,'Material Usage'!$A$5:$A$904,A803),2))</f>
        <v>0</v>
      </c>
      <c r="O803" s="33">
        <f>IF(A803="","",IF(OR(M803="",N803="",N803=0),"",M803/N803))</f>
        <v>0</v>
      </c>
      <c r="P803" s="32">
        <f>IF(A803="","",COUNTIFS($A$5:A803,A803))</f>
        <v>0</v>
      </c>
      <c r="Q803" s="13">
        <f>IF(A803="","",A803&amp;"|"&amp;P803)</f>
        <v>0</v>
      </c>
      <c r="R803" s="43">
        <f>IF(AND(A803="",C803=""),"",IF(A803="","Add - which product?",IF(C803="","Add - which material?",IF(B803="Not found","Check - no such product ID",IF(D803="Add to Materials","Check - no such material ID",IF(OR(F803="",F803=0),"Add - how much?",IF(L803="","Check - that material has no price","OK")))))))</f>
        <v>0</v>
      </c>
    </row>
    <row r="804" spans="2:18">
      <c r="B804" s="13">
        <f>IF(A804="","",IFERROR(INDEX(Products!$B$5:$B$304,MATCH(A804,Products!$A$5:$A$304,0)),"Not found"))</f>
        <v>0</v>
      </c>
      <c r="D804" s="13">
        <f>IF(C804="","",IFERROR(INDEX(Materials!$B$5:$B$254,MATCH(C804,Materials!$A$5:$A$254,0)),"Add to Materials"))</f>
        <v>0</v>
      </c>
      <c r="E804" s="13">
        <f>IF(C804="","",IFERROR(INDEX(Materials!$H$5:$H$254,MATCH(C804,Materials!$A$5:$A$254,0)),"Add to Materials"))</f>
        <v>0</v>
      </c>
      <c r="J804" s="33">
        <f>IF(C804="","",IF(G804&lt;&gt;"",G804,IFERROR(INDEX(Materials!$W$5:$W$254,MATCH(C804,Materials!$A$5:$A$254,0)),DefaultWaste)))</f>
        <v>0</v>
      </c>
      <c r="K804" s="36">
        <f>IF(C804="","",IF(F804="","",ROUND(F804*(1+J804),4)))</f>
        <v>0</v>
      </c>
      <c r="L804" s="45">
        <f>IF(C804="","",IFERROR(INDEX(Materials!$S$5:$S$254,MATCH(C804,Materials!$A$5:$A$254,0)),""))</f>
        <v>0</v>
      </c>
      <c r="M804" s="45">
        <f>IF(C804="","",IF(OR(K804="",L804=""),"",ROUND(K804*L804,4)))</f>
        <v>0</v>
      </c>
      <c r="N804" s="20">
        <f>IF(A804="","",ROUND(SUMIFS('Material Usage'!$M$5:$M$904,'Material Usage'!$A$5:$A$904,A804),2))</f>
        <v>0</v>
      </c>
      <c r="O804" s="33">
        <f>IF(A804="","",IF(OR(M804="",N804="",N804=0),"",M804/N804))</f>
        <v>0</v>
      </c>
      <c r="P804" s="32">
        <f>IF(A804="","",COUNTIFS($A$5:A804,A804))</f>
        <v>0</v>
      </c>
      <c r="Q804" s="13">
        <f>IF(A804="","",A804&amp;"|"&amp;P804)</f>
        <v>0</v>
      </c>
      <c r="R804" s="43">
        <f>IF(AND(A804="",C804=""),"",IF(A804="","Add - which product?",IF(C804="","Add - which material?",IF(B804="Not found","Check - no such product ID",IF(D804="Add to Materials","Check - no such material ID",IF(OR(F804="",F804=0),"Add - how much?",IF(L804="","Check - that material has no price","OK")))))))</f>
        <v>0</v>
      </c>
    </row>
    <row r="805" spans="2:18">
      <c r="B805" s="13">
        <f>IF(A805="","",IFERROR(INDEX(Products!$B$5:$B$304,MATCH(A805,Products!$A$5:$A$304,0)),"Not found"))</f>
        <v>0</v>
      </c>
      <c r="D805" s="13">
        <f>IF(C805="","",IFERROR(INDEX(Materials!$B$5:$B$254,MATCH(C805,Materials!$A$5:$A$254,0)),"Add to Materials"))</f>
        <v>0</v>
      </c>
      <c r="E805" s="13">
        <f>IF(C805="","",IFERROR(INDEX(Materials!$H$5:$H$254,MATCH(C805,Materials!$A$5:$A$254,0)),"Add to Materials"))</f>
        <v>0</v>
      </c>
      <c r="J805" s="33">
        <f>IF(C805="","",IF(G805&lt;&gt;"",G805,IFERROR(INDEX(Materials!$W$5:$W$254,MATCH(C805,Materials!$A$5:$A$254,0)),DefaultWaste)))</f>
        <v>0</v>
      </c>
      <c r="K805" s="36">
        <f>IF(C805="","",IF(F805="","",ROUND(F805*(1+J805),4)))</f>
        <v>0</v>
      </c>
      <c r="L805" s="45">
        <f>IF(C805="","",IFERROR(INDEX(Materials!$S$5:$S$254,MATCH(C805,Materials!$A$5:$A$254,0)),""))</f>
        <v>0</v>
      </c>
      <c r="M805" s="45">
        <f>IF(C805="","",IF(OR(K805="",L805=""),"",ROUND(K805*L805,4)))</f>
        <v>0</v>
      </c>
      <c r="N805" s="20">
        <f>IF(A805="","",ROUND(SUMIFS('Material Usage'!$M$5:$M$904,'Material Usage'!$A$5:$A$904,A805),2))</f>
        <v>0</v>
      </c>
      <c r="O805" s="33">
        <f>IF(A805="","",IF(OR(M805="",N805="",N805=0),"",M805/N805))</f>
        <v>0</v>
      </c>
      <c r="P805" s="32">
        <f>IF(A805="","",COUNTIFS($A$5:A805,A805))</f>
        <v>0</v>
      </c>
      <c r="Q805" s="13">
        <f>IF(A805="","",A805&amp;"|"&amp;P805)</f>
        <v>0</v>
      </c>
      <c r="R805" s="43">
        <f>IF(AND(A805="",C805=""),"",IF(A805="","Add - which product?",IF(C805="","Add - which material?",IF(B805="Not found","Check - no such product ID",IF(D805="Add to Materials","Check - no such material ID",IF(OR(F805="",F805=0),"Add - how much?",IF(L805="","Check - that material has no price","OK")))))))</f>
        <v>0</v>
      </c>
    </row>
    <row r="806" spans="2:18">
      <c r="B806" s="13">
        <f>IF(A806="","",IFERROR(INDEX(Products!$B$5:$B$304,MATCH(A806,Products!$A$5:$A$304,0)),"Not found"))</f>
        <v>0</v>
      </c>
      <c r="D806" s="13">
        <f>IF(C806="","",IFERROR(INDEX(Materials!$B$5:$B$254,MATCH(C806,Materials!$A$5:$A$254,0)),"Add to Materials"))</f>
        <v>0</v>
      </c>
      <c r="E806" s="13">
        <f>IF(C806="","",IFERROR(INDEX(Materials!$H$5:$H$254,MATCH(C806,Materials!$A$5:$A$254,0)),"Add to Materials"))</f>
        <v>0</v>
      </c>
      <c r="J806" s="33">
        <f>IF(C806="","",IF(G806&lt;&gt;"",G806,IFERROR(INDEX(Materials!$W$5:$W$254,MATCH(C806,Materials!$A$5:$A$254,0)),DefaultWaste)))</f>
        <v>0</v>
      </c>
      <c r="K806" s="36">
        <f>IF(C806="","",IF(F806="","",ROUND(F806*(1+J806),4)))</f>
        <v>0</v>
      </c>
      <c r="L806" s="45">
        <f>IF(C806="","",IFERROR(INDEX(Materials!$S$5:$S$254,MATCH(C806,Materials!$A$5:$A$254,0)),""))</f>
        <v>0</v>
      </c>
      <c r="M806" s="45">
        <f>IF(C806="","",IF(OR(K806="",L806=""),"",ROUND(K806*L806,4)))</f>
        <v>0</v>
      </c>
      <c r="N806" s="20">
        <f>IF(A806="","",ROUND(SUMIFS('Material Usage'!$M$5:$M$904,'Material Usage'!$A$5:$A$904,A806),2))</f>
        <v>0</v>
      </c>
      <c r="O806" s="33">
        <f>IF(A806="","",IF(OR(M806="",N806="",N806=0),"",M806/N806))</f>
        <v>0</v>
      </c>
      <c r="P806" s="32">
        <f>IF(A806="","",COUNTIFS($A$5:A806,A806))</f>
        <v>0</v>
      </c>
      <c r="Q806" s="13">
        <f>IF(A806="","",A806&amp;"|"&amp;P806)</f>
        <v>0</v>
      </c>
      <c r="R806" s="43">
        <f>IF(AND(A806="",C806=""),"",IF(A806="","Add - which product?",IF(C806="","Add - which material?",IF(B806="Not found","Check - no such product ID",IF(D806="Add to Materials","Check - no such material ID",IF(OR(F806="",F806=0),"Add - how much?",IF(L806="","Check - that material has no price","OK")))))))</f>
        <v>0</v>
      </c>
    </row>
    <row r="807" spans="2:18">
      <c r="B807" s="13">
        <f>IF(A807="","",IFERROR(INDEX(Products!$B$5:$B$304,MATCH(A807,Products!$A$5:$A$304,0)),"Not found"))</f>
        <v>0</v>
      </c>
      <c r="D807" s="13">
        <f>IF(C807="","",IFERROR(INDEX(Materials!$B$5:$B$254,MATCH(C807,Materials!$A$5:$A$254,0)),"Add to Materials"))</f>
        <v>0</v>
      </c>
      <c r="E807" s="13">
        <f>IF(C807="","",IFERROR(INDEX(Materials!$H$5:$H$254,MATCH(C807,Materials!$A$5:$A$254,0)),"Add to Materials"))</f>
        <v>0</v>
      </c>
      <c r="J807" s="33">
        <f>IF(C807="","",IF(G807&lt;&gt;"",G807,IFERROR(INDEX(Materials!$W$5:$W$254,MATCH(C807,Materials!$A$5:$A$254,0)),DefaultWaste)))</f>
        <v>0</v>
      </c>
      <c r="K807" s="36">
        <f>IF(C807="","",IF(F807="","",ROUND(F807*(1+J807),4)))</f>
        <v>0</v>
      </c>
      <c r="L807" s="45">
        <f>IF(C807="","",IFERROR(INDEX(Materials!$S$5:$S$254,MATCH(C807,Materials!$A$5:$A$254,0)),""))</f>
        <v>0</v>
      </c>
      <c r="M807" s="45">
        <f>IF(C807="","",IF(OR(K807="",L807=""),"",ROUND(K807*L807,4)))</f>
        <v>0</v>
      </c>
      <c r="N807" s="20">
        <f>IF(A807="","",ROUND(SUMIFS('Material Usage'!$M$5:$M$904,'Material Usage'!$A$5:$A$904,A807),2))</f>
        <v>0</v>
      </c>
      <c r="O807" s="33">
        <f>IF(A807="","",IF(OR(M807="",N807="",N807=0),"",M807/N807))</f>
        <v>0</v>
      </c>
      <c r="P807" s="32">
        <f>IF(A807="","",COUNTIFS($A$5:A807,A807))</f>
        <v>0</v>
      </c>
      <c r="Q807" s="13">
        <f>IF(A807="","",A807&amp;"|"&amp;P807)</f>
        <v>0</v>
      </c>
      <c r="R807" s="43">
        <f>IF(AND(A807="",C807=""),"",IF(A807="","Add - which product?",IF(C807="","Add - which material?",IF(B807="Not found","Check - no such product ID",IF(D807="Add to Materials","Check - no such material ID",IF(OR(F807="",F807=0),"Add - how much?",IF(L807="","Check - that material has no price","OK")))))))</f>
        <v>0</v>
      </c>
    </row>
    <row r="808" spans="2:18">
      <c r="B808" s="13">
        <f>IF(A808="","",IFERROR(INDEX(Products!$B$5:$B$304,MATCH(A808,Products!$A$5:$A$304,0)),"Not found"))</f>
        <v>0</v>
      </c>
      <c r="D808" s="13">
        <f>IF(C808="","",IFERROR(INDEX(Materials!$B$5:$B$254,MATCH(C808,Materials!$A$5:$A$254,0)),"Add to Materials"))</f>
        <v>0</v>
      </c>
      <c r="E808" s="13">
        <f>IF(C808="","",IFERROR(INDEX(Materials!$H$5:$H$254,MATCH(C808,Materials!$A$5:$A$254,0)),"Add to Materials"))</f>
        <v>0</v>
      </c>
      <c r="J808" s="33">
        <f>IF(C808="","",IF(G808&lt;&gt;"",G808,IFERROR(INDEX(Materials!$W$5:$W$254,MATCH(C808,Materials!$A$5:$A$254,0)),DefaultWaste)))</f>
        <v>0</v>
      </c>
      <c r="K808" s="36">
        <f>IF(C808="","",IF(F808="","",ROUND(F808*(1+J808),4)))</f>
        <v>0</v>
      </c>
      <c r="L808" s="45">
        <f>IF(C808="","",IFERROR(INDEX(Materials!$S$5:$S$254,MATCH(C808,Materials!$A$5:$A$254,0)),""))</f>
        <v>0</v>
      </c>
      <c r="M808" s="45">
        <f>IF(C808="","",IF(OR(K808="",L808=""),"",ROUND(K808*L808,4)))</f>
        <v>0</v>
      </c>
      <c r="N808" s="20">
        <f>IF(A808="","",ROUND(SUMIFS('Material Usage'!$M$5:$M$904,'Material Usage'!$A$5:$A$904,A808),2))</f>
        <v>0</v>
      </c>
      <c r="O808" s="33">
        <f>IF(A808="","",IF(OR(M808="",N808="",N808=0),"",M808/N808))</f>
        <v>0</v>
      </c>
      <c r="P808" s="32">
        <f>IF(A808="","",COUNTIFS($A$5:A808,A808))</f>
        <v>0</v>
      </c>
      <c r="Q808" s="13">
        <f>IF(A808="","",A808&amp;"|"&amp;P808)</f>
        <v>0</v>
      </c>
      <c r="R808" s="43">
        <f>IF(AND(A808="",C808=""),"",IF(A808="","Add - which product?",IF(C808="","Add - which material?",IF(B808="Not found","Check - no such product ID",IF(D808="Add to Materials","Check - no such material ID",IF(OR(F808="",F808=0),"Add - how much?",IF(L808="","Check - that material has no price","OK")))))))</f>
        <v>0</v>
      </c>
    </row>
    <row r="809" spans="2:18">
      <c r="B809" s="13">
        <f>IF(A809="","",IFERROR(INDEX(Products!$B$5:$B$304,MATCH(A809,Products!$A$5:$A$304,0)),"Not found"))</f>
        <v>0</v>
      </c>
      <c r="D809" s="13">
        <f>IF(C809="","",IFERROR(INDEX(Materials!$B$5:$B$254,MATCH(C809,Materials!$A$5:$A$254,0)),"Add to Materials"))</f>
        <v>0</v>
      </c>
      <c r="E809" s="13">
        <f>IF(C809="","",IFERROR(INDEX(Materials!$H$5:$H$254,MATCH(C809,Materials!$A$5:$A$254,0)),"Add to Materials"))</f>
        <v>0</v>
      </c>
      <c r="J809" s="33">
        <f>IF(C809="","",IF(G809&lt;&gt;"",G809,IFERROR(INDEX(Materials!$W$5:$W$254,MATCH(C809,Materials!$A$5:$A$254,0)),DefaultWaste)))</f>
        <v>0</v>
      </c>
      <c r="K809" s="36">
        <f>IF(C809="","",IF(F809="","",ROUND(F809*(1+J809),4)))</f>
        <v>0</v>
      </c>
      <c r="L809" s="45">
        <f>IF(C809="","",IFERROR(INDEX(Materials!$S$5:$S$254,MATCH(C809,Materials!$A$5:$A$254,0)),""))</f>
        <v>0</v>
      </c>
      <c r="M809" s="45">
        <f>IF(C809="","",IF(OR(K809="",L809=""),"",ROUND(K809*L809,4)))</f>
        <v>0</v>
      </c>
      <c r="N809" s="20">
        <f>IF(A809="","",ROUND(SUMIFS('Material Usage'!$M$5:$M$904,'Material Usage'!$A$5:$A$904,A809),2))</f>
        <v>0</v>
      </c>
      <c r="O809" s="33">
        <f>IF(A809="","",IF(OR(M809="",N809="",N809=0),"",M809/N809))</f>
        <v>0</v>
      </c>
      <c r="P809" s="32">
        <f>IF(A809="","",COUNTIFS($A$5:A809,A809))</f>
        <v>0</v>
      </c>
      <c r="Q809" s="13">
        <f>IF(A809="","",A809&amp;"|"&amp;P809)</f>
        <v>0</v>
      </c>
      <c r="R809" s="43">
        <f>IF(AND(A809="",C809=""),"",IF(A809="","Add - which product?",IF(C809="","Add - which material?",IF(B809="Not found","Check - no such product ID",IF(D809="Add to Materials","Check - no such material ID",IF(OR(F809="",F809=0),"Add - how much?",IF(L809="","Check - that material has no price","OK")))))))</f>
        <v>0</v>
      </c>
    </row>
    <row r="810" spans="2:18">
      <c r="B810" s="13">
        <f>IF(A810="","",IFERROR(INDEX(Products!$B$5:$B$304,MATCH(A810,Products!$A$5:$A$304,0)),"Not found"))</f>
        <v>0</v>
      </c>
      <c r="D810" s="13">
        <f>IF(C810="","",IFERROR(INDEX(Materials!$B$5:$B$254,MATCH(C810,Materials!$A$5:$A$254,0)),"Add to Materials"))</f>
        <v>0</v>
      </c>
      <c r="E810" s="13">
        <f>IF(C810="","",IFERROR(INDEX(Materials!$H$5:$H$254,MATCH(C810,Materials!$A$5:$A$254,0)),"Add to Materials"))</f>
        <v>0</v>
      </c>
      <c r="J810" s="33">
        <f>IF(C810="","",IF(G810&lt;&gt;"",G810,IFERROR(INDEX(Materials!$W$5:$W$254,MATCH(C810,Materials!$A$5:$A$254,0)),DefaultWaste)))</f>
        <v>0</v>
      </c>
      <c r="K810" s="36">
        <f>IF(C810="","",IF(F810="","",ROUND(F810*(1+J810),4)))</f>
        <v>0</v>
      </c>
      <c r="L810" s="45">
        <f>IF(C810="","",IFERROR(INDEX(Materials!$S$5:$S$254,MATCH(C810,Materials!$A$5:$A$254,0)),""))</f>
        <v>0</v>
      </c>
      <c r="M810" s="45">
        <f>IF(C810="","",IF(OR(K810="",L810=""),"",ROUND(K810*L810,4)))</f>
        <v>0</v>
      </c>
      <c r="N810" s="20">
        <f>IF(A810="","",ROUND(SUMIFS('Material Usage'!$M$5:$M$904,'Material Usage'!$A$5:$A$904,A810),2))</f>
        <v>0</v>
      </c>
      <c r="O810" s="33">
        <f>IF(A810="","",IF(OR(M810="",N810="",N810=0),"",M810/N810))</f>
        <v>0</v>
      </c>
      <c r="P810" s="32">
        <f>IF(A810="","",COUNTIFS($A$5:A810,A810))</f>
        <v>0</v>
      </c>
      <c r="Q810" s="13">
        <f>IF(A810="","",A810&amp;"|"&amp;P810)</f>
        <v>0</v>
      </c>
      <c r="R810" s="43">
        <f>IF(AND(A810="",C810=""),"",IF(A810="","Add - which product?",IF(C810="","Add - which material?",IF(B810="Not found","Check - no such product ID",IF(D810="Add to Materials","Check - no such material ID",IF(OR(F810="",F810=0),"Add - how much?",IF(L810="","Check - that material has no price","OK")))))))</f>
        <v>0</v>
      </c>
    </row>
    <row r="811" spans="2:18">
      <c r="B811" s="13">
        <f>IF(A811="","",IFERROR(INDEX(Products!$B$5:$B$304,MATCH(A811,Products!$A$5:$A$304,0)),"Not found"))</f>
        <v>0</v>
      </c>
      <c r="D811" s="13">
        <f>IF(C811="","",IFERROR(INDEX(Materials!$B$5:$B$254,MATCH(C811,Materials!$A$5:$A$254,0)),"Add to Materials"))</f>
        <v>0</v>
      </c>
      <c r="E811" s="13">
        <f>IF(C811="","",IFERROR(INDEX(Materials!$H$5:$H$254,MATCH(C811,Materials!$A$5:$A$254,0)),"Add to Materials"))</f>
        <v>0</v>
      </c>
      <c r="J811" s="33">
        <f>IF(C811="","",IF(G811&lt;&gt;"",G811,IFERROR(INDEX(Materials!$W$5:$W$254,MATCH(C811,Materials!$A$5:$A$254,0)),DefaultWaste)))</f>
        <v>0</v>
      </c>
      <c r="K811" s="36">
        <f>IF(C811="","",IF(F811="","",ROUND(F811*(1+J811),4)))</f>
        <v>0</v>
      </c>
      <c r="L811" s="45">
        <f>IF(C811="","",IFERROR(INDEX(Materials!$S$5:$S$254,MATCH(C811,Materials!$A$5:$A$254,0)),""))</f>
        <v>0</v>
      </c>
      <c r="M811" s="45">
        <f>IF(C811="","",IF(OR(K811="",L811=""),"",ROUND(K811*L811,4)))</f>
        <v>0</v>
      </c>
      <c r="N811" s="20">
        <f>IF(A811="","",ROUND(SUMIFS('Material Usage'!$M$5:$M$904,'Material Usage'!$A$5:$A$904,A811),2))</f>
        <v>0</v>
      </c>
      <c r="O811" s="33">
        <f>IF(A811="","",IF(OR(M811="",N811="",N811=0),"",M811/N811))</f>
        <v>0</v>
      </c>
      <c r="P811" s="32">
        <f>IF(A811="","",COUNTIFS($A$5:A811,A811))</f>
        <v>0</v>
      </c>
      <c r="Q811" s="13">
        <f>IF(A811="","",A811&amp;"|"&amp;P811)</f>
        <v>0</v>
      </c>
      <c r="R811" s="43">
        <f>IF(AND(A811="",C811=""),"",IF(A811="","Add - which product?",IF(C811="","Add - which material?",IF(B811="Not found","Check - no such product ID",IF(D811="Add to Materials","Check - no such material ID",IF(OR(F811="",F811=0),"Add - how much?",IF(L811="","Check - that material has no price","OK")))))))</f>
        <v>0</v>
      </c>
    </row>
    <row r="812" spans="2:18">
      <c r="B812" s="13">
        <f>IF(A812="","",IFERROR(INDEX(Products!$B$5:$B$304,MATCH(A812,Products!$A$5:$A$304,0)),"Not found"))</f>
        <v>0</v>
      </c>
      <c r="D812" s="13">
        <f>IF(C812="","",IFERROR(INDEX(Materials!$B$5:$B$254,MATCH(C812,Materials!$A$5:$A$254,0)),"Add to Materials"))</f>
        <v>0</v>
      </c>
      <c r="E812" s="13">
        <f>IF(C812="","",IFERROR(INDEX(Materials!$H$5:$H$254,MATCH(C812,Materials!$A$5:$A$254,0)),"Add to Materials"))</f>
        <v>0</v>
      </c>
      <c r="J812" s="33">
        <f>IF(C812="","",IF(G812&lt;&gt;"",G812,IFERROR(INDEX(Materials!$W$5:$W$254,MATCH(C812,Materials!$A$5:$A$254,0)),DefaultWaste)))</f>
        <v>0</v>
      </c>
      <c r="K812" s="36">
        <f>IF(C812="","",IF(F812="","",ROUND(F812*(1+J812),4)))</f>
        <v>0</v>
      </c>
      <c r="L812" s="45">
        <f>IF(C812="","",IFERROR(INDEX(Materials!$S$5:$S$254,MATCH(C812,Materials!$A$5:$A$254,0)),""))</f>
        <v>0</v>
      </c>
      <c r="M812" s="45">
        <f>IF(C812="","",IF(OR(K812="",L812=""),"",ROUND(K812*L812,4)))</f>
        <v>0</v>
      </c>
      <c r="N812" s="20">
        <f>IF(A812="","",ROUND(SUMIFS('Material Usage'!$M$5:$M$904,'Material Usage'!$A$5:$A$904,A812),2))</f>
        <v>0</v>
      </c>
      <c r="O812" s="33">
        <f>IF(A812="","",IF(OR(M812="",N812="",N812=0),"",M812/N812))</f>
        <v>0</v>
      </c>
      <c r="P812" s="32">
        <f>IF(A812="","",COUNTIFS($A$5:A812,A812))</f>
        <v>0</v>
      </c>
      <c r="Q812" s="13">
        <f>IF(A812="","",A812&amp;"|"&amp;P812)</f>
        <v>0</v>
      </c>
      <c r="R812" s="43">
        <f>IF(AND(A812="",C812=""),"",IF(A812="","Add - which product?",IF(C812="","Add - which material?",IF(B812="Not found","Check - no such product ID",IF(D812="Add to Materials","Check - no such material ID",IF(OR(F812="",F812=0),"Add - how much?",IF(L812="","Check - that material has no price","OK")))))))</f>
        <v>0</v>
      </c>
    </row>
    <row r="813" spans="2:18">
      <c r="B813" s="13">
        <f>IF(A813="","",IFERROR(INDEX(Products!$B$5:$B$304,MATCH(A813,Products!$A$5:$A$304,0)),"Not found"))</f>
        <v>0</v>
      </c>
      <c r="D813" s="13">
        <f>IF(C813="","",IFERROR(INDEX(Materials!$B$5:$B$254,MATCH(C813,Materials!$A$5:$A$254,0)),"Add to Materials"))</f>
        <v>0</v>
      </c>
      <c r="E813" s="13">
        <f>IF(C813="","",IFERROR(INDEX(Materials!$H$5:$H$254,MATCH(C813,Materials!$A$5:$A$254,0)),"Add to Materials"))</f>
        <v>0</v>
      </c>
      <c r="J813" s="33">
        <f>IF(C813="","",IF(G813&lt;&gt;"",G813,IFERROR(INDEX(Materials!$W$5:$W$254,MATCH(C813,Materials!$A$5:$A$254,0)),DefaultWaste)))</f>
        <v>0</v>
      </c>
      <c r="K813" s="36">
        <f>IF(C813="","",IF(F813="","",ROUND(F813*(1+J813),4)))</f>
        <v>0</v>
      </c>
      <c r="L813" s="45">
        <f>IF(C813="","",IFERROR(INDEX(Materials!$S$5:$S$254,MATCH(C813,Materials!$A$5:$A$254,0)),""))</f>
        <v>0</v>
      </c>
      <c r="M813" s="45">
        <f>IF(C813="","",IF(OR(K813="",L813=""),"",ROUND(K813*L813,4)))</f>
        <v>0</v>
      </c>
      <c r="N813" s="20">
        <f>IF(A813="","",ROUND(SUMIFS('Material Usage'!$M$5:$M$904,'Material Usage'!$A$5:$A$904,A813),2))</f>
        <v>0</v>
      </c>
      <c r="O813" s="33">
        <f>IF(A813="","",IF(OR(M813="",N813="",N813=0),"",M813/N813))</f>
        <v>0</v>
      </c>
      <c r="P813" s="32">
        <f>IF(A813="","",COUNTIFS($A$5:A813,A813))</f>
        <v>0</v>
      </c>
      <c r="Q813" s="13">
        <f>IF(A813="","",A813&amp;"|"&amp;P813)</f>
        <v>0</v>
      </c>
      <c r="R813" s="43">
        <f>IF(AND(A813="",C813=""),"",IF(A813="","Add - which product?",IF(C813="","Add - which material?",IF(B813="Not found","Check - no such product ID",IF(D813="Add to Materials","Check - no such material ID",IF(OR(F813="",F813=0),"Add - how much?",IF(L813="","Check - that material has no price","OK")))))))</f>
        <v>0</v>
      </c>
    </row>
    <row r="814" spans="2:18">
      <c r="B814" s="13">
        <f>IF(A814="","",IFERROR(INDEX(Products!$B$5:$B$304,MATCH(A814,Products!$A$5:$A$304,0)),"Not found"))</f>
        <v>0</v>
      </c>
      <c r="D814" s="13">
        <f>IF(C814="","",IFERROR(INDEX(Materials!$B$5:$B$254,MATCH(C814,Materials!$A$5:$A$254,0)),"Add to Materials"))</f>
        <v>0</v>
      </c>
      <c r="E814" s="13">
        <f>IF(C814="","",IFERROR(INDEX(Materials!$H$5:$H$254,MATCH(C814,Materials!$A$5:$A$254,0)),"Add to Materials"))</f>
        <v>0</v>
      </c>
      <c r="J814" s="33">
        <f>IF(C814="","",IF(G814&lt;&gt;"",G814,IFERROR(INDEX(Materials!$W$5:$W$254,MATCH(C814,Materials!$A$5:$A$254,0)),DefaultWaste)))</f>
        <v>0</v>
      </c>
      <c r="K814" s="36">
        <f>IF(C814="","",IF(F814="","",ROUND(F814*(1+J814),4)))</f>
        <v>0</v>
      </c>
      <c r="L814" s="45">
        <f>IF(C814="","",IFERROR(INDEX(Materials!$S$5:$S$254,MATCH(C814,Materials!$A$5:$A$254,0)),""))</f>
        <v>0</v>
      </c>
      <c r="M814" s="45">
        <f>IF(C814="","",IF(OR(K814="",L814=""),"",ROUND(K814*L814,4)))</f>
        <v>0</v>
      </c>
      <c r="N814" s="20">
        <f>IF(A814="","",ROUND(SUMIFS('Material Usage'!$M$5:$M$904,'Material Usage'!$A$5:$A$904,A814),2))</f>
        <v>0</v>
      </c>
      <c r="O814" s="33">
        <f>IF(A814="","",IF(OR(M814="",N814="",N814=0),"",M814/N814))</f>
        <v>0</v>
      </c>
      <c r="P814" s="32">
        <f>IF(A814="","",COUNTIFS($A$5:A814,A814))</f>
        <v>0</v>
      </c>
      <c r="Q814" s="13">
        <f>IF(A814="","",A814&amp;"|"&amp;P814)</f>
        <v>0</v>
      </c>
      <c r="R814" s="43">
        <f>IF(AND(A814="",C814=""),"",IF(A814="","Add - which product?",IF(C814="","Add - which material?",IF(B814="Not found","Check - no such product ID",IF(D814="Add to Materials","Check - no such material ID",IF(OR(F814="",F814=0),"Add - how much?",IF(L814="","Check - that material has no price","OK")))))))</f>
        <v>0</v>
      </c>
    </row>
    <row r="815" spans="2:18">
      <c r="B815" s="13">
        <f>IF(A815="","",IFERROR(INDEX(Products!$B$5:$B$304,MATCH(A815,Products!$A$5:$A$304,0)),"Not found"))</f>
        <v>0</v>
      </c>
      <c r="D815" s="13">
        <f>IF(C815="","",IFERROR(INDEX(Materials!$B$5:$B$254,MATCH(C815,Materials!$A$5:$A$254,0)),"Add to Materials"))</f>
        <v>0</v>
      </c>
      <c r="E815" s="13">
        <f>IF(C815="","",IFERROR(INDEX(Materials!$H$5:$H$254,MATCH(C815,Materials!$A$5:$A$254,0)),"Add to Materials"))</f>
        <v>0</v>
      </c>
      <c r="J815" s="33">
        <f>IF(C815="","",IF(G815&lt;&gt;"",G815,IFERROR(INDEX(Materials!$W$5:$W$254,MATCH(C815,Materials!$A$5:$A$254,0)),DefaultWaste)))</f>
        <v>0</v>
      </c>
      <c r="K815" s="36">
        <f>IF(C815="","",IF(F815="","",ROUND(F815*(1+J815),4)))</f>
        <v>0</v>
      </c>
      <c r="L815" s="45">
        <f>IF(C815="","",IFERROR(INDEX(Materials!$S$5:$S$254,MATCH(C815,Materials!$A$5:$A$254,0)),""))</f>
        <v>0</v>
      </c>
      <c r="M815" s="45">
        <f>IF(C815="","",IF(OR(K815="",L815=""),"",ROUND(K815*L815,4)))</f>
        <v>0</v>
      </c>
      <c r="N815" s="20">
        <f>IF(A815="","",ROUND(SUMIFS('Material Usage'!$M$5:$M$904,'Material Usage'!$A$5:$A$904,A815),2))</f>
        <v>0</v>
      </c>
      <c r="O815" s="33">
        <f>IF(A815="","",IF(OR(M815="",N815="",N815=0),"",M815/N815))</f>
        <v>0</v>
      </c>
      <c r="P815" s="32">
        <f>IF(A815="","",COUNTIFS($A$5:A815,A815))</f>
        <v>0</v>
      </c>
      <c r="Q815" s="13">
        <f>IF(A815="","",A815&amp;"|"&amp;P815)</f>
        <v>0</v>
      </c>
      <c r="R815" s="43">
        <f>IF(AND(A815="",C815=""),"",IF(A815="","Add - which product?",IF(C815="","Add - which material?",IF(B815="Not found","Check - no such product ID",IF(D815="Add to Materials","Check - no such material ID",IF(OR(F815="",F815=0),"Add - how much?",IF(L815="","Check - that material has no price","OK")))))))</f>
        <v>0</v>
      </c>
    </row>
    <row r="816" spans="2:18">
      <c r="B816" s="13">
        <f>IF(A816="","",IFERROR(INDEX(Products!$B$5:$B$304,MATCH(A816,Products!$A$5:$A$304,0)),"Not found"))</f>
        <v>0</v>
      </c>
      <c r="D816" s="13">
        <f>IF(C816="","",IFERROR(INDEX(Materials!$B$5:$B$254,MATCH(C816,Materials!$A$5:$A$254,0)),"Add to Materials"))</f>
        <v>0</v>
      </c>
      <c r="E816" s="13">
        <f>IF(C816="","",IFERROR(INDEX(Materials!$H$5:$H$254,MATCH(C816,Materials!$A$5:$A$254,0)),"Add to Materials"))</f>
        <v>0</v>
      </c>
      <c r="J816" s="33">
        <f>IF(C816="","",IF(G816&lt;&gt;"",G816,IFERROR(INDEX(Materials!$W$5:$W$254,MATCH(C816,Materials!$A$5:$A$254,0)),DefaultWaste)))</f>
        <v>0</v>
      </c>
      <c r="K816" s="36">
        <f>IF(C816="","",IF(F816="","",ROUND(F816*(1+J816),4)))</f>
        <v>0</v>
      </c>
      <c r="L816" s="45">
        <f>IF(C816="","",IFERROR(INDEX(Materials!$S$5:$S$254,MATCH(C816,Materials!$A$5:$A$254,0)),""))</f>
        <v>0</v>
      </c>
      <c r="M816" s="45">
        <f>IF(C816="","",IF(OR(K816="",L816=""),"",ROUND(K816*L816,4)))</f>
        <v>0</v>
      </c>
      <c r="N816" s="20">
        <f>IF(A816="","",ROUND(SUMIFS('Material Usage'!$M$5:$M$904,'Material Usage'!$A$5:$A$904,A816),2))</f>
        <v>0</v>
      </c>
      <c r="O816" s="33">
        <f>IF(A816="","",IF(OR(M816="",N816="",N816=0),"",M816/N816))</f>
        <v>0</v>
      </c>
      <c r="P816" s="32">
        <f>IF(A816="","",COUNTIFS($A$5:A816,A816))</f>
        <v>0</v>
      </c>
      <c r="Q816" s="13">
        <f>IF(A816="","",A816&amp;"|"&amp;P816)</f>
        <v>0</v>
      </c>
      <c r="R816" s="43">
        <f>IF(AND(A816="",C816=""),"",IF(A816="","Add - which product?",IF(C816="","Add - which material?",IF(B816="Not found","Check - no such product ID",IF(D816="Add to Materials","Check - no such material ID",IF(OR(F816="",F816=0),"Add - how much?",IF(L816="","Check - that material has no price","OK")))))))</f>
        <v>0</v>
      </c>
    </row>
    <row r="817" spans="2:18">
      <c r="B817" s="13">
        <f>IF(A817="","",IFERROR(INDEX(Products!$B$5:$B$304,MATCH(A817,Products!$A$5:$A$304,0)),"Not found"))</f>
        <v>0</v>
      </c>
      <c r="D817" s="13">
        <f>IF(C817="","",IFERROR(INDEX(Materials!$B$5:$B$254,MATCH(C817,Materials!$A$5:$A$254,0)),"Add to Materials"))</f>
        <v>0</v>
      </c>
      <c r="E817" s="13">
        <f>IF(C817="","",IFERROR(INDEX(Materials!$H$5:$H$254,MATCH(C817,Materials!$A$5:$A$254,0)),"Add to Materials"))</f>
        <v>0</v>
      </c>
      <c r="J817" s="33">
        <f>IF(C817="","",IF(G817&lt;&gt;"",G817,IFERROR(INDEX(Materials!$W$5:$W$254,MATCH(C817,Materials!$A$5:$A$254,0)),DefaultWaste)))</f>
        <v>0</v>
      </c>
      <c r="K817" s="36">
        <f>IF(C817="","",IF(F817="","",ROUND(F817*(1+J817),4)))</f>
        <v>0</v>
      </c>
      <c r="L817" s="45">
        <f>IF(C817="","",IFERROR(INDEX(Materials!$S$5:$S$254,MATCH(C817,Materials!$A$5:$A$254,0)),""))</f>
        <v>0</v>
      </c>
      <c r="M817" s="45">
        <f>IF(C817="","",IF(OR(K817="",L817=""),"",ROUND(K817*L817,4)))</f>
        <v>0</v>
      </c>
      <c r="N817" s="20">
        <f>IF(A817="","",ROUND(SUMIFS('Material Usage'!$M$5:$M$904,'Material Usage'!$A$5:$A$904,A817),2))</f>
        <v>0</v>
      </c>
      <c r="O817" s="33">
        <f>IF(A817="","",IF(OR(M817="",N817="",N817=0),"",M817/N817))</f>
        <v>0</v>
      </c>
      <c r="P817" s="32">
        <f>IF(A817="","",COUNTIFS($A$5:A817,A817))</f>
        <v>0</v>
      </c>
      <c r="Q817" s="13">
        <f>IF(A817="","",A817&amp;"|"&amp;P817)</f>
        <v>0</v>
      </c>
      <c r="R817" s="43">
        <f>IF(AND(A817="",C817=""),"",IF(A817="","Add - which product?",IF(C817="","Add - which material?",IF(B817="Not found","Check - no such product ID",IF(D817="Add to Materials","Check - no such material ID",IF(OR(F817="",F817=0),"Add - how much?",IF(L817="","Check - that material has no price","OK")))))))</f>
        <v>0</v>
      </c>
    </row>
    <row r="818" spans="2:18">
      <c r="B818" s="13">
        <f>IF(A818="","",IFERROR(INDEX(Products!$B$5:$B$304,MATCH(A818,Products!$A$5:$A$304,0)),"Not found"))</f>
        <v>0</v>
      </c>
      <c r="D818" s="13">
        <f>IF(C818="","",IFERROR(INDEX(Materials!$B$5:$B$254,MATCH(C818,Materials!$A$5:$A$254,0)),"Add to Materials"))</f>
        <v>0</v>
      </c>
      <c r="E818" s="13">
        <f>IF(C818="","",IFERROR(INDEX(Materials!$H$5:$H$254,MATCH(C818,Materials!$A$5:$A$254,0)),"Add to Materials"))</f>
        <v>0</v>
      </c>
      <c r="J818" s="33">
        <f>IF(C818="","",IF(G818&lt;&gt;"",G818,IFERROR(INDEX(Materials!$W$5:$W$254,MATCH(C818,Materials!$A$5:$A$254,0)),DefaultWaste)))</f>
        <v>0</v>
      </c>
      <c r="K818" s="36">
        <f>IF(C818="","",IF(F818="","",ROUND(F818*(1+J818),4)))</f>
        <v>0</v>
      </c>
      <c r="L818" s="45">
        <f>IF(C818="","",IFERROR(INDEX(Materials!$S$5:$S$254,MATCH(C818,Materials!$A$5:$A$254,0)),""))</f>
        <v>0</v>
      </c>
      <c r="M818" s="45">
        <f>IF(C818="","",IF(OR(K818="",L818=""),"",ROUND(K818*L818,4)))</f>
        <v>0</v>
      </c>
      <c r="N818" s="20">
        <f>IF(A818="","",ROUND(SUMIFS('Material Usage'!$M$5:$M$904,'Material Usage'!$A$5:$A$904,A818),2))</f>
        <v>0</v>
      </c>
      <c r="O818" s="33">
        <f>IF(A818="","",IF(OR(M818="",N818="",N818=0),"",M818/N818))</f>
        <v>0</v>
      </c>
      <c r="P818" s="32">
        <f>IF(A818="","",COUNTIFS($A$5:A818,A818))</f>
        <v>0</v>
      </c>
      <c r="Q818" s="13">
        <f>IF(A818="","",A818&amp;"|"&amp;P818)</f>
        <v>0</v>
      </c>
      <c r="R818" s="43">
        <f>IF(AND(A818="",C818=""),"",IF(A818="","Add - which product?",IF(C818="","Add - which material?",IF(B818="Not found","Check - no such product ID",IF(D818="Add to Materials","Check - no such material ID",IF(OR(F818="",F818=0),"Add - how much?",IF(L818="","Check - that material has no price","OK")))))))</f>
        <v>0</v>
      </c>
    </row>
    <row r="819" spans="2:18">
      <c r="B819" s="13">
        <f>IF(A819="","",IFERROR(INDEX(Products!$B$5:$B$304,MATCH(A819,Products!$A$5:$A$304,0)),"Not found"))</f>
        <v>0</v>
      </c>
      <c r="D819" s="13">
        <f>IF(C819="","",IFERROR(INDEX(Materials!$B$5:$B$254,MATCH(C819,Materials!$A$5:$A$254,0)),"Add to Materials"))</f>
        <v>0</v>
      </c>
      <c r="E819" s="13">
        <f>IF(C819="","",IFERROR(INDEX(Materials!$H$5:$H$254,MATCH(C819,Materials!$A$5:$A$254,0)),"Add to Materials"))</f>
        <v>0</v>
      </c>
      <c r="J819" s="33">
        <f>IF(C819="","",IF(G819&lt;&gt;"",G819,IFERROR(INDEX(Materials!$W$5:$W$254,MATCH(C819,Materials!$A$5:$A$254,0)),DefaultWaste)))</f>
        <v>0</v>
      </c>
      <c r="K819" s="36">
        <f>IF(C819="","",IF(F819="","",ROUND(F819*(1+J819),4)))</f>
        <v>0</v>
      </c>
      <c r="L819" s="45">
        <f>IF(C819="","",IFERROR(INDEX(Materials!$S$5:$S$254,MATCH(C819,Materials!$A$5:$A$254,0)),""))</f>
        <v>0</v>
      </c>
      <c r="M819" s="45">
        <f>IF(C819="","",IF(OR(K819="",L819=""),"",ROUND(K819*L819,4)))</f>
        <v>0</v>
      </c>
      <c r="N819" s="20">
        <f>IF(A819="","",ROUND(SUMIFS('Material Usage'!$M$5:$M$904,'Material Usage'!$A$5:$A$904,A819),2))</f>
        <v>0</v>
      </c>
      <c r="O819" s="33">
        <f>IF(A819="","",IF(OR(M819="",N819="",N819=0),"",M819/N819))</f>
        <v>0</v>
      </c>
      <c r="P819" s="32">
        <f>IF(A819="","",COUNTIFS($A$5:A819,A819))</f>
        <v>0</v>
      </c>
      <c r="Q819" s="13">
        <f>IF(A819="","",A819&amp;"|"&amp;P819)</f>
        <v>0</v>
      </c>
      <c r="R819" s="43">
        <f>IF(AND(A819="",C819=""),"",IF(A819="","Add - which product?",IF(C819="","Add - which material?",IF(B819="Not found","Check - no such product ID",IF(D819="Add to Materials","Check - no such material ID",IF(OR(F819="",F819=0),"Add - how much?",IF(L819="","Check - that material has no price","OK")))))))</f>
        <v>0</v>
      </c>
    </row>
    <row r="820" spans="2:18">
      <c r="B820" s="13">
        <f>IF(A820="","",IFERROR(INDEX(Products!$B$5:$B$304,MATCH(A820,Products!$A$5:$A$304,0)),"Not found"))</f>
        <v>0</v>
      </c>
      <c r="D820" s="13">
        <f>IF(C820="","",IFERROR(INDEX(Materials!$B$5:$B$254,MATCH(C820,Materials!$A$5:$A$254,0)),"Add to Materials"))</f>
        <v>0</v>
      </c>
      <c r="E820" s="13">
        <f>IF(C820="","",IFERROR(INDEX(Materials!$H$5:$H$254,MATCH(C820,Materials!$A$5:$A$254,0)),"Add to Materials"))</f>
        <v>0</v>
      </c>
      <c r="J820" s="33">
        <f>IF(C820="","",IF(G820&lt;&gt;"",G820,IFERROR(INDEX(Materials!$W$5:$W$254,MATCH(C820,Materials!$A$5:$A$254,0)),DefaultWaste)))</f>
        <v>0</v>
      </c>
      <c r="K820" s="36">
        <f>IF(C820="","",IF(F820="","",ROUND(F820*(1+J820),4)))</f>
        <v>0</v>
      </c>
      <c r="L820" s="45">
        <f>IF(C820="","",IFERROR(INDEX(Materials!$S$5:$S$254,MATCH(C820,Materials!$A$5:$A$254,0)),""))</f>
        <v>0</v>
      </c>
      <c r="M820" s="45">
        <f>IF(C820="","",IF(OR(K820="",L820=""),"",ROUND(K820*L820,4)))</f>
        <v>0</v>
      </c>
      <c r="N820" s="20">
        <f>IF(A820="","",ROUND(SUMIFS('Material Usage'!$M$5:$M$904,'Material Usage'!$A$5:$A$904,A820),2))</f>
        <v>0</v>
      </c>
      <c r="O820" s="33">
        <f>IF(A820="","",IF(OR(M820="",N820="",N820=0),"",M820/N820))</f>
        <v>0</v>
      </c>
      <c r="P820" s="32">
        <f>IF(A820="","",COUNTIFS($A$5:A820,A820))</f>
        <v>0</v>
      </c>
      <c r="Q820" s="13">
        <f>IF(A820="","",A820&amp;"|"&amp;P820)</f>
        <v>0</v>
      </c>
      <c r="R820" s="43">
        <f>IF(AND(A820="",C820=""),"",IF(A820="","Add - which product?",IF(C820="","Add - which material?",IF(B820="Not found","Check - no such product ID",IF(D820="Add to Materials","Check - no such material ID",IF(OR(F820="",F820=0),"Add - how much?",IF(L820="","Check - that material has no price","OK")))))))</f>
        <v>0</v>
      </c>
    </row>
    <row r="821" spans="2:18">
      <c r="B821" s="13">
        <f>IF(A821="","",IFERROR(INDEX(Products!$B$5:$B$304,MATCH(A821,Products!$A$5:$A$304,0)),"Not found"))</f>
        <v>0</v>
      </c>
      <c r="D821" s="13">
        <f>IF(C821="","",IFERROR(INDEX(Materials!$B$5:$B$254,MATCH(C821,Materials!$A$5:$A$254,0)),"Add to Materials"))</f>
        <v>0</v>
      </c>
      <c r="E821" s="13">
        <f>IF(C821="","",IFERROR(INDEX(Materials!$H$5:$H$254,MATCH(C821,Materials!$A$5:$A$254,0)),"Add to Materials"))</f>
        <v>0</v>
      </c>
      <c r="J821" s="33">
        <f>IF(C821="","",IF(G821&lt;&gt;"",G821,IFERROR(INDEX(Materials!$W$5:$W$254,MATCH(C821,Materials!$A$5:$A$254,0)),DefaultWaste)))</f>
        <v>0</v>
      </c>
      <c r="K821" s="36">
        <f>IF(C821="","",IF(F821="","",ROUND(F821*(1+J821),4)))</f>
        <v>0</v>
      </c>
      <c r="L821" s="45">
        <f>IF(C821="","",IFERROR(INDEX(Materials!$S$5:$S$254,MATCH(C821,Materials!$A$5:$A$254,0)),""))</f>
        <v>0</v>
      </c>
      <c r="M821" s="45">
        <f>IF(C821="","",IF(OR(K821="",L821=""),"",ROUND(K821*L821,4)))</f>
        <v>0</v>
      </c>
      <c r="N821" s="20">
        <f>IF(A821="","",ROUND(SUMIFS('Material Usage'!$M$5:$M$904,'Material Usage'!$A$5:$A$904,A821),2))</f>
        <v>0</v>
      </c>
      <c r="O821" s="33">
        <f>IF(A821="","",IF(OR(M821="",N821="",N821=0),"",M821/N821))</f>
        <v>0</v>
      </c>
      <c r="P821" s="32">
        <f>IF(A821="","",COUNTIFS($A$5:A821,A821))</f>
        <v>0</v>
      </c>
      <c r="Q821" s="13">
        <f>IF(A821="","",A821&amp;"|"&amp;P821)</f>
        <v>0</v>
      </c>
      <c r="R821" s="43">
        <f>IF(AND(A821="",C821=""),"",IF(A821="","Add - which product?",IF(C821="","Add - which material?",IF(B821="Not found","Check - no such product ID",IF(D821="Add to Materials","Check - no such material ID",IF(OR(F821="",F821=0),"Add - how much?",IF(L821="","Check - that material has no price","OK")))))))</f>
        <v>0</v>
      </c>
    </row>
    <row r="822" spans="2:18">
      <c r="B822" s="13">
        <f>IF(A822="","",IFERROR(INDEX(Products!$B$5:$B$304,MATCH(A822,Products!$A$5:$A$304,0)),"Not found"))</f>
        <v>0</v>
      </c>
      <c r="D822" s="13">
        <f>IF(C822="","",IFERROR(INDEX(Materials!$B$5:$B$254,MATCH(C822,Materials!$A$5:$A$254,0)),"Add to Materials"))</f>
        <v>0</v>
      </c>
      <c r="E822" s="13">
        <f>IF(C822="","",IFERROR(INDEX(Materials!$H$5:$H$254,MATCH(C822,Materials!$A$5:$A$254,0)),"Add to Materials"))</f>
        <v>0</v>
      </c>
      <c r="J822" s="33">
        <f>IF(C822="","",IF(G822&lt;&gt;"",G822,IFERROR(INDEX(Materials!$W$5:$W$254,MATCH(C822,Materials!$A$5:$A$254,0)),DefaultWaste)))</f>
        <v>0</v>
      </c>
      <c r="K822" s="36">
        <f>IF(C822="","",IF(F822="","",ROUND(F822*(1+J822),4)))</f>
        <v>0</v>
      </c>
      <c r="L822" s="45">
        <f>IF(C822="","",IFERROR(INDEX(Materials!$S$5:$S$254,MATCH(C822,Materials!$A$5:$A$254,0)),""))</f>
        <v>0</v>
      </c>
      <c r="M822" s="45">
        <f>IF(C822="","",IF(OR(K822="",L822=""),"",ROUND(K822*L822,4)))</f>
        <v>0</v>
      </c>
      <c r="N822" s="20">
        <f>IF(A822="","",ROUND(SUMIFS('Material Usage'!$M$5:$M$904,'Material Usage'!$A$5:$A$904,A822),2))</f>
        <v>0</v>
      </c>
      <c r="O822" s="33">
        <f>IF(A822="","",IF(OR(M822="",N822="",N822=0),"",M822/N822))</f>
        <v>0</v>
      </c>
      <c r="P822" s="32">
        <f>IF(A822="","",COUNTIFS($A$5:A822,A822))</f>
        <v>0</v>
      </c>
      <c r="Q822" s="13">
        <f>IF(A822="","",A822&amp;"|"&amp;P822)</f>
        <v>0</v>
      </c>
      <c r="R822" s="43">
        <f>IF(AND(A822="",C822=""),"",IF(A822="","Add - which product?",IF(C822="","Add - which material?",IF(B822="Not found","Check - no such product ID",IF(D822="Add to Materials","Check - no such material ID",IF(OR(F822="",F822=0),"Add - how much?",IF(L822="","Check - that material has no price","OK")))))))</f>
        <v>0</v>
      </c>
    </row>
    <row r="823" spans="2:18">
      <c r="B823" s="13">
        <f>IF(A823="","",IFERROR(INDEX(Products!$B$5:$B$304,MATCH(A823,Products!$A$5:$A$304,0)),"Not found"))</f>
        <v>0</v>
      </c>
      <c r="D823" s="13">
        <f>IF(C823="","",IFERROR(INDEX(Materials!$B$5:$B$254,MATCH(C823,Materials!$A$5:$A$254,0)),"Add to Materials"))</f>
        <v>0</v>
      </c>
      <c r="E823" s="13">
        <f>IF(C823="","",IFERROR(INDEX(Materials!$H$5:$H$254,MATCH(C823,Materials!$A$5:$A$254,0)),"Add to Materials"))</f>
        <v>0</v>
      </c>
      <c r="J823" s="33">
        <f>IF(C823="","",IF(G823&lt;&gt;"",G823,IFERROR(INDEX(Materials!$W$5:$W$254,MATCH(C823,Materials!$A$5:$A$254,0)),DefaultWaste)))</f>
        <v>0</v>
      </c>
      <c r="K823" s="36">
        <f>IF(C823="","",IF(F823="","",ROUND(F823*(1+J823),4)))</f>
        <v>0</v>
      </c>
      <c r="L823" s="45">
        <f>IF(C823="","",IFERROR(INDEX(Materials!$S$5:$S$254,MATCH(C823,Materials!$A$5:$A$254,0)),""))</f>
        <v>0</v>
      </c>
      <c r="M823" s="45">
        <f>IF(C823="","",IF(OR(K823="",L823=""),"",ROUND(K823*L823,4)))</f>
        <v>0</v>
      </c>
      <c r="N823" s="20">
        <f>IF(A823="","",ROUND(SUMIFS('Material Usage'!$M$5:$M$904,'Material Usage'!$A$5:$A$904,A823),2))</f>
        <v>0</v>
      </c>
      <c r="O823" s="33">
        <f>IF(A823="","",IF(OR(M823="",N823="",N823=0),"",M823/N823))</f>
        <v>0</v>
      </c>
      <c r="P823" s="32">
        <f>IF(A823="","",COUNTIFS($A$5:A823,A823))</f>
        <v>0</v>
      </c>
      <c r="Q823" s="13">
        <f>IF(A823="","",A823&amp;"|"&amp;P823)</f>
        <v>0</v>
      </c>
      <c r="R823" s="43">
        <f>IF(AND(A823="",C823=""),"",IF(A823="","Add - which product?",IF(C823="","Add - which material?",IF(B823="Not found","Check - no such product ID",IF(D823="Add to Materials","Check - no such material ID",IF(OR(F823="",F823=0),"Add - how much?",IF(L823="","Check - that material has no price","OK")))))))</f>
        <v>0</v>
      </c>
    </row>
    <row r="824" spans="2:18">
      <c r="B824" s="13">
        <f>IF(A824="","",IFERROR(INDEX(Products!$B$5:$B$304,MATCH(A824,Products!$A$5:$A$304,0)),"Not found"))</f>
        <v>0</v>
      </c>
      <c r="D824" s="13">
        <f>IF(C824="","",IFERROR(INDEX(Materials!$B$5:$B$254,MATCH(C824,Materials!$A$5:$A$254,0)),"Add to Materials"))</f>
        <v>0</v>
      </c>
      <c r="E824" s="13">
        <f>IF(C824="","",IFERROR(INDEX(Materials!$H$5:$H$254,MATCH(C824,Materials!$A$5:$A$254,0)),"Add to Materials"))</f>
        <v>0</v>
      </c>
      <c r="J824" s="33">
        <f>IF(C824="","",IF(G824&lt;&gt;"",G824,IFERROR(INDEX(Materials!$W$5:$W$254,MATCH(C824,Materials!$A$5:$A$254,0)),DefaultWaste)))</f>
        <v>0</v>
      </c>
      <c r="K824" s="36">
        <f>IF(C824="","",IF(F824="","",ROUND(F824*(1+J824),4)))</f>
        <v>0</v>
      </c>
      <c r="L824" s="45">
        <f>IF(C824="","",IFERROR(INDEX(Materials!$S$5:$S$254,MATCH(C824,Materials!$A$5:$A$254,0)),""))</f>
        <v>0</v>
      </c>
      <c r="M824" s="45">
        <f>IF(C824="","",IF(OR(K824="",L824=""),"",ROUND(K824*L824,4)))</f>
        <v>0</v>
      </c>
      <c r="N824" s="20">
        <f>IF(A824="","",ROUND(SUMIFS('Material Usage'!$M$5:$M$904,'Material Usage'!$A$5:$A$904,A824),2))</f>
        <v>0</v>
      </c>
      <c r="O824" s="33">
        <f>IF(A824="","",IF(OR(M824="",N824="",N824=0),"",M824/N824))</f>
        <v>0</v>
      </c>
      <c r="P824" s="32">
        <f>IF(A824="","",COUNTIFS($A$5:A824,A824))</f>
        <v>0</v>
      </c>
      <c r="Q824" s="13">
        <f>IF(A824="","",A824&amp;"|"&amp;P824)</f>
        <v>0</v>
      </c>
      <c r="R824" s="43">
        <f>IF(AND(A824="",C824=""),"",IF(A824="","Add - which product?",IF(C824="","Add - which material?",IF(B824="Not found","Check - no such product ID",IF(D824="Add to Materials","Check - no such material ID",IF(OR(F824="",F824=0),"Add - how much?",IF(L824="","Check - that material has no price","OK")))))))</f>
        <v>0</v>
      </c>
    </row>
    <row r="825" spans="2:18">
      <c r="B825" s="13">
        <f>IF(A825="","",IFERROR(INDEX(Products!$B$5:$B$304,MATCH(A825,Products!$A$5:$A$304,0)),"Not found"))</f>
        <v>0</v>
      </c>
      <c r="D825" s="13">
        <f>IF(C825="","",IFERROR(INDEX(Materials!$B$5:$B$254,MATCH(C825,Materials!$A$5:$A$254,0)),"Add to Materials"))</f>
        <v>0</v>
      </c>
      <c r="E825" s="13">
        <f>IF(C825="","",IFERROR(INDEX(Materials!$H$5:$H$254,MATCH(C825,Materials!$A$5:$A$254,0)),"Add to Materials"))</f>
        <v>0</v>
      </c>
      <c r="J825" s="33">
        <f>IF(C825="","",IF(G825&lt;&gt;"",G825,IFERROR(INDEX(Materials!$W$5:$W$254,MATCH(C825,Materials!$A$5:$A$254,0)),DefaultWaste)))</f>
        <v>0</v>
      </c>
      <c r="K825" s="36">
        <f>IF(C825="","",IF(F825="","",ROUND(F825*(1+J825),4)))</f>
        <v>0</v>
      </c>
      <c r="L825" s="45">
        <f>IF(C825="","",IFERROR(INDEX(Materials!$S$5:$S$254,MATCH(C825,Materials!$A$5:$A$254,0)),""))</f>
        <v>0</v>
      </c>
      <c r="M825" s="45">
        <f>IF(C825="","",IF(OR(K825="",L825=""),"",ROUND(K825*L825,4)))</f>
        <v>0</v>
      </c>
      <c r="N825" s="20">
        <f>IF(A825="","",ROUND(SUMIFS('Material Usage'!$M$5:$M$904,'Material Usage'!$A$5:$A$904,A825),2))</f>
        <v>0</v>
      </c>
      <c r="O825" s="33">
        <f>IF(A825="","",IF(OR(M825="",N825="",N825=0),"",M825/N825))</f>
        <v>0</v>
      </c>
      <c r="P825" s="32">
        <f>IF(A825="","",COUNTIFS($A$5:A825,A825))</f>
        <v>0</v>
      </c>
      <c r="Q825" s="13">
        <f>IF(A825="","",A825&amp;"|"&amp;P825)</f>
        <v>0</v>
      </c>
      <c r="R825" s="43">
        <f>IF(AND(A825="",C825=""),"",IF(A825="","Add - which product?",IF(C825="","Add - which material?",IF(B825="Not found","Check - no such product ID",IF(D825="Add to Materials","Check - no such material ID",IF(OR(F825="",F825=0),"Add - how much?",IF(L825="","Check - that material has no price","OK")))))))</f>
        <v>0</v>
      </c>
    </row>
    <row r="826" spans="2:18">
      <c r="B826" s="13">
        <f>IF(A826="","",IFERROR(INDEX(Products!$B$5:$B$304,MATCH(A826,Products!$A$5:$A$304,0)),"Not found"))</f>
        <v>0</v>
      </c>
      <c r="D826" s="13">
        <f>IF(C826="","",IFERROR(INDEX(Materials!$B$5:$B$254,MATCH(C826,Materials!$A$5:$A$254,0)),"Add to Materials"))</f>
        <v>0</v>
      </c>
      <c r="E826" s="13">
        <f>IF(C826="","",IFERROR(INDEX(Materials!$H$5:$H$254,MATCH(C826,Materials!$A$5:$A$254,0)),"Add to Materials"))</f>
        <v>0</v>
      </c>
      <c r="J826" s="33">
        <f>IF(C826="","",IF(G826&lt;&gt;"",G826,IFERROR(INDEX(Materials!$W$5:$W$254,MATCH(C826,Materials!$A$5:$A$254,0)),DefaultWaste)))</f>
        <v>0</v>
      </c>
      <c r="K826" s="36">
        <f>IF(C826="","",IF(F826="","",ROUND(F826*(1+J826),4)))</f>
        <v>0</v>
      </c>
      <c r="L826" s="45">
        <f>IF(C826="","",IFERROR(INDEX(Materials!$S$5:$S$254,MATCH(C826,Materials!$A$5:$A$254,0)),""))</f>
        <v>0</v>
      </c>
      <c r="M826" s="45">
        <f>IF(C826="","",IF(OR(K826="",L826=""),"",ROUND(K826*L826,4)))</f>
        <v>0</v>
      </c>
      <c r="N826" s="20">
        <f>IF(A826="","",ROUND(SUMIFS('Material Usage'!$M$5:$M$904,'Material Usage'!$A$5:$A$904,A826),2))</f>
        <v>0</v>
      </c>
      <c r="O826" s="33">
        <f>IF(A826="","",IF(OR(M826="",N826="",N826=0),"",M826/N826))</f>
        <v>0</v>
      </c>
      <c r="P826" s="32">
        <f>IF(A826="","",COUNTIFS($A$5:A826,A826))</f>
        <v>0</v>
      </c>
      <c r="Q826" s="13">
        <f>IF(A826="","",A826&amp;"|"&amp;P826)</f>
        <v>0</v>
      </c>
      <c r="R826" s="43">
        <f>IF(AND(A826="",C826=""),"",IF(A826="","Add - which product?",IF(C826="","Add - which material?",IF(B826="Not found","Check - no such product ID",IF(D826="Add to Materials","Check - no such material ID",IF(OR(F826="",F826=0),"Add - how much?",IF(L826="","Check - that material has no price","OK")))))))</f>
        <v>0</v>
      </c>
    </row>
    <row r="827" spans="2:18">
      <c r="B827" s="13">
        <f>IF(A827="","",IFERROR(INDEX(Products!$B$5:$B$304,MATCH(A827,Products!$A$5:$A$304,0)),"Not found"))</f>
        <v>0</v>
      </c>
      <c r="D827" s="13">
        <f>IF(C827="","",IFERROR(INDEX(Materials!$B$5:$B$254,MATCH(C827,Materials!$A$5:$A$254,0)),"Add to Materials"))</f>
        <v>0</v>
      </c>
      <c r="E827" s="13">
        <f>IF(C827="","",IFERROR(INDEX(Materials!$H$5:$H$254,MATCH(C827,Materials!$A$5:$A$254,0)),"Add to Materials"))</f>
        <v>0</v>
      </c>
      <c r="J827" s="33">
        <f>IF(C827="","",IF(G827&lt;&gt;"",G827,IFERROR(INDEX(Materials!$W$5:$W$254,MATCH(C827,Materials!$A$5:$A$254,0)),DefaultWaste)))</f>
        <v>0</v>
      </c>
      <c r="K827" s="36">
        <f>IF(C827="","",IF(F827="","",ROUND(F827*(1+J827),4)))</f>
        <v>0</v>
      </c>
      <c r="L827" s="45">
        <f>IF(C827="","",IFERROR(INDEX(Materials!$S$5:$S$254,MATCH(C827,Materials!$A$5:$A$254,0)),""))</f>
        <v>0</v>
      </c>
      <c r="M827" s="45">
        <f>IF(C827="","",IF(OR(K827="",L827=""),"",ROUND(K827*L827,4)))</f>
        <v>0</v>
      </c>
      <c r="N827" s="20">
        <f>IF(A827="","",ROUND(SUMIFS('Material Usage'!$M$5:$M$904,'Material Usage'!$A$5:$A$904,A827),2))</f>
        <v>0</v>
      </c>
      <c r="O827" s="33">
        <f>IF(A827="","",IF(OR(M827="",N827="",N827=0),"",M827/N827))</f>
        <v>0</v>
      </c>
      <c r="P827" s="32">
        <f>IF(A827="","",COUNTIFS($A$5:A827,A827))</f>
        <v>0</v>
      </c>
      <c r="Q827" s="13">
        <f>IF(A827="","",A827&amp;"|"&amp;P827)</f>
        <v>0</v>
      </c>
      <c r="R827" s="43">
        <f>IF(AND(A827="",C827=""),"",IF(A827="","Add - which product?",IF(C827="","Add - which material?",IF(B827="Not found","Check - no such product ID",IF(D827="Add to Materials","Check - no such material ID",IF(OR(F827="",F827=0),"Add - how much?",IF(L827="","Check - that material has no price","OK")))))))</f>
        <v>0</v>
      </c>
    </row>
    <row r="828" spans="2:18">
      <c r="B828" s="13">
        <f>IF(A828="","",IFERROR(INDEX(Products!$B$5:$B$304,MATCH(A828,Products!$A$5:$A$304,0)),"Not found"))</f>
        <v>0</v>
      </c>
      <c r="D828" s="13">
        <f>IF(C828="","",IFERROR(INDEX(Materials!$B$5:$B$254,MATCH(C828,Materials!$A$5:$A$254,0)),"Add to Materials"))</f>
        <v>0</v>
      </c>
      <c r="E828" s="13">
        <f>IF(C828="","",IFERROR(INDEX(Materials!$H$5:$H$254,MATCH(C828,Materials!$A$5:$A$254,0)),"Add to Materials"))</f>
        <v>0</v>
      </c>
      <c r="J828" s="33">
        <f>IF(C828="","",IF(G828&lt;&gt;"",G828,IFERROR(INDEX(Materials!$W$5:$W$254,MATCH(C828,Materials!$A$5:$A$254,0)),DefaultWaste)))</f>
        <v>0</v>
      </c>
      <c r="K828" s="36">
        <f>IF(C828="","",IF(F828="","",ROUND(F828*(1+J828),4)))</f>
        <v>0</v>
      </c>
      <c r="L828" s="45">
        <f>IF(C828="","",IFERROR(INDEX(Materials!$S$5:$S$254,MATCH(C828,Materials!$A$5:$A$254,0)),""))</f>
        <v>0</v>
      </c>
      <c r="M828" s="45">
        <f>IF(C828="","",IF(OR(K828="",L828=""),"",ROUND(K828*L828,4)))</f>
        <v>0</v>
      </c>
      <c r="N828" s="20">
        <f>IF(A828="","",ROUND(SUMIFS('Material Usage'!$M$5:$M$904,'Material Usage'!$A$5:$A$904,A828),2))</f>
        <v>0</v>
      </c>
      <c r="O828" s="33">
        <f>IF(A828="","",IF(OR(M828="",N828="",N828=0),"",M828/N828))</f>
        <v>0</v>
      </c>
      <c r="P828" s="32">
        <f>IF(A828="","",COUNTIFS($A$5:A828,A828))</f>
        <v>0</v>
      </c>
      <c r="Q828" s="13">
        <f>IF(A828="","",A828&amp;"|"&amp;P828)</f>
        <v>0</v>
      </c>
      <c r="R828" s="43">
        <f>IF(AND(A828="",C828=""),"",IF(A828="","Add - which product?",IF(C828="","Add - which material?",IF(B828="Not found","Check - no such product ID",IF(D828="Add to Materials","Check - no such material ID",IF(OR(F828="",F828=0),"Add - how much?",IF(L828="","Check - that material has no price","OK")))))))</f>
        <v>0</v>
      </c>
    </row>
    <row r="829" spans="2:18">
      <c r="B829" s="13">
        <f>IF(A829="","",IFERROR(INDEX(Products!$B$5:$B$304,MATCH(A829,Products!$A$5:$A$304,0)),"Not found"))</f>
        <v>0</v>
      </c>
      <c r="D829" s="13">
        <f>IF(C829="","",IFERROR(INDEX(Materials!$B$5:$B$254,MATCH(C829,Materials!$A$5:$A$254,0)),"Add to Materials"))</f>
        <v>0</v>
      </c>
      <c r="E829" s="13">
        <f>IF(C829="","",IFERROR(INDEX(Materials!$H$5:$H$254,MATCH(C829,Materials!$A$5:$A$254,0)),"Add to Materials"))</f>
        <v>0</v>
      </c>
      <c r="J829" s="33">
        <f>IF(C829="","",IF(G829&lt;&gt;"",G829,IFERROR(INDEX(Materials!$W$5:$W$254,MATCH(C829,Materials!$A$5:$A$254,0)),DefaultWaste)))</f>
        <v>0</v>
      </c>
      <c r="K829" s="36">
        <f>IF(C829="","",IF(F829="","",ROUND(F829*(1+J829),4)))</f>
        <v>0</v>
      </c>
      <c r="L829" s="45">
        <f>IF(C829="","",IFERROR(INDEX(Materials!$S$5:$S$254,MATCH(C829,Materials!$A$5:$A$254,0)),""))</f>
        <v>0</v>
      </c>
      <c r="M829" s="45">
        <f>IF(C829="","",IF(OR(K829="",L829=""),"",ROUND(K829*L829,4)))</f>
        <v>0</v>
      </c>
      <c r="N829" s="20">
        <f>IF(A829="","",ROUND(SUMIFS('Material Usage'!$M$5:$M$904,'Material Usage'!$A$5:$A$904,A829),2))</f>
        <v>0</v>
      </c>
      <c r="O829" s="33">
        <f>IF(A829="","",IF(OR(M829="",N829="",N829=0),"",M829/N829))</f>
        <v>0</v>
      </c>
      <c r="P829" s="32">
        <f>IF(A829="","",COUNTIFS($A$5:A829,A829))</f>
        <v>0</v>
      </c>
      <c r="Q829" s="13">
        <f>IF(A829="","",A829&amp;"|"&amp;P829)</f>
        <v>0</v>
      </c>
      <c r="R829" s="43">
        <f>IF(AND(A829="",C829=""),"",IF(A829="","Add - which product?",IF(C829="","Add - which material?",IF(B829="Not found","Check - no such product ID",IF(D829="Add to Materials","Check - no such material ID",IF(OR(F829="",F829=0),"Add - how much?",IF(L829="","Check - that material has no price","OK")))))))</f>
        <v>0</v>
      </c>
    </row>
    <row r="830" spans="2:18">
      <c r="B830" s="13">
        <f>IF(A830="","",IFERROR(INDEX(Products!$B$5:$B$304,MATCH(A830,Products!$A$5:$A$304,0)),"Not found"))</f>
        <v>0</v>
      </c>
      <c r="D830" s="13">
        <f>IF(C830="","",IFERROR(INDEX(Materials!$B$5:$B$254,MATCH(C830,Materials!$A$5:$A$254,0)),"Add to Materials"))</f>
        <v>0</v>
      </c>
      <c r="E830" s="13">
        <f>IF(C830="","",IFERROR(INDEX(Materials!$H$5:$H$254,MATCH(C830,Materials!$A$5:$A$254,0)),"Add to Materials"))</f>
        <v>0</v>
      </c>
      <c r="J830" s="33">
        <f>IF(C830="","",IF(G830&lt;&gt;"",G830,IFERROR(INDEX(Materials!$W$5:$W$254,MATCH(C830,Materials!$A$5:$A$254,0)),DefaultWaste)))</f>
        <v>0</v>
      </c>
      <c r="K830" s="36">
        <f>IF(C830="","",IF(F830="","",ROUND(F830*(1+J830),4)))</f>
        <v>0</v>
      </c>
      <c r="L830" s="45">
        <f>IF(C830="","",IFERROR(INDEX(Materials!$S$5:$S$254,MATCH(C830,Materials!$A$5:$A$254,0)),""))</f>
        <v>0</v>
      </c>
      <c r="M830" s="45">
        <f>IF(C830="","",IF(OR(K830="",L830=""),"",ROUND(K830*L830,4)))</f>
        <v>0</v>
      </c>
      <c r="N830" s="20">
        <f>IF(A830="","",ROUND(SUMIFS('Material Usage'!$M$5:$M$904,'Material Usage'!$A$5:$A$904,A830),2))</f>
        <v>0</v>
      </c>
      <c r="O830" s="33">
        <f>IF(A830="","",IF(OR(M830="",N830="",N830=0),"",M830/N830))</f>
        <v>0</v>
      </c>
      <c r="P830" s="32">
        <f>IF(A830="","",COUNTIFS($A$5:A830,A830))</f>
        <v>0</v>
      </c>
      <c r="Q830" s="13">
        <f>IF(A830="","",A830&amp;"|"&amp;P830)</f>
        <v>0</v>
      </c>
      <c r="R830" s="43">
        <f>IF(AND(A830="",C830=""),"",IF(A830="","Add - which product?",IF(C830="","Add - which material?",IF(B830="Not found","Check - no such product ID",IF(D830="Add to Materials","Check - no such material ID",IF(OR(F830="",F830=0),"Add - how much?",IF(L830="","Check - that material has no price","OK")))))))</f>
        <v>0</v>
      </c>
    </row>
    <row r="831" spans="2:18">
      <c r="B831" s="13">
        <f>IF(A831="","",IFERROR(INDEX(Products!$B$5:$B$304,MATCH(A831,Products!$A$5:$A$304,0)),"Not found"))</f>
        <v>0</v>
      </c>
      <c r="D831" s="13">
        <f>IF(C831="","",IFERROR(INDEX(Materials!$B$5:$B$254,MATCH(C831,Materials!$A$5:$A$254,0)),"Add to Materials"))</f>
        <v>0</v>
      </c>
      <c r="E831" s="13">
        <f>IF(C831="","",IFERROR(INDEX(Materials!$H$5:$H$254,MATCH(C831,Materials!$A$5:$A$254,0)),"Add to Materials"))</f>
        <v>0</v>
      </c>
      <c r="J831" s="33">
        <f>IF(C831="","",IF(G831&lt;&gt;"",G831,IFERROR(INDEX(Materials!$W$5:$W$254,MATCH(C831,Materials!$A$5:$A$254,0)),DefaultWaste)))</f>
        <v>0</v>
      </c>
      <c r="K831" s="36">
        <f>IF(C831="","",IF(F831="","",ROUND(F831*(1+J831),4)))</f>
        <v>0</v>
      </c>
      <c r="L831" s="45">
        <f>IF(C831="","",IFERROR(INDEX(Materials!$S$5:$S$254,MATCH(C831,Materials!$A$5:$A$254,0)),""))</f>
        <v>0</v>
      </c>
      <c r="M831" s="45">
        <f>IF(C831="","",IF(OR(K831="",L831=""),"",ROUND(K831*L831,4)))</f>
        <v>0</v>
      </c>
      <c r="N831" s="20">
        <f>IF(A831="","",ROUND(SUMIFS('Material Usage'!$M$5:$M$904,'Material Usage'!$A$5:$A$904,A831),2))</f>
        <v>0</v>
      </c>
      <c r="O831" s="33">
        <f>IF(A831="","",IF(OR(M831="",N831="",N831=0),"",M831/N831))</f>
        <v>0</v>
      </c>
      <c r="P831" s="32">
        <f>IF(A831="","",COUNTIFS($A$5:A831,A831))</f>
        <v>0</v>
      </c>
      <c r="Q831" s="13">
        <f>IF(A831="","",A831&amp;"|"&amp;P831)</f>
        <v>0</v>
      </c>
      <c r="R831" s="43">
        <f>IF(AND(A831="",C831=""),"",IF(A831="","Add - which product?",IF(C831="","Add - which material?",IF(B831="Not found","Check - no such product ID",IF(D831="Add to Materials","Check - no such material ID",IF(OR(F831="",F831=0),"Add - how much?",IF(L831="","Check - that material has no price","OK")))))))</f>
        <v>0</v>
      </c>
    </row>
    <row r="832" spans="2:18">
      <c r="B832" s="13">
        <f>IF(A832="","",IFERROR(INDEX(Products!$B$5:$B$304,MATCH(A832,Products!$A$5:$A$304,0)),"Not found"))</f>
        <v>0</v>
      </c>
      <c r="D832" s="13">
        <f>IF(C832="","",IFERROR(INDEX(Materials!$B$5:$B$254,MATCH(C832,Materials!$A$5:$A$254,0)),"Add to Materials"))</f>
        <v>0</v>
      </c>
      <c r="E832" s="13">
        <f>IF(C832="","",IFERROR(INDEX(Materials!$H$5:$H$254,MATCH(C832,Materials!$A$5:$A$254,0)),"Add to Materials"))</f>
        <v>0</v>
      </c>
      <c r="J832" s="33">
        <f>IF(C832="","",IF(G832&lt;&gt;"",G832,IFERROR(INDEX(Materials!$W$5:$W$254,MATCH(C832,Materials!$A$5:$A$254,0)),DefaultWaste)))</f>
        <v>0</v>
      </c>
      <c r="K832" s="36">
        <f>IF(C832="","",IF(F832="","",ROUND(F832*(1+J832),4)))</f>
        <v>0</v>
      </c>
      <c r="L832" s="45">
        <f>IF(C832="","",IFERROR(INDEX(Materials!$S$5:$S$254,MATCH(C832,Materials!$A$5:$A$254,0)),""))</f>
        <v>0</v>
      </c>
      <c r="M832" s="45">
        <f>IF(C832="","",IF(OR(K832="",L832=""),"",ROUND(K832*L832,4)))</f>
        <v>0</v>
      </c>
      <c r="N832" s="20">
        <f>IF(A832="","",ROUND(SUMIFS('Material Usage'!$M$5:$M$904,'Material Usage'!$A$5:$A$904,A832),2))</f>
        <v>0</v>
      </c>
      <c r="O832" s="33">
        <f>IF(A832="","",IF(OR(M832="",N832="",N832=0),"",M832/N832))</f>
        <v>0</v>
      </c>
      <c r="P832" s="32">
        <f>IF(A832="","",COUNTIFS($A$5:A832,A832))</f>
        <v>0</v>
      </c>
      <c r="Q832" s="13">
        <f>IF(A832="","",A832&amp;"|"&amp;P832)</f>
        <v>0</v>
      </c>
      <c r="R832" s="43">
        <f>IF(AND(A832="",C832=""),"",IF(A832="","Add - which product?",IF(C832="","Add - which material?",IF(B832="Not found","Check - no such product ID",IF(D832="Add to Materials","Check - no such material ID",IF(OR(F832="",F832=0),"Add - how much?",IF(L832="","Check - that material has no price","OK")))))))</f>
        <v>0</v>
      </c>
    </row>
    <row r="833" spans="2:18">
      <c r="B833" s="13">
        <f>IF(A833="","",IFERROR(INDEX(Products!$B$5:$B$304,MATCH(A833,Products!$A$5:$A$304,0)),"Not found"))</f>
        <v>0</v>
      </c>
      <c r="D833" s="13">
        <f>IF(C833="","",IFERROR(INDEX(Materials!$B$5:$B$254,MATCH(C833,Materials!$A$5:$A$254,0)),"Add to Materials"))</f>
        <v>0</v>
      </c>
      <c r="E833" s="13">
        <f>IF(C833="","",IFERROR(INDEX(Materials!$H$5:$H$254,MATCH(C833,Materials!$A$5:$A$254,0)),"Add to Materials"))</f>
        <v>0</v>
      </c>
      <c r="J833" s="33">
        <f>IF(C833="","",IF(G833&lt;&gt;"",G833,IFERROR(INDEX(Materials!$W$5:$W$254,MATCH(C833,Materials!$A$5:$A$254,0)),DefaultWaste)))</f>
        <v>0</v>
      </c>
      <c r="K833" s="36">
        <f>IF(C833="","",IF(F833="","",ROUND(F833*(1+J833),4)))</f>
        <v>0</v>
      </c>
      <c r="L833" s="45">
        <f>IF(C833="","",IFERROR(INDEX(Materials!$S$5:$S$254,MATCH(C833,Materials!$A$5:$A$254,0)),""))</f>
        <v>0</v>
      </c>
      <c r="M833" s="45">
        <f>IF(C833="","",IF(OR(K833="",L833=""),"",ROUND(K833*L833,4)))</f>
        <v>0</v>
      </c>
      <c r="N833" s="20">
        <f>IF(A833="","",ROUND(SUMIFS('Material Usage'!$M$5:$M$904,'Material Usage'!$A$5:$A$904,A833),2))</f>
        <v>0</v>
      </c>
      <c r="O833" s="33">
        <f>IF(A833="","",IF(OR(M833="",N833="",N833=0),"",M833/N833))</f>
        <v>0</v>
      </c>
      <c r="P833" s="32">
        <f>IF(A833="","",COUNTIFS($A$5:A833,A833))</f>
        <v>0</v>
      </c>
      <c r="Q833" s="13">
        <f>IF(A833="","",A833&amp;"|"&amp;P833)</f>
        <v>0</v>
      </c>
      <c r="R833" s="43">
        <f>IF(AND(A833="",C833=""),"",IF(A833="","Add - which product?",IF(C833="","Add - which material?",IF(B833="Not found","Check - no such product ID",IF(D833="Add to Materials","Check - no such material ID",IF(OR(F833="",F833=0),"Add - how much?",IF(L833="","Check - that material has no price","OK")))))))</f>
        <v>0</v>
      </c>
    </row>
    <row r="834" spans="2:18">
      <c r="B834" s="13">
        <f>IF(A834="","",IFERROR(INDEX(Products!$B$5:$B$304,MATCH(A834,Products!$A$5:$A$304,0)),"Not found"))</f>
        <v>0</v>
      </c>
      <c r="D834" s="13">
        <f>IF(C834="","",IFERROR(INDEX(Materials!$B$5:$B$254,MATCH(C834,Materials!$A$5:$A$254,0)),"Add to Materials"))</f>
        <v>0</v>
      </c>
      <c r="E834" s="13">
        <f>IF(C834="","",IFERROR(INDEX(Materials!$H$5:$H$254,MATCH(C834,Materials!$A$5:$A$254,0)),"Add to Materials"))</f>
        <v>0</v>
      </c>
      <c r="J834" s="33">
        <f>IF(C834="","",IF(G834&lt;&gt;"",G834,IFERROR(INDEX(Materials!$W$5:$W$254,MATCH(C834,Materials!$A$5:$A$254,0)),DefaultWaste)))</f>
        <v>0</v>
      </c>
      <c r="K834" s="36">
        <f>IF(C834="","",IF(F834="","",ROUND(F834*(1+J834),4)))</f>
        <v>0</v>
      </c>
      <c r="L834" s="45">
        <f>IF(C834="","",IFERROR(INDEX(Materials!$S$5:$S$254,MATCH(C834,Materials!$A$5:$A$254,0)),""))</f>
        <v>0</v>
      </c>
      <c r="M834" s="45">
        <f>IF(C834="","",IF(OR(K834="",L834=""),"",ROUND(K834*L834,4)))</f>
        <v>0</v>
      </c>
      <c r="N834" s="20">
        <f>IF(A834="","",ROUND(SUMIFS('Material Usage'!$M$5:$M$904,'Material Usage'!$A$5:$A$904,A834),2))</f>
        <v>0</v>
      </c>
      <c r="O834" s="33">
        <f>IF(A834="","",IF(OR(M834="",N834="",N834=0),"",M834/N834))</f>
        <v>0</v>
      </c>
      <c r="P834" s="32">
        <f>IF(A834="","",COUNTIFS($A$5:A834,A834))</f>
        <v>0</v>
      </c>
      <c r="Q834" s="13">
        <f>IF(A834="","",A834&amp;"|"&amp;P834)</f>
        <v>0</v>
      </c>
      <c r="R834" s="43">
        <f>IF(AND(A834="",C834=""),"",IF(A834="","Add - which product?",IF(C834="","Add - which material?",IF(B834="Not found","Check - no such product ID",IF(D834="Add to Materials","Check - no such material ID",IF(OR(F834="",F834=0),"Add - how much?",IF(L834="","Check - that material has no price","OK")))))))</f>
        <v>0</v>
      </c>
    </row>
    <row r="835" spans="2:18">
      <c r="B835" s="13">
        <f>IF(A835="","",IFERROR(INDEX(Products!$B$5:$B$304,MATCH(A835,Products!$A$5:$A$304,0)),"Not found"))</f>
        <v>0</v>
      </c>
      <c r="D835" s="13">
        <f>IF(C835="","",IFERROR(INDEX(Materials!$B$5:$B$254,MATCH(C835,Materials!$A$5:$A$254,0)),"Add to Materials"))</f>
        <v>0</v>
      </c>
      <c r="E835" s="13">
        <f>IF(C835="","",IFERROR(INDEX(Materials!$H$5:$H$254,MATCH(C835,Materials!$A$5:$A$254,0)),"Add to Materials"))</f>
        <v>0</v>
      </c>
      <c r="J835" s="33">
        <f>IF(C835="","",IF(G835&lt;&gt;"",G835,IFERROR(INDEX(Materials!$W$5:$W$254,MATCH(C835,Materials!$A$5:$A$254,0)),DefaultWaste)))</f>
        <v>0</v>
      </c>
      <c r="K835" s="36">
        <f>IF(C835="","",IF(F835="","",ROUND(F835*(1+J835),4)))</f>
        <v>0</v>
      </c>
      <c r="L835" s="45">
        <f>IF(C835="","",IFERROR(INDEX(Materials!$S$5:$S$254,MATCH(C835,Materials!$A$5:$A$254,0)),""))</f>
        <v>0</v>
      </c>
      <c r="M835" s="45">
        <f>IF(C835="","",IF(OR(K835="",L835=""),"",ROUND(K835*L835,4)))</f>
        <v>0</v>
      </c>
      <c r="N835" s="20">
        <f>IF(A835="","",ROUND(SUMIFS('Material Usage'!$M$5:$M$904,'Material Usage'!$A$5:$A$904,A835),2))</f>
        <v>0</v>
      </c>
      <c r="O835" s="33">
        <f>IF(A835="","",IF(OR(M835="",N835="",N835=0),"",M835/N835))</f>
        <v>0</v>
      </c>
      <c r="P835" s="32">
        <f>IF(A835="","",COUNTIFS($A$5:A835,A835))</f>
        <v>0</v>
      </c>
      <c r="Q835" s="13">
        <f>IF(A835="","",A835&amp;"|"&amp;P835)</f>
        <v>0</v>
      </c>
      <c r="R835" s="43">
        <f>IF(AND(A835="",C835=""),"",IF(A835="","Add - which product?",IF(C835="","Add - which material?",IF(B835="Not found","Check - no such product ID",IF(D835="Add to Materials","Check - no such material ID",IF(OR(F835="",F835=0),"Add - how much?",IF(L835="","Check - that material has no price","OK")))))))</f>
        <v>0</v>
      </c>
    </row>
    <row r="836" spans="2:18">
      <c r="B836" s="13">
        <f>IF(A836="","",IFERROR(INDEX(Products!$B$5:$B$304,MATCH(A836,Products!$A$5:$A$304,0)),"Not found"))</f>
        <v>0</v>
      </c>
      <c r="D836" s="13">
        <f>IF(C836="","",IFERROR(INDEX(Materials!$B$5:$B$254,MATCH(C836,Materials!$A$5:$A$254,0)),"Add to Materials"))</f>
        <v>0</v>
      </c>
      <c r="E836" s="13">
        <f>IF(C836="","",IFERROR(INDEX(Materials!$H$5:$H$254,MATCH(C836,Materials!$A$5:$A$254,0)),"Add to Materials"))</f>
        <v>0</v>
      </c>
      <c r="J836" s="33">
        <f>IF(C836="","",IF(G836&lt;&gt;"",G836,IFERROR(INDEX(Materials!$W$5:$W$254,MATCH(C836,Materials!$A$5:$A$254,0)),DefaultWaste)))</f>
        <v>0</v>
      </c>
      <c r="K836" s="36">
        <f>IF(C836="","",IF(F836="","",ROUND(F836*(1+J836),4)))</f>
        <v>0</v>
      </c>
      <c r="L836" s="45">
        <f>IF(C836="","",IFERROR(INDEX(Materials!$S$5:$S$254,MATCH(C836,Materials!$A$5:$A$254,0)),""))</f>
        <v>0</v>
      </c>
      <c r="M836" s="45">
        <f>IF(C836="","",IF(OR(K836="",L836=""),"",ROUND(K836*L836,4)))</f>
        <v>0</v>
      </c>
      <c r="N836" s="20">
        <f>IF(A836="","",ROUND(SUMIFS('Material Usage'!$M$5:$M$904,'Material Usage'!$A$5:$A$904,A836),2))</f>
        <v>0</v>
      </c>
      <c r="O836" s="33">
        <f>IF(A836="","",IF(OR(M836="",N836="",N836=0),"",M836/N836))</f>
        <v>0</v>
      </c>
      <c r="P836" s="32">
        <f>IF(A836="","",COUNTIFS($A$5:A836,A836))</f>
        <v>0</v>
      </c>
      <c r="Q836" s="13">
        <f>IF(A836="","",A836&amp;"|"&amp;P836)</f>
        <v>0</v>
      </c>
      <c r="R836" s="43">
        <f>IF(AND(A836="",C836=""),"",IF(A836="","Add - which product?",IF(C836="","Add - which material?",IF(B836="Not found","Check - no such product ID",IF(D836="Add to Materials","Check - no such material ID",IF(OR(F836="",F836=0),"Add - how much?",IF(L836="","Check - that material has no price","OK")))))))</f>
        <v>0</v>
      </c>
    </row>
    <row r="837" spans="2:18">
      <c r="B837" s="13">
        <f>IF(A837="","",IFERROR(INDEX(Products!$B$5:$B$304,MATCH(A837,Products!$A$5:$A$304,0)),"Not found"))</f>
        <v>0</v>
      </c>
      <c r="D837" s="13">
        <f>IF(C837="","",IFERROR(INDEX(Materials!$B$5:$B$254,MATCH(C837,Materials!$A$5:$A$254,0)),"Add to Materials"))</f>
        <v>0</v>
      </c>
      <c r="E837" s="13">
        <f>IF(C837="","",IFERROR(INDEX(Materials!$H$5:$H$254,MATCH(C837,Materials!$A$5:$A$254,0)),"Add to Materials"))</f>
        <v>0</v>
      </c>
      <c r="J837" s="33">
        <f>IF(C837="","",IF(G837&lt;&gt;"",G837,IFERROR(INDEX(Materials!$W$5:$W$254,MATCH(C837,Materials!$A$5:$A$254,0)),DefaultWaste)))</f>
        <v>0</v>
      </c>
      <c r="K837" s="36">
        <f>IF(C837="","",IF(F837="","",ROUND(F837*(1+J837),4)))</f>
        <v>0</v>
      </c>
      <c r="L837" s="45">
        <f>IF(C837="","",IFERROR(INDEX(Materials!$S$5:$S$254,MATCH(C837,Materials!$A$5:$A$254,0)),""))</f>
        <v>0</v>
      </c>
      <c r="M837" s="45">
        <f>IF(C837="","",IF(OR(K837="",L837=""),"",ROUND(K837*L837,4)))</f>
        <v>0</v>
      </c>
      <c r="N837" s="20">
        <f>IF(A837="","",ROUND(SUMIFS('Material Usage'!$M$5:$M$904,'Material Usage'!$A$5:$A$904,A837),2))</f>
        <v>0</v>
      </c>
      <c r="O837" s="33">
        <f>IF(A837="","",IF(OR(M837="",N837="",N837=0),"",M837/N837))</f>
        <v>0</v>
      </c>
      <c r="P837" s="32">
        <f>IF(A837="","",COUNTIFS($A$5:A837,A837))</f>
        <v>0</v>
      </c>
      <c r="Q837" s="13">
        <f>IF(A837="","",A837&amp;"|"&amp;P837)</f>
        <v>0</v>
      </c>
      <c r="R837" s="43">
        <f>IF(AND(A837="",C837=""),"",IF(A837="","Add - which product?",IF(C837="","Add - which material?",IF(B837="Not found","Check - no such product ID",IF(D837="Add to Materials","Check - no such material ID",IF(OR(F837="",F837=0),"Add - how much?",IF(L837="","Check - that material has no price","OK")))))))</f>
        <v>0</v>
      </c>
    </row>
    <row r="838" spans="2:18">
      <c r="B838" s="13">
        <f>IF(A838="","",IFERROR(INDEX(Products!$B$5:$B$304,MATCH(A838,Products!$A$5:$A$304,0)),"Not found"))</f>
        <v>0</v>
      </c>
      <c r="D838" s="13">
        <f>IF(C838="","",IFERROR(INDEX(Materials!$B$5:$B$254,MATCH(C838,Materials!$A$5:$A$254,0)),"Add to Materials"))</f>
        <v>0</v>
      </c>
      <c r="E838" s="13">
        <f>IF(C838="","",IFERROR(INDEX(Materials!$H$5:$H$254,MATCH(C838,Materials!$A$5:$A$254,0)),"Add to Materials"))</f>
        <v>0</v>
      </c>
      <c r="J838" s="33">
        <f>IF(C838="","",IF(G838&lt;&gt;"",G838,IFERROR(INDEX(Materials!$W$5:$W$254,MATCH(C838,Materials!$A$5:$A$254,0)),DefaultWaste)))</f>
        <v>0</v>
      </c>
      <c r="K838" s="36">
        <f>IF(C838="","",IF(F838="","",ROUND(F838*(1+J838),4)))</f>
        <v>0</v>
      </c>
      <c r="L838" s="45">
        <f>IF(C838="","",IFERROR(INDEX(Materials!$S$5:$S$254,MATCH(C838,Materials!$A$5:$A$254,0)),""))</f>
        <v>0</v>
      </c>
      <c r="M838" s="45">
        <f>IF(C838="","",IF(OR(K838="",L838=""),"",ROUND(K838*L838,4)))</f>
        <v>0</v>
      </c>
      <c r="N838" s="20">
        <f>IF(A838="","",ROUND(SUMIFS('Material Usage'!$M$5:$M$904,'Material Usage'!$A$5:$A$904,A838),2))</f>
        <v>0</v>
      </c>
      <c r="O838" s="33">
        <f>IF(A838="","",IF(OR(M838="",N838="",N838=0),"",M838/N838))</f>
        <v>0</v>
      </c>
      <c r="P838" s="32">
        <f>IF(A838="","",COUNTIFS($A$5:A838,A838))</f>
        <v>0</v>
      </c>
      <c r="Q838" s="13">
        <f>IF(A838="","",A838&amp;"|"&amp;P838)</f>
        <v>0</v>
      </c>
      <c r="R838" s="43">
        <f>IF(AND(A838="",C838=""),"",IF(A838="","Add - which product?",IF(C838="","Add - which material?",IF(B838="Not found","Check - no such product ID",IF(D838="Add to Materials","Check - no such material ID",IF(OR(F838="",F838=0),"Add - how much?",IF(L838="","Check - that material has no price","OK")))))))</f>
        <v>0</v>
      </c>
    </row>
    <row r="839" spans="2:18">
      <c r="B839" s="13">
        <f>IF(A839="","",IFERROR(INDEX(Products!$B$5:$B$304,MATCH(A839,Products!$A$5:$A$304,0)),"Not found"))</f>
        <v>0</v>
      </c>
      <c r="D839" s="13">
        <f>IF(C839="","",IFERROR(INDEX(Materials!$B$5:$B$254,MATCH(C839,Materials!$A$5:$A$254,0)),"Add to Materials"))</f>
        <v>0</v>
      </c>
      <c r="E839" s="13">
        <f>IF(C839="","",IFERROR(INDEX(Materials!$H$5:$H$254,MATCH(C839,Materials!$A$5:$A$254,0)),"Add to Materials"))</f>
        <v>0</v>
      </c>
      <c r="J839" s="33">
        <f>IF(C839="","",IF(G839&lt;&gt;"",G839,IFERROR(INDEX(Materials!$W$5:$W$254,MATCH(C839,Materials!$A$5:$A$254,0)),DefaultWaste)))</f>
        <v>0</v>
      </c>
      <c r="K839" s="36">
        <f>IF(C839="","",IF(F839="","",ROUND(F839*(1+J839),4)))</f>
        <v>0</v>
      </c>
      <c r="L839" s="45">
        <f>IF(C839="","",IFERROR(INDEX(Materials!$S$5:$S$254,MATCH(C839,Materials!$A$5:$A$254,0)),""))</f>
        <v>0</v>
      </c>
      <c r="M839" s="45">
        <f>IF(C839="","",IF(OR(K839="",L839=""),"",ROUND(K839*L839,4)))</f>
        <v>0</v>
      </c>
      <c r="N839" s="20">
        <f>IF(A839="","",ROUND(SUMIFS('Material Usage'!$M$5:$M$904,'Material Usage'!$A$5:$A$904,A839),2))</f>
        <v>0</v>
      </c>
      <c r="O839" s="33">
        <f>IF(A839="","",IF(OR(M839="",N839="",N839=0),"",M839/N839))</f>
        <v>0</v>
      </c>
      <c r="P839" s="32">
        <f>IF(A839="","",COUNTIFS($A$5:A839,A839))</f>
        <v>0</v>
      </c>
      <c r="Q839" s="13">
        <f>IF(A839="","",A839&amp;"|"&amp;P839)</f>
        <v>0</v>
      </c>
      <c r="R839" s="43">
        <f>IF(AND(A839="",C839=""),"",IF(A839="","Add - which product?",IF(C839="","Add - which material?",IF(B839="Not found","Check - no such product ID",IF(D839="Add to Materials","Check - no such material ID",IF(OR(F839="",F839=0),"Add - how much?",IF(L839="","Check - that material has no price","OK")))))))</f>
        <v>0</v>
      </c>
    </row>
    <row r="840" spans="2:18">
      <c r="B840" s="13">
        <f>IF(A840="","",IFERROR(INDEX(Products!$B$5:$B$304,MATCH(A840,Products!$A$5:$A$304,0)),"Not found"))</f>
        <v>0</v>
      </c>
      <c r="D840" s="13">
        <f>IF(C840="","",IFERROR(INDEX(Materials!$B$5:$B$254,MATCH(C840,Materials!$A$5:$A$254,0)),"Add to Materials"))</f>
        <v>0</v>
      </c>
      <c r="E840" s="13">
        <f>IF(C840="","",IFERROR(INDEX(Materials!$H$5:$H$254,MATCH(C840,Materials!$A$5:$A$254,0)),"Add to Materials"))</f>
        <v>0</v>
      </c>
      <c r="J840" s="33">
        <f>IF(C840="","",IF(G840&lt;&gt;"",G840,IFERROR(INDEX(Materials!$W$5:$W$254,MATCH(C840,Materials!$A$5:$A$254,0)),DefaultWaste)))</f>
        <v>0</v>
      </c>
      <c r="K840" s="36">
        <f>IF(C840="","",IF(F840="","",ROUND(F840*(1+J840),4)))</f>
        <v>0</v>
      </c>
      <c r="L840" s="45">
        <f>IF(C840="","",IFERROR(INDEX(Materials!$S$5:$S$254,MATCH(C840,Materials!$A$5:$A$254,0)),""))</f>
        <v>0</v>
      </c>
      <c r="M840" s="45">
        <f>IF(C840="","",IF(OR(K840="",L840=""),"",ROUND(K840*L840,4)))</f>
        <v>0</v>
      </c>
      <c r="N840" s="20">
        <f>IF(A840="","",ROUND(SUMIFS('Material Usage'!$M$5:$M$904,'Material Usage'!$A$5:$A$904,A840),2))</f>
        <v>0</v>
      </c>
      <c r="O840" s="33">
        <f>IF(A840="","",IF(OR(M840="",N840="",N840=0),"",M840/N840))</f>
        <v>0</v>
      </c>
      <c r="P840" s="32">
        <f>IF(A840="","",COUNTIFS($A$5:A840,A840))</f>
        <v>0</v>
      </c>
      <c r="Q840" s="13">
        <f>IF(A840="","",A840&amp;"|"&amp;P840)</f>
        <v>0</v>
      </c>
      <c r="R840" s="43">
        <f>IF(AND(A840="",C840=""),"",IF(A840="","Add - which product?",IF(C840="","Add - which material?",IF(B840="Not found","Check - no such product ID",IF(D840="Add to Materials","Check - no such material ID",IF(OR(F840="",F840=0),"Add - how much?",IF(L840="","Check - that material has no price","OK")))))))</f>
        <v>0</v>
      </c>
    </row>
    <row r="841" spans="2:18">
      <c r="B841" s="13">
        <f>IF(A841="","",IFERROR(INDEX(Products!$B$5:$B$304,MATCH(A841,Products!$A$5:$A$304,0)),"Not found"))</f>
        <v>0</v>
      </c>
      <c r="D841" s="13">
        <f>IF(C841="","",IFERROR(INDEX(Materials!$B$5:$B$254,MATCH(C841,Materials!$A$5:$A$254,0)),"Add to Materials"))</f>
        <v>0</v>
      </c>
      <c r="E841" s="13">
        <f>IF(C841="","",IFERROR(INDEX(Materials!$H$5:$H$254,MATCH(C841,Materials!$A$5:$A$254,0)),"Add to Materials"))</f>
        <v>0</v>
      </c>
      <c r="J841" s="33">
        <f>IF(C841="","",IF(G841&lt;&gt;"",G841,IFERROR(INDEX(Materials!$W$5:$W$254,MATCH(C841,Materials!$A$5:$A$254,0)),DefaultWaste)))</f>
        <v>0</v>
      </c>
      <c r="K841" s="36">
        <f>IF(C841="","",IF(F841="","",ROUND(F841*(1+J841),4)))</f>
        <v>0</v>
      </c>
      <c r="L841" s="45">
        <f>IF(C841="","",IFERROR(INDEX(Materials!$S$5:$S$254,MATCH(C841,Materials!$A$5:$A$254,0)),""))</f>
        <v>0</v>
      </c>
      <c r="M841" s="45">
        <f>IF(C841="","",IF(OR(K841="",L841=""),"",ROUND(K841*L841,4)))</f>
        <v>0</v>
      </c>
      <c r="N841" s="20">
        <f>IF(A841="","",ROUND(SUMIFS('Material Usage'!$M$5:$M$904,'Material Usage'!$A$5:$A$904,A841),2))</f>
        <v>0</v>
      </c>
      <c r="O841" s="33">
        <f>IF(A841="","",IF(OR(M841="",N841="",N841=0),"",M841/N841))</f>
        <v>0</v>
      </c>
      <c r="P841" s="32">
        <f>IF(A841="","",COUNTIFS($A$5:A841,A841))</f>
        <v>0</v>
      </c>
      <c r="Q841" s="13">
        <f>IF(A841="","",A841&amp;"|"&amp;P841)</f>
        <v>0</v>
      </c>
      <c r="R841" s="43">
        <f>IF(AND(A841="",C841=""),"",IF(A841="","Add - which product?",IF(C841="","Add - which material?",IF(B841="Not found","Check - no such product ID",IF(D841="Add to Materials","Check - no such material ID",IF(OR(F841="",F841=0),"Add - how much?",IF(L841="","Check - that material has no price","OK")))))))</f>
        <v>0</v>
      </c>
    </row>
    <row r="842" spans="2:18">
      <c r="B842" s="13">
        <f>IF(A842="","",IFERROR(INDEX(Products!$B$5:$B$304,MATCH(A842,Products!$A$5:$A$304,0)),"Not found"))</f>
        <v>0</v>
      </c>
      <c r="D842" s="13">
        <f>IF(C842="","",IFERROR(INDEX(Materials!$B$5:$B$254,MATCH(C842,Materials!$A$5:$A$254,0)),"Add to Materials"))</f>
        <v>0</v>
      </c>
      <c r="E842" s="13">
        <f>IF(C842="","",IFERROR(INDEX(Materials!$H$5:$H$254,MATCH(C842,Materials!$A$5:$A$254,0)),"Add to Materials"))</f>
        <v>0</v>
      </c>
      <c r="J842" s="33">
        <f>IF(C842="","",IF(G842&lt;&gt;"",G842,IFERROR(INDEX(Materials!$W$5:$W$254,MATCH(C842,Materials!$A$5:$A$254,0)),DefaultWaste)))</f>
        <v>0</v>
      </c>
      <c r="K842" s="36">
        <f>IF(C842="","",IF(F842="","",ROUND(F842*(1+J842),4)))</f>
        <v>0</v>
      </c>
      <c r="L842" s="45">
        <f>IF(C842="","",IFERROR(INDEX(Materials!$S$5:$S$254,MATCH(C842,Materials!$A$5:$A$254,0)),""))</f>
        <v>0</v>
      </c>
      <c r="M842" s="45">
        <f>IF(C842="","",IF(OR(K842="",L842=""),"",ROUND(K842*L842,4)))</f>
        <v>0</v>
      </c>
      <c r="N842" s="20">
        <f>IF(A842="","",ROUND(SUMIFS('Material Usage'!$M$5:$M$904,'Material Usage'!$A$5:$A$904,A842),2))</f>
        <v>0</v>
      </c>
      <c r="O842" s="33">
        <f>IF(A842="","",IF(OR(M842="",N842="",N842=0),"",M842/N842))</f>
        <v>0</v>
      </c>
      <c r="P842" s="32">
        <f>IF(A842="","",COUNTIFS($A$5:A842,A842))</f>
        <v>0</v>
      </c>
      <c r="Q842" s="13">
        <f>IF(A842="","",A842&amp;"|"&amp;P842)</f>
        <v>0</v>
      </c>
      <c r="R842" s="43">
        <f>IF(AND(A842="",C842=""),"",IF(A842="","Add - which product?",IF(C842="","Add - which material?",IF(B842="Not found","Check - no such product ID",IF(D842="Add to Materials","Check - no such material ID",IF(OR(F842="",F842=0),"Add - how much?",IF(L842="","Check - that material has no price","OK")))))))</f>
        <v>0</v>
      </c>
    </row>
    <row r="843" spans="2:18">
      <c r="B843" s="13">
        <f>IF(A843="","",IFERROR(INDEX(Products!$B$5:$B$304,MATCH(A843,Products!$A$5:$A$304,0)),"Not found"))</f>
        <v>0</v>
      </c>
      <c r="D843" s="13">
        <f>IF(C843="","",IFERROR(INDEX(Materials!$B$5:$B$254,MATCH(C843,Materials!$A$5:$A$254,0)),"Add to Materials"))</f>
        <v>0</v>
      </c>
      <c r="E843" s="13">
        <f>IF(C843="","",IFERROR(INDEX(Materials!$H$5:$H$254,MATCH(C843,Materials!$A$5:$A$254,0)),"Add to Materials"))</f>
        <v>0</v>
      </c>
      <c r="J843" s="33">
        <f>IF(C843="","",IF(G843&lt;&gt;"",G843,IFERROR(INDEX(Materials!$W$5:$W$254,MATCH(C843,Materials!$A$5:$A$254,0)),DefaultWaste)))</f>
        <v>0</v>
      </c>
      <c r="K843" s="36">
        <f>IF(C843="","",IF(F843="","",ROUND(F843*(1+J843),4)))</f>
        <v>0</v>
      </c>
      <c r="L843" s="45">
        <f>IF(C843="","",IFERROR(INDEX(Materials!$S$5:$S$254,MATCH(C843,Materials!$A$5:$A$254,0)),""))</f>
        <v>0</v>
      </c>
      <c r="M843" s="45">
        <f>IF(C843="","",IF(OR(K843="",L843=""),"",ROUND(K843*L843,4)))</f>
        <v>0</v>
      </c>
      <c r="N843" s="20">
        <f>IF(A843="","",ROUND(SUMIFS('Material Usage'!$M$5:$M$904,'Material Usage'!$A$5:$A$904,A843),2))</f>
        <v>0</v>
      </c>
      <c r="O843" s="33">
        <f>IF(A843="","",IF(OR(M843="",N843="",N843=0),"",M843/N843))</f>
        <v>0</v>
      </c>
      <c r="P843" s="32">
        <f>IF(A843="","",COUNTIFS($A$5:A843,A843))</f>
        <v>0</v>
      </c>
      <c r="Q843" s="13">
        <f>IF(A843="","",A843&amp;"|"&amp;P843)</f>
        <v>0</v>
      </c>
      <c r="R843" s="43">
        <f>IF(AND(A843="",C843=""),"",IF(A843="","Add - which product?",IF(C843="","Add - which material?",IF(B843="Not found","Check - no such product ID",IF(D843="Add to Materials","Check - no such material ID",IF(OR(F843="",F843=0),"Add - how much?",IF(L843="","Check - that material has no price","OK")))))))</f>
        <v>0</v>
      </c>
    </row>
    <row r="844" spans="2:18">
      <c r="B844" s="13">
        <f>IF(A844="","",IFERROR(INDEX(Products!$B$5:$B$304,MATCH(A844,Products!$A$5:$A$304,0)),"Not found"))</f>
        <v>0</v>
      </c>
      <c r="D844" s="13">
        <f>IF(C844="","",IFERROR(INDEX(Materials!$B$5:$B$254,MATCH(C844,Materials!$A$5:$A$254,0)),"Add to Materials"))</f>
        <v>0</v>
      </c>
      <c r="E844" s="13">
        <f>IF(C844="","",IFERROR(INDEX(Materials!$H$5:$H$254,MATCH(C844,Materials!$A$5:$A$254,0)),"Add to Materials"))</f>
        <v>0</v>
      </c>
      <c r="J844" s="33">
        <f>IF(C844="","",IF(G844&lt;&gt;"",G844,IFERROR(INDEX(Materials!$W$5:$W$254,MATCH(C844,Materials!$A$5:$A$254,0)),DefaultWaste)))</f>
        <v>0</v>
      </c>
      <c r="K844" s="36">
        <f>IF(C844="","",IF(F844="","",ROUND(F844*(1+J844),4)))</f>
        <v>0</v>
      </c>
      <c r="L844" s="45">
        <f>IF(C844="","",IFERROR(INDEX(Materials!$S$5:$S$254,MATCH(C844,Materials!$A$5:$A$254,0)),""))</f>
        <v>0</v>
      </c>
      <c r="M844" s="45">
        <f>IF(C844="","",IF(OR(K844="",L844=""),"",ROUND(K844*L844,4)))</f>
        <v>0</v>
      </c>
      <c r="N844" s="20">
        <f>IF(A844="","",ROUND(SUMIFS('Material Usage'!$M$5:$M$904,'Material Usage'!$A$5:$A$904,A844),2))</f>
        <v>0</v>
      </c>
      <c r="O844" s="33">
        <f>IF(A844="","",IF(OR(M844="",N844="",N844=0),"",M844/N844))</f>
        <v>0</v>
      </c>
      <c r="P844" s="32">
        <f>IF(A844="","",COUNTIFS($A$5:A844,A844))</f>
        <v>0</v>
      </c>
      <c r="Q844" s="13">
        <f>IF(A844="","",A844&amp;"|"&amp;P844)</f>
        <v>0</v>
      </c>
      <c r="R844" s="43">
        <f>IF(AND(A844="",C844=""),"",IF(A844="","Add - which product?",IF(C844="","Add - which material?",IF(B844="Not found","Check - no such product ID",IF(D844="Add to Materials","Check - no such material ID",IF(OR(F844="",F844=0),"Add - how much?",IF(L844="","Check - that material has no price","OK")))))))</f>
        <v>0</v>
      </c>
    </row>
    <row r="845" spans="2:18">
      <c r="B845" s="13">
        <f>IF(A845="","",IFERROR(INDEX(Products!$B$5:$B$304,MATCH(A845,Products!$A$5:$A$304,0)),"Not found"))</f>
        <v>0</v>
      </c>
      <c r="D845" s="13">
        <f>IF(C845="","",IFERROR(INDEX(Materials!$B$5:$B$254,MATCH(C845,Materials!$A$5:$A$254,0)),"Add to Materials"))</f>
        <v>0</v>
      </c>
      <c r="E845" s="13">
        <f>IF(C845="","",IFERROR(INDEX(Materials!$H$5:$H$254,MATCH(C845,Materials!$A$5:$A$254,0)),"Add to Materials"))</f>
        <v>0</v>
      </c>
      <c r="J845" s="33">
        <f>IF(C845="","",IF(G845&lt;&gt;"",G845,IFERROR(INDEX(Materials!$W$5:$W$254,MATCH(C845,Materials!$A$5:$A$254,0)),DefaultWaste)))</f>
        <v>0</v>
      </c>
      <c r="K845" s="36">
        <f>IF(C845="","",IF(F845="","",ROUND(F845*(1+J845),4)))</f>
        <v>0</v>
      </c>
      <c r="L845" s="45">
        <f>IF(C845="","",IFERROR(INDEX(Materials!$S$5:$S$254,MATCH(C845,Materials!$A$5:$A$254,0)),""))</f>
        <v>0</v>
      </c>
      <c r="M845" s="45">
        <f>IF(C845="","",IF(OR(K845="",L845=""),"",ROUND(K845*L845,4)))</f>
        <v>0</v>
      </c>
      <c r="N845" s="20">
        <f>IF(A845="","",ROUND(SUMIFS('Material Usage'!$M$5:$M$904,'Material Usage'!$A$5:$A$904,A845),2))</f>
        <v>0</v>
      </c>
      <c r="O845" s="33">
        <f>IF(A845="","",IF(OR(M845="",N845="",N845=0),"",M845/N845))</f>
        <v>0</v>
      </c>
      <c r="P845" s="32">
        <f>IF(A845="","",COUNTIFS($A$5:A845,A845))</f>
        <v>0</v>
      </c>
      <c r="Q845" s="13">
        <f>IF(A845="","",A845&amp;"|"&amp;P845)</f>
        <v>0</v>
      </c>
      <c r="R845" s="43">
        <f>IF(AND(A845="",C845=""),"",IF(A845="","Add - which product?",IF(C845="","Add - which material?",IF(B845="Not found","Check - no such product ID",IF(D845="Add to Materials","Check - no such material ID",IF(OR(F845="",F845=0),"Add - how much?",IF(L845="","Check - that material has no price","OK")))))))</f>
        <v>0</v>
      </c>
    </row>
    <row r="846" spans="2:18">
      <c r="B846" s="13">
        <f>IF(A846="","",IFERROR(INDEX(Products!$B$5:$B$304,MATCH(A846,Products!$A$5:$A$304,0)),"Not found"))</f>
        <v>0</v>
      </c>
      <c r="D846" s="13">
        <f>IF(C846="","",IFERROR(INDEX(Materials!$B$5:$B$254,MATCH(C846,Materials!$A$5:$A$254,0)),"Add to Materials"))</f>
        <v>0</v>
      </c>
      <c r="E846" s="13">
        <f>IF(C846="","",IFERROR(INDEX(Materials!$H$5:$H$254,MATCH(C846,Materials!$A$5:$A$254,0)),"Add to Materials"))</f>
        <v>0</v>
      </c>
      <c r="J846" s="33">
        <f>IF(C846="","",IF(G846&lt;&gt;"",G846,IFERROR(INDEX(Materials!$W$5:$W$254,MATCH(C846,Materials!$A$5:$A$254,0)),DefaultWaste)))</f>
        <v>0</v>
      </c>
      <c r="K846" s="36">
        <f>IF(C846="","",IF(F846="","",ROUND(F846*(1+J846),4)))</f>
        <v>0</v>
      </c>
      <c r="L846" s="45">
        <f>IF(C846="","",IFERROR(INDEX(Materials!$S$5:$S$254,MATCH(C846,Materials!$A$5:$A$254,0)),""))</f>
        <v>0</v>
      </c>
      <c r="M846" s="45">
        <f>IF(C846="","",IF(OR(K846="",L846=""),"",ROUND(K846*L846,4)))</f>
        <v>0</v>
      </c>
      <c r="N846" s="20">
        <f>IF(A846="","",ROUND(SUMIFS('Material Usage'!$M$5:$M$904,'Material Usage'!$A$5:$A$904,A846),2))</f>
        <v>0</v>
      </c>
      <c r="O846" s="33">
        <f>IF(A846="","",IF(OR(M846="",N846="",N846=0),"",M846/N846))</f>
        <v>0</v>
      </c>
      <c r="P846" s="32">
        <f>IF(A846="","",COUNTIFS($A$5:A846,A846))</f>
        <v>0</v>
      </c>
      <c r="Q846" s="13">
        <f>IF(A846="","",A846&amp;"|"&amp;P846)</f>
        <v>0</v>
      </c>
      <c r="R846" s="43">
        <f>IF(AND(A846="",C846=""),"",IF(A846="","Add - which product?",IF(C846="","Add - which material?",IF(B846="Not found","Check - no such product ID",IF(D846="Add to Materials","Check - no such material ID",IF(OR(F846="",F846=0),"Add - how much?",IF(L846="","Check - that material has no price","OK")))))))</f>
        <v>0</v>
      </c>
    </row>
    <row r="847" spans="2:18">
      <c r="B847" s="13">
        <f>IF(A847="","",IFERROR(INDEX(Products!$B$5:$B$304,MATCH(A847,Products!$A$5:$A$304,0)),"Not found"))</f>
        <v>0</v>
      </c>
      <c r="D847" s="13">
        <f>IF(C847="","",IFERROR(INDEX(Materials!$B$5:$B$254,MATCH(C847,Materials!$A$5:$A$254,0)),"Add to Materials"))</f>
        <v>0</v>
      </c>
      <c r="E847" s="13">
        <f>IF(C847="","",IFERROR(INDEX(Materials!$H$5:$H$254,MATCH(C847,Materials!$A$5:$A$254,0)),"Add to Materials"))</f>
        <v>0</v>
      </c>
      <c r="J847" s="33">
        <f>IF(C847="","",IF(G847&lt;&gt;"",G847,IFERROR(INDEX(Materials!$W$5:$W$254,MATCH(C847,Materials!$A$5:$A$254,0)),DefaultWaste)))</f>
        <v>0</v>
      </c>
      <c r="K847" s="36">
        <f>IF(C847="","",IF(F847="","",ROUND(F847*(1+J847),4)))</f>
        <v>0</v>
      </c>
      <c r="L847" s="45">
        <f>IF(C847="","",IFERROR(INDEX(Materials!$S$5:$S$254,MATCH(C847,Materials!$A$5:$A$254,0)),""))</f>
        <v>0</v>
      </c>
      <c r="M847" s="45">
        <f>IF(C847="","",IF(OR(K847="",L847=""),"",ROUND(K847*L847,4)))</f>
        <v>0</v>
      </c>
      <c r="N847" s="20">
        <f>IF(A847="","",ROUND(SUMIFS('Material Usage'!$M$5:$M$904,'Material Usage'!$A$5:$A$904,A847),2))</f>
        <v>0</v>
      </c>
      <c r="O847" s="33">
        <f>IF(A847="","",IF(OR(M847="",N847="",N847=0),"",M847/N847))</f>
        <v>0</v>
      </c>
      <c r="P847" s="32">
        <f>IF(A847="","",COUNTIFS($A$5:A847,A847))</f>
        <v>0</v>
      </c>
      <c r="Q847" s="13">
        <f>IF(A847="","",A847&amp;"|"&amp;P847)</f>
        <v>0</v>
      </c>
      <c r="R847" s="43">
        <f>IF(AND(A847="",C847=""),"",IF(A847="","Add - which product?",IF(C847="","Add - which material?",IF(B847="Not found","Check - no such product ID",IF(D847="Add to Materials","Check - no such material ID",IF(OR(F847="",F847=0),"Add - how much?",IF(L847="","Check - that material has no price","OK")))))))</f>
        <v>0</v>
      </c>
    </row>
    <row r="848" spans="2:18">
      <c r="B848" s="13">
        <f>IF(A848="","",IFERROR(INDEX(Products!$B$5:$B$304,MATCH(A848,Products!$A$5:$A$304,0)),"Not found"))</f>
        <v>0</v>
      </c>
      <c r="D848" s="13">
        <f>IF(C848="","",IFERROR(INDEX(Materials!$B$5:$B$254,MATCH(C848,Materials!$A$5:$A$254,0)),"Add to Materials"))</f>
        <v>0</v>
      </c>
      <c r="E848" s="13">
        <f>IF(C848="","",IFERROR(INDEX(Materials!$H$5:$H$254,MATCH(C848,Materials!$A$5:$A$254,0)),"Add to Materials"))</f>
        <v>0</v>
      </c>
      <c r="J848" s="33">
        <f>IF(C848="","",IF(G848&lt;&gt;"",G848,IFERROR(INDEX(Materials!$W$5:$W$254,MATCH(C848,Materials!$A$5:$A$254,0)),DefaultWaste)))</f>
        <v>0</v>
      </c>
      <c r="K848" s="36">
        <f>IF(C848="","",IF(F848="","",ROUND(F848*(1+J848),4)))</f>
        <v>0</v>
      </c>
      <c r="L848" s="45">
        <f>IF(C848="","",IFERROR(INDEX(Materials!$S$5:$S$254,MATCH(C848,Materials!$A$5:$A$254,0)),""))</f>
        <v>0</v>
      </c>
      <c r="M848" s="45">
        <f>IF(C848="","",IF(OR(K848="",L848=""),"",ROUND(K848*L848,4)))</f>
        <v>0</v>
      </c>
      <c r="N848" s="20">
        <f>IF(A848="","",ROUND(SUMIFS('Material Usage'!$M$5:$M$904,'Material Usage'!$A$5:$A$904,A848),2))</f>
        <v>0</v>
      </c>
      <c r="O848" s="33">
        <f>IF(A848="","",IF(OR(M848="",N848="",N848=0),"",M848/N848))</f>
        <v>0</v>
      </c>
      <c r="P848" s="32">
        <f>IF(A848="","",COUNTIFS($A$5:A848,A848))</f>
        <v>0</v>
      </c>
      <c r="Q848" s="13">
        <f>IF(A848="","",A848&amp;"|"&amp;P848)</f>
        <v>0</v>
      </c>
      <c r="R848" s="43">
        <f>IF(AND(A848="",C848=""),"",IF(A848="","Add - which product?",IF(C848="","Add - which material?",IF(B848="Not found","Check - no such product ID",IF(D848="Add to Materials","Check - no such material ID",IF(OR(F848="",F848=0),"Add - how much?",IF(L848="","Check - that material has no price","OK")))))))</f>
        <v>0</v>
      </c>
    </row>
    <row r="849" spans="2:18">
      <c r="B849" s="13">
        <f>IF(A849="","",IFERROR(INDEX(Products!$B$5:$B$304,MATCH(A849,Products!$A$5:$A$304,0)),"Not found"))</f>
        <v>0</v>
      </c>
      <c r="D849" s="13">
        <f>IF(C849="","",IFERROR(INDEX(Materials!$B$5:$B$254,MATCH(C849,Materials!$A$5:$A$254,0)),"Add to Materials"))</f>
        <v>0</v>
      </c>
      <c r="E849" s="13">
        <f>IF(C849="","",IFERROR(INDEX(Materials!$H$5:$H$254,MATCH(C849,Materials!$A$5:$A$254,0)),"Add to Materials"))</f>
        <v>0</v>
      </c>
      <c r="J849" s="33">
        <f>IF(C849="","",IF(G849&lt;&gt;"",G849,IFERROR(INDEX(Materials!$W$5:$W$254,MATCH(C849,Materials!$A$5:$A$254,0)),DefaultWaste)))</f>
        <v>0</v>
      </c>
      <c r="K849" s="36">
        <f>IF(C849="","",IF(F849="","",ROUND(F849*(1+J849),4)))</f>
        <v>0</v>
      </c>
      <c r="L849" s="45">
        <f>IF(C849="","",IFERROR(INDEX(Materials!$S$5:$S$254,MATCH(C849,Materials!$A$5:$A$254,0)),""))</f>
        <v>0</v>
      </c>
      <c r="M849" s="45">
        <f>IF(C849="","",IF(OR(K849="",L849=""),"",ROUND(K849*L849,4)))</f>
        <v>0</v>
      </c>
      <c r="N849" s="20">
        <f>IF(A849="","",ROUND(SUMIFS('Material Usage'!$M$5:$M$904,'Material Usage'!$A$5:$A$904,A849),2))</f>
        <v>0</v>
      </c>
      <c r="O849" s="33">
        <f>IF(A849="","",IF(OR(M849="",N849="",N849=0),"",M849/N849))</f>
        <v>0</v>
      </c>
      <c r="P849" s="32">
        <f>IF(A849="","",COUNTIFS($A$5:A849,A849))</f>
        <v>0</v>
      </c>
      <c r="Q849" s="13">
        <f>IF(A849="","",A849&amp;"|"&amp;P849)</f>
        <v>0</v>
      </c>
      <c r="R849" s="43">
        <f>IF(AND(A849="",C849=""),"",IF(A849="","Add - which product?",IF(C849="","Add - which material?",IF(B849="Not found","Check - no such product ID",IF(D849="Add to Materials","Check - no such material ID",IF(OR(F849="",F849=0),"Add - how much?",IF(L849="","Check - that material has no price","OK")))))))</f>
        <v>0</v>
      </c>
    </row>
    <row r="850" spans="2:18">
      <c r="B850" s="13">
        <f>IF(A850="","",IFERROR(INDEX(Products!$B$5:$B$304,MATCH(A850,Products!$A$5:$A$304,0)),"Not found"))</f>
        <v>0</v>
      </c>
      <c r="D850" s="13">
        <f>IF(C850="","",IFERROR(INDEX(Materials!$B$5:$B$254,MATCH(C850,Materials!$A$5:$A$254,0)),"Add to Materials"))</f>
        <v>0</v>
      </c>
      <c r="E850" s="13">
        <f>IF(C850="","",IFERROR(INDEX(Materials!$H$5:$H$254,MATCH(C850,Materials!$A$5:$A$254,0)),"Add to Materials"))</f>
        <v>0</v>
      </c>
      <c r="J850" s="33">
        <f>IF(C850="","",IF(G850&lt;&gt;"",G850,IFERROR(INDEX(Materials!$W$5:$W$254,MATCH(C850,Materials!$A$5:$A$254,0)),DefaultWaste)))</f>
        <v>0</v>
      </c>
      <c r="K850" s="36">
        <f>IF(C850="","",IF(F850="","",ROUND(F850*(1+J850),4)))</f>
        <v>0</v>
      </c>
      <c r="L850" s="45">
        <f>IF(C850="","",IFERROR(INDEX(Materials!$S$5:$S$254,MATCH(C850,Materials!$A$5:$A$254,0)),""))</f>
        <v>0</v>
      </c>
      <c r="M850" s="45">
        <f>IF(C850="","",IF(OR(K850="",L850=""),"",ROUND(K850*L850,4)))</f>
        <v>0</v>
      </c>
      <c r="N850" s="20">
        <f>IF(A850="","",ROUND(SUMIFS('Material Usage'!$M$5:$M$904,'Material Usage'!$A$5:$A$904,A850),2))</f>
        <v>0</v>
      </c>
      <c r="O850" s="33">
        <f>IF(A850="","",IF(OR(M850="",N850="",N850=0),"",M850/N850))</f>
        <v>0</v>
      </c>
      <c r="P850" s="32">
        <f>IF(A850="","",COUNTIFS($A$5:A850,A850))</f>
        <v>0</v>
      </c>
      <c r="Q850" s="13">
        <f>IF(A850="","",A850&amp;"|"&amp;P850)</f>
        <v>0</v>
      </c>
      <c r="R850" s="43">
        <f>IF(AND(A850="",C850=""),"",IF(A850="","Add - which product?",IF(C850="","Add - which material?",IF(B850="Not found","Check - no such product ID",IF(D850="Add to Materials","Check - no such material ID",IF(OR(F850="",F850=0),"Add - how much?",IF(L850="","Check - that material has no price","OK")))))))</f>
        <v>0</v>
      </c>
    </row>
    <row r="851" spans="2:18">
      <c r="B851" s="13">
        <f>IF(A851="","",IFERROR(INDEX(Products!$B$5:$B$304,MATCH(A851,Products!$A$5:$A$304,0)),"Not found"))</f>
        <v>0</v>
      </c>
      <c r="D851" s="13">
        <f>IF(C851="","",IFERROR(INDEX(Materials!$B$5:$B$254,MATCH(C851,Materials!$A$5:$A$254,0)),"Add to Materials"))</f>
        <v>0</v>
      </c>
      <c r="E851" s="13">
        <f>IF(C851="","",IFERROR(INDEX(Materials!$H$5:$H$254,MATCH(C851,Materials!$A$5:$A$254,0)),"Add to Materials"))</f>
        <v>0</v>
      </c>
      <c r="J851" s="33">
        <f>IF(C851="","",IF(G851&lt;&gt;"",G851,IFERROR(INDEX(Materials!$W$5:$W$254,MATCH(C851,Materials!$A$5:$A$254,0)),DefaultWaste)))</f>
        <v>0</v>
      </c>
      <c r="K851" s="36">
        <f>IF(C851="","",IF(F851="","",ROUND(F851*(1+J851),4)))</f>
        <v>0</v>
      </c>
      <c r="L851" s="45">
        <f>IF(C851="","",IFERROR(INDEX(Materials!$S$5:$S$254,MATCH(C851,Materials!$A$5:$A$254,0)),""))</f>
        <v>0</v>
      </c>
      <c r="M851" s="45">
        <f>IF(C851="","",IF(OR(K851="",L851=""),"",ROUND(K851*L851,4)))</f>
        <v>0</v>
      </c>
      <c r="N851" s="20">
        <f>IF(A851="","",ROUND(SUMIFS('Material Usage'!$M$5:$M$904,'Material Usage'!$A$5:$A$904,A851),2))</f>
        <v>0</v>
      </c>
      <c r="O851" s="33">
        <f>IF(A851="","",IF(OR(M851="",N851="",N851=0),"",M851/N851))</f>
        <v>0</v>
      </c>
      <c r="P851" s="32">
        <f>IF(A851="","",COUNTIFS($A$5:A851,A851))</f>
        <v>0</v>
      </c>
      <c r="Q851" s="13">
        <f>IF(A851="","",A851&amp;"|"&amp;P851)</f>
        <v>0</v>
      </c>
      <c r="R851" s="43">
        <f>IF(AND(A851="",C851=""),"",IF(A851="","Add - which product?",IF(C851="","Add - which material?",IF(B851="Not found","Check - no such product ID",IF(D851="Add to Materials","Check - no such material ID",IF(OR(F851="",F851=0),"Add - how much?",IF(L851="","Check - that material has no price","OK")))))))</f>
        <v>0</v>
      </c>
    </row>
    <row r="852" spans="2:18">
      <c r="B852" s="13">
        <f>IF(A852="","",IFERROR(INDEX(Products!$B$5:$B$304,MATCH(A852,Products!$A$5:$A$304,0)),"Not found"))</f>
        <v>0</v>
      </c>
      <c r="D852" s="13">
        <f>IF(C852="","",IFERROR(INDEX(Materials!$B$5:$B$254,MATCH(C852,Materials!$A$5:$A$254,0)),"Add to Materials"))</f>
        <v>0</v>
      </c>
      <c r="E852" s="13">
        <f>IF(C852="","",IFERROR(INDEX(Materials!$H$5:$H$254,MATCH(C852,Materials!$A$5:$A$254,0)),"Add to Materials"))</f>
        <v>0</v>
      </c>
      <c r="J852" s="33">
        <f>IF(C852="","",IF(G852&lt;&gt;"",G852,IFERROR(INDEX(Materials!$W$5:$W$254,MATCH(C852,Materials!$A$5:$A$254,0)),DefaultWaste)))</f>
        <v>0</v>
      </c>
      <c r="K852" s="36">
        <f>IF(C852="","",IF(F852="","",ROUND(F852*(1+J852),4)))</f>
        <v>0</v>
      </c>
      <c r="L852" s="45">
        <f>IF(C852="","",IFERROR(INDEX(Materials!$S$5:$S$254,MATCH(C852,Materials!$A$5:$A$254,0)),""))</f>
        <v>0</v>
      </c>
      <c r="M852" s="45">
        <f>IF(C852="","",IF(OR(K852="",L852=""),"",ROUND(K852*L852,4)))</f>
        <v>0</v>
      </c>
      <c r="N852" s="20">
        <f>IF(A852="","",ROUND(SUMIFS('Material Usage'!$M$5:$M$904,'Material Usage'!$A$5:$A$904,A852),2))</f>
        <v>0</v>
      </c>
      <c r="O852" s="33">
        <f>IF(A852="","",IF(OR(M852="",N852="",N852=0),"",M852/N852))</f>
        <v>0</v>
      </c>
      <c r="P852" s="32">
        <f>IF(A852="","",COUNTIFS($A$5:A852,A852))</f>
        <v>0</v>
      </c>
      <c r="Q852" s="13">
        <f>IF(A852="","",A852&amp;"|"&amp;P852)</f>
        <v>0</v>
      </c>
      <c r="R852" s="43">
        <f>IF(AND(A852="",C852=""),"",IF(A852="","Add - which product?",IF(C852="","Add - which material?",IF(B852="Not found","Check - no such product ID",IF(D852="Add to Materials","Check - no such material ID",IF(OR(F852="",F852=0),"Add - how much?",IF(L852="","Check - that material has no price","OK")))))))</f>
        <v>0</v>
      </c>
    </row>
    <row r="853" spans="2:18">
      <c r="B853" s="13">
        <f>IF(A853="","",IFERROR(INDEX(Products!$B$5:$B$304,MATCH(A853,Products!$A$5:$A$304,0)),"Not found"))</f>
        <v>0</v>
      </c>
      <c r="D853" s="13">
        <f>IF(C853="","",IFERROR(INDEX(Materials!$B$5:$B$254,MATCH(C853,Materials!$A$5:$A$254,0)),"Add to Materials"))</f>
        <v>0</v>
      </c>
      <c r="E853" s="13">
        <f>IF(C853="","",IFERROR(INDEX(Materials!$H$5:$H$254,MATCH(C853,Materials!$A$5:$A$254,0)),"Add to Materials"))</f>
        <v>0</v>
      </c>
      <c r="J853" s="33">
        <f>IF(C853="","",IF(G853&lt;&gt;"",G853,IFERROR(INDEX(Materials!$W$5:$W$254,MATCH(C853,Materials!$A$5:$A$254,0)),DefaultWaste)))</f>
        <v>0</v>
      </c>
      <c r="K853" s="36">
        <f>IF(C853="","",IF(F853="","",ROUND(F853*(1+J853),4)))</f>
        <v>0</v>
      </c>
      <c r="L853" s="45">
        <f>IF(C853="","",IFERROR(INDEX(Materials!$S$5:$S$254,MATCH(C853,Materials!$A$5:$A$254,0)),""))</f>
        <v>0</v>
      </c>
      <c r="M853" s="45">
        <f>IF(C853="","",IF(OR(K853="",L853=""),"",ROUND(K853*L853,4)))</f>
        <v>0</v>
      </c>
      <c r="N853" s="20">
        <f>IF(A853="","",ROUND(SUMIFS('Material Usage'!$M$5:$M$904,'Material Usage'!$A$5:$A$904,A853),2))</f>
        <v>0</v>
      </c>
      <c r="O853" s="33">
        <f>IF(A853="","",IF(OR(M853="",N853="",N853=0),"",M853/N853))</f>
        <v>0</v>
      </c>
      <c r="P853" s="32">
        <f>IF(A853="","",COUNTIFS($A$5:A853,A853))</f>
        <v>0</v>
      </c>
      <c r="Q853" s="13">
        <f>IF(A853="","",A853&amp;"|"&amp;P853)</f>
        <v>0</v>
      </c>
      <c r="R853" s="43">
        <f>IF(AND(A853="",C853=""),"",IF(A853="","Add - which product?",IF(C853="","Add - which material?",IF(B853="Not found","Check - no such product ID",IF(D853="Add to Materials","Check - no such material ID",IF(OR(F853="",F853=0),"Add - how much?",IF(L853="","Check - that material has no price","OK")))))))</f>
        <v>0</v>
      </c>
    </row>
    <row r="854" spans="2:18">
      <c r="B854" s="13">
        <f>IF(A854="","",IFERROR(INDEX(Products!$B$5:$B$304,MATCH(A854,Products!$A$5:$A$304,0)),"Not found"))</f>
        <v>0</v>
      </c>
      <c r="D854" s="13">
        <f>IF(C854="","",IFERROR(INDEX(Materials!$B$5:$B$254,MATCH(C854,Materials!$A$5:$A$254,0)),"Add to Materials"))</f>
        <v>0</v>
      </c>
      <c r="E854" s="13">
        <f>IF(C854="","",IFERROR(INDEX(Materials!$H$5:$H$254,MATCH(C854,Materials!$A$5:$A$254,0)),"Add to Materials"))</f>
        <v>0</v>
      </c>
      <c r="J854" s="33">
        <f>IF(C854="","",IF(G854&lt;&gt;"",G854,IFERROR(INDEX(Materials!$W$5:$W$254,MATCH(C854,Materials!$A$5:$A$254,0)),DefaultWaste)))</f>
        <v>0</v>
      </c>
      <c r="K854" s="36">
        <f>IF(C854="","",IF(F854="","",ROUND(F854*(1+J854),4)))</f>
        <v>0</v>
      </c>
      <c r="L854" s="45">
        <f>IF(C854="","",IFERROR(INDEX(Materials!$S$5:$S$254,MATCH(C854,Materials!$A$5:$A$254,0)),""))</f>
        <v>0</v>
      </c>
      <c r="M854" s="45">
        <f>IF(C854="","",IF(OR(K854="",L854=""),"",ROUND(K854*L854,4)))</f>
        <v>0</v>
      </c>
      <c r="N854" s="20">
        <f>IF(A854="","",ROUND(SUMIFS('Material Usage'!$M$5:$M$904,'Material Usage'!$A$5:$A$904,A854),2))</f>
        <v>0</v>
      </c>
      <c r="O854" s="33">
        <f>IF(A854="","",IF(OR(M854="",N854="",N854=0),"",M854/N854))</f>
        <v>0</v>
      </c>
      <c r="P854" s="32">
        <f>IF(A854="","",COUNTIFS($A$5:A854,A854))</f>
        <v>0</v>
      </c>
      <c r="Q854" s="13">
        <f>IF(A854="","",A854&amp;"|"&amp;P854)</f>
        <v>0</v>
      </c>
      <c r="R854" s="43">
        <f>IF(AND(A854="",C854=""),"",IF(A854="","Add - which product?",IF(C854="","Add - which material?",IF(B854="Not found","Check - no such product ID",IF(D854="Add to Materials","Check - no such material ID",IF(OR(F854="",F854=0),"Add - how much?",IF(L854="","Check - that material has no price","OK")))))))</f>
        <v>0</v>
      </c>
    </row>
    <row r="855" spans="2:18">
      <c r="B855" s="13">
        <f>IF(A855="","",IFERROR(INDEX(Products!$B$5:$B$304,MATCH(A855,Products!$A$5:$A$304,0)),"Not found"))</f>
        <v>0</v>
      </c>
      <c r="D855" s="13">
        <f>IF(C855="","",IFERROR(INDEX(Materials!$B$5:$B$254,MATCH(C855,Materials!$A$5:$A$254,0)),"Add to Materials"))</f>
        <v>0</v>
      </c>
      <c r="E855" s="13">
        <f>IF(C855="","",IFERROR(INDEX(Materials!$H$5:$H$254,MATCH(C855,Materials!$A$5:$A$254,0)),"Add to Materials"))</f>
        <v>0</v>
      </c>
      <c r="J855" s="33">
        <f>IF(C855="","",IF(G855&lt;&gt;"",G855,IFERROR(INDEX(Materials!$W$5:$W$254,MATCH(C855,Materials!$A$5:$A$254,0)),DefaultWaste)))</f>
        <v>0</v>
      </c>
      <c r="K855" s="36">
        <f>IF(C855="","",IF(F855="","",ROUND(F855*(1+J855),4)))</f>
        <v>0</v>
      </c>
      <c r="L855" s="45">
        <f>IF(C855="","",IFERROR(INDEX(Materials!$S$5:$S$254,MATCH(C855,Materials!$A$5:$A$254,0)),""))</f>
        <v>0</v>
      </c>
      <c r="M855" s="45">
        <f>IF(C855="","",IF(OR(K855="",L855=""),"",ROUND(K855*L855,4)))</f>
        <v>0</v>
      </c>
      <c r="N855" s="20">
        <f>IF(A855="","",ROUND(SUMIFS('Material Usage'!$M$5:$M$904,'Material Usage'!$A$5:$A$904,A855),2))</f>
        <v>0</v>
      </c>
      <c r="O855" s="33">
        <f>IF(A855="","",IF(OR(M855="",N855="",N855=0),"",M855/N855))</f>
        <v>0</v>
      </c>
      <c r="P855" s="32">
        <f>IF(A855="","",COUNTIFS($A$5:A855,A855))</f>
        <v>0</v>
      </c>
      <c r="Q855" s="13">
        <f>IF(A855="","",A855&amp;"|"&amp;P855)</f>
        <v>0</v>
      </c>
      <c r="R855" s="43">
        <f>IF(AND(A855="",C855=""),"",IF(A855="","Add - which product?",IF(C855="","Add - which material?",IF(B855="Not found","Check - no such product ID",IF(D855="Add to Materials","Check - no such material ID",IF(OR(F855="",F855=0),"Add - how much?",IF(L855="","Check - that material has no price","OK")))))))</f>
        <v>0</v>
      </c>
    </row>
    <row r="856" spans="2:18">
      <c r="B856" s="13">
        <f>IF(A856="","",IFERROR(INDEX(Products!$B$5:$B$304,MATCH(A856,Products!$A$5:$A$304,0)),"Not found"))</f>
        <v>0</v>
      </c>
      <c r="D856" s="13">
        <f>IF(C856="","",IFERROR(INDEX(Materials!$B$5:$B$254,MATCH(C856,Materials!$A$5:$A$254,0)),"Add to Materials"))</f>
        <v>0</v>
      </c>
      <c r="E856" s="13">
        <f>IF(C856="","",IFERROR(INDEX(Materials!$H$5:$H$254,MATCH(C856,Materials!$A$5:$A$254,0)),"Add to Materials"))</f>
        <v>0</v>
      </c>
      <c r="J856" s="33">
        <f>IF(C856="","",IF(G856&lt;&gt;"",G856,IFERROR(INDEX(Materials!$W$5:$W$254,MATCH(C856,Materials!$A$5:$A$254,0)),DefaultWaste)))</f>
        <v>0</v>
      </c>
      <c r="K856" s="36">
        <f>IF(C856="","",IF(F856="","",ROUND(F856*(1+J856),4)))</f>
        <v>0</v>
      </c>
      <c r="L856" s="45">
        <f>IF(C856="","",IFERROR(INDEX(Materials!$S$5:$S$254,MATCH(C856,Materials!$A$5:$A$254,0)),""))</f>
        <v>0</v>
      </c>
      <c r="M856" s="45">
        <f>IF(C856="","",IF(OR(K856="",L856=""),"",ROUND(K856*L856,4)))</f>
        <v>0</v>
      </c>
      <c r="N856" s="20">
        <f>IF(A856="","",ROUND(SUMIFS('Material Usage'!$M$5:$M$904,'Material Usage'!$A$5:$A$904,A856),2))</f>
        <v>0</v>
      </c>
      <c r="O856" s="33">
        <f>IF(A856="","",IF(OR(M856="",N856="",N856=0),"",M856/N856))</f>
        <v>0</v>
      </c>
      <c r="P856" s="32">
        <f>IF(A856="","",COUNTIFS($A$5:A856,A856))</f>
        <v>0</v>
      </c>
      <c r="Q856" s="13">
        <f>IF(A856="","",A856&amp;"|"&amp;P856)</f>
        <v>0</v>
      </c>
      <c r="R856" s="43">
        <f>IF(AND(A856="",C856=""),"",IF(A856="","Add - which product?",IF(C856="","Add - which material?",IF(B856="Not found","Check - no such product ID",IF(D856="Add to Materials","Check - no such material ID",IF(OR(F856="",F856=0),"Add - how much?",IF(L856="","Check - that material has no price","OK")))))))</f>
        <v>0</v>
      </c>
    </row>
    <row r="857" spans="2:18">
      <c r="B857" s="13">
        <f>IF(A857="","",IFERROR(INDEX(Products!$B$5:$B$304,MATCH(A857,Products!$A$5:$A$304,0)),"Not found"))</f>
        <v>0</v>
      </c>
      <c r="D857" s="13">
        <f>IF(C857="","",IFERROR(INDEX(Materials!$B$5:$B$254,MATCH(C857,Materials!$A$5:$A$254,0)),"Add to Materials"))</f>
        <v>0</v>
      </c>
      <c r="E857" s="13">
        <f>IF(C857="","",IFERROR(INDEX(Materials!$H$5:$H$254,MATCH(C857,Materials!$A$5:$A$254,0)),"Add to Materials"))</f>
        <v>0</v>
      </c>
      <c r="J857" s="33">
        <f>IF(C857="","",IF(G857&lt;&gt;"",G857,IFERROR(INDEX(Materials!$W$5:$W$254,MATCH(C857,Materials!$A$5:$A$254,0)),DefaultWaste)))</f>
        <v>0</v>
      </c>
      <c r="K857" s="36">
        <f>IF(C857="","",IF(F857="","",ROUND(F857*(1+J857),4)))</f>
        <v>0</v>
      </c>
      <c r="L857" s="45">
        <f>IF(C857="","",IFERROR(INDEX(Materials!$S$5:$S$254,MATCH(C857,Materials!$A$5:$A$254,0)),""))</f>
        <v>0</v>
      </c>
      <c r="M857" s="45">
        <f>IF(C857="","",IF(OR(K857="",L857=""),"",ROUND(K857*L857,4)))</f>
        <v>0</v>
      </c>
      <c r="N857" s="20">
        <f>IF(A857="","",ROUND(SUMIFS('Material Usage'!$M$5:$M$904,'Material Usage'!$A$5:$A$904,A857),2))</f>
        <v>0</v>
      </c>
      <c r="O857" s="33">
        <f>IF(A857="","",IF(OR(M857="",N857="",N857=0),"",M857/N857))</f>
        <v>0</v>
      </c>
      <c r="P857" s="32">
        <f>IF(A857="","",COUNTIFS($A$5:A857,A857))</f>
        <v>0</v>
      </c>
      <c r="Q857" s="13">
        <f>IF(A857="","",A857&amp;"|"&amp;P857)</f>
        <v>0</v>
      </c>
      <c r="R857" s="43">
        <f>IF(AND(A857="",C857=""),"",IF(A857="","Add - which product?",IF(C857="","Add - which material?",IF(B857="Not found","Check - no such product ID",IF(D857="Add to Materials","Check - no such material ID",IF(OR(F857="",F857=0),"Add - how much?",IF(L857="","Check - that material has no price","OK")))))))</f>
        <v>0</v>
      </c>
    </row>
    <row r="858" spans="2:18">
      <c r="B858" s="13">
        <f>IF(A858="","",IFERROR(INDEX(Products!$B$5:$B$304,MATCH(A858,Products!$A$5:$A$304,0)),"Not found"))</f>
        <v>0</v>
      </c>
      <c r="D858" s="13">
        <f>IF(C858="","",IFERROR(INDEX(Materials!$B$5:$B$254,MATCH(C858,Materials!$A$5:$A$254,0)),"Add to Materials"))</f>
        <v>0</v>
      </c>
      <c r="E858" s="13">
        <f>IF(C858="","",IFERROR(INDEX(Materials!$H$5:$H$254,MATCH(C858,Materials!$A$5:$A$254,0)),"Add to Materials"))</f>
        <v>0</v>
      </c>
      <c r="J858" s="33">
        <f>IF(C858="","",IF(G858&lt;&gt;"",G858,IFERROR(INDEX(Materials!$W$5:$W$254,MATCH(C858,Materials!$A$5:$A$254,0)),DefaultWaste)))</f>
        <v>0</v>
      </c>
      <c r="K858" s="36">
        <f>IF(C858="","",IF(F858="","",ROUND(F858*(1+J858),4)))</f>
        <v>0</v>
      </c>
      <c r="L858" s="45">
        <f>IF(C858="","",IFERROR(INDEX(Materials!$S$5:$S$254,MATCH(C858,Materials!$A$5:$A$254,0)),""))</f>
        <v>0</v>
      </c>
      <c r="M858" s="45">
        <f>IF(C858="","",IF(OR(K858="",L858=""),"",ROUND(K858*L858,4)))</f>
        <v>0</v>
      </c>
      <c r="N858" s="20">
        <f>IF(A858="","",ROUND(SUMIFS('Material Usage'!$M$5:$M$904,'Material Usage'!$A$5:$A$904,A858),2))</f>
        <v>0</v>
      </c>
      <c r="O858" s="33">
        <f>IF(A858="","",IF(OR(M858="",N858="",N858=0),"",M858/N858))</f>
        <v>0</v>
      </c>
      <c r="P858" s="32">
        <f>IF(A858="","",COUNTIFS($A$5:A858,A858))</f>
        <v>0</v>
      </c>
      <c r="Q858" s="13">
        <f>IF(A858="","",A858&amp;"|"&amp;P858)</f>
        <v>0</v>
      </c>
      <c r="R858" s="43">
        <f>IF(AND(A858="",C858=""),"",IF(A858="","Add - which product?",IF(C858="","Add - which material?",IF(B858="Not found","Check - no such product ID",IF(D858="Add to Materials","Check - no such material ID",IF(OR(F858="",F858=0),"Add - how much?",IF(L858="","Check - that material has no price","OK")))))))</f>
        <v>0</v>
      </c>
    </row>
    <row r="859" spans="2:18">
      <c r="B859" s="13">
        <f>IF(A859="","",IFERROR(INDEX(Products!$B$5:$B$304,MATCH(A859,Products!$A$5:$A$304,0)),"Not found"))</f>
        <v>0</v>
      </c>
      <c r="D859" s="13">
        <f>IF(C859="","",IFERROR(INDEX(Materials!$B$5:$B$254,MATCH(C859,Materials!$A$5:$A$254,0)),"Add to Materials"))</f>
        <v>0</v>
      </c>
      <c r="E859" s="13">
        <f>IF(C859="","",IFERROR(INDEX(Materials!$H$5:$H$254,MATCH(C859,Materials!$A$5:$A$254,0)),"Add to Materials"))</f>
        <v>0</v>
      </c>
      <c r="J859" s="33">
        <f>IF(C859="","",IF(G859&lt;&gt;"",G859,IFERROR(INDEX(Materials!$W$5:$W$254,MATCH(C859,Materials!$A$5:$A$254,0)),DefaultWaste)))</f>
        <v>0</v>
      </c>
      <c r="K859" s="36">
        <f>IF(C859="","",IF(F859="","",ROUND(F859*(1+J859),4)))</f>
        <v>0</v>
      </c>
      <c r="L859" s="45">
        <f>IF(C859="","",IFERROR(INDEX(Materials!$S$5:$S$254,MATCH(C859,Materials!$A$5:$A$254,0)),""))</f>
        <v>0</v>
      </c>
      <c r="M859" s="45">
        <f>IF(C859="","",IF(OR(K859="",L859=""),"",ROUND(K859*L859,4)))</f>
        <v>0</v>
      </c>
      <c r="N859" s="20">
        <f>IF(A859="","",ROUND(SUMIFS('Material Usage'!$M$5:$M$904,'Material Usage'!$A$5:$A$904,A859),2))</f>
        <v>0</v>
      </c>
      <c r="O859" s="33">
        <f>IF(A859="","",IF(OR(M859="",N859="",N859=0),"",M859/N859))</f>
        <v>0</v>
      </c>
      <c r="P859" s="32">
        <f>IF(A859="","",COUNTIFS($A$5:A859,A859))</f>
        <v>0</v>
      </c>
      <c r="Q859" s="13">
        <f>IF(A859="","",A859&amp;"|"&amp;P859)</f>
        <v>0</v>
      </c>
      <c r="R859" s="43">
        <f>IF(AND(A859="",C859=""),"",IF(A859="","Add - which product?",IF(C859="","Add - which material?",IF(B859="Not found","Check - no such product ID",IF(D859="Add to Materials","Check - no such material ID",IF(OR(F859="",F859=0),"Add - how much?",IF(L859="","Check - that material has no price","OK")))))))</f>
        <v>0</v>
      </c>
    </row>
    <row r="860" spans="2:18">
      <c r="B860" s="13">
        <f>IF(A860="","",IFERROR(INDEX(Products!$B$5:$B$304,MATCH(A860,Products!$A$5:$A$304,0)),"Not found"))</f>
        <v>0</v>
      </c>
      <c r="D860" s="13">
        <f>IF(C860="","",IFERROR(INDEX(Materials!$B$5:$B$254,MATCH(C860,Materials!$A$5:$A$254,0)),"Add to Materials"))</f>
        <v>0</v>
      </c>
      <c r="E860" s="13">
        <f>IF(C860="","",IFERROR(INDEX(Materials!$H$5:$H$254,MATCH(C860,Materials!$A$5:$A$254,0)),"Add to Materials"))</f>
        <v>0</v>
      </c>
      <c r="J860" s="33">
        <f>IF(C860="","",IF(G860&lt;&gt;"",G860,IFERROR(INDEX(Materials!$W$5:$W$254,MATCH(C860,Materials!$A$5:$A$254,0)),DefaultWaste)))</f>
        <v>0</v>
      </c>
      <c r="K860" s="36">
        <f>IF(C860="","",IF(F860="","",ROUND(F860*(1+J860),4)))</f>
        <v>0</v>
      </c>
      <c r="L860" s="45">
        <f>IF(C860="","",IFERROR(INDEX(Materials!$S$5:$S$254,MATCH(C860,Materials!$A$5:$A$254,0)),""))</f>
        <v>0</v>
      </c>
      <c r="M860" s="45">
        <f>IF(C860="","",IF(OR(K860="",L860=""),"",ROUND(K860*L860,4)))</f>
        <v>0</v>
      </c>
      <c r="N860" s="20">
        <f>IF(A860="","",ROUND(SUMIFS('Material Usage'!$M$5:$M$904,'Material Usage'!$A$5:$A$904,A860),2))</f>
        <v>0</v>
      </c>
      <c r="O860" s="33">
        <f>IF(A860="","",IF(OR(M860="",N860="",N860=0),"",M860/N860))</f>
        <v>0</v>
      </c>
      <c r="P860" s="32">
        <f>IF(A860="","",COUNTIFS($A$5:A860,A860))</f>
        <v>0</v>
      </c>
      <c r="Q860" s="13">
        <f>IF(A860="","",A860&amp;"|"&amp;P860)</f>
        <v>0</v>
      </c>
      <c r="R860" s="43">
        <f>IF(AND(A860="",C860=""),"",IF(A860="","Add - which product?",IF(C860="","Add - which material?",IF(B860="Not found","Check - no such product ID",IF(D860="Add to Materials","Check - no such material ID",IF(OR(F860="",F860=0),"Add - how much?",IF(L860="","Check - that material has no price","OK")))))))</f>
        <v>0</v>
      </c>
    </row>
    <row r="861" spans="2:18">
      <c r="B861" s="13">
        <f>IF(A861="","",IFERROR(INDEX(Products!$B$5:$B$304,MATCH(A861,Products!$A$5:$A$304,0)),"Not found"))</f>
        <v>0</v>
      </c>
      <c r="D861" s="13">
        <f>IF(C861="","",IFERROR(INDEX(Materials!$B$5:$B$254,MATCH(C861,Materials!$A$5:$A$254,0)),"Add to Materials"))</f>
        <v>0</v>
      </c>
      <c r="E861" s="13">
        <f>IF(C861="","",IFERROR(INDEX(Materials!$H$5:$H$254,MATCH(C861,Materials!$A$5:$A$254,0)),"Add to Materials"))</f>
        <v>0</v>
      </c>
      <c r="J861" s="33">
        <f>IF(C861="","",IF(G861&lt;&gt;"",G861,IFERROR(INDEX(Materials!$W$5:$W$254,MATCH(C861,Materials!$A$5:$A$254,0)),DefaultWaste)))</f>
        <v>0</v>
      </c>
      <c r="K861" s="36">
        <f>IF(C861="","",IF(F861="","",ROUND(F861*(1+J861),4)))</f>
        <v>0</v>
      </c>
      <c r="L861" s="45">
        <f>IF(C861="","",IFERROR(INDEX(Materials!$S$5:$S$254,MATCH(C861,Materials!$A$5:$A$254,0)),""))</f>
        <v>0</v>
      </c>
      <c r="M861" s="45">
        <f>IF(C861="","",IF(OR(K861="",L861=""),"",ROUND(K861*L861,4)))</f>
        <v>0</v>
      </c>
      <c r="N861" s="20">
        <f>IF(A861="","",ROUND(SUMIFS('Material Usage'!$M$5:$M$904,'Material Usage'!$A$5:$A$904,A861),2))</f>
        <v>0</v>
      </c>
      <c r="O861" s="33">
        <f>IF(A861="","",IF(OR(M861="",N861="",N861=0),"",M861/N861))</f>
        <v>0</v>
      </c>
      <c r="P861" s="32">
        <f>IF(A861="","",COUNTIFS($A$5:A861,A861))</f>
        <v>0</v>
      </c>
      <c r="Q861" s="13">
        <f>IF(A861="","",A861&amp;"|"&amp;P861)</f>
        <v>0</v>
      </c>
      <c r="R861" s="43">
        <f>IF(AND(A861="",C861=""),"",IF(A861="","Add - which product?",IF(C861="","Add - which material?",IF(B861="Not found","Check - no such product ID",IF(D861="Add to Materials","Check - no such material ID",IF(OR(F861="",F861=0),"Add - how much?",IF(L861="","Check - that material has no price","OK")))))))</f>
        <v>0</v>
      </c>
    </row>
    <row r="862" spans="2:18">
      <c r="B862" s="13">
        <f>IF(A862="","",IFERROR(INDEX(Products!$B$5:$B$304,MATCH(A862,Products!$A$5:$A$304,0)),"Not found"))</f>
        <v>0</v>
      </c>
      <c r="D862" s="13">
        <f>IF(C862="","",IFERROR(INDEX(Materials!$B$5:$B$254,MATCH(C862,Materials!$A$5:$A$254,0)),"Add to Materials"))</f>
        <v>0</v>
      </c>
      <c r="E862" s="13">
        <f>IF(C862="","",IFERROR(INDEX(Materials!$H$5:$H$254,MATCH(C862,Materials!$A$5:$A$254,0)),"Add to Materials"))</f>
        <v>0</v>
      </c>
      <c r="J862" s="33">
        <f>IF(C862="","",IF(G862&lt;&gt;"",G862,IFERROR(INDEX(Materials!$W$5:$W$254,MATCH(C862,Materials!$A$5:$A$254,0)),DefaultWaste)))</f>
        <v>0</v>
      </c>
      <c r="K862" s="36">
        <f>IF(C862="","",IF(F862="","",ROUND(F862*(1+J862),4)))</f>
        <v>0</v>
      </c>
      <c r="L862" s="45">
        <f>IF(C862="","",IFERROR(INDEX(Materials!$S$5:$S$254,MATCH(C862,Materials!$A$5:$A$254,0)),""))</f>
        <v>0</v>
      </c>
      <c r="M862" s="45">
        <f>IF(C862="","",IF(OR(K862="",L862=""),"",ROUND(K862*L862,4)))</f>
        <v>0</v>
      </c>
      <c r="N862" s="20">
        <f>IF(A862="","",ROUND(SUMIFS('Material Usage'!$M$5:$M$904,'Material Usage'!$A$5:$A$904,A862),2))</f>
        <v>0</v>
      </c>
      <c r="O862" s="33">
        <f>IF(A862="","",IF(OR(M862="",N862="",N862=0),"",M862/N862))</f>
        <v>0</v>
      </c>
      <c r="P862" s="32">
        <f>IF(A862="","",COUNTIFS($A$5:A862,A862))</f>
        <v>0</v>
      </c>
      <c r="Q862" s="13">
        <f>IF(A862="","",A862&amp;"|"&amp;P862)</f>
        <v>0</v>
      </c>
      <c r="R862" s="43">
        <f>IF(AND(A862="",C862=""),"",IF(A862="","Add - which product?",IF(C862="","Add - which material?",IF(B862="Not found","Check - no such product ID",IF(D862="Add to Materials","Check - no such material ID",IF(OR(F862="",F862=0),"Add - how much?",IF(L862="","Check - that material has no price","OK")))))))</f>
        <v>0</v>
      </c>
    </row>
    <row r="863" spans="2:18">
      <c r="B863" s="13">
        <f>IF(A863="","",IFERROR(INDEX(Products!$B$5:$B$304,MATCH(A863,Products!$A$5:$A$304,0)),"Not found"))</f>
        <v>0</v>
      </c>
      <c r="D863" s="13">
        <f>IF(C863="","",IFERROR(INDEX(Materials!$B$5:$B$254,MATCH(C863,Materials!$A$5:$A$254,0)),"Add to Materials"))</f>
        <v>0</v>
      </c>
      <c r="E863" s="13">
        <f>IF(C863="","",IFERROR(INDEX(Materials!$H$5:$H$254,MATCH(C863,Materials!$A$5:$A$254,0)),"Add to Materials"))</f>
        <v>0</v>
      </c>
      <c r="J863" s="33">
        <f>IF(C863="","",IF(G863&lt;&gt;"",G863,IFERROR(INDEX(Materials!$W$5:$W$254,MATCH(C863,Materials!$A$5:$A$254,0)),DefaultWaste)))</f>
        <v>0</v>
      </c>
      <c r="K863" s="36">
        <f>IF(C863="","",IF(F863="","",ROUND(F863*(1+J863),4)))</f>
        <v>0</v>
      </c>
      <c r="L863" s="45">
        <f>IF(C863="","",IFERROR(INDEX(Materials!$S$5:$S$254,MATCH(C863,Materials!$A$5:$A$254,0)),""))</f>
        <v>0</v>
      </c>
      <c r="M863" s="45">
        <f>IF(C863="","",IF(OR(K863="",L863=""),"",ROUND(K863*L863,4)))</f>
        <v>0</v>
      </c>
      <c r="N863" s="20">
        <f>IF(A863="","",ROUND(SUMIFS('Material Usage'!$M$5:$M$904,'Material Usage'!$A$5:$A$904,A863),2))</f>
        <v>0</v>
      </c>
      <c r="O863" s="33">
        <f>IF(A863="","",IF(OR(M863="",N863="",N863=0),"",M863/N863))</f>
        <v>0</v>
      </c>
      <c r="P863" s="32">
        <f>IF(A863="","",COUNTIFS($A$5:A863,A863))</f>
        <v>0</v>
      </c>
      <c r="Q863" s="13">
        <f>IF(A863="","",A863&amp;"|"&amp;P863)</f>
        <v>0</v>
      </c>
      <c r="R863" s="43">
        <f>IF(AND(A863="",C863=""),"",IF(A863="","Add - which product?",IF(C863="","Add - which material?",IF(B863="Not found","Check - no such product ID",IF(D863="Add to Materials","Check - no such material ID",IF(OR(F863="",F863=0),"Add - how much?",IF(L863="","Check - that material has no price","OK")))))))</f>
        <v>0</v>
      </c>
    </row>
    <row r="864" spans="2:18">
      <c r="B864" s="13">
        <f>IF(A864="","",IFERROR(INDEX(Products!$B$5:$B$304,MATCH(A864,Products!$A$5:$A$304,0)),"Not found"))</f>
        <v>0</v>
      </c>
      <c r="D864" s="13">
        <f>IF(C864="","",IFERROR(INDEX(Materials!$B$5:$B$254,MATCH(C864,Materials!$A$5:$A$254,0)),"Add to Materials"))</f>
        <v>0</v>
      </c>
      <c r="E864" s="13">
        <f>IF(C864="","",IFERROR(INDEX(Materials!$H$5:$H$254,MATCH(C864,Materials!$A$5:$A$254,0)),"Add to Materials"))</f>
        <v>0</v>
      </c>
      <c r="J864" s="33">
        <f>IF(C864="","",IF(G864&lt;&gt;"",G864,IFERROR(INDEX(Materials!$W$5:$W$254,MATCH(C864,Materials!$A$5:$A$254,0)),DefaultWaste)))</f>
        <v>0</v>
      </c>
      <c r="K864" s="36">
        <f>IF(C864="","",IF(F864="","",ROUND(F864*(1+J864),4)))</f>
        <v>0</v>
      </c>
      <c r="L864" s="45">
        <f>IF(C864="","",IFERROR(INDEX(Materials!$S$5:$S$254,MATCH(C864,Materials!$A$5:$A$254,0)),""))</f>
        <v>0</v>
      </c>
      <c r="M864" s="45">
        <f>IF(C864="","",IF(OR(K864="",L864=""),"",ROUND(K864*L864,4)))</f>
        <v>0</v>
      </c>
      <c r="N864" s="20">
        <f>IF(A864="","",ROUND(SUMIFS('Material Usage'!$M$5:$M$904,'Material Usage'!$A$5:$A$904,A864),2))</f>
        <v>0</v>
      </c>
      <c r="O864" s="33">
        <f>IF(A864="","",IF(OR(M864="",N864="",N864=0),"",M864/N864))</f>
        <v>0</v>
      </c>
      <c r="P864" s="32">
        <f>IF(A864="","",COUNTIFS($A$5:A864,A864))</f>
        <v>0</v>
      </c>
      <c r="Q864" s="13">
        <f>IF(A864="","",A864&amp;"|"&amp;P864)</f>
        <v>0</v>
      </c>
      <c r="R864" s="43">
        <f>IF(AND(A864="",C864=""),"",IF(A864="","Add - which product?",IF(C864="","Add - which material?",IF(B864="Not found","Check - no such product ID",IF(D864="Add to Materials","Check - no such material ID",IF(OR(F864="",F864=0),"Add - how much?",IF(L864="","Check - that material has no price","OK")))))))</f>
        <v>0</v>
      </c>
    </row>
    <row r="865" spans="2:18">
      <c r="B865" s="13">
        <f>IF(A865="","",IFERROR(INDEX(Products!$B$5:$B$304,MATCH(A865,Products!$A$5:$A$304,0)),"Not found"))</f>
        <v>0</v>
      </c>
      <c r="D865" s="13">
        <f>IF(C865="","",IFERROR(INDEX(Materials!$B$5:$B$254,MATCH(C865,Materials!$A$5:$A$254,0)),"Add to Materials"))</f>
        <v>0</v>
      </c>
      <c r="E865" s="13">
        <f>IF(C865="","",IFERROR(INDEX(Materials!$H$5:$H$254,MATCH(C865,Materials!$A$5:$A$254,0)),"Add to Materials"))</f>
        <v>0</v>
      </c>
      <c r="J865" s="33">
        <f>IF(C865="","",IF(G865&lt;&gt;"",G865,IFERROR(INDEX(Materials!$W$5:$W$254,MATCH(C865,Materials!$A$5:$A$254,0)),DefaultWaste)))</f>
        <v>0</v>
      </c>
      <c r="K865" s="36">
        <f>IF(C865="","",IF(F865="","",ROUND(F865*(1+J865),4)))</f>
        <v>0</v>
      </c>
      <c r="L865" s="45">
        <f>IF(C865="","",IFERROR(INDEX(Materials!$S$5:$S$254,MATCH(C865,Materials!$A$5:$A$254,0)),""))</f>
        <v>0</v>
      </c>
      <c r="M865" s="45">
        <f>IF(C865="","",IF(OR(K865="",L865=""),"",ROUND(K865*L865,4)))</f>
        <v>0</v>
      </c>
      <c r="N865" s="20">
        <f>IF(A865="","",ROUND(SUMIFS('Material Usage'!$M$5:$M$904,'Material Usage'!$A$5:$A$904,A865),2))</f>
        <v>0</v>
      </c>
      <c r="O865" s="33">
        <f>IF(A865="","",IF(OR(M865="",N865="",N865=0),"",M865/N865))</f>
        <v>0</v>
      </c>
      <c r="P865" s="32">
        <f>IF(A865="","",COUNTIFS($A$5:A865,A865))</f>
        <v>0</v>
      </c>
      <c r="Q865" s="13">
        <f>IF(A865="","",A865&amp;"|"&amp;P865)</f>
        <v>0</v>
      </c>
      <c r="R865" s="43">
        <f>IF(AND(A865="",C865=""),"",IF(A865="","Add - which product?",IF(C865="","Add - which material?",IF(B865="Not found","Check - no such product ID",IF(D865="Add to Materials","Check - no such material ID",IF(OR(F865="",F865=0),"Add - how much?",IF(L865="","Check - that material has no price","OK")))))))</f>
        <v>0</v>
      </c>
    </row>
    <row r="866" spans="2:18">
      <c r="B866" s="13">
        <f>IF(A866="","",IFERROR(INDEX(Products!$B$5:$B$304,MATCH(A866,Products!$A$5:$A$304,0)),"Not found"))</f>
        <v>0</v>
      </c>
      <c r="D866" s="13">
        <f>IF(C866="","",IFERROR(INDEX(Materials!$B$5:$B$254,MATCH(C866,Materials!$A$5:$A$254,0)),"Add to Materials"))</f>
        <v>0</v>
      </c>
      <c r="E866" s="13">
        <f>IF(C866="","",IFERROR(INDEX(Materials!$H$5:$H$254,MATCH(C866,Materials!$A$5:$A$254,0)),"Add to Materials"))</f>
        <v>0</v>
      </c>
      <c r="J866" s="33">
        <f>IF(C866="","",IF(G866&lt;&gt;"",G866,IFERROR(INDEX(Materials!$W$5:$W$254,MATCH(C866,Materials!$A$5:$A$254,0)),DefaultWaste)))</f>
        <v>0</v>
      </c>
      <c r="K866" s="36">
        <f>IF(C866="","",IF(F866="","",ROUND(F866*(1+J866),4)))</f>
        <v>0</v>
      </c>
      <c r="L866" s="45">
        <f>IF(C866="","",IFERROR(INDEX(Materials!$S$5:$S$254,MATCH(C866,Materials!$A$5:$A$254,0)),""))</f>
        <v>0</v>
      </c>
      <c r="M866" s="45">
        <f>IF(C866="","",IF(OR(K866="",L866=""),"",ROUND(K866*L866,4)))</f>
        <v>0</v>
      </c>
      <c r="N866" s="20">
        <f>IF(A866="","",ROUND(SUMIFS('Material Usage'!$M$5:$M$904,'Material Usage'!$A$5:$A$904,A866),2))</f>
        <v>0</v>
      </c>
      <c r="O866" s="33">
        <f>IF(A866="","",IF(OR(M866="",N866="",N866=0),"",M866/N866))</f>
        <v>0</v>
      </c>
      <c r="P866" s="32">
        <f>IF(A866="","",COUNTIFS($A$5:A866,A866))</f>
        <v>0</v>
      </c>
      <c r="Q866" s="13">
        <f>IF(A866="","",A866&amp;"|"&amp;P866)</f>
        <v>0</v>
      </c>
      <c r="R866" s="43">
        <f>IF(AND(A866="",C866=""),"",IF(A866="","Add - which product?",IF(C866="","Add - which material?",IF(B866="Not found","Check - no such product ID",IF(D866="Add to Materials","Check - no such material ID",IF(OR(F866="",F866=0),"Add - how much?",IF(L866="","Check - that material has no price","OK")))))))</f>
        <v>0</v>
      </c>
    </row>
    <row r="867" spans="2:18">
      <c r="B867" s="13">
        <f>IF(A867="","",IFERROR(INDEX(Products!$B$5:$B$304,MATCH(A867,Products!$A$5:$A$304,0)),"Not found"))</f>
        <v>0</v>
      </c>
      <c r="D867" s="13">
        <f>IF(C867="","",IFERROR(INDEX(Materials!$B$5:$B$254,MATCH(C867,Materials!$A$5:$A$254,0)),"Add to Materials"))</f>
        <v>0</v>
      </c>
      <c r="E867" s="13">
        <f>IF(C867="","",IFERROR(INDEX(Materials!$H$5:$H$254,MATCH(C867,Materials!$A$5:$A$254,0)),"Add to Materials"))</f>
        <v>0</v>
      </c>
      <c r="J867" s="33">
        <f>IF(C867="","",IF(G867&lt;&gt;"",G867,IFERROR(INDEX(Materials!$W$5:$W$254,MATCH(C867,Materials!$A$5:$A$254,0)),DefaultWaste)))</f>
        <v>0</v>
      </c>
      <c r="K867" s="36">
        <f>IF(C867="","",IF(F867="","",ROUND(F867*(1+J867),4)))</f>
        <v>0</v>
      </c>
      <c r="L867" s="45">
        <f>IF(C867="","",IFERROR(INDEX(Materials!$S$5:$S$254,MATCH(C867,Materials!$A$5:$A$254,0)),""))</f>
        <v>0</v>
      </c>
      <c r="M867" s="45">
        <f>IF(C867="","",IF(OR(K867="",L867=""),"",ROUND(K867*L867,4)))</f>
        <v>0</v>
      </c>
      <c r="N867" s="20">
        <f>IF(A867="","",ROUND(SUMIFS('Material Usage'!$M$5:$M$904,'Material Usage'!$A$5:$A$904,A867),2))</f>
        <v>0</v>
      </c>
      <c r="O867" s="33">
        <f>IF(A867="","",IF(OR(M867="",N867="",N867=0),"",M867/N867))</f>
        <v>0</v>
      </c>
      <c r="P867" s="32">
        <f>IF(A867="","",COUNTIFS($A$5:A867,A867))</f>
        <v>0</v>
      </c>
      <c r="Q867" s="13">
        <f>IF(A867="","",A867&amp;"|"&amp;P867)</f>
        <v>0</v>
      </c>
      <c r="R867" s="43">
        <f>IF(AND(A867="",C867=""),"",IF(A867="","Add - which product?",IF(C867="","Add - which material?",IF(B867="Not found","Check - no such product ID",IF(D867="Add to Materials","Check - no such material ID",IF(OR(F867="",F867=0),"Add - how much?",IF(L867="","Check - that material has no price","OK")))))))</f>
        <v>0</v>
      </c>
    </row>
    <row r="868" spans="2:18">
      <c r="B868" s="13">
        <f>IF(A868="","",IFERROR(INDEX(Products!$B$5:$B$304,MATCH(A868,Products!$A$5:$A$304,0)),"Not found"))</f>
        <v>0</v>
      </c>
      <c r="D868" s="13">
        <f>IF(C868="","",IFERROR(INDEX(Materials!$B$5:$B$254,MATCH(C868,Materials!$A$5:$A$254,0)),"Add to Materials"))</f>
        <v>0</v>
      </c>
      <c r="E868" s="13">
        <f>IF(C868="","",IFERROR(INDEX(Materials!$H$5:$H$254,MATCH(C868,Materials!$A$5:$A$254,0)),"Add to Materials"))</f>
        <v>0</v>
      </c>
      <c r="J868" s="33">
        <f>IF(C868="","",IF(G868&lt;&gt;"",G868,IFERROR(INDEX(Materials!$W$5:$W$254,MATCH(C868,Materials!$A$5:$A$254,0)),DefaultWaste)))</f>
        <v>0</v>
      </c>
      <c r="K868" s="36">
        <f>IF(C868="","",IF(F868="","",ROUND(F868*(1+J868),4)))</f>
        <v>0</v>
      </c>
      <c r="L868" s="45">
        <f>IF(C868="","",IFERROR(INDEX(Materials!$S$5:$S$254,MATCH(C868,Materials!$A$5:$A$254,0)),""))</f>
        <v>0</v>
      </c>
      <c r="M868" s="45">
        <f>IF(C868="","",IF(OR(K868="",L868=""),"",ROUND(K868*L868,4)))</f>
        <v>0</v>
      </c>
      <c r="N868" s="20">
        <f>IF(A868="","",ROUND(SUMIFS('Material Usage'!$M$5:$M$904,'Material Usage'!$A$5:$A$904,A868),2))</f>
        <v>0</v>
      </c>
      <c r="O868" s="33">
        <f>IF(A868="","",IF(OR(M868="",N868="",N868=0),"",M868/N868))</f>
        <v>0</v>
      </c>
      <c r="P868" s="32">
        <f>IF(A868="","",COUNTIFS($A$5:A868,A868))</f>
        <v>0</v>
      </c>
      <c r="Q868" s="13">
        <f>IF(A868="","",A868&amp;"|"&amp;P868)</f>
        <v>0</v>
      </c>
      <c r="R868" s="43">
        <f>IF(AND(A868="",C868=""),"",IF(A868="","Add - which product?",IF(C868="","Add - which material?",IF(B868="Not found","Check - no such product ID",IF(D868="Add to Materials","Check - no such material ID",IF(OR(F868="",F868=0),"Add - how much?",IF(L868="","Check - that material has no price","OK")))))))</f>
        <v>0</v>
      </c>
    </row>
    <row r="869" spans="2:18">
      <c r="B869" s="13">
        <f>IF(A869="","",IFERROR(INDEX(Products!$B$5:$B$304,MATCH(A869,Products!$A$5:$A$304,0)),"Not found"))</f>
        <v>0</v>
      </c>
      <c r="D869" s="13">
        <f>IF(C869="","",IFERROR(INDEX(Materials!$B$5:$B$254,MATCH(C869,Materials!$A$5:$A$254,0)),"Add to Materials"))</f>
        <v>0</v>
      </c>
      <c r="E869" s="13">
        <f>IF(C869="","",IFERROR(INDEX(Materials!$H$5:$H$254,MATCH(C869,Materials!$A$5:$A$254,0)),"Add to Materials"))</f>
        <v>0</v>
      </c>
      <c r="J869" s="33">
        <f>IF(C869="","",IF(G869&lt;&gt;"",G869,IFERROR(INDEX(Materials!$W$5:$W$254,MATCH(C869,Materials!$A$5:$A$254,0)),DefaultWaste)))</f>
        <v>0</v>
      </c>
      <c r="K869" s="36">
        <f>IF(C869="","",IF(F869="","",ROUND(F869*(1+J869),4)))</f>
        <v>0</v>
      </c>
      <c r="L869" s="45">
        <f>IF(C869="","",IFERROR(INDEX(Materials!$S$5:$S$254,MATCH(C869,Materials!$A$5:$A$254,0)),""))</f>
        <v>0</v>
      </c>
      <c r="M869" s="45">
        <f>IF(C869="","",IF(OR(K869="",L869=""),"",ROUND(K869*L869,4)))</f>
        <v>0</v>
      </c>
      <c r="N869" s="20">
        <f>IF(A869="","",ROUND(SUMIFS('Material Usage'!$M$5:$M$904,'Material Usage'!$A$5:$A$904,A869),2))</f>
        <v>0</v>
      </c>
      <c r="O869" s="33">
        <f>IF(A869="","",IF(OR(M869="",N869="",N869=0),"",M869/N869))</f>
        <v>0</v>
      </c>
      <c r="P869" s="32">
        <f>IF(A869="","",COUNTIFS($A$5:A869,A869))</f>
        <v>0</v>
      </c>
      <c r="Q869" s="13">
        <f>IF(A869="","",A869&amp;"|"&amp;P869)</f>
        <v>0</v>
      </c>
      <c r="R869" s="43">
        <f>IF(AND(A869="",C869=""),"",IF(A869="","Add - which product?",IF(C869="","Add - which material?",IF(B869="Not found","Check - no such product ID",IF(D869="Add to Materials","Check - no such material ID",IF(OR(F869="",F869=0),"Add - how much?",IF(L869="","Check - that material has no price","OK")))))))</f>
        <v>0</v>
      </c>
    </row>
    <row r="870" spans="2:18">
      <c r="B870" s="13">
        <f>IF(A870="","",IFERROR(INDEX(Products!$B$5:$B$304,MATCH(A870,Products!$A$5:$A$304,0)),"Not found"))</f>
        <v>0</v>
      </c>
      <c r="D870" s="13">
        <f>IF(C870="","",IFERROR(INDEX(Materials!$B$5:$B$254,MATCH(C870,Materials!$A$5:$A$254,0)),"Add to Materials"))</f>
        <v>0</v>
      </c>
      <c r="E870" s="13">
        <f>IF(C870="","",IFERROR(INDEX(Materials!$H$5:$H$254,MATCH(C870,Materials!$A$5:$A$254,0)),"Add to Materials"))</f>
        <v>0</v>
      </c>
      <c r="J870" s="33">
        <f>IF(C870="","",IF(G870&lt;&gt;"",G870,IFERROR(INDEX(Materials!$W$5:$W$254,MATCH(C870,Materials!$A$5:$A$254,0)),DefaultWaste)))</f>
        <v>0</v>
      </c>
      <c r="K870" s="36">
        <f>IF(C870="","",IF(F870="","",ROUND(F870*(1+J870),4)))</f>
        <v>0</v>
      </c>
      <c r="L870" s="45">
        <f>IF(C870="","",IFERROR(INDEX(Materials!$S$5:$S$254,MATCH(C870,Materials!$A$5:$A$254,0)),""))</f>
        <v>0</v>
      </c>
      <c r="M870" s="45">
        <f>IF(C870="","",IF(OR(K870="",L870=""),"",ROUND(K870*L870,4)))</f>
        <v>0</v>
      </c>
      <c r="N870" s="20">
        <f>IF(A870="","",ROUND(SUMIFS('Material Usage'!$M$5:$M$904,'Material Usage'!$A$5:$A$904,A870),2))</f>
        <v>0</v>
      </c>
      <c r="O870" s="33">
        <f>IF(A870="","",IF(OR(M870="",N870="",N870=0),"",M870/N870))</f>
        <v>0</v>
      </c>
      <c r="P870" s="32">
        <f>IF(A870="","",COUNTIFS($A$5:A870,A870))</f>
        <v>0</v>
      </c>
      <c r="Q870" s="13">
        <f>IF(A870="","",A870&amp;"|"&amp;P870)</f>
        <v>0</v>
      </c>
      <c r="R870" s="43">
        <f>IF(AND(A870="",C870=""),"",IF(A870="","Add - which product?",IF(C870="","Add - which material?",IF(B870="Not found","Check - no such product ID",IF(D870="Add to Materials","Check - no such material ID",IF(OR(F870="",F870=0),"Add - how much?",IF(L870="","Check - that material has no price","OK")))))))</f>
        <v>0</v>
      </c>
    </row>
    <row r="871" spans="2:18">
      <c r="B871" s="13">
        <f>IF(A871="","",IFERROR(INDEX(Products!$B$5:$B$304,MATCH(A871,Products!$A$5:$A$304,0)),"Not found"))</f>
        <v>0</v>
      </c>
      <c r="D871" s="13">
        <f>IF(C871="","",IFERROR(INDEX(Materials!$B$5:$B$254,MATCH(C871,Materials!$A$5:$A$254,0)),"Add to Materials"))</f>
        <v>0</v>
      </c>
      <c r="E871" s="13">
        <f>IF(C871="","",IFERROR(INDEX(Materials!$H$5:$H$254,MATCH(C871,Materials!$A$5:$A$254,0)),"Add to Materials"))</f>
        <v>0</v>
      </c>
      <c r="J871" s="33">
        <f>IF(C871="","",IF(G871&lt;&gt;"",G871,IFERROR(INDEX(Materials!$W$5:$W$254,MATCH(C871,Materials!$A$5:$A$254,0)),DefaultWaste)))</f>
        <v>0</v>
      </c>
      <c r="K871" s="36">
        <f>IF(C871="","",IF(F871="","",ROUND(F871*(1+J871),4)))</f>
        <v>0</v>
      </c>
      <c r="L871" s="45">
        <f>IF(C871="","",IFERROR(INDEX(Materials!$S$5:$S$254,MATCH(C871,Materials!$A$5:$A$254,0)),""))</f>
        <v>0</v>
      </c>
      <c r="M871" s="45">
        <f>IF(C871="","",IF(OR(K871="",L871=""),"",ROUND(K871*L871,4)))</f>
        <v>0</v>
      </c>
      <c r="N871" s="20">
        <f>IF(A871="","",ROUND(SUMIFS('Material Usage'!$M$5:$M$904,'Material Usage'!$A$5:$A$904,A871),2))</f>
        <v>0</v>
      </c>
      <c r="O871" s="33">
        <f>IF(A871="","",IF(OR(M871="",N871="",N871=0),"",M871/N871))</f>
        <v>0</v>
      </c>
      <c r="P871" s="32">
        <f>IF(A871="","",COUNTIFS($A$5:A871,A871))</f>
        <v>0</v>
      </c>
      <c r="Q871" s="13">
        <f>IF(A871="","",A871&amp;"|"&amp;P871)</f>
        <v>0</v>
      </c>
      <c r="R871" s="43">
        <f>IF(AND(A871="",C871=""),"",IF(A871="","Add - which product?",IF(C871="","Add - which material?",IF(B871="Not found","Check - no such product ID",IF(D871="Add to Materials","Check - no such material ID",IF(OR(F871="",F871=0),"Add - how much?",IF(L871="","Check - that material has no price","OK")))))))</f>
        <v>0</v>
      </c>
    </row>
    <row r="872" spans="2:18">
      <c r="B872" s="13">
        <f>IF(A872="","",IFERROR(INDEX(Products!$B$5:$B$304,MATCH(A872,Products!$A$5:$A$304,0)),"Not found"))</f>
        <v>0</v>
      </c>
      <c r="D872" s="13">
        <f>IF(C872="","",IFERROR(INDEX(Materials!$B$5:$B$254,MATCH(C872,Materials!$A$5:$A$254,0)),"Add to Materials"))</f>
        <v>0</v>
      </c>
      <c r="E872" s="13">
        <f>IF(C872="","",IFERROR(INDEX(Materials!$H$5:$H$254,MATCH(C872,Materials!$A$5:$A$254,0)),"Add to Materials"))</f>
        <v>0</v>
      </c>
      <c r="J872" s="33">
        <f>IF(C872="","",IF(G872&lt;&gt;"",G872,IFERROR(INDEX(Materials!$W$5:$W$254,MATCH(C872,Materials!$A$5:$A$254,0)),DefaultWaste)))</f>
        <v>0</v>
      </c>
      <c r="K872" s="36">
        <f>IF(C872="","",IF(F872="","",ROUND(F872*(1+J872),4)))</f>
        <v>0</v>
      </c>
      <c r="L872" s="45">
        <f>IF(C872="","",IFERROR(INDEX(Materials!$S$5:$S$254,MATCH(C872,Materials!$A$5:$A$254,0)),""))</f>
        <v>0</v>
      </c>
      <c r="M872" s="45">
        <f>IF(C872="","",IF(OR(K872="",L872=""),"",ROUND(K872*L872,4)))</f>
        <v>0</v>
      </c>
      <c r="N872" s="20">
        <f>IF(A872="","",ROUND(SUMIFS('Material Usage'!$M$5:$M$904,'Material Usage'!$A$5:$A$904,A872),2))</f>
        <v>0</v>
      </c>
      <c r="O872" s="33">
        <f>IF(A872="","",IF(OR(M872="",N872="",N872=0),"",M872/N872))</f>
        <v>0</v>
      </c>
      <c r="P872" s="32">
        <f>IF(A872="","",COUNTIFS($A$5:A872,A872))</f>
        <v>0</v>
      </c>
      <c r="Q872" s="13">
        <f>IF(A872="","",A872&amp;"|"&amp;P872)</f>
        <v>0</v>
      </c>
      <c r="R872" s="43">
        <f>IF(AND(A872="",C872=""),"",IF(A872="","Add - which product?",IF(C872="","Add - which material?",IF(B872="Not found","Check - no such product ID",IF(D872="Add to Materials","Check - no such material ID",IF(OR(F872="",F872=0),"Add - how much?",IF(L872="","Check - that material has no price","OK")))))))</f>
        <v>0</v>
      </c>
    </row>
    <row r="873" spans="2:18">
      <c r="B873" s="13">
        <f>IF(A873="","",IFERROR(INDEX(Products!$B$5:$B$304,MATCH(A873,Products!$A$5:$A$304,0)),"Not found"))</f>
        <v>0</v>
      </c>
      <c r="D873" s="13">
        <f>IF(C873="","",IFERROR(INDEX(Materials!$B$5:$B$254,MATCH(C873,Materials!$A$5:$A$254,0)),"Add to Materials"))</f>
        <v>0</v>
      </c>
      <c r="E873" s="13">
        <f>IF(C873="","",IFERROR(INDEX(Materials!$H$5:$H$254,MATCH(C873,Materials!$A$5:$A$254,0)),"Add to Materials"))</f>
        <v>0</v>
      </c>
      <c r="J873" s="33">
        <f>IF(C873="","",IF(G873&lt;&gt;"",G873,IFERROR(INDEX(Materials!$W$5:$W$254,MATCH(C873,Materials!$A$5:$A$254,0)),DefaultWaste)))</f>
        <v>0</v>
      </c>
      <c r="K873" s="36">
        <f>IF(C873="","",IF(F873="","",ROUND(F873*(1+J873),4)))</f>
        <v>0</v>
      </c>
      <c r="L873" s="45">
        <f>IF(C873="","",IFERROR(INDEX(Materials!$S$5:$S$254,MATCH(C873,Materials!$A$5:$A$254,0)),""))</f>
        <v>0</v>
      </c>
      <c r="M873" s="45">
        <f>IF(C873="","",IF(OR(K873="",L873=""),"",ROUND(K873*L873,4)))</f>
        <v>0</v>
      </c>
      <c r="N873" s="20">
        <f>IF(A873="","",ROUND(SUMIFS('Material Usage'!$M$5:$M$904,'Material Usage'!$A$5:$A$904,A873),2))</f>
        <v>0</v>
      </c>
      <c r="O873" s="33">
        <f>IF(A873="","",IF(OR(M873="",N873="",N873=0),"",M873/N873))</f>
        <v>0</v>
      </c>
      <c r="P873" s="32">
        <f>IF(A873="","",COUNTIFS($A$5:A873,A873))</f>
        <v>0</v>
      </c>
      <c r="Q873" s="13">
        <f>IF(A873="","",A873&amp;"|"&amp;P873)</f>
        <v>0</v>
      </c>
      <c r="R873" s="43">
        <f>IF(AND(A873="",C873=""),"",IF(A873="","Add - which product?",IF(C873="","Add - which material?",IF(B873="Not found","Check - no such product ID",IF(D873="Add to Materials","Check - no such material ID",IF(OR(F873="",F873=0),"Add - how much?",IF(L873="","Check - that material has no price","OK")))))))</f>
        <v>0</v>
      </c>
    </row>
    <row r="874" spans="2:18">
      <c r="B874" s="13">
        <f>IF(A874="","",IFERROR(INDEX(Products!$B$5:$B$304,MATCH(A874,Products!$A$5:$A$304,0)),"Not found"))</f>
        <v>0</v>
      </c>
      <c r="D874" s="13">
        <f>IF(C874="","",IFERROR(INDEX(Materials!$B$5:$B$254,MATCH(C874,Materials!$A$5:$A$254,0)),"Add to Materials"))</f>
        <v>0</v>
      </c>
      <c r="E874" s="13">
        <f>IF(C874="","",IFERROR(INDEX(Materials!$H$5:$H$254,MATCH(C874,Materials!$A$5:$A$254,0)),"Add to Materials"))</f>
        <v>0</v>
      </c>
      <c r="J874" s="33">
        <f>IF(C874="","",IF(G874&lt;&gt;"",G874,IFERROR(INDEX(Materials!$W$5:$W$254,MATCH(C874,Materials!$A$5:$A$254,0)),DefaultWaste)))</f>
        <v>0</v>
      </c>
      <c r="K874" s="36">
        <f>IF(C874="","",IF(F874="","",ROUND(F874*(1+J874),4)))</f>
        <v>0</v>
      </c>
      <c r="L874" s="45">
        <f>IF(C874="","",IFERROR(INDEX(Materials!$S$5:$S$254,MATCH(C874,Materials!$A$5:$A$254,0)),""))</f>
        <v>0</v>
      </c>
      <c r="M874" s="45">
        <f>IF(C874="","",IF(OR(K874="",L874=""),"",ROUND(K874*L874,4)))</f>
        <v>0</v>
      </c>
      <c r="N874" s="20">
        <f>IF(A874="","",ROUND(SUMIFS('Material Usage'!$M$5:$M$904,'Material Usage'!$A$5:$A$904,A874),2))</f>
        <v>0</v>
      </c>
      <c r="O874" s="33">
        <f>IF(A874="","",IF(OR(M874="",N874="",N874=0),"",M874/N874))</f>
        <v>0</v>
      </c>
      <c r="P874" s="32">
        <f>IF(A874="","",COUNTIFS($A$5:A874,A874))</f>
        <v>0</v>
      </c>
      <c r="Q874" s="13">
        <f>IF(A874="","",A874&amp;"|"&amp;P874)</f>
        <v>0</v>
      </c>
      <c r="R874" s="43">
        <f>IF(AND(A874="",C874=""),"",IF(A874="","Add - which product?",IF(C874="","Add - which material?",IF(B874="Not found","Check - no such product ID",IF(D874="Add to Materials","Check - no such material ID",IF(OR(F874="",F874=0),"Add - how much?",IF(L874="","Check - that material has no price","OK")))))))</f>
        <v>0</v>
      </c>
    </row>
    <row r="875" spans="2:18">
      <c r="B875" s="13">
        <f>IF(A875="","",IFERROR(INDEX(Products!$B$5:$B$304,MATCH(A875,Products!$A$5:$A$304,0)),"Not found"))</f>
        <v>0</v>
      </c>
      <c r="D875" s="13">
        <f>IF(C875="","",IFERROR(INDEX(Materials!$B$5:$B$254,MATCH(C875,Materials!$A$5:$A$254,0)),"Add to Materials"))</f>
        <v>0</v>
      </c>
      <c r="E875" s="13">
        <f>IF(C875="","",IFERROR(INDEX(Materials!$H$5:$H$254,MATCH(C875,Materials!$A$5:$A$254,0)),"Add to Materials"))</f>
        <v>0</v>
      </c>
      <c r="J875" s="33">
        <f>IF(C875="","",IF(G875&lt;&gt;"",G875,IFERROR(INDEX(Materials!$W$5:$W$254,MATCH(C875,Materials!$A$5:$A$254,0)),DefaultWaste)))</f>
        <v>0</v>
      </c>
      <c r="K875" s="36">
        <f>IF(C875="","",IF(F875="","",ROUND(F875*(1+J875),4)))</f>
        <v>0</v>
      </c>
      <c r="L875" s="45">
        <f>IF(C875="","",IFERROR(INDEX(Materials!$S$5:$S$254,MATCH(C875,Materials!$A$5:$A$254,0)),""))</f>
        <v>0</v>
      </c>
      <c r="M875" s="45">
        <f>IF(C875="","",IF(OR(K875="",L875=""),"",ROUND(K875*L875,4)))</f>
        <v>0</v>
      </c>
      <c r="N875" s="20">
        <f>IF(A875="","",ROUND(SUMIFS('Material Usage'!$M$5:$M$904,'Material Usage'!$A$5:$A$904,A875),2))</f>
        <v>0</v>
      </c>
      <c r="O875" s="33">
        <f>IF(A875="","",IF(OR(M875="",N875="",N875=0),"",M875/N875))</f>
        <v>0</v>
      </c>
      <c r="P875" s="32">
        <f>IF(A875="","",COUNTIFS($A$5:A875,A875))</f>
        <v>0</v>
      </c>
      <c r="Q875" s="13">
        <f>IF(A875="","",A875&amp;"|"&amp;P875)</f>
        <v>0</v>
      </c>
      <c r="R875" s="43">
        <f>IF(AND(A875="",C875=""),"",IF(A875="","Add - which product?",IF(C875="","Add - which material?",IF(B875="Not found","Check - no such product ID",IF(D875="Add to Materials","Check - no such material ID",IF(OR(F875="",F875=0),"Add - how much?",IF(L875="","Check - that material has no price","OK")))))))</f>
        <v>0</v>
      </c>
    </row>
    <row r="876" spans="2:18">
      <c r="B876" s="13">
        <f>IF(A876="","",IFERROR(INDEX(Products!$B$5:$B$304,MATCH(A876,Products!$A$5:$A$304,0)),"Not found"))</f>
        <v>0</v>
      </c>
      <c r="D876" s="13">
        <f>IF(C876="","",IFERROR(INDEX(Materials!$B$5:$B$254,MATCH(C876,Materials!$A$5:$A$254,0)),"Add to Materials"))</f>
        <v>0</v>
      </c>
      <c r="E876" s="13">
        <f>IF(C876="","",IFERROR(INDEX(Materials!$H$5:$H$254,MATCH(C876,Materials!$A$5:$A$254,0)),"Add to Materials"))</f>
        <v>0</v>
      </c>
      <c r="J876" s="33">
        <f>IF(C876="","",IF(G876&lt;&gt;"",G876,IFERROR(INDEX(Materials!$W$5:$W$254,MATCH(C876,Materials!$A$5:$A$254,0)),DefaultWaste)))</f>
        <v>0</v>
      </c>
      <c r="K876" s="36">
        <f>IF(C876="","",IF(F876="","",ROUND(F876*(1+J876),4)))</f>
        <v>0</v>
      </c>
      <c r="L876" s="45">
        <f>IF(C876="","",IFERROR(INDEX(Materials!$S$5:$S$254,MATCH(C876,Materials!$A$5:$A$254,0)),""))</f>
        <v>0</v>
      </c>
      <c r="M876" s="45">
        <f>IF(C876="","",IF(OR(K876="",L876=""),"",ROUND(K876*L876,4)))</f>
        <v>0</v>
      </c>
      <c r="N876" s="20">
        <f>IF(A876="","",ROUND(SUMIFS('Material Usage'!$M$5:$M$904,'Material Usage'!$A$5:$A$904,A876),2))</f>
        <v>0</v>
      </c>
      <c r="O876" s="33">
        <f>IF(A876="","",IF(OR(M876="",N876="",N876=0),"",M876/N876))</f>
        <v>0</v>
      </c>
      <c r="P876" s="32">
        <f>IF(A876="","",COUNTIFS($A$5:A876,A876))</f>
        <v>0</v>
      </c>
      <c r="Q876" s="13">
        <f>IF(A876="","",A876&amp;"|"&amp;P876)</f>
        <v>0</v>
      </c>
      <c r="R876" s="43">
        <f>IF(AND(A876="",C876=""),"",IF(A876="","Add - which product?",IF(C876="","Add - which material?",IF(B876="Not found","Check - no such product ID",IF(D876="Add to Materials","Check - no such material ID",IF(OR(F876="",F876=0),"Add - how much?",IF(L876="","Check - that material has no price","OK")))))))</f>
        <v>0</v>
      </c>
    </row>
    <row r="877" spans="2:18">
      <c r="B877" s="13">
        <f>IF(A877="","",IFERROR(INDEX(Products!$B$5:$B$304,MATCH(A877,Products!$A$5:$A$304,0)),"Not found"))</f>
        <v>0</v>
      </c>
      <c r="D877" s="13">
        <f>IF(C877="","",IFERROR(INDEX(Materials!$B$5:$B$254,MATCH(C877,Materials!$A$5:$A$254,0)),"Add to Materials"))</f>
        <v>0</v>
      </c>
      <c r="E877" s="13">
        <f>IF(C877="","",IFERROR(INDEX(Materials!$H$5:$H$254,MATCH(C877,Materials!$A$5:$A$254,0)),"Add to Materials"))</f>
        <v>0</v>
      </c>
      <c r="J877" s="33">
        <f>IF(C877="","",IF(G877&lt;&gt;"",G877,IFERROR(INDEX(Materials!$W$5:$W$254,MATCH(C877,Materials!$A$5:$A$254,0)),DefaultWaste)))</f>
        <v>0</v>
      </c>
      <c r="K877" s="36">
        <f>IF(C877="","",IF(F877="","",ROUND(F877*(1+J877),4)))</f>
        <v>0</v>
      </c>
      <c r="L877" s="45">
        <f>IF(C877="","",IFERROR(INDEX(Materials!$S$5:$S$254,MATCH(C877,Materials!$A$5:$A$254,0)),""))</f>
        <v>0</v>
      </c>
      <c r="M877" s="45">
        <f>IF(C877="","",IF(OR(K877="",L877=""),"",ROUND(K877*L877,4)))</f>
        <v>0</v>
      </c>
      <c r="N877" s="20">
        <f>IF(A877="","",ROUND(SUMIFS('Material Usage'!$M$5:$M$904,'Material Usage'!$A$5:$A$904,A877),2))</f>
        <v>0</v>
      </c>
      <c r="O877" s="33">
        <f>IF(A877="","",IF(OR(M877="",N877="",N877=0),"",M877/N877))</f>
        <v>0</v>
      </c>
      <c r="P877" s="32">
        <f>IF(A877="","",COUNTIFS($A$5:A877,A877))</f>
        <v>0</v>
      </c>
      <c r="Q877" s="13">
        <f>IF(A877="","",A877&amp;"|"&amp;P877)</f>
        <v>0</v>
      </c>
      <c r="R877" s="43">
        <f>IF(AND(A877="",C877=""),"",IF(A877="","Add - which product?",IF(C877="","Add - which material?",IF(B877="Not found","Check - no such product ID",IF(D877="Add to Materials","Check - no such material ID",IF(OR(F877="",F877=0),"Add - how much?",IF(L877="","Check - that material has no price","OK")))))))</f>
        <v>0</v>
      </c>
    </row>
    <row r="878" spans="2:18">
      <c r="B878" s="13">
        <f>IF(A878="","",IFERROR(INDEX(Products!$B$5:$B$304,MATCH(A878,Products!$A$5:$A$304,0)),"Not found"))</f>
        <v>0</v>
      </c>
      <c r="D878" s="13">
        <f>IF(C878="","",IFERROR(INDEX(Materials!$B$5:$B$254,MATCH(C878,Materials!$A$5:$A$254,0)),"Add to Materials"))</f>
        <v>0</v>
      </c>
      <c r="E878" s="13">
        <f>IF(C878="","",IFERROR(INDEX(Materials!$H$5:$H$254,MATCH(C878,Materials!$A$5:$A$254,0)),"Add to Materials"))</f>
        <v>0</v>
      </c>
      <c r="J878" s="33">
        <f>IF(C878="","",IF(G878&lt;&gt;"",G878,IFERROR(INDEX(Materials!$W$5:$W$254,MATCH(C878,Materials!$A$5:$A$254,0)),DefaultWaste)))</f>
        <v>0</v>
      </c>
      <c r="K878" s="36">
        <f>IF(C878="","",IF(F878="","",ROUND(F878*(1+J878),4)))</f>
        <v>0</v>
      </c>
      <c r="L878" s="45">
        <f>IF(C878="","",IFERROR(INDEX(Materials!$S$5:$S$254,MATCH(C878,Materials!$A$5:$A$254,0)),""))</f>
        <v>0</v>
      </c>
      <c r="M878" s="45">
        <f>IF(C878="","",IF(OR(K878="",L878=""),"",ROUND(K878*L878,4)))</f>
        <v>0</v>
      </c>
      <c r="N878" s="20">
        <f>IF(A878="","",ROUND(SUMIFS('Material Usage'!$M$5:$M$904,'Material Usage'!$A$5:$A$904,A878),2))</f>
        <v>0</v>
      </c>
      <c r="O878" s="33">
        <f>IF(A878="","",IF(OR(M878="",N878="",N878=0),"",M878/N878))</f>
        <v>0</v>
      </c>
      <c r="P878" s="32">
        <f>IF(A878="","",COUNTIFS($A$5:A878,A878))</f>
        <v>0</v>
      </c>
      <c r="Q878" s="13">
        <f>IF(A878="","",A878&amp;"|"&amp;P878)</f>
        <v>0</v>
      </c>
      <c r="R878" s="43">
        <f>IF(AND(A878="",C878=""),"",IF(A878="","Add - which product?",IF(C878="","Add - which material?",IF(B878="Not found","Check - no such product ID",IF(D878="Add to Materials","Check - no such material ID",IF(OR(F878="",F878=0),"Add - how much?",IF(L878="","Check - that material has no price","OK")))))))</f>
        <v>0</v>
      </c>
    </row>
    <row r="879" spans="2:18">
      <c r="B879" s="13">
        <f>IF(A879="","",IFERROR(INDEX(Products!$B$5:$B$304,MATCH(A879,Products!$A$5:$A$304,0)),"Not found"))</f>
        <v>0</v>
      </c>
      <c r="D879" s="13">
        <f>IF(C879="","",IFERROR(INDEX(Materials!$B$5:$B$254,MATCH(C879,Materials!$A$5:$A$254,0)),"Add to Materials"))</f>
        <v>0</v>
      </c>
      <c r="E879" s="13">
        <f>IF(C879="","",IFERROR(INDEX(Materials!$H$5:$H$254,MATCH(C879,Materials!$A$5:$A$254,0)),"Add to Materials"))</f>
        <v>0</v>
      </c>
      <c r="J879" s="33">
        <f>IF(C879="","",IF(G879&lt;&gt;"",G879,IFERROR(INDEX(Materials!$W$5:$W$254,MATCH(C879,Materials!$A$5:$A$254,0)),DefaultWaste)))</f>
        <v>0</v>
      </c>
      <c r="K879" s="36">
        <f>IF(C879="","",IF(F879="","",ROUND(F879*(1+J879),4)))</f>
        <v>0</v>
      </c>
      <c r="L879" s="45">
        <f>IF(C879="","",IFERROR(INDEX(Materials!$S$5:$S$254,MATCH(C879,Materials!$A$5:$A$254,0)),""))</f>
        <v>0</v>
      </c>
      <c r="M879" s="45">
        <f>IF(C879="","",IF(OR(K879="",L879=""),"",ROUND(K879*L879,4)))</f>
        <v>0</v>
      </c>
      <c r="N879" s="20">
        <f>IF(A879="","",ROUND(SUMIFS('Material Usage'!$M$5:$M$904,'Material Usage'!$A$5:$A$904,A879),2))</f>
        <v>0</v>
      </c>
      <c r="O879" s="33">
        <f>IF(A879="","",IF(OR(M879="",N879="",N879=0),"",M879/N879))</f>
        <v>0</v>
      </c>
      <c r="P879" s="32">
        <f>IF(A879="","",COUNTIFS($A$5:A879,A879))</f>
        <v>0</v>
      </c>
      <c r="Q879" s="13">
        <f>IF(A879="","",A879&amp;"|"&amp;P879)</f>
        <v>0</v>
      </c>
      <c r="R879" s="43">
        <f>IF(AND(A879="",C879=""),"",IF(A879="","Add - which product?",IF(C879="","Add - which material?",IF(B879="Not found","Check - no such product ID",IF(D879="Add to Materials","Check - no such material ID",IF(OR(F879="",F879=0),"Add - how much?",IF(L879="","Check - that material has no price","OK")))))))</f>
        <v>0</v>
      </c>
    </row>
    <row r="880" spans="2:18">
      <c r="B880" s="13">
        <f>IF(A880="","",IFERROR(INDEX(Products!$B$5:$B$304,MATCH(A880,Products!$A$5:$A$304,0)),"Not found"))</f>
        <v>0</v>
      </c>
      <c r="D880" s="13">
        <f>IF(C880="","",IFERROR(INDEX(Materials!$B$5:$B$254,MATCH(C880,Materials!$A$5:$A$254,0)),"Add to Materials"))</f>
        <v>0</v>
      </c>
      <c r="E880" s="13">
        <f>IF(C880="","",IFERROR(INDEX(Materials!$H$5:$H$254,MATCH(C880,Materials!$A$5:$A$254,0)),"Add to Materials"))</f>
        <v>0</v>
      </c>
      <c r="J880" s="33">
        <f>IF(C880="","",IF(G880&lt;&gt;"",G880,IFERROR(INDEX(Materials!$W$5:$W$254,MATCH(C880,Materials!$A$5:$A$254,0)),DefaultWaste)))</f>
        <v>0</v>
      </c>
      <c r="K880" s="36">
        <f>IF(C880="","",IF(F880="","",ROUND(F880*(1+J880),4)))</f>
        <v>0</v>
      </c>
      <c r="L880" s="45">
        <f>IF(C880="","",IFERROR(INDEX(Materials!$S$5:$S$254,MATCH(C880,Materials!$A$5:$A$254,0)),""))</f>
        <v>0</v>
      </c>
      <c r="M880" s="45">
        <f>IF(C880="","",IF(OR(K880="",L880=""),"",ROUND(K880*L880,4)))</f>
        <v>0</v>
      </c>
      <c r="N880" s="20">
        <f>IF(A880="","",ROUND(SUMIFS('Material Usage'!$M$5:$M$904,'Material Usage'!$A$5:$A$904,A880),2))</f>
        <v>0</v>
      </c>
      <c r="O880" s="33">
        <f>IF(A880="","",IF(OR(M880="",N880="",N880=0),"",M880/N880))</f>
        <v>0</v>
      </c>
      <c r="P880" s="32">
        <f>IF(A880="","",COUNTIFS($A$5:A880,A880))</f>
        <v>0</v>
      </c>
      <c r="Q880" s="13">
        <f>IF(A880="","",A880&amp;"|"&amp;P880)</f>
        <v>0</v>
      </c>
      <c r="R880" s="43">
        <f>IF(AND(A880="",C880=""),"",IF(A880="","Add - which product?",IF(C880="","Add - which material?",IF(B880="Not found","Check - no such product ID",IF(D880="Add to Materials","Check - no such material ID",IF(OR(F880="",F880=0),"Add - how much?",IF(L880="","Check - that material has no price","OK")))))))</f>
        <v>0</v>
      </c>
    </row>
    <row r="881" spans="2:18">
      <c r="B881" s="13">
        <f>IF(A881="","",IFERROR(INDEX(Products!$B$5:$B$304,MATCH(A881,Products!$A$5:$A$304,0)),"Not found"))</f>
        <v>0</v>
      </c>
      <c r="D881" s="13">
        <f>IF(C881="","",IFERROR(INDEX(Materials!$B$5:$B$254,MATCH(C881,Materials!$A$5:$A$254,0)),"Add to Materials"))</f>
        <v>0</v>
      </c>
      <c r="E881" s="13">
        <f>IF(C881="","",IFERROR(INDEX(Materials!$H$5:$H$254,MATCH(C881,Materials!$A$5:$A$254,0)),"Add to Materials"))</f>
        <v>0</v>
      </c>
      <c r="J881" s="33">
        <f>IF(C881="","",IF(G881&lt;&gt;"",G881,IFERROR(INDEX(Materials!$W$5:$W$254,MATCH(C881,Materials!$A$5:$A$254,0)),DefaultWaste)))</f>
        <v>0</v>
      </c>
      <c r="K881" s="36">
        <f>IF(C881="","",IF(F881="","",ROUND(F881*(1+J881),4)))</f>
        <v>0</v>
      </c>
      <c r="L881" s="45">
        <f>IF(C881="","",IFERROR(INDEX(Materials!$S$5:$S$254,MATCH(C881,Materials!$A$5:$A$254,0)),""))</f>
        <v>0</v>
      </c>
      <c r="M881" s="45">
        <f>IF(C881="","",IF(OR(K881="",L881=""),"",ROUND(K881*L881,4)))</f>
        <v>0</v>
      </c>
      <c r="N881" s="20">
        <f>IF(A881="","",ROUND(SUMIFS('Material Usage'!$M$5:$M$904,'Material Usage'!$A$5:$A$904,A881),2))</f>
        <v>0</v>
      </c>
      <c r="O881" s="33">
        <f>IF(A881="","",IF(OR(M881="",N881="",N881=0),"",M881/N881))</f>
        <v>0</v>
      </c>
      <c r="P881" s="32">
        <f>IF(A881="","",COUNTIFS($A$5:A881,A881))</f>
        <v>0</v>
      </c>
      <c r="Q881" s="13">
        <f>IF(A881="","",A881&amp;"|"&amp;P881)</f>
        <v>0</v>
      </c>
      <c r="R881" s="43">
        <f>IF(AND(A881="",C881=""),"",IF(A881="","Add - which product?",IF(C881="","Add - which material?",IF(B881="Not found","Check - no such product ID",IF(D881="Add to Materials","Check - no such material ID",IF(OR(F881="",F881=0),"Add - how much?",IF(L881="","Check - that material has no price","OK")))))))</f>
        <v>0</v>
      </c>
    </row>
    <row r="882" spans="2:18">
      <c r="B882" s="13">
        <f>IF(A882="","",IFERROR(INDEX(Products!$B$5:$B$304,MATCH(A882,Products!$A$5:$A$304,0)),"Not found"))</f>
        <v>0</v>
      </c>
      <c r="D882" s="13">
        <f>IF(C882="","",IFERROR(INDEX(Materials!$B$5:$B$254,MATCH(C882,Materials!$A$5:$A$254,0)),"Add to Materials"))</f>
        <v>0</v>
      </c>
      <c r="E882" s="13">
        <f>IF(C882="","",IFERROR(INDEX(Materials!$H$5:$H$254,MATCH(C882,Materials!$A$5:$A$254,0)),"Add to Materials"))</f>
        <v>0</v>
      </c>
      <c r="J882" s="33">
        <f>IF(C882="","",IF(G882&lt;&gt;"",G882,IFERROR(INDEX(Materials!$W$5:$W$254,MATCH(C882,Materials!$A$5:$A$254,0)),DefaultWaste)))</f>
        <v>0</v>
      </c>
      <c r="K882" s="36">
        <f>IF(C882="","",IF(F882="","",ROUND(F882*(1+J882),4)))</f>
        <v>0</v>
      </c>
      <c r="L882" s="45">
        <f>IF(C882="","",IFERROR(INDEX(Materials!$S$5:$S$254,MATCH(C882,Materials!$A$5:$A$254,0)),""))</f>
        <v>0</v>
      </c>
      <c r="M882" s="45">
        <f>IF(C882="","",IF(OR(K882="",L882=""),"",ROUND(K882*L882,4)))</f>
        <v>0</v>
      </c>
      <c r="N882" s="20">
        <f>IF(A882="","",ROUND(SUMIFS('Material Usage'!$M$5:$M$904,'Material Usage'!$A$5:$A$904,A882),2))</f>
        <v>0</v>
      </c>
      <c r="O882" s="33">
        <f>IF(A882="","",IF(OR(M882="",N882="",N882=0),"",M882/N882))</f>
        <v>0</v>
      </c>
      <c r="P882" s="32">
        <f>IF(A882="","",COUNTIFS($A$5:A882,A882))</f>
        <v>0</v>
      </c>
      <c r="Q882" s="13">
        <f>IF(A882="","",A882&amp;"|"&amp;P882)</f>
        <v>0</v>
      </c>
      <c r="R882" s="43">
        <f>IF(AND(A882="",C882=""),"",IF(A882="","Add - which product?",IF(C882="","Add - which material?",IF(B882="Not found","Check - no such product ID",IF(D882="Add to Materials","Check - no such material ID",IF(OR(F882="",F882=0),"Add - how much?",IF(L882="","Check - that material has no price","OK")))))))</f>
        <v>0</v>
      </c>
    </row>
    <row r="883" spans="2:18">
      <c r="B883" s="13">
        <f>IF(A883="","",IFERROR(INDEX(Products!$B$5:$B$304,MATCH(A883,Products!$A$5:$A$304,0)),"Not found"))</f>
        <v>0</v>
      </c>
      <c r="D883" s="13">
        <f>IF(C883="","",IFERROR(INDEX(Materials!$B$5:$B$254,MATCH(C883,Materials!$A$5:$A$254,0)),"Add to Materials"))</f>
        <v>0</v>
      </c>
      <c r="E883" s="13">
        <f>IF(C883="","",IFERROR(INDEX(Materials!$H$5:$H$254,MATCH(C883,Materials!$A$5:$A$254,0)),"Add to Materials"))</f>
        <v>0</v>
      </c>
      <c r="J883" s="33">
        <f>IF(C883="","",IF(G883&lt;&gt;"",G883,IFERROR(INDEX(Materials!$W$5:$W$254,MATCH(C883,Materials!$A$5:$A$254,0)),DefaultWaste)))</f>
        <v>0</v>
      </c>
      <c r="K883" s="36">
        <f>IF(C883="","",IF(F883="","",ROUND(F883*(1+J883),4)))</f>
        <v>0</v>
      </c>
      <c r="L883" s="45">
        <f>IF(C883="","",IFERROR(INDEX(Materials!$S$5:$S$254,MATCH(C883,Materials!$A$5:$A$254,0)),""))</f>
        <v>0</v>
      </c>
      <c r="M883" s="45">
        <f>IF(C883="","",IF(OR(K883="",L883=""),"",ROUND(K883*L883,4)))</f>
        <v>0</v>
      </c>
      <c r="N883" s="20">
        <f>IF(A883="","",ROUND(SUMIFS('Material Usage'!$M$5:$M$904,'Material Usage'!$A$5:$A$904,A883),2))</f>
        <v>0</v>
      </c>
      <c r="O883" s="33">
        <f>IF(A883="","",IF(OR(M883="",N883="",N883=0),"",M883/N883))</f>
        <v>0</v>
      </c>
      <c r="P883" s="32">
        <f>IF(A883="","",COUNTIFS($A$5:A883,A883))</f>
        <v>0</v>
      </c>
      <c r="Q883" s="13">
        <f>IF(A883="","",A883&amp;"|"&amp;P883)</f>
        <v>0</v>
      </c>
      <c r="R883" s="43">
        <f>IF(AND(A883="",C883=""),"",IF(A883="","Add - which product?",IF(C883="","Add - which material?",IF(B883="Not found","Check - no such product ID",IF(D883="Add to Materials","Check - no such material ID",IF(OR(F883="",F883=0),"Add - how much?",IF(L883="","Check - that material has no price","OK")))))))</f>
        <v>0</v>
      </c>
    </row>
    <row r="884" spans="2:18">
      <c r="B884" s="13">
        <f>IF(A884="","",IFERROR(INDEX(Products!$B$5:$B$304,MATCH(A884,Products!$A$5:$A$304,0)),"Not found"))</f>
        <v>0</v>
      </c>
      <c r="D884" s="13">
        <f>IF(C884="","",IFERROR(INDEX(Materials!$B$5:$B$254,MATCH(C884,Materials!$A$5:$A$254,0)),"Add to Materials"))</f>
        <v>0</v>
      </c>
      <c r="E884" s="13">
        <f>IF(C884="","",IFERROR(INDEX(Materials!$H$5:$H$254,MATCH(C884,Materials!$A$5:$A$254,0)),"Add to Materials"))</f>
        <v>0</v>
      </c>
      <c r="J884" s="33">
        <f>IF(C884="","",IF(G884&lt;&gt;"",G884,IFERROR(INDEX(Materials!$W$5:$W$254,MATCH(C884,Materials!$A$5:$A$254,0)),DefaultWaste)))</f>
        <v>0</v>
      </c>
      <c r="K884" s="36">
        <f>IF(C884="","",IF(F884="","",ROUND(F884*(1+J884),4)))</f>
        <v>0</v>
      </c>
      <c r="L884" s="45">
        <f>IF(C884="","",IFERROR(INDEX(Materials!$S$5:$S$254,MATCH(C884,Materials!$A$5:$A$254,0)),""))</f>
        <v>0</v>
      </c>
      <c r="M884" s="45">
        <f>IF(C884="","",IF(OR(K884="",L884=""),"",ROUND(K884*L884,4)))</f>
        <v>0</v>
      </c>
      <c r="N884" s="20">
        <f>IF(A884="","",ROUND(SUMIFS('Material Usage'!$M$5:$M$904,'Material Usage'!$A$5:$A$904,A884),2))</f>
        <v>0</v>
      </c>
      <c r="O884" s="33">
        <f>IF(A884="","",IF(OR(M884="",N884="",N884=0),"",M884/N884))</f>
        <v>0</v>
      </c>
      <c r="P884" s="32">
        <f>IF(A884="","",COUNTIFS($A$5:A884,A884))</f>
        <v>0</v>
      </c>
      <c r="Q884" s="13">
        <f>IF(A884="","",A884&amp;"|"&amp;P884)</f>
        <v>0</v>
      </c>
      <c r="R884" s="43">
        <f>IF(AND(A884="",C884=""),"",IF(A884="","Add - which product?",IF(C884="","Add - which material?",IF(B884="Not found","Check - no such product ID",IF(D884="Add to Materials","Check - no such material ID",IF(OR(F884="",F884=0),"Add - how much?",IF(L884="","Check - that material has no price","OK")))))))</f>
        <v>0</v>
      </c>
    </row>
    <row r="885" spans="2:18">
      <c r="B885" s="13">
        <f>IF(A885="","",IFERROR(INDEX(Products!$B$5:$B$304,MATCH(A885,Products!$A$5:$A$304,0)),"Not found"))</f>
        <v>0</v>
      </c>
      <c r="D885" s="13">
        <f>IF(C885="","",IFERROR(INDEX(Materials!$B$5:$B$254,MATCH(C885,Materials!$A$5:$A$254,0)),"Add to Materials"))</f>
        <v>0</v>
      </c>
      <c r="E885" s="13">
        <f>IF(C885="","",IFERROR(INDEX(Materials!$H$5:$H$254,MATCH(C885,Materials!$A$5:$A$254,0)),"Add to Materials"))</f>
        <v>0</v>
      </c>
      <c r="J885" s="33">
        <f>IF(C885="","",IF(G885&lt;&gt;"",G885,IFERROR(INDEX(Materials!$W$5:$W$254,MATCH(C885,Materials!$A$5:$A$254,0)),DefaultWaste)))</f>
        <v>0</v>
      </c>
      <c r="K885" s="36">
        <f>IF(C885="","",IF(F885="","",ROUND(F885*(1+J885),4)))</f>
        <v>0</v>
      </c>
      <c r="L885" s="45">
        <f>IF(C885="","",IFERROR(INDEX(Materials!$S$5:$S$254,MATCH(C885,Materials!$A$5:$A$254,0)),""))</f>
        <v>0</v>
      </c>
      <c r="M885" s="45">
        <f>IF(C885="","",IF(OR(K885="",L885=""),"",ROUND(K885*L885,4)))</f>
        <v>0</v>
      </c>
      <c r="N885" s="20">
        <f>IF(A885="","",ROUND(SUMIFS('Material Usage'!$M$5:$M$904,'Material Usage'!$A$5:$A$904,A885),2))</f>
        <v>0</v>
      </c>
      <c r="O885" s="33">
        <f>IF(A885="","",IF(OR(M885="",N885="",N885=0),"",M885/N885))</f>
        <v>0</v>
      </c>
      <c r="P885" s="32">
        <f>IF(A885="","",COUNTIFS($A$5:A885,A885))</f>
        <v>0</v>
      </c>
      <c r="Q885" s="13">
        <f>IF(A885="","",A885&amp;"|"&amp;P885)</f>
        <v>0</v>
      </c>
      <c r="R885" s="43">
        <f>IF(AND(A885="",C885=""),"",IF(A885="","Add - which product?",IF(C885="","Add - which material?",IF(B885="Not found","Check - no such product ID",IF(D885="Add to Materials","Check - no such material ID",IF(OR(F885="",F885=0),"Add - how much?",IF(L885="","Check - that material has no price","OK")))))))</f>
        <v>0</v>
      </c>
    </row>
    <row r="886" spans="2:18">
      <c r="B886" s="13">
        <f>IF(A886="","",IFERROR(INDEX(Products!$B$5:$B$304,MATCH(A886,Products!$A$5:$A$304,0)),"Not found"))</f>
        <v>0</v>
      </c>
      <c r="D886" s="13">
        <f>IF(C886="","",IFERROR(INDEX(Materials!$B$5:$B$254,MATCH(C886,Materials!$A$5:$A$254,0)),"Add to Materials"))</f>
        <v>0</v>
      </c>
      <c r="E886" s="13">
        <f>IF(C886="","",IFERROR(INDEX(Materials!$H$5:$H$254,MATCH(C886,Materials!$A$5:$A$254,0)),"Add to Materials"))</f>
        <v>0</v>
      </c>
      <c r="J886" s="33">
        <f>IF(C886="","",IF(G886&lt;&gt;"",G886,IFERROR(INDEX(Materials!$W$5:$W$254,MATCH(C886,Materials!$A$5:$A$254,0)),DefaultWaste)))</f>
        <v>0</v>
      </c>
      <c r="K886" s="36">
        <f>IF(C886="","",IF(F886="","",ROUND(F886*(1+J886),4)))</f>
        <v>0</v>
      </c>
      <c r="L886" s="45">
        <f>IF(C886="","",IFERROR(INDEX(Materials!$S$5:$S$254,MATCH(C886,Materials!$A$5:$A$254,0)),""))</f>
        <v>0</v>
      </c>
      <c r="M886" s="45">
        <f>IF(C886="","",IF(OR(K886="",L886=""),"",ROUND(K886*L886,4)))</f>
        <v>0</v>
      </c>
      <c r="N886" s="20">
        <f>IF(A886="","",ROUND(SUMIFS('Material Usage'!$M$5:$M$904,'Material Usage'!$A$5:$A$904,A886),2))</f>
        <v>0</v>
      </c>
      <c r="O886" s="33">
        <f>IF(A886="","",IF(OR(M886="",N886="",N886=0),"",M886/N886))</f>
        <v>0</v>
      </c>
      <c r="P886" s="32">
        <f>IF(A886="","",COUNTIFS($A$5:A886,A886))</f>
        <v>0</v>
      </c>
      <c r="Q886" s="13">
        <f>IF(A886="","",A886&amp;"|"&amp;P886)</f>
        <v>0</v>
      </c>
      <c r="R886" s="43">
        <f>IF(AND(A886="",C886=""),"",IF(A886="","Add - which product?",IF(C886="","Add - which material?",IF(B886="Not found","Check - no such product ID",IF(D886="Add to Materials","Check - no such material ID",IF(OR(F886="",F886=0),"Add - how much?",IF(L886="","Check - that material has no price","OK")))))))</f>
        <v>0</v>
      </c>
    </row>
    <row r="887" spans="2:18">
      <c r="B887" s="13">
        <f>IF(A887="","",IFERROR(INDEX(Products!$B$5:$B$304,MATCH(A887,Products!$A$5:$A$304,0)),"Not found"))</f>
        <v>0</v>
      </c>
      <c r="D887" s="13">
        <f>IF(C887="","",IFERROR(INDEX(Materials!$B$5:$B$254,MATCH(C887,Materials!$A$5:$A$254,0)),"Add to Materials"))</f>
        <v>0</v>
      </c>
      <c r="E887" s="13">
        <f>IF(C887="","",IFERROR(INDEX(Materials!$H$5:$H$254,MATCH(C887,Materials!$A$5:$A$254,0)),"Add to Materials"))</f>
        <v>0</v>
      </c>
      <c r="J887" s="33">
        <f>IF(C887="","",IF(G887&lt;&gt;"",G887,IFERROR(INDEX(Materials!$W$5:$W$254,MATCH(C887,Materials!$A$5:$A$254,0)),DefaultWaste)))</f>
        <v>0</v>
      </c>
      <c r="K887" s="36">
        <f>IF(C887="","",IF(F887="","",ROUND(F887*(1+J887),4)))</f>
        <v>0</v>
      </c>
      <c r="L887" s="45">
        <f>IF(C887="","",IFERROR(INDEX(Materials!$S$5:$S$254,MATCH(C887,Materials!$A$5:$A$254,0)),""))</f>
        <v>0</v>
      </c>
      <c r="M887" s="45">
        <f>IF(C887="","",IF(OR(K887="",L887=""),"",ROUND(K887*L887,4)))</f>
        <v>0</v>
      </c>
      <c r="N887" s="20">
        <f>IF(A887="","",ROUND(SUMIFS('Material Usage'!$M$5:$M$904,'Material Usage'!$A$5:$A$904,A887),2))</f>
        <v>0</v>
      </c>
      <c r="O887" s="33">
        <f>IF(A887="","",IF(OR(M887="",N887="",N887=0),"",M887/N887))</f>
        <v>0</v>
      </c>
      <c r="P887" s="32">
        <f>IF(A887="","",COUNTIFS($A$5:A887,A887))</f>
        <v>0</v>
      </c>
      <c r="Q887" s="13">
        <f>IF(A887="","",A887&amp;"|"&amp;P887)</f>
        <v>0</v>
      </c>
      <c r="R887" s="43">
        <f>IF(AND(A887="",C887=""),"",IF(A887="","Add - which product?",IF(C887="","Add - which material?",IF(B887="Not found","Check - no such product ID",IF(D887="Add to Materials","Check - no such material ID",IF(OR(F887="",F887=0),"Add - how much?",IF(L887="","Check - that material has no price","OK")))))))</f>
        <v>0</v>
      </c>
    </row>
    <row r="888" spans="2:18">
      <c r="B888" s="13">
        <f>IF(A888="","",IFERROR(INDEX(Products!$B$5:$B$304,MATCH(A888,Products!$A$5:$A$304,0)),"Not found"))</f>
        <v>0</v>
      </c>
      <c r="D888" s="13">
        <f>IF(C888="","",IFERROR(INDEX(Materials!$B$5:$B$254,MATCH(C888,Materials!$A$5:$A$254,0)),"Add to Materials"))</f>
        <v>0</v>
      </c>
      <c r="E888" s="13">
        <f>IF(C888="","",IFERROR(INDEX(Materials!$H$5:$H$254,MATCH(C888,Materials!$A$5:$A$254,0)),"Add to Materials"))</f>
        <v>0</v>
      </c>
      <c r="J888" s="33">
        <f>IF(C888="","",IF(G888&lt;&gt;"",G888,IFERROR(INDEX(Materials!$W$5:$W$254,MATCH(C888,Materials!$A$5:$A$254,0)),DefaultWaste)))</f>
        <v>0</v>
      </c>
      <c r="K888" s="36">
        <f>IF(C888="","",IF(F888="","",ROUND(F888*(1+J888),4)))</f>
        <v>0</v>
      </c>
      <c r="L888" s="45">
        <f>IF(C888="","",IFERROR(INDEX(Materials!$S$5:$S$254,MATCH(C888,Materials!$A$5:$A$254,0)),""))</f>
        <v>0</v>
      </c>
      <c r="M888" s="45">
        <f>IF(C888="","",IF(OR(K888="",L888=""),"",ROUND(K888*L888,4)))</f>
        <v>0</v>
      </c>
      <c r="N888" s="20">
        <f>IF(A888="","",ROUND(SUMIFS('Material Usage'!$M$5:$M$904,'Material Usage'!$A$5:$A$904,A888),2))</f>
        <v>0</v>
      </c>
      <c r="O888" s="33">
        <f>IF(A888="","",IF(OR(M888="",N888="",N888=0),"",M888/N888))</f>
        <v>0</v>
      </c>
      <c r="P888" s="32">
        <f>IF(A888="","",COUNTIFS($A$5:A888,A888))</f>
        <v>0</v>
      </c>
      <c r="Q888" s="13">
        <f>IF(A888="","",A888&amp;"|"&amp;P888)</f>
        <v>0</v>
      </c>
      <c r="R888" s="43">
        <f>IF(AND(A888="",C888=""),"",IF(A888="","Add - which product?",IF(C888="","Add - which material?",IF(B888="Not found","Check - no such product ID",IF(D888="Add to Materials","Check - no such material ID",IF(OR(F888="",F888=0),"Add - how much?",IF(L888="","Check - that material has no price","OK")))))))</f>
        <v>0</v>
      </c>
    </row>
    <row r="889" spans="2:18">
      <c r="B889" s="13">
        <f>IF(A889="","",IFERROR(INDEX(Products!$B$5:$B$304,MATCH(A889,Products!$A$5:$A$304,0)),"Not found"))</f>
        <v>0</v>
      </c>
      <c r="D889" s="13">
        <f>IF(C889="","",IFERROR(INDEX(Materials!$B$5:$B$254,MATCH(C889,Materials!$A$5:$A$254,0)),"Add to Materials"))</f>
        <v>0</v>
      </c>
      <c r="E889" s="13">
        <f>IF(C889="","",IFERROR(INDEX(Materials!$H$5:$H$254,MATCH(C889,Materials!$A$5:$A$254,0)),"Add to Materials"))</f>
        <v>0</v>
      </c>
      <c r="J889" s="33">
        <f>IF(C889="","",IF(G889&lt;&gt;"",G889,IFERROR(INDEX(Materials!$W$5:$W$254,MATCH(C889,Materials!$A$5:$A$254,0)),DefaultWaste)))</f>
        <v>0</v>
      </c>
      <c r="K889" s="36">
        <f>IF(C889="","",IF(F889="","",ROUND(F889*(1+J889),4)))</f>
        <v>0</v>
      </c>
      <c r="L889" s="45">
        <f>IF(C889="","",IFERROR(INDEX(Materials!$S$5:$S$254,MATCH(C889,Materials!$A$5:$A$254,0)),""))</f>
        <v>0</v>
      </c>
      <c r="M889" s="45">
        <f>IF(C889="","",IF(OR(K889="",L889=""),"",ROUND(K889*L889,4)))</f>
        <v>0</v>
      </c>
      <c r="N889" s="20">
        <f>IF(A889="","",ROUND(SUMIFS('Material Usage'!$M$5:$M$904,'Material Usage'!$A$5:$A$904,A889),2))</f>
        <v>0</v>
      </c>
      <c r="O889" s="33">
        <f>IF(A889="","",IF(OR(M889="",N889="",N889=0),"",M889/N889))</f>
        <v>0</v>
      </c>
      <c r="P889" s="32">
        <f>IF(A889="","",COUNTIFS($A$5:A889,A889))</f>
        <v>0</v>
      </c>
      <c r="Q889" s="13">
        <f>IF(A889="","",A889&amp;"|"&amp;P889)</f>
        <v>0</v>
      </c>
      <c r="R889" s="43">
        <f>IF(AND(A889="",C889=""),"",IF(A889="","Add - which product?",IF(C889="","Add - which material?",IF(B889="Not found","Check - no such product ID",IF(D889="Add to Materials","Check - no such material ID",IF(OR(F889="",F889=0),"Add - how much?",IF(L889="","Check - that material has no price","OK")))))))</f>
        <v>0</v>
      </c>
    </row>
    <row r="890" spans="2:18">
      <c r="B890" s="13">
        <f>IF(A890="","",IFERROR(INDEX(Products!$B$5:$B$304,MATCH(A890,Products!$A$5:$A$304,0)),"Not found"))</f>
        <v>0</v>
      </c>
      <c r="D890" s="13">
        <f>IF(C890="","",IFERROR(INDEX(Materials!$B$5:$B$254,MATCH(C890,Materials!$A$5:$A$254,0)),"Add to Materials"))</f>
        <v>0</v>
      </c>
      <c r="E890" s="13">
        <f>IF(C890="","",IFERROR(INDEX(Materials!$H$5:$H$254,MATCH(C890,Materials!$A$5:$A$254,0)),"Add to Materials"))</f>
        <v>0</v>
      </c>
      <c r="J890" s="33">
        <f>IF(C890="","",IF(G890&lt;&gt;"",G890,IFERROR(INDEX(Materials!$W$5:$W$254,MATCH(C890,Materials!$A$5:$A$254,0)),DefaultWaste)))</f>
        <v>0</v>
      </c>
      <c r="K890" s="36">
        <f>IF(C890="","",IF(F890="","",ROUND(F890*(1+J890),4)))</f>
        <v>0</v>
      </c>
      <c r="L890" s="45">
        <f>IF(C890="","",IFERROR(INDEX(Materials!$S$5:$S$254,MATCH(C890,Materials!$A$5:$A$254,0)),""))</f>
        <v>0</v>
      </c>
      <c r="M890" s="45">
        <f>IF(C890="","",IF(OR(K890="",L890=""),"",ROUND(K890*L890,4)))</f>
        <v>0</v>
      </c>
      <c r="N890" s="20">
        <f>IF(A890="","",ROUND(SUMIFS('Material Usage'!$M$5:$M$904,'Material Usage'!$A$5:$A$904,A890),2))</f>
        <v>0</v>
      </c>
      <c r="O890" s="33">
        <f>IF(A890="","",IF(OR(M890="",N890="",N890=0),"",M890/N890))</f>
        <v>0</v>
      </c>
      <c r="P890" s="32">
        <f>IF(A890="","",COUNTIFS($A$5:A890,A890))</f>
        <v>0</v>
      </c>
      <c r="Q890" s="13">
        <f>IF(A890="","",A890&amp;"|"&amp;P890)</f>
        <v>0</v>
      </c>
      <c r="R890" s="43">
        <f>IF(AND(A890="",C890=""),"",IF(A890="","Add - which product?",IF(C890="","Add - which material?",IF(B890="Not found","Check - no such product ID",IF(D890="Add to Materials","Check - no such material ID",IF(OR(F890="",F890=0),"Add - how much?",IF(L890="","Check - that material has no price","OK")))))))</f>
        <v>0</v>
      </c>
    </row>
    <row r="891" spans="2:18">
      <c r="B891" s="13">
        <f>IF(A891="","",IFERROR(INDEX(Products!$B$5:$B$304,MATCH(A891,Products!$A$5:$A$304,0)),"Not found"))</f>
        <v>0</v>
      </c>
      <c r="D891" s="13">
        <f>IF(C891="","",IFERROR(INDEX(Materials!$B$5:$B$254,MATCH(C891,Materials!$A$5:$A$254,0)),"Add to Materials"))</f>
        <v>0</v>
      </c>
      <c r="E891" s="13">
        <f>IF(C891="","",IFERROR(INDEX(Materials!$H$5:$H$254,MATCH(C891,Materials!$A$5:$A$254,0)),"Add to Materials"))</f>
        <v>0</v>
      </c>
      <c r="J891" s="33">
        <f>IF(C891="","",IF(G891&lt;&gt;"",G891,IFERROR(INDEX(Materials!$W$5:$W$254,MATCH(C891,Materials!$A$5:$A$254,0)),DefaultWaste)))</f>
        <v>0</v>
      </c>
      <c r="K891" s="36">
        <f>IF(C891="","",IF(F891="","",ROUND(F891*(1+J891),4)))</f>
        <v>0</v>
      </c>
      <c r="L891" s="45">
        <f>IF(C891="","",IFERROR(INDEX(Materials!$S$5:$S$254,MATCH(C891,Materials!$A$5:$A$254,0)),""))</f>
        <v>0</v>
      </c>
      <c r="M891" s="45">
        <f>IF(C891="","",IF(OR(K891="",L891=""),"",ROUND(K891*L891,4)))</f>
        <v>0</v>
      </c>
      <c r="N891" s="20">
        <f>IF(A891="","",ROUND(SUMIFS('Material Usage'!$M$5:$M$904,'Material Usage'!$A$5:$A$904,A891),2))</f>
        <v>0</v>
      </c>
      <c r="O891" s="33">
        <f>IF(A891="","",IF(OR(M891="",N891="",N891=0),"",M891/N891))</f>
        <v>0</v>
      </c>
      <c r="P891" s="32">
        <f>IF(A891="","",COUNTIFS($A$5:A891,A891))</f>
        <v>0</v>
      </c>
      <c r="Q891" s="13">
        <f>IF(A891="","",A891&amp;"|"&amp;P891)</f>
        <v>0</v>
      </c>
      <c r="R891" s="43">
        <f>IF(AND(A891="",C891=""),"",IF(A891="","Add - which product?",IF(C891="","Add - which material?",IF(B891="Not found","Check - no such product ID",IF(D891="Add to Materials","Check - no such material ID",IF(OR(F891="",F891=0),"Add - how much?",IF(L891="","Check - that material has no price","OK")))))))</f>
        <v>0</v>
      </c>
    </row>
    <row r="892" spans="2:18">
      <c r="B892" s="13">
        <f>IF(A892="","",IFERROR(INDEX(Products!$B$5:$B$304,MATCH(A892,Products!$A$5:$A$304,0)),"Not found"))</f>
        <v>0</v>
      </c>
      <c r="D892" s="13">
        <f>IF(C892="","",IFERROR(INDEX(Materials!$B$5:$B$254,MATCH(C892,Materials!$A$5:$A$254,0)),"Add to Materials"))</f>
        <v>0</v>
      </c>
      <c r="E892" s="13">
        <f>IF(C892="","",IFERROR(INDEX(Materials!$H$5:$H$254,MATCH(C892,Materials!$A$5:$A$254,0)),"Add to Materials"))</f>
        <v>0</v>
      </c>
      <c r="J892" s="33">
        <f>IF(C892="","",IF(G892&lt;&gt;"",G892,IFERROR(INDEX(Materials!$W$5:$W$254,MATCH(C892,Materials!$A$5:$A$254,0)),DefaultWaste)))</f>
        <v>0</v>
      </c>
      <c r="K892" s="36">
        <f>IF(C892="","",IF(F892="","",ROUND(F892*(1+J892),4)))</f>
        <v>0</v>
      </c>
      <c r="L892" s="45">
        <f>IF(C892="","",IFERROR(INDEX(Materials!$S$5:$S$254,MATCH(C892,Materials!$A$5:$A$254,0)),""))</f>
        <v>0</v>
      </c>
      <c r="M892" s="45">
        <f>IF(C892="","",IF(OR(K892="",L892=""),"",ROUND(K892*L892,4)))</f>
        <v>0</v>
      </c>
      <c r="N892" s="20">
        <f>IF(A892="","",ROUND(SUMIFS('Material Usage'!$M$5:$M$904,'Material Usage'!$A$5:$A$904,A892),2))</f>
        <v>0</v>
      </c>
      <c r="O892" s="33">
        <f>IF(A892="","",IF(OR(M892="",N892="",N892=0),"",M892/N892))</f>
        <v>0</v>
      </c>
      <c r="P892" s="32">
        <f>IF(A892="","",COUNTIFS($A$5:A892,A892))</f>
        <v>0</v>
      </c>
      <c r="Q892" s="13">
        <f>IF(A892="","",A892&amp;"|"&amp;P892)</f>
        <v>0</v>
      </c>
      <c r="R892" s="43">
        <f>IF(AND(A892="",C892=""),"",IF(A892="","Add - which product?",IF(C892="","Add - which material?",IF(B892="Not found","Check - no such product ID",IF(D892="Add to Materials","Check - no such material ID",IF(OR(F892="",F892=0),"Add - how much?",IF(L892="","Check - that material has no price","OK")))))))</f>
        <v>0</v>
      </c>
    </row>
    <row r="893" spans="2:18">
      <c r="B893" s="13">
        <f>IF(A893="","",IFERROR(INDEX(Products!$B$5:$B$304,MATCH(A893,Products!$A$5:$A$304,0)),"Not found"))</f>
        <v>0</v>
      </c>
      <c r="D893" s="13">
        <f>IF(C893="","",IFERROR(INDEX(Materials!$B$5:$B$254,MATCH(C893,Materials!$A$5:$A$254,0)),"Add to Materials"))</f>
        <v>0</v>
      </c>
      <c r="E893" s="13">
        <f>IF(C893="","",IFERROR(INDEX(Materials!$H$5:$H$254,MATCH(C893,Materials!$A$5:$A$254,0)),"Add to Materials"))</f>
        <v>0</v>
      </c>
      <c r="J893" s="33">
        <f>IF(C893="","",IF(G893&lt;&gt;"",G893,IFERROR(INDEX(Materials!$W$5:$W$254,MATCH(C893,Materials!$A$5:$A$254,0)),DefaultWaste)))</f>
        <v>0</v>
      </c>
      <c r="K893" s="36">
        <f>IF(C893="","",IF(F893="","",ROUND(F893*(1+J893),4)))</f>
        <v>0</v>
      </c>
      <c r="L893" s="45">
        <f>IF(C893="","",IFERROR(INDEX(Materials!$S$5:$S$254,MATCH(C893,Materials!$A$5:$A$254,0)),""))</f>
        <v>0</v>
      </c>
      <c r="M893" s="45">
        <f>IF(C893="","",IF(OR(K893="",L893=""),"",ROUND(K893*L893,4)))</f>
        <v>0</v>
      </c>
      <c r="N893" s="20">
        <f>IF(A893="","",ROUND(SUMIFS('Material Usage'!$M$5:$M$904,'Material Usage'!$A$5:$A$904,A893),2))</f>
        <v>0</v>
      </c>
      <c r="O893" s="33">
        <f>IF(A893="","",IF(OR(M893="",N893="",N893=0),"",M893/N893))</f>
        <v>0</v>
      </c>
      <c r="P893" s="32">
        <f>IF(A893="","",COUNTIFS($A$5:A893,A893))</f>
        <v>0</v>
      </c>
      <c r="Q893" s="13">
        <f>IF(A893="","",A893&amp;"|"&amp;P893)</f>
        <v>0</v>
      </c>
      <c r="R893" s="43">
        <f>IF(AND(A893="",C893=""),"",IF(A893="","Add - which product?",IF(C893="","Add - which material?",IF(B893="Not found","Check - no such product ID",IF(D893="Add to Materials","Check - no such material ID",IF(OR(F893="",F893=0),"Add - how much?",IF(L893="","Check - that material has no price","OK")))))))</f>
        <v>0</v>
      </c>
    </row>
    <row r="894" spans="2:18">
      <c r="B894" s="13">
        <f>IF(A894="","",IFERROR(INDEX(Products!$B$5:$B$304,MATCH(A894,Products!$A$5:$A$304,0)),"Not found"))</f>
        <v>0</v>
      </c>
      <c r="D894" s="13">
        <f>IF(C894="","",IFERROR(INDEX(Materials!$B$5:$B$254,MATCH(C894,Materials!$A$5:$A$254,0)),"Add to Materials"))</f>
        <v>0</v>
      </c>
      <c r="E894" s="13">
        <f>IF(C894="","",IFERROR(INDEX(Materials!$H$5:$H$254,MATCH(C894,Materials!$A$5:$A$254,0)),"Add to Materials"))</f>
        <v>0</v>
      </c>
      <c r="J894" s="33">
        <f>IF(C894="","",IF(G894&lt;&gt;"",G894,IFERROR(INDEX(Materials!$W$5:$W$254,MATCH(C894,Materials!$A$5:$A$254,0)),DefaultWaste)))</f>
        <v>0</v>
      </c>
      <c r="K894" s="36">
        <f>IF(C894="","",IF(F894="","",ROUND(F894*(1+J894),4)))</f>
        <v>0</v>
      </c>
      <c r="L894" s="45">
        <f>IF(C894="","",IFERROR(INDEX(Materials!$S$5:$S$254,MATCH(C894,Materials!$A$5:$A$254,0)),""))</f>
        <v>0</v>
      </c>
      <c r="M894" s="45">
        <f>IF(C894="","",IF(OR(K894="",L894=""),"",ROUND(K894*L894,4)))</f>
        <v>0</v>
      </c>
      <c r="N894" s="20">
        <f>IF(A894="","",ROUND(SUMIFS('Material Usage'!$M$5:$M$904,'Material Usage'!$A$5:$A$904,A894),2))</f>
        <v>0</v>
      </c>
      <c r="O894" s="33">
        <f>IF(A894="","",IF(OR(M894="",N894="",N894=0),"",M894/N894))</f>
        <v>0</v>
      </c>
      <c r="P894" s="32">
        <f>IF(A894="","",COUNTIFS($A$5:A894,A894))</f>
        <v>0</v>
      </c>
      <c r="Q894" s="13">
        <f>IF(A894="","",A894&amp;"|"&amp;P894)</f>
        <v>0</v>
      </c>
      <c r="R894" s="43">
        <f>IF(AND(A894="",C894=""),"",IF(A894="","Add - which product?",IF(C894="","Add - which material?",IF(B894="Not found","Check - no such product ID",IF(D894="Add to Materials","Check - no such material ID",IF(OR(F894="",F894=0),"Add - how much?",IF(L894="","Check - that material has no price","OK")))))))</f>
        <v>0</v>
      </c>
    </row>
    <row r="895" spans="2:18">
      <c r="B895" s="13">
        <f>IF(A895="","",IFERROR(INDEX(Products!$B$5:$B$304,MATCH(A895,Products!$A$5:$A$304,0)),"Not found"))</f>
        <v>0</v>
      </c>
      <c r="D895" s="13">
        <f>IF(C895="","",IFERROR(INDEX(Materials!$B$5:$B$254,MATCH(C895,Materials!$A$5:$A$254,0)),"Add to Materials"))</f>
        <v>0</v>
      </c>
      <c r="E895" s="13">
        <f>IF(C895="","",IFERROR(INDEX(Materials!$H$5:$H$254,MATCH(C895,Materials!$A$5:$A$254,0)),"Add to Materials"))</f>
        <v>0</v>
      </c>
      <c r="J895" s="33">
        <f>IF(C895="","",IF(G895&lt;&gt;"",G895,IFERROR(INDEX(Materials!$W$5:$W$254,MATCH(C895,Materials!$A$5:$A$254,0)),DefaultWaste)))</f>
        <v>0</v>
      </c>
      <c r="K895" s="36">
        <f>IF(C895="","",IF(F895="","",ROUND(F895*(1+J895),4)))</f>
        <v>0</v>
      </c>
      <c r="L895" s="45">
        <f>IF(C895="","",IFERROR(INDEX(Materials!$S$5:$S$254,MATCH(C895,Materials!$A$5:$A$254,0)),""))</f>
        <v>0</v>
      </c>
      <c r="M895" s="45">
        <f>IF(C895="","",IF(OR(K895="",L895=""),"",ROUND(K895*L895,4)))</f>
        <v>0</v>
      </c>
      <c r="N895" s="20">
        <f>IF(A895="","",ROUND(SUMIFS('Material Usage'!$M$5:$M$904,'Material Usage'!$A$5:$A$904,A895),2))</f>
        <v>0</v>
      </c>
      <c r="O895" s="33">
        <f>IF(A895="","",IF(OR(M895="",N895="",N895=0),"",M895/N895))</f>
        <v>0</v>
      </c>
      <c r="P895" s="32">
        <f>IF(A895="","",COUNTIFS($A$5:A895,A895))</f>
        <v>0</v>
      </c>
      <c r="Q895" s="13">
        <f>IF(A895="","",A895&amp;"|"&amp;P895)</f>
        <v>0</v>
      </c>
      <c r="R895" s="43">
        <f>IF(AND(A895="",C895=""),"",IF(A895="","Add - which product?",IF(C895="","Add - which material?",IF(B895="Not found","Check - no such product ID",IF(D895="Add to Materials","Check - no such material ID",IF(OR(F895="",F895=0),"Add - how much?",IF(L895="","Check - that material has no price","OK")))))))</f>
        <v>0</v>
      </c>
    </row>
    <row r="896" spans="2:18">
      <c r="B896" s="13">
        <f>IF(A896="","",IFERROR(INDEX(Products!$B$5:$B$304,MATCH(A896,Products!$A$5:$A$304,0)),"Not found"))</f>
        <v>0</v>
      </c>
      <c r="D896" s="13">
        <f>IF(C896="","",IFERROR(INDEX(Materials!$B$5:$B$254,MATCH(C896,Materials!$A$5:$A$254,0)),"Add to Materials"))</f>
        <v>0</v>
      </c>
      <c r="E896" s="13">
        <f>IF(C896="","",IFERROR(INDEX(Materials!$H$5:$H$254,MATCH(C896,Materials!$A$5:$A$254,0)),"Add to Materials"))</f>
        <v>0</v>
      </c>
      <c r="J896" s="33">
        <f>IF(C896="","",IF(G896&lt;&gt;"",G896,IFERROR(INDEX(Materials!$W$5:$W$254,MATCH(C896,Materials!$A$5:$A$254,0)),DefaultWaste)))</f>
        <v>0</v>
      </c>
      <c r="K896" s="36">
        <f>IF(C896="","",IF(F896="","",ROUND(F896*(1+J896),4)))</f>
        <v>0</v>
      </c>
      <c r="L896" s="45">
        <f>IF(C896="","",IFERROR(INDEX(Materials!$S$5:$S$254,MATCH(C896,Materials!$A$5:$A$254,0)),""))</f>
        <v>0</v>
      </c>
      <c r="M896" s="45">
        <f>IF(C896="","",IF(OR(K896="",L896=""),"",ROUND(K896*L896,4)))</f>
        <v>0</v>
      </c>
      <c r="N896" s="20">
        <f>IF(A896="","",ROUND(SUMIFS('Material Usage'!$M$5:$M$904,'Material Usage'!$A$5:$A$904,A896),2))</f>
        <v>0</v>
      </c>
      <c r="O896" s="33">
        <f>IF(A896="","",IF(OR(M896="",N896="",N896=0),"",M896/N896))</f>
        <v>0</v>
      </c>
      <c r="P896" s="32">
        <f>IF(A896="","",COUNTIFS($A$5:A896,A896))</f>
        <v>0</v>
      </c>
      <c r="Q896" s="13">
        <f>IF(A896="","",A896&amp;"|"&amp;P896)</f>
        <v>0</v>
      </c>
      <c r="R896" s="43">
        <f>IF(AND(A896="",C896=""),"",IF(A896="","Add - which product?",IF(C896="","Add - which material?",IF(B896="Not found","Check - no such product ID",IF(D896="Add to Materials","Check - no such material ID",IF(OR(F896="",F896=0),"Add - how much?",IF(L896="","Check - that material has no price","OK")))))))</f>
        <v>0</v>
      </c>
    </row>
    <row r="897" spans="1:18">
      <c r="B897" s="13">
        <f>IF(A897="","",IFERROR(INDEX(Products!$B$5:$B$304,MATCH(A897,Products!$A$5:$A$304,0)),"Not found"))</f>
        <v>0</v>
      </c>
      <c r="D897" s="13">
        <f>IF(C897="","",IFERROR(INDEX(Materials!$B$5:$B$254,MATCH(C897,Materials!$A$5:$A$254,0)),"Add to Materials"))</f>
        <v>0</v>
      </c>
      <c r="E897" s="13">
        <f>IF(C897="","",IFERROR(INDEX(Materials!$H$5:$H$254,MATCH(C897,Materials!$A$5:$A$254,0)),"Add to Materials"))</f>
        <v>0</v>
      </c>
      <c r="J897" s="33">
        <f>IF(C897="","",IF(G897&lt;&gt;"",G897,IFERROR(INDEX(Materials!$W$5:$W$254,MATCH(C897,Materials!$A$5:$A$254,0)),DefaultWaste)))</f>
        <v>0</v>
      </c>
      <c r="K897" s="36">
        <f>IF(C897="","",IF(F897="","",ROUND(F897*(1+J897),4)))</f>
        <v>0</v>
      </c>
      <c r="L897" s="45">
        <f>IF(C897="","",IFERROR(INDEX(Materials!$S$5:$S$254,MATCH(C897,Materials!$A$5:$A$254,0)),""))</f>
        <v>0</v>
      </c>
      <c r="M897" s="45">
        <f>IF(C897="","",IF(OR(K897="",L897=""),"",ROUND(K897*L897,4)))</f>
        <v>0</v>
      </c>
      <c r="N897" s="20">
        <f>IF(A897="","",ROUND(SUMIFS('Material Usage'!$M$5:$M$904,'Material Usage'!$A$5:$A$904,A897),2))</f>
        <v>0</v>
      </c>
      <c r="O897" s="33">
        <f>IF(A897="","",IF(OR(M897="",N897="",N897=0),"",M897/N897))</f>
        <v>0</v>
      </c>
      <c r="P897" s="32">
        <f>IF(A897="","",COUNTIFS($A$5:A897,A897))</f>
        <v>0</v>
      </c>
      <c r="Q897" s="13">
        <f>IF(A897="","",A897&amp;"|"&amp;P897)</f>
        <v>0</v>
      </c>
      <c r="R897" s="43">
        <f>IF(AND(A897="",C897=""),"",IF(A897="","Add - which product?",IF(C897="","Add - which material?",IF(B897="Not found","Check - no such product ID",IF(D897="Add to Materials","Check - no such material ID",IF(OR(F897="",F897=0),"Add - how much?",IF(L897="","Check - that material has no price","OK")))))))</f>
        <v>0</v>
      </c>
    </row>
    <row r="898" spans="1:18">
      <c r="B898" s="13">
        <f>IF(A898="","",IFERROR(INDEX(Products!$B$5:$B$304,MATCH(A898,Products!$A$5:$A$304,0)),"Not found"))</f>
        <v>0</v>
      </c>
      <c r="D898" s="13">
        <f>IF(C898="","",IFERROR(INDEX(Materials!$B$5:$B$254,MATCH(C898,Materials!$A$5:$A$254,0)),"Add to Materials"))</f>
        <v>0</v>
      </c>
      <c r="E898" s="13">
        <f>IF(C898="","",IFERROR(INDEX(Materials!$H$5:$H$254,MATCH(C898,Materials!$A$5:$A$254,0)),"Add to Materials"))</f>
        <v>0</v>
      </c>
      <c r="J898" s="33">
        <f>IF(C898="","",IF(G898&lt;&gt;"",G898,IFERROR(INDEX(Materials!$W$5:$W$254,MATCH(C898,Materials!$A$5:$A$254,0)),DefaultWaste)))</f>
        <v>0</v>
      </c>
      <c r="K898" s="36">
        <f>IF(C898="","",IF(F898="","",ROUND(F898*(1+J898),4)))</f>
        <v>0</v>
      </c>
      <c r="L898" s="45">
        <f>IF(C898="","",IFERROR(INDEX(Materials!$S$5:$S$254,MATCH(C898,Materials!$A$5:$A$254,0)),""))</f>
        <v>0</v>
      </c>
      <c r="M898" s="45">
        <f>IF(C898="","",IF(OR(K898="",L898=""),"",ROUND(K898*L898,4)))</f>
        <v>0</v>
      </c>
      <c r="N898" s="20">
        <f>IF(A898="","",ROUND(SUMIFS('Material Usage'!$M$5:$M$904,'Material Usage'!$A$5:$A$904,A898),2))</f>
        <v>0</v>
      </c>
      <c r="O898" s="33">
        <f>IF(A898="","",IF(OR(M898="",N898="",N898=0),"",M898/N898))</f>
        <v>0</v>
      </c>
      <c r="P898" s="32">
        <f>IF(A898="","",COUNTIFS($A$5:A898,A898))</f>
        <v>0</v>
      </c>
      <c r="Q898" s="13">
        <f>IF(A898="","",A898&amp;"|"&amp;P898)</f>
        <v>0</v>
      </c>
      <c r="R898" s="43">
        <f>IF(AND(A898="",C898=""),"",IF(A898="","Add - which product?",IF(C898="","Add - which material?",IF(B898="Not found","Check - no such product ID",IF(D898="Add to Materials","Check - no such material ID",IF(OR(F898="",F898=0),"Add - how much?",IF(L898="","Check - that material has no price","OK")))))))</f>
        <v>0</v>
      </c>
    </row>
    <row r="899" spans="1:18">
      <c r="B899" s="13">
        <f>IF(A899="","",IFERROR(INDEX(Products!$B$5:$B$304,MATCH(A899,Products!$A$5:$A$304,0)),"Not found"))</f>
        <v>0</v>
      </c>
      <c r="D899" s="13">
        <f>IF(C899="","",IFERROR(INDEX(Materials!$B$5:$B$254,MATCH(C899,Materials!$A$5:$A$254,0)),"Add to Materials"))</f>
        <v>0</v>
      </c>
      <c r="E899" s="13">
        <f>IF(C899="","",IFERROR(INDEX(Materials!$H$5:$H$254,MATCH(C899,Materials!$A$5:$A$254,0)),"Add to Materials"))</f>
        <v>0</v>
      </c>
      <c r="J899" s="33">
        <f>IF(C899="","",IF(G899&lt;&gt;"",G899,IFERROR(INDEX(Materials!$W$5:$W$254,MATCH(C899,Materials!$A$5:$A$254,0)),DefaultWaste)))</f>
        <v>0</v>
      </c>
      <c r="K899" s="36">
        <f>IF(C899="","",IF(F899="","",ROUND(F899*(1+J899),4)))</f>
        <v>0</v>
      </c>
      <c r="L899" s="45">
        <f>IF(C899="","",IFERROR(INDEX(Materials!$S$5:$S$254,MATCH(C899,Materials!$A$5:$A$254,0)),""))</f>
        <v>0</v>
      </c>
      <c r="M899" s="45">
        <f>IF(C899="","",IF(OR(K899="",L899=""),"",ROUND(K899*L899,4)))</f>
        <v>0</v>
      </c>
      <c r="N899" s="20">
        <f>IF(A899="","",ROUND(SUMIFS('Material Usage'!$M$5:$M$904,'Material Usage'!$A$5:$A$904,A899),2))</f>
        <v>0</v>
      </c>
      <c r="O899" s="33">
        <f>IF(A899="","",IF(OR(M899="",N899="",N899=0),"",M899/N899))</f>
        <v>0</v>
      </c>
      <c r="P899" s="32">
        <f>IF(A899="","",COUNTIFS($A$5:A899,A899))</f>
        <v>0</v>
      </c>
      <c r="Q899" s="13">
        <f>IF(A899="","",A899&amp;"|"&amp;P899)</f>
        <v>0</v>
      </c>
      <c r="R899" s="43">
        <f>IF(AND(A899="",C899=""),"",IF(A899="","Add - which product?",IF(C899="","Add - which material?",IF(B899="Not found","Check - no such product ID",IF(D899="Add to Materials","Check - no such material ID",IF(OR(F899="",F899=0),"Add - how much?",IF(L899="","Check - that material has no price","OK")))))))</f>
        <v>0</v>
      </c>
    </row>
    <row r="900" spans="1:18">
      <c r="B900" s="13">
        <f>IF(A900="","",IFERROR(INDEX(Products!$B$5:$B$304,MATCH(A900,Products!$A$5:$A$304,0)),"Not found"))</f>
        <v>0</v>
      </c>
      <c r="D900" s="13">
        <f>IF(C900="","",IFERROR(INDEX(Materials!$B$5:$B$254,MATCH(C900,Materials!$A$5:$A$254,0)),"Add to Materials"))</f>
        <v>0</v>
      </c>
      <c r="E900" s="13">
        <f>IF(C900="","",IFERROR(INDEX(Materials!$H$5:$H$254,MATCH(C900,Materials!$A$5:$A$254,0)),"Add to Materials"))</f>
        <v>0</v>
      </c>
      <c r="J900" s="33">
        <f>IF(C900="","",IF(G900&lt;&gt;"",G900,IFERROR(INDEX(Materials!$W$5:$W$254,MATCH(C900,Materials!$A$5:$A$254,0)),DefaultWaste)))</f>
        <v>0</v>
      </c>
      <c r="K900" s="36">
        <f>IF(C900="","",IF(F900="","",ROUND(F900*(1+J900),4)))</f>
        <v>0</v>
      </c>
      <c r="L900" s="45">
        <f>IF(C900="","",IFERROR(INDEX(Materials!$S$5:$S$254,MATCH(C900,Materials!$A$5:$A$254,0)),""))</f>
        <v>0</v>
      </c>
      <c r="M900" s="45">
        <f>IF(C900="","",IF(OR(K900="",L900=""),"",ROUND(K900*L900,4)))</f>
        <v>0</v>
      </c>
      <c r="N900" s="20">
        <f>IF(A900="","",ROUND(SUMIFS('Material Usage'!$M$5:$M$904,'Material Usage'!$A$5:$A$904,A900),2))</f>
        <v>0</v>
      </c>
      <c r="O900" s="33">
        <f>IF(A900="","",IF(OR(M900="",N900="",N900=0),"",M900/N900))</f>
        <v>0</v>
      </c>
      <c r="P900" s="32">
        <f>IF(A900="","",COUNTIFS($A$5:A900,A900))</f>
        <v>0</v>
      </c>
      <c r="Q900" s="13">
        <f>IF(A900="","",A900&amp;"|"&amp;P900)</f>
        <v>0</v>
      </c>
      <c r="R900" s="43">
        <f>IF(AND(A900="",C900=""),"",IF(A900="","Add - which product?",IF(C900="","Add - which material?",IF(B900="Not found","Check - no such product ID",IF(D900="Add to Materials","Check - no such material ID",IF(OR(F900="",F900=0),"Add - how much?",IF(L900="","Check - that material has no price","OK")))))))</f>
        <v>0</v>
      </c>
    </row>
    <row r="901" spans="1:18">
      <c r="B901" s="13">
        <f>IF(A901="","",IFERROR(INDEX(Products!$B$5:$B$304,MATCH(A901,Products!$A$5:$A$304,0)),"Not found"))</f>
        <v>0</v>
      </c>
      <c r="D901" s="13">
        <f>IF(C901="","",IFERROR(INDEX(Materials!$B$5:$B$254,MATCH(C901,Materials!$A$5:$A$254,0)),"Add to Materials"))</f>
        <v>0</v>
      </c>
      <c r="E901" s="13">
        <f>IF(C901="","",IFERROR(INDEX(Materials!$H$5:$H$254,MATCH(C901,Materials!$A$5:$A$254,0)),"Add to Materials"))</f>
        <v>0</v>
      </c>
      <c r="J901" s="33">
        <f>IF(C901="","",IF(G901&lt;&gt;"",G901,IFERROR(INDEX(Materials!$W$5:$W$254,MATCH(C901,Materials!$A$5:$A$254,0)),DefaultWaste)))</f>
        <v>0</v>
      </c>
      <c r="K901" s="36">
        <f>IF(C901="","",IF(F901="","",ROUND(F901*(1+J901),4)))</f>
        <v>0</v>
      </c>
      <c r="L901" s="45">
        <f>IF(C901="","",IFERROR(INDEX(Materials!$S$5:$S$254,MATCH(C901,Materials!$A$5:$A$254,0)),""))</f>
        <v>0</v>
      </c>
      <c r="M901" s="45">
        <f>IF(C901="","",IF(OR(K901="",L901=""),"",ROUND(K901*L901,4)))</f>
        <v>0</v>
      </c>
      <c r="N901" s="20">
        <f>IF(A901="","",ROUND(SUMIFS('Material Usage'!$M$5:$M$904,'Material Usage'!$A$5:$A$904,A901),2))</f>
        <v>0</v>
      </c>
      <c r="O901" s="33">
        <f>IF(A901="","",IF(OR(M901="",N901="",N901=0),"",M901/N901))</f>
        <v>0</v>
      </c>
      <c r="P901" s="32">
        <f>IF(A901="","",COUNTIFS($A$5:A901,A901))</f>
        <v>0</v>
      </c>
      <c r="Q901" s="13">
        <f>IF(A901="","",A901&amp;"|"&amp;P901)</f>
        <v>0</v>
      </c>
      <c r="R901" s="43">
        <f>IF(AND(A901="",C901=""),"",IF(A901="","Add - which product?",IF(C901="","Add - which material?",IF(B901="Not found","Check - no such product ID",IF(D901="Add to Materials","Check - no such material ID",IF(OR(F901="",F901=0),"Add - how much?",IF(L901="","Check - that material has no price","OK")))))))</f>
        <v>0</v>
      </c>
    </row>
    <row r="902" spans="1:18">
      <c r="B902" s="13">
        <f>IF(A902="","",IFERROR(INDEX(Products!$B$5:$B$304,MATCH(A902,Products!$A$5:$A$304,0)),"Not found"))</f>
        <v>0</v>
      </c>
      <c r="D902" s="13">
        <f>IF(C902="","",IFERROR(INDEX(Materials!$B$5:$B$254,MATCH(C902,Materials!$A$5:$A$254,0)),"Add to Materials"))</f>
        <v>0</v>
      </c>
      <c r="E902" s="13">
        <f>IF(C902="","",IFERROR(INDEX(Materials!$H$5:$H$254,MATCH(C902,Materials!$A$5:$A$254,0)),"Add to Materials"))</f>
        <v>0</v>
      </c>
      <c r="J902" s="33">
        <f>IF(C902="","",IF(G902&lt;&gt;"",G902,IFERROR(INDEX(Materials!$W$5:$W$254,MATCH(C902,Materials!$A$5:$A$254,0)),DefaultWaste)))</f>
        <v>0</v>
      </c>
      <c r="K902" s="36">
        <f>IF(C902="","",IF(F902="","",ROUND(F902*(1+J902),4)))</f>
        <v>0</v>
      </c>
      <c r="L902" s="45">
        <f>IF(C902="","",IFERROR(INDEX(Materials!$S$5:$S$254,MATCH(C902,Materials!$A$5:$A$254,0)),""))</f>
        <v>0</v>
      </c>
      <c r="M902" s="45">
        <f>IF(C902="","",IF(OR(K902="",L902=""),"",ROUND(K902*L902,4)))</f>
        <v>0</v>
      </c>
      <c r="N902" s="20">
        <f>IF(A902="","",ROUND(SUMIFS('Material Usage'!$M$5:$M$904,'Material Usage'!$A$5:$A$904,A902),2))</f>
        <v>0</v>
      </c>
      <c r="O902" s="33">
        <f>IF(A902="","",IF(OR(M902="",N902="",N902=0),"",M902/N902))</f>
        <v>0</v>
      </c>
      <c r="P902" s="32">
        <f>IF(A902="","",COUNTIFS($A$5:A902,A902))</f>
        <v>0</v>
      </c>
      <c r="Q902" s="13">
        <f>IF(A902="","",A902&amp;"|"&amp;P902)</f>
        <v>0</v>
      </c>
      <c r="R902" s="43">
        <f>IF(AND(A902="",C902=""),"",IF(A902="","Add - which product?",IF(C902="","Add - which material?",IF(B902="Not found","Check - no such product ID",IF(D902="Add to Materials","Check - no such material ID",IF(OR(F902="",F902=0),"Add - how much?",IF(L902="","Check - that material has no price","OK")))))))</f>
        <v>0</v>
      </c>
    </row>
    <row r="903" spans="1:18">
      <c r="B903" s="13">
        <f>IF(A903="","",IFERROR(INDEX(Products!$B$5:$B$304,MATCH(A903,Products!$A$5:$A$304,0)),"Not found"))</f>
        <v>0</v>
      </c>
      <c r="D903" s="13">
        <f>IF(C903="","",IFERROR(INDEX(Materials!$B$5:$B$254,MATCH(C903,Materials!$A$5:$A$254,0)),"Add to Materials"))</f>
        <v>0</v>
      </c>
      <c r="E903" s="13">
        <f>IF(C903="","",IFERROR(INDEX(Materials!$H$5:$H$254,MATCH(C903,Materials!$A$5:$A$254,0)),"Add to Materials"))</f>
        <v>0</v>
      </c>
      <c r="J903" s="33">
        <f>IF(C903="","",IF(G903&lt;&gt;"",G903,IFERROR(INDEX(Materials!$W$5:$W$254,MATCH(C903,Materials!$A$5:$A$254,0)),DefaultWaste)))</f>
        <v>0</v>
      </c>
      <c r="K903" s="36">
        <f>IF(C903="","",IF(F903="","",ROUND(F903*(1+J903),4)))</f>
        <v>0</v>
      </c>
      <c r="L903" s="45">
        <f>IF(C903="","",IFERROR(INDEX(Materials!$S$5:$S$254,MATCH(C903,Materials!$A$5:$A$254,0)),""))</f>
        <v>0</v>
      </c>
      <c r="M903" s="45">
        <f>IF(C903="","",IF(OR(K903="",L903=""),"",ROUND(K903*L903,4)))</f>
        <v>0</v>
      </c>
      <c r="N903" s="20">
        <f>IF(A903="","",ROUND(SUMIFS('Material Usage'!$M$5:$M$904,'Material Usage'!$A$5:$A$904,A903),2))</f>
        <v>0</v>
      </c>
      <c r="O903" s="33">
        <f>IF(A903="","",IF(OR(M903="",N903="",N903=0),"",M903/N903))</f>
        <v>0</v>
      </c>
      <c r="P903" s="32">
        <f>IF(A903="","",COUNTIFS($A$5:A903,A903))</f>
        <v>0</v>
      </c>
      <c r="Q903" s="13">
        <f>IF(A903="","",A903&amp;"|"&amp;P903)</f>
        <v>0</v>
      </c>
      <c r="R903" s="43">
        <f>IF(AND(A903="",C903=""),"",IF(A903="","Add - which product?",IF(C903="","Add - which material?",IF(B903="Not found","Check - no such product ID",IF(D903="Add to Materials","Check - no such material ID",IF(OR(F903="",F903=0),"Add - how much?",IF(L903="","Check - that material has no price","OK")))))))</f>
        <v>0</v>
      </c>
    </row>
    <row r="904" spans="1:18">
      <c r="B904" s="13">
        <f>IF(A904="","",IFERROR(INDEX(Products!$B$5:$B$304,MATCH(A904,Products!$A$5:$A$304,0)),"Not found"))</f>
        <v>0</v>
      </c>
      <c r="D904" s="13">
        <f>IF(C904="","",IFERROR(INDEX(Materials!$B$5:$B$254,MATCH(C904,Materials!$A$5:$A$254,0)),"Add to Materials"))</f>
        <v>0</v>
      </c>
      <c r="E904" s="13">
        <f>IF(C904="","",IFERROR(INDEX(Materials!$H$5:$H$254,MATCH(C904,Materials!$A$5:$A$254,0)),"Add to Materials"))</f>
        <v>0</v>
      </c>
      <c r="J904" s="33">
        <f>IF(C904="","",IF(G904&lt;&gt;"",G904,IFERROR(INDEX(Materials!$W$5:$W$254,MATCH(C904,Materials!$A$5:$A$254,0)),DefaultWaste)))</f>
        <v>0</v>
      </c>
      <c r="K904" s="36">
        <f>IF(C904="","",IF(F904="","",ROUND(F904*(1+J904),4)))</f>
        <v>0</v>
      </c>
      <c r="L904" s="45">
        <f>IF(C904="","",IFERROR(INDEX(Materials!$S$5:$S$254,MATCH(C904,Materials!$A$5:$A$254,0)),""))</f>
        <v>0</v>
      </c>
      <c r="M904" s="45">
        <f>IF(C904="","",IF(OR(K904="",L904=""),"",ROUND(K904*L904,4)))</f>
        <v>0</v>
      </c>
      <c r="N904" s="20">
        <f>IF(A904="","",ROUND(SUMIFS('Material Usage'!$M$5:$M$904,'Material Usage'!$A$5:$A$904,A904),2))</f>
        <v>0</v>
      </c>
      <c r="O904" s="33">
        <f>IF(A904="","",IF(OR(M904="",N904="",N904=0),"",M904/N904))</f>
        <v>0</v>
      </c>
      <c r="P904" s="32">
        <f>IF(A904="","",COUNTIFS($A$5:A904,A904))</f>
        <v>0</v>
      </c>
      <c r="Q904" s="13">
        <f>IF(A904="","",A904&amp;"|"&amp;P904)</f>
        <v>0</v>
      </c>
      <c r="R904" s="43">
        <f>IF(AND(A904="",C904=""),"",IF(A904="","Add - which product?",IF(C904="","Add - which material?",IF(B904="Not found","Check - no such product ID",IF(D904="Add to Materials","Check - no such material ID",IF(OR(F904="",F904=0),"Add - how much?",IF(L904="","Check - that material has no price","OK")))))))</f>
        <v>0</v>
      </c>
    </row>
    <row r="906" spans="1:18" ht="20" customHeight="1">
      <c r="A906" s="7" t="s">
        <v>756</v>
      </c>
      <c r="B906" s="7"/>
      <c r="C906" s="7"/>
      <c r="D906" s="7"/>
      <c r="E906" s="7"/>
      <c r="F906" s="7"/>
      <c r="G906" s="7"/>
      <c r="H906" s="7"/>
      <c r="I906" s="7"/>
      <c r="J906" s="7"/>
      <c r="K906" s="7"/>
      <c r="L906" s="7"/>
      <c r="M906" s="7"/>
      <c r="N906" s="7"/>
      <c r="O906" s="7"/>
      <c r="P906" s="7"/>
      <c r="Q906" s="7"/>
      <c r="R906" s="7"/>
    </row>
    <row r="907" spans="1:18" ht="26" customHeight="1">
      <c r="A907" s="8" t="s">
        <v>757</v>
      </c>
      <c r="B907" s="9" t="s">
        <v>758</v>
      </c>
      <c r="C907" s="9" t="s">
        <v>759</v>
      </c>
      <c r="D907" s="9" t="s">
        <v>760</v>
      </c>
      <c r="E907" s="9" t="s">
        <v>761</v>
      </c>
      <c r="F907" s="9" t="s">
        <v>762</v>
      </c>
    </row>
    <row r="908" spans="1:18">
      <c r="A908" s="32">
        <f>COUNTIF('Material Usage'!$A$5:$A$904,"&lt;&gt;")</f>
        <v>0</v>
      </c>
      <c r="B908" s="32">
        <f>COUNTIFS('Material Usage'!$P$5:$P$904,1)</f>
        <v>0</v>
      </c>
      <c r="C908" s="32">
        <f>COUNTIF(Materials!$Z$5:$Z$254,"&gt;0")</f>
        <v>0</v>
      </c>
      <c r="D908" s="20">
        <f>ROUND(SUM('Material Usage'!$M$5:$M$904),2)</f>
        <v>0</v>
      </c>
      <c r="E908" s="20">
        <f>IFERROR(ROUND(SUM('Material Usage'!$M$5:$M$904)/COUNTIF('Material Usage'!$A$5:$A$904,"&lt;&gt;"),2),"")</f>
        <v>0</v>
      </c>
      <c r="F908" s="32">
        <f>COUNTIFS('Material Usage'!$R$5:$R$904,"Check*")+COUNTIFS('Material Usage'!$R$5:$R$904,"Add*")</f>
        <v>0</v>
      </c>
    </row>
  </sheetData>
  <sheetProtection password="EC7C" sheet="1" objects="1" scenarios="1" formatCells="0" formatColumns="0" formatRows="0" insertRows="0" insertHyperlinks="0" deleteRows="0" autoFilter="0"/>
  <autoFilter ref="A4:R904"/>
  <mergeCells count="13">
    <mergeCell ref="A1:O1"/>
    <mergeCell ref="P1:R1"/>
    <mergeCell ref="A2:R2"/>
    <mergeCell ref="A3:B3"/>
    <mergeCell ref="C3:D3"/>
    <mergeCell ref="E3:F3"/>
    <mergeCell ref="G3:H3"/>
    <mergeCell ref="I3:J3"/>
    <mergeCell ref="K3:L3"/>
    <mergeCell ref="M3:N3"/>
    <mergeCell ref="O3:P3"/>
    <mergeCell ref="Q3:R3"/>
    <mergeCell ref="A906:R906"/>
  </mergeCells>
  <conditionalFormatting sqref="R5:R904">
    <cfRule type="beginsWith" dxfId="1" priority="1" operator="beginsWith" text="OK">
      <formula>LEFT(R5,2)="OK"</formula>
    </cfRule>
    <cfRule type="containsText" dxfId="2" priority="2" operator="containsText" text="Overdue">
      <formula>NOT(ISERROR(SEARCH("Overdue",R5)))</formula>
    </cfRule>
    <cfRule type="containsText" dxfId="2" priority="3" operator="containsText" text="Late">
      <formula>NOT(ISERROR(SEARCH("Late",R5)))</formula>
    </cfRule>
    <cfRule type="containsText" dxfId="2" priority="4" operator="containsText" text="Missing">
      <formula>NOT(ISERROR(SEARCH("Missing",R5)))</formula>
    </cfRule>
    <cfRule type="containsText" dxfId="2" priority="5" operator="containsText" text="Conflict">
      <formula>NOT(ISERROR(SEARCH("Conflict",R5)))</formula>
    </cfRule>
    <cfRule type="containsText" dxfId="2" priority="6" operator="containsText" text="Clash">
      <formula>NOT(ISERROR(SEARCH("Clash",R5)))</formula>
    </cfRule>
    <cfRule type="containsText" dxfId="2" priority="7" operator="containsText" text="Expired">
      <formula>NOT(ISERROR(SEARCH("Expired",R5)))</formula>
    </cfRule>
    <cfRule type="containsText" dxfId="2" priority="8" operator="containsText" text="Duplicate">
      <formula>NOT(ISERROR(SEARCH("Duplicate",R5)))</formula>
    </cfRule>
    <cfRule type="containsText" dxfId="2" priority="9" operator="containsText" text="Unpaid">
      <formula>NOT(ISERROR(SEARCH("Unpaid",R5)))</formula>
    </cfRule>
    <cfRule type="containsText" dxfId="2" priority="10" operator="containsText" text="Loss">
      <formula>NOT(ISERROR(SEARCH("Loss",R5)))</formula>
    </cfRule>
    <cfRule type="containsText" dxfId="2" priority="11" operator="containsText" text="Below">
      <formula>NOT(ISERROR(SEARCH("Below",R5)))</formula>
    </cfRule>
    <cfRule type="containsText" dxfId="0" priority="12" operator="containsText" text="Action">
      <formula>NOT(ISERROR(SEARCH("Action",R5)))</formula>
    </cfRule>
    <cfRule type="containsText" dxfId="0" priority="13" operator="containsText" text="Due">
      <formula>NOT(ISERROR(SEARCH("Due",R5)))</formula>
    </cfRule>
    <cfRule type="containsText" dxfId="0" priority="14" operator="containsText" text="Check">
      <formula>NOT(ISERROR(SEARCH("Check",R5)))</formula>
    </cfRule>
    <cfRule type="containsText" dxfId="0" priority="15" operator="containsText" text="Chase">
      <formula>NOT(ISERROR(SEARCH("Chase",R5)))</formula>
    </cfRule>
    <cfRule type="containsText" dxfId="0" priority="16" operator="containsText" text="Assign">
      <formula>NOT(ISERROR(SEARCH("Assign",R5)))</formula>
    </cfRule>
    <cfRule type="containsText" dxfId="0" priority="17" operator="containsText" text="Confirm">
      <formula>NOT(ISERROR(SEARCH("Confirm",R5)))</formula>
    </cfRule>
    <cfRule type="containsText" dxfId="0" priority="18" operator="containsText" text="Order">
      <formula>NOT(ISERROR(SEARCH("Order",R5)))</formula>
    </cfRule>
    <cfRule type="containsText" dxfId="3" priority="19" operator="containsText" text="Today">
      <formula>NOT(ISERROR(SEARCH("Today",R5)))</formula>
    </cfRule>
    <cfRule type="containsText" dxfId="3" priority="20" operator="containsText" text="Upcoming">
      <formula>NOT(ISERROR(SEARCH("Upcoming",R5)))</formula>
    </cfRule>
    <cfRule type="containsText" dxfId="3" priority="21" operator="containsText" text="Tomorrow">
      <formula>NOT(ISERROR(SEARCH("Tomorrow",R5)))</formula>
    </cfRule>
  </conditionalFormatting>
  <dataValidations count="5">
    <dataValidation type="list" allowBlank="1" showInputMessage="1" showErrorMessage="1" promptTitle="Product" prompt="The product ID from the Products tab. Type several rows with the same ID - one per material." sqref="A5:A904">
      <formula1>ProductIDs</formula1>
    </dataValidation>
    <dataValidation type="list" allowBlank="1" showInputMessage="1" showErrorMessage="1" sqref="C5:C904">
      <formula1>MaterialIDs</formula1>
    </dataValidation>
    <dataValidation type="decimal" allowBlank="1" showInputMessage="1" showErrorMessage="1" errorTitle="Check the value" error="Enter a number between 0 and 1000000." promptTitle="Quantity used" prompt="In the unit shown. Weigh the yarn left over and subtract - guessing is what makes a price wrong." sqref="F5:F904">
      <formula1>0</formula1>
      <formula2>1000000</formula2>
    </dataValidation>
    <dataValidation type="decimal" allowBlank="1" showInputMessage="1" showErrorMessage="1" errorTitle="Check the value" error="Enter a number between 0 and 1." promptTitle="Waste %" prompt="Blank uses the material's own allowance, or the default on Settings. Fabric cut on the bias wastes far more than yarn does." sqref="G5:G904">
      <formula1>0</formula1>
      <formula2>1</formula2>
    </dataValidation>
    <dataValidation type="list" allowBlank="1" showInputMessage="1" showErrorMessage="1" promptTitle="Optional?" prompt="Yes for an upgrade or an add-on that not every piece gets. Optional lines are still costed - the flag is there so you can see what is core." sqref="H5:H9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&amp;L&amp;"Calibri,Bold"&amp;12&amp;C&amp;"Calibri,Bold"&amp;11Material Usage&amp;R&amp;"Calibri,Italic"&amp;9Handmade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B5704F"/>
    <pageSetUpPr fitToPage="1"/>
  </sheetPr>
  <dimension ref="A1:V3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6.7109375" style="13" customWidth="1"/>
    <col min="3" max="3" width="20.7109375" style="15" customWidth="1"/>
    <col min="4" max="4" width="14.7109375" style="15" customWidth="1"/>
    <col min="5" max="5" width="11.7109375" style="18" customWidth="1"/>
    <col min="6" max="6" width="10.7109375" style="21" customWidth="1"/>
    <col min="7" max="7" width="13.7109375" style="15" customWidth="1"/>
    <col min="8" max="8" width="12.7109375" style="16" customWidth="1"/>
    <col min="9" max="9" width="11.7109375" style="47" customWidth="1"/>
    <col min="10" max="10" width="24.7109375" style="40" customWidth="1"/>
    <col min="11" max="11" width="11.7109375" style="20" customWidth="1"/>
    <col min="12" max="12" width="9.7109375" style="41" customWidth="1"/>
    <col min="13" max="13" width="10.7109375" style="32" hidden="1" customWidth="1"/>
    <col min="14" max="14" width="12.7109375" style="20" customWidth="1"/>
    <col min="15" max="15" width="11.7109375" style="20" customWidth="1"/>
    <col min="16" max="16" width="12.7109375" style="36" customWidth="1"/>
    <col min="17" max="17" width="11.7109375" style="20" customWidth="1"/>
    <col min="18" max="18" width="13.7109375" style="20" hidden="1" customWidth="1"/>
    <col min="19" max="19" width="11.7109375" style="33" customWidth="1"/>
    <col min="20" max="20" width="7.7109375" style="32" hidden="1" customWidth="1"/>
    <col min="21" max="21" width="14.7109375" style="13" hidden="1" customWidth="1"/>
    <col min="22" max="22" width="24.7109375" style="43" customWidth="1"/>
    <col min="1" max="1" width="15.7109375" customWidth="1"/>
    <col min="2" max="2" width="17.7109375" customWidth="1"/>
    <col min="3" max="3" width="20.7109375" customWidth="1"/>
    <col min="4" max="4" width="18.7109375" customWidth="1"/>
    <col min="5" max="5" width="14.7109375" customWidth="1"/>
    <col min="6" max="6" width="15.7109375" customWidth="1"/>
    <col min="7" max="7" width="20.7109375" customWidth="1"/>
  </cols>
  <sheetData>
    <row r="1" spans="1:22" ht="34" customHeight="1">
      <c r="A1" s="2" t="s">
        <v>763</v>
      </c>
      <c r="B1" s="2"/>
      <c r="C1" s="2"/>
      <c r="D1" s="2"/>
      <c r="E1" s="2"/>
      <c r="F1" s="2"/>
      <c r="G1" s="2"/>
      <c r="H1" s="2"/>
      <c r="I1" s="2"/>
      <c r="J1" s="2"/>
      <c r="K1" s="2"/>
      <c r="L1" s="2"/>
      <c r="M1" s="2"/>
      <c r="N1" s="2"/>
      <c r="O1" s="2"/>
      <c r="P1" s="2"/>
      <c r="Q1" s="2"/>
      <c r="R1" s="2"/>
      <c r="S1" s="2"/>
      <c r="T1" s="3" t="s">
        <v>1</v>
      </c>
      <c r="U1" s="3"/>
      <c r="V1" s="3"/>
    </row>
    <row r="2" spans="1:22" ht="18" customHeight="1">
      <c r="A2" s="4" t="s">
        <v>764</v>
      </c>
      <c r="B2" s="4"/>
      <c r="C2" s="4"/>
      <c r="D2" s="4"/>
      <c r="E2" s="4"/>
      <c r="F2" s="4"/>
      <c r="G2" s="4"/>
      <c r="H2" s="4"/>
      <c r="I2" s="4"/>
      <c r="J2" s="4"/>
      <c r="K2" s="4"/>
      <c r="L2" s="4"/>
      <c r="M2" s="4"/>
      <c r="N2" s="4"/>
      <c r="O2" s="4"/>
      <c r="P2" s="4"/>
      <c r="Q2" s="4"/>
      <c r="R2" s="4"/>
      <c r="S2" s="4"/>
      <c r="T2" s="4"/>
      <c r="U2" s="4"/>
      <c r="V2" s="4"/>
    </row>
    <row r="3" spans="1:22" ht="16" customHeight="1">
      <c r="A3" s="5" t="s">
        <v>3</v>
      </c>
      <c r="B3" s="5"/>
      <c r="C3" s="5" t="s">
        <v>4</v>
      </c>
      <c r="D3" s="5"/>
      <c r="E3" s="5" t="s">
        <v>5</v>
      </c>
      <c r="F3" s="5"/>
      <c r="G3" s="5" t="s">
        <v>6</v>
      </c>
      <c r="H3" s="5"/>
      <c r="I3" s="5" t="s">
        <v>7</v>
      </c>
      <c r="J3" s="5"/>
      <c r="K3" s="5" t="s">
        <v>367</v>
      </c>
      <c r="L3" s="5"/>
      <c r="M3" s="5" t="s">
        <v>368</v>
      </c>
      <c r="N3" s="5"/>
      <c r="O3" s="5" t="s">
        <v>448</v>
      </c>
      <c r="P3" s="5"/>
      <c r="Q3" s="5" t="s">
        <v>449</v>
      </c>
      <c r="R3" s="5"/>
      <c r="S3" s="14"/>
      <c r="T3" s="14"/>
      <c r="U3" s="14"/>
      <c r="V3" s="14"/>
    </row>
    <row r="4" spans="1:22" ht="30" customHeight="1">
      <c r="A4" s="8" t="s">
        <v>354</v>
      </c>
      <c r="B4" s="8" t="s">
        <v>719</v>
      </c>
      <c r="C4" s="9" t="s">
        <v>765</v>
      </c>
      <c r="D4" s="9" t="s">
        <v>766</v>
      </c>
      <c r="E4" s="9" t="s">
        <v>767</v>
      </c>
      <c r="F4" s="9" t="s">
        <v>470</v>
      </c>
      <c r="G4" s="9" t="s">
        <v>768</v>
      </c>
      <c r="H4" s="9" t="s">
        <v>769</v>
      </c>
      <c r="I4" s="9" t="s">
        <v>770</v>
      </c>
      <c r="J4" s="9" t="s">
        <v>466</v>
      </c>
      <c r="K4" s="9" t="s">
        <v>771</v>
      </c>
      <c r="L4" s="9" t="s">
        <v>471</v>
      </c>
      <c r="M4" s="9" t="s">
        <v>772</v>
      </c>
      <c r="N4" s="9" t="s">
        <v>773</v>
      </c>
      <c r="O4" s="9" t="s">
        <v>774</v>
      </c>
      <c r="P4" s="9" t="s">
        <v>775</v>
      </c>
      <c r="Q4" s="9" t="s">
        <v>473</v>
      </c>
      <c r="R4" s="9" t="s">
        <v>776</v>
      </c>
      <c r="S4" s="9" t="s">
        <v>777</v>
      </c>
      <c r="T4" s="9" t="s">
        <v>728</v>
      </c>
      <c r="U4" s="9" t="s">
        <v>434</v>
      </c>
      <c r="V4" s="9" t="s">
        <v>729</v>
      </c>
    </row>
    <row r="5" spans="1:22">
      <c r="A5" s="46" t="s">
        <v>730</v>
      </c>
      <c r="B5" s="13">
        <f>IF(A5="","",IFERROR(INDEX(Products!$B$5:$B$304,MATCH(A5,Products!$A$5:$A$304,0)),"Not found"))</f>
        <v>0</v>
      </c>
      <c r="C5" s="15" t="s">
        <v>778</v>
      </c>
      <c r="D5" s="15" t="s">
        <v>779</v>
      </c>
      <c r="F5" s="21">
        <v>85</v>
      </c>
      <c r="G5" s="15" t="s">
        <v>780</v>
      </c>
      <c r="I5" s="47" t="s">
        <v>281</v>
      </c>
      <c r="J5" s="40" t="s">
        <v>781</v>
      </c>
      <c r="K5" s="20">
        <f>IF(A5="","",IF(E5&lt;&gt;"",E5,IF(D5="Employee",ROUND(EmployeeRate*(1+PayrollBurden),2),IF(OR(D5="Contractor",D5="Outsourced"),ROUND(ContractorRate*(1+PayrollBurden),2),LaborCostHour))))</f>
        <v>0</v>
      </c>
      <c r="L5" s="41">
        <f>IF(A5="","",IF(F5="","",ROUND(F5/60,3)))</f>
        <v>0</v>
      </c>
      <c r="M5" s="32">
        <f>IF(A5="","",IF(G5="Per batch",IF(OR(H5="",H5=0),DefaultBatchSize,H5),1))</f>
        <v>0</v>
      </c>
      <c r="N5" s="20">
        <f>IF(A5="","",IF(OR(L5="",K5=""),"",ROUND(L5*K5,2)))</f>
        <v>0</v>
      </c>
      <c r="O5" s="20">
        <f>IF(A5="","",IF(N5="","",ROUND(N5/MAX(1,M5),2)))</f>
        <v>0</v>
      </c>
      <c r="P5" s="36">
        <f>IF(A5="","",IF(F5="","",ROUND(F5/MAX(1,M5),2)))</f>
        <v>0</v>
      </c>
      <c r="Q5" s="20">
        <f>IF(A5="","",IF(L5="","",ROUND(L5/MAX(1,M5)*SuppliesPerHour,2)))</f>
        <v>0</v>
      </c>
      <c r="R5" s="20">
        <f>IF(A5="","",ROUND(SUMIFS(Labor!$O$5:$O$304,Labor!$A$5:$A$304,A5),2))</f>
        <v>0</v>
      </c>
      <c r="S5" s="33">
        <f>IF(A5="","",IF(OR(O5="",R5="",R5=0),"",O5/R5))</f>
        <v>0</v>
      </c>
      <c r="T5" s="32">
        <f>IF(A5="","",COUNTIFS($A$5:A5,A5))</f>
        <v>0</v>
      </c>
      <c r="U5" s="13">
        <f>IF(A5="","",A5&amp;"|"&amp;T5)</f>
        <v>0</v>
      </c>
      <c r="V5" s="43">
        <f>IF(A5="","",IF(B5="Not found","Check - no such product ID",IF(OR(F5="",F5=0),"Add - how many minutes?",IF(C5="","Add - which stage?",IF(AND(G5="Per batch",H5=""),"Check - using the default batch size",IF(K5&lt;MinimumWage,"Check - below minimum wage","OK"))))))</f>
        <v>0</v>
      </c>
    </row>
    <row r="6" spans="1:22">
      <c r="A6" s="46" t="s">
        <v>730</v>
      </c>
      <c r="B6" s="13">
        <f>IF(A6="","",IFERROR(INDEX(Products!$B$5:$B$304,MATCH(A6,Products!$A$5:$A$304,0)),"Not found"))</f>
        <v>0</v>
      </c>
      <c r="C6" s="15" t="s">
        <v>782</v>
      </c>
      <c r="D6" s="15" t="s">
        <v>779</v>
      </c>
      <c r="F6" s="21">
        <v>10</v>
      </c>
      <c r="G6" s="15" t="s">
        <v>780</v>
      </c>
      <c r="I6" s="47" t="s">
        <v>281</v>
      </c>
      <c r="K6" s="20">
        <f>IF(A6="","",IF(E6&lt;&gt;"",E6,IF(D6="Employee",ROUND(EmployeeRate*(1+PayrollBurden),2),IF(OR(D6="Contractor",D6="Outsourced"),ROUND(ContractorRate*(1+PayrollBurden),2),LaborCostHour))))</f>
        <v>0</v>
      </c>
      <c r="L6" s="41">
        <f>IF(A6="","",IF(F6="","",ROUND(F6/60,3)))</f>
        <v>0</v>
      </c>
      <c r="M6" s="32">
        <f>IF(A6="","",IF(G6="Per batch",IF(OR(H6="",H6=0),DefaultBatchSize,H6),1))</f>
        <v>0</v>
      </c>
      <c r="N6" s="20">
        <f>IF(A6="","",IF(OR(L6="",K6=""),"",ROUND(L6*K6,2)))</f>
        <v>0</v>
      </c>
      <c r="O6" s="20">
        <f>IF(A6="","",IF(N6="","",ROUND(N6/MAX(1,M6),2)))</f>
        <v>0</v>
      </c>
      <c r="P6" s="36">
        <f>IF(A6="","",IF(F6="","",ROUND(F6/MAX(1,M6),2)))</f>
        <v>0</v>
      </c>
      <c r="Q6" s="20">
        <f>IF(A6="","",IF(L6="","",ROUND(L6/MAX(1,M6)*SuppliesPerHour,2)))</f>
        <v>0</v>
      </c>
      <c r="R6" s="20">
        <f>IF(A6="","",ROUND(SUMIFS(Labor!$O$5:$O$304,Labor!$A$5:$A$304,A6),2))</f>
        <v>0</v>
      </c>
      <c r="S6" s="33">
        <f>IF(A6="","",IF(OR(O6="",R6="",R6=0),"",O6/R6))</f>
        <v>0</v>
      </c>
      <c r="T6" s="32">
        <f>IF(A6="","",COUNTIFS($A$5:A6,A6))</f>
        <v>0</v>
      </c>
      <c r="U6" s="13">
        <f>IF(A6="","",A6&amp;"|"&amp;T6)</f>
        <v>0</v>
      </c>
      <c r="V6" s="43">
        <f>IF(A6="","",IF(B6="Not found","Check - no such product ID",IF(OR(F6="",F6=0),"Add - how many minutes?",IF(C6="","Add - which stage?",IF(AND(G6="Per batch",H6=""),"Check - using the default batch size",IF(K6&lt;MinimumWage,"Check - below minimum wage","OK"))))))</f>
        <v>0</v>
      </c>
    </row>
    <row r="7" spans="1:22">
      <c r="A7" s="46" t="s">
        <v>730</v>
      </c>
      <c r="B7" s="13">
        <f>IF(A7="","",IFERROR(INDEX(Products!$B$5:$B$304,MATCH(A7,Products!$A$5:$A$304,0)),"Not found"))</f>
        <v>0</v>
      </c>
      <c r="C7" s="15" t="s">
        <v>783</v>
      </c>
      <c r="D7" s="15" t="s">
        <v>779</v>
      </c>
      <c r="F7" s="21">
        <v>6</v>
      </c>
      <c r="G7" s="15" t="s">
        <v>780</v>
      </c>
      <c r="I7" s="47" t="s">
        <v>281</v>
      </c>
      <c r="K7" s="20">
        <f>IF(A7="","",IF(E7&lt;&gt;"",E7,IF(D7="Employee",ROUND(EmployeeRate*(1+PayrollBurden),2),IF(OR(D7="Contractor",D7="Outsourced"),ROUND(ContractorRate*(1+PayrollBurden),2),LaborCostHour))))</f>
        <v>0</v>
      </c>
      <c r="L7" s="41">
        <f>IF(A7="","",IF(F7="","",ROUND(F7/60,3)))</f>
        <v>0</v>
      </c>
      <c r="M7" s="32">
        <f>IF(A7="","",IF(G7="Per batch",IF(OR(H7="",H7=0),DefaultBatchSize,H7),1))</f>
        <v>0</v>
      </c>
      <c r="N7" s="20">
        <f>IF(A7="","",IF(OR(L7="",K7=""),"",ROUND(L7*K7,2)))</f>
        <v>0</v>
      </c>
      <c r="O7" s="20">
        <f>IF(A7="","",IF(N7="","",ROUND(N7/MAX(1,M7),2)))</f>
        <v>0</v>
      </c>
      <c r="P7" s="36">
        <f>IF(A7="","",IF(F7="","",ROUND(F7/MAX(1,M7),2)))</f>
        <v>0</v>
      </c>
      <c r="Q7" s="20">
        <f>IF(A7="","",IF(L7="","",ROUND(L7/MAX(1,M7)*SuppliesPerHour,2)))</f>
        <v>0</v>
      </c>
      <c r="R7" s="20">
        <f>IF(A7="","",ROUND(SUMIFS(Labor!$O$5:$O$304,Labor!$A$5:$A$304,A7),2))</f>
        <v>0</v>
      </c>
      <c r="S7" s="33">
        <f>IF(A7="","",IF(OR(O7="",R7="",R7=0),"",O7/R7))</f>
        <v>0</v>
      </c>
      <c r="T7" s="32">
        <f>IF(A7="","",COUNTIFS($A$5:A7,A7))</f>
        <v>0</v>
      </c>
      <c r="U7" s="13">
        <f>IF(A7="","",A7&amp;"|"&amp;T7)</f>
        <v>0</v>
      </c>
      <c r="V7" s="43">
        <f>IF(A7="","",IF(B7="Not found","Check - no such product ID",IF(OR(F7="",F7=0),"Add - how many minutes?",IF(C7="","Add - which stage?",IF(AND(G7="Per batch",H7=""),"Check - using the default batch size",IF(K7&lt;MinimumWage,"Check - below minimum wage","OK"))))))</f>
        <v>0</v>
      </c>
    </row>
    <row r="8" spans="1:22">
      <c r="A8" s="46" t="s">
        <v>730</v>
      </c>
      <c r="B8" s="13">
        <f>IF(A8="","",IFERROR(INDEX(Products!$B$5:$B$304,MATCH(A8,Products!$A$5:$A$304,0)),"Not found"))</f>
        <v>0</v>
      </c>
      <c r="C8" s="15" t="s">
        <v>784</v>
      </c>
      <c r="D8" s="15" t="s">
        <v>779</v>
      </c>
      <c r="F8" s="21">
        <v>25</v>
      </c>
      <c r="G8" s="15" t="s">
        <v>785</v>
      </c>
      <c r="H8" s="16">
        <v>6</v>
      </c>
      <c r="I8" s="47" t="s">
        <v>281</v>
      </c>
      <c r="J8" s="40" t="s">
        <v>786</v>
      </c>
      <c r="K8" s="20">
        <f>IF(A8="","",IF(E8&lt;&gt;"",E8,IF(D8="Employee",ROUND(EmployeeRate*(1+PayrollBurden),2),IF(OR(D8="Contractor",D8="Outsourced"),ROUND(ContractorRate*(1+PayrollBurden),2),LaborCostHour))))</f>
        <v>0</v>
      </c>
      <c r="L8" s="41">
        <f>IF(A8="","",IF(F8="","",ROUND(F8/60,3)))</f>
        <v>0</v>
      </c>
      <c r="M8" s="32">
        <f>IF(A8="","",IF(G8="Per batch",IF(OR(H8="",H8=0),DefaultBatchSize,H8),1))</f>
        <v>0</v>
      </c>
      <c r="N8" s="20">
        <f>IF(A8="","",IF(OR(L8="",K8=""),"",ROUND(L8*K8,2)))</f>
        <v>0</v>
      </c>
      <c r="O8" s="20">
        <f>IF(A8="","",IF(N8="","",ROUND(N8/MAX(1,M8),2)))</f>
        <v>0</v>
      </c>
      <c r="P8" s="36">
        <f>IF(A8="","",IF(F8="","",ROUND(F8/MAX(1,M8),2)))</f>
        <v>0</v>
      </c>
      <c r="Q8" s="20">
        <f>IF(A8="","",IF(L8="","",ROUND(L8/MAX(1,M8)*SuppliesPerHour,2)))</f>
        <v>0</v>
      </c>
      <c r="R8" s="20">
        <f>IF(A8="","",ROUND(SUMIFS(Labor!$O$5:$O$304,Labor!$A$5:$A$304,A8),2))</f>
        <v>0</v>
      </c>
      <c r="S8" s="33">
        <f>IF(A8="","",IF(OR(O8="",R8="",R8=0),"",O8/R8))</f>
        <v>0</v>
      </c>
      <c r="T8" s="32">
        <f>IF(A8="","",COUNTIFS($A$5:A8,A8))</f>
        <v>0</v>
      </c>
      <c r="U8" s="13">
        <f>IF(A8="","",A8&amp;"|"&amp;T8)</f>
        <v>0</v>
      </c>
      <c r="V8" s="43">
        <f>IF(A8="","",IF(B8="Not found","Check - no such product ID",IF(OR(F8="",F8=0),"Add - how many minutes?",IF(C8="","Add - which stage?",IF(AND(G8="Per batch",H8=""),"Check - using the default batch size",IF(K8&lt;MinimumWage,"Check - below minimum wage","OK"))))))</f>
        <v>0</v>
      </c>
    </row>
    <row r="9" spans="1:22">
      <c r="A9" s="46" t="s">
        <v>735</v>
      </c>
      <c r="B9" s="13">
        <f>IF(A9="","",IFERROR(INDEX(Products!$B$5:$B$304,MATCH(A9,Products!$A$5:$A$304,0)),"Not found"))</f>
        <v>0</v>
      </c>
      <c r="C9" s="15" t="s">
        <v>778</v>
      </c>
      <c r="D9" s="15" t="s">
        <v>779</v>
      </c>
      <c r="F9" s="21">
        <v>90</v>
      </c>
      <c r="G9" s="15" t="s">
        <v>780</v>
      </c>
      <c r="I9" s="47" t="s">
        <v>278</v>
      </c>
      <c r="J9" s="40" t="s">
        <v>787</v>
      </c>
      <c r="K9" s="20">
        <f>IF(A9="","",IF(E9&lt;&gt;"",E9,IF(D9="Employee",ROUND(EmployeeRate*(1+PayrollBurden),2),IF(OR(D9="Contractor",D9="Outsourced"),ROUND(ContractorRate*(1+PayrollBurden),2),LaborCostHour))))</f>
        <v>0</v>
      </c>
      <c r="L9" s="41">
        <f>IF(A9="","",IF(F9="","",ROUND(F9/60,3)))</f>
        <v>0</v>
      </c>
      <c r="M9" s="32">
        <f>IF(A9="","",IF(G9="Per batch",IF(OR(H9="",H9=0),DefaultBatchSize,H9),1))</f>
        <v>0</v>
      </c>
      <c r="N9" s="20">
        <f>IF(A9="","",IF(OR(L9="",K9=""),"",ROUND(L9*K9,2)))</f>
        <v>0</v>
      </c>
      <c r="O9" s="20">
        <f>IF(A9="","",IF(N9="","",ROUND(N9/MAX(1,M9),2)))</f>
        <v>0</v>
      </c>
      <c r="P9" s="36">
        <f>IF(A9="","",IF(F9="","",ROUND(F9/MAX(1,M9),2)))</f>
        <v>0</v>
      </c>
      <c r="Q9" s="20">
        <f>IF(A9="","",IF(L9="","",ROUND(L9/MAX(1,M9)*SuppliesPerHour,2)))</f>
        <v>0</v>
      </c>
      <c r="R9" s="20">
        <f>IF(A9="","",ROUND(SUMIFS(Labor!$O$5:$O$304,Labor!$A$5:$A$304,A9),2))</f>
        <v>0</v>
      </c>
      <c r="S9" s="33">
        <f>IF(A9="","",IF(OR(O9="",R9="",R9=0),"",O9/R9))</f>
        <v>0</v>
      </c>
      <c r="T9" s="32">
        <f>IF(A9="","",COUNTIFS($A$5:A9,A9))</f>
        <v>0</v>
      </c>
      <c r="U9" s="13">
        <f>IF(A9="","",A9&amp;"|"&amp;T9)</f>
        <v>0</v>
      </c>
      <c r="V9" s="43">
        <f>IF(A9="","",IF(B9="Not found","Check - no such product ID",IF(OR(F9="",F9=0),"Add - how many minutes?",IF(C9="","Add - which stage?",IF(AND(G9="Per batch",H9=""),"Check - using the default batch size",IF(K9&lt;MinimumWage,"Check - below minimum wage","OK"))))))</f>
        <v>0</v>
      </c>
    </row>
    <row r="10" spans="1:22">
      <c r="A10" s="46" t="s">
        <v>735</v>
      </c>
      <c r="B10" s="13">
        <f>IF(A10="","",IFERROR(INDEX(Products!$B$5:$B$304,MATCH(A10,Products!$A$5:$A$304,0)),"Not found"))</f>
        <v>0</v>
      </c>
      <c r="C10" s="15" t="s">
        <v>788</v>
      </c>
      <c r="D10" s="15" t="s">
        <v>779</v>
      </c>
      <c r="F10" s="21">
        <v>18</v>
      </c>
      <c r="G10" s="15" t="s">
        <v>780</v>
      </c>
      <c r="I10" s="47" t="s">
        <v>278</v>
      </c>
      <c r="J10" s="40" t="s">
        <v>789</v>
      </c>
      <c r="K10" s="20">
        <f>IF(A10="","",IF(E10&lt;&gt;"",E10,IF(D10="Employee",ROUND(EmployeeRate*(1+PayrollBurden),2),IF(OR(D10="Contractor",D10="Outsourced"),ROUND(ContractorRate*(1+PayrollBurden),2),LaborCostHour))))</f>
        <v>0</v>
      </c>
      <c r="L10" s="41">
        <f>IF(A10="","",IF(F10="","",ROUND(F10/60,3)))</f>
        <v>0</v>
      </c>
      <c r="M10" s="32">
        <f>IF(A10="","",IF(G10="Per batch",IF(OR(H10="",H10=0),DefaultBatchSize,H10),1))</f>
        <v>0</v>
      </c>
      <c r="N10" s="20">
        <f>IF(A10="","",IF(OR(L10="",K10=""),"",ROUND(L10*K10,2)))</f>
        <v>0</v>
      </c>
      <c r="O10" s="20">
        <f>IF(A10="","",IF(N10="","",ROUND(N10/MAX(1,M10),2)))</f>
        <v>0</v>
      </c>
      <c r="P10" s="36">
        <f>IF(A10="","",IF(F10="","",ROUND(F10/MAX(1,M10),2)))</f>
        <v>0</v>
      </c>
      <c r="Q10" s="20">
        <f>IF(A10="","",IF(L10="","",ROUND(L10/MAX(1,M10)*SuppliesPerHour,2)))</f>
        <v>0</v>
      </c>
      <c r="R10" s="20">
        <f>IF(A10="","",ROUND(SUMIFS(Labor!$O$5:$O$304,Labor!$A$5:$A$304,A10),2))</f>
        <v>0</v>
      </c>
      <c r="S10" s="33">
        <f>IF(A10="","",IF(OR(O10="",R10="",R10=0),"",O10/R10))</f>
        <v>0</v>
      </c>
      <c r="T10" s="32">
        <f>IF(A10="","",COUNTIFS($A$5:A10,A10))</f>
        <v>0</v>
      </c>
      <c r="U10" s="13">
        <f>IF(A10="","",A10&amp;"|"&amp;T10)</f>
        <v>0</v>
      </c>
      <c r="V10" s="43">
        <f>IF(A10="","",IF(B10="Not found","Check - no such product ID",IF(OR(F10="",F10=0),"Add - how many minutes?",IF(C10="","Add - which stage?",IF(AND(G10="Per batch",H10=""),"Check - using the default batch size",IF(K10&lt;MinimumWage,"Check - below minimum wage","OK"))))))</f>
        <v>0</v>
      </c>
    </row>
    <row r="11" spans="1:22">
      <c r="A11" s="46" t="s">
        <v>735</v>
      </c>
      <c r="B11" s="13">
        <f>IF(A11="","",IFERROR(INDEX(Products!$B$5:$B$304,MATCH(A11,Products!$A$5:$A$304,0)),"Not found"))</f>
        <v>0</v>
      </c>
      <c r="C11" s="15" t="s">
        <v>790</v>
      </c>
      <c r="D11" s="15" t="s">
        <v>779</v>
      </c>
      <c r="F11" s="21">
        <v>8</v>
      </c>
      <c r="G11" s="15" t="s">
        <v>780</v>
      </c>
      <c r="I11" s="47" t="s">
        <v>281</v>
      </c>
      <c r="K11" s="20">
        <f>IF(A11="","",IF(E11&lt;&gt;"",E11,IF(D11="Employee",ROUND(EmployeeRate*(1+PayrollBurden),2),IF(OR(D11="Contractor",D11="Outsourced"),ROUND(ContractorRate*(1+PayrollBurden),2),LaborCostHour))))</f>
        <v>0</v>
      </c>
      <c r="L11" s="41">
        <f>IF(A11="","",IF(F11="","",ROUND(F11/60,3)))</f>
        <v>0</v>
      </c>
      <c r="M11" s="32">
        <f>IF(A11="","",IF(G11="Per batch",IF(OR(H11="",H11=0),DefaultBatchSize,H11),1))</f>
        <v>0</v>
      </c>
      <c r="N11" s="20">
        <f>IF(A11="","",IF(OR(L11="",K11=""),"",ROUND(L11*K11,2)))</f>
        <v>0</v>
      </c>
      <c r="O11" s="20">
        <f>IF(A11="","",IF(N11="","",ROUND(N11/MAX(1,M11),2)))</f>
        <v>0</v>
      </c>
      <c r="P11" s="36">
        <f>IF(A11="","",IF(F11="","",ROUND(F11/MAX(1,M11),2)))</f>
        <v>0</v>
      </c>
      <c r="Q11" s="20">
        <f>IF(A11="","",IF(L11="","",ROUND(L11/MAX(1,M11)*SuppliesPerHour,2)))</f>
        <v>0</v>
      </c>
      <c r="R11" s="20">
        <f>IF(A11="","",ROUND(SUMIFS(Labor!$O$5:$O$304,Labor!$A$5:$A$304,A11),2))</f>
        <v>0</v>
      </c>
      <c r="S11" s="33">
        <f>IF(A11="","",IF(OR(O11="",R11="",R11=0),"",O11/R11))</f>
        <v>0</v>
      </c>
      <c r="T11" s="32">
        <f>IF(A11="","",COUNTIFS($A$5:A11,A11))</f>
        <v>0</v>
      </c>
      <c r="U11" s="13">
        <f>IF(A11="","",A11&amp;"|"&amp;T11)</f>
        <v>0</v>
      </c>
      <c r="V11" s="43">
        <f>IF(A11="","",IF(B11="Not found","Check - no such product ID",IF(OR(F11="",F11=0),"Add - how many minutes?",IF(C11="","Add - which stage?",IF(AND(G11="Per batch",H11=""),"Check - using the default batch size",IF(K11&lt;MinimumWage,"Check - below minimum wage","OK"))))))</f>
        <v>0</v>
      </c>
    </row>
    <row r="12" spans="1:22">
      <c r="A12" s="46" t="s">
        <v>735</v>
      </c>
      <c r="B12" s="13">
        <f>IF(A12="","",IFERROR(INDEX(Products!$B$5:$B$304,MATCH(A12,Products!$A$5:$A$304,0)),"Not found"))</f>
        <v>0</v>
      </c>
      <c r="C12" s="15" t="s">
        <v>783</v>
      </c>
      <c r="D12" s="15" t="s">
        <v>779</v>
      </c>
      <c r="F12" s="21">
        <v>4</v>
      </c>
      <c r="G12" s="15" t="s">
        <v>780</v>
      </c>
      <c r="I12" s="47" t="s">
        <v>281</v>
      </c>
      <c r="K12" s="20">
        <f>IF(A12="","",IF(E12&lt;&gt;"",E12,IF(D12="Employee",ROUND(EmployeeRate*(1+PayrollBurden),2),IF(OR(D12="Contractor",D12="Outsourced"),ROUND(ContractorRate*(1+PayrollBurden),2),LaborCostHour))))</f>
        <v>0</v>
      </c>
      <c r="L12" s="41">
        <f>IF(A12="","",IF(F12="","",ROUND(F12/60,3)))</f>
        <v>0</v>
      </c>
      <c r="M12" s="32">
        <f>IF(A12="","",IF(G12="Per batch",IF(OR(H12="",H12=0),DefaultBatchSize,H12),1))</f>
        <v>0</v>
      </c>
      <c r="N12" s="20">
        <f>IF(A12="","",IF(OR(L12="",K12=""),"",ROUND(L12*K12,2)))</f>
        <v>0</v>
      </c>
      <c r="O12" s="20">
        <f>IF(A12="","",IF(N12="","",ROUND(N12/MAX(1,M12),2)))</f>
        <v>0</v>
      </c>
      <c r="P12" s="36">
        <f>IF(A12="","",IF(F12="","",ROUND(F12/MAX(1,M12),2)))</f>
        <v>0</v>
      </c>
      <c r="Q12" s="20">
        <f>IF(A12="","",IF(L12="","",ROUND(L12/MAX(1,M12)*SuppliesPerHour,2)))</f>
        <v>0</v>
      </c>
      <c r="R12" s="20">
        <f>IF(A12="","",ROUND(SUMIFS(Labor!$O$5:$O$304,Labor!$A$5:$A$304,A12),2))</f>
        <v>0</v>
      </c>
      <c r="S12" s="33">
        <f>IF(A12="","",IF(OR(O12="",R12="",R12=0),"",O12/R12))</f>
        <v>0</v>
      </c>
      <c r="T12" s="32">
        <f>IF(A12="","",COUNTIFS($A$5:A12,A12))</f>
        <v>0</v>
      </c>
      <c r="U12" s="13">
        <f>IF(A12="","",A12&amp;"|"&amp;T12)</f>
        <v>0</v>
      </c>
      <c r="V12" s="43">
        <f>IF(A12="","",IF(B12="Not found","Check - no such product ID",IF(OR(F12="",F12=0),"Add - how many minutes?",IF(C12="","Add - which stage?",IF(AND(G12="Per batch",H12=""),"Check - using the default batch size",IF(K12&lt;MinimumWage,"Check - below minimum wage","OK"))))))</f>
        <v>0</v>
      </c>
    </row>
    <row r="13" spans="1:22">
      <c r="A13" s="46" t="s">
        <v>741</v>
      </c>
      <c r="B13" s="13">
        <f>IF(A13="","",IFERROR(INDEX(Products!$B$5:$B$304,MATCH(A13,Products!$A$5:$A$304,0)),"Not found"))</f>
        <v>0</v>
      </c>
      <c r="C13" s="15" t="s">
        <v>791</v>
      </c>
      <c r="D13" s="15" t="s">
        <v>779</v>
      </c>
      <c r="F13" s="21">
        <v>30</v>
      </c>
      <c r="G13" s="15" t="s">
        <v>780</v>
      </c>
      <c r="I13" s="47" t="s">
        <v>278</v>
      </c>
      <c r="K13" s="20">
        <f>IF(A13="","",IF(E13&lt;&gt;"",E13,IF(D13="Employee",ROUND(EmployeeRate*(1+PayrollBurden),2),IF(OR(D13="Contractor",D13="Outsourced"),ROUND(ContractorRate*(1+PayrollBurden),2),LaborCostHour))))</f>
        <v>0</v>
      </c>
      <c r="L13" s="41">
        <f>IF(A13="","",IF(F13="","",ROUND(F13/60,3)))</f>
        <v>0</v>
      </c>
      <c r="M13" s="32">
        <f>IF(A13="","",IF(G13="Per batch",IF(OR(H13="",H13=0),DefaultBatchSize,H13),1))</f>
        <v>0</v>
      </c>
      <c r="N13" s="20">
        <f>IF(A13="","",IF(OR(L13="",K13=""),"",ROUND(L13*K13,2)))</f>
        <v>0</v>
      </c>
      <c r="O13" s="20">
        <f>IF(A13="","",IF(N13="","",ROUND(N13/MAX(1,M13),2)))</f>
        <v>0</v>
      </c>
      <c r="P13" s="36">
        <f>IF(A13="","",IF(F13="","",ROUND(F13/MAX(1,M13),2)))</f>
        <v>0</v>
      </c>
      <c r="Q13" s="20">
        <f>IF(A13="","",IF(L13="","",ROUND(L13/MAX(1,M13)*SuppliesPerHour,2)))</f>
        <v>0</v>
      </c>
      <c r="R13" s="20">
        <f>IF(A13="","",ROUND(SUMIFS(Labor!$O$5:$O$304,Labor!$A$5:$A$304,A13),2))</f>
        <v>0</v>
      </c>
      <c r="S13" s="33">
        <f>IF(A13="","",IF(OR(O13="",R13="",R13=0),"",O13/R13))</f>
        <v>0</v>
      </c>
      <c r="T13" s="32">
        <f>IF(A13="","",COUNTIFS($A$5:A13,A13))</f>
        <v>0</v>
      </c>
      <c r="U13" s="13">
        <f>IF(A13="","",A13&amp;"|"&amp;T13)</f>
        <v>0</v>
      </c>
      <c r="V13" s="43">
        <f>IF(A13="","",IF(B13="Not found","Check - no such product ID",IF(OR(F13="",F13=0),"Add - how many minutes?",IF(C13="","Add - which stage?",IF(AND(G13="Per batch",H13=""),"Check - using the default batch size",IF(K13&lt;MinimumWage,"Check - below minimum wage","OK"))))))</f>
        <v>0</v>
      </c>
    </row>
    <row r="14" spans="1:22">
      <c r="A14" s="46" t="s">
        <v>741</v>
      </c>
      <c r="B14" s="13">
        <f>IF(A14="","",IFERROR(INDEX(Products!$B$5:$B$304,MATCH(A14,Products!$A$5:$A$304,0)),"Not found"))</f>
        <v>0</v>
      </c>
      <c r="C14" s="15" t="s">
        <v>792</v>
      </c>
      <c r="D14" s="15" t="s">
        <v>779</v>
      </c>
      <c r="F14" s="21">
        <v>80</v>
      </c>
      <c r="G14" s="15" t="s">
        <v>780</v>
      </c>
      <c r="I14" s="47" t="s">
        <v>278</v>
      </c>
      <c r="J14" s="40" t="s">
        <v>793</v>
      </c>
      <c r="K14" s="20">
        <f>IF(A14="","",IF(E14&lt;&gt;"",E14,IF(D14="Employee",ROUND(EmployeeRate*(1+PayrollBurden),2),IF(OR(D14="Contractor",D14="Outsourced"),ROUND(ContractorRate*(1+PayrollBurden),2),LaborCostHour))))</f>
        <v>0</v>
      </c>
      <c r="L14" s="41">
        <f>IF(A14="","",IF(F14="","",ROUND(F14/60,3)))</f>
        <v>0</v>
      </c>
      <c r="M14" s="32">
        <f>IF(A14="","",IF(G14="Per batch",IF(OR(H14="",H14=0),DefaultBatchSize,H14),1))</f>
        <v>0</v>
      </c>
      <c r="N14" s="20">
        <f>IF(A14="","",IF(OR(L14="",K14=""),"",ROUND(L14*K14,2)))</f>
        <v>0</v>
      </c>
      <c r="O14" s="20">
        <f>IF(A14="","",IF(N14="","",ROUND(N14/MAX(1,M14),2)))</f>
        <v>0</v>
      </c>
      <c r="P14" s="36">
        <f>IF(A14="","",IF(F14="","",ROUND(F14/MAX(1,M14),2)))</f>
        <v>0</v>
      </c>
      <c r="Q14" s="20">
        <f>IF(A14="","",IF(L14="","",ROUND(L14/MAX(1,M14)*SuppliesPerHour,2)))</f>
        <v>0</v>
      </c>
      <c r="R14" s="20">
        <f>IF(A14="","",ROUND(SUMIFS(Labor!$O$5:$O$304,Labor!$A$5:$A$304,A14),2))</f>
        <v>0</v>
      </c>
      <c r="S14" s="33">
        <f>IF(A14="","",IF(OR(O14="",R14="",R14=0),"",O14/R14))</f>
        <v>0</v>
      </c>
      <c r="T14" s="32">
        <f>IF(A14="","",COUNTIFS($A$5:A14,A14))</f>
        <v>0</v>
      </c>
      <c r="U14" s="13">
        <f>IF(A14="","",A14&amp;"|"&amp;T14)</f>
        <v>0</v>
      </c>
      <c r="V14" s="43">
        <f>IF(A14="","",IF(B14="Not found","Check - no such product ID",IF(OR(F14="",F14=0),"Add - how many minutes?",IF(C14="","Add - which stage?",IF(AND(G14="Per batch",H14=""),"Check - using the default batch size",IF(K14&lt;MinimumWage,"Check - below minimum wage","OK"))))))</f>
        <v>0</v>
      </c>
    </row>
    <row r="15" spans="1:22">
      <c r="A15" s="46" t="s">
        <v>741</v>
      </c>
      <c r="B15" s="13">
        <f>IF(A15="","",IFERROR(INDEX(Products!$B$5:$B$304,MATCH(A15,Products!$A$5:$A$304,0)),"Not found"))</f>
        <v>0</v>
      </c>
      <c r="C15" s="15" t="s">
        <v>790</v>
      </c>
      <c r="D15" s="15" t="s">
        <v>779</v>
      </c>
      <c r="F15" s="21">
        <v>15</v>
      </c>
      <c r="G15" s="15" t="s">
        <v>780</v>
      </c>
      <c r="I15" s="47" t="s">
        <v>281</v>
      </c>
      <c r="K15" s="20">
        <f>IF(A15="","",IF(E15&lt;&gt;"",E15,IF(D15="Employee",ROUND(EmployeeRate*(1+PayrollBurden),2),IF(OR(D15="Contractor",D15="Outsourced"),ROUND(ContractorRate*(1+PayrollBurden),2),LaborCostHour))))</f>
        <v>0</v>
      </c>
      <c r="L15" s="41">
        <f>IF(A15="","",IF(F15="","",ROUND(F15/60,3)))</f>
        <v>0</v>
      </c>
      <c r="M15" s="32">
        <f>IF(A15="","",IF(G15="Per batch",IF(OR(H15="",H15=0),DefaultBatchSize,H15),1))</f>
        <v>0</v>
      </c>
      <c r="N15" s="20">
        <f>IF(A15="","",IF(OR(L15="",K15=""),"",ROUND(L15*K15,2)))</f>
        <v>0</v>
      </c>
      <c r="O15" s="20">
        <f>IF(A15="","",IF(N15="","",ROUND(N15/MAX(1,M15),2)))</f>
        <v>0</v>
      </c>
      <c r="P15" s="36">
        <f>IF(A15="","",IF(F15="","",ROUND(F15/MAX(1,M15),2)))</f>
        <v>0</v>
      </c>
      <c r="Q15" s="20">
        <f>IF(A15="","",IF(L15="","",ROUND(L15/MAX(1,M15)*SuppliesPerHour,2)))</f>
        <v>0</v>
      </c>
      <c r="R15" s="20">
        <f>IF(A15="","",ROUND(SUMIFS(Labor!$O$5:$O$304,Labor!$A$5:$A$304,A15),2))</f>
        <v>0</v>
      </c>
      <c r="S15" s="33">
        <f>IF(A15="","",IF(OR(O15="",R15="",R15=0),"",O15/R15))</f>
        <v>0</v>
      </c>
      <c r="T15" s="32">
        <f>IF(A15="","",COUNTIFS($A$5:A15,A15))</f>
        <v>0</v>
      </c>
      <c r="U15" s="13">
        <f>IF(A15="","",A15&amp;"|"&amp;T15)</f>
        <v>0</v>
      </c>
      <c r="V15" s="43">
        <f>IF(A15="","",IF(B15="Not found","Check - no such product ID",IF(OR(F15="",F15=0),"Add - how many minutes?",IF(C15="","Add - which stage?",IF(AND(G15="Per batch",H15=""),"Check - using the default batch size",IF(K15&lt;MinimumWage,"Check - below minimum wage","OK"))))))</f>
        <v>0</v>
      </c>
    </row>
    <row r="16" spans="1:22">
      <c r="A16" s="46" t="s">
        <v>741</v>
      </c>
      <c r="B16" s="13">
        <f>IF(A16="","",IFERROR(INDEX(Products!$B$5:$B$304,MATCH(A16,Products!$A$5:$A$304,0)),"Not found"))</f>
        <v>0</v>
      </c>
      <c r="C16" s="15" t="s">
        <v>783</v>
      </c>
      <c r="D16" s="15" t="s">
        <v>779</v>
      </c>
      <c r="F16" s="21">
        <v>8</v>
      </c>
      <c r="G16" s="15" t="s">
        <v>780</v>
      </c>
      <c r="I16" s="47" t="s">
        <v>281</v>
      </c>
      <c r="K16" s="20">
        <f>IF(A16="","",IF(E16&lt;&gt;"",E16,IF(D16="Employee",ROUND(EmployeeRate*(1+PayrollBurden),2),IF(OR(D16="Contractor",D16="Outsourced"),ROUND(ContractorRate*(1+PayrollBurden),2),LaborCostHour))))</f>
        <v>0</v>
      </c>
      <c r="L16" s="41">
        <f>IF(A16="","",IF(F16="","",ROUND(F16/60,3)))</f>
        <v>0</v>
      </c>
      <c r="M16" s="32">
        <f>IF(A16="","",IF(G16="Per batch",IF(OR(H16="",H16=0),DefaultBatchSize,H16),1))</f>
        <v>0</v>
      </c>
      <c r="N16" s="20">
        <f>IF(A16="","",IF(OR(L16="",K16=""),"",ROUND(L16*K16,2)))</f>
        <v>0</v>
      </c>
      <c r="O16" s="20">
        <f>IF(A16="","",IF(N16="","",ROUND(N16/MAX(1,M16),2)))</f>
        <v>0</v>
      </c>
      <c r="P16" s="36">
        <f>IF(A16="","",IF(F16="","",ROUND(F16/MAX(1,M16),2)))</f>
        <v>0</v>
      </c>
      <c r="Q16" s="20">
        <f>IF(A16="","",IF(L16="","",ROUND(L16/MAX(1,M16)*SuppliesPerHour,2)))</f>
        <v>0</v>
      </c>
      <c r="R16" s="20">
        <f>IF(A16="","",ROUND(SUMIFS(Labor!$O$5:$O$304,Labor!$A$5:$A$304,A16),2))</f>
        <v>0</v>
      </c>
      <c r="S16" s="33">
        <f>IF(A16="","",IF(OR(O16="",R16="",R16=0),"",O16/R16))</f>
        <v>0</v>
      </c>
      <c r="T16" s="32">
        <f>IF(A16="","",COUNTIFS($A$5:A16,A16))</f>
        <v>0</v>
      </c>
      <c r="U16" s="13">
        <f>IF(A16="","",A16&amp;"|"&amp;T16)</f>
        <v>0</v>
      </c>
      <c r="V16" s="43">
        <f>IF(A16="","",IF(B16="Not found","Check - no such product ID",IF(OR(F16="",F16=0),"Add - how many minutes?",IF(C16="","Add - which stage?",IF(AND(G16="Per batch",H16=""),"Check - using the default batch size",IF(K16&lt;MinimumWage,"Check - below minimum wage","OK"))))))</f>
        <v>0</v>
      </c>
    </row>
    <row r="17" spans="1:22">
      <c r="A17" s="46" t="s">
        <v>741</v>
      </c>
      <c r="B17" s="13">
        <f>IF(A17="","",IFERROR(INDEX(Products!$B$5:$B$304,MATCH(A17,Products!$A$5:$A$304,0)),"Not found"))</f>
        <v>0</v>
      </c>
      <c r="C17" s="15" t="s">
        <v>784</v>
      </c>
      <c r="D17" s="15" t="s">
        <v>779</v>
      </c>
      <c r="F17" s="21">
        <v>30</v>
      </c>
      <c r="G17" s="15" t="s">
        <v>785</v>
      </c>
      <c r="H17" s="16">
        <v>4</v>
      </c>
      <c r="I17" s="47" t="s">
        <v>281</v>
      </c>
      <c r="K17" s="20">
        <f>IF(A17="","",IF(E17&lt;&gt;"",E17,IF(D17="Employee",ROUND(EmployeeRate*(1+PayrollBurden),2),IF(OR(D17="Contractor",D17="Outsourced"),ROUND(ContractorRate*(1+PayrollBurden),2),LaborCostHour))))</f>
        <v>0</v>
      </c>
      <c r="L17" s="41">
        <f>IF(A17="","",IF(F17="","",ROUND(F17/60,3)))</f>
        <v>0</v>
      </c>
      <c r="M17" s="32">
        <f>IF(A17="","",IF(G17="Per batch",IF(OR(H17="",H17=0),DefaultBatchSize,H17),1))</f>
        <v>0</v>
      </c>
      <c r="N17" s="20">
        <f>IF(A17="","",IF(OR(L17="",K17=""),"",ROUND(L17*K17,2)))</f>
        <v>0</v>
      </c>
      <c r="O17" s="20">
        <f>IF(A17="","",IF(N17="","",ROUND(N17/MAX(1,M17),2)))</f>
        <v>0</v>
      </c>
      <c r="P17" s="36">
        <f>IF(A17="","",IF(F17="","",ROUND(F17/MAX(1,M17),2)))</f>
        <v>0</v>
      </c>
      <c r="Q17" s="20">
        <f>IF(A17="","",IF(L17="","",ROUND(L17/MAX(1,M17)*SuppliesPerHour,2)))</f>
        <v>0</v>
      </c>
      <c r="R17" s="20">
        <f>IF(A17="","",ROUND(SUMIFS(Labor!$O$5:$O$304,Labor!$A$5:$A$304,A17),2))</f>
        <v>0</v>
      </c>
      <c r="S17" s="33">
        <f>IF(A17="","",IF(OR(O17="",R17="",R17=0),"",O17/R17))</f>
        <v>0</v>
      </c>
      <c r="T17" s="32">
        <f>IF(A17="","",COUNTIFS($A$5:A17,A17))</f>
        <v>0</v>
      </c>
      <c r="U17" s="13">
        <f>IF(A17="","",A17&amp;"|"&amp;T17)</f>
        <v>0</v>
      </c>
      <c r="V17" s="43">
        <f>IF(A17="","",IF(B17="Not found","Check - no such product ID",IF(OR(F17="",F17=0),"Add - how many minutes?",IF(C17="","Add - which stage?",IF(AND(G17="Per batch",H17=""),"Check - using the default batch size",IF(K17&lt;MinimumWage,"Check - below minimum wage","OK"))))))</f>
        <v>0</v>
      </c>
    </row>
    <row r="18" spans="1:22">
      <c r="A18" s="46" t="s">
        <v>748</v>
      </c>
      <c r="B18" s="13">
        <f>IF(A18="","",IFERROR(INDEX(Products!$B$5:$B$304,MATCH(A18,Products!$A$5:$A$304,0)),"Not found"))</f>
        <v>0</v>
      </c>
      <c r="C18" s="15" t="s">
        <v>791</v>
      </c>
      <c r="D18" s="15" t="s">
        <v>779</v>
      </c>
      <c r="F18" s="21">
        <v>25</v>
      </c>
      <c r="G18" s="15" t="s">
        <v>780</v>
      </c>
      <c r="I18" s="47" t="s">
        <v>278</v>
      </c>
      <c r="J18" s="40" t="s">
        <v>794</v>
      </c>
      <c r="K18" s="20">
        <f>IF(A18="","",IF(E18&lt;&gt;"",E18,IF(D18="Employee",ROUND(EmployeeRate*(1+PayrollBurden),2),IF(OR(D18="Contractor",D18="Outsourced"),ROUND(ContractorRate*(1+PayrollBurden),2),LaborCostHour))))</f>
        <v>0</v>
      </c>
      <c r="L18" s="41">
        <f>IF(A18="","",IF(F18="","",ROUND(F18/60,3)))</f>
        <v>0</v>
      </c>
      <c r="M18" s="32">
        <f>IF(A18="","",IF(G18="Per batch",IF(OR(H18="",H18=0),DefaultBatchSize,H18),1))</f>
        <v>0</v>
      </c>
      <c r="N18" s="20">
        <f>IF(A18="","",IF(OR(L18="",K18=""),"",ROUND(L18*K18,2)))</f>
        <v>0</v>
      </c>
      <c r="O18" s="20">
        <f>IF(A18="","",IF(N18="","",ROUND(N18/MAX(1,M18),2)))</f>
        <v>0</v>
      </c>
      <c r="P18" s="36">
        <f>IF(A18="","",IF(F18="","",ROUND(F18/MAX(1,M18),2)))</f>
        <v>0</v>
      </c>
      <c r="Q18" s="20">
        <f>IF(A18="","",IF(L18="","",ROUND(L18/MAX(1,M18)*SuppliesPerHour,2)))</f>
        <v>0</v>
      </c>
      <c r="R18" s="20">
        <f>IF(A18="","",ROUND(SUMIFS(Labor!$O$5:$O$304,Labor!$A$5:$A$304,A18),2))</f>
        <v>0</v>
      </c>
      <c r="S18" s="33">
        <f>IF(A18="","",IF(OR(O18="",R18="",R18=0),"",O18/R18))</f>
        <v>0</v>
      </c>
      <c r="T18" s="32">
        <f>IF(A18="","",COUNTIFS($A$5:A18,A18))</f>
        <v>0</v>
      </c>
      <c r="U18" s="13">
        <f>IF(A18="","",A18&amp;"|"&amp;T18)</f>
        <v>0</v>
      </c>
      <c r="V18" s="43">
        <f>IF(A18="","",IF(B18="Not found","Check - no such product ID",IF(OR(F18="",F18=0),"Add - how many minutes?",IF(C18="","Add - which stage?",IF(AND(G18="Per batch",H18=""),"Check - using the default batch size",IF(K18&lt;MinimumWage,"Check - below minimum wage","OK"))))))</f>
        <v>0</v>
      </c>
    </row>
    <row r="19" spans="1:22">
      <c r="A19" s="46" t="s">
        <v>748</v>
      </c>
      <c r="B19" s="13">
        <f>IF(A19="","",IFERROR(INDEX(Products!$B$5:$B$304,MATCH(A19,Products!$A$5:$A$304,0)),"Not found"))</f>
        <v>0</v>
      </c>
      <c r="C19" s="15" t="s">
        <v>795</v>
      </c>
      <c r="D19" s="15" t="s">
        <v>779</v>
      </c>
      <c r="F19" s="21">
        <v>35</v>
      </c>
      <c r="G19" s="15" t="s">
        <v>780</v>
      </c>
      <c r="I19" s="47" t="s">
        <v>281</v>
      </c>
      <c r="J19" s="40" t="s">
        <v>796</v>
      </c>
      <c r="K19" s="20">
        <f>IF(A19="","",IF(E19&lt;&gt;"",E19,IF(D19="Employee",ROUND(EmployeeRate*(1+PayrollBurden),2),IF(OR(D19="Contractor",D19="Outsourced"),ROUND(ContractorRate*(1+PayrollBurden),2),LaborCostHour))))</f>
        <v>0</v>
      </c>
      <c r="L19" s="41">
        <f>IF(A19="","",IF(F19="","",ROUND(F19/60,3)))</f>
        <v>0</v>
      </c>
      <c r="M19" s="32">
        <f>IF(A19="","",IF(G19="Per batch",IF(OR(H19="",H19=0),DefaultBatchSize,H19),1))</f>
        <v>0</v>
      </c>
      <c r="N19" s="20">
        <f>IF(A19="","",IF(OR(L19="",K19=""),"",ROUND(L19*K19,2)))</f>
        <v>0</v>
      </c>
      <c r="O19" s="20">
        <f>IF(A19="","",IF(N19="","",ROUND(N19/MAX(1,M19),2)))</f>
        <v>0</v>
      </c>
      <c r="P19" s="36">
        <f>IF(A19="","",IF(F19="","",ROUND(F19/MAX(1,M19),2)))</f>
        <v>0</v>
      </c>
      <c r="Q19" s="20">
        <f>IF(A19="","",IF(L19="","",ROUND(L19/MAX(1,M19)*SuppliesPerHour,2)))</f>
        <v>0</v>
      </c>
      <c r="R19" s="20">
        <f>IF(A19="","",ROUND(SUMIFS(Labor!$O$5:$O$304,Labor!$A$5:$A$304,A19),2))</f>
        <v>0</v>
      </c>
      <c r="S19" s="33">
        <f>IF(A19="","",IF(OR(O19="",R19="",R19=0),"",O19/R19))</f>
        <v>0</v>
      </c>
      <c r="T19" s="32">
        <f>IF(A19="","",COUNTIFS($A$5:A19,A19))</f>
        <v>0</v>
      </c>
      <c r="U19" s="13">
        <f>IF(A19="","",A19&amp;"|"&amp;T19)</f>
        <v>0</v>
      </c>
      <c r="V19" s="43">
        <f>IF(A19="","",IF(B19="Not found","Check - no such product ID",IF(OR(F19="",F19=0),"Add - how many minutes?",IF(C19="","Add - which stage?",IF(AND(G19="Per batch",H19=""),"Check - using the default batch size",IF(K19&lt;MinimumWage,"Check - below minimum wage","OK"))))))</f>
        <v>0</v>
      </c>
    </row>
    <row r="20" spans="1:22">
      <c r="A20" s="46" t="s">
        <v>748</v>
      </c>
      <c r="B20" s="13">
        <f>IF(A20="","",IFERROR(INDEX(Products!$B$5:$B$304,MATCH(A20,Products!$A$5:$A$304,0)),"Not found"))</f>
        <v>0</v>
      </c>
      <c r="C20" s="15" t="s">
        <v>797</v>
      </c>
      <c r="D20" s="15" t="s">
        <v>779</v>
      </c>
      <c r="F20" s="21">
        <v>20</v>
      </c>
      <c r="G20" s="15" t="s">
        <v>780</v>
      </c>
      <c r="I20" s="47" t="s">
        <v>281</v>
      </c>
      <c r="J20" s="40" t="s">
        <v>798</v>
      </c>
      <c r="K20" s="20">
        <f>IF(A20="","",IF(E20&lt;&gt;"",E20,IF(D20="Employee",ROUND(EmployeeRate*(1+PayrollBurden),2),IF(OR(D20="Contractor",D20="Outsourced"),ROUND(ContractorRate*(1+PayrollBurden),2),LaborCostHour))))</f>
        <v>0</v>
      </c>
      <c r="L20" s="41">
        <f>IF(A20="","",IF(F20="","",ROUND(F20/60,3)))</f>
        <v>0</v>
      </c>
      <c r="M20" s="32">
        <f>IF(A20="","",IF(G20="Per batch",IF(OR(H20="",H20=0),DefaultBatchSize,H20),1))</f>
        <v>0</v>
      </c>
      <c r="N20" s="20">
        <f>IF(A20="","",IF(OR(L20="",K20=""),"",ROUND(L20*K20,2)))</f>
        <v>0</v>
      </c>
      <c r="O20" s="20">
        <f>IF(A20="","",IF(N20="","",ROUND(N20/MAX(1,M20),2)))</f>
        <v>0</v>
      </c>
      <c r="P20" s="36">
        <f>IF(A20="","",IF(F20="","",ROUND(F20/MAX(1,M20),2)))</f>
        <v>0</v>
      </c>
      <c r="Q20" s="20">
        <f>IF(A20="","",IF(L20="","",ROUND(L20/MAX(1,M20)*SuppliesPerHour,2)))</f>
        <v>0</v>
      </c>
      <c r="R20" s="20">
        <f>IF(A20="","",ROUND(SUMIFS(Labor!$O$5:$O$304,Labor!$A$5:$A$304,A20),2))</f>
        <v>0</v>
      </c>
      <c r="S20" s="33">
        <f>IF(A20="","",IF(OR(O20="",R20="",R20=0),"",O20/R20))</f>
        <v>0</v>
      </c>
      <c r="T20" s="32">
        <f>IF(A20="","",COUNTIFS($A$5:A20,A20))</f>
        <v>0</v>
      </c>
      <c r="U20" s="13">
        <f>IF(A20="","",A20&amp;"|"&amp;T20)</f>
        <v>0</v>
      </c>
      <c r="V20" s="43">
        <f>IF(A20="","",IF(B20="Not found","Check - no such product ID",IF(OR(F20="",F20=0),"Add - how many minutes?",IF(C20="","Add - which stage?",IF(AND(G20="Per batch",H20=""),"Check - using the default batch size",IF(K20&lt;MinimumWage,"Check - below minimum wage","OK"))))))</f>
        <v>0</v>
      </c>
    </row>
    <row r="21" spans="1:22">
      <c r="A21" s="46" t="s">
        <v>748</v>
      </c>
      <c r="B21" s="13">
        <f>IF(A21="","",IFERROR(INDEX(Products!$B$5:$B$304,MATCH(A21,Products!$A$5:$A$304,0)),"Not found"))</f>
        <v>0</v>
      </c>
      <c r="C21" s="15" t="s">
        <v>783</v>
      </c>
      <c r="D21" s="15" t="s">
        <v>779</v>
      </c>
      <c r="F21" s="21">
        <v>12</v>
      </c>
      <c r="G21" s="15" t="s">
        <v>780</v>
      </c>
      <c r="I21" s="47" t="s">
        <v>281</v>
      </c>
      <c r="J21" s="40" t="s">
        <v>799</v>
      </c>
      <c r="K21" s="20">
        <f>IF(A21="","",IF(E21&lt;&gt;"",E21,IF(D21="Employee",ROUND(EmployeeRate*(1+PayrollBurden),2),IF(OR(D21="Contractor",D21="Outsourced"),ROUND(ContractorRate*(1+PayrollBurden),2),LaborCostHour))))</f>
        <v>0</v>
      </c>
      <c r="L21" s="41">
        <f>IF(A21="","",IF(F21="","",ROUND(F21/60,3)))</f>
        <v>0</v>
      </c>
      <c r="M21" s="32">
        <f>IF(A21="","",IF(G21="Per batch",IF(OR(H21="",H21=0),DefaultBatchSize,H21),1))</f>
        <v>0</v>
      </c>
      <c r="N21" s="20">
        <f>IF(A21="","",IF(OR(L21="",K21=""),"",ROUND(L21*K21,2)))</f>
        <v>0</v>
      </c>
      <c r="O21" s="20">
        <f>IF(A21="","",IF(N21="","",ROUND(N21/MAX(1,M21),2)))</f>
        <v>0</v>
      </c>
      <c r="P21" s="36">
        <f>IF(A21="","",IF(F21="","",ROUND(F21/MAX(1,M21),2)))</f>
        <v>0</v>
      </c>
      <c r="Q21" s="20">
        <f>IF(A21="","",IF(L21="","",ROUND(L21/MAX(1,M21)*SuppliesPerHour,2)))</f>
        <v>0</v>
      </c>
      <c r="R21" s="20">
        <f>IF(A21="","",ROUND(SUMIFS(Labor!$O$5:$O$304,Labor!$A$5:$A$304,A21),2))</f>
        <v>0</v>
      </c>
      <c r="S21" s="33">
        <f>IF(A21="","",IF(OR(O21="",R21="",R21=0),"",O21/R21))</f>
        <v>0</v>
      </c>
      <c r="T21" s="32">
        <f>IF(A21="","",COUNTIFS($A$5:A21,A21))</f>
        <v>0</v>
      </c>
      <c r="U21" s="13">
        <f>IF(A21="","",A21&amp;"|"&amp;T21)</f>
        <v>0</v>
      </c>
      <c r="V21" s="43">
        <f>IF(A21="","",IF(B21="Not found","Check - no such product ID",IF(OR(F21="",F21=0),"Add - how many minutes?",IF(C21="","Add - which stage?",IF(AND(G21="Per batch",H21=""),"Check - using the default batch size",IF(K21&lt;MinimumWage,"Check - below minimum wage","OK"))))))</f>
        <v>0</v>
      </c>
    </row>
    <row r="22" spans="1:22">
      <c r="A22" s="46" t="s">
        <v>748</v>
      </c>
      <c r="B22" s="13">
        <f>IF(A22="","",IFERROR(INDEX(Products!$B$5:$B$304,MATCH(A22,Products!$A$5:$A$304,0)),"Not found"))</f>
        <v>0</v>
      </c>
      <c r="C22" s="15" t="s">
        <v>784</v>
      </c>
      <c r="D22" s="15" t="s">
        <v>779</v>
      </c>
      <c r="F22" s="21">
        <v>25</v>
      </c>
      <c r="G22" s="15" t="s">
        <v>785</v>
      </c>
      <c r="H22" s="16">
        <v>3</v>
      </c>
      <c r="I22" s="47" t="s">
        <v>281</v>
      </c>
      <c r="K22" s="20">
        <f>IF(A22="","",IF(E22&lt;&gt;"",E22,IF(D22="Employee",ROUND(EmployeeRate*(1+PayrollBurden),2),IF(OR(D22="Contractor",D22="Outsourced"),ROUND(ContractorRate*(1+PayrollBurden),2),LaborCostHour))))</f>
        <v>0</v>
      </c>
      <c r="L22" s="41">
        <f>IF(A22="","",IF(F22="","",ROUND(F22/60,3)))</f>
        <v>0</v>
      </c>
      <c r="M22" s="32">
        <f>IF(A22="","",IF(G22="Per batch",IF(OR(H22="",H22=0),DefaultBatchSize,H22),1))</f>
        <v>0</v>
      </c>
      <c r="N22" s="20">
        <f>IF(A22="","",IF(OR(L22="",K22=""),"",ROUND(L22*K22,2)))</f>
        <v>0</v>
      </c>
      <c r="O22" s="20">
        <f>IF(A22="","",IF(N22="","",ROUND(N22/MAX(1,M22),2)))</f>
        <v>0</v>
      </c>
      <c r="P22" s="36">
        <f>IF(A22="","",IF(F22="","",ROUND(F22/MAX(1,M22),2)))</f>
        <v>0</v>
      </c>
      <c r="Q22" s="20">
        <f>IF(A22="","",IF(L22="","",ROUND(L22/MAX(1,M22)*SuppliesPerHour,2)))</f>
        <v>0</v>
      </c>
      <c r="R22" s="20">
        <f>IF(A22="","",ROUND(SUMIFS(Labor!$O$5:$O$304,Labor!$A$5:$A$304,A22),2))</f>
        <v>0</v>
      </c>
      <c r="S22" s="33">
        <f>IF(A22="","",IF(OR(O22="",R22="",R22=0),"",O22/R22))</f>
        <v>0</v>
      </c>
      <c r="T22" s="32">
        <f>IF(A22="","",COUNTIFS($A$5:A22,A22))</f>
        <v>0</v>
      </c>
      <c r="U22" s="13">
        <f>IF(A22="","",A22&amp;"|"&amp;T22)</f>
        <v>0</v>
      </c>
      <c r="V22" s="43">
        <f>IF(A22="","",IF(B22="Not found","Check - no such product ID",IF(OR(F22="",F22=0),"Add - how many minutes?",IF(C22="","Add - which stage?",IF(AND(G22="Per batch",H22=""),"Check - using the default batch size",IF(K22&lt;MinimumWage,"Check - below minimum wage","OK"))))))</f>
        <v>0</v>
      </c>
    </row>
    <row r="23" spans="1:22">
      <c r="B23" s="13">
        <f>IF(A23="","",IFERROR(INDEX(Products!$B$5:$B$304,MATCH(A23,Products!$A$5:$A$304,0)),"Not found"))</f>
        <v>0</v>
      </c>
      <c r="K23" s="20">
        <f>IF(A23="","",IF(E23&lt;&gt;"",E23,IF(D23="Employee",ROUND(EmployeeRate*(1+PayrollBurden),2),IF(OR(D23="Contractor",D23="Outsourced"),ROUND(ContractorRate*(1+PayrollBurden),2),LaborCostHour))))</f>
        <v>0</v>
      </c>
      <c r="L23" s="41">
        <f>IF(A23="","",IF(F23="","",ROUND(F23/60,3)))</f>
        <v>0</v>
      </c>
      <c r="M23" s="32">
        <f>IF(A23="","",IF(G23="Per batch",IF(OR(H23="",H23=0),DefaultBatchSize,H23),1))</f>
        <v>0</v>
      </c>
      <c r="N23" s="20">
        <f>IF(A23="","",IF(OR(L23="",K23=""),"",ROUND(L23*K23,2)))</f>
        <v>0</v>
      </c>
      <c r="O23" s="20">
        <f>IF(A23="","",IF(N23="","",ROUND(N23/MAX(1,M23),2)))</f>
        <v>0</v>
      </c>
      <c r="P23" s="36">
        <f>IF(A23="","",IF(F23="","",ROUND(F23/MAX(1,M23),2)))</f>
        <v>0</v>
      </c>
      <c r="Q23" s="20">
        <f>IF(A23="","",IF(L23="","",ROUND(L23/MAX(1,M23)*SuppliesPerHour,2)))</f>
        <v>0</v>
      </c>
      <c r="R23" s="20">
        <f>IF(A23="","",ROUND(SUMIFS(Labor!$O$5:$O$304,Labor!$A$5:$A$304,A23),2))</f>
        <v>0</v>
      </c>
      <c r="S23" s="33">
        <f>IF(A23="","",IF(OR(O23="",R23="",R23=0),"",O23/R23))</f>
        <v>0</v>
      </c>
      <c r="T23" s="32">
        <f>IF(A23="","",COUNTIFS($A$5:A23,A23))</f>
        <v>0</v>
      </c>
      <c r="U23" s="13">
        <f>IF(A23="","",A23&amp;"|"&amp;T23)</f>
        <v>0</v>
      </c>
      <c r="V23" s="43">
        <f>IF(A23="","",IF(B23="Not found","Check - no such product ID",IF(OR(F23="",F23=0),"Add - how many minutes?",IF(C23="","Add - which stage?",IF(AND(G23="Per batch",H23=""),"Check - using the default batch size",IF(K23&lt;MinimumWage,"Check - below minimum wage","OK"))))))</f>
        <v>0</v>
      </c>
    </row>
    <row r="24" spans="1:22">
      <c r="B24" s="13">
        <f>IF(A24="","",IFERROR(INDEX(Products!$B$5:$B$304,MATCH(A24,Products!$A$5:$A$304,0)),"Not found"))</f>
        <v>0</v>
      </c>
      <c r="K24" s="20">
        <f>IF(A24="","",IF(E24&lt;&gt;"",E24,IF(D24="Employee",ROUND(EmployeeRate*(1+PayrollBurden),2),IF(OR(D24="Contractor",D24="Outsourced"),ROUND(ContractorRate*(1+PayrollBurden),2),LaborCostHour))))</f>
        <v>0</v>
      </c>
      <c r="L24" s="41">
        <f>IF(A24="","",IF(F24="","",ROUND(F24/60,3)))</f>
        <v>0</v>
      </c>
      <c r="M24" s="32">
        <f>IF(A24="","",IF(G24="Per batch",IF(OR(H24="",H24=0),DefaultBatchSize,H24),1))</f>
        <v>0</v>
      </c>
      <c r="N24" s="20">
        <f>IF(A24="","",IF(OR(L24="",K24=""),"",ROUND(L24*K24,2)))</f>
        <v>0</v>
      </c>
      <c r="O24" s="20">
        <f>IF(A24="","",IF(N24="","",ROUND(N24/MAX(1,M24),2)))</f>
        <v>0</v>
      </c>
      <c r="P24" s="36">
        <f>IF(A24="","",IF(F24="","",ROUND(F24/MAX(1,M24),2)))</f>
        <v>0</v>
      </c>
      <c r="Q24" s="20">
        <f>IF(A24="","",IF(L24="","",ROUND(L24/MAX(1,M24)*SuppliesPerHour,2)))</f>
        <v>0</v>
      </c>
      <c r="R24" s="20">
        <f>IF(A24="","",ROUND(SUMIFS(Labor!$O$5:$O$304,Labor!$A$5:$A$304,A24),2))</f>
        <v>0</v>
      </c>
      <c r="S24" s="33">
        <f>IF(A24="","",IF(OR(O24="",R24="",R24=0),"",O24/R24))</f>
        <v>0</v>
      </c>
      <c r="T24" s="32">
        <f>IF(A24="","",COUNTIFS($A$5:A24,A24))</f>
        <v>0</v>
      </c>
      <c r="U24" s="13">
        <f>IF(A24="","",A24&amp;"|"&amp;T24)</f>
        <v>0</v>
      </c>
      <c r="V24" s="43">
        <f>IF(A24="","",IF(B24="Not found","Check - no such product ID",IF(OR(F24="",F24=0),"Add - how many minutes?",IF(C24="","Add - which stage?",IF(AND(G24="Per batch",H24=""),"Check - using the default batch size",IF(K24&lt;MinimumWage,"Check - below minimum wage","OK"))))))</f>
        <v>0</v>
      </c>
    </row>
    <row r="25" spans="1:22">
      <c r="B25" s="13">
        <f>IF(A25="","",IFERROR(INDEX(Products!$B$5:$B$304,MATCH(A25,Products!$A$5:$A$304,0)),"Not found"))</f>
        <v>0</v>
      </c>
      <c r="K25" s="20">
        <f>IF(A25="","",IF(E25&lt;&gt;"",E25,IF(D25="Employee",ROUND(EmployeeRate*(1+PayrollBurden),2),IF(OR(D25="Contractor",D25="Outsourced"),ROUND(ContractorRate*(1+PayrollBurden),2),LaborCostHour))))</f>
        <v>0</v>
      </c>
      <c r="L25" s="41">
        <f>IF(A25="","",IF(F25="","",ROUND(F25/60,3)))</f>
        <v>0</v>
      </c>
      <c r="M25" s="32">
        <f>IF(A25="","",IF(G25="Per batch",IF(OR(H25="",H25=0),DefaultBatchSize,H25),1))</f>
        <v>0</v>
      </c>
      <c r="N25" s="20">
        <f>IF(A25="","",IF(OR(L25="",K25=""),"",ROUND(L25*K25,2)))</f>
        <v>0</v>
      </c>
      <c r="O25" s="20">
        <f>IF(A25="","",IF(N25="","",ROUND(N25/MAX(1,M25),2)))</f>
        <v>0</v>
      </c>
      <c r="P25" s="36">
        <f>IF(A25="","",IF(F25="","",ROUND(F25/MAX(1,M25),2)))</f>
        <v>0</v>
      </c>
      <c r="Q25" s="20">
        <f>IF(A25="","",IF(L25="","",ROUND(L25/MAX(1,M25)*SuppliesPerHour,2)))</f>
        <v>0</v>
      </c>
      <c r="R25" s="20">
        <f>IF(A25="","",ROUND(SUMIFS(Labor!$O$5:$O$304,Labor!$A$5:$A$304,A25),2))</f>
        <v>0</v>
      </c>
      <c r="S25" s="33">
        <f>IF(A25="","",IF(OR(O25="",R25="",R25=0),"",O25/R25))</f>
        <v>0</v>
      </c>
      <c r="T25" s="32">
        <f>IF(A25="","",COUNTIFS($A$5:A25,A25))</f>
        <v>0</v>
      </c>
      <c r="U25" s="13">
        <f>IF(A25="","",A25&amp;"|"&amp;T25)</f>
        <v>0</v>
      </c>
      <c r="V25" s="43">
        <f>IF(A25="","",IF(B25="Not found","Check - no such product ID",IF(OR(F25="",F25=0),"Add - how many minutes?",IF(C25="","Add - which stage?",IF(AND(G25="Per batch",H25=""),"Check - using the default batch size",IF(K25&lt;MinimumWage,"Check - below minimum wage","OK"))))))</f>
        <v>0</v>
      </c>
    </row>
    <row r="26" spans="1:22">
      <c r="B26" s="13">
        <f>IF(A26="","",IFERROR(INDEX(Products!$B$5:$B$304,MATCH(A26,Products!$A$5:$A$304,0)),"Not found"))</f>
        <v>0</v>
      </c>
      <c r="K26" s="20">
        <f>IF(A26="","",IF(E26&lt;&gt;"",E26,IF(D26="Employee",ROUND(EmployeeRate*(1+PayrollBurden),2),IF(OR(D26="Contractor",D26="Outsourced"),ROUND(ContractorRate*(1+PayrollBurden),2),LaborCostHour))))</f>
        <v>0</v>
      </c>
      <c r="L26" s="41">
        <f>IF(A26="","",IF(F26="","",ROUND(F26/60,3)))</f>
        <v>0</v>
      </c>
      <c r="M26" s="32">
        <f>IF(A26="","",IF(G26="Per batch",IF(OR(H26="",H26=0),DefaultBatchSize,H26),1))</f>
        <v>0</v>
      </c>
      <c r="N26" s="20">
        <f>IF(A26="","",IF(OR(L26="",K26=""),"",ROUND(L26*K26,2)))</f>
        <v>0</v>
      </c>
      <c r="O26" s="20">
        <f>IF(A26="","",IF(N26="","",ROUND(N26/MAX(1,M26),2)))</f>
        <v>0</v>
      </c>
      <c r="P26" s="36">
        <f>IF(A26="","",IF(F26="","",ROUND(F26/MAX(1,M26),2)))</f>
        <v>0</v>
      </c>
      <c r="Q26" s="20">
        <f>IF(A26="","",IF(L26="","",ROUND(L26/MAX(1,M26)*SuppliesPerHour,2)))</f>
        <v>0</v>
      </c>
      <c r="R26" s="20">
        <f>IF(A26="","",ROUND(SUMIFS(Labor!$O$5:$O$304,Labor!$A$5:$A$304,A26),2))</f>
        <v>0</v>
      </c>
      <c r="S26" s="33">
        <f>IF(A26="","",IF(OR(O26="",R26="",R26=0),"",O26/R26))</f>
        <v>0</v>
      </c>
      <c r="T26" s="32">
        <f>IF(A26="","",COUNTIFS($A$5:A26,A26))</f>
        <v>0</v>
      </c>
      <c r="U26" s="13">
        <f>IF(A26="","",A26&amp;"|"&amp;T26)</f>
        <v>0</v>
      </c>
      <c r="V26" s="43">
        <f>IF(A26="","",IF(B26="Not found","Check - no such product ID",IF(OR(F26="",F26=0),"Add - how many minutes?",IF(C26="","Add - which stage?",IF(AND(G26="Per batch",H26=""),"Check - using the default batch size",IF(K26&lt;MinimumWage,"Check - below minimum wage","OK"))))))</f>
        <v>0</v>
      </c>
    </row>
    <row r="27" spans="1:22">
      <c r="B27" s="13">
        <f>IF(A27="","",IFERROR(INDEX(Products!$B$5:$B$304,MATCH(A27,Products!$A$5:$A$304,0)),"Not found"))</f>
        <v>0</v>
      </c>
      <c r="K27" s="20">
        <f>IF(A27="","",IF(E27&lt;&gt;"",E27,IF(D27="Employee",ROUND(EmployeeRate*(1+PayrollBurden),2),IF(OR(D27="Contractor",D27="Outsourced"),ROUND(ContractorRate*(1+PayrollBurden),2),LaborCostHour))))</f>
        <v>0</v>
      </c>
      <c r="L27" s="41">
        <f>IF(A27="","",IF(F27="","",ROUND(F27/60,3)))</f>
        <v>0</v>
      </c>
      <c r="M27" s="32">
        <f>IF(A27="","",IF(G27="Per batch",IF(OR(H27="",H27=0),DefaultBatchSize,H27),1))</f>
        <v>0</v>
      </c>
      <c r="N27" s="20">
        <f>IF(A27="","",IF(OR(L27="",K27=""),"",ROUND(L27*K27,2)))</f>
        <v>0</v>
      </c>
      <c r="O27" s="20">
        <f>IF(A27="","",IF(N27="","",ROUND(N27/MAX(1,M27),2)))</f>
        <v>0</v>
      </c>
      <c r="P27" s="36">
        <f>IF(A27="","",IF(F27="","",ROUND(F27/MAX(1,M27),2)))</f>
        <v>0</v>
      </c>
      <c r="Q27" s="20">
        <f>IF(A27="","",IF(L27="","",ROUND(L27/MAX(1,M27)*SuppliesPerHour,2)))</f>
        <v>0</v>
      </c>
      <c r="R27" s="20">
        <f>IF(A27="","",ROUND(SUMIFS(Labor!$O$5:$O$304,Labor!$A$5:$A$304,A27),2))</f>
        <v>0</v>
      </c>
      <c r="S27" s="33">
        <f>IF(A27="","",IF(OR(O27="",R27="",R27=0),"",O27/R27))</f>
        <v>0</v>
      </c>
      <c r="T27" s="32">
        <f>IF(A27="","",COUNTIFS($A$5:A27,A27))</f>
        <v>0</v>
      </c>
      <c r="U27" s="13">
        <f>IF(A27="","",A27&amp;"|"&amp;T27)</f>
        <v>0</v>
      </c>
      <c r="V27" s="43">
        <f>IF(A27="","",IF(B27="Not found","Check - no such product ID",IF(OR(F27="",F27=0),"Add - how many minutes?",IF(C27="","Add - which stage?",IF(AND(G27="Per batch",H27=""),"Check - using the default batch size",IF(K27&lt;MinimumWage,"Check - below minimum wage","OK"))))))</f>
        <v>0</v>
      </c>
    </row>
    <row r="28" spans="1:22">
      <c r="B28" s="13">
        <f>IF(A28="","",IFERROR(INDEX(Products!$B$5:$B$304,MATCH(A28,Products!$A$5:$A$304,0)),"Not found"))</f>
        <v>0</v>
      </c>
      <c r="K28" s="20">
        <f>IF(A28="","",IF(E28&lt;&gt;"",E28,IF(D28="Employee",ROUND(EmployeeRate*(1+PayrollBurden),2),IF(OR(D28="Contractor",D28="Outsourced"),ROUND(ContractorRate*(1+PayrollBurden),2),LaborCostHour))))</f>
        <v>0</v>
      </c>
      <c r="L28" s="41">
        <f>IF(A28="","",IF(F28="","",ROUND(F28/60,3)))</f>
        <v>0</v>
      </c>
      <c r="M28" s="32">
        <f>IF(A28="","",IF(G28="Per batch",IF(OR(H28="",H28=0),DefaultBatchSize,H28),1))</f>
        <v>0</v>
      </c>
      <c r="N28" s="20">
        <f>IF(A28="","",IF(OR(L28="",K28=""),"",ROUND(L28*K28,2)))</f>
        <v>0</v>
      </c>
      <c r="O28" s="20">
        <f>IF(A28="","",IF(N28="","",ROUND(N28/MAX(1,M28),2)))</f>
        <v>0</v>
      </c>
      <c r="P28" s="36">
        <f>IF(A28="","",IF(F28="","",ROUND(F28/MAX(1,M28),2)))</f>
        <v>0</v>
      </c>
      <c r="Q28" s="20">
        <f>IF(A28="","",IF(L28="","",ROUND(L28/MAX(1,M28)*SuppliesPerHour,2)))</f>
        <v>0</v>
      </c>
      <c r="R28" s="20">
        <f>IF(A28="","",ROUND(SUMIFS(Labor!$O$5:$O$304,Labor!$A$5:$A$304,A28),2))</f>
        <v>0</v>
      </c>
      <c r="S28" s="33">
        <f>IF(A28="","",IF(OR(O28="",R28="",R28=0),"",O28/R28))</f>
        <v>0</v>
      </c>
      <c r="T28" s="32">
        <f>IF(A28="","",COUNTIFS($A$5:A28,A28))</f>
        <v>0</v>
      </c>
      <c r="U28" s="13">
        <f>IF(A28="","",A28&amp;"|"&amp;T28)</f>
        <v>0</v>
      </c>
      <c r="V28" s="43">
        <f>IF(A28="","",IF(B28="Not found","Check - no such product ID",IF(OR(F28="",F28=0),"Add - how many minutes?",IF(C28="","Add - which stage?",IF(AND(G28="Per batch",H28=""),"Check - using the default batch size",IF(K28&lt;MinimumWage,"Check - below minimum wage","OK"))))))</f>
        <v>0</v>
      </c>
    </row>
    <row r="29" spans="1:22">
      <c r="B29" s="13">
        <f>IF(A29="","",IFERROR(INDEX(Products!$B$5:$B$304,MATCH(A29,Products!$A$5:$A$304,0)),"Not found"))</f>
        <v>0</v>
      </c>
      <c r="K29" s="20">
        <f>IF(A29="","",IF(E29&lt;&gt;"",E29,IF(D29="Employee",ROUND(EmployeeRate*(1+PayrollBurden),2),IF(OR(D29="Contractor",D29="Outsourced"),ROUND(ContractorRate*(1+PayrollBurden),2),LaborCostHour))))</f>
        <v>0</v>
      </c>
      <c r="L29" s="41">
        <f>IF(A29="","",IF(F29="","",ROUND(F29/60,3)))</f>
        <v>0</v>
      </c>
      <c r="M29" s="32">
        <f>IF(A29="","",IF(G29="Per batch",IF(OR(H29="",H29=0),DefaultBatchSize,H29),1))</f>
        <v>0</v>
      </c>
      <c r="N29" s="20">
        <f>IF(A29="","",IF(OR(L29="",K29=""),"",ROUND(L29*K29,2)))</f>
        <v>0</v>
      </c>
      <c r="O29" s="20">
        <f>IF(A29="","",IF(N29="","",ROUND(N29/MAX(1,M29),2)))</f>
        <v>0</v>
      </c>
      <c r="P29" s="36">
        <f>IF(A29="","",IF(F29="","",ROUND(F29/MAX(1,M29),2)))</f>
        <v>0</v>
      </c>
      <c r="Q29" s="20">
        <f>IF(A29="","",IF(L29="","",ROUND(L29/MAX(1,M29)*SuppliesPerHour,2)))</f>
        <v>0</v>
      </c>
      <c r="R29" s="20">
        <f>IF(A29="","",ROUND(SUMIFS(Labor!$O$5:$O$304,Labor!$A$5:$A$304,A29),2))</f>
        <v>0</v>
      </c>
      <c r="S29" s="33">
        <f>IF(A29="","",IF(OR(O29="",R29="",R29=0),"",O29/R29))</f>
        <v>0</v>
      </c>
      <c r="T29" s="32">
        <f>IF(A29="","",COUNTIFS($A$5:A29,A29))</f>
        <v>0</v>
      </c>
      <c r="U29" s="13">
        <f>IF(A29="","",A29&amp;"|"&amp;T29)</f>
        <v>0</v>
      </c>
      <c r="V29" s="43">
        <f>IF(A29="","",IF(B29="Not found","Check - no such product ID",IF(OR(F29="",F29=0),"Add - how many minutes?",IF(C29="","Add - which stage?",IF(AND(G29="Per batch",H29=""),"Check - using the default batch size",IF(K29&lt;MinimumWage,"Check - below minimum wage","OK"))))))</f>
        <v>0</v>
      </c>
    </row>
    <row r="30" spans="1:22">
      <c r="B30" s="13">
        <f>IF(A30="","",IFERROR(INDEX(Products!$B$5:$B$304,MATCH(A30,Products!$A$5:$A$304,0)),"Not found"))</f>
        <v>0</v>
      </c>
      <c r="K30" s="20">
        <f>IF(A30="","",IF(E30&lt;&gt;"",E30,IF(D30="Employee",ROUND(EmployeeRate*(1+PayrollBurden),2),IF(OR(D30="Contractor",D30="Outsourced"),ROUND(ContractorRate*(1+PayrollBurden),2),LaborCostHour))))</f>
        <v>0</v>
      </c>
      <c r="L30" s="41">
        <f>IF(A30="","",IF(F30="","",ROUND(F30/60,3)))</f>
        <v>0</v>
      </c>
      <c r="M30" s="32">
        <f>IF(A30="","",IF(G30="Per batch",IF(OR(H30="",H30=0),DefaultBatchSize,H30),1))</f>
        <v>0</v>
      </c>
      <c r="N30" s="20">
        <f>IF(A30="","",IF(OR(L30="",K30=""),"",ROUND(L30*K30,2)))</f>
        <v>0</v>
      </c>
      <c r="O30" s="20">
        <f>IF(A30="","",IF(N30="","",ROUND(N30/MAX(1,M30),2)))</f>
        <v>0</v>
      </c>
      <c r="P30" s="36">
        <f>IF(A30="","",IF(F30="","",ROUND(F30/MAX(1,M30),2)))</f>
        <v>0</v>
      </c>
      <c r="Q30" s="20">
        <f>IF(A30="","",IF(L30="","",ROUND(L30/MAX(1,M30)*SuppliesPerHour,2)))</f>
        <v>0</v>
      </c>
      <c r="R30" s="20">
        <f>IF(A30="","",ROUND(SUMIFS(Labor!$O$5:$O$304,Labor!$A$5:$A$304,A30),2))</f>
        <v>0</v>
      </c>
      <c r="S30" s="33">
        <f>IF(A30="","",IF(OR(O30="",R30="",R30=0),"",O30/R30))</f>
        <v>0</v>
      </c>
      <c r="T30" s="32">
        <f>IF(A30="","",COUNTIFS($A$5:A30,A30))</f>
        <v>0</v>
      </c>
      <c r="U30" s="13">
        <f>IF(A30="","",A30&amp;"|"&amp;T30)</f>
        <v>0</v>
      </c>
      <c r="V30" s="43">
        <f>IF(A30="","",IF(B30="Not found","Check - no such product ID",IF(OR(F30="",F30=0),"Add - how many minutes?",IF(C30="","Add - which stage?",IF(AND(G30="Per batch",H30=""),"Check - using the default batch size",IF(K30&lt;MinimumWage,"Check - below minimum wage","OK"))))))</f>
        <v>0</v>
      </c>
    </row>
    <row r="31" spans="1:22">
      <c r="B31" s="13">
        <f>IF(A31="","",IFERROR(INDEX(Products!$B$5:$B$304,MATCH(A31,Products!$A$5:$A$304,0)),"Not found"))</f>
        <v>0</v>
      </c>
      <c r="K31" s="20">
        <f>IF(A31="","",IF(E31&lt;&gt;"",E31,IF(D31="Employee",ROUND(EmployeeRate*(1+PayrollBurden),2),IF(OR(D31="Contractor",D31="Outsourced"),ROUND(ContractorRate*(1+PayrollBurden),2),LaborCostHour))))</f>
        <v>0</v>
      </c>
      <c r="L31" s="41">
        <f>IF(A31="","",IF(F31="","",ROUND(F31/60,3)))</f>
        <v>0</v>
      </c>
      <c r="M31" s="32">
        <f>IF(A31="","",IF(G31="Per batch",IF(OR(H31="",H31=0),DefaultBatchSize,H31),1))</f>
        <v>0</v>
      </c>
      <c r="N31" s="20">
        <f>IF(A31="","",IF(OR(L31="",K31=""),"",ROUND(L31*K31,2)))</f>
        <v>0</v>
      </c>
      <c r="O31" s="20">
        <f>IF(A31="","",IF(N31="","",ROUND(N31/MAX(1,M31),2)))</f>
        <v>0</v>
      </c>
      <c r="P31" s="36">
        <f>IF(A31="","",IF(F31="","",ROUND(F31/MAX(1,M31),2)))</f>
        <v>0</v>
      </c>
      <c r="Q31" s="20">
        <f>IF(A31="","",IF(L31="","",ROUND(L31/MAX(1,M31)*SuppliesPerHour,2)))</f>
        <v>0</v>
      </c>
      <c r="R31" s="20">
        <f>IF(A31="","",ROUND(SUMIFS(Labor!$O$5:$O$304,Labor!$A$5:$A$304,A31),2))</f>
        <v>0</v>
      </c>
      <c r="S31" s="33">
        <f>IF(A31="","",IF(OR(O31="",R31="",R31=0),"",O31/R31))</f>
        <v>0</v>
      </c>
      <c r="T31" s="32">
        <f>IF(A31="","",COUNTIFS($A$5:A31,A31))</f>
        <v>0</v>
      </c>
      <c r="U31" s="13">
        <f>IF(A31="","",A31&amp;"|"&amp;T31)</f>
        <v>0</v>
      </c>
      <c r="V31" s="43">
        <f>IF(A31="","",IF(B31="Not found","Check - no such product ID",IF(OR(F31="",F31=0),"Add - how many minutes?",IF(C31="","Add - which stage?",IF(AND(G31="Per batch",H31=""),"Check - using the default batch size",IF(K31&lt;MinimumWage,"Check - below minimum wage","OK"))))))</f>
        <v>0</v>
      </c>
    </row>
    <row r="32" spans="1:22">
      <c r="B32" s="13">
        <f>IF(A32="","",IFERROR(INDEX(Products!$B$5:$B$304,MATCH(A32,Products!$A$5:$A$304,0)),"Not found"))</f>
        <v>0</v>
      </c>
      <c r="K32" s="20">
        <f>IF(A32="","",IF(E32&lt;&gt;"",E32,IF(D32="Employee",ROUND(EmployeeRate*(1+PayrollBurden),2),IF(OR(D32="Contractor",D32="Outsourced"),ROUND(ContractorRate*(1+PayrollBurden),2),LaborCostHour))))</f>
        <v>0</v>
      </c>
      <c r="L32" s="41">
        <f>IF(A32="","",IF(F32="","",ROUND(F32/60,3)))</f>
        <v>0</v>
      </c>
      <c r="M32" s="32">
        <f>IF(A32="","",IF(G32="Per batch",IF(OR(H32="",H32=0),DefaultBatchSize,H32),1))</f>
        <v>0</v>
      </c>
      <c r="N32" s="20">
        <f>IF(A32="","",IF(OR(L32="",K32=""),"",ROUND(L32*K32,2)))</f>
        <v>0</v>
      </c>
      <c r="O32" s="20">
        <f>IF(A32="","",IF(N32="","",ROUND(N32/MAX(1,M32),2)))</f>
        <v>0</v>
      </c>
      <c r="P32" s="36">
        <f>IF(A32="","",IF(F32="","",ROUND(F32/MAX(1,M32),2)))</f>
        <v>0</v>
      </c>
      <c r="Q32" s="20">
        <f>IF(A32="","",IF(L32="","",ROUND(L32/MAX(1,M32)*SuppliesPerHour,2)))</f>
        <v>0</v>
      </c>
      <c r="R32" s="20">
        <f>IF(A32="","",ROUND(SUMIFS(Labor!$O$5:$O$304,Labor!$A$5:$A$304,A32),2))</f>
        <v>0</v>
      </c>
      <c r="S32" s="33">
        <f>IF(A32="","",IF(OR(O32="",R32="",R32=0),"",O32/R32))</f>
        <v>0</v>
      </c>
      <c r="T32" s="32">
        <f>IF(A32="","",COUNTIFS($A$5:A32,A32))</f>
        <v>0</v>
      </c>
      <c r="U32" s="13">
        <f>IF(A32="","",A32&amp;"|"&amp;T32)</f>
        <v>0</v>
      </c>
      <c r="V32" s="43">
        <f>IF(A32="","",IF(B32="Not found","Check - no such product ID",IF(OR(F32="",F32=0),"Add - how many minutes?",IF(C32="","Add - which stage?",IF(AND(G32="Per batch",H32=""),"Check - using the default batch size",IF(K32&lt;MinimumWage,"Check - below minimum wage","OK"))))))</f>
        <v>0</v>
      </c>
    </row>
    <row r="33" spans="2:22">
      <c r="B33" s="13">
        <f>IF(A33="","",IFERROR(INDEX(Products!$B$5:$B$304,MATCH(A33,Products!$A$5:$A$304,0)),"Not found"))</f>
        <v>0</v>
      </c>
      <c r="K33" s="20">
        <f>IF(A33="","",IF(E33&lt;&gt;"",E33,IF(D33="Employee",ROUND(EmployeeRate*(1+PayrollBurden),2),IF(OR(D33="Contractor",D33="Outsourced"),ROUND(ContractorRate*(1+PayrollBurden),2),LaborCostHour))))</f>
        <v>0</v>
      </c>
      <c r="L33" s="41">
        <f>IF(A33="","",IF(F33="","",ROUND(F33/60,3)))</f>
        <v>0</v>
      </c>
      <c r="M33" s="32">
        <f>IF(A33="","",IF(G33="Per batch",IF(OR(H33="",H33=0),DefaultBatchSize,H33),1))</f>
        <v>0</v>
      </c>
      <c r="N33" s="20">
        <f>IF(A33="","",IF(OR(L33="",K33=""),"",ROUND(L33*K33,2)))</f>
        <v>0</v>
      </c>
      <c r="O33" s="20">
        <f>IF(A33="","",IF(N33="","",ROUND(N33/MAX(1,M33),2)))</f>
        <v>0</v>
      </c>
      <c r="P33" s="36">
        <f>IF(A33="","",IF(F33="","",ROUND(F33/MAX(1,M33),2)))</f>
        <v>0</v>
      </c>
      <c r="Q33" s="20">
        <f>IF(A33="","",IF(L33="","",ROUND(L33/MAX(1,M33)*SuppliesPerHour,2)))</f>
        <v>0</v>
      </c>
      <c r="R33" s="20">
        <f>IF(A33="","",ROUND(SUMIFS(Labor!$O$5:$O$304,Labor!$A$5:$A$304,A33),2))</f>
        <v>0</v>
      </c>
      <c r="S33" s="33">
        <f>IF(A33="","",IF(OR(O33="",R33="",R33=0),"",O33/R33))</f>
        <v>0</v>
      </c>
      <c r="T33" s="32">
        <f>IF(A33="","",COUNTIFS($A$5:A33,A33))</f>
        <v>0</v>
      </c>
      <c r="U33" s="13">
        <f>IF(A33="","",A33&amp;"|"&amp;T33)</f>
        <v>0</v>
      </c>
      <c r="V33" s="43">
        <f>IF(A33="","",IF(B33="Not found","Check - no such product ID",IF(OR(F33="",F33=0),"Add - how many minutes?",IF(C33="","Add - which stage?",IF(AND(G33="Per batch",H33=""),"Check - using the default batch size",IF(K33&lt;MinimumWage,"Check - below minimum wage","OK"))))))</f>
        <v>0</v>
      </c>
    </row>
    <row r="34" spans="2:22">
      <c r="B34" s="13">
        <f>IF(A34="","",IFERROR(INDEX(Products!$B$5:$B$304,MATCH(A34,Products!$A$5:$A$304,0)),"Not found"))</f>
        <v>0</v>
      </c>
      <c r="K34" s="20">
        <f>IF(A34="","",IF(E34&lt;&gt;"",E34,IF(D34="Employee",ROUND(EmployeeRate*(1+PayrollBurden),2),IF(OR(D34="Contractor",D34="Outsourced"),ROUND(ContractorRate*(1+PayrollBurden),2),LaborCostHour))))</f>
        <v>0</v>
      </c>
      <c r="L34" s="41">
        <f>IF(A34="","",IF(F34="","",ROUND(F34/60,3)))</f>
        <v>0</v>
      </c>
      <c r="M34" s="32">
        <f>IF(A34="","",IF(G34="Per batch",IF(OR(H34="",H34=0),DefaultBatchSize,H34),1))</f>
        <v>0</v>
      </c>
      <c r="N34" s="20">
        <f>IF(A34="","",IF(OR(L34="",K34=""),"",ROUND(L34*K34,2)))</f>
        <v>0</v>
      </c>
      <c r="O34" s="20">
        <f>IF(A34="","",IF(N34="","",ROUND(N34/MAX(1,M34),2)))</f>
        <v>0</v>
      </c>
      <c r="P34" s="36">
        <f>IF(A34="","",IF(F34="","",ROUND(F34/MAX(1,M34),2)))</f>
        <v>0</v>
      </c>
      <c r="Q34" s="20">
        <f>IF(A34="","",IF(L34="","",ROUND(L34/MAX(1,M34)*SuppliesPerHour,2)))</f>
        <v>0</v>
      </c>
      <c r="R34" s="20">
        <f>IF(A34="","",ROUND(SUMIFS(Labor!$O$5:$O$304,Labor!$A$5:$A$304,A34),2))</f>
        <v>0</v>
      </c>
      <c r="S34" s="33">
        <f>IF(A34="","",IF(OR(O34="",R34="",R34=0),"",O34/R34))</f>
        <v>0</v>
      </c>
      <c r="T34" s="32">
        <f>IF(A34="","",COUNTIFS($A$5:A34,A34))</f>
        <v>0</v>
      </c>
      <c r="U34" s="13">
        <f>IF(A34="","",A34&amp;"|"&amp;T34)</f>
        <v>0</v>
      </c>
      <c r="V34" s="43">
        <f>IF(A34="","",IF(B34="Not found","Check - no such product ID",IF(OR(F34="",F34=0),"Add - how many minutes?",IF(C34="","Add - which stage?",IF(AND(G34="Per batch",H34=""),"Check - using the default batch size",IF(K34&lt;MinimumWage,"Check - below minimum wage","OK"))))))</f>
        <v>0</v>
      </c>
    </row>
    <row r="35" spans="2:22">
      <c r="B35" s="13">
        <f>IF(A35="","",IFERROR(INDEX(Products!$B$5:$B$304,MATCH(A35,Products!$A$5:$A$304,0)),"Not found"))</f>
        <v>0</v>
      </c>
      <c r="K35" s="20">
        <f>IF(A35="","",IF(E35&lt;&gt;"",E35,IF(D35="Employee",ROUND(EmployeeRate*(1+PayrollBurden),2),IF(OR(D35="Contractor",D35="Outsourced"),ROUND(ContractorRate*(1+PayrollBurden),2),LaborCostHour))))</f>
        <v>0</v>
      </c>
      <c r="L35" s="41">
        <f>IF(A35="","",IF(F35="","",ROUND(F35/60,3)))</f>
        <v>0</v>
      </c>
      <c r="M35" s="32">
        <f>IF(A35="","",IF(G35="Per batch",IF(OR(H35="",H35=0),DefaultBatchSize,H35),1))</f>
        <v>0</v>
      </c>
      <c r="N35" s="20">
        <f>IF(A35="","",IF(OR(L35="",K35=""),"",ROUND(L35*K35,2)))</f>
        <v>0</v>
      </c>
      <c r="O35" s="20">
        <f>IF(A35="","",IF(N35="","",ROUND(N35/MAX(1,M35),2)))</f>
        <v>0</v>
      </c>
      <c r="P35" s="36">
        <f>IF(A35="","",IF(F35="","",ROUND(F35/MAX(1,M35),2)))</f>
        <v>0</v>
      </c>
      <c r="Q35" s="20">
        <f>IF(A35="","",IF(L35="","",ROUND(L35/MAX(1,M35)*SuppliesPerHour,2)))</f>
        <v>0</v>
      </c>
      <c r="R35" s="20">
        <f>IF(A35="","",ROUND(SUMIFS(Labor!$O$5:$O$304,Labor!$A$5:$A$304,A35),2))</f>
        <v>0</v>
      </c>
      <c r="S35" s="33">
        <f>IF(A35="","",IF(OR(O35="",R35="",R35=0),"",O35/R35))</f>
        <v>0</v>
      </c>
      <c r="T35" s="32">
        <f>IF(A35="","",COUNTIFS($A$5:A35,A35))</f>
        <v>0</v>
      </c>
      <c r="U35" s="13">
        <f>IF(A35="","",A35&amp;"|"&amp;T35)</f>
        <v>0</v>
      </c>
      <c r="V35" s="43">
        <f>IF(A35="","",IF(B35="Not found","Check - no such product ID",IF(OR(F35="",F35=0),"Add - how many minutes?",IF(C35="","Add - which stage?",IF(AND(G35="Per batch",H35=""),"Check - using the default batch size",IF(K35&lt;MinimumWage,"Check - below minimum wage","OK"))))))</f>
        <v>0</v>
      </c>
    </row>
    <row r="36" spans="2:22">
      <c r="B36" s="13">
        <f>IF(A36="","",IFERROR(INDEX(Products!$B$5:$B$304,MATCH(A36,Products!$A$5:$A$304,0)),"Not found"))</f>
        <v>0</v>
      </c>
      <c r="K36" s="20">
        <f>IF(A36="","",IF(E36&lt;&gt;"",E36,IF(D36="Employee",ROUND(EmployeeRate*(1+PayrollBurden),2),IF(OR(D36="Contractor",D36="Outsourced"),ROUND(ContractorRate*(1+PayrollBurden),2),LaborCostHour))))</f>
        <v>0</v>
      </c>
      <c r="L36" s="41">
        <f>IF(A36="","",IF(F36="","",ROUND(F36/60,3)))</f>
        <v>0</v>
      </c>
      <c r="M36" s="32">
        <f>IF(A36="","",IF(G36="Per batch",IF(OR(H36="",H36=0),DefaultBatchSize,H36),1))</f>
        <v>0</v>
      </c>
      <c r="N36" s="20">
        <f>IF(A36="","",IF(OR(L36="",K36=""),"",ROUND(L36*K36,2)))</f>
        <v>0</v>
      </c>
      <c r="O36" s="20">
        <f>IF(A36="","",IF(N36="","",ROUND(N36/MAX(1,M36),2)))</f>
        <v>0</v>
      </c>
      <c r="P36" s="36">
        <f>IF(A36="","",IF(F36="","",ROUND(F36/MAX(1,M36),2)))</f>
        <v>0</v>
      </c>
      <c r="Q36" s="20">
        <f>IF(A36="","",IF(L36="","",ROUND(L36/MAX(1,M36)*SuppliesPerHour,2)))</f>
        <v>0</v>
      </c>
      <c r="R36" s="20">
        <f>IF(A36="","",ROUND(SUMIFS(Labor!$O$5:$O$304,Labor!$A$5:$A$304,A36),2))</f>
        <v>0</v>
      </c>
      <c r="S36" s="33">
        <f>IF(A36="","",IF(OR(O36="",R36="",R36=0),"",O36/R36))</f>
        <v>0</v>
      </c>
      <c r="T36" s="32">
        <f>IF(A36="","",COUNTIFS($A$5:A36,A36))</f>
        <v>0</v>
      </c>
      <c r="U36" s="13">
        <f>IF(A36="","",A36&amp;"|"&amp;T36)</f>
        <v>0</v>
      </c>
      <c r="V36" s="43">
        <f>IF(A36="","",IF(B36="Not found","Check - no such product ID",IF(OR(F36="",F36=0),"Add - how many minutes?",IF(C36="","Add - which stage?",IF(AND(G36="Per batch",H36=""),"Check - using the default batch size",IF(K36&lt;MinimumWage,"Check - below minimum wage","OK"))))))</f>
        <v>0</v>
      </c>
    </row>
    <row r="37" spans="2:22">
      <c r="B37" s="13">
        <f>IF(A37="","",IFERROR(INDEX(Products!$B$5:$B$304,MATCH(A37,Products!$A$5:$A$304,0)),"Not found"))</f>
        <v>0</v>
      </c>
      <c r="K37" s="20">
        <f>IF(A37="","",IF(E37&lt;&gt;"",E37,IF(D37="Employee",ROUND(EmployeeRate*(1+PayrollBurden),2),IF(OR(D37="Contractor",D37="Outsourced"),ROUND(ContractorRate*(1+PayrollBurden),2),LaborCostHour))))</f>
        <v>0</v>
      </c>
      <c r="L37" s="41">
        <f>IF(A37="","",IF(F37="","",ROUND(F37/60,3)))</f>
        <v>0</v>
      </c>
      <c r="M37" s="32">
        <f>IF(A37="","",IF(G37="Per batch",IF(OR(H37="",H37=0),DefaultBatchSize,H37),1))</f>
        <v>0</v>
      </c>
      <c r="N37" s="20">
        <f>IF(A37="","",IF(OR(L37="",K37=""),"",ROUND(L37*K37,2)))</f>
        <v>0</v>
      </c>
      <c r="O37" s="20">
        <f>IF(A37="","",IF(N37="","",ROUND(N37/MAX(1,M37),2)))</f>
        <v>0</v>
      </c>
      <c r="P37" s="36">
        <f>IF(A37="","",IF(F37="","",ROUND(F37/MAX(1,M37),2)))</f>
        <v>0</v>
      </c>
      <c r="Q37" s="20">
        <f>IF(A37="","",IF(L37="","",ROUND(L37/MAX(1,M37)*SuppliesPerHour,2)))</f>
        <v>0</v>
      </c>
      <c r="R37" s="20">
        <f>IF(A37="","",ROUND(SUMIFS(Labor!$O$5:$O$304,Labor!$A$5:$A$304,A37),2))</f>
        <v>0</v>
      </c>
      <c r="S37" s="33">
        <f>IF(A37="","",IF(OR(O37="",R37="",R37=0),"",O37/R37))</f>
        <v>0</v>
      </c>
      <c r="T37" s="32">
        <f>IF(A37="","",COUNTIFS($A$5:A37,A37))</f>
        <v>0</v>
      </c>
      <c r="U37" s="13">
        <f>IF(A37="","",A37&amp;"|"&amp;T37)</f>
        <v>0</v>
      </c>
      <c r="V37" s="43">
        <f>IF(A37="","",IF(B37="Not found","Check - no such product ID",IF(OR(F37="",F37=0),"Add - how many minutes?",IF(C37="","Add - which stage?",IF(AND(G37="Per batch",H37=""),"Check - using the default batch size",IF(K37&lt;MinimumWage,"Check - below minimum wage","OK"))))))</f>
        <v>0</v>
      </c>
    </row>
    <row r="38" spans="2:22">
      <c r="B38" s="13">
        <f>IF(A38="","",IFERROR(INDEX(Products!$B$5:$B$304,MATCH(A38,Products!$A$5:$A$304,0)),"Not found"))</f>
        <v>0</v>
      </c>
      <c r="K38" s="20">
        <f>IF(A38="","",IF(E38&lt;&gt;"",E38,IF(D38="Employee",ROUND(EmployeeRate*(1+PayrollBurden),2),IF(OR(D38="Contractor",D38="Outsourced"),ROUND(ContractorRate*(1+PayrollBurden),2),LaborCostHour))))</f>
        <v>0</v>
      </c>
      <c r="L38" s="41">
        <f>IF(A38="","",IF(F38="","",ROUND(F38/60,3)))</f>
        <v>0</v>
      </c>
      <c r="M38" s="32">
        <f>IF(A38="","",IF(G38="Per batch",IF(OR(H38="",H38=0),DefaultBatchSize,H38),1))</f>
        <v>0</v>
      </c>
      <c r="N38" s="20">
        <f>IF(A38="","",IF(OR(L38="",K38=""),"",ROUND(L38*K38,2)))</f>
        <v>0</v>
      </c>
      <c r="O38" s="20">
        <f>IF(A38="","",IF(N38="","",ROUND(N38/MAX(1,M38),2)))</f>
        <v>0</v>
      </c>
      <c r="P38" s="36">
        <f>IF(A38="","",IF(F38="","",ROUND(F38/MAX(1,M38),2)))</f>
        <v>0</v>
      </c>
      <c r="Q38" s="20">
        <f>IF(A38="","",IF(L38="","",ROUND(L38/MAX(1,M38)*SuppliesPerHour,2)))</f>
        <v>0</v>
      </c>
      <c r="R38" s="20">
        <f>IF(A38="","",ROUND(SUMIFS(Labor!$O$5:$O$304,Labor!$A$5:$A$304,A38),2))</f>
        <v>0</v>
      </c>
      <c r="S38" s="33">
        <f>IF(A38="","",IF(OR(O38="",R38="",R38=0),"",O38/R38))</f>
        <v>0</v>
      </c>
      <c r="T38" s="32">
        <f>IF(A38="","",COUNTIFS($A$5:A38,A38))</f>
        <v>0</v>
      </c>
      <c r="U38" s="13">
        <f>IF(A38="","",A38&amp;"|"&amp;T38)</f>
        <v>0</v>
      </c>
      <c r="V38" s="43">
        <f>IF(A38="","",IF(B38="Not found","Check - no such product ID",IF(OR(F38="",F38=0),"Add - how many minutes?",IF(C38="","Add - which stage?",IF(AND(G38="Per batch",H38=""),"Check - using the default batch size",IF(K38&lt;MinimumWage,"Check - below minimum wage","OK"))))))</f>
        <v>0</v>
      </c>
    </row>
    <row r="39" spans="2:22">
      <c r="B39" s="13">
        <f>IF(A39="","",IFERROR(INDEX(Products!$B$5:$B$304,MATCH(A39,Products!$A$5:$A$304,0)),"Not found"))</f>
        <v>0</v>
      </c>
      <c r="K39" s="20">
        <f>IF(A39="","",IF(E39&lt;&gt;"",E39,IF(D39="Employee",ROUND(EmployeeRate*(1+PayrollBurden),2),IF(OR(D39="Contractor",D39="Outsourced"),ROUND(ContractorRate*(1+PayrollBurden),2),LaborCostHour))))</f>
        <v>0</v>
      </c>
      <c r="L39" s="41">
        <f>IF(A39="","",IF(F39="","",ROUND(F39/60,3)))</f>
        <v>0</v>
      </c>
      <c r="M39" s="32">
        <f>IF(A39="","",IF(G39="Per batch",IF(OR(H39="",H39=0),DefaultBatchSize,H39),1))</f>
        <v>0</v>
      </c>
      <c r="N39" s="20">
        <f>IF(A39="","",IF(OR(L39="",K39=""),"",ROUND(L39*K39,2)))</f>
        <v>0</v>
      </c>
      <c r="O39" s="20">
        <f>IF(A39="","",IF(N39="","",ROUND(N39/MAX(1,M39),2)))</f>
        <v>0</v>
      </c>
      <c r="P39" s="36">
        <f>IF(A39="","",IF(F39="","",ROUND(F39/MAX(1,M39),2)))</f>
        <v>0</v>
      </c>
      <c r="Q39" s="20">
        <f>IF(A39="","",IF(L39="","",ROUND(L39/MAX(1,M39)*SuppliesPerHour,2)))</f>
        <v>0</v>
      </c>
      <c r="R39" s="20">
        <f>IF(A39="","",ROUND(SUMIFS(Labor!$O$5:$O$304,Labor!$A$5:$A$304,A39),2))</f>
        <v>0</v>
      </c>
      <c r="S39" s="33">
        <f>IF(A39="","",IF(OR(O39="",R39="",R39=0),"",O39/R39))</f>
        <v>0</v>
      </c>
      <c r="T39" s="32">
        <f>IF(A39="","",COUNTIFS($A$5:A39,A39))</f>
        <v>0</v>
      </c>
      <c r="U39" s="13">
        <f>IF(A39="","",A39&amp;"|"&amp;T39)</f>
        <v>0</v>
      </c>
      <c r="V39" s="43">
        <f>IF(A39="","",IF(B39="Not found","Check - no such product ID",IF(OR(F39="",F39=0),"Add - how many minutes?",IF(C39="","Add - which stage?",IF(AND(G39="Per batch",H39=""),"Check - using the default batch size",IF(K39&lt;MinimumWage,"Check - below minimum wage","OK"))))))</f>
        <v>0</v>
      </c>
    </row>
    <row r="40" spans="2:22">
      <c r="B40" s="13">
        <f>IF(A40="","",IFERROR(INDEX(Products!$B$5:$B$304,MATCH(A40,Products!$A$5:$A$304,0)),"Not found"))</f>
        <v>0</v>
      </c>
      <c r="K40" s="20">
        <f>IF(A40="","",IF(E40&lt;&gt;"",E40,IF(D40="Employee",ROUND(EmployeeRate*(1+PayrollBurden),2),IF(OR(D40="Contractor",D40="Outsourced"),ROUND(ContractorRate*(1+PayrollBurden),2),LaborCostHour))))</f>
        <v>0</v>
      </c>
      <c r="L40" s="41">
        <f>IF(A40="","",IF(F40="","",ROUND(F40/60,3)))</f>
        <v>0</v>
      </c>
      <c r="M40" s="32">
        <f>IF(A40="","",IF(G40="Per batch",IF(OR(H40="",H40=0),DefaultBatchSize,H40),1))</f>
        <v>0</v>
      </c>
      <c r="N40" s="20">
        <f>IF(A40="","",IF(OR(L40="",K40=""),"",ROUND(L40*K40,2)))</f>
        <v>0</v>
      </c>
      <c r="O40" s="20">
        <f>IF(A40="","",IF(N40="","",ROUND(N40/MAX(1,M40),2)))</f>
        <v>0</v>
      </c>
      <c r="P40" s="36">
        <f>IF(A40="","",IF(F40="","",ROUND(F40/MAX(1,M40),2)))</f>
        <v>0</v>
      </c>
      <c r="Q40" s="20">
        <f>IF(A40="","",IF(L40="","",ROUND(L40/MAX(1,M40)*SuppliesPerHour,2)))</f>
        <v>0</v>
      </c>
      <c r="R40" s="20">
        <f>IF(A40="","",ROUND(SUMIFS(Labor!$O$5:$O$304,Labor!$A$5:$A$304,A40),2))</f>
        <v>0</v>
      </c>
      <c r="S40" s="33">
        <f>IF(A40="","",IF(OR(O40="",R40="",R40=0),"",O40/R40))</f>
        <v>0</v>
      </c>
      <c r="T40" s="32">
        <f>IF(A40="","",COUNTIFS($A$5:A40,A40))</f>
        <v>0</v>
      </c>
      <c r="U40" s="13">
        <f>IF(A40="","",A40&amp;"|"&amp;T40)</f>
        <v>0</v>
      </c>
      <c r="V40" s="43">
        <f>IF(A40="","",IF(B40="Not found","Check - no such product ID",IF(OR(F40="",F40=0),"Add - how many minutes?",IF(C40="","Add - which stage?",IF(AND(G40="Per batch",H40=""),"Check - using the default batch size",IF(K40&lt;MinimumWage,"Check - below minimum wage","OK"))))))</f>
        <v>0</v>
      </c>
    </row>
    <row r="41" spans="2:22">
      <c r="B41" s="13">
        <f>IF(A41="","",IFERROR(INDEX(Products!$B$5:$B$304,MATCH(A41,Products!$A$5:$A$304,0)),"Not found"))</f>
        <v>0</v>
      </c>
      <c r="K41" s="20">
        <f>IF(A41="","",IF(E41&lt;&gt;"",E41,IF(D41="Employee",ROUND(EmployeeRate*(1+PayrollBurden),2),IF(OR(D41="Contractor",D41="Outsourced"),ROUND(ContractorRate*(1+PayrollBurden),2),LaborCostHour))))</f>
        <v>0</v>
      </c>
      <c r="L41" s="41">
        <f>IF(A41="","",IF(F41="","",ROUND(F41/60,3)))</f>
        <v>0</v>
      </c>
      <c r="M41" s="32">
        <f>IF(A41="","",IF(G41="Per batch",IF(OR(H41="",H41=0),DefaultBatchSize,H41),1))</f>
        <v>0</v>
      </c>
      <c r="N41" s="20">
        <f>IF(A41="","",IF(OR(L41="",K41=""),"",ROUND(L41*K41,2)))</f>
        <v>0</v>
      </c>
      <c r="O41" s="20">
        <f>IF(A41="","",IF(N41="","",ROUND(N41/MAX(1,M41),2)))</f>
        <v>0</v>
      </c>
      <c r="P41" s="36">
        <f>IF(A41="","",IF(F41="","",ROUND(F41/MAX(1,M41),2)))</f>
        <v>0</v>
      </c>
      <c r="Q41" s="20">
        <f>IF(A41="","",IF(L41="","",ROUND(L41/MAX(1,M41)*SuppliesPerHour,2)))</f>
        <v>0</v>
      </c>
      <c r="R41" s="20">
        <f>IF(A41="","",ROUND(SUMIFS(Labor!$O$5:$O$304,Labor!$A$5:$A$304,A41),2))</f>
        <v>0</v>
      </c>
      <c r="S41" s="33">
        <f>IF(A41="","",IF(OR(O41="",R41="",R41=0),"",O41/R41))</f>
        <v>0</v>
      </c>
      <c r="T41" s="32">
        <f>IF(A41="","",COUNTIFS($A$5:A41,A41))</f>
        <v>0</v>
      </c>
      <c r="U41" s="13">
        <f>IF(A41="","",A41&amp;"|"&amp;T41)</f>
        <v>0</v>
      </c>
      <c r="V41" s="43">
        <f>IF(A41="","",IF(B41="Not found","Check - no such product ID",IF(OR(F41="",F41=0),"Add - how many minutes?",IF(C41="","Add - which stage?",IF(AND(G41="Per batch",H41=""),"Check - using the default batch size",IF(K41&lt;MinimumWage,"Check - below minimum wage","OK"))))))</f>
        <v>0</v>
      </c>
    </row>
    <row r="42" spans="2:22">
      <c r="B42" s="13">
        <f>IF(A42="","",IFERROR(INDEX(Products!$B$5:$B$304,MATCH(A42,Products!$A$5:$A$304,0)),"Not found"))</f>
        <v>0</v>
      </c>
      <c r="K42" s="20">
        <f>IF(A42="","",IF(E42&lt;&gt;"",E42,IF(D42="Employee",ROUND(EmployeeRate*(1+PayrollBurden),2),IF(OR(D42="Contractor",D42="Outsourced"),ROUND(ContractorRate*(1+PayrollBurden),2),LaborCostHour))))</f>
        <v>0</v>
      </c>
      <c r="L42" s="41">
        <f>IF(A42="","",IF(F42="","",ROUND(F42/60,3)))</f>
        <v>0</v>
      </c>
      <c r="M42" s="32">
        <f>IF(A42="","",IF(G42="Per batch",IF(OR(H42="",H42=0),DefaultBatchSize,H42),1))</f>
        <v>0</v>
      </c>
      <c r="N42" s="20">
        <f>IF(A42="","",IF(OR(L42="",K42=""),"",ROUND(L42*K42,2)))</f>
        <v>0</v>
      </c>
      <c r="O42" s="20">
        <f>IF(A42="","",IF(N42="","",ROUND(N42/MAX(1,M42),2)))</f>
        <v>0</v>
      </c>
      <c r="P42" s="36">
        <f>IF(A42="","",IF(F42="","",ROUND(F42/MAX(1,M42),2)))</f>
        <v>0</v>
      </c>
      <c r="Q42" s="20">
        <f>IF(A42="","",IF(L42="","",ROUND(L42/MAX(1,M42)*SuppliesPerHour,2)))</f>
        <v>0</v>
      </c>
      <c r="R42" s="20">
        <f>IF(A42="","",ROUND(SUMIFS(Labor!$O$5:$O$304,Labor!$A$5:$A$304,A42),2))</f>
        <v>0</v>
      </c>
      <c r="S42" s="33">
        <f>IF(A42="","",IF(OR(O42="",R42="",R42=0),"",O42/R42))</f>
        <v>0</v>
      </c>
      <c r="T42" s="32">
        <f>IF(A42="","",COUNTIFS($A$5:A42,A42))</f>
        <v>0</v>
      </c>
      <c r="U42" s="13">
        <f>IF(A42="","",A42&amp;"|"&amp;T42)</f>
        <v>0</v>
      </c>
      <c r="V42" s="43">
        <f>IF(A42="","",IF(B42="Not found","Check - no such product ID",IF(OR(F42="",F42=0),"Add - how many minutes?",IF(C42="","Add - which stage?",IF(AND(G42="Per batch",H42=""),"Check - using the default batch size",IF(K42&lt;MinimumWage,"Check - below minimum wage","OK"))))))</f>
        <v>0</v>
      </c>
    </row>
    <row r="43" spans="2:22">
      <c r="B43" s="13">
        <f>IF(A43="","",IFERROR(INDEX(Products!$B$5:$B$304,MATCH(A43,Products!$A$5:$A$304,0)),"Not found"))</f>
        <v>0</v>
      </c>
      <c r="K43" s="20">
        <f>IF(A43="","",IF(E43&lt;&gt;"",E43,IF(D43="Employee",ROUND(EmployeeRate*(1+PayrollBurden),2),IF(OR(D43="Contractor",D43="Outsourced"),ROUND(ContractorRate*(1+PayrollBurden),2),LaborCostHour))))</f>
        <v>0</v>
      </c>
      <c r="L43" s="41">
        <f>IF(A43="","",IF(F43="","",ROUND(F43/60,3)))</f>
        <v>0</v>
      </c>
      <c r="M43" s="32">
        <f>IF(A43="","",IF(G43="Per batch",IF(OR(H43="",H43=0),DefaultBatchSize,H43),1))</f>
        <v>0</v>
      </c>
      <c r="N43" s="20">
        <f>IF(A43="","",IF(OR(L43="",K43=""),"",ROUND(L43*K43,2)))</f>
        <v>0</v>
      </c>
      <c r="O43" s="20">
        <f>IF(A43="","",IF(N43="","",ROUND(N43/MAX(1,M43),2)))</f>
        <v>0</v>
      </c>
      <c r="P43" s="36">
        <f>IF(A43="","",IF(F43="","",ROUND(F43/MAX(1,M43),2)))</f>
        <v>0</v>
      </c>
      <c r="Q43" s="20">
        <f>IF(A43="","",IF(L43="","",ROUND(L43/MAX(1,M43)*SuppliesPerHour,2)))</f>
        <v>0</v>
      </c>
      <c r="R43" s="20">
        <f>IF(A43="","",ROUND(SUMIFS(Labor!$O$5:$O$304,Labor!$A$5:$A$304,A43),2))</f>
        <v>0</v>
      </c>
      <c r="S43" s="33">
        <f>IF(A43="","",IF(OR(O43="",R43="",R43=0),"",O43/R43))</f>
        <v>0</v>
      </c>
      <c r="T43" s="32">
        <f>IF(A43="","",COUNTIFS($A$5:A43,A43))</f>
        <v>0</v>
      </c>
      <c r="U43" s="13">
        <f>IF(A43="","",A43&amp;"|"&amp;T43)</f>
        <v>0</v>
      </c>
      <c r="V43" s="43">
        <f>IF(A43="","",IF(B43="Not found","Check - no such product ID",IF(OR(F43="",F43=0),"Add - how many minutes?",IF(C43="","Add - which stage?",IF(AND(G43="Per batch",H43=""),"Check - using the default batch size",IF(K43&lt;MinimumWage,"Check - below minimum wage","OK"))))))</f>
        <v>0</v>
      </c>
    </row>
    <row r="44" spans="2:22">
      <c r="B44" s="13">
        <f>IF(A44="","",IFERROR(INDEX(Products!$B$5:$B$304,MATCH(A44,Products!$A$5:$A$304,0)),"Not found"))</f>
        <v>0</v>
      </c>
      <c r="K44" s="20">
        <f>IF(A44="","",IF(E44&lt;&gt;"",E44,IF(D44="Employee",ROUND(EmployeeRate*(1+PayrollBurden),2),IF(OR(D44="Contractor",D44="Outsourced"),ROUND(ContractorRate*(1+PayrollBurden),2),LaborCostHour))))</f>
        <v>0</v>
      </c>
      <c r="L44" s="41">
        <f>IF(A44="","",IF(F44="","",ROUND(F44/60,3)))</f>
        <v>0</v>
      </c>
      <c r="M44" s="32">
        <f>IF(A44="","",IF(G44="Per batch",IF(OR(H44="",H44=0),DefaultBatchSize,H44),1))</f>
        <v>0</v>
      </c>
      <c r="N44" s="20">
        <f>IF(A44="","",IF(OR(L44="",K44=""),"",ROUND(L44*K44,2)))</f>
        <v>0</v>
      </c>
      <c r="O44" s="20">
        <f>IF(A44="","",IF(N44="","",ROUND(N44/MAX(1,M44),2)))</f>
        <v>0</v>
      </c>
      <c r="P44" s="36">
        <f>IF(A44="","",IF(F44="","",ROUND(F44/MAX(1,M44),2)))</f>
        <v>0</v>
      </c>
      <c r="Q44" s="20">
        <f>IF(A44="","",IF(L44="","",ROUND(L44/MAX(1,M44)*SuppliesPerHour,2)))</f>
        <v>0</v>
      </c>
      <c r="R44" s="20">
        <f>IF(A44="","",ROUND(SUMIFS(Labor!$O$5:$O$304,Labor!$A$5:$A$304,A44),2))</f>
        <v>0</v>
      </c>
      <c r="S44" s="33">
        <f>IF(A44="","",IF(OR(O44="",R44="",R44=0),"",O44/R44))</f>
        <v>0</v>
      </c>
      <c r="T44" s="32">
        <f>IF(A44="","",COUNTIFS($A$5:A44,A44))</f>
        <v>0</v>
      </c>
      <c r="U44" s="13">
        <f>IF(A44="","",A44&amp;"|"&amp;T44)</f>
        <v>0</v>
      </c>
      <c r="V44" s="43">
        <f>IF(A44="","",IF(B44="Not found","Check - no such product ID",IF(OR(F44="",F44=0),"Add - how many minutes?",IF(C44="","Add - which stage?",IF(AND(G44="Per batch",H44=""),"Check - using the default batch size",IF(K44&lt;MinimumWage,"Check - below minimum wage","OK"))))))</f>
        <v>0</v>
      </c>
    </row>
    <row r="45" spans="2:22">
      <c r="B45" s="13">
        <f>IF(A45="","",IFERROR(INDEX(Products!$B$5:$B$304,MATCH(A45,Products!$A$5:$A$304,0)),"Not found"))</f>
        <v>0</v>
      </c>
      <c r="K45" s="20">
        <f>IF(A45="","",IF(E45&lt;&gt;"",E45,IF(D45="Employee",ROUND(EmployeeRate*(1+PayrollBurden),2),IF(OR(D45="Contractor",D45="Outsourced"),ROUND(ContractorRate*(1+PayrollBurden),2),LaborCostHour))))</f>
        <v>0</v>
      </c>
      <c r="L45" s="41">
        <f>IF(A45="","",IF(F45="","",ROUND(F45/60,3)))</f>
        <v>0</v>
      </c>
      <c r="M45" s="32">
        <f>IF(A45="","",IF(G45="Per batch",IF(OR(H45="",H45=0),DefaultBatchSize,H45),1))</f>
        <v>0</v>
      </c>
      <c r="N45" s="20">
        <f>IF(A45="","",IF(OR(L45="",K45=""),"",ROUND(L45*K45,2)))</f>
        <v>0</v>
      </c>
      <c r="O45" s="20">
        <f>IF(A45="","",IF(N45="","",ROUND(N45/MAX(1,M45),2)))</f>
        <v>0</v>
      </c>
      <c r="P45" s="36">
        <f>IF(A45="","",IF(F45="","",ROUND(F45/MAX(1,M45),2)))</f>
        <v>0</v>
      </c>
      <c r="Q45" s="20">
        <f>IF(A45="","",IF(L45="","",ROUND(L45/MAX(1,M45)*SuppliesPerHour,2)))</f>
        <v>0</v>
      </c>
      <c r="R45" s="20">
        <f>IF(A45="","",ROUND(SUMIFS(Labor!$O$5:$O$304,Labor!$A$5:$A$304,A45),2))</f>
        <v>0</v>
      </c>
      <c r="S45" s="33">
        <f>IF(A45="","",IF(OR(O45="",R45="",R45=0),"",O45/R45))</f>
        <v>0</v>
      </c>
      <c r="T45" s="32">
        <f>IF(A45="","",COUNTIFS($A$5:A45,A45))</f>
        <v>0</v>
      </c>
      <c r="U45" s="13">
        <f>IF(A45="","",A45&amp;"|"&amp;T45)</f>
        <v>0</v>
      </c>
      <c r="V45" s="43">
        <f>IF(A45="","",IF(B45="Not found","Check - no such product ID",IF(OR(F45="",F45=0),"Add - how many minutes?",IF(C45="","Add - which stage?",IF(AND(G45="Per batch",H45=""),"Check - using the default batch size",IF(K45&lt;MinimumWage,"Check - below minimum wage","OK"))))))</f>
        <v>0</v>
      </c>
    </row>
    <row r="46" spans="2:22">
      <c r="B46" s="13">
        <f>IF(A46="","",IFERROR(INDEX(Products!$B$5:$B$304,MATCH(A46,Products!$A$5:$A$304,0)),"Not found"))</f>
        <v>0</v>
      </c>
      <c r="K46" s="20">
        <f>IF(A46="","",IF(E46&lt;&gt;"",E46,IF(D46="Employee",ROUND(EmployeeRate*(1+PayrollBurden),2),IF(OR(D46="Contractor",D46="Outsourced"),ROUND(ContractorRate*(1+PayrollBurden),2),LaborCostHour))))</f>
        <v>0</v>
      </c>
      <c r="L46" s="41">
        <f>IF(A46="","",IF(F46="","",ROUND(F46/60,3)))</f>
        <v>0</v>
      </c>
      <c r="M46" s="32">
        <f>IF(A46="","",IF(G46="Per batch",IF(OR(H46="",H46=0),DefaultBatchSize,H46),1))</f>
        <v>0</v>
      </c>
      <c r="N46" s="20">
        <f>IF(A46="","",IF(OR(L46="",K46=""),"",ROUND(L46*K46,2)))</f>
        <v>0</v>
      </c>
      <c r="O46" s="20">
        <f>IF(A46="","",IF(N46="","",ROUND(N46/MAX(1,M46),2)))</f>
        <v>0</v>
      </c>
      <c r="P46" s="36">
        <f>IF(A46="","",IF(F46="","",ROUND(F46/MAX(1,M46),2)))</f>
        <v>0</v>
      </c>
      <c r="Q46" s="20">
        <f>IF(A46="","",IF(L46="","",ROUND(L46/MAX(1,M46)*SuppliesPerHour,2)))</f>
        <v>0</v>
      </c>
      <c r="R46" s="20">
        <f>IF(A46="","",ROUND(SUMIFS(Labor!$O$5:$O$304,Labor!$A$5:$A$304,A46),2))</f>
        <v>0</v>
      </c>
      <c r="S46" s="33">
        <f>IF(A46="","",IF(OR(O46="",R46="",R46=0),"",O46/R46))</f>
        <v>0</v>
      </c>
      <c r="T46" s="32">
        <f>IF(A46="","",COUNTIFS($A$5:A46,A46))</f>
        <v>0</v>
      </c>
      <c r="U46" s="13">
        <f>IF(A46="","",A46&amp;"|"&amp;T46)</f>
        <v>0</v>
      </c>
      <c r="V46" s="43">
        <f>IF(A46="","",IF(B46="Not found","Check - no such product ID",IF(OR(F46="",F46=0),"Add - how many minutes?",IF(C46="","Add - which stage?",IF(AND(G46="Per batch",H46=""),"Check - using the default batch size",IF(K46&lt;MinimumWage,"Check - below minimum wage","OK"))))))</f>
        <v>0</v>
      </c>
    </row>
    <row r="47" spans="2:22">
      <c r="B47" s="13">
        <f>IF(A47="","",IFERROR(INDEX(Products!$B$5:$B$304,MATCH(A47,Products!$A$5:$A$304,0)),"Not found"))</f>
        <v>0</v>
      </c>
      <c r="K47" s="20">
        <f>IF(A47="","",IF(E47&lt;&gt;"",E47,IF(D47="Employee",ROUND(EmployeeRate*(1+PayrollBurden),2),IF(OR(D47="Contractor",D47="Outsourced"),ROUND(ContractorRate*(1+PayrollBurden),2),LaborCostHour))))</f>
        <v>0</v>
      </c>
      <c r="L47" s="41">
        <f>IF(A47="","",IF(F47="","",ROUND(F47/60,3)))</f>
        <v>0</v>
      </c>
      <c r="M47" s="32">
        <f>IF(A47="","",IF(G47="Per batch",IF(OR(H47="",H47=0),DefaultBatchSize,H47),1))</f>
        <v>0</v>
      </c>
      <c r="N47" s="20">
        <f>IF(A47="","",IF(OR(L47="",K47=""),"",ROUND(L47*K47,2)))</f>
        <v>0</v>
      </c>
      <c r="O47" s="20">
        <f>IF(A47="","",IF(N47="","",ROUND(N47/MAX(1,M47),2)))</f>
        <v>0</v>
      </c>
      <c r="P47" s="36">
        <f>IF(A47="","",IF(F47="","",ROUND(F47/MAX(1,M47),2)))</f>
        <v>0</v>
      </c>
      <c r="Q47" s="20">
        <f>IF(A47="","",IF(L47="","",ROUND(L47/MAX(1,M47)*SuppliesPerHour,2)))</f>
        <v>0</v>
      </c>
      <c r="R47" s="20">
        <f>IF(A47="","",ROUND(SUMIFS(Labor!$O$5:$O$304,Labor!$A$5:$A$304,A47),2))</f>
        <v>0</v>
      </c>
      <c r="S47" s="33">
        <f>IF(A47="","",IF(OR(O47="",R47="",R47=0),"",O47/R47))</f>
        <v>0</v>
      </c>
      <c r="T47" s="32">
        <f>IF(A47="","",COUNTIFS($A$5:A47,A47))</f>
        <v>0</v>
      </c>
      <c r="U47" s="13">
        <f>IF(A47="","",A47&amp;"|"&amp;T47)</f>
        <v>0</v>
      </c>
      <c r="V47" s="43">
        <f>IF(A47="","",IF(B47="Not found","Check - no such product ID",IF(OR(F47="",F47=0),"Add - how many minutes?",IF(C47="","Add - which stage?",IF(AND(G47="Per batch",H47=""),"Check - using the default batch size",IF(K47&lt;MinimumWage,"Check - below minimum wage","OK"))))))</f>
        <v>0</v>
      </c>
    </row>
    <row r="48" spans="2:22">
      <c r="B48" s="13">
        <f>IF(A48="","",IFERROR(INDEX(Products!$B$5:$B$304,MATCH(A48,Products!$A$5:$A$304,0)),"Not found"))</f>
        <v>0</v>
      </c>
      <c r="K48" s="20">
        <f>IF(A48="","",IF(E48&lt;&gt;"",E48,IF(D48="Employee",ROUND(EmployeeRate*(1+PayrollBurden),2),IF(OR(D48="Contractor",D48="Outsourced"),ROUND(ContractorRate*(1+PayrollBurden),2),LaborCostHour))))</f>
        <v>0</v>
      </c>
      <c r="L48" s="41">
        <f>IF(A48="","",IF(F48="","",ROUND(F48/60,3)))</f>
        <v>0</v>
      </c>
      <c r="M48" s="32">
        <f>IF(A48="","",IF(G48="Per batch",IF(OR(H48="",H48=0),DefaultBatchSize,H48),1))</f>
        <v>0</v>
      </c>
      <c r="N48" s="20">
        <f>IF(A48="","",IF(OR(L48="",K48=""),"",ROUND(L48*K48,2)))</f>
        <v>0</v>
      </c>
      <c r="O48" s="20">
        <f>IF(A48="","",IF(N48="","",ROUND(N48/MAX(1,M48),2)))</f>
        <v>0</v>
      </c>
      <c r="P48" s="36">
        <f>IF(A48="","",IF(F48="","",ROUND(F48/MAX(1,M48),2)))</f>
        <v>0</v>
      </c>
      <c r="Q48" s="20">
        <f>IF(A48="","",IF(L48="","",ROUND(L48/MAX(1,M48)*SuppliesPerHour,2)))</f>
        <v>0</v>
      </c>
      <c r="R48" s="20">
        <f>IF(A48="","",ROUND(SUMIFS(Labor!$O$5:$O$304,Labor!$A$5:$A$304,A48),2))</f>
        <v>0</v>
      </c>
      <c r="S48" s="33">
        <f>IF(A48="","",IF(OR(O48="",R48="",R48=0),"",O48/R48))</f>
        <v>0</v>
      </c>
      <c r="T48" s="32">
        <f>IF(A48="","",COUNTIFS($A$5:A48,A48))</f>
        <v>0</v>
      </c>
      <c r="U48" s="13">
        <f>IF(A48="","",A48&amp;"|"&amp;T48)</f>
        <v>0</v>
      </c>
      <c r="V48" s="43">
        <f>IF(A48="","",IF(B48="Not found","Check - no such product ID",IF(OR(F48="",F48=0),"Add - how many minutes?",IF(C48="","Add - which stage?",IF(AND(G48="Per batch",H48=""),"Check - using the default batch size",IF(K48&lt;MinimumWage,"Check - below minimum wage","OK"))))))</f>
        <v>0</v>
      </c>
    </row>
    <row r="49" spans="2:22">
      <c r="B49" s="13">
        <f>IF(A49="","",IFERROR(INDEX(Products!$B$5:$B$304,MATCH(A49,Products!$A$5:$A$304,0)),"Not found"))</f>
        <v>0</v>
      </c>
      <c r="K49" s="20">
        <f>IF(A49="","",IF(E49&lt;&gt;"",E49,IF(D49="Employee",ROUND(EmployeeRate*(1+PayrollBurden),2),IF(OR(D49="Contractor",D49="Outsourced"),ROUND(ContractorRate*(1+PayrollBurden),2),LaborCostHour))))</f>
        <v>0</v>
      </c>
      <c r="L49" s="41">
        <f>IF(A49="","",IF(F49="","",ROUND(F49/60,3)))</f>
        <v>0</v>
      </c>
      <c r="M49" s="32">
        <f>IF(A49="","",IF(G49="Per batch",IF(OR(H49="",H49=0),DefaultBatchSize,H49),1))</f>
        <v>0</v>
      </c>
      <c r="N49" s="20">
        <f>IF(A49="","",IF(OR(L49="",K49=""),"",ROUND(L49*K49,2)))</f>
        <v>0</v>
      </c>
      <c r="O49" s="20">
        <f>IF(A49="","",IF(N49="","",ROUND(N49/MAX(1,M49),2)))</f>
        <v>0</v>
      </c>
      <c r="P49" s="36">
        <f>IF(A49="","",IF(F49="","",ROUND(F49/MAX(1,M49),2)))</f>
        <v>0</v>
      </c>
      <c r="Q49" s="20">
        <f>IF(A49="","",IF(L49="","",ROUND(L49/MAX(1,M49)*SuppliesPerHour,2)))</f>
        <v>0</v>
      </c>
      <c r="R49" s="20">
        <f>IF(A49="","",ROUND(SUMIFS(Labor!$O$5:$O$304,Labor!$A$5:$A$304,A49),2))</f>
        <v>0</v>
      </c>
      <c r="S49" s="33">
        <f>IF(A49="","",IF(OR(O49="",R49="",R49=0),"",O49/R49))</f>
        <v>0</v>
      </c>
      <c r="T49" s="32">
        <f>IF(A49="","",COUNTIFS($A$5:A49,A49))</f>
        <v>0</v>
      </c>
      <c r="U49" s="13">
        <f>IF(A49="","",A49&amp;"|"&amp;T49)</f>
        <v>0</v>
      </c>
      <c r="V49" s="43">
        <f>IF(A49="","",IF(B49="Not found","Check - no such product ID",IF(OR(F49="",F49=0),"Add - how many minutes?",IF(C49="","Add - which stage?",IF(AND(G49="Per batch",H49=""),"Check - using the default batch size",IF(K49&lt;MinimumWage,"Check - below minimum wage","OK"))))))</f>
        <v>0</v>
      </c>
    </row>
    <row r="50" spans="2:22">
      <c r="B50" s="13">
        <f>IF(A50="","",IFERROR(INDEX(Products!$B$5:$B$304,MATCH(A50,Products!$A$5:$A$304,0)),"Not found"))</f>
        <v>0</v>
      </c>
      <c r="K50" s="20">
        <f>IF(A50="","",IF(E50&lt;&gt;"",E50,IF(D50="Employee",ROUND(EmployeeRate*(1+PayrollBurden),2),IF(OR(D50="Contractor",D50="Outsourced"),ROUND(ContractorRate*(1+PayrollBurden),2),LaborCostHour))))</f>
        <v>0</v>
      </c>
      <c r="L50" s="41">
        <f>IF(A50="","",IF(F50="","",ROUND(F50/60,3)))</f>
        <v>0</v>
      </c>
      <c r="M50" s="32">
        <f>IF(A50="","",IF(G50="Per batch",IF(OR(H50="",H50=0),DefaultBatchSize,H50),1))</f>
        <v>0</v>
      </c>
      <c r="N50" s="20">
        <f>IF(A50="","",IF(OR(L50="",K50=""),"",ROUND(L50*K50,2)))</f>
        <v>0</v>
      </c>
      <c r="O50" s="20">
        <f>IF(A50="","",IF(N50="","",ROUND(N50/MAX(1,M50),2)))</f>
        <v>0</v>
      </c>
      <c r="P50" s="36">
        <f>IF(A50="","",IF(F50="","",ROUND(F50/MAX(1,M50),2)))</f>
        <v>0</v>
      </c>
      <c r="Q50" s="20">
        <f>IF(A50="","",IF(L50="","",ROUND(L50/MAX(1,M50)*SuppliesPerHour,2)))</f>
        <v>0</v>
      </c>
      <c r="R50" s="20">
        <f>IF(A50="","",ROUND(SUMIFS(Labor!$O$5:$O$304,Labor!$A$5:$A$304,A50),2))</f>
        <v>0</v>
      </c>
      <c r="S50" s="33">
        <f>IF(A50="","",IF(OR(O50="",R50="",R50=0),"",O50/R50))</f>
        <v>0</v>
      </c>
      <c r="T50" s="32">
        <f>IF(A50="","",COUNTIFS($A$5:A50,A50))</f>
        <v>0</v>
      </c>
      <c r="U50" s="13">
        <f>IF(A50="","",A50&amp;"|"&amp;T50)</f>
        <v>0</v>
      </c>
      <c r="V50" s="43">
        <f>IF(A50="","",IF(B50="Not found","Check - no such product ID",IF(OR(F50="",F50=0),"Add - how many minutes?",IF(C50="","Add - which stage?",IF(AND(G50="Per batch",H50=""),"Check - using the default batch size",IF(K50&lt;MinimumWage,"Check - below minimum wage","OK"))))))</f>
        <v>0</v>
      </c>
    </row>
    <row r="51" spans="2:22">
      <c r="B51" s="13">
        <f>IF(A51="","",IFERROR(INDEX(Products!$B$5:$B$304,MATCH(A51,Products!$A$5:$A$304,0)),"Not found"))</f>
        <v>0</v>
      </c>
      <c r="K51" s="20">
        <f>IF(A51="","",IF(E51&lt;&gt;"",E51,IF(D51="Employee",ROUND(EmployeeRate*(1+PayrollBurden),2),IF(OR(D51="Contractor",D51="Outsourced"),ROUND(ContractorRate*(1+PayrollBurden),2),LaborCostHour))))</f>
        <v>0</v>
      </c>
      <c r="L51" s="41">
        <f>IF(A51="","",IF(F51="","",ROUND(F51/60,3)))</f>
        <v>0</v>
      </c>
      <c r="M51" s="32">
        <f>IF(A51="","",IF(G51="Per batch",IF(OR(H51="",H51=0),DefaultBatchSize,H51),1))</f>
        <v>0</v>
      </c>
      <c r="N51" s="20">
        <f>IF(A51="","",IF(OR(L51="",K51=""),"",ROUND(L51*K51,2)))</f>
        <v>0</v>
      </c>
      <c r="O51" s="20">
        <f>IF(A51="","",IF(N51="","",ROUND(N51/MAX(1,M51),2)))</f>
        <v>0</v>
      </c>
      <c r="P51" s="36">
        <f>IF(A51="","",IF(F51="","",ROUND(F51/MAX(1,M51),2)))</f>
        <v>0</v>
      </c>
      <c r="Q51" s="20">
        <f>IF(A51="","",IF(L51="","",ROUND(L51/MAX(1,M51)*SuppliesPerHour,2)))</f>
        <v>0</v>
      </c>
      <c r="R51" s="20">
        <f>IF(A51="","",ROUND(SUMIFS(Labor!$O$5:$O$304,Labor!$A$5:$A$304,A51),2))</f>
        <v>0</v>
      </c>
      <c r="S51" s="33">
        <f>IF(A51="","",IF(OR(O51="",R51="",R51=0),"",O51/R51))</f>
        <v>0</v>
      </c>
      <c r="T51" s="32">
        <f>IF(A51="","",COUNTIFS($A$5:A51,A51))</f>
        <v>0</v>
      </c>
      <c r="U51" s="13">
        <f>IF(A51="","",A51&amp;"|"&amp;T51)</f>
        <v>0</v>
      </c>
      <c r="V51" s="43">
        <f>IF(A51="","",IF(B51="Not found","Check - no such product ID",IF(OR(F51="",F51=0),"Add - how many minutes?",IF(C51="","Add - which stage?",IF(AND(G51="Per batch",H51=""),"Check - using the default batch size",IF(K51&lt;MinimumWage,"Check - below minimum wage","OK"))))))</f>
        <v>0</v>
      </c>
    </row>
    <row r="52" spans="2:22">
      <c r="B52" s="13">
        <f>IF(A52="","",IFERROR(INDEX(Products!$B$5:$B$304,MATCH(A52,Products!$A$5:$A$304,0)),"Not found"))</f>
        <v>0</v>
      </c>
      <c r="K52" s="20">
        <f>IF(A52="","",IF(E52&lt;&gt;"",E52,IF(D52="Employee",ROUND(EmployeeRate*(1+PayrollBurden),2),IF(OR(D52="Contractor",D52="Outsourced"),ROUND(ContractorRate*(1+PayrollBurden),2),LaborCostHour))))</f>
        <v>0</v>
      </c>
      <c r="L52" s="41">
        <f>IF(A52="","",IF(F52="","",ROUND(F52/60,3)))</f>
        <v>0</v>
      </c>
      <c r="M52" s="32">
        <f>IF(A52="","",IF(G52="Per batch",IF(OR(H52="",H52=0),DefaultBatchSize,H52),1))</f>
        <v>0</v>
      </c>
      <c r="N52" s="20">
        <f>IF(A52="","",IF(OR(L52="",K52=""),"",ROUND(L52*K52,2)))</f>
        <v>0</v>
      </c>
      <c r="O52" s="20">
        <f>IF(A52="","",IF(N52="","",ROUND(N52/MAX(1,M52),2)))</f>
        <v>0</v>
      </c>
      <c r="P52" s="36">
        <f>IF(A52="","",IF(F52="","",ROUND(F52/MAX(1,M52),2)))</f>
        <v>0</v>
      </c>
      <c r="Q52" s="20">
        <f>IF(A52="","",IF(L52="","",ROUND(L52/MAX(1,M52)*SuppliesPerHour,2)))</f>
        <v>0</v>
      </c>
      <c r="R52" s="20">
        <f>IF(A52="","",ROUND(SUMIFS(Labor!$O$5:$O$304,Labor!$A$5:$A$304,A52),2))</f>
        <v>0</v>
      </c>
      <c r="S52" s="33">
        <f>IF(A52="","",IF(OR(O52="",R52="",R52=0),"",O52/R52))</f>
        <v>0</v>
      </c>
      <c r="T52" s="32">
        <f>IF(A52="","",COUNTIFS($A$5:A52,A52))</f>
        <v>0</v>
      </c>
      <c r="U52" s="13">
        <f>IF(A52="","",A52&amp;"|"&amp;T52)</f>
        <v>0</v>
      </c>
      <c r="V52" s="43">
        <f>IF(A52="","",IF(B52="Not found","Check - no such product ID",IF(OR(F52="",F52=0),"Add - how many minutes?",IF(C52="","Add - which stage?",IF(AND(G52="Per batch",H52=""),"Check - using the default batch size",IF(K52&lt;MinimumWage,"Check - below minimum wage","OK"))))))</f>
        <v>0</v>
      </c>
    </row>
    <row r="53" spans="2:22">
      <c r="B53" s="13">
        <f>IF(A53="","",IFERROR(INDEX(Products!$B$5:$B$304,MATCH(A53,Products!$A$5:$A$304,0)),"Not found"))</f>
        <v>0</v>
      </c>
      <c r="K53" s="20">
        <f>IF(A53="","",IF(E53&lt;&gt;"",E53,IF(D53="Employee",ROUND(EmployeeRate*(1+PayrollBurden),2),IF(OR(D53="Contractor",D53="Outsourced"),ROUND(ContractorRate*(1+PayrollBurden),2),LaborCostHour))))</f>
        <v>0</v>
      </c>
      <c r="L53" s="41">
        <f>IF(A53="","",IF(F53="","",ROUND(F53/60,3)))</f>
        <v>0</v>
      </c>
      <c r="M53" s="32">
        <f>IF(A53="","",IF(G53="Per batch",IF(OR(H53="",H53=0),DefaultBatchSize,H53),1))</f>
        <v>0</v>
      </c>
      <c r="N53" s="20">
        <f>IF(A53="","",IF(OR(L53="",K53=""),"",ROUND(L53*K53,2)))</f>
        <v>0</v>
      </c>
      <c r="O53" s="20">
        <f>IF(A53="","",IF(N53="","",ROUND(N53/MAX(1,M53),2)))</f>
        <v>0</v>
      </c>
      <c r="P53" s="36">
        <f>IF(A53="","",IF(F53="","",ROUND(F53/MAX(1,M53),2)))</f>
        <v>0</v>
      </c>
      <c r="Q53" s="20">
        <f>IF(A53="","",IF(L53="","",ROUND(L53/MAX(1,M53)*SuppliesPerHour,2)))</f>
        <v>0</v>
      </c>
      <c r="R53" s="20">
        <f>IF(A53="","",ROUND(SUMIFS(Labor!$O$5:$O$304,Labor!$A$5:$A$304,A53),2))</f>
        <v>0</v>
      </c>
      <c r="S53" s="33">
        <f>IF(A53="","",IF(OR(O53="",R53="",R53=0),"",O53/R53))</f>
        <v>0</v>
      </c>
      <c r="T53" s="32">
        <f>IF(A53="","",COUNTIFS($A$5:A53,A53))</f>
        <v>0</v>
      </c>
      <c r="U53" s="13">
        <f>IF(A53="","",A53&amp;"|"&amp;T53)</f>
        <v>0</v>
      </c>
      <c r="V53" s="43">
        <f>IF(A53="","",IF(B53="Not found","Check - no such product ID",IF(OR(F53="",F53=0),"Add - how many minutes?",IF(C53="","Add - which stage?",IF(AND(G53="Per batch",H53=""),"Check - using the default batch size",IF(K53&lt;MinimumWage,"Check - below minimum wage","OK"))))))</f>
        <v>0</v>
      </c>
    </row>
    <row r="54" spans="2:22">
      <c r="B54" s="13">
        <f>IF(A54="","",IFERROR(INDEX(Products!$B$5:$B$304,MATCH(A54,Products!$A$5:$A$304,0)),"Not found"))</f>
        <v>0</v>
      </c>
      <c r="K54" s="20">
        <f>IF(A54="","",IF(E54&lt;&gt;"",E54,IF(D54="Employee",ROUND(EmployeeRate*(1+PayrollBurden),2),IF(OR(D54="Contractor",D54="Outsourced"),ROUND(ContractorRate*(1+PayrollBurden),2),LaborCostHour))))</f>
        <v>0</v>
      </c>
      <c r="L54" s="41">
        <f>IF(A54="","",IF(F54="","",ROUND(F54/60,3)))</f>
        <v>0</v>
      </c>
      <c r="M54" s="32">
        <f>IF(A54="","",IF(G54="Per batch",IF(OR(H54="",H54=0),DefaultBatchSize,H54),1))</f>
        <v>0</v>
      </c>
      <c r="N54" s="20">
        <f>IF(A54="","",IF(OR(L54="",K54=""),"",ROUND(L54*K54,2)))</f>
        <v>0</v>
      </c>
      <c r="O54" s="20">
        <f>IF(A54="","",IF(N54="","",ROUND(N54/MAX(1,M54),2)))</f>
        <v>0</v>
      </c>
      <c r="P54" s="36">
        <f>IF(A54="","",IF(F54="","",ROUND(F54/MAX(1,M54),2)))</f>
        <v>0</v>
      </c>
      <c r="Q54" s="20">
        <f>IF(A54="","",IF(L54="","",ROUND(L54/MAX(1,M54)*SuppliesPerHour,2)))</f>
        <v>0</v>
      </c>
      <c r="R54" s="20">
        <f>IF(A54="","",ROUND(SUMIFS(Labor!$O$5:$O$304,Labor!$A$5:$A$304,A54),2))</f>
        <v>0</v>
      </c>
      <c r="S54" s="33">
        <f>IF(A54="","",IF(OR(O54="",R54="",R54=0),"",O54/R54))</f>
        <v>0</v>
      </c>
      <c r="T54" s="32">
        <f>IF(A54="","",COUNTIFS($A$5:A54,A54))</f>
        <v>0</v>
      </c>
      <c r="U54" s="13">
        <f>IF(A54="","",A54&amp;"|"&amp;T54)</f>
        <v>0</v>
      </c>
      <c r="V54" s="43">
        <f>IF(A54="","",IF(B54="Not found","Check - no such product ID",IF(OR(F54="",F54=0),"Add - how many minutes?",IF(C54="","Add - which stage?",IF(AND(G54="Per batch",H54=""),"Check - using the default batch size",IF(K54&lt;MinimumWage,"Check - below minimum wage","OK"))))))</f>
        <v>0</v>
      </c>
    </row>
    <row r="55" spans="2:22">
      <c r="B55" s="13">
        <f>IF(A55="","",IFERROR(INDEX(Products!$B$5:$B$304,MATCH(A55,Products!$A$5:$A$304,0)),"Not found"))</f>
        <v>0</v>
      </c>
      <c r="K55" s="20">
        <f>IF(A55="","",IF(E55&lt;&gt;"",E55,IF(D55="Employee",ROUND(EmployeeRate*(1+PayrollBurden),2),IF(OR(D55="Contractor",D55="Outsourced"),ROUND(ContractorRate*(1+PayrollBurden),2),LaborCostHour))))</f>
        <v>0</v>
      </c>
      <c r="L55" s="41">
        <f>IF(A55="","",IF(F55="","",ROUND(F55/60,3)))</f>
        <v>0</v>
      </c>
      <c r="M55" s="32">
        <f>IF(A55="","",IF(G55="Per batch",IF(OR(H55="",H55=0),DefaultBatchSize,H55),1))</f>
        <v>0</v>
      </c>
      <c r="N55" s="20">
        <f>IF(A55="","",IF(OR(L55="",K55=""),"",ROUND(L55*K55,2)))</f>
        <v>0</v>
      </c>
      <c r="O55" s="20">
        <f>IF(A55="","",IF(N55="","",ROUND(N55/MAX(1,M55),2)))</f>
        <v>0</v>
      </c>
      <c r="P55" s="36">
        <f>IF(A55="","",IF(F55="","",ROUND(F55/MAX(1,M55),2)))</f>
        <v>0</v>
      </c>
      <c r="Q55" s="20">
        <f>IF(A55="","",IF(L55="","",ROUND(L55/MAX(1,M55)*SuppliesPerHour,2)))</f>
        <v>0</v>
      </c>
      <c r="R55" s="20">
        <f>IF(A55="","",ROUND(SUMIFS(Labor!$O$5:$O$304,Labor!$A$5:$A$304,A55),2))</f>
        <v>0</v>
      </c>
      <c r="S55" s="33">
        <f>IF(A55="","",IF(OR(O55="",R55="",R55=0),"",O55/R55))</f>
        <v>0</v>
      </c>
      <c r="T55" s="32">
        <f>IF(A55="","",COUNTIFS($A$5:A55,A55))</f>
        <v>0</v>
      </c>
      <c r="U55" s="13">
        <f>IF(A55="","",A55&amp;"|"&amp;T55)</f>
        <v>0</v>
      </c>
      <c r="V55" s="43">
        <f>IF(A55="","",IF(B55="Not found","Check - no such product ID",IF(OR(F55="",F55=0),"Add - how many minutes?",IF(C55="","Add - which stage?",IF(AND(G55="Per batch",H55=""),"Check - using the default batch size",IF(K55&lt;MinimumWage,"Check - below minimum wage","OK"))))))</f>
        <v>0</v>
      </c>
    </row>
    <row r="56" spans="2:22">
      <c r="B56" s="13">
        <f>IF(A56="","",IFERROR(INDEX(Products!$B$5:$B$304,MATCH(A56,Products!$A$5:$A$304,0)),"Not found"))</f>
        <v>0</v>
      </c>
      <c r="K56" s="20">
        <f>IF(A56="","",IF(E56&lt;&gt;"",E56,IF(D56="Employee",ROUND(EmployeeRate*(1+PayrollBurden),2),IF(OR(D56="Contractor",D56="Outsourced"),ROUND(ContractorRate*(1+PayrollBurden),2),LaborCostHour))))</f>
        <v>0</v>
      </c>
      <c r="L56" s="41">
        <f>IF(A56="","",IF(F56="","",ROUND(F56/60,3)))</f>
        <v>0</v>
      </c>
      <c r="M56" s="32">
        <f>IF(A56="","",IF(G56="Per batch",IF(OR(H56="",H56=0),DefaultBatchSize,H56),1))</f>
        <v>0</v>
      </c>
      <c r="N56" s="20">
        <f>IF(A56="","",IF(OR(L56="",K56=""),"",ROUND(L56*K56,2)))</f>
        <v>0</v>
      </c>
      <c r="O56" s="20">
        <f>IF(A56="","",IF(N56="","",ROUND(N56/MAX(1,M56),2)))</f>
        <v>0</v>
      </c>
      <c r="P56" s="36">
        <f>IF(A56="","",IF(F56="","",ROUND(F56/MAX(1,M56),2)))</f>
        <v>0</v>
      </c>
      <c r="Q56" s="20">
        <f>IF(A56="","",IF(L56="","",ROUND(L56/MAX(1,M56)*SuppliesPerHour,2)))</f>
        <v>0</v>
      </c>
      <c r="R56" s="20">
        <f>IF(A56="","",ROUND(SUMIFS(Labor!$O$5:$O$304,Labor!$A$5:$A$304,A56),2))</f>
        <v>0</v>
      </c>
      <c r="S56" s="33">
        <f>IF(A56="","",IF(OR(O56="",R56="",R56=0),"",O56/R56))</f>
        <v>0</v>
      </c>
      <c r="T56" s="32">
        <f>IF(A56="","",COUNTIFS($A$5:A56,A56))</f>
        <v>0</v>
      </c>
      <c r="U56" s="13">
        <f>IF(A56="","",A56&amp;"|"&amp;T56)</f>
        <v>0</v>
      </c>
      <c r="V56" s="43">
        <f>IF(A56="","",IF(B56="Not found","Check - no such product ID",IF(OR(F56="",F56=0),"Add - how many minutes?",IF(C56="","Add - which stage?",IF(AND(G56="Per batch",H56=""),"Check - using the default batch size",IF(K56&lt;MinimumWage,"Check - below minimum wage","OK"))))))</f>
        <v>0</v>
      </c>
    </row>
    <row r="57" spans="2:22">
      <c r="B57" s="13">
        <f>IF(A57="","",IFERROR(INDEX(Products!$B$5:$B$304,MATCH(A57,Products!$A$5:$A$304,0)),"Not found"))</f>
        <v>0</v>
      </c>
      <c r="K57" s="20">
        <f>IF(A57="","",IF(E57&lt;&gt;"",E57,IF(D57="Employee",ROUND(EmployeeRate*(1+PayrollBurden),2),IF(OR(D57="Contractor",D57="Outsourced"),ROUND(ContractorRate*(1+PayrollBurden),2),LaborCostHour))))</f>
        <v>0</v>
      </c>
      <c r="L57" s="41">
        <f>IF(A57="","",IF(F57="","",ROUND(F57/60,3)))</f>
        <v>0</v>
      </c>
      <c r="M57" s="32">
        <f>IF(A57="","",IF(G57="Per batch",IF(OR(H57="",H57=0),DefaultBatchSize,H57),1))</f>
        <v>0</v>
      </c>
      <c r="N57" s="20">
        <f>IF(A57="","",IF(OR(L57="",K57=""),"",ROUND(L57*K57,2)))</f>
        <v>0</v>
      </c>
      <c r="O57" s="20">
        <f>IF(A57="","",IF(N57="","",ROUND(N57/MAX(1,M57),2)))</f>
        <v>0</v>
      </c>
      <c r="P57" s="36">
        <f>IF(A57="","",IF(F57="","",ROUND(F57/MAX(1,M57),2)))</f>
        <v>0</v>
      </c>
      <c r="Q57" s="20">
        <f>IF(A57="","",IF(L57="","",ROUND(L57/MAX(1,M57)*SuppliesPerHour,2)))</f>
        <v>0</v>
      </c>
      <c r="R57" s="20">
        <f>IF(A57="","",ROUND(SUMIFS(Labor!$O$5:$O$304,Labor!$A$5:$A$304,A57),2))</f>
        <v>0</v>
      </c>
      <c r="S57" s="33">
        <f>IF(A57="","",IF(OR(O57="",R57="",R57=0),"",O57/R57))</f>
        <v>0</v>
      </c>
      <c r="T57" s="32">
        <f>IF(A57="","",COUNTIFS($A$5:A57,A57))</f>
        <v>0</v>
      </c>
      <c r="U57" s="13">
        <f>IF(A57="","",A57&amp;"|"&amp;T57)</f>
        <v>0</v>
      </c>
      <c r="V57" s="43">
        <f>IF(A57="","",IF(B57="Not found","Check - no such product ID",IF(OR(F57="",F57=0),"Add - how many minutes?",IF(C57="","Add - which stage?",IF(AND(G57="Per batch",H57=""),"Check - using the default batch size",IF(K57&lt;MinimumWage,"Check - below minimum wage","OK"))))))</f>
        <v>0</v>
      </c>
    </row>
    <row r="58" spans="2:22">
      <c r="B58" s="13">
        <f>IF(A58="","",IFERROR(INDEX(Products!$B$5:$B$304,MATCH(A58,Products!$A$5:$A$304,0)),"Not found"))</f>
        <v>0</v>
      </c>
      <c r="K58" s="20">
        <f>IF(A58="","",IF(E58&lt;&gt;"",E58,IF(D58="Employee",ROUND(EmployeeRate*(1+PayrollBurden),2),IF(OR(D58="Contractor",D58="Outsourced"),ROUND(ContractorRate*(1+PayrollBurden),2),LaborCostHour))))</f>
        <v>0</v>
      </c>
      <c r="L58" s="41">
        <f>IF(A58="","",IF(F58="","",ROUND(F58/60,3)))</f>
        <v>0</v>
      </c>
      <c r="M58" s="32">
        <f>IF(A58="","",IF(G58="Per batch",IF(OR(H58="",H58=0),DefaultBatchSize,H58),1))</f>
        <v>0</v>
      </c>
      <c r="N58" s="20">
        <f>IF(A58="","",IF(OR(L58="",K58=""),"",ROUND(L58*K58,2)))</f>
        <v>0</v>
      </c>
      <c r="O58" s="20">
        <f>IF(A58="","",IF(N58="","",ROUND(N58/MAX(1,M58),2)))</f>
        <v>0</v>
      </c>
      <c r="P58" s="36">
        <f>IF(A58="","",IF(F58="","",ROUND(F58/MAX(1,M58),2)))</f>
        <v>0</v>
      </c>
      <c r="Q58" s="20">
        <f>IF(A58="","",IF(L58="","",ROUND(L58/MAX(1,M58)*SuppliesPerHour,2)))</f>
        <v>0</v>
      </c>
      <c r="R58" s="20">
        <f>IF(A58="","",ROUND(SUMIFS(Labor!$O$5:$O$304,Labor!$A$5:$A$304,A58),2))</f>
        <v>0</v>
      </c>
      <c r="S58" s="33">
        <f>IF(A58="","",IF(OR(O58="",R58="",R58=0),"",O58/R58))</f>
        <v>0</v>
      </c>
      <c r="T58" s="32">
        <f>IF(A58="","",COUNTIFS($A$5:A58,A58))</f>
        <v>0</v>
      </c>
      <c r="U58" s="13">
        <f>IF(A58="","",A58&amp;"|"&amp;T58)</f>
        <v>0</v>
      </c>
      <c r="V58" s="43">
        <f>IF(A58="","",IF(B58="Not found","Check - no such product ID",IF(OR(F58="",F58=0),"Add - how many minutes?",IF(C58="","Add - which stage?",IF(AND(G58="Per batch",H58=""),"Check - using the default batch size",IF(K58&lt;MinimumWage,"Check - below minimum wage","OK"))))))</f>
        <v>0</v>
      </c>
    </row>
    <row r="59" spans="2:22">
      <c r="B59" s="13">
        <f>IF(A59="","",IFERROR(INDEX(Products!$B$5:$B$304,MATCH(A59,Products!$A$5:$A$304,0)),"Not found"))</f>
        <v>0</v>
      </c>
      <c r="K59" s="20">
        <f>IF(A59="","",IF(E59&lt;&gt;"",E59,IF(D59="Employee",ROUND(EmployeeRate*(1+PayrollBurden),2),IF(OR(D59="Contractor",D59="Outsourced"),ROUND(ContractorRate*(1+PayrollBurden),2),LaborCostHour))))</f>
        <v>0</v>
      </c>
      <c r="L59" s="41">
        <f>IF(A59="","",IF(F59="","",ROUND(F59/60,3)))</f>
        <v>0</v>
      </c>
      <c r="M59" s="32">
        <f>IF(A59="","",IF(G59="Per batch",IF(OR(H59="",H59=0),DefaultBatchSize,H59),1))</f>
        <v>0</v>
      </c>
      <c r="N59" s="20">
        <f>IF(A59="","",IF(OR(L59="",K59=""),"",ROUND(L59*K59,2)))</f>
        <v>0</v>
      </c>
      <c r="O59" s="20">
        <f>IF(A59="","",IF(N59="","",ROUND(N59/MAX(1,M59),2)))</f>
        <v>0</v>
      </c>
      <c r="P59" s="36">
        <f>IF(A59="","",IF(F59="","",ROUND(F59/MAX(1,M59),2)))</f>
        <v>0</v>
      </c>
      <c r="Q59" s="20">
        <f>IF(A59="","",IF(L59="","",ROUND(L59/MAX(1,M59)*SuppliesPerHour,2)))</f>
        <v>0</v>
      </c>
      <c r="R59" s="20">
        <f>IF(A59="","",ROUND(SUMIFS(Labor!$O$5:$O$304,Labor!$A$5:$A$304,A59),2))</f>
        <v>0</v>
      </c>
      <c r="S59" s="33">
        <f>IF(A59="","",IF(OR(O59="",R59="",R59=0),"",O59/R59))</f>
        <v>0</v>
      </c>
      <c r="T59" s="32">
        <f>IF(A59="","",COUNTIFS($A$5:A59,A59))</f>
        <v>0</v>
      </c>
      <c r="U59" s="13">
        <f>IF(A59="","",A59&amp;"|"&amp;T59)</f>
        <v>0</v>
      </c>
      <c r="V59" s="43">
        <f>IF(A59="","",IF(B59="Not found","Check - no such product ID",IF(OR(F59="",F59=0),"Add - how many minutes?",IF(C59="","Add - which stage?",IF(AND(G59="Per batch",H59=""),"Check - using the default batch size",IF(K59&lt;MinimumWage,"Check - below minimum wage","OK"))))))</f>
        <v>0</v>
      </c>
    </row>
    <row r="60" spans="2:22">
      <c r="B60" s="13">
        <f>IF(A60="","",IFERROR(INDEX(Products!$B$5:$B$304,MATCH(A60,Products!$A$5:$A$304,0)),"Not found"))</f>
        <v>0</v>
      </c>
      <c r="K60" s="20">
        <f>IF(A60="","",IF(E60&lt;&gt;"",E60,IF(D60="Employee",ROUND(EmployeeRate*(1+PayrollBurden),2),IF(OR(D60="Contractor",D60="Outsourced"),ROUND(ContractorRate*(1+PayrollBurden),2),LaborCostHour))))</f>
        <v>0</v>
      </c>
      <c r="L60" s="41">
        <f>IF(A60="","",IF(F60="","",ROUND(F60/60,3)))</f>
        <v>0</v>
      </c>
      <c r="M60" s="32">
        <f>IF(A60="","",IF(G60="Per batch",IF(OR(H60="",H60=0),DefaultBatchSize,H60),1))</f>
        <v>0</v>
      </c>
      <c r="N60" s="20">
        <f>IF(A60="","",IF(OR(L60="",K60=""),"",ROUND(L60*K60,2)))</f>
        <v>0</v>
      </c>
      <c r="O60" s="20">
        <f>IF(A60="","",IF(N60="","",ROUND(N60/MAX(1,M60),2)))</f>
        <v>0</v>
      </c>
      <c r="P60" s="36">
        <f>IF(A60="","",IF(F60="","",ROUND(F60/MAX(1,M60),2)))</f>
        <v>0</v>
      </c>
      <c r="Q60" s="20">
        <f>IF(A60="","",IF(L60="","",ROUND(L60/MAX(1,M60)*SuppliesPerHour,2)))</f>
        <v>0</v>
      </c>
      <c r="R60" s="20">
        <f>IF(A60="","",ROUND(SUMIFS(Labor!$O$5:$O$304,Labor!$A$5:$A$304,A60),2))</f>
        <v>0</v>
      </c>
      <c r="S60" s="33">
        <f>IF(A60="","",IF(OR(O60="",R60="",R60=0),"",O60/R60))</f>
        <v>0</v>
      </c>
      <c r="T60" s="32">
        <f>IF(A60="","",COUNTIFS($A$5:A60,A60))</f>
        <v>0</v>
      </c>
      <c r="U60" s="13">
        <f>IF(A60="","",A60&amp;"|"&amp;T60)</f>
        <v>0</v>
      </c>
      <c r="V60" s="43">
        <f>IF(A60="","",IF(B60="Not found","Check - no such product ID",IF(OR(F60="",F60=0),"Add - how many minutes?",IF(C60="","Add - which stage?",IF(AND(G60="Per batch",H60=""),"Check - using the default batch size",IF(K60&lt;MinimumWage,"Check - below minimum wage","OK"))))))</f>
        <v>0</v>
      </c>
    </row>
    <row r="61" spans="2:22">
      <c r="B61" s="13">
        <f>IF(A61="","",IFERROR(INDEX(Products!$B$5:$B$304,MATCH(A61,Products!$A$5:$A$304,0)),"Not found"))</f>
        <v>0</v>
      </c>
      <c r="K61" s="20">
        <f>IF(A61="","",IF(E61&lt;&gt;"",E61,IF(D61="Employee",ROUND(EmployeeRate*(1+PayrollBurden),2),IF(OR(D61="Contractor",D61="Outsourced"),ROUND(ContractorRate*(1+PayrollBurden),2),LaborCostHour))))</f>
        <v>0</v>
      </c>
      <c r="L61" s="41">
        <f>IF(A61="","",IF(F61="","",ROUND(F61/60,3)))</f>
        <v>0</v>
      </c>
      <c r="M61" s="32">
        <f>IF(A61="","",IF(G61="Per batch",IF(OR(H61="",H61=0),DefaultBatchSize,H61),1))</f>
        <v>0</v>
      </c>
      <c r="N61" s="20">
        <f>IF(A61="","",IF(OR(L61="",K61=""),"",ROUND(L61*K61,2)))</f>
        <v>0</v>
      </c>
      <c r="O61" s="20">
        <f>IF(A61="","",IF(N61="","",ROUND(N61/MAX(1,M61),2)))</f>
        <v>0</v>
      </c>
      <c r="P61" s="36">
        <f>IF(A61="","",IF(F61="","",ROUND(F61/MAX(1,M61),2)))</f>
        <v>0</v>
      </c>
      <c r="Q61" s="20">
        <f>IF(A61="","",IF(L61="","",ROUND(L61/MAX(1,M61)*SuppliesPerHour,2)))</f>
        <v>0</v>
      </c>
      <c r="R61" s="20">
        <f>IF(A61="","",ROUND(SUMIFS(Labor!$O$5:$O$304,Labor!$A$5:$A$304,A61),2))</f>
        <v>0</v>
      </c>
      <c r="S61" s="33">
        <f>IF(A61="","",IF(OR(O61="",R61="",R61=0),"",O61/R61))</f>
        <v>0</v>
      </c>
      <c r="T61" s="32">
        <f>IF(A61="","",COUNTIFS($A$5:A61,A61))</f>
        <v>0</v>
      </c>
      <c r="U61" s="13">
        <f>IF(A61="","",A61&amp;"|"&amp;T61)</f>
        <v>0</v>
      </c>
      <c r="V61" s="43">
        <f>IF(A61="","",IF(B61="Not found","Check - no such product ID",IF(OR(F61="",F61=0),"Add - how many minutes?",IF(C61="","Add - which stage?",IF(AND(G61="Per batch",H61=""),"Check - using the default batch size",IF(K61&lt;MinimumWage,"Check - below minimum wage","OK"))))))</f>
        <v>0</v>
      </c>
    </row>
    <row r="62" spans="2:22">
      <c r="B62" s="13">
        <f>IF(A62="","",IFERROR(INDEX(Products!$B$5:$B$304,MATCH(A62,Products!$A$5:$A$304,0)),"Not found"))</f>
        <v>0</v>
      </c>
      <c r="K62" s="20">
        <f>IF(A62="","",IF(E62&lt;&gt;"",E62,IF(D62="Employee",ROUND(EmployeeRate*(1+PayrollBurden),2),IF(OR(D62="Contractor",D62="Outsourced"),ROUND(ContractorRate*(1+PayrollBurden),2),LaborCostHour))))</f>
        <v>0</v>
      </c>
      <c r="L62" s="41">
        <f>IF(A62="","",IF(F62="","",ROUND(F62/60,3)))</f>
        <v>0</v>
      </c>
      <c r="M62" s="32">
        <f>IF(A62="","",IF(G62="Per batch",IF(OR(H62="",H62=0),DefaultBatchSize,H62),1))</f>
        <v>0</v>
      </c>
      <c r="N62" s="20">
        <f>IF(A62="","",IF(OR(L62="",K62=""),"",ROUND(L62*K62,2)))</f>
        <v>0</v>
      </c>
      <c r="O62" s="20">
        <f>IF(A62="","",IF(N62="","",ROUND(N62/MAX(1,M62),2)))</f>
        <v>0</v>
      </c>
      <c r="P62" s="36">
        <f>IF(A62="","",IF(F62="","",ROUND(F62/MAX(1,M62),2)))</f>
        <v>0</v>
      </c>
      <c r="Q62" s="20">
        <f>IF(A62="","",IF(L62="","",ROUND(L62/MAX(1,M62)*SuppliesPerHour,2)))</f>
        <v>0</v>
      </c>
      <c r="R62" s="20">
        <f>IF(A62="","",ROUND(SUMIFS(Labor!$O$5:$O$304,Labor!$A$5:$A$304,A62),2))</f>
        <v>0</v>
      </c>
      <c r="S62" s="33">
        <f>IF(A62="","",IF(OR(O62="",R62="",R62=0),"",O62/R62))</f>
        <v>0</v>
      </c>
      <c r="T62" s="32">
        <f>IF(A62="","",COUNTIFS($A$5:A62,A62))</f>
        <v>0</v>
      </c>
      <c r="U62" s="13">
        <f>IF(A62="","",A62&amp;"|"&amp;T62)</f>
        <v>0</v>
      </c>
      <c r="V62" s="43">
        <f>IF(A62="","",IF(B62="Not found","Check - no such product ID",IF(OR(F62="",F62=0),"Add - how many minutes?",IF(C62="","Add - which stage?",IF(AND(G62="Per batch",H62=""),"Check - using the default batch size",IF(K62&lt;MinimumWage,"Check - below minimum wage","OK"))))))</f>
        <v>0</v>
      </c>
    </row>
    <row r="63" spans="2:22">
      <c r="B63" s="13">
        <f>IF(A63="","",IFERROR(INDEX(Products!$B$5:$B$304,MATCH(A63,Products!$A$5:$A$304,0)),"Not found"))</f>
        <v>0</v>
      </c>
      <c r="K63" s="20">
        <f>IF(A63="","",IF(E63&lt;&gt;"",E63,IF(D63="Employee",ROUND(EmployeeRate*(1+PayrollBurden),2),IF(OR(D63="Contractor",D63="Outsourced"),ROUND(ContractorRate*(1+PayrollBurden),2),LaborCostHour))))</f>
        <v>0</v>
      </c>
      <c r="L63" s="41">
        <f>IF(A63="","",IF(F63="","",ROUND(F63/60,3)))</f>
        <v>0</v>
      </c>
      <c r="M63" s="32">
        <f>IF(A63="","",IF(G63="Per batch",IF(OR(H63="",H63=0),DefaultBatchSize,H63),1))</f>
        <v>0</v>
      </c>
      <c r="N63" s="20">
        <f>IF(A63="","",IF(OR(L63="",K63=""),"",ROUND(L63*K63,2)))</f>
        <v>0</v>
      </c>
      <c r="O63" s="20">
        <f>IF(A63="","",IF(N63="","",ROUND(N63/MAX(1,M63),2)))</f>
        <v>0</v>
      </c>
      <c r="P63" s="36">
        <f>IF(A63="","",IF(F63="","",ROUND(F63/MAX(1,M63),2)))</f>
        <v>0</v>
      </c>
      <c r="Q63" s="20">
        <f>IF(A63="","",IF(L63="","",ROUND(L63/MAX(1,M63)*SuppliesPerHour,2)))</f>
        <v>0</v>
      </c>
      <c r="R63" s="20">
        <f>IF(A63="","",ROUND(SUMIFS(Labor!$O$5:$O$304,Labor!$A$5:$A$304,A63),2))</f>
        <v>0</v>
      </c>
      <c r="S63" s="33">
        <f>IF(A63="","",IF(OR(O63="",R63="",R63=0),"",O63/R63))</f>
        <v>0</v>
      </c>
      <c r="T63" s="32">
        <f>IF(A63="","",COUNTIFS($A$5:A63,A63))</f>
        <v>0</v>
      </c>
      <c r="U63" s="13">
        <f>IF(A63="","",A63&amp;"|"&amp;T63)</f>
        <v>0</v>
      </c>
      <c r="V63" s="43">
        <f>IF(A63="","",IF(B63="Not found","Check - no such product ID",IF(OR(F63="",F63=0),"Add - how many minutes?",IF(C63="","Add - which stage?",IF(AND(G63="Per batch",H63=""),"Check - using the default batch size",IF(K63&lt;MinimumWage,"Check - below minimum wage","OK"))))))</f>
        <v>0</v>
      </c>
    </row>
    <row r="64" spans="2:22">
      <c r="B64" s="13">
        <f>IF(A64="","",IFERROR(INDEX(Products!$B$5:$B$304,MATCH(A64,Products!$A$5:$A$304,0)),"Not found"))</f>
        <v>0</v>
      </c>
      <c r="K64" s="20">
        <f>IF(A64="","",IF(E64&lt;&gt;"",E64,IF(D64="Employee",ROUND(EmployeeRate*(1+PayrollBurden),2),IF(OR(D64="Contractor",D64="Outsourced"),ROUND(ContractorRate*(1+PayrollBurden),2),LaborCostHour))))</f>
        <v>0</v>
      </c>
      <c r="L64" s="41">
        <f>IF(A64="","",IF(F64="","",ROUND(F64/60,3)))</f>
        <v>0</v>
      </c>
      <c r="M64" s="32">
        <f>IF(A64="","",IF(G64="Per batch",IF(OR(H64="",H64=0),DefaultBatchSize,H64),1))</f>
        <v>0</v>
      </c>
      <c r="N64" s="20">
        <f>IF(A64="","",IF(OR(L64="",K64=""),"",ROUND(L64*K64,2)))</f>
        <v>0</v>
      </c>
      <c r="O64" s="20">
        <f>IF(A64="","",IF(N64="","",ROUND(N64/MAX(1,M64),2)))</f>
        <v>0</v>
      </c>
      <c r="P64" s="36">
        <f>IF(A64="","",IF(F64="","",ROUND(F64/MAX(1,M64),2)))</f>
        <v>0</v>
      </c>
      <c r="Q64" s="20">
        <f>IF(A64="","",IF(L64="","",ROUND(L64/MAX(1,M64)*SuppliesPerHour,2)))</f>
        <v>0</v>
      </c>
      <c r="R64" s="20">
        <f>IF(A64="","",ROUND(SUMIFS(Labor!$O$5:$O$304,Labor!$A$5:$A$304,A64),2))</f>
        <v>0</v>
      </c>
      <c r="S64" s="33">
        <f>IF(A64="","",IF(OR(O64="",R64="",R64=0),"",O64/R64))</f>
        <v>0</v>
      </c>
      <c r="T64" s="32">
        <f>IF(A64="","",COUNTIFS($A$5:A64,A64))</f>
        <v>0</v>
      </c>
      <c r="U64" s="13">
        <f>IF(A64="","",A64&amp;"|"&amp;T64)</f>
        <v>0</v>
      </c>
      <c r="V64" s="43">
        <f>IF(A64="","",IF(B64="Not found","Check - no such product ID",IF(OR(F64="",F64=0),"Add - how many minutes?",IF(C64="","Add - which stage?",IF(AND(G64="Per batch",H64=""),"Check - using the default batch size",IF(K64&lt;MinimumWage,"Check - below minimum wage","OK"))))))</f>
        <v>0</v>
      </c>
    </row>
    <row r="65" spans="2:22">
      <c r="B65" s="13">
        <f>IF(A65="","",IFERROR(INDEX(Products!$B$5:$B$304,MATCH(A65,Products!$A$5:$A$304,0)),"Not found"))</f>
        <v>0</v>
      </c>
      <c r="K65" s="20">
        <f>IF(A65="","",IF(E65&lt;&gt;"",E65,IF(D65="Employee",ROUND(EmployeeRate*(1+PayrollBurden),2),IF(OR(D65="Contractor",D65="Outsourced"),ROUND(ContractorRate*(1+PayrollBurden),2),LaborCostHour))))</f>
        <v>0</v>
      </c>
      <c r="L65" s="41">
        <f>IF(A65="","",IF(F65="","",ROUND(F65/60,3)))</f>
        <v>0</v>
      </c>
      <c r="M65" s="32">
        <f>IF(A65="","",IF(G65="Per batch",IF(OR(H65="",H65=0),DefaultBatchSize,H65),1))</f>
        <v>0</v>
      </c>
      <c r="N65" s="20">
        <f>IF(A65="","",IF(OR(L65="",K65=""),"",ROUND(L65*K65,2)))</f>
        <v>0</v>
      </c>
      <c r="O65" s="20">
        <f>IF(A65="","",IF(N65="","",ROUND(N65/MAX(1,M65),2)))</f>
        <v>0</v>
      </c>
      <c r="P65" s="36">
        <f>IF(A65="","",IF(F65="","",ROUND(F65/MAX(1,M65),2)))</f>
        <v>0</v>
      </c>
      <c r="Q65" s="20">
        <f>IF(A65="","",IF(L65="","",ROUND(L65/MAX(1,M65)*SuppliesPerHour,2)))</f>
        <v>0</v>
      </c>
      <c r="R65" s="20">
        <f>IF(A65="","",ROUND(SUMIFS(Labor!$O$5:$O$304,Labor!$A$5:$A$304,A65),2))</f>
        <v>0</v>
      </c>
      <c r="S65" s="33">
        <f>IF(A65="","",IF(OR(O65="",R65="",R65=0),"",O65/R65))</f>
        <v>0</v>
      </c>
      <c r="T65" s="32">
        <f>IF(A65="","",COUNTIFS($A$5:A65,A65))</f>
        <v>0</v>
      </c>
      <c r="U65" s="13">
        <f>IF(A65="","",A65&amp;"|"&amp;T65)</f>
        <v>0</v>
      </c>
      <c r="V65" s="43">
        <f>IF(A65="","",IF(B65="Not found","Check - no such product ID",IF(OR(F65="",F65=0),"Add - how many minutes?",IF(C65="","Add - which stage?",IF(AND(G65="Per batch",H65=""),"Check - using the default batch size",IF(K65&lt;MinimumWage,"Check - below minimum wage","OK"))))))</f>
        <v>0</v>
      </c>
    </row>
    <row r="66" spans="2:22">
      <c r="B66" s="13">
        <f>IF(A66="","",IFERROR(INDEX(Products!$B$5:$B$304,MATCH(A66,Products!$A$5:$A$304,0)),"Not found"))</f>
        <v>0</v>
      </c>
      <c r="K66" s="20">
        <f>IF(A66="","",IF(E66&lt;&gt;"",E66,IF(D66="Employee",ROUND(EmployeeRate*(1+PayrollBurden),2),IF(OR(D66="Contractor",D66="Outsourced"),ROUND(ContractorRate*(1+PayrollBurden),2),LaborCostHour))))</f>
        <v>0</v>
      </c>
      <c r="L66" s="41">
        <f>IF(A66="","",IF(F66="","",ROUND(F66/60,3)))</f>
        <v>0</v>
      </c>
      <c r="M66" s="32">
        <f>IF(A66="","",IF(G66="Per batch",IF(OR(H66="",H66=0),DefaultBatchSize,H66),1))</f>
        <v>0</v>
      </c>
      <c r="N66" s="20">
        <f>IF(A66="","",IF(OR(L66="",K66=""),"",ROUND(L66*K66,2)))</f>
        <v>0</v>
      </c>
      <c r="O66" s="20">
        <f>IF(A66="","",IF(N66="","",ROUND(N66/MAX(1,M66),2)))</f>
        <v>0</v>
      </c>
      <c r="P66" s="36">
        <f>IF(A66="","",IF(F66="","",ROUND(F66/MAX(1,M66),2)))</f>
        <v>0</v>
      </c>
      <c r="Q66" s="20">
        <f>IF(A66="","",IF(L66="","",ROUND(L66/MAX(1,M66)*SuppliesPerHour,2)))</f>
        <v>0</v>
      </c>
      <c r="R66" s="20">
        <f>IF(A66="","",ROUND(SUMIFS(Labor!$O$5:$O$304,Labor!$A$5:$A$304,A66),2))</f>
        <v>0</v>
      </c>
      <c r="S66" s="33">
        <f>IF(A66="","",IF(OR(O66="",R66="",R66=0),"",O66/R66))</f>
        <v>0</v>
      </c>
      <c r="T66" s="32">
        <f>IF(A66="","",COUNTIFS($A$5:A66,A66))</f>
        <v>0</v>
      </c>
      <c r="U66" s="13">
        <f>IF(A66="","",A66&amp;"|"&amp;T66)</f>
        <v>0</v>
      </c>
      <c r="V66" s="43">
        <f>IF(A66="","",IF(B66="Not found","Check - no such product ID",IF(OR(F66="",F66=0),"Add - how many minutes?",IF(C66="","Add - which stage?",IF(AND(G66="Per batch",H66=""),"Check - using the default batch size",IF(K66&lt;MinimumWage,"Check - below minimum wage","OK"))))))</f>
        <v>0</v>
      </c>
    </row>
    <row r="67" spans="2:22">
      <c r="B67" s="13">
        <f>IF(A67="","",IFERROR(INDEX(Products!$B$5:$B$304,MATCH(A67,Products!$A$5:$A$304,0)),"Not found"))</f>
        <v>0</v>
      </c>
      <c r="K67" s="20">
        <f>IF(A67="","",IF(E67&lt;&gt;"",E67,IF(D67="Employee",ROUND(EmployeeRate*(1+PayrollBurden),2),IF(OR(D67="Contractor",D67="Outsourced"),ROUND(ContractorRate*(1+PayrollBurden),2),LaborCostHour))))</f>
        <v>0</v>
      </c>
      <c r="L67" s="41">
        <f>IF(A67="","",IF(F67="","",ROUND(F67/60,3)))</f>
        <v>0</v>
      </c>
      <c r="M67" s="32">
        <f>IF(A67="","",IF(G67="Per batch",IF(OR(H67="",H67=0),DefaultBatchSize,H67),1))</f>
        <v>0</v>
      </c>
      <c r="N67" s="20">
        <f>IF(A67="","",IF(OR(L67="",K67=""),"",ROUND(L67*K67,2)))</f>
        <v>0</v>
      </c>
      <c r="O67" s="20">
        <f>IF(A67="","",IF(N67="","",ROUND(N67/MAX(1,M67),2)))</f>
        <v>0</v>
      </c>
      <c r="P67" s="36">
        <f>IF(A67="","",IF(F67="","",ROUND(F67/MAX(1,M67),2)))</f>
        <v>0</v>
      </c>
      <c r="Q67" s="20">
        <f>IF(A67="","",IF(L67="","",ROUND(L67/MAX(1,M67)*SuppliesPerHour,2)))</f>
        <v>0</v>
      </c>
      <c r="R67" s="20">
        <f>IF(A67="","",ROUND(SUMIFS(Labor!$O$5:$O$304,Labor!$A$5:$A$304,A67),2))</f>
        <v>0</v>
      </c>
      <c r="S67" s="33">
        <f>IF(A67="","",IF(OR(O67="",R67="",R67=0),"",O67/R67))</f>
        <v>0</v>
      </c>
      <c r="T67" s="32">
        <f>IF(A67="","",COUNTIFS($A$5:A67,A67))</f>
        <v>0</v>
      </c>
      <c r="U67" s="13">
        <f>IF(A67="","",A67&amp;"|"&amp;T67)</f>
        <v>0</v>
      </c>
      <c r="V67" s="43">
        <f>IF(A67="","",IF(B67="Not found","Check - no such product ID",IF(OR(F67="",F67=0),"Add - how many minutes?",IF(C67="","Add - which stage?",IF(AND(G67="Per batch",H67=""),"Check - using the default batch size",IF(K67&lt;MinimumWage,"Check - below minimum wage","OK"))))))</f>
        <v>0</v>
      </c>
    </row>
    <row r="68" spans="2:22">
      <c r="B68" s="13">
        <f>IF(A68="","",IFERROR(INDEX(Products!$B$5:$B$304,MATCH(A68,Products!$A$5:$A$304,0)),"Not found"))</f>
        <v>0</v>
      </c>
      <c r="K68" s="20">
        <f>IF(A68="","",IF(E68&lt;&gt;"",E68,IF(D68="Employee",ROUND(EmployeeRate*(1+PayrollBurden),2),IF(OR(D68="Contractor",D68="Outsourced"),ROUND(ContractorRate*(1+PayrollBurden),2),LaborCostHour))))</f>
        <v>0</v>
      </c>
      <c r="L68" s="41">
        <f>IF(A68="","",IF(F68="","",ROUND(F68/60,3)))</f>
        <v>0</v>
      </c>
      <c r="M68" s="32">
        <f>IF(A68="","",IF(G68="Per batch",IF(OR(H68="",H68=0),DefaultBatchSize,H68),1))</f>
        <v>0</v>
      </c>
      <c r="N68" s="20">
        <f>IF(A68="","",IF(OR(L68="",K68=""),"",ROUND(L68*K68,2)))</f>
        <v>0</v>
      </c>
      <c r="O68" s="20">
        <f>IF(A68="","",IF(N68="","",ROUND(N68/MAX(1,M68),2)))</f>
        <v>0</v>
      </c>
      <c r="P68" s="36">
        <f>IF(A68="","",IF(F68="","",ROUND(F68/MAX(1,M68),2)))</f>
        <v>0</v>
      </c>
      <c r="Q68" s="20">
        <f>IF(A68="","",IF(L68="","",ROUND(L68/MAX(1,M68)*SuppliesPerHour,2)))</f>
        <v>0</v>
      </c>
      <c r="R68" s="20">
        <f>IF(A68="","",ROUND(SUMIFS(Labor!$O$5:$O$304,Labor!$A$5:$A$304,A68),2))</f>
        <v>0</v>
      </c>
      <c r="S68" s="33">
        <f>IF(A68="","",IF(OR(O68="",R68="",R68=0),"",O68/R68))</f>
        <v>0</v>
      </c>
      <c r="T68" s="32">
        <f>IF(A68="","",COUNTIFS($A$5:A68,A68))</f>
        <v>0</v>
      </c>
      <c r="U68" s="13">
        <f>IF(A68="","",A68&amp;"|"&amp;T68)</f>
        <v>0</v>
      </c>
      <c r="V68" s="43">
        <f>IF(A68="","",IF(B68="Not found","Check - no such product ID",IF(OR(F68="",F68=0),"Add - how many minutes?",IF(C68="","Add - which stage?",IF(AND(G68="Per batch",H68=""),"Check - using the default batch size",IF(K68&lt;MinimumWage,"Check - below minimum wage","OK"))))))</f>
        <v>0</v>
      </c>
    </row>
    <row r="69" spans="2:22">
      <c r="B69" s="13">
        <f>IF(A69="","",IFERROR(INDEX(Products!$B$5:$B$304,MATCH(A69,Products!$A$5:$A$304,0)),"Not found"))</f>
        <v>0</v>
      </c>
      <c r="K69" s="20">
        <f>IF(A69="","",IF(E69&lt;&gt;"",E69,IF(D69="Employee",ROUND(EmployeeRate*(1+PayrollBurden),2),IF(OR(D69="Contractor",D69="Outsourced"),ROUND(ContractorRate*(1+PayrollBurden),2),LaborCostHour))))</f>
        <v>0</v>
      </c>
      <c r="L69" s="41">
        <f>IF(A69="","",IF(F69="","",ROUND(F69/60,3)))</f>
        <v>0</v>
      </c>
      <c r="M69" s="32">
        <f>IF(A69="","",IF(G69="Per batch",IF(OR(H69="",H69=0),DefaultBatchSize,H69),1))</f>
        <v>0</v>
      </c>
      <c r="N69" s="20">
        <f>IF(A69="","",IF(OR(L69="",K69=""),"",ROUND(L69*K69,2)))</f>
        <v>0</v>
      </c>
      <c r="O69" s="20">
        <f>IF(A69="","",IF(N69="","",ROUND(N69/MAX(1,M69),2)))</f>
        <v>0</v>
      </c>
      <c r="P69" s="36">
        <f>IF(A69="","",IF(F69="","",ROUND(F69/MAX(1,M69),2)))</f>
        <v>0</v>
      </c>
      <c r="Q69" s="20">
        <f>IF(A69="","",IF(L69="","",ROUND(L69/MAX(1,M69)*SuppliesPerHour,2)))</f>
        <v>0</v>
      </c>
      <c r="R69" s="20">
        <f>IF(A69="","",ROUND(SUMIFS(Labor!$O$5:$O$304,Labor!$A$5:$A$304,A69),2))</f>
        <v>0</v>
      </c>
      <c r="S69" s="33">
        <f>IF(A69="","",IF(OR(O69="",R69="",R69=0),"",O69/R69))</f>
        <v>0</v>
      </c>
      <c r="T69" s="32">
        <f>IF(A69="","",COUNTIFS($A$5:A69,A69))</f>
        <v>0</v>
      </c>
      <c r="U69" s="13">
        <f>IF(A69="","",A69&amp;"|"&amp;T69)</f>
        <v>0</v>
      </c>
      <c r="V69" s="43">
        <f>IF(A69="","",IF(B69="Not found","Check - no such product ID",IF(OR(F69="",F69=0),"Add - how many minutes?",IF(C69="","Add - which stage?",IF(AND(G69="Per batch",H69=""),"Check - using the default batch size",IF(K69&lt;MinimumWage,"Check - below minimum wage","OK"))))))</f>
        <v>0</v>
      </c>
    </row>
    <row r="70" spans="2:22">
      <c r="B70" s="13">
        <f>IF(A70="","",IFERROR(INDEX(Products!$B$5:$B$304,MATCH(A70,Products!$A$5:$A$304,0)),"Not found"))</f>
        <v>0</v>
      </c>
      <c r="K70" s="20">
        <f>IF(A70="","",IF(E70&lt;&gt;"",E70,IF(D70="Employee",ROUND(EmployeeRate*(1+PayrollBurden),2),IF(OR(D70="Contractor",D70="Outsourced"),ROUND(ContractorRate*(1+PayrollBurden),2),LaborCostHour))))</f>
        <v>0</v>
      </c>
      <c r="L70" s="41">
        <f>IF(A70="","",IF(F70="","",ROUND(F70/60,3)))</f>
        <v>0</v>
      </c>
      <c r="M70" s="32">
        <f>IF(A70="","",IF(G70="Per batch",IF(OR(H70="",H70=0),DefaultBatchSize,H70),1))</f>
        <v>0</v>
      </c>
      <c r="N70" s="20">
        <f>IF(A70="","",IF(OR(L70="",K70=""),"",ROUND(L70*K70,2)))</f>
        <v>0</v>
      </c>
      <c r="O70" s="20">
        <f>IF(A70="","",IF(N70="","",ROUND(N70/MAX(1,M70),2)))</f>
        <v>0</v>
      </c>
      <c r="P70" s="36">
        <f>IF(A70="","",IF(F70="","",ROUND(F70/MAX(1,M70),2)))</f>
        <v>0</v>
      </c>
      <c r="Q70" s="20">
        <f>IF(A70="","",IF(L70="","",ROUND(L70/MAX(1,M70)*SuppliesPerHour,2)))</f>
        <v>0</v>
      </c>
      <c r="R70" s="20">
        <f>IF(A70="","",ROUND(SUMIFS(Labor!$O$5:$O$304,Labor!$A$5:$A$304,A70),2))</f>
        <v>0</v>
      </c>
      <c r="S70" s="33">
        <f>IF(A70="","",IF(OR(O70="",R70="",R70=0),"",O70/R70))</f>
        <v>0</v>
      </c>
      <c r="T70" s="32">
        <f>IF(A70="","",COUNTIFS($A$5:A70,A70))</f>
        <v>0</v>
      </c>
      <c r="U70" s="13">
        <f>IF(A70="","",A70&amp;"|"&amp;T70)</f>
        <v>0</v>
      </c>
      <c r="V70" s="43">
        <f>IF(A70="","",IF(B70="Not found","Check - no such product ID",IF(OR(F70="",F70=0),"Add - how many minutes?",IF(C70="","Add - which stage?",IF(AND(G70="Per batch",H70=""),"Check - using the default batch size",IF(K70&lt;MinimumWage,"Check - below minimum wage","OK"))))))</f>
        <v>0</v>
      </c>
    </row>
    <row r="71" spans="2:22">
      <c r="B71" s="13">
        <f>IF(A71="","",IFERROR(INDEX(Products!$B$5:$B$304,MATCH(A71,Products!$A$5:$A$304,0)),"Not found"))</f>
        <v>0</v>
      </c>
      <c r="K71" s="20">
        <f>IF(A71="","",IF(E71&lt;&gt;"",E71,IF(D71="Employee",ROUND(EmployeeRate*(1+PayrollBurden),2),IF(OR(D71="Contractor",D71="Outsourced"),ROUND(ContractorRate*(1+PayrollBurden),2),LaborCostHour))))</f>
        <v>0</v>
      </c>
      <c r="L71" s="41">
        <f>IF(A71="","",IF(F71="","",ROUND(F71/60,3)))</f>
        <v>0</v>
      </c>
      <c r="M71" s="32">
        <f>IF(A71="","",IF(G71="Per batch",IF(OR(H71="",H71=0),DefaultBatchSize,H71),1))</f>
        <v>0</v>
      </c>
      <c r="N71" s="20">
        <f>IF(A71="","",IF(OR(L71="",K71=""),"",ROUND(L71*K71,2)))</f>
        <v>0</v>
      </c>
      <c r="O71" s="20">
        <f>IF(A71="","",IF(N71="","",ROUND(N71/MAX(1,M71),2)))</f>
        <v>0</v>
      </c>
      <c r="P71" s="36">
        <f>IF(A71="","",IF(F71="","",ROUND(F71/MAX(1,M71),2)))</f>
        <v>0</v>
      </c>
      <c r="Q71" s="20">
        <f>IF(A71="","",IF(L71="","",ROUND(L71/MAX(1,M71)*SuppliesPerHour,2)))</f>
        <v>0</v>
      </c>
      <c r="R71" s="20">
        <f>IF(A71="","",ROUND(SUMIFS(Labor!$O$5:$O$304,Labor!$A$5:$A$304,A71),2))</f>
        <v>0</v>
      </c>
      <c r="S71" s="33">
        <f>IF(A71="","",IF(OR(O71="",R71="",R71=0),"",O71/R71))</f>
        <v>0</v>
      </c>
      <c r="T71" s="32">
        <f>IF(A71="","",COUNTIFS($A$5:A71,A71))</f>
        <v>0</v>
      </c>
      <c r="U71" s="13">
        <f>IF(A71="","",A71&amp;"|"&amp;T71)</f>
        <v>0</v>
      </c>
      <c r="V71" s="43">
        <f>IF(A71="","",IF(B71="Not found","Check - no such product ID",IF(OR(F71="",F71=0),"Add - how many minutes?",IF(C71="","Add - which stage?",IF(AND(G71="Per batch",H71=""),"Check - using the default batch size",IF(K71&lt;MinimumWage,"Check - below minimum wage","OK"))))))</f>
        <v>0</v>
      </c>
    </row>
    <row r="72" spans="2:22">
      <c r="B72" s="13">
        <f>IF(A72="","",IFERROR(INDEX(Products!$B$5:$B$304,MATCH(A72,Products!$A$5:$A$304,0)),"Not found"))</f>
        <v>0</v>
      </c>
      <c r="K72" s="20">
        <f>IF(A72="","",IF(E72&lt;&gt;"",E72,IF(D72="Employee",ROUND(EmployeeRate*(1+PayrollBurden),2),IF(OR(D72="Contractor",D72="Outsourced"),ROUND(ContractorRate*(1+PayrollBurden),2),LaborCostHour))))</f>
        <v>0</v>
      </c>
      <c r="L72" s="41">
        <f>IF(A72="","",IF(F72="","",ROUND(F72/60,3)))</f>
        <v>0</v>
      </c>
      <c r="M72" s="32">
        <f>IF(A72="","",IF(G72="Per batch",IF(OR(H72="",H72=0),DefaultBatchSize,H72),1))</f>
        <v>0</v>
      </c>
      <c r="N72" s="20">
        <f>IF(A72="","",IF(OR(L72="",K72=""),"",ROUND(L72*K72,2)))</f>
        <v>0</v>
      </c>
      <c r="O72" s="20">
        <f>IF(A72="","",IF(N72="","",ROUND(N72/MAX(1,M72),2)))</f>
        <v>0</v>
      </c>
      <c r="P72" s="36">
        <f>IF(A72="","",IF(F72="","",ROUND(F72/MAX(1,M72),2)))</f>
        <v>0</v>
      </c>
      <c r="Q72" s="20">
        <f>IF(A72="","",IF(L72="","",ROUND(L72/MAX(1,M72)*SuppliesPerHour,2)))</f>
        <v>0</v>
      </c>
      <c r="R72" s="20">
        <f>IF(A72="","",ROUND(SUMIFS(Labor!$O$5:$O$304,Labor!$A$5:$A$304,A72),2))</f>
        <v>0</v>
      </c>
      <c r="S72" s="33">
        <f>IF(A72="","",IF(OR(O72="",R72="",R72=0),"",O72/R72))</f>
        <v>0</v>
      </c>
      <c r="T72" s="32">
        <f>IF(A72="","",COUNTIFS($A$5:A72,A72))</f>
        <v>0</v>
      </c>
      <c r="U72" s="13">
        <f>IF(A72="","",A72&amp;"|"&amp;T72)</f>
        <v>0</v>
      </c>
      <c r="V72" s="43">
        <f>IF(A72="","",IF(B72="Not found","Check - no such product ID",IF(OR(F72="",F72=0),"Add - how many minutes?",IF(C72="","Add - which stage?",IF(AND(G72="Per batch",H72=""),"Check - using the default batch size",IF(K72&lt;MinimumWage,"Check - below minimum wage","OK"))))))</f>
        <v>0</v>
      </c>
    </row>
    <row r="73" spans="2:22">
      <c r="B73" s="13">
        <f>IF(A73="","",IFERROR(INDEX(Products!$B$5:$B$304,MATCH(A73,Products!$A$5:$A$304,0)),"Not found"))</f>
        <v>0</v>
      </c>
      <c r="K73" s="20">
        <f>IF(A73="","",IF(E73&lt;&gt;"",E73,IF(D73="Employee",ROUND(EmployeeRate*(1+PayrollBurden),2),IF(OR(D73="Contractor",D73="Outsourced"),ROUND(ContractorRate*(1+PayrollBurden),2),LaborCostHour))))</f>
        <v>0</v>
      </c>
      <c r="L73" s="41">
        <f>IF(A73="","",IF(F73="","",ROUND(F73/60,3)))</f>
        <v>0</v>
      </c>
      <c r="M73" s="32">
        <f>IF(A73="","",IF(G73="Per batch",IF(OR(H73="",H73=0),DefaultBatchSize,H73),1))</f>
        <v>0</v>
      </c>
      <c r="N73" s="20">
        <f>IF(A73="","",IF(OR(L73="",K73=""),"",ROUND(L73*K73,2)))</f>
        <v>0</v>
      </c>
      <c r="O73" s="20">
        <f>IF(A73="","",IF(N73="","",ROUND(N73/MAX(1,M73),2)))</f>
        <v>0</v>
      </c>
      <c r="P73" s="36">
        <f>IF(A73="","",IF(F73="","",ROUND(F73/MAX(1,M73),2)))</f>
        <v>0</v>
      </c>
      <c r="Q73" s="20">
        <f>IF(A73="","",IF(L73="","",ROUND(L73/MAX(1,M73)*SuppliesPerHour,2)))</f>
        <v>0</v>
      </c>
      <c r="R73" s="20">
        <f>IF(A73="","",ROUND(SUMIFS(Labor!$O$5:$O$304,Labor!$A$5:$A$304,A73),2))</f>
        <v>0</v>
      </c>
      <c r="S73" s="33">
        <f>IF(A73="","",IF(OR(O73="",R73="",R73=0),"",O73/R73))</f>
        <v>0</v>
      </c>
      <c r="T73" s="32">
        <f>IF(A73="","",COUNTIFS($A$5:A73,A73))</f>
        <v>0</v>
      </c>
      <c r="U73" s="13">
        <f>IF(A73="","",A73&amp;"|"&amp;T73)</f>
        <v>0</v>
      </c>
      <c r="V73" s="43">
        <f>IF(A73="","",IF(B73="Not found","Check - no such product ID",IF(OR(F73="",F73=0),"Add - how many minutes?",IF(C73="","Add - which stage?",IF(AND(G73="Per batch",H73=""),"Check - using the default batch size",IF(K73&lt;MinimumWage,"Check - below minimum wage","OK"))))))</f>
        <v>0</v>
      </c>
    </row>
    <row r="74" spans="2:22">
      <c r="B74" s="13">
        <f>IF(A74="","",IFERROR(INDEX(Products!$B$5:$B$304,MATCH(A74,Products!$A$5:$A$304,0)),"Not found"))</f>
        <v>0</v>
      </c>
      <c r="K74" s="20">
        <f>IF(A74="","",IF(E74&lt;&gt;"",E74,IF(D74="Employee",ROUND(EmployeeRate*(1+PayrollBurden),2),IF(OR(D74="Contractor",D74="Outsourced"),ROUND(ContractorRate*(1+PayrollBurden),2),LaborCostHour))))</f>
        <v>0</v>
      </c>
      <c r="L74" s="41">
        <f>IF(A74="","",IF(F74="","",ROUND(F74/60,3)))</f>
        <v>0</v>
      </c>
      <c r="M74" s="32">
        <f>IF(A74="","",IF(G74="Per batch",IF(OR(H74="",H74=0),DefaultBatchSize,H74),1))</f>
        <v>0</v>
      </c>
      <c r="N74" s="20">
        <f>IF(A74="","",IF(OR(L74="",K74=""),"",ROUND(L74*K74,2)))</f>
        <v>0</v>
      </c>
      <c r="O74" s="20">
        <f>IF(A74="","",IF(N74="","",ROUND(N74/MAX(1,M74),2)))</f>
        <v>0</v>
      </c>
      <c r="P74" s="36">
        <f>IF(A74="","",IF(F74="","",ROUND(F74/MAX(1,M74),2)))</f>
        <v>0</v>
      </c>
      <c r="Q74" s="20">
        <f>IF(A74="","",IF(L74="","",ROUND(L74/MAX(1,M74)*SuppliesPerHour,2)))</f>
        <v>0</v>
      </c>
      <c r="R74" s="20">
        <f>IF(A74="","",ROUND(SUMIFS(Labor!$O$5:$O$304,Labor!$A$5:$A$304,A74),2))</f>
        <v>0</v>
      </c>
      <c r="S74" s="33">
        <f>IF(A74="","",IF(OR(O74="",R74="",R74=0),"",O74/R74))</f>
        <v>0</v>
      </c>
      <c r="T74" s="32">
        <f>IF(A74="","",COUNTIFS($A$5:A74,A74))</f>
        <v>0</v>
      </c>
      <c r="U74" s="13">
        <f>IF(A74="","",A74&amp;"|"&amp;T74)</f>
        <v>0</v>
      </c>
      <c r="V74" s="43">
        <f>IF(A74="","",IF(B74="Not found","Check - no such product ID",IF(OR(F74="",F74=0),"Add - how many minutes?",IF(C74="","Add - which stage?",IF(AND(G74="Per batch",H74=""),"Check - using the default batch size",IF(K74&lt;MinimumWage,"Check - below minimum wage","OK"))))))</f>
        <v>0</v>
      </c>
    </row>
    <row r="75" spans="2:22">
      <c r="B75" s="13">
        <f>IF(A75="","",IFERROR(INDEX(Products!$B$5:$B$304,MATCH(A75,Products!$A$5:$A$304,0)),"Not found"))</f>
        <v>0</v>
      </c>
      <c r="K75" s="20">
        <f>IF(A75="","",IF(E75&lt;&gt;"",E75,IF(D75="Employee",ROUND(EmployeeRate*(1+PayrollBurden),2),IF(OR(D75="Contractor",D75="Outsourced"),ROUND(ContractorRate*(1+PayrollBurden),2),LaborCostHour))))</f>
        <v>0</v>
      </c>
      <c r="L75" s="41">
        <f>IF(A75="","",IF(F75="","",ROUND(F75/60,3)))</f>
        <v>0</v>
      </c>
      <c r="M75" s="32">
        <f>IF(A75="","",IF(G75="Per batch",IF(OR(H75="",H75=0),DefaultBatchSize,H75),1))</f>
        <v>0</v>
      </c>
      <c r="N75" s="20">
        <f>IF(A75="","",IF(OR(L75="",K75=""),"",ROUND(L75*K75,2)))</f>
        <v>0</v>
      </c>
      <c r="O75" s="20">
        <f>IF(A75="","",IF(N75="","",ROUND(N75/MAX(1,M75),2)))</f>
        <v>0</v>
      </c>
      <c r="P75" s="36">
        <f>IF(A75="","",IF(F75="","",ROUND(F75/MAX(1,M75),2)))</f>
        <v>0</v>
      </c>
      <c r="Q75" s="20">
        <f>IF(A75="","",IF(L75="","",ROUND(L75/MAX(1,M75)*SuppliesPerHour,2)))</f>
        <v>0</v>
      </c>
      <c r="R75" s="20">
        <f>IF(A75="","",ROUND(SUMIFS(Labor!$O$5:$O$304,Labor!$A$5:$A$304,A75),2))</f>
        <v>0</v>
      </c>
      <c r="S75" s="33">
        <f>IF(A75="","",IF(OR(O75="",R75="",R75=0),"",O75/R75))</f>
        <v>0</v>
      </c>
      <c r="T75" s="32">
        <f>IF(A75="","",COUNTIFS($A$5:A75,A75))</f>
        <v>0</v>
      </c>
      <c r="U75" s="13">
        <f>IF(A75="","",A75&amp;"|"&amp;T75)</f>
        <v>0</v>
      </c>
      <c r="V75" s="43">
        <f>IF(A75="","",IF(B75="Not found","Check - no such product ID",IF(OR(F75="",F75=0),"Add - how many minutes?",IF(C75="","Add - which stage?",IF(AND(G75="Per batch",H75=""),"Check - using the default batch size",IF(K75&lt;MinimumWage,"Check - below minimum wage","OK"))))))</f>
        <v>0</v>
      </c>
    </row>
    <row r="76" spans="2:22">
      <c r="B76" s="13">
        <f>IF(A76="","",IFERROR(INDEX(Products!$B$5:$B$304,MATCH(A76,Products!$A$5:$A$304,0)),"Not found"))</f>
        <v>0</v>
      </c>
      <c r="K76" s="20">
        <f>IF(A76="","",IF(E76&lt;&gt;"",E76,IF(D76="Employee",ROUND(EmployeeRate*(1+PayrollBurden),2),IF(OR(D76="Contractor",D76="Outsourced"),ROUND(ContractorRate*(1+PayrollBurden),2),LaborCostHour))))</f>
        <v>0</v>
      </c>
      <c r="L76" s="41">
        <f>IF(A76="","",IF(F76="","",ROUND(F76/60,3)))</f>
        <v>0</v>
      </c>
      <c r="M76" s="32">
        <f>IF(A76="","",IF(G76="Per batch",IF(OR(H76="",H76=0),DefaultBatchSize,H76),1))</f>
        <v>0</v>
      </c>
      <c r="N76" s="20">
        <f>IF(A76="","",IF(OR(L76="",K76=""),"",ROUND(L76*K76,2)))</f>
        <v>0</v>
      </c>
      <c r="O76" s="20">
        <f>IF(A76="","",IF(N76="","",ROUND(N76/MAX(1,M76),2)))</f>
        <v>0</v>
      </c>
      <c r="P76" s="36">
        <f>IF(A76="","",IF(F76="","",ROUND(F76/MAX(1,M76),2)))</f>
        <v>0</v>
      </c>
      <c r="Q76" s="20">
        <f>IF(A76="","",IF(L76="","",ROUND(L76/MAX(1,M76)*SuppliesPerHour,2)))</f>
        <v>0</v>
      </c>
      <c r="R76" s="20">
        <f>IF(A76="","",ROUND(SUMIFS(Labor!$O$5:$O$304,Labor!$A$5:$A$304,A76),2))</f>
        <v>0</v>
      </c>
      <c r="S76" s="33">
        <f>IF(A76="","",IF(OR(O76="",R76="",R76=0),"",O76/R76))</f>
        <v>0</v>
      </c>
      <c r="T76" s="32">
        <f>IF(A76="","",COUNTIFS($A$5:A76,A76))</f>
        <v>0</v>
      </c>
      <c r="U76" s="13">
        <f>IF(A76="","",A76&amp;"|"&amp;T76)</f>
        <v>0</v>
      </c>
      <c r="V76" s="43">
        <f>IF(A76="","",IF(B76="Not found","Check - no such product ID",IF(OR(F76="",F76=0),"Add - how many minutes?",IF(C76="","Add - which stage?",IF(AND(G76="Per batch",H76=""),"Check - using the default batch size",IF(K76&lt;MinimumWage,"Check - below minimum wage","OK"))))))</f>
        <v>0</v>
      </c>
    </row>
    <row r="77" spans="2:22">
      <c r="B77" s="13">
        <f>IF(A77="","",IFERROR(INDEX(Products!$B$5:$B$304,MATCH(A77,Products!$A$5:$A$304,0)),"Not found"))</f>
        <v>0</v>
      </c>
      <c r="K77" s="20">
        <f>IF(A77="","",IF(E77&lt;&gt;"",E77,IF(D77="Employee",ROUND(EmployeeRate*(1+PayrollBurden),2),IF(OR(D77="Contractor",D77="Outsourced"),ROUND(ContractorRate*(1+PayrollBurden),2),LaborCostHour))))</f>
        <v>0</v>
      </c>
      <c r="L77" s="41">
        <f>IF(A77="","",IF(F77="","",ROUND(F77/60,3)))</f>
        <v>0</v>
      </c>
      <c r="M77" s="32">
        <f>IF(A77="","",IF(G77="Per batch",IF(OR(H77="",H77=0),DefaultBatchSize,H77),1))</f>
        <v>0</v>
      </c>
      <c r="N77" s="20">
        <f>IF(A77="","",IF(OR(L77="",K77=""),"",ROUND(L77*K77,2)))</f>
        <v>0</v>
      </c>
      <c r="O77" s="20">
        <f>IF(A77="","",IF(N77="","",ROUND(N77/MAX(1,M77),2)))</f>
        <v>0</v>
      </c>
      <c r="P77" s="36">
        <f>IF(A77="","",IF(F77="","",ROUND(F77/MAX(1,M77),2)))</f>
        <v>0</v>
      </c>
      <c r="Q77" s="20">
        <f>IF(A77="","",IF(L77="","",ROUND(L77/MAX(1,M77)*SuppliesPerHour,2)))</f>
        <v>0</v>
      </c>
      <c r="R77" s="20">
        <f>IF(A77="","",ROUND(SUMIFS(Labor!$O$5:$O$304,Labor!$A$5:$A$304,A77),2))</f>
        <v>0</v>
      </c>
      <c r="S77" s="33">
        <f>IF(A77="","",IF(OR(O77="",R77="",R77=0),"",O77/R77))</f>
        <v>0</v>
      </c>
      <c r="T77" s="32">
        <f>IF(A77="","",COUNTIFS($A$5:A77,A77))</f>
        <v>0</v>
      </c>
      <c r="U77" s="13">
        <f>IF(A77="","",A77&amp;"|"&amp;T77)</f>
        <v>0</v>
      </c>
      <c r="V77" s="43">
        <f>IF(A77="","",IF(B77="Not found","Check - no such product ID",IF(OR(F77="",F77=0),"Add - how many minutes?",IF(C77="","Add - which stage?",IF(AND(G77="Per batch",H77=""),"Check - using the default batch size",IF(K77&lt;MinimumWage,"Check - below minimum wage","OK"))))))</f>
        <v>0</v>
      </c>
    </row>
    <row r="78" spans="2:22">
      <c r="B78" s="13">
        <f>IF(A78="","",IFERROR(INDEX(Products!$B$5:$B$304,MATCH(A78,Products!$A$5:$A$304,0)),"Not found"))</f>
        <v>0</v>
      </c>
      <c r="K78" s="20">
        <f>IF(A78="","",IF(E78&lt;&gt;"",E78,IF(D78="Employee",ROUND(EmployeeRate*(1+PayrollBurden),2),IF(OR(D78="Contractor",D78="Outsourced"),ROUND(ContractorRate*(1+PayrollBurden),2),LaborCostHour))))</f>
        <v>0</v>
      </c>
      <c r="L78" s="41">
        <f>IF(A78="","",IF(F78="","",ROUND(F78/60,3)))</f>
        <v>0</v>
      </c>
      <c r="M78" s="32">
        <f>IF(A78="","",IF(G78="Per batch",IF(OR(H78="",H78=0),DefaultBatchSize,H78),1))</f>
        <v>0</v>
      </c>
      <c r="N78" s="20">
        <f>IF(A78="","",IF(OR(L78="",K78=""),"",ROUND(L78*K78,2)))</f>
        <v>0</v>
      </c>
      <c r="O78" s="20">
        <f>IF(A78="","",IF(N78="","",ROUND(N78/MAX(1,M78),2)))</f>
        <v>0</v>
      </c>
      <c r="P78" s="36">
        <f>IF(A78="","",IF(F78="","",ROUND(F78/MAX(1,M78),2)))</f>
        <v>0</v>
      </c>
      <c r="Q78" s="20">
        <f>IF(A78="","",IF(L78="","",ROUND(L78/MAX(1,M78)*SuppliesPerHour,2)))</f>
        <v>0</v>
      </c>
      <c r="R78" s="20">
        <f>IF(A78="","",ROUND(SUMIFS(Labor!$O$5:$O$304,Labor!$A$5:$A$304,A78),2))</f>
        <v>0</v>
      </c>
      <c r="S78" s="33">
        <f>IF(A78="","",IF(OR(O78="",R78="",R78=0),"",O78/R78))</f>
        <v>0</v>
      </c>
      <c r="T78" s="32">
        <f>IF(A78="","",COUNTIFS($A$5:A78,A78))</f>
        <v>0</v>
      </c>
      <c r="U78" s="13">
        <f>IF(A78="","",A78&amp;"|"&amp;T78)</f>
        <v>0</v>
      </c>
      <c r="V78" s="43">
        <f>IF(A78="","",IF(B78="Not found","Check - no such product ID",IF(OR(F78="",F78=0),"Add - how many minutes?",IF(C78="","Add - which stage?",IF(AND(G78="Per batch",H78=""),"Check - using the default batch size",IF(K78&lt;MinimumWage,"Check - below minimum wage","OK"))))))</f>
        <v>0</v>
      </c>
    </row>
    <row r="79" spans="2:22">
      <c r="B79" s="13">
        <f>IF(A79="","",IFERROR(INDEX(Products!$B$5:$B$304,MATCH(A79,Products!$A$5:$A$304,0)),"Not found"))</f>
        <v>0</v>
      </c>
      <c r="K79" s="20">
        <f>IF(A79="","",IF(E79&lt;&gt;"",E79,IF(D79="Employee",ROUND(EmployeeRate*(1+PayrollBurden),2),IF(OR(D79="Contractor",D79="Outsourced"),ROUND(ContractorRate*(1+PayrollBurden),2),LaborCostHour))))</f>
        <v>0</v>
      </c>
      <c r="L79" s="41">
        <f>IF(A79="","",IF(F79="","",ROUND(F79/60,3)))</f>
        <v>0</v>
      </c>
      <c r="M79" s="32">
        <f>IF(A79="","",IF(G79="Per batch",IF(OR(H79="",H79=0),DefaultBatchSize,H79),1))</f>
        <v>0</v>
      </c>
      <c r="N79" s="20">
        <f>IF(A79="","",IF(OR(L79="",K79=""),"",ROUND(L79*K79,2)))</f>
        <v>0</v>
      </c>
      <c r="O79" s="20">
        <f>IF(A79="","",IF(N79="","",ROUND(N79/MAX(1,M79),2)))</f>
        <v>0</v>
      </c>
      <c r="P79" s="36">
        <f>IF(A79="","",IF(F79="","",ROUND(F79/MAX(1,M79),2)))</f>
        <v>0</v>
      </c>
      <c r="Q79" s="20">
        <f>IF(A79="","",IF(L79="","",ROUND(L79/MAX(1,M79)*SuppliesPerHour,2)))</f>
        <v>0</v>
      </c>
      <c r="R79" s="20">
        <f>IF(A79="","",ROUND(SUMIFS(Labor!$O$5:$O$304,Labor!$A$5:$A$304,A79),2))</f>
        <v>0</v>
      </c>
      <c r="S79" s="33">
        <f>IF(A79="","",IF(OR(O79="",R79="",R79=0),"",O79/R79))</f>
        <v>0</v>
      </c>
      <c r="T79" s="32">
        <f>IF(A79="","",COUNTIFS($A$5:A79,A79))</f>
        <v>0</v>
      </c>
      <c r="U79" s="13">
        <f>IF(A79="","",A79&amp;"|"&amp;T79)</f>
        <v>0</v>
      </c>
      <c r="V79" s="43">
        <f>IF(A79="","",IF(B79="Not found","Check - no such product ID",IF(OR(F79="",F79=0),"Add - how many minutes?",IF(C79="","Add - which stage?",IF(AND(G79="Per batch",H79=""),"Check - using the default batch size",IF(K79&lt;MinimumWage,"Check - below minimum wage","OK"))))))</f>
        <v>0</v>
      </c>
    </row>
    <row r="80" spans="2:22">
      <c r="B80" s="13">
        <f>IF(A80="","",IFERROR(INDEX(Products!$B$5:$B$304,MATCH(A80,Products!$A$5:$A$304,0)),"Not found"))</f>
        <v>0</v>
      </c>
      <c r="K80" s="20">
        <f>IF(A80="","",IF(E80&lt;&gt;"",E80,IF(D80="Employee",ROUND(EmployeeRate*(1+PayrollBurden),2),IF(OR(D80="Contractor",D80="Outsourced"),ROUND(ContractorRate*(1+PayrollBurden),2),LaborCostHour))))</f>
        <v>0</v>
      </c>
      <c r="L80" s="41">
        <f>IF(A80="","",IF(F80="","",ROUND(F80/60,3)))</f>
        <v>0</v>
      </c>
      <c r="M80" s="32">
        <f>IF(A80="","",IF(G80="Per batch",IF(OR(H80="",H80=0),DefaultBatchSize,H80),1))</f>
        <v>0</v>
      </c>
      <c r="N80" s="20">
        <f>IF(A80="","",IF(OR(L80="",K80=""),"",ROUND(L80*K80,2)))</f>
        <v>0</v>
      </c>
      <c r="O80" s="20">
        <f>IF(A80="","",IF(N80="","",ROUND(N80/MAX(1,M80),2)))</f>
        <v>0</v>
      </c>
      <c r="P80" s="36">
        <f>IF(A80="","",IF(F80="","",ROUND(F80/MAX(1,M80),2)))</f>
        <v>0</v>
      </c>
      <c r="Q80" s="20">
        <f>IF(A80="","",IF(L80="","",ROUND(L80/MAX(1,M80)*SuppliesPerHour,2)))</f>
        <v>0</v>
      </c>
      <c r="R80" s="20">
        <f>IF(A80="","",ROUND(SUMIFS(Labor!$O$5:$O$304,Labor!$A$5:$A$304,A80),2))</f>
        <v>0</v>
      </c>
      <c r="S80" s="33">
        <f>IF(A80="","",IF(OR(O80="",R80="",R80=0),"",O80/R80))</f>
        <v>0</v>
      </c>
      <c r="T80" s="32">
        <f>IF(A80="","",COUNTIFS($A$5:A80,A80))</f>
        <v>0</v>
      </c>
      <c r="U80" s="13">
        <f>IF(A80="","",A80&amp;"|"&amp;T80)</f>
        <v>0</v>
      </c>
      <c r="V80" s="43">
        <f>IF(A80="","",IF(B80="Not found","Check - no such product ID",IF(OR(F80="",F80=0),"Add - how many minutes?",IF(C80="","Add - which stage?",IF(AND(G80="Per batch",H80=""),"Check - using the default batch size",IF(K80&lt;MinimumWage,"Check - below minimum wage","OK"))))))</f>
        <v>0</v>
      </c>
    </row>
    <row r="81" spans="2:22">
      <c r="B81" s="13">
        <f>IF(A81="","",IFERROR(INDEX(Products!$B$5:$B$304,MATCH(A81,Products!$A$5:$A$304,0)),"Not found"))</f>
        <v>0</v>
      </c>
      <c r="K81" s="20">
        <f>IF(A81="","",IF(E81&lt;&gt;"",E81,IF(D81="Employee",ROUND(EmployeeRate*(1+PayrollBurden),2),IF(OR(D81="Contractor",D81="Outsourced"),ROUND(ContractorRate*(1+PayrollBurden),2),LaborCostHour))))</f>
        <v>0</v>
      </c>
      <c r="L81" s="41">
        <f>IF(A81="","",IF(F81="","",ROUND(F81/60,3)))</f>
        <v>0</v>
      </c>
      <c r="M81" s="32">
        <f>IF(A81="","",IF(G81="Per batch",IF(OR(H81="",H81=0),DefaultBatchSize,H81),1))</f>
        <v>0</v>
      </c>
      <c r="N81" s="20">
        <f>IF(A81="","",IF(OR(L81="",K81=""),"",ROUND(L81*K81,2)))</f>
        <v>0</v>
      </c>
      <c r="O81" s="20">
        <f>IF(A81="","",IF(N81="","",ROUND(N81/MAX(1,M81),2)))</f>
        <v>0</v>
      </c>
      <c r="P81" s="36">
        <f>IF(A81="","",IF(F81="","",ROUND(F81/MAX(1,M81),2)))</f>
        <v>0</v>
      </c>
      <c r="Q81" s="20">
        <f>IF(A81="","",IF(L81="","",ROUND(L81/MAX(1,M81)*SuppliesPerHour,2)))</f>
        <v>0</v>
      </c>
      <c r="R81" s="20">
        <f>IF(A81="","",ROUND(SUMIFS(Labor!$O$5:$O$304,Labor!$A$5:$A$304,A81),2))</f>
        <v>0</v>
      </c>
      <c r="S81" s="33">
        <f>IF(A81="","",IF(OR(O81="",R81="",R81=0),"",O81/R81))</f>
        <v>0</v>
      </c>
      <c r="T81" s="32">
        <f>IF(A81="","",COUNTIFS($A$5:A81,A81))</f>
        <v>0</v>
      </c>
      <c r="U81" s="13">
        <f>IF(A81="","",A81&amp;"|"&amp;T81)</f>
        <v>0</v>
      </c>
      <c r="V81" s="43">
        <f>IF(A81="","",IF(B81="Not found","Check - no such product ID",IF(OR(F81="",F81=0),"Add - how many minutes?",IF(C81="","Add - which stage?",IF(AND(G81="Per batch",H81=""),"Check - using the default batch size",IF(K81&lt;MinimumWage,"Check - below minimum wage","OK"))))))</f>
        <v>0</v>
      </c>
    </row>
    <row r="82" spans="2:22">
      <c r="B82" s="13">
        <f>IF(A82="","",IFERROR(INDEX(Products!$B$5:$B$304,MATCH(A82,Products!$A$5:$A$304,0)),"Not found"))</f>
        <v>0</v>
      </c>
      <c r="K82" s="20">
        <f>IF(A82="","",IF(E82&lt;&gt;"",E82,IF(D82="Employee",ROUND(EmployeeRate*(1+PayrollBurden),2),IF(OR(D82="Contractor",D82="Outsourced"),ROUND(ContractorRate*(1+PayrollBurden),2),LaborCostHour))))</f>
        <v>0</v>
      </c>
      <c r="L82" s="41">
        <f>IF(A82="","",IF(F82="","",ROUND(F82/60,3)))</f>
        <v>0</v>
      </c>
      <c r="M82" s="32">
        <f>IF(A82="","",IF(G82="Per batch",IF(OR(H82="",H82=0),DefaultBatchSize,H82),1))</f>
        <v>0</v>
      </c>
      <c r="N82" s="20">
        <f>IF(A82="","",IF(OR(L82="",K82=""),"",ROUND(L82*K82,2)))</f>
        <v>0</v>
      </c>
      <c r="O82" s="20">
        <f>IF(A82="","",IF(N82="","",ROUND(N82/MAX(1,M82),2)))</f>
        <v>0</v>
      </c>
      <c r="P82" s="36">
        <f>IF(A82="","",IF(F82="","",ROUND(F82/MAX(1,M82),2)))</f>
        <v>0</v>
      </c>
      <c r="Q82" s="20">
        <f>IF(A82="","",IF(L82="","",ROUND(L82/MAX(1,M82)*SuppliesPerHour,2)))</f>
        <v>0</v>
      </c>
      <c r="R82" s="20">
        <f>IF(A82="","",ROUND(SUMIFS(Labor!$O$5:$O$304,Labor!$A$5:$A$304,A82),2))</f>
        <v>0</v>
      </c>
      <c r="S82" s="33">
        <f>IF(A82="","",IF(OR(O82="",R82="",R82=0),"",O82/R82))</f>
        <v>0</v>
      </c>
      <c r="T82" s="32">
        <f>IF(A82="","",COUNTIFS($A$5:A82,A82))</f>
        <v>0</v>
      </c>
      <c r="U82" s="13">
        <f>IF(A82="","",A82&amp;"|"&amp;T82)</f>
        <v>0</v>
      </c>
      <c r="V82" s="43">
        <f>IF(A82="","",IF(B82="Not found","Check - no such product ID",IF(OR(F82="",F82=0),"Add - how many minutes?",IF(C82="","Add - which stage?",IF(AND(G82="Per batch",H82=""),"Check - using the default batch size",IF(K82&lt;MinimumWage,"Check - below minimum wage","OK"))))))</f>
        <v>0</v>
      </c>
    </row>
    <row r="83" spans="2:22">
      <c r="B83" s="13">
        <f>IF(A83="","",IFERROR(INDEX(Products!$B$5:$B$304,MATCH(A83,Products!$A$5:$A$304,0)),"Not found"))</f>
        <v>0</v>
      </c>
      <c r="K83" s="20">
        <f>IF(A83="","",IF(E83&lt;&gt;"",E83,IF(D83="Employee",ROUND(EmployeeRate*(1+PayrollBurden),2),IF(OR(D83="Contractor",D83="Outsourced"),ROUND(ContractorRate*(1+PayrollBurden),2),LaborCostHour))))</f>
        <v>0</v>
      </c>
      <c r="L83" s="41">
        <f>IF(A83="","",IF(F83="","",ROUND(F83/60,3)))</f>
        <v>0</v>
      </c>
      <c r="M83" s="32">
        <f>IF(A83="","",IF(G83="Per batch",IF(OR(H83="",H83=0),DefaultBatchSize,H83),1))</f>
        <v>0</v>
      </c>
      <c r="N83" s="20">
        <f>IF(A83="","",IF(OR(L83="",K83=""),"",ROUND(L83*K83,2)))</f>
        <v>0</v>
      </c>
      <c r="O83" s="20">
        <f>IF(A83="","",IF(N83="","",ROUND(N83/MAX(1,M83),2)))</f>
        <v>0</v>
      </c>
      <c r="P83" s="36">
        <f>IF(A83="","",IF(F83="","",ROUND(F83/MAX(1,M83),2)))</f>
        <v>0</v>
      </c>
      <c r="Q83" s="20">
        <f>IF(A83="","",IF(L83="","",ROUND(L83/MAX(1,M83)*SuppliesPerHour,2)))</f>
        <v>0</v>
      </c>
      <c r="R83" s="20">
        <f>IF(A83="","",ROUND(SUMIFS(Labor!$O$5:$O$304,Labor!$A$5:$A$304,A83),2))</f>
        <v>0</v>
      </c>
      <c r="S83" s="33">
        <f>IF(A83="","",IF(OR(O83="",R83="",R83=0),"",O83/R83))</f>
        <v>0</v>
      </c>
      <c r="T83" s="32">
        <f>IF(A83="","",COUNTIFS($A$5:A83,A83))</f>
        <v>0</v>
      </c>
      <c r="U83" s="13">
        <f>IF(A83="","",A83&amp;"|"&amp;T83)</f>
        <v>0</v>
      </c>
      <c r="V83" s="43">
        <f>IF(A83="","",IF(B83="Not found","Check - no such product ID",IF(OR(F83="",F83=0),"Add - how many minutes?",IF(C83="","Add - which stage?",IF(AND(G83="Per batch",H83=""),"Check - using the default batch size",IF(K83&lt;MinimumWage,"Check - below minimum wage","OK"))))))</f>
        <v>0</v>
      </c>
    </row>
    <row r="84" spans="2:22">
      <c r="B84" s="13">
        <f>IF(A84="","",IFERROR(INDEX(Products!$B$5:$B$304,MATCH(A84,Products!$A$5:$A$304,0)),"Not found"))</f>
        <v>0</v>
      </c>
      <c r="K84" s="20">
        <f>IF(A84="","",IF(E84&lt;&gt;"",E84,IF(D84="Employee",ROUND(EmployeeRate*(1+PayrollBurden),2),IF(OR(D84="Contractor",D84="Outsourced"),ROUND(ContractorRate*(1+PayrollBurden),2),LaborCostHour))))</f>
        <v>0</v>
      </c>
      <c r="L84" s="41">
        <f>IF(A84="","",IF(F84="","",ROUND(F84/60,3)))</f>
        <v>0</v>
      </c>
      <c r="M84" s="32">
        <f>IF(A84="","",IF(G84="Per batch",IF(OR(H84="",H84=0),DefaultBatchSize,H84),1))</f>
        <v>0</v>
      </c>
      <c r="N84" s="20">
        <f>IF(A84="","",IF(OR(L84="",K84=""),"",ROUND(L84*K84,2)))</f>
        <v>0</v>
      </c>
      <c r="O84" s="20">
        <f>IF(A84="","",IF(N84="","",ROUND(N84/MAX(1,M84),2)))</f>
        <v>0</v>
      </c>
      <c r="P84" s="36">
        <f>IF(A84="","",IF(F84="","",ROUND(F84/MAX(1,M84),2)))</f>
        <v>0</v>
      </c>
      <c r="Q84" s="20">
        <f>IF(A84="","",IF(L84="","",ROUND(L84/MAX(1,M84)*SuppliesPerHour,2)))</f>
        <v>0</v>
      </c>
      <c r="R84" s="20">
        <f>IF(A84="","",ROUND(SUMIFS(Labor!$O$5:$O$304,Labor!$A$5:$A$304,A84),2))</f>
        <v>0</v>
      </c>
      <c r="S84" s="33">
        <f>IF(A84="","",IF(OR(O84="",R84="",R84=0),"",O84/R84))</f>
        <v>0</v>
      </c>
      <c r="T84" s="32">
        <f>IF(A84="","",COUNTIFS($A$5:A84,A84))</f>
        <v>0</v>
      </c>
      <c r="U84" s="13">
        <f>IF(A84="","",A84&amp;"|"&amp;T84)</f>
        <v>0</v>
      </c>
      <c r="V84" s="43">
        <f>IF(A84="","",IF(B84="Not found","Check - no such product ID",IF(OR(F84="",F84=0),"Add - how many minutes?",IF(C84="","Add - which stage?",IF(AND(G84="Per batch",H84=""),"Check - using the default batch size",IF(K84&lt;MinimumWage,"Check - below minimum wage","OK"))))))</f>
        <v>0</v>
      </c>
    </row>
    <row r="85" spans="2:22">
      <c r="B85" s="13">
        <f>IF(A85="","",IFERROR(INDEX(Products!$B$5:$B$304,MATCH(A85,Products!$A$5:$A$304,0)),"Not found"))</f>
        <v>0</v>
      </c>
      <c r="K85" s="20">
        <f>IF(A85="","",IF(E85&lt;&gt;"",E85,IF(D85="Employee",ROUND(EmployeeRate*(1+PayrollBurden),2),IF(OR(D85="Contractor",D85="Outsourced"),ROUND(ContractorRate*(1+PayrollBurden),2),LaborCostHour))))</f>
        <v>0</v>
      </c>
      <c r="L85" s="41">
        <f>IF(A85="","",IF(F85="","",ROUND(F85/60,3)))</f>
        <v>0</v>
      </c>
      <c r="M85" s="32">
        <f>IF(A85="","",IF(G85="Per batch",IF(OR(H85="",H85=0),DefaultBatchSize,H85),1))</f>
        <v>0</v>
      </c>
      <c r="N85" s="20">
        <f>IF(A85="","",IF(OR(L85="",K85=""),"",ROUND(L85*K85,2)))</f>
        <v>0</v>
      </c>
      <c r="O85" s="20">
        <f>IF(A85="","",IF(N85="","",ROUND(N85/MAX(1,M85),2)))</f>
        <v>0</v>
      </c>
      <c r="P85" s="36">
        <f>IF(A85="","",IF(F85="","",ROUND(F85/MAX(1,M85),2)))</f>
        <v>0</v>
      </c>
      <c r="Q85" s="20">
        <f>IF(A85="","",IF(L85="","",ROUND(L85/MAX(1,M85)*SuppliesPerHour,2)))</f>
        <v>0</v>
      </c>
      <c r="R85" s="20">
        <f>IF(A85="","",ROUND(SUMIFS(Labor!$O$5:$O$304,Labor!$A$5:$A$304,A85),2))</f>
        <v>0</v>
      </c>
      <c r="S85" s="33">
        <f>IF(A85="","",IF(OR(O85="",R85="",R85=0),"",O85/R85))</f>
        <v>0</v>
      </c>
      <c r="T85" s="32">
        <f>IF(A85="","",COUNTIFS($A$5:A85,A85))</f>
        <v>0</v>
      </c>
      <c r="U85" s="13">
        <f>IF(A85="","",A85&amp;"|"&amp;T85)</f>
        <v>0</v>
      </c>
      <c r="V85" s="43">
        <f>IF(A85="","",IF(B85="Not found","Check - no such product ID",IF(OR(F85="",F85=0),"Add - how many minutes?",IF(C85="","Add - which stage?",IF(AND(G85="Per batch",H85=""),"Check - using the default batch size",IF(K85&lt;MinimumWage,"Check - below minimum wage","OK"))))))</f>
        <v>0</v>
      </c>
    </row>
    <row r="86" spans="2:22">
      <c r="B86" s="13">
        <f>IF(A86="","",IFERROR(INDEX(Products!$B$5:$B$304,MATCH(A86,Products!$A$5:$A$304,0)),"Not found"))</f>
        <v>0</v>
      </c>
      <c r="K86" s="20">
        <f>IF(A86="","",IF(E86&lt;&gt;"",E86,IF(D86="Employee",ROUND(EmployeeRate*(1+PayrollBurden),2),IF(OR(D86="Contractor",D86="Outsourced"),ROUND(ContractorRate*(1+PayrollBurden),2),LaborCostHour))))</f>
        <v>0</v>
      </c>
      <c r="L86" s="41">
        <f>IF(A86="","",IF(F86="","",ROUND(F86/60,3)))</f>
        <v>0</v>
      </c>
      <c r="M86" s="32">
        <f>IF(A86="","",IF(G86="Per batch",IF(OR(H86="",H86=0),DefaultBatchSize,H86),1))</f>
        <v>0</v>
      </c>
      <c r="N86" s="20">
        <f>IF(A86="","",IF(OR(L86="",K86=""),"",ROUND(L86*K86,2)))</f>
        <v>0</v>
      </c>
      <c r="O86" s="20">
        <f>IF(A86="","",IF(N86="","",ROUND(N86/MAX(1,M86),2)))</f>
        <v>0</v>
      </c>
      <c r="P86" s="36">
        <f>IF(A86="","",IF(F86="","",ROUND(F86/MAX(1,M86),2)))</f>
        <v>0</v>
      </c>
      <c r="Q86" s="20">
        <f>IF(A86="","",IF(L86="","",ROUND(L86/MAX(1,M86)*SuppliesPerHour,2)))</f>
        <v>0</v>
      </c>
      <c r="R86" s="20">
        <f>IF(A86="","",ROUND(SUMIFS(Labor!$O$5:$O$304,Labor!$A$5:$A$304,A86),2))</f>
        <v>0</v>
      </c>
      <c r="S86" s="33">
        <f>IF(A86="","",IF(OR(O86="",R86="",R86=0),"",O86/R86))</f>
        <v>0</v>
      </c>
      <c r="T86" s="32">
        <f>IF(A86="","",COUNTIFS($A$5:A86,A86))</f>
        <v>0</v>
      </c>
      <c r="U86" s="13">
        <f>IF(A86="","",A86&amp;"|"&amp;T86)</f>
        <v>0</v>
      </c>
      <c r="V86" s="43">
        <f>IF(A86="","",IF(B86="Not found","Check - no such product ID",IF(OR(F86="",F86=0),"Add - how many minutes?",IF(C86="","Add - which stage?",IF(AND(G86="Per batch",H86=""),"Check - using the default batch size",IF(K86&lt;MinimumWage,"Check - below minimum wage","OK"))))))</f>
        <v>0</v>
      </c>
    </row>
    <row r="87" spans="2:22">
      <c r="B87" s="13">
        <f>IF(A87="","",IFERROR(INDEX(Products!$B$5:$B$304,MATCH(A87,Products!$A$5:$A$304,0)),"Not found"))</f>
        <v>0</v>
      </c>
      <c r="K87" s="20">
        <f>IF(A87="","",IF(E87&lt;&gt;"",E87,IF(D87="Employee",ROUND(EmployeeRate*(1+PayrollBurden),2),IF(OR(D87="Contractor",D87="Outsourced"),ROUND(ContractorRate*(1+PayrollBurden),2),LaborCostHour))))</f>
        <v>0</v>
      </c>
      <c r="L87" s="41">
        <f>IF(A87="","",IF(F87="","",ROUND(F87/60,3)))</f>
        <v>0</v>
      </c>
      <c r="M87" s="32">
        <f>IF(A87="","",IF(G87="Per batch",IF(OR(H87="",H87=0),DefaultBatchSize,H87),1))</f>
        <v>0</v>
      </c>
      <c r="N87" s="20">
        <f>IF(A87="","",IF(OR(L87="",K87=""),"",ROUND(L87*K87,2)))</f>
        <v>0</v>
      </c>
      <c r="O87" s="20">
        <f>IF(A87="","",IF(N87="","",ROUND(N87/MAX(1,M87),2)))</f>
        <v>0</v>
      </c>
      <c r="P87" s="36">
        <f>IF(A87="","",IF(F87="","",ROUND(F87/MAX(1,M87),2)))</f>
        <v>0</v>
      </c>
      <c r="Q87" s="20">
        <f>IF(A87="","",IF(L87="","",ROUND(L87/MAX(1,M87)*SuppliesPerHour,2)))</f>
        <v>0</v>
      </c>
      <c r="R87" s="20">
        <f>IF(A87="","",ROUND(SUMIFS(Labor!$O$5:$O$304,Labor!$A$5:$A$304,A87),2))</f>
        <v>0</v>
      </c>
      <c r="S87" s="33">
        <f>IF(A87="","",IF(OR(O87="",R87="",R87=0),"",O87/R87))</f>
        <v>0</v>
      </c>
      <c r="T87" s="32">
        <f>IF(A87="","",COUNTIFS($A$5:A87,A87))</f>
        <v>0</v>
      </c>
      <c r="U87" s="13">
        <f>IF(A87="","",A87&amp;"|"&amp;T87)</f>
        <v>0</v>
      </c>
      <c r="V87" s="43">
        <f>IF(A87="","",IF(B87="Not found","Check - no such product ID",IF(OR(F87="",F87=0),"Add - how many minutes?",IF(C87="","Add - which stage?",IF(AND(G87="Per batch",H87=""),"Check - using the default batch size",IF(K87&lt;MinimumWage,"Check - below minimum wage","OK"))))))</f>
        <v>0</v>
      </c>
    </row>
    <row r="88" spans="2:22">
      <c r="B88" s="13">
        <f>IF(A88="","",IFERROR(INDEX(Products!$B$5:$B$304,MATCH(A88,Products!$A$5:$A$304,0)),"Not found"))</f>
        <v>0</v>
      </c>
      <c r="K88" s="20">
        <f>IF(A88="","",IF(E88&lt;&gt;"",E88,IF(D88="Employee",ROUND(EmployeeRate*(1+PayrollBurden),2),IF(OR(D88="Contractor",D88="Outsourced"),ROUND(ContractorRate*(1+PayrollBurden),2),LaborCostHour))))</f>
        <v>0</v>
      </c>
      <c r="L88" s="41">
        <f>IF(A88="","",IF(F88="","",ROUND(F88/60,3)))</f>
        <v>0</v>
      </c>
      <c r="M88" s="32">
        <f>IF(A88="","",IF(G88="Per batch",IF(OR(H88="",H88=0),DefaultBatchSize,H88),1))</f>
        <v>0</v>
      </c>
      <c r="N88" s="20">
        <f>IF(A88="","",IF(OR(L88="",K88=""),"",ROUND(L88*K88,2)))</f>
        <v>0</v>
      </c>
      <c r="O88" s="20">
        <f>IF(A88="","",IF(N88="","",ROUND(N88/MAX(1,M88),2)))</f>
        <v>0</v>
      </c>
      <c r="P88" s="36">
        <f>IF(A88="","",IF(F88="","",ROUND(F88/MAX(1,M88),2)))</f>
        <v>0</v>
      </c>
      <c r="Q88" s="20">
        <f>IF(A88="","",IF(L88="","",ROUND(L88/MAX(1,M88)*SuppliesPerHour,2)))</f>
        <v>0</v>
      </c>
      <c r="R88" s="20">
        <f>IF(A88="","",ROUND(SUMIFS(Labor!$O$5:$O$304,Labor!$A$5:$A$304,A88),2))</f>
        <v>0</v>
      </c>
      <c r="S88" s="33">
        <f>IF(A88="","",IF(OR(O88="",R88="",R88=0),"",O88/R88))</f>
        <v>0</v>
      </c>
      <c r="T88" s="32">
        <f>IF(A88="","",COUNTIFS($A$5:A88,A88))</f>
        <v>0</v>
      </c>
      <c r="U88" s="13">
        <f>IF(A88="","",A88&amp;"|"&amp;T88)</f>
        <v>0</v>
      </c>
      <c r="V88" s="43">
        <f>IF(A88="","",IF(B88="Not found","Check - no such product ID",IF(OR(F88="",F88=0),"Add - how many minutes?",IF(C88="","Add - which stage?",IF(AND(G88="Per batch",H88=""),"Check - using the default batch size",IF(K88&lt;MinimumWage,"Check - below minimum wage","OK"))))))</f>
        <v>0</v>
      </c>
    </row>
    <row r="89" spans="2:22">
      <c r="B89" s="13">
        <f>IF(A89="","",IFERROR(INDEX(Products!$B$5:$B$304,MATCH(A89,Products!$A$5:$A$304,0)),"Not found"))</f>
        <v>0</v>
      </c>
      <c r="K89" s="20">
        <f>IF(A89="","",IF(E89&lt;&gt;"",E89,IF(D89="Employee",ROUND(EmployeeRate*(1+PayrollBurden),2),IF(OR(D89="Contractor",D89="Outsourced"),ROUND(ContractorRate*(1+PayrollBurden),2),LaborCostHour))))</f>
        <v>0</v>
      </c>
      <c r="L89" s="41">
        <f>IF(A89="","",IF(F89="","",ROUND(F89/60,3)))</f>
        <v>0</v>
      </c>
      <c r="M89" s="32">
        <f>IF(A89="","",IF(G89="Per batch",IF(OR(H89="",H89=0),DefaultBatchSize,H89),1))</f>
        <v>0</v>
      </c>
      <c r="N89" s="20">
        <f>IF(A89="","",IF(OR(L89="",K89=""),"",ROUND(L89*K89,2)))</f>
        <v>0</v>
      </c>
      <c r="O89" s="20">
        <f>IF(A89="","",IF(N89="","",ROUND(N89/MAX(1,M89),2)))</f>
        <v>0</v>
      </c>
      <c r="P89" s="36">
        <f>IF(A89="","",IF(F89="","",ROUND(F89/MAX(1,M89),2)))</f>
        <v>0</v>
      </c>
      <c r="Q89" s="20">
        <f>IF(A89="","",IF(L89="","",ROUND(L89/MAX(1,M89)*SuppliesPerHour,2)))</f>
        <v>0</v>
      </c>
      <c r="R89" s="20">
        <f>IF(A89="","",ROUND(SUMIFS(Labor!$O$5:$O$304,Labor!$A$5:$A$304,A89),2))</f>
        <v>0</v>
      </c>
      <c r="S89" s="33">
        <f>IF(A89="","",IF(OR(O89="",R89="",R89=0),"",O89/R89))</f>
        <v>0</v>
      </c>
      <c r="T89" s="32">
        <f>IF(A89="","",COUNTIFS($A$5:A89,A89))</f>
        <v>0</v>
      </c>
      <c r="U89" s="13">
        <f>IF(A89="","",A89&amp;"|"&amp;T89)</f>
        <v>0</v>
      </c>
      <c r="V89" s="43">
        <f>IF(A89="","",IF(B89="Not found","Check - no such product ID",IF(OR(F89="",F89=0),"Add - how many minutes?",IF(C89="","Add - which stage?",IF(AND(G89="Per batch",H89=""),"Check - using the default batch size",IF(K89&lt;MinimumWage,"Check - below minimum wage","OK"))))))</f>
        <v>0</v>
      </c>
    </row>
    <row r="90" spans="2:22">
      <c r="B90" s="13">
        <f>IF(A90="","",IFERROR(INDEX(Products!$B$5:$B$304,MATCH(A90,Products!$A$5:$A$304,0)),"Not found"))</f>
        <v>0</v>
      </c>
      <c r="K90" s="20">
        <f>IF(A90="","",IF(E90&lt;&gt;"",E90,IF(D90="Employee",ROUND(EmployeeRate*(1+PayrollBurden),2),IF(OR(D90="Contractor",D90="Outsourced"),ROUND(ContractorRate*(1+PayrollBurden),2),LaborCostHour))))</f>
        <v>0</v>
      </c>
      <c r="L90" s="41">
        <f>IF(A90="","",IF(F90="","",ROUND(F90/60,3)))</f>
        <v>0</v>
      </c>
      <c r="M90" s="32">
        <f>IF(A90="","",IF(G90="Per batch",IF(OR(H90="",H90=0),DefaultBatchSize,H90),1))</f>
        <v>0</v>
      </c>
      <c r="N90" s="20">
        <f>IF(A90="","",IF(OR(L90="",K90=""),"",ROUND(L90*K90,2)))</f>
        <v>0</v>
      </c>
      <c r="O90" s="20">
        <f>IF(A90="","",IF(N90="","",ROUND(N90/MAX(1,M90),2)))</f>
        <v>0</v>
      </c>
      <c r="P90" s="36">
        <f>IF(A90="","",IF(F90="","",ROUND(F90/MAX(1,M90),2)))</f>
        <v>0</v>
      </c>
      <c r="Q90" s="20">
        <f>IF(A90="","",IF(L90="","",ROUND(L90/MAX(1,M90)*SuppliesPerHour,2)))</f>
        <v>0</v>
      </c>
      <c r="R90" s="20">
        <f>IF(A90="","",ROUND(SUMIFS(Labor!$O$5:$O$304,Labor!$A$5:$A$304,A90),2))</f>
        <v>0</v>
      </c>
      <c r="S90" s="33">
        <f>IF(A90="","",IF(OR(O90="",R90="",R90=0),"",O90/R90))</f>
        <v>0</v>
      </c>
      <c r="T90" s="32">
        <f>IF(A90="","",COUNTIFS($A$5:A90,A90))</f>
        <v>0</v>
      </c>
      <c r="U90" s="13">
        <f>IF(A90="","",A90&amp;"|"&amp;T90)</f>
        <v>0</v>
      </c>
      <c r="V90" s="43">
        <f>IF(A90="","",IF(B90="Not found","Check - no such product ID",IF(OR(F90="",F90=0),"Add - how many minutes?",IF(C90="","Add - which stage?",IF(AND(G90="Per batch",H90=""),"Check - using the default batch size",IF(K90&lt;MinimumWage,"Check - below minimum wage","OK"))))))</f>
        <v>0</v>
      </c>
    </row>
    <row r="91" spans="2:22">
      <c r="B91" s="13">
        <f>IF(A91="","",IFERROR(INDEX(Products!$B$5:$B$304,MATCH(A91,Products!$A$5:$A$304,0)),"Not found"))</f>
        <v>0</v>
      </c>
      <c r="K91" s="20">
        <f>IF(A91="","",IF(E91&lt;&gt;"",E91,IF(D91="Employee",ROUND(EmployeeRate*(1+PayrollBurden),2),IF(OR(D91="Contractor",D91="Outsourced"),ROUND(ContractorRate*(1+PayrollBurden),2),LaborCostHour))))</f>
        <v>0</v>
      </c>
      <c r="L91" s="41">
        <f>IF(A91="","",IF(F91="","",ROUND(F91/60,3)))</f>
        <v>0</v>
      </c>
      <c r="M91" s="32">
        <f>IF(A91="","",IF(G91="Per batch",IF(OR(H91="",H91=0),DefaultBatchSize,H91),1))</f>
        <v>0</v>
      </c>
      <c r="N91" s="20">
        <f>IF(A91="","",IF(OR(L91="",K91=""),"",ROUND(L91*K91,2)))</f>
        <v>0</v>
      </c>
      <c r="O91" s="20">
        <f>IF(A91="","",IF(N91="","",ROUND(N91/MAX(1,M91),2)))</f>
        <v>0</v>
      </c>
      <c r="P91" s="36">
        <f>IF(A91="","",IF(F91="","",ROUND(F91/MAX(1,M91),2)))</f>
        <v>0</v>
      </c>
      <c r="Q91" s="20">
        <f>IF(A91="","",IF(L91="","",ROUND(L91/MAX(1,M91)*SuppliesPerHour,2)))</f>
        <v>0</v>
      </c>
      <c r="R91" s="20">
        <f>IF(A91="","",ROUND(SUMIFS(Labor!$O$5:$O$304,Labor!$A$5:$A$304,A91),2))</f>
        <v>0</v>
      </c>
      <c r="S91" s="33">
        <f>IF(A91="","",IF(OR(O91="",R91="",R91=0),"",O91/R91))</f>
        <v>0</v>
      </c>
      <c r="T91" s="32">
        <f>IF(A91="","",COUNTIFS($A$5:A91,A91))</f>
        <v>0</v>
      </c>
      <c r="U91" s="13">
        <f>IF(A91="","",A91&amp;"|"&amp;T91)</f>
        <v>0</v>
      </c>
      <c r="V91" s="43">
        <f>IF(A91="","",IF(B91="Not found","Check - no such product ID",IF(OR(F91="",F91=0),"Add - how many minutes?",IF(C91="","Add - which stage?",IF(AND(G91="Per batch",H91=""),"Check - using the default batch size",IF(K91&lt;MinimumWage,"Check - below minimum wage","OK"))))))</f>
        <v>0</v>
      </c>
    </row>
    <row r="92" spans="2:22">
      <c r="B92" s="13">
        <f>IF(A92="","",IFERROR(INDEX(Products!$B$5:$B$304,MATCH(A92,Products!$A$5:$A$304,0)),"Not found"))</f>
        <v>0</v>
      </c>
      <c r="K92" s="20">
        <f>IF(A92="","",IF(E92&lt;&gt;"",E92,IF(D92="Employee",ROUND(EmployeeRate*(1+PayrollBurden),2),IF(OR(D92="Contractor",D92="Outsourced"),ROUND(ContractorRate*(1+PayrollBurden),2),LaborCostHour))))</f>
        <v>0</v>
      </c>
      <c r="L92" s="41">
        <f>IF(A92="","",IF(F92="","",ROUND(F92/60,3)))</f>
        <v>0</v>
      </c>
      <c r="M92" s="32">
        <f>IF(A92="","",IF(G92="Per batch",IF(OR(H92="",H92=0),DefaultBatchSize,H92),1))</f>
        <v>0</v>
      </c>
      <c r="N92" s="20">
        <f>IF(A92="","",IF(OR(L92="",K92=""),"",ROUND(L92*K92,2)))</f>
        <v>0</v>
      </c>
      <c r="O92" s="20">
        <f>IF(A92="","",IF(N92="","",ROUND(N92/MAX(1,M92),2)))</f>
        <v>0</v>
      </c>
      <c r="P92" s="36">
        <f>IF(A92="","",IF(F92="","",ROUND(F92/MAX(1,M92),2)))</f>
        <v>0</v>
      </c>
      <c r="Q92" s="20">
        <f>IF(A92="","",IF(L92="","",ROUND(L92/MAX(1,M92)*SuppliesPerHour,2)))</f>
        <v>0</v>
      </c>
      <c r="R92" s="20">
        <f>IF(A92="","",ROUND(SUMIFS(Labor!$O$5:$O$304,Labor!$A$5:$A$304,A92),2))</f>
        <v>0</v>
      </c>
      <c r="S92" s="33">
        <f>IF(A92="","",IF(OR(O92="",R92="",R92=0),"",O92/R92))</f>
        <v>0</v>
      </c>
      <c r="T92" s="32">
        <f>IF(A92="","",COUNTIFS($A$5:A92,A92))</f>
        <v>0</v>
      </c>
      <c r="U92" s="13">
        <f>IF(A92="","",A92&amp;"|"&amp;T92)</f>
        <v>0</v>
      </c>
      <c r="V92" s="43">
        <f>IF(A92="","",IF(B92="Not found","Check - no such product ID",IF(OR(F92="",F92=0),"Add - how many minutes?",IF(C92="","Add - which stage?",IF(AND(G92="Per batch",H92=""),"Check - using the default batch size",IF(K92&lt;MinimumWage,"Check - below minimum wage","OK"))))))</f>
        <v>0</v>
      </c>
    </row>
    <row r="93" spans="2:22">
      <c r="B93" s="13">
        <f>IF(A93="","",IFERROR(INDEX(Products!$B$5:$B$304,MATCH(A93,Products!$A$5:$A$304,0)),"Not found"))</f>
        <v>0</v>
      </c>
      <c r="K93" s="20">
        <f>IF(A93="","",IF(E93&lt;&gt;"",E93,IF(D93="Employee",ROUND(EmployeeRate*(1+PayrollBurden),2),IF(OR(D93="Contractor",D93="Outsourced"),ROUND(ContractorRate*(1+PayrollBurden),2),LaborCostHour))))</f>
        <v>0</v>
      </c>
      <c r="L93" s="41">
        <f>IF(A93="","",IF(F93="","",ROUND(F93/60,3)))</f>
        <v>0</v>
      </c>
      <c r="M93" s="32">
        <f>IF(A93="","",IF(G93="Per batch",IF(OR(H93="",H93=0),DefaultBatchSize,H93),1))</f>
        <v>0</v>
      </c>
      <c r="N93" s="20">
        <f>IF(A93="","",IF(OR(L93="",K93=""),"",ROUND(L93*K93,2)))</f>
        <v>0</v>
      </c>
      <c r="O93" s="20">
        <f>IF(A93="","",IF(N93="","",ROUND(N93/MAX(1,M93),2)))</f>
        <v>0</v>
      </c>
      <c r="P93" s="36">
        <f>IF(A93="","",IF(F93="","",ROUND(F93/MAX(1,M93),2)))</f>
        <v>0</v>
      </c>
      <c r="Q93" s="20">
        <f>IF(A93="","",IF(L93="","",ROUND(L93/MAX(1,M93)*SuppliesPerHour,2)))</f>
        <v>0</v>
      </c>
      <c r="R93" s="20">
        <f>IF(A93="","",ROUND(SUMIFS(Labor!$O$5:$O$304,Labor!$A$5:$A$304,A93),2))</f>
        <v>0</v>
      </c>
      <c r="S93" s="33">
        <f>IF(A93="","",IF(OR(O93="",R93="",R93=0),"",O93/R93))</f>
        <v>0</v>
      </c>
      <c r="T93" s="32">
        <f>IF(A93="","",COUNTIFS($A$5:A93,A93))</f>
        <v>0</v>
      </c>
      <c r="U93" s="13">
        <f>IF(A93="","",A93&amp;"|"&amp;T93)</f>
        <v>0</v>
      </c>
      <c r="V93" s="43">
        <f>IF(A93="","",IF(B93="Not found","Check - no such product ID",IF(OR(F93="",F93=0),"Add - how many minutes?",IF(C93="","Add - which stage?",IF(AND(G93="Per batch",H93=""),"Check - using the default batch size",IF(K93&lt;MinimumWage,"Check - below minimum wage","OK"))))))</f>
        <v>0</v>
      </c>
    </row>
    <row r="94" spans="2:22">
      <c r="B94" s="13">
        <f>IF(A94="","",IFERROR(INDEX(Products!$B$5:$B$304,MATCH(A94,Products!$A$5:$A$304,0)),"Not found"))</f>
        <v>0</v>
      </c>
      <c r="K94" s="20">
        <f>IF(A94="","",IF(E94&lt;&gt;"",E94,IF(D94="Employee",ROUND(EmployeeRate*(1+PayrollBurden),2),IF(OR(D94="Contractor",D94="Outsourced"),ROUND(ContractorRate*(1+PayrollBurden),2),LaborCostHour))))</f>
        <v>0</v>
      </c>
      <c r="L94" s="41">
        <f>IF(A94="","",IF(F94="","",ROUND(F94/60,3)))</f>
        <v>0</v>
      </c>
      <c r="M94" s="32">
        <f>IF(A94="","",IF(G94="Per batch",IF(OR(H94="",H94=0),DefaultBatchSize,H94),1))</f>
        <v>0</v>
      </c>
      <c r="N94" s="20">
        <f>IF(A94="","",IF(OR(L94="",K94=""),"",ROUND(L94*K94,2)))</f>
        <v>0</v>
      </c>
      <c r="O94" s="20">
        <f>IF(A94="","",IF(N94="","",ROUND(N94/MAX(1,M94),2)))</f>
        <v>0</v>
      </c>
      <c r="P94" s="36">
        <f>IF(A94="","",IF(F94="","",ROUND(F94/MAX(1,M94),2)))</f>
        <v>0</v>
      </c>
      <c r="Q94" s="20">
        <f>IF(A94="","",IF(L94="","",ROUND(L94/MAX(1,M94)*SuppliesPerHour,2)))</f>
        <v>0</v>
      </c>
      <c r="R94" s="20">
        <f>IF(A94="","",ROUND(SUMIFS(Labor!$O$5:$O$304,Labor!$A$5:$A$304,A94),2))</f>
        <v>0</v>
      </c>
      <c r="S94" s="33">
        <f>IF(A94="","",IF(OR(O94="",R94="",R94=0),"",O94/R94))</f>
        <v>0</v>
      </c>
      <c r="T94" s="32">
        <f>IF(A94="","",COUNTIFS($A$5:A94,A94))</f>
        <v>0</v>
      </c>
      <c r="U94" s="13">
        <f>IF(A94="","",A94&amp;"|"&amp;T94)</f>
        <v>0</v>
      </c>
      <c r="V94" s="43">
        <f>IF(A94="","",IF(B94="Not found","Check - no such product ID",IF(OR(F94="",F94=0),"Add - how many minutes?",IF(C94="","Add - which stage?",IF(AND(G94="Per batch",H94=""),"Check - using the default batch size",IF(K94&lt;MinimumWage,"Check - below minimum wage","OK"))))))</f>
        <v>0</v>
      </c>
    </row>
    <row r="95" spans="2:22">
      <c r="B95" s="13">
        <f>IF(A95="","",IFERROR(INDEX(Products!$B$5:$B$304,MATCH(A95,Products!$A$5:$A$304,0)),"Not found"))</f>
        <v>0</v>
      </c>
      <c r="K95" s="20">
        <f>IF(A95="","",IF(E95&lt;&gt;"",E95,IF(D95="Employee",ROUND(EmployeeRate*(1+PayrollBurden),2),IF(OR(D95="Contractor",D95="Outsourced"),ROUND(ContractorRate*(1+PayrollBurden),2),LaborCostHour))))</f>
        <v>0</v>
      </c>
      <c r="L95" s="41">
        <f>IF(A95="","",IF(F95="","",ROUND(F95/60,3)))</f>
        <v>0</v>
      </c>
      <c r="M95" s="32">
        <f>IF(A95="","",IF(G95="Per batch",IF(OR(H95="",H95=0),DefaultBatchSize,H95),1))</f>
        <v>0</v>
      </c>
      <c r="N95" s="20">
        <f>IF(A95="","",IF(OR(L95="",K95=""),"",ROUND(L95*K95,2)))</f>
        <v>0</v>
      </c>
      <c r="O95" s="20">
        <f>IF(A95="","",IF(N95="","",ROUND(N95/MAX(1,M95),2)))</f>
        <v>0</v>
      </c>
      <c r="P95" s="36">
        <f>IF(A95="","",IF(F95="","",ROUND(F95/MAX(1,M95),2)))</f>
        <v>0</v>
      </c>
      <c r="Q95" s="20">
        <f>IF(A95="","",IF(L95="","",ROUND(L95/MAX(1,M95)*SuppliesPerHour,2)))</f>
        <v>0</v>
      </c>
      <c r="R95" s="20">
        <f>IF(A95="","",ROUND(SUMIFS(Labor!$O$5:$O$304,Labor!$A$5:$A$304,A95),2))</f>
        <v>0</v>
      </c>
      <c r="S95" s="33">
        <f>IF(A95="","",IF(OR(O95="",R95="",R95=0),"",O95/R95))</f>
        <v>0</v>
      </c>
      <c r="T95" s="32">
        <f>IF(A95="","",COUNTIFS($A$5:A95,A95))</f>
        <v>0</v>
      </c>
      <c r="U95" s="13">
        <f>IF(A95="","",A95&amp;"|"&amp;T95)</f>
        <v>0</v>
      </c>
      <c r="V95" s="43">
        <f>IF(A95="","",IF(B95="Not found","Check - no such product ID",IF(OR(F95="",F95=0),"Add - how many minutes?",IF(C95="","Add - which stage?",IF(AND(G95="Per batch",H95=""),"Check - using the default batch size",IF(K95&lt;MinimumWage,"Check - below minimum wage","OK"))))))</f>
        <v>0</v>
      </c>
    </row>
    <row r="96" spans="2:22">
      <c r="B96" s="13">
        <f>IF(A96="","",IFERROR(INDEX(Products!$B$5:$B$304,MATCH(A96,Products!$A$5:$A$304,0)),"Not found"))</f>
        <v>0</v>
      </c>
      <c r="K96" s="20">
        <f>IF(A96="","",IF(E96&lt;&gt;"",E96,IF(D96="Employee",ROUND(EmployeeRate*(1+PayrollBurden),2),IF(OR(D96="Contractor",D96="Outsourced"),ROUND(ContractorRate*(1+PayrollBurden),2),LaborCostHour))))</f>
        <v>0</v>
      </c>
      <c r="L96" s="41">
        <f>IF(A96="","",IF(F96="","",ROUND(F96/60,3)))</f>
        <v>0</v>
      </c>
      <c r="M96" s="32">
        <f>IF(A96="","",IF(G96="Per batch",IF(OR(H96="",H96=0),DefaultBatchSize,H96),1))</f>
        <v>0</v>
      </c>
      <c r="N96" s="20">
        <f>IF(A96="","",IF(OR(L96="",K96=""),"",ROUND(L96*K96,2)))</f>
        <v>0</v>
      </c>
      <c r="O96" s="20">
        <f>IF(A96="","",IF(N96="","",ROUND(N96/MAX(1,M96),2)))</f>
        <v>0</v>
      </c>
      <c r="P96" s="36">
        <f>IF(A96="","",IF(F96="","",ROUND(F96/MAX(1,M96),2)))</f>
        <v>0</v>
      </c>
      <c r="Q96" s="20">
        <f>IF(A96="","",IF(L96="","",ROUND(L96/MAX(1,M96)*SuppliesPerHour,2)))</f>
        <v>0</v>
      </c>
      <c r="R96" s="20">
        <f>IF(A96="","",ROUND(SUMIFS(Labor!$O$5:$O$304,Labor!$A$5:$A$304,A96),2))</f>
        <v>0</v>
      </c>
      <c r="S96" s="33">
        <f>IF(A96="","",IF(OR(O96="",R96="",R96=0),"",O96/R96))</f>
        <v>0</v>
      </c>
      <c r="T96" s="32">
        <f>IF(A96="","",COUNTIFS($A$5:A96,A96))</f>
        <v>0</v>
      </c>
      <c r="U96" s="13">
        <f>IF(A96="","",A96&amp;"|"&amp;T96)</f>
        <v>0</v>
      </c>
      <c r="V96" s="43">
        <f>IF(A96="","",IF(B96="Not found","Check - no such product ID",IF(OR(F96="",F96=0),"Add - how many minutes?",IF(C96="","Add - which stage?",IF(AND(G96="Per batch",H96=""),"Check - using the default batch size",IF(K96&lt;MinimumWage,"Check - below minimum wage","OK"))))))</f>
        <v>0</v>
      </c>
    </row>
    <row r="97" spans="2:22">
      <c r="B97" s="13">
        <f>IF(A97="","",IFERROR(INDEX(Products!$B$5:$B$304,MATCH(A97,Products!$A$5:$A$304,0)),"Not found"))</f>
        <v>0</v>
      </c>
      <c r="K97" s="20">
        <f>IF(A97="","",IF(E97&lt;&gt;"",E97,IF(D97="Employee",ROUND(EmployeeRate*(1+PayrollBurden),2),IF(OR(D97="Contractor",D97="Outsourced"),ROUND(ContractorRate*(1+PayrollBurden),2),LaborCostHour))))</f>
        <v>0</v>
      </c>
      <c r="L97" s="41">
        <f>IF(A97="","",IF(F97="","",ROUND(F97/60,3)))</f>
        <v>0</v>
      </c>
      <c r="M97" s="32">
        <f>IF(A97="","",IF(G97="Per batch",IF(OR(H97="",H97=0),DefaultBatchSize,H97),1))</f>
        <v>0</v>
      </c>
      <c r="N97" s="20">
        <f>IF(A97="","",IF(OR(L97="",K97=""),"",ROUND(L97*K97,2)))</f>
        <v>0</v>
      </c>
      <c r="O97" s="20">
        <f>IF(A97="","",IF(N97="","",ROUND(N97/MAX(1,M97),2)))</f>
        <v>0</v>
      </c>
      <c r="P97" s="36">
        <f>IF(A97="","",IF(F97="","",ROUND(F97/MAX(1,M97),2)))</f>
        <v>0</v>
      </c>
      <c r="Q97" s="20">
        <f>IF(A97="","",IF(L97="","",ROUND(L97/MAX(1,M97)*SuppliesPerHour,2)))</f>
        <v>0</v>
      </c>
      <c r="R97" s="20">
        <f>IF(A97="","",ROUND(SUMIFS(Labor!$O$5:$O$304,Labor!$A$5:$A$304,A97),2))</f>
        <v>0</v>
      </c>
      <c r="S97" s="33">
        <f>IF(A97="","",IF(OR(O97="",R97="",R97=0),"",O97/R97))</f>
        <v>0</v>
      </c>
      <c r="T97" s="32">
        <f>IF(A97="","",COUNTIFS($A$5:A97,A97))</f>
        <v>0</v>
      </c>
      <c r="U97" s="13">
        <f>IF(A97="","",A97&amp;"|"&amp;T97)</f>
        <v>0</v>
      </c>
      <c r="V97" s="43">
        <f>IF(A97="","",IF(B97="Not found","Check - no such product ID",IF(OR(F97="",F97=0),"Add - how many minutes?",IF(C97="","Add - which stage?",IF(AND(G97="Per batch",H97=""),"Check - using the default batch size",IF(K97&lt;MinimumWage,"Check - below minimum wage","OK"))))))</f>
        <v>0</v>
      </c>
    </row>
    <row r="98" spans="2:22">
      <c r="B98" s="13">
        <f>IF(A98="","",IFERROR(INDEX(Products!$B$5:$B$304,MATCH(A98,Products!$A$5:$A$304,0)),"Not found"))</f>
        <v>0</v>
      </c>
      <c r="K98" s="20">
        <f>IF(A98="","",IF(E98&lt;&gt;"",E98,IF(D98="Employee",ROUND(EmployeeRate*(1+PayrollBurden),2),IF(OR(D98="Contractor",D98="Outsourced"),ROUND(ContractorRate*(1+PayrollBurden),2),LaborCostHour))))</f>
        <v>0</v>
      </c>
      <c r="L98" s="41">
        <f>IF(A98="","",IF(F98="","",ROUND(F98/60,3)))</f>
        <v>0</v>
      </c>
      <c r="M98" s="32">
        <f>IF(A98="","",IF(G98="Per batch",IF(OR(H98="",H98=0),DefaultBatchSize,H98),1))</f>
        <v>0</v>
      </c>
      <c r="N98" s="20">
        <f>IF(A98="","",IF(OR(L98="",K98=""),"",ROUND(L98*K98,2)))</f>
        <v>0</v>
      </c>
      <c r="O98" s="20">
        <f>IF(A98="","",IF(N98="","",ROUND(N98/MAX(1,M98),2)))</f>
        <v>0</v>
      </c>
      <c r="P98" s="36">
        <f>IF(A98="","",IF(F98="","",ROUND(F98/MAX(1,M98),2)))</f>
        <v>0</v>
      </c>
      <c r="Q98" s="20">
        <f>IF(A98="","",IF(L98="","",ROUND(L98/MAX(1,M98)*SuppliesPerHour,2)))</f>
        <v>0</v>
      </c>
      <c r="R98" s="20">
        <f>IF(A98="","",ROUND(SUMIFS(Labor!$O$5:$O$304,Labor!$A$5:$A$304,A98),2))</f>
        <v>0</v>
      </c>
      <c r="S98" s="33">
        <f>IF(A98="","",IF(OR(O98="",R98="",R98=0),"",O98/R98))</f>
        <v>0</v>
      </c>
      <c r="T98" s="32">
        <f>IF(A98="","",COUNTIFS($A$5:A98,A98))</f>
        <v>0</v>
      </c>
      <c r="U98" s="13">
        <f>IF(A98="","",A98&amp;"|"&amp;T98)</f>
        <v>0</v>
      </c>
      <c r="V98" s="43">
        <f>IF(A98="","",IF(B98="Not found","Check - no such product ID",IF(OR(F98="",F98=0),"Add - how many minutes?",IF(C98="","Add - which stage?",IF(AND(G98="Per batch",H98=""),"Check - using the default batch size",IF(K98&lt;MinimumWage,"Check - below minimum wage","OK"))))))</f>
        <v>0</v>
      </c>
    </row>
    <row r="99" spans="2:22">
      <c r="B99" s="13">
        <f>IF(A99="","",IFERROR(INDEX(Products!$B$5:$B$304,MATCH(A99,Products!$A$5:$A$304,0)),"Not found"))</f>
        <v>0</v>
      </c>
      <c r="K99" s="20">
        <f>IF(A99="","",IF(E99&lt;&gt;"",E99,IF(D99="Employee",ROUND(EmployeeRate*(1+PayrollBurden),2),IF(OR(D99="Contractor",D99="Outsourced"),ROUND(ContractorRate*(1+PayrollBurden),2),LaborCostHour))))</f>
        <v>0</v>
      </c>
      <c r="L99" s="41">
        <f>IF(A99="","",IF(F99="","",ROUND(F99/60,3)))</f>
        <v>0</v>
      </c>
      <c r="M99" s="32">
        <f>IF(A99="","",IF(G99="Per batch",IF(OR(H99="",H99=0),DefaultBatchSize,H99),1))</f>
        <v>0</v>
      </c>
      <c r="N99" s="20">
        <f>IF(A99="","",IF(OR(L99="",K99=""),"",ROUND(L99*K99,2)))</f>
        <v>0</v>
      </c>
      <c r="O99" s="20">
        <f>IF(A99="","",IF(N99="","",ROUND(N99/MAX(1,M99),2)))</f>
        <v>0</v>
      </c>
      <c r="P99" s="36">
        <f>IF(A99="","",IF(F99="","",ROUND(F99/MAX(1,M99),2)))</f>
        <v>0</v>
      </c>
      <c r="Q99" s="20">
        <f>IF(A99="","",IF(L99="","",ROUND(L99/MAX(1,M99)*SuppliesPerHour,2)))</f>
        <v>0</v>
      </c>
      <c r="R99" s="20">
        <f>IF(A99="","",ROUND(SUMIFS(Labor!$O$5:$O$304,Labor!$A$5:$A$304,A99),2))</f>
        <v>0</v>
      </c>
      <c r="S99" s="33">
        <f>IF(A99="","",IF(OR(O99="",R99="",R99=0),"",O99/R99))</f>
        <v>0</v>
      </c>
      <c r="T99" s="32">
        <f>IF(A99="","",COUNTIFS($A$5:A99,A99))</f>
        <v>0</v>
      </c>
      <c r="U99" s="13">
        <f>IF(A99="","",A99&amp;"|"&amp;T99)</f>
        <v>0</v>
      </c>
      <c r="V99" s="43">
        <f>IF(A99="","",IF(B99="Not found","Check - no such product ID",IF(OR(F99="",F99=0),"Add - how many minutes?",IF(C99="","Add - which stage?",IF(AND(G99="Per batch",H99=""),"Check - using the default batch size",IF(K99&lt;MinimumWage,"Check - below minimum wage","OK"))))))</f>
        <v>0</v>
      </c>
    </row>
    <row r="100" spans="2:22">
      <c r="B100" s="13">
        <f>IF(A100="","",IFERROR(INDEX(Products!$B$5:$B$304,MATCH(A100,Products!$A$5:$A$304,0)),"Not found"))</f>
        <v>0</v>
      </c>
      <c r="K100" s="20">
        <f>IF(A100="","",IF(E100&lt;&gt;"",E100,IF(D100="Employee",ROUND(EmployeeRate*(1+PayrollBurden),2),IF(OR(D100="Contractor",D100="Outsourced"),ROUND(ContractorRate*(1+PayrollBurden),2),LaborCostHour))))</f>
        <v>0</v>
      </c>
      <c r="L100" s="41">
        <f>IF(A100="","",IF(F100="","",ROUND(F100/60,3)))</f>
        <v>0</v>
      </c>
      <c r="M100" s="32">
        <f>IF(A100="","",IF(G100="Per batch",IF(OR(H100="",H100=0),DefaultBatchSize,H100),1))</f>
        <v>0</v>
      </c>
      <c r="N100" s="20">
        <f>IF(A100="","",IF(OR(L100="",K100=""),"",ROUND(L100*K100,2)))</f>
        <v>0</v>
      </c>
      <c r="O100" s="20">
        <f>IF(A100="","",IF(N100="","",ROUND(N100/MAX(1,M100),2)))</f>
        <v>0</v>
      </c>
      <c r="P100" s="36">
        <f>IF(A100="","",IF(F100="","",ROUND(F100/MAX(1,M100),2)))</f>
        <v>0</v>
      </c>
      <c r="Q100" s="20">
        <f>IF(A100="","",IF(L100="","",ROUND(L100/MAX(1,M100)*SuppliesPerHour,2)))</f>
        <v>0</v>
      </c>
      <c r="R100" s="20">
        <f>IF(A100="","",ROUND(SUMIFS(Labor!$O$5:$O$304,Labor!$A$5:$A$304,A100),2))</f>
        <v>0</v>
      </c>
      <c r="S100" s="33">
        <f>IF(A100="","",IF(OR(O100="",R100="",R100=0),"",O100/R100))</f>
        <v>0</v>
      </c>
      <c r="T100" s="32">
        <f>IF(A100="","",COUNTIFS($A$5:A100,A100))</f>
        <v>0</v>
      </c>
      <c r="U100" s="13">
        <f>IF(A100="","",A100&amp;"|"&amp;T100)</f>
        <v>0</v>
      </c>
      <c r="V100" s="43">
        <f>IF(A100="","",IF(B100="Not found","Check - no such product ID",IF(OR(F100="",F100=0),"Add - how many minutes?",IF(C100="","Add - which stage?",IF(AND(G100="Per batch",H100=""),"Check - using the default batch size",IF(K100&lt;MinimumWage,"Check - below minimum wage","OK"))))))</f>
        <v>0</v>
      </c>
    </row>
    <row r="101" spans="2:22">
      <c r="B101" s="13">
        <f>IF(A101="","",IFERROR(INDEX(Products!$B$5:$B$304,MATCH(A101,Products!$A$5:$A$304,0)),"Not found"))</f>
        <v>0</v>
      </c>
      <c r="K101" s="20">
        <f>IF(A101="","",IF(E101&lt;&gt;"",E101,IF(D101="Employee",ROUND(EmployeeRate*(1+PayrollBurden),2),IF(OR(D101="Contractor",D101="Outsourced"),ROUND(ContractorRate*(1+PayrollBurden),2),LaborCostHour))))</f>
        <v>0</v>
      </c>
      <c r="L101" s="41">
        <f>IF(A101="","",IF(F101="","",ROUND(F101/60,3)))</f>
        <v>0</v>
      </c>
      <c r="M101" s="32">
        <f>IF(A101="","",IF(G101="Per batch",IF(OR(H101="",H101=0),DefaultBatchSize,H101),1))</f>
        <v>0</v>
      </c>
      <c r="N101" s="20">
        <f>IF(A101="","",IF(OR(L101="",K101=""),"",ROUND(L101*K101,2)))</f>
        <v>0</v>
      </c>
      <c r="O101" s="20">
        <f>IF(A101="","",IF(N101="","",ROUND(N101/MAX(1,M101),2)))</f>
        <v>0</v>
      </c>
      <c r="P101" s="36">
        <f>IF(A101="","",IF(F101="","",ROUND(F101/MAX(1,M101),2)))</f>
        <v>0</v>
      </c>
      <c r="Q101" s="20">
        <f>IF(A101="","",IF(L101="","",ROUND(L101/MAX(1,M101)*SuppliesPerHour,2)))</f>
        <v>0</v>
      </c>
      <c r="R101" s="20">
        <f>IF(A101="","",ROUND(SUMIFS(Labor!$O$5:$O$304,Labor!$A$5:$A$304,A101),2))</f>
        <v>0</v>
      </c>
      <c r="S101" s="33">
        <f>IF(A101="","",IF(OR(O101="",R101="",R101=0),"",O101/R101))</f>
        <v>0</v>
      </c>
      <c r="T101" s="32">
        <f>IF(A101="","",COUNTIFS($A$5:A101,A101))</f>
        <v>0</v>
      </c>
      <c r="U101" s="13">
        <f>IF(A101="","",A101&amp;"|"&amp;T101)</f>
        <v>0</v>
      </c>
      <c r="V101" s="43">
        <f>IF(A101="","",IF(B101="Not found","Check - no such product ID",IF(OR(F101="",F101=0),"Add - how many minutes?",IF(C101="","Add - which stage?",IF(AND(G101="Per batch",H101=""),"Check - using the default batch size",IF(K101&lt;MinimumWage,"Check - below minimum wage","OK"))))))</f>
        <v>0</v>
      </c>
    </row>
    <row r="102" spans="2:22">
      <c r="B102" s="13">
        <f>IF(A102="","",IFERROR(INDEX(Products!$B$5:$B$304,MATCH(A102,Products!$A$5:$A$304,0)),"Not found"))</f>
        <v>0</v>
      </c>
      <c r="K102" s="20">
        <f>IF(A102="","",IF(E102&lt;&gt;"",E102,IF(D102="Employee",ROUND(EmployeeRate*(1+PayrollBurden),2),IF(OR(D102="Contractor",D102="Outsourced"),ROUND(ContractorRate*(1+PayrollBurden),2),LaborCostHour))))</f>
        <v>0</v>
      </c>
      <c r="L102" s="41">
        <f>IF(A102="","",IF(F102="","",ROUND(F102/60,3)))</f>
        <v>0</v>
      </c>
      <c r="M102" s="32">
        <f>IF(A102="","",IF(G102="Per batch",IF(OR(H102="",H102=0),DefaultBatchSize,H102),1))</f>
        <v>0</v>
      </c>
      <c r="N102" s="20">
        <f>IF(A102="","",IF(OR(L102="",K102=""),"",ROUND(L102*K102,2)))</f>
        <v>0</v>
      </c>
      <c r="O102" s="20">
        <f>IF(A102="","",IF(N102="","",ROUND(N102/MAX(1,M102),2)))</f>
        <v>0</v>
      </c>
      <c r="P102" s="36">
        <f>IF(A102="","",IF(F102="","",ROUND(F102/MAX(1,M102),2)))</f>
        <v>0</v>
      </c>
      <c r="Q102" s="20">
        <f>IF(A102="","",IF(L102="","",ROUND(L102/MAX(1,M102)*SuppliesPerHour,2)))</f>
        <v>0</v>
      </c>
      <c r="R102" s="20">
        <f>IF(A102="","",ROUND(SUMIFS(Labor!$O$5:$O$304,Labor!$A$5:$A$304,A102),2))</f>
        <v>0</v>
      </c>
      <c r="S102" s="33">
        <f>IF(A102="","",IF(OR(O102="",R102="",R102=0),"",O102/R102))</f>
        <v>0</v>
      </c>
      <c r="T102" s="32">
        <f>IF(A102="","",COUNTIFS($A$5:A102,A102))</f>
        <v>0</v>
      </c>
      <c r="U102" s="13">
        <f>IF(A102="","",A102&amp;"|"&amp;T102)</f>
        <v>0</v>
      </c>
      <c r="V102" s="43">
        <f>IF(A102="","",IF(B102="Not found","Check - no such product ID",IF(OR(F102="",F102=0),"Add - how many minutes?",IF(C102="","Add - which stage?",IF(AND(G102="Per batch",H102=""),"Check - using the default batch size",IF(K102&lt;MinimumWage,"Check - below minimum wage","OK"))))))</f>
        <v>0</v>
      </c>
    </row>
    <row r="103" spans="2:22">
      <c r="B103" s="13">
        <f>IF(A103="","",IFERROR(INDEX(Products!$B$5:$B$304,MATCH(A103,Products!$A$5:$A$304,0)),"Not found"))</f>
        <v>0</v>
      </c>
      <c r="K103" s="20">
        <f>IF(A103="","",IF(E103&lt;&gt;"",E103,IF(D103="Employee",ROUND(EmployeeRate*(1+PayrollBurden),2),IF(OR(D103="Contractor",D103="Outsourced"),ROUND(ContractorRate*(1+PayrollBurden),2),LaborCostHour))))</f>
        <v>0</v>
      </c>
      <c r="L103" s="41">
        <f>IF(A103="","",IF(F103="","",ROUND(F103/60,3)))</f>
        <v>0</v>
      </c>
      <c r="M103" s="32">
        <f>IF(A103="","",IF(G103="Per batch",IF(OR(H103="",H103=0),DefaultBatchSize,H103),1))</f>
        <v>0</v>
      </c>
      <c r="N103" s="20">
        <f>IF(A103="","",IF(OR(L103="",K103=""),"",ROUND(L103*K103,2)))</f>
        <v>0</v>
      </c>
      <c r="O103" s="20">
        <f>IF(A103="","",IF(N103="","",ROUND(N103/MAX(1,M103),2)))</f>
        <v>0</v>
      </c>
      <c r="P103" s="36">
        <f>IF(A103="","",IF(F103="","",ROUND(F103/MAX(1,M103),2)))</f>
        <v>0</v>
      </c>
      <c r="Q103" s="20">
        <f>IF(A103="","",IF(L103="","",ROUND(L103/MAX(1,M103)*SuppliesPerHour,2)))</f>
        <v>0</v>
      </c>
      <c r="R103" s="20">
        <f>IF(A103="","",ROUND(SUMIFS(Labor!$O$5:$O$304,Labor!$A$5:$A$304,A103),2))</f>
        <v>0</v>
      </c>
      <c r="S103" s="33">
        <f>IF(A103="","",IF(OR(O103="",R103="",R103=0),"",O103/R103))</f>
        <v>0</v>
      </c>
      <c r="T103" s="32">
        <f>IF(A103="","",COUNTIFS($A$5:A103,A103))</f>
        <v>0</v>
      </c>
      <c r="U103" s="13">
        <f>IF(A103="","",A103&amp;"|"&amp;T103)</f>
        <v>0</v>
      </c>
      <c r="V103" s="43">
        <f>IF(A103="","",IF(B103="Not found","Check - no such product ID",IF(OR(F103="",F103=0),"Add - how many minutes?",IF(C103="","Add - which stage?",IF(AND(G103="Per batch",H103=""),"Check - using the default batch size",IF(K103&lt;MinimumWage,"Check - below minimum wage","OK"))))))</f>
        <v>0</v>
      </c>
    </row>
    <row r="104" spans="2:22">
      <c r="B104" s="13">
        <f>IF(A104="","",IFERROR(INDEX(Products!$B$5:$B$304,MATCH(A104,Products!$A$5:$A$304,0)),"Not found"))</f>
        <v>0</v>
      </c>
      <c r="K104" s="20">
        <f>IF(A104="","",IF(E104&lt;&gt;"",E104,IF(D104="Employee",ROUND(EmployeeRate*(1+PayrollBurden),2),IF(OR(D104="Contractor",D104="Outsourced"),ROUND(ContractorRate*(1+PayrollBurden),2),LaborCostHour))))</f>
        <v>0</v>
      </c>
      <c r="L104" s="41">
        <f>IF(A104="","",IF(F104="","",ROUND(F104/60,3)))</f>
        <v>0</v>
      </c>
      <c r="M104" s="32">
        <f>IF(A104="","",IF(G104="Per batch",IF(OR(H104="",H104=0),DefaultBatchSize,H104),1))</f>
        <v>0</v>
      </c>
      <c r="N104" s="20">
        <f>IF(A104="","",IF(OR(L104="",K104=""),"",ROUND(L104*K104,2)))</f>
        <v>0</v>
      </c>
      <c r="O104" s="20">
        <f>IF(A104="","",IF(N104="","",ROUND(N104/MAX(1,M104),2)))</f>
        <v>0</v>
      </c>
      <c r="P104" s="36">
        <f>IF(A104="","",IF(F104="","",ROUND(F104/MAX(1,M104),2)))</f>
        <v>0</v>
      </c>
      <c r="Q104" s="20">
        <f>IF(A104="","",IF(L104="","",ROUND(L104/MAX(1,M104)*SuppliesPerHour,2)))</f>
        <v>0</v>
      </c>
      <c r="R104" s="20">
        <f>IF(A104="","",ROUND(SUMIFS(Labor!$O$5:$O$304,Labor!$A$5:$A$304,A104),2))</f>
        <v>0</v>
      </c>
      <c r="S104" s="33">
        <f>IF(A104="","",IF(OR(O104="",R104="",R104=0),"",O104/R104))</f>
        <v>0</v>
      </c>
      <c r="T104" s="32">
        <f>IF(A104="","",COUNTIFS($A$5:A104,A104))</f>
        <v>0</v>
      </c>
      <c r="U104" s="13">
        <f>IF(A104="","",A104&amp;"|"&amp;T104)</f>
        <v>0</v>
      </c>
      <c r="V104" s="43">
        <f>IF(A104="","",IF(B104="Not found","Check - no such product ID",IF(OR(F104="",F104=0),"Add - how many minutes?",IF(C104="","Add - which stage?",IF(AND(G104="Per batch",H104=""),"Check - using the default batch size",IF(K104&lt;MinimumWage,"Check - below minimum wage","OK"))))))</f>
        <v>0</v>
      </c>
    </row>
    <row r="105" spans="2:22">
      <c r="B105" s="13">
        <f>IF(A105="","",IFERROR(INDEX(Products!$B$5:$B$304,MATCH(A105,Products!$A$5:$A$304,0)),"Not found"))</f>
        <v>0</v>
      </c>
      <c r="K105" s="20">
        <f>IF(A105="","",IF(E105&lt;&gt;"",E105,IF(D105="Employee",ROUND(EmployeeRate*(1+PayrollBurden),2),IF(OR(D105="Contractor",D105="Outsourced"),ROUND(ContractorRate*(1+PayrollBurden),2),LaborCostHour))))</f>
        <v>0</v>
      </c>
      <c r="L105" s="41">
        <f>IF(A105="","",IF(F105="","",ROUND(F105/60,3)))</f>
        <v>0</v>
      </c>
      <c r="M105" s="32">
        <f>IF(A105="","",IF(G105="Per batch",IF(OR(H105="",H105=0),DefaultBatchSize,H105),1))</f>
        <v>0</v>
      </c>
      <c r="N105" s="20">
        <f>IF(A105="","",IF(OR(L105="",K105=""),"",ROUND(L105*K105,2)))</f>
        <v>0</v>
      </c>
      <c r="O105" s="20">
        <f>IF(A105="","",IF(N105="","",ROUND(N105/MAX(1,M105),2)))</f>
        <v>0</v>
      </c>
      <c r="P105" s="36">
        <f>IF(A105="","",IF(F105="","",ROUND(F105/MAX(1,M105),2)))</f>
        <v>0</v>
      </c>
      <c r="Q105" s="20">
        <f>IF(A105="","",IF(L105="","",ROUND(L105/MAX(1,M105)*SuppliesPerHour,2)))</f>
        <v>0</v>
      </c>
      <c r="R105" s="20">
        <f>IF(A105="","",ROUND(SUMIFS(Labor!$O$5:$O$304,Labor!$A$5:$A$304,A105),2))</f>
        <v>0</v>
      </c>
      <c r="S105" s="33">
        <f>IF(A105="","",IF(OR(O105="",R105="",R105=0),"",O105/R105))</f>
        <v>0</v>
      </c>
      <c r="T105" s="32">
        <f>IF(A105="","",COUNTIFS($A$5:A105,A105))</f>
        <v>0</v>
      </c>
      <c r="U105" s="13">
        <f>IF(A105="","",A105&amp;"|"&amp;T105)</f>
        <v>0</v>
      </c>
      <c r="V105" s="43">
        <f>IF(A105="","",IF(B105="Not found","Check - no such product ID",IF(OR(F105="",F105=0),"Add - how many minutes?",IF(C105="","Add - which stage?",IF(AND(G105="Per batch",H105=""),"Check - using the default batch size",IF(K105&lt;MinimumWage,"Check - below minimum wage","OK"))))))</f>
        <v>0</v>
      </c>
    </row>
    <row r="106" spans="2:22">
      <c r="B106" s="13">
        <f>IF(A106="","",IFERROR(INDEX(Products!$B$5:$B$304,MATCH(A106,Products!$A$5:$A$304,0)),"Not found"))</f>
        <v>0</v>
      </c>
      <c r="K106" s="20">
        <f>IF(A106="","",IF(E106&lt;&gt;"",E106,IF(D106="Employee",ROUND(EmployeeRate*(1+PayrollBurden),2),IF(OR(D106="Contractor",D106="Outsourced"),ROUND(ContractorRate*(1+PayrollBurden),2),LaborCostHour))))</f>
        <v>0</v>
      </c>
      <c r="L106" s="41">
        <f>IF(A106="","",IF(F106="","",ROUND(F106/60,3)))</f>
        <v>0</v>
      </c>
      <c r="M106" s="32">
        <f>IF(A106="","",IF(G106="Per batch",IF(OR(H106="",H106=0),DefaultBatchSize,H106),1))</f>
        <v>0</v>
      </c>
      <c r="N106" s="20">
        <f>IF(A106="","",IF(OR(L106="",K106=""),"",ROUND(L106*K106,2)))</f>
        <v>0</v>
      </c>
      <c r="O106" s="20">
        <f>IF(A106="","",IF(N106="","",ROUND(N106/MAX(1,M106),2)))</f>
        <v>0</v>
      </c>
      <c r="P106" s="36">
        <f>IF(A106="","",IF(F106="","",ROUND(F106/MAX(1,M106),2)))</f>
        <v>0</v>
      </c>
      <c r="Q106" s="20">
        <f>IF(A106="","",IF(L106="","",ROUND(L106/MAX(1,M106)*SuppliesPerHour,2)))</f>
        <v>0</v>
      </c>
      <c r="R106" s="20">
        <f>IF(A106="","",ROUND(SUMIFS(Labor!$O$5:$O$304,Labor!$A$5:$A$304,A106),2))</f>
        <v>0</v>
      </c>
      <c r="S106" s="33">
        <f>IF(A106="","",IF(OR(O106="",R106="",R106=0),"",O106/R106))</f>
        <v>0</v>
      </c>
      <c r="T106" s="32">
        <f>IF(A106="","",COUNTIFS($A$5:A106,A106))</f>
        <v>0</v>
      </c>
      <c r="U106" s="13">
        <f>IF(A106="","",A106&amp;"|"&amp;T106)</f>
        <v>0</v>
      </c>
      <c r="V106" s="43">
        <f>IF(A106="","",IF(B106="Not found","Check - no such product ID",IF(OR(F106="",F106=0),"Add - how many minutes?",IF(C106="","Add - which stage?",IF(AND(G106="Per batch",H106=""),"Check - using the default batch size",IF(K106&lt;MinimumWage,"Check - below minimum wage","OK"))))))</f>
        <v>0</v>
      </c>
    </row>
    <row r="107" spans="2:22">
      <c r="B107" s="13">
        <f>IF(A107="","",IFERROR(INDEX(Products!$B$5:$B$304,MATCH(A107,Products!$A$5:$A$304,0)),"Not found"))</f>
        <v>0</v>
      </c>
      <c r="K107" s="20">
        <f>IF(A107="","",IF(E107&lt;&gt;"",E107,IF(D107="Employee",ROUND(EmployeeRate*(1+PayrollBurden),2),IF(OR(D107="Contractor",D107="Outsourced"),ROUND(ContractorRate*(1+PayrollBurden),2),LaborCostHour))))</f>
        <v>0</v>
      </c>
      <c r="L107" s="41">
        <f>IF(A107="","",IF(F107="","",ROUND(F107/60,3)))</f>
        <v>0</v>
      </c>
      <c r="M107" s="32">
        <f>IF(A107="","",IF(G107="Per batch",IF(OR(H107="",H107=0),DefaultBatchSize,H107),1))</f>
        <v>0</v>
      </c>
      <c r="N107" s="20">
        <f>IF(A107="","",IF(OR(L107="",K107=""),"",ROUND(L107*K107,2)))</f>
        <v>0</v>
      </c>
      <c r="O107" s="20">
        <f>IF(A107="","",IF(N107="","",ROUND(N107/MAX(1,M107),2)))</f>
        <v>0</v>
      </c>
      <c r="P107" s="36">
        <f>IF(A107="","",IF(F107="","",ROUND(F107/MAX(1,M107),2)))</f>
        <v>0</v>
      </c>
      <c r="Q107" s="20">
        <f>IF(A107="","",IF(L107="","",ROUND(L107/MAX(1,M107)*SuppliesPerHour,2)))</f>
        <v>0</v>
      </c>
      <c r="R107" s="20">
        <f>IF(A107="","",ROUND(SUMIFS(Labor!$O$5:$O$304,Labor!$A$5:$A$304,A107),2))</f>
        <v>0</v>
      </c>
      <c r="S107" s="33">
        <f>IF(A107="","",IF(OR(O107="",R107="",R107=0),"",O107/R107))</f>
        <v>0</v>
      </c>
      <c r="T107" s="32">
        <f>IF(A107="","",COUNTIFS($A$5:A107,A107))</f>
        <v>0</v>
      </c>
      <c r="U107" s="13">
        <f>IF(A107="","",A107&amp;"|"&amp;T107)</f>
        <v>0</v>
      </c>
      <c r="V107" s="43">
        <f>IF(A107="","",IF(B107="Not found","Check - no such product ID",IF(OR(F107="",F107=0),"Add - how many minutes?",IF(C107="","Add - which stage?",IF(AND(G107="Per batch",H107=""),"Check - using the default batch size",IF(K107&lt;MinimumWage,"Check - below minimum wage","OK"))))))</f>
        <v>0</v>
      </c>
    </row>
    <row r="108" spans="2:22">
      <c r="B108" s="13">
        <f>IF(A108="","",IFERROR(INDEX(Products!$B$5:$B$304,MATCH(A108,Products!$A$5:$A$304,0)),"Not found"))</f>
        <v>0</v>
      </c>
      <c r="K108" s="20">
        <f>IF(A108="","",IF(E108&lt;&gt;"",E108,IF(D108="Employee",ROUND(EmployeeRate*(1+PayrollBurden),2),IF(OR(D108="Contractor",D108="Outsourced"),ROUND(ContractorRate*(1+PayrollBurden),2),LaborCostHour))))</f>
        <v>0</v>
      </c>
      <c r="L108" s="41">
        <f>IF(A108="","",IF(F108="","",ROUND(F108/60,3)))</f>
        <v>0</v>
      </c>
      <c r="M108" s="32">
        <f>IF(A108="","",IF(G108="Per batch",IF(OR(H108="",H108=0),DefaultBatchSize,H108),1))</f>
        <v>0</v>
      </c>
      <c r="N108" s="20">
        <f>IF(A108="","",IF(OR(L108="",K108=""),"",ROUND(L108*K108,2)))</f>
        <v>0</v>
      </c>
      <c r="O108" s="20">
        <f>IF(A108="","",IF(N108="","",ROUND(N108/MAX(1,M108),2)))</f>
        <v>0</v>
      </c>
      <c r="P108" s="36">
        <f>IF(A108="","",IF(F108="","",ROUND(F108/MAX(1,M108),2)))</f>
        <v>0</v>
      </c>
      <c r="Q108" s="20">
        <f>IF(A108="","",IF(L108="","",ROUND(L108/MAX(1,M108)*SuppliesPerHour,2)))</f>
        <v>0</v>
      </c>
      <c r="R108" s="20">
        <f>IF(A108="","",ROUND(SUMIFS(Labor!$O$5:$O$304,Labor!$A$5:$A$304,A108),2))</f>
        <v>0</v>
      </c>
      <c r="S108" s="33">
        <f>IF(A108="","",IF(OR(O108="",R108="",R108=0),"",O108/R108))</f>
        <v>0</v>
      </c>
      <c r="T108" s="32">
        <f>IF(A108="","",COUNTIFS($A$5:A108,A108))</f>
        <v>0</v>
      </c>
      <c r="U108" s="13">
        <f>IF(A108="","",A108&amp;"|"&amp;T108)</f>
        <v>0</v>
      </c>
      <c r="V108" s="43">
        <f>IF(A108="","",IF(B108="Not found","Check - no such product ID",IF(OR(F108="",F108=0),"Add - how many minutes?",IF(C108="","Add - which stage?",IF(AND(G108="Per batch",H108=""),"Check - using the default batch size",IF(K108&lt;MinimumWage,"Check - below minimum wage","OK"))))))</f>
        <v>0</v>
      </c>
    </row>
    <row r="109" spans="2:22">
      <c r="B109" s="13">
        <f>IF(A109="","",IFERROR(INDEX(Products!$B$5:$B$304,MATCH(A109,Products!$A$5:$A$304,0)),"Not found"))</f>
        <v>0</v>
      </c>
      <c r="K109" s="20">
        <f>IF(A109="","",IF(E109&lt;&gt;"",E109,IF(D109="Employee",ROUND(EmployeeRate*(1+PayrollBurden),2),IF(OR(D109="Contractor",D109="Outsourced"),ROUND(ContractorRate*(1+PayrollBurden),2),LaborCostHour))))</f>
        <v>0</v>
      </c>
      <c r="L109" s="41">
        <f>IF(A109="","",IF(F109="","",ROUND(F109/60,3)))</f>
        <v>0</v>
      </c>
      <c r="M109" s="32">
        <f>IF(A109="","",IF(G109="Per batch",IF(OR(H109="",H109=0),DefaultBatchSize,H109),1))</f>
        <v>0</v>
      </c>
      <c r="N109" s="20">
        <f>IF(A109="","",IF(OR(L109="",K109=""),"",ROUND(L109*K109,2)))</f>
        <v>0</v>
      </c>
      <c r="O109" s="20">
        <f>IF(A109="","",IF(N109="","",ROUND(N109/MAX(1,M109),2)))</f>
        <v>0</v>
      </c>
      <c r="P109" s="36">
        <f>IF(A109="","",IF(F109="","",ROUND(F109/MAX(1,M109),2)))</f>
        <v>0</v>
      </c>
      <c r="Q109" s="20">
        <f>IF(A109="","",IF(L109="","",ROUND(L109/MAX(1,M109)*SuppliesPerHour,2)))</f>
        <v>0</v>
      </c>
      <c r="R109" s="20">
        <f>IF(A109="","",ROUND(SUMIFS(Labor!$O$5:$O$304,Labor!$A$5:$A$304,A109),2))</f>
        <v>0</v>
      </c>
      <c r="S109" s="33">
        <f>IF(A109="","",IF(OR(O109="",R109="",R109=0),"",O109/R109))</f>
        <v>0</v>
      </c>
      <c r="T109" s="32">
        <f>IF(A109="","",COUNTIFS($A$5:A109,A109))</f>
        <v>0</v>
      </c>
      <c r="U109" s="13">
        <f>IF(A109="","",A109&amp;"|"&amp;T109)</f>
        <v>0</v>
      </c>
      <c r="V109" s="43">
        <f>IF(A109="","",IF(B109="Not found","Check - no such product ID",IF(OR(F109="",F109=0),"Add - how many minutes?",IF(C109="","Add - which stage?",IF(AND(G109="Per batch",H109=""),"Check - using the default batch size",IF(K109&lt;MinimumWage,"Check - below minimum wage","OK"))))))</f>
        <v>0</v>
      </c>
    </row>
    <row r="110" spans="2:22">
      <c r="B110" s="13">
        <f>IF(A110="","",IFERROR(INDEX(Products!$B$5:$B$304,MATCH(A110,Products!$A$5:$A$304,0)),"Not found"))</f>
        <v>0</v>
      </c>
      <c r="K110" s="20">
        <f>IF(A110="","",IF(E110&lt;&gt;"",E110,IF(D110="Employee",ROUND(EmployeeRate*(1+PayrollBurden),2),IF(OR(D110="Contractor",D110="Outsourced"),ROUND(ContractorRate*(1+PayrollBurden),2),LaborCostHour))))</f>
        <v>0</v>
      </c>
      <c r="L110" s="41">
        <f>IF(A110="","",IF(F110="","",ROUND(F110/60,3)))</f>
        <v>0</v>
      </c>
      <c r="M110" s="32">
        <f>IF(A110="","",IF(G110="Per batch",IF(OR(H110="",H110=0),DefaultBatchSize,H110),1))</f>
        <v>0</v>
      </c>
      <c r="N110" s="20">
        <f>IF(A110="","",IF(OR(L110="",K110=""),"",ROUND(L110*K110,2)))</f>
        <v>0</v>
      </c>
      <c r="O110" s="20">
        <f>IF(A110="","",IF(N110="","",ROUND(N110/MAX(1,M110),2)))</f>
        <v>0</v>
      </c>
      <c r="P110" s="36">
        <f>IF(A110="","",IF(F110="","",ROUND(F110/MAX(1,M110),2)))</f>
        <v>0</v>
      </c>
      <c r="Q110" s="20">
        <f>IF(A110="","",IF(L110="","",ROUND(L110/MAX(1,M110)*SuppliesPerHour,2)))</f>
        <v>0</v>
      </c>
      <c r="R110" s="20">
        <f>IF(A110="","",ROUND(SUMIFS(Labor!$O$5:$O$304,Labor!$A$5:$A$304,A110),2))</f>
        <v>0</v>
      </c>
      <c r="S110" s="33">
        <f>IF(A110="","",IF(OR(O110="",R110="",R110=0),"",O110/R110))</f>
        <v>0</v>
      </c>
      <c r="T110" s="32">
        <f>IF(A110="","",COUNTIFS($A$5:A110,A110))</f>
        <v>0</v>
      </c>
      <c r="U110" s="13">
        <f>IF(A110="","",A110&amp;"|"&amp;T110)</f>
        <v>0</v>
      </c>
      <c r="V110" s="43">
        <f>IF(A110="","",IF(B110="Not found","Check - no such product ID",IF(OR(F110="",F110=0),"Add - how many minutes?",IF(C110="","Add - which stage?",IF(AND(G110="Per batch",H110=""),"Check - using the default batch size",IF(K110&lt;MinimumWage,"Check - below minimum wage","OK"))))))</f>
        <v>0</v>
      </c>
    </row>
    <row r="111" spans="2:22">
      <c r="B111" s="13">
        <f>IF(A111="","",IFERROR(INDEX(Products!$B$5:$B$304,MATCH(A111,Products!$A$5:$A$304,0)),"Not found"))</f>
        <v>0</v>
      </c>
      <c r="K111" s="20">
        <f>IF(A111="","",IF(E111&lt;&gt;"",E111,IF(D111="Employee",ROUND(EmployeeRate*(1+PayrollBurden),2),IF(OR(D111="Contractor",D111="Outsourced"),ROUND(ContractorRate*(1+PayrollBurden),2),LaborCostHour))))</f>
        <v>0</v>
      </c>
      <c r="L111" s="41">
        <f>IF(A111="","",IF(F111="","",ROUND(F111/60,3)))</f>
        <v>0</v>
      </c>
      <c r="M111" s="32">
        <f>IF(A111="","",IF(G111="Per batch",IF(OR(H111="",H111=0),DefaultBatchSize,H111),1))</f>
        <v>0</v>
      </c>
      <c r="N111" s="20">
        <f>IF(A111="","",IF(OR(L111="",K111=""),"",ROUND(L111*K111,2)))</f>
        <v>0</v>
      </c>
      <c r="O111" s="20">
        <f>IF(A111="","",IF(N111="","",ROUND(N111/MAX(1,M111),2)))</f>
        <v>0</v>
      </c>
      <c r="P111" s="36">
        <f>IF(A111="","",IF(F111="","",ROUND(F111/MAX(1,M111),2)))</f>
        <v>0</v>
      </c>
      <c r="Q111" s="20">
        <f>IF(A111="","",IF(L111="","",ROUND(L111/MAX(1,M111)*SuppliesPerHour,2)))</f>
        <v>0</v>
      </c>
      <c r="R111" s="20">
        <f>IF(A111="","",ROUND(SUMIFS(Labor!$O$5:$O$304,Labor!$A$5:$A$304,A111),2))</f>
        <v>0</v>
      </c>
      <c r="S111" s="33">
        <f>IF(A111="","",IF(OR(O111="",R111="",R111=0),"",O111/R111))</f>
        <v>0</v>
      </c>
      <c r="T111" s="32">
        <f>IF(A111="","",COUNTIFS($A$5:A111,A111))</f>
        <v>0</v>
      </c>
      <c r="U111" s="13">
        <f>IF(A111="","",A111&amp;"|"&amp;T111)</f>
        <v>0</v>
      </c>
      <c r="V111" s="43">
        <f>IF(A111="","",IF(B111="Not found","Check - no such product ID",IF(OR(F111="",F111=0),"Add - how many minutes?",IF(C111="","Add - which stage?",IF(AND(G111="Per batch",H111=""),"Check - using the default batch size",IF(K111&lt;MinimumWage,"Check - below minimum wage","OK"))))))</f>
        <v>0</v>
      </c>
    </row>
    <row r="112" spans="2:22">
      <c r="B112" s="13">
        <f>IF(A112="","",IFERROR(INDEX(Products!$B$5:$B$304,MATCH(A112,Products!$A$5:$A$304,0)),"Not found"))</f>
        <v>0</v>
      </c>
      <c r="K112" s="20">
        <f>IF(A112="","",IF(E112&lt;&gt;"",E112,IF(D112="Employee",ROUND(EmployeeRate*(1+PayrollBurden),2),IF(OR(D112="Contractor",D112="Outsourced"),ROUND(ContractorRate*(1+PayrollBurden),2),LaborCostHour))))</f>
        <v>0</v>
      </c>
      <c r="L112" s="41">
        <f>IF(A112="","",IF(F112="","",ROUND(F112/60,3)))</f>
        <v>0</v>
      </c>
      <c r="M112" s="32">
        <f>IF(A112="","",IF(G112="Per batch",IF(OR(H112="",H112=0),DefaultBatchSize,H112),1))</f>
        <v>0</v>
      </c>
      <c r="N112" s="20">
        <f>IF(A112="","",IF(OR(L112="",K112=""),"",ROUND(L112*K112,2)))</f>
        <v>0</v>
      </c>
      <c r="O112" s="20">
        <f>IF(A112="","",IF(N112="","",ROUND(N112/MAX(1,M112),2)))</f>
        <v>0</v>
      </c>
      <c r="P112" s="36">
        <f>IF(A112="","",IF(F112="","",ROUND(F112/MAX(1,M112),2)))</f>
        <v>0</v>
      </c>
      <c r="Q112" s="20">
        <f>IF(A112="","",IF(L112="","",ROUND(L112/MAX(1,M112)*SuppliesPerHour,2)))</f>
        <v>0</v>
      </c>
      <c r="R112" s="20">
        <f>IF(A112="","",ROUND(SUMIFS(Labor!$O$5:$O$304,Labor!$A$5:$A$304,A112),2))</f>
        <v>0</v>
      </c>
      <c r="S112" s="33">
        <f>IF(A112="","",IF(OR(O112="",R112="",R112=0),"",O112/R112))</f>
        <v>0</v>
      </c>
      <c r="T112" s="32">
        <f>IF(A112="","",COUNTIFS($A$5:A112,A112))</f>
        <v>0</v>
      </c>
      <c r="U112" s="13">
        <f>IF(A112="","",A112&amp;"|"&amp;T112)</f>
        <v>0</v>
      </c>
      <c r="V112" s="43">
        <f>IF(A112="","",IF(B112="Not found","Check - no such product ID",IF(OR(F112="",F112=0),"Add - how many minutes?",IF(C112="","Add - which stage?",IF(AND(G112="Per batch",H112=""),"Check - using the default batch size",IF(K112&lt;MinimumWage,"Check - below minimum wage","OK"))))))</f>
        <v>0</v>
      </c>
    </row>
    <row r="113" spans="2:22">
      <c r="B113" s="13">
        <f>IF(A113="","",IFERROR(INDEX(Products!$B$5:$B$304,MATCH(A113,Products!$A$5:$A$304,0)),"Not found"))</f>
        <v>0</v>
      </c>
      <c r="K113" s="20">
        <f>IF(A113="","",IF(E113&lt;&gt;"",E113,IF(D113="Employee",ROUND(EmployeeRate*(1+PayrollBurden),2),IF(OR(D113="Contractor",D113="Outsourced"),ROUND(ContractorRate*(1+PayrollBurden),2),LaborCostHour))))</f>
        <v>0</v>
      </c>
      <c r="L113" s="41">
        <f>IF(A113="","",IF(F113="","",ROUND(F113/60,3)))</f>
        <v>0</v>
      </c>
      <c r="M113" s="32">
        <f>IF(A113="","",IF(G113="Per batch",IF(OR(H113="",H113=0),DefaultBatchSize,H113),1))</f>
        <v>0</v>
      </c>
      <c r="N113" s="20">
        <f>IF(A113="","",IF(OR(L113="",K113=""),"",ROUND(L113*K113,2)))</f>
        <v>0</v>
      </c>
      <c r="O113" s="20">
        <f>IF(A113="","",IF(N113="","",ROUND(N113/MAX(1,M113),2)))</f>
        <v>0</v>
      </c>
      <c r="P113" s="36">
        <f>IF(A113="","",IF(F113="","",ROUND(F113/MAX(1,M113),2)))</f>
        <v>0</v>
      </c>
      <c r="Q113" s="20">
        <f>IF(A113="","",IF(L113="","",ROUND(L113/MAX(1,M113)*SuppliesPerHour,2)))</f>
        <v>0</v>
      </c>
      <c r="R113" s="20">
        <f>IF(A113="","",ROUND(SUMIFS(Labor!$O$5:$O$304,Labor!$A$5:$A$304,A113),2))</f>
        <v>0</v>
      </c>
      <c r="S113" s="33">
        <f>IF(A113="","",IF(OR(O113="",R113="",R113=0),"",O113/R113))</f>
        <v>0</v>
      </c>
      <c r="T113" s="32">
        <f>IF(A113="","",COUNTIFS($A$5:A113,A113))</f>
        <v>0</v>
      </c>
      <c r="U113" s="13">
        <f>IF(A113="","",A113&amp;"|"&amp;T113)</f>
        <v>0</v>
      </c>
      <c r="V113" s="43">
        <f>IF(A113="","",IF(B113="Not found","Check - no such product ID",IF(OR(F113="",F113=0),"Add - how many minutes?",IF(C113="","Add - which stage?",IF(AND(G113="Per batch",H113=""),"Check - using the default batch size",IF(K113&lt;MinimumWage,"Check - below minimum wage","OK"))))))</f>
        <v>0</v>
      </c>
    </row>
    <row r="114" spans="2:22">
      <c r="B114" s="13">
        <f>IF(A114="","",IFERROR(INDEX(Products!$B$5:$B$304,MATCH(A114,Products!$A$5:$A$304,0)),"Not found"))</f>
        <v>0</v>
      </c>
      <c r="K114" s="20">
        <f>IF(A114="","",IF(E114&lt;&gt;"",E114,IF(D114="Employee",ROUND(EmployeeRate*(1+PayrollBurden),2),IF(OR(D114="Contractor",D114="Outsourced"),ROUND(ContractorRate*(1+PayrollBurden),2),LaborCostHour))))</f>
        <v>0</v>
      </c>
      <c r="L114" s="41">
        <f>IF(A114="","",IF(F114="","",ROUND(F114/60,3)))</f>
        <v>0</v>
      </c>
      <c r="M114" s="32">
        <f>IF(A114="","",IF(G114="Per batch",IF(OR(H114="",H114=0),DefaultBatchSize,H114),1))</f>
        <v>0</v>
      </c>
      <c r="N114" s="20">
        <f>IF(A114="","",IF(OR(L114="",K114=""),"",ROUND(L114*K114,2)))</f>
        <v>0</v>
      </c>
      <c r="O114" s="20">
        <f>IF(A114="","",IF(N114="","",ROUND(N114/MAX(1,M114),2)))</f>
        <v>0</v>
      </c>
      <c r="P114" s="36">
        <f>IF(A114="","",IF(F114="","",ROUND(F114/MAX(1,M114),2)))</f>
        <v>0</v>
      </c>
      <c r="Q114" s="20">
        <f>IF(A114="","",IF(L114="","",ROUND(L114/MAX(1,M114)*SuppliesPerHour,2)))</f>
        <v>0</v>
      </c>
      <c r="R114" s="20">
        <f>IF(A114="","",ROUND(SUMIFS(Labor!$O$5:$O$304,Labor!$A$5:$A$304,A114),2))</f>
        <v>0</v>
      </c>
      <c r="S114" s="33">
        <f>IF(A114="","",IF(OR(O114="",R114="",R114=0),"",O114/R114))</f>
        <v>0</v>
      </c>
      <c r="T114" s="32">
        <f>IF(A114="","",COUNTIFS($A$5:A114,A114))</f>
        <v>0</v>
      </c>
      <c r="U114" s="13">
        <f>IF(A114="","",A114&amp;"|"&amp;T114)</f>
        <v>0</v>
      </c>
      <c r="V114" s="43">
        <f>IF(A114="","",IF(B114="Not found","Check - no such product ID",IF(OR(F114="",F114=0),"Add - how many minutes?",IF(C114="","Add - which stage?",IF(AND(G114="Per batch",H114=""),"Check - using the default batch size",IF(K114&lt;MinimumWage,"Check - below minimum wage","OK"))))))</f>
        <v>0</v>
      </c>
    </row>
    <row r="115" spans="2:22">
      <c r="B115" s="13">
        <f>IF(A115="","",IFERROR(INDEX(Products!$B$5:$B$304,MATCH(A115,Products!$A$5:$A$304,0)),"Not found"))</f>
        <v>0</v>
      </c>
      <c r="K115" s="20">
        <f>IF(A115="","",IF(E115&lt;&gt;"",E115,IF(D115="Employee",ROUND(EmployeeRate*(1+PayrollBurden),2),IF(OR(D115="Contractor",D115="Outsourced"),ROUND(ContractorRate*(1+PayrollBurden),2),LaborCostHour))))</f>
        <v>0</v>
      </c>
      <c r="L115" s="41">
        <f>IF(A115="","",IF(F115="","",ROUND(F115/60,3)))</f>
        <v>0</v>
      </c>
      <c r="M115" s="32">
        <f>IF(A115="","",IF(G115="Per batch",IF(OR(H115="",H115=0),DefaultBatchSize,H115),1))</f>
        <v>0</v>
      </c>
      <c r="N115" s="20">
        <f>IF(A115="","",IF(OR(L115="",K115=""),"",ROUND(L115*K115,2)))</f>
        <v>0</v>
      </c>
      <c r="O115" s="20">
        <f>IF(A115="","",IF(N115="","",ROUND(N115/MAX(1,M115),2)))</f>
        <v>0</v>
      </c>
      <c r="P115" s="36">
        <f>IF(A115="","",IF(F115="","",ROUND(F115/MAX(1,M115),2)))</f>
        <v>0</v>
      </c>
      <c r="Q115" s="20">
        <f>IF(A115="","",IF(L115="","",ROUND(L115/MAX(1,M115)*SuppliesPerHour,2)))</f>
        <v>0</v>
      </c>
      <c r="R115" s="20">
        <f>IF(A115="","",ROUND(SUMIFS(Labor!$O$5:$O$304,Labor!$A$5:$A$304,A115),2))</f>
        <v>0</v>
      </c>
      <c r="S115" s="33">
        <f>IF(A115="","",IF(OR(O115="",R115="",R115=0),"",O115/R115))</f>
        <v>0</v>
      </c>
      <c r="T115" s="32">
        <f>IF(A115="","",COUNTIFS($A$5:A115,A115))</f>
        <v>0</v>
      </c>
      <c r="U115" s="13">
        <f>IF(A115="","",A115&amp;"|"&amp;T115)</f>
        <v>0</v>
      </c>
      <c r="V115" s="43">
        <f>IF(A115="","",IF(B115="Not found","Check - no such product ID",IF(OR(F115="",F115=0),"Add - how many minutes?",IF(C115="","Add - which stage?",IF(AND(G115="Per batch",H115=""),"Check - using the default batch size",IF(K115&lt;MinimumWage,"Check - below minimum wage","OK"))))))</f>
        <v>0</v>
      </c>
    </row>
    <row r="116" spans="2:22">
      <c r="B116" s="13">
        <f>IF(A116="","",IFERROR(INDEX(Products!$B$5:$B$304,MATCH(A116,Products!$A$5:$A$304,0)),"Not found"))</f>
        <v>0</v>
      </c>
      <c r="K116" s="20">
        <f>IF(A116="","",IF(E116&lt;&gt;"",E116,IF(D116="Employee",ROUND(EmployeeRate*(1+PayrollBurden),2),IF(OR(D116="Contractor",D116="Outsourced"),ROUND(ContractorRate*(1+PayrollBurden),2),LaborCostHour))))</f>
        <v>0</v>
      </c>
      <c r="L116" s="41">
        <f>IF(A116="","",IF(F116="","",ROUND(F116/60,3)))</f>
        <v>0</v>
      </c>
      <c r="M116" s="32">
        <f>IF(A116="","",IF(G116="Per batch",IF(OR(H116="",H116=0),DefaultBatchSize,H116),1))</f>
        <v>0</v>
      </c>
      <c r="N116" s="20">
        <f>IF(A116="","",IF(OR(L116="",K116=""),"",ROUND(L116*K116,2)))</f>
        <v>0</v>
      </c>
      <c r="O116" s="20">
        <f>IF(A116="","",IF(N116="","",ROUND(N116/MAX(1,M116),2)))</f>
        <v>0</v>
      </c>
      <c r="P116" s="36">
        <f>IF(A116="","",IF(F116="","",ROUND(F116/MAX(1,M116),2)))</f>
        <v>0</v>
      </c>
      <c r="Q116" s="20">
        <f>IF(A116="","",IF(L116="","",ROUND(L116/MAX(1,M116)*SuppliesPerHour,2)))</f>
        <v>0</v>
      </c>
      <c r="R116" s="20">
        <f>IF(A116="","",ROUND(SUMIFS(Labor!$O$5:$O$304,Labor!$A$5:$A$304,A116),2))</f>
        <v>0</v>
      </c>
      <c r="S116" s="33">
        <f>IF(A116="","",IF(OR(O116="",R116="",R116=0),"",O116/R116))</f>
        <v>0</v>
      </c>
      <c r="T116" s="32">
        <f>IF(A116="","",COUNTIFS($A$5:A116,A116))</f>
        <v>0</v>
      </c>
      <c r="U116" s="13">
        <f>IF(A116="","",A116&amp;"|"&amp;T116)</f>
        <v>0</v>
      </c>
      <c r="V116" s="43">
        <f>IF(A116="","",IF(B116="Not found","Check - no such product ID",IF(OR(F116="",F116=0),"Add - how many minutes?",IF(C116="","Add - which stage?",IF(AND(G116="Per batch",H116=""),"Check - using the default batch size",IF(K116&lt;MinimumWage,"Check - below minimum wage","OK"))))))</f>
        <v>0</v>
      </c>
    </row>
    <row r="117" spans="2:22">
      <c r="B117" s="13">
        <f>IF(A117="","",IFERROR(INDEX(Products!$B$5:$B$304,MATCH(A117,Products!$A$5:$A$304,0)),"Not found"))</f>
        <v>0</v>
      </c>
      <c r="K117" s="20">
        <f>IF(A117="","",IF(E117&lt;&gt;"",E117,IF(D117="Employee",ROUND(EmployeeRate*(1+PayrollBurden),2),IF(OR(D117="Contractor",D117="Outsourced"),ROUND(ContractorRate*(1+PayrollBurden),2),LaborCostHour))))</f>
        <v>0</v>
      </c>
      <c r="L117" s="41">
        <f>IF(A117="","",IF(F117="","",ROUND(F117/60,3)))</f>
        <v>0</v>
      </c>
      <c r="M117" s="32">
        <f>IF(A117="","",IF(G117="Per batch",IF(OR(H117="",H117=0),DefaultBatchSize,H117),1))</f>
        <v>0</v>
      </c>
      <c r="N117" s="20">
        <f>IF(A117="","",IF(OR(L117="",K117=""),"",ROUND(L117*K117,2)))</f>
        <v>0</v>
      </c>
      <c r="O117" s="20">
        <f>IF(A117="","",IF(N117="","",ROUND(N117/MAX(1,M117),2)))</f>
        <v>0</v>
      </c>
      <c r="P117" s="36">
        <f>IF(A117="","",IF(F117="","",ROUND(F117/MAX(1,M117),2)))</f>
        <v>0</v>
      </c>
      <c r="Q117" s="20">
        <f>IF(A117="","",IF(L117="","",ROUND(L117/MAX(1,M117)*SuppliesPerHour,2)))</f>
        <v>0</v>
      </c>
      <c r="R117" s="20">
        <f>IF(A117="","",ROUND(SUMIFS(Labor!$O$5:$O$304,Labor!$A$5:$A$304,A117),2))</f>
        <v>0</v>
      </c>
      <c r="S117" s="33">
        <f>IF(A117="","",IF(OR(O117="",R117="",R117=0),"",O117/R117))</f>
        <v>0</v>
      </c>
      <c r="T117" s="32">
        <f>IF(A117="","",COUNTIFS($A$5:A117,A117))</f>
        <v>0</v>
      </c>
      <c r="U117" s="13">
        <f>IF(A117="","",A117&amp;"|"&amp;T117)</f>
        <v>0</v>
      </c>
      <c r="V117" s="43">
        <f>IF(A117="","",IF(B117="Not found","Check - no such product ID",IF(OR(F117="",F117=0),"Add - how many minutes?",IF(C117="","Add - which stage?",IF(AND(G117="Per batch",H117=""),"Check - using the default batch size",IF(K117&lt;MinimumWage,"Check - below minimum wage","OK"))))))</f>
        <v>0</v>
      </c>
    </row>
    <row r="118" spans="2:22">
      <c r="B118" s="13">
        <f>IF(A118="","",IFERROR(INDEX(Products!$B$5:$B$304,MATCH(A118,Products!$A$5:$A$304,0)),"Not found"))</f>
        <v>0</v>
      </c>
      <c r="K118" s="20">
        <f>IF(A118="","",IF(E118&lt;&gt;"",E118,IF(D118="Employee",ROUND(EmployeeRate*(1+PayrollBurden),2),IF(OR(D118="Contractor",D118="Outsourced"),ROUND(ContractorRate*(1+PayrollBurden),2),LaborCostHour))))</f>
        <v>0</v>
      </c>
      <c r="L118" s="41">
        <f>IF(A118="","",IF(F118="","",ROUND(F118/60,3)))</f>
        <v>0</v>
      </c>
      <c r="M118" s="32">
        <f>IF(A118="","",IF(G118="Per batch",IF(OR(H118="",H118=0),DefaultBatchSize,H118),1))</f>
        <v>0</v>
      </c>
      <c r="N118" s="20">
        <f>IF(A118="","",IF(OR(L118="",K118=""),"",ROUND(L118*K118,2)))</f>
        <v>0</v>
      </c>
      <c r="O118" s="20">
        <f>IF(A118="","",IF(N118="","",ROUND(N118/MAX(1,M118),2)))</f>
        <v>0</v>
      </c>
      <c r="P118" s="36">
        <f>IF(A118="","",IF(F118="","",ROUND(F118/MAX(1,M118),2)))</f>
        <v>0</v>
      </c>
      <c r="Q118" s="20">
        <f>IF(A118="","",IF(L118="","",ROUND(L118/MAX(1,M118)*SuppliesPerHour,2)))</f>
        <v>0</v>
      </c>
      <c r="R118" s="20">
        <f>IF(A118="","",ROUND(SUMIFS(Labor!$O$5:$O$304,Labor!$A$5:$A$304,A118),2))</f>
        <v>0</v>
      </c>
      <c r="S118" s="33">
        <f>IF(A118="","",IF(OR(O118="",R118="",R118=0),"",O118/R118))</f>
        <v>0</v>
      </c>
      <c r="T118" s="32">
        <f>IF(A118="","",COUNTIFS($A$5:A118,A118))</f>
        <v>0</v>
      </c>
      <c r="U118" s="13">
        <f>IF(A118="","",A118&amp;"|"&amp;T118)</f>
        <v>0</v>
      </c>
      <c r="V118" s="43">
        <f>IF(A118="","",IF(B118="Not found","Check - no such product ID",IF(OR(F118="",F118=0),"Add - how many minutes?",IF(C118="","Add - which stage?",IF(AND(G118="Per batch",H118=""),"Check - using the default batch size",IF(K118&lt;MinimumWage,"Check - below minimum wage","OK"))))))</f>
        <v>0</v>
      </c>
    </row>
    <row r="119" spans="2:22">
      <c r="B119" s="13">
        <f>IF(A119="","",IFERROR(INDEX(Products!$B$5:$B$304,MATCH(A119,Products!$A$5:$A$304,0)),"Not found"))</f>
        <v>0</v>
      </c>
      <c r="K119" s="20">
        <f>IF(A119="","",IF(E119&lt;&gt;"",E119,IF(D119="Employee",ROUND(EmployeeRate*(1+PayrollBurden),2),IF(OR(D119="Contractor",D119="Outsourced"),ROUND(ContractorRate*(1+PayrollBurden),2),LaborCostHour))))</f>
        <v>0</v>
      </c>
      <c r="L119" s="41">
        <f>IF(A119="","",IF(F119="","",ROUND(F119/60,3)))</f>
        <v>0</v>
      </c>
      <c r="M119" s="32">
        <f>IF(A119="","",IF(G119="Per batch",IF(OR(H119="",H119=0),DefaultBatchSize,H119),1))</f>
        <v>0</v>
      </c>
      <c r="N119" s="20">
        <f>IF(A119="","",IF(OR(L119="",K119=""),"",ROUND(L119*K119,2)))</f>
        <v>0</v>
      </c>
      <c r="O119" s="20">
        <f>IF(A119="","",IF(N119="","",ROUND(N119/MAX(1,M119),2)))</f>
        <v>0</v>
      </c>
      <c r="P119" s="36">
        <f>IF(A119="","",IF(F119="","",ROUND(F119/MAX(1,M119),2)))</f>
        <v>0</v>
      </c>
      <c r="Q119" s="20">
        <f>IF(A119="","",IF(L119="","",ROUND(L119/MAX(1,M119)*SuppliesPerHour,2)))</f>
        <v>0</v>
      </c>
      <c r="R119" s="20">
        <f>IF(A119="","",ROUND(SUMIFS(Labor!$O$5:$O$304,Labor!$A$5:$A$304,A119),2))</f>
        <v>0</v>
      </c>
      <c r="S119" s="33">
        <f>IF(A119="","",IF(OR(O119="",R119="",R119=0),"",O119/R119))</f>
        <v>0</v>
      </c>
      <c r="T119" s="32">
        <f>IF(A119="","",COUNTIFS($A$5:A119,A119))</f>
        <v>0</v>
      </c>
      <c r="U119" s="13">
        <f>IF(A119="","",A119&amp;"|"&amp;T119)</f>
        <v>0</v>
      </c>
      <c r="V119" s="43">
        <f>IF(A119="","",IF(B119="Not found","Check - no such product ID",IF(OR(F119="",F119=0),"Add - how many minutes?",IF(C119="","Add - which stage?",IF(AND(G119="Per batch",H119=""),"Check - using the default batch size",IF(K119&lt;MinimumWage,"Check - below minimum wage","OK"))))))</f>
        <v>0</v>
      </c>
    </row>
    <row r="120" spans="2:22">
      <c r="B120" s="13">
        <f>IF(A120="","",IFERROR(INDEX(Products!$B$5:$B$304,MATCH(A120,Products!$A$5:$A$304,0)),"Not found"))</f>
        <v>0</v>
      </c>
      <c r="K120" s="20">
        <f>IF(A120="","",IF(E120&lt;&gt;"",E120,IF(D120="Employee",ROUND(EmployeeRate*(1+PayrollBurden),2),IF(OR(D120="Contractor",D120="Outsourced"),ROUND(ContractorRate*(1+PayrollBurden),2),LaborCostHour))))</f>
        <v>0</v>
      </c>
      <c r="L120" s="41">
        <f>IF(A120="","",IF(F120="","",ROUND(F120/60,3)))</f>
        <v>0</v>
      </c>
      <c r="M120" s="32">
        <f>IF(A120="","",IF(G120="Per batch",IF(OR(H120="",H120=0),DefaultBatchSize,H120),1))</f>
        <v>0</v>
      </c>
      <c r="N120" s="20">
        <f>IF(A120="","",IF(OR(L120="",K120=""),"",ROUND(L120*K120,2)))</f>
        <v>0</v>
      </c>
      <c r="O120" s="20">
        <f>IF(A120="","",IF(N120="","",ROUND(N120/MAX(1,M120),2)))</f>
        <v>0</v>
      </c>
      <c r="P120" s="36">
        <f>IF(A120="","",IF(F120="","",ROUND(F120/MAX(1,M120),2)))</f>
        <v>0</v>
      </c>
      <c r="Q120" s="20">
        <f>IF(A120="","",IF(L120="","",ROUND(L120/MAX(1,M120)*SuppliesPerHour,2)))</f>
        <v>0</v>
      </c>
      <c r="R120" s="20">
        <f>IF(A120="","",ROUND(SUMIFS(Labor!$O$5:$O$304,Labor!$A$5:$A$304,A120),2))</f>
        <v>0</v>
      </c>
      <c r="S120" s="33">
        <f>IF(A120="","",IF(OR(O120="",R120="",R120=0),"",O120/R120))</f>
        <v>0</v>
      </c>
      <c r="T120" s="32">
        <f>IF(A120="","",COUNTIFS($A$5:A120,A120))</f>
        <v>0</v>
      </c>
      <c r="U120" s="13">
        <f>IF(A120="","",A120&amp;"|"&amp;T120)</f>
        <v>0</v>
      </c>
      <c r="V120" s="43">
        <f>IF(A120="","",IF(B120="Not found","Check - no such product ID",IF(OR(F120="",F120=0),"Add - how many minutes?",IF(C120="","Add - which stage?",IF(AND(G120="Per batch",H120=""),"Check - using the default batch size",IF(K120&lt;MinimumWage,"Check - below minimum wage","OK"))))))</f>
        <v>0</v>
      </c>
    </row>
    <row r="121" spans="2:22">
      <c r="B121" s="13">
        <f>IF(A121="","",IFERROR(INDEX(Products!$B$5:$B$304,MATCH(A121,Products!$A$5:$A$304,0)),"Not found"))</f>
        <v>0</v>
      </c>
      <c r="K121" s="20">
        <f>IF(A121="","",IF(E121&lt;&gt;"",E121,IF(D121="Employee",ROUND(EmployeeRate*(1+PayrollBurden),2),IF(OR(D121="Contractor",D121="Outsourced"),ROUND(ContractorRate*(1+PayrollBurden),2),LaborCostHour))))</f>
        <v>0</v>
      </c>
      <c r="L121" s="41">
        <f>IF(A121="","",IF(F121="","",ROUND(F121/60,3)))</f>
        <v>0</v>
      </c>
      <c r="M121" s="32">
        <f>IF(A121="","",IF(G121="Per batch",IF(OR(H121="",H121=0),DefaultBatchSize,H121),1))</f>
        <v>0</v>
      </c>
      <c r="N121" s="20">
        <f>IF(A121="","",IF(OR(L121="",K121=""),"",ROUND(L121*K121,2)))</f>
        <v>0</v>
      </c>
      <c r="O121" s="20">
        <f>IF(A121="","",IF(N121="","",ROUND(N121/MAX(1,M121),2)))</f>
        <v>0</v>
      </c>
      <c r="P121" s="36">
        <f>IF(A121="","",IF(F121="","",ROUND(F121/MAX(1,M121),2)))</f>
        <v>0</v>
      </c>
      <c r="Q121" s="20">
        <f>IF(A121="","",IF(L121="","",ROUND(L121/MAX(1,M121)*SuppliesPerHour,2)))</f>
        <v>0</v>
      </c>
      <c r="R121" s="20">
        <f>IF(A121="","",ROUND(SUMIFS(Labor!$O$5:$O$304,Labor!$A$5:$A$304,A121),2))</f>
        <v>0</v>
      </c>
      <c r="S121" s="33">
        <f>IF(A121="","",IF(OR(O121="",R121="",R121=0),"",O121/R121))</f>
        <v>0</v>
      </c>
      <c r="T121" s="32">
        <f>IF(A121="","",COUNTIFS($A$5:A121,A121))</f>
        <v>0</v>
      </c>
      <c r="U121" s="13">
        <f>IF(A121="","",A121&amp;"|"&amp;T121)</f>
        <v>0</v>
      </c>
      <c r="V121" s="43">
        <f>IF(A121="","",IF(B121="Not found","Check - no such product ID",IF(OR(F121="",F121=0),"Add - how many minutes?",IF(C121="","Add - which stage?",IF(AND(G121="Per batch",H121=""),"Check - using the default batch size",IF(K121&lt;MinimumWage,"Check - below minimum wage","OK"))))))</f>
        <v>0</v>
      </c>
    </row>
    <row r="122" spans="2:22">
      <c r="B122" s="13">
        <f>IF(A122="","",IFERROR(INDEX(Products!$B$5:$B$304,MATCH(A122,Products!$A$5:$A$304,0)),"Not found"))</f>
        <v>0</v>
      </c>
      <c r="K122" s="20">
        <f>IF(A122="","",IF(E122&lt;&gt;"",E122,IF(D122="Employee",ROUND(EmployeeRate*(1+PayrollBurden),2),IF(OR(D122="Contractor",D122="Outsourced"),ROUND(ContractorRate*(1+PayrollBurden),2),LaborCostHour))))</f>
        <v>0</v>
      </c>
      <c r="L122" s="41">
        <f>IF(A122="","",IF(F122="","",ROUND(F122/60,3)))</f>
        <v>0</v>
      </c>
      <c r="M122" s="32">
        <f>IF(A122="","",IF(G122="Per batch",IF(OR(H122="",H122=0),DefaultBatchSize,H122),1))</f>
        <v>0</v>
      </c>
      <c r="N122" s="20">
        <f>IF(A122="","",IF(OR(L122="",K122=""),"",ROUND(L122*K122,2)))</f>
        <v>0</v>
      </c>
      <c r="O122" s="20">
        <f>IF(A122="","",IF(N122="","",ROUND(N122/MAX(1,M122),2)))</f>
        <v>0</v>
      </c>
      <c r="P122" s="36">
        <f>IF(A122="","",IF(F122="","",ROUND(F122/MAX(1,M122),2)))</f>
        <v>0</v>
      </c>
      <c r="Q122" s="20">
        <f>IF(A122="","",IF(L122="","",ROUND(L122/MAX(1,M122)*SuppliesPerHour,2)))</f>
        <v>0</v>
      </c>
      <c r="R122" s="20">
        <f>IF(A122="","",ROUND(SUMIFS(Labor!$O$5:$O$304,Labor!$A$5:$A$304,A122),2))</f>
        <v>0</v>
      </c>
      <c r="S122" s="33">
        <f>IF(A122="","",IF(OR(O122="",R122="",R122=0),"",O122/R122))</f>
        <v>0</v>
      </c>
      <c r="T122" s="32">
        <f>IF(A122="","",COUNTIFS($A$5:A122,A122))</f>
        <v>0</v>
      </c>
      <c r="U122" s="13">
        <f>IF(A122="","",A122&amp;"|"&amp;T122)</f>
        <v>0</v>
      </c>
      <c r="V122" s="43">
        <f>IF(A122="","",IF(B122="Not found","Check - no such product ID",IF(OR(F122="",F122=0),"Add - how many minutes?",IF(C122="","Add - which stage?",IF(AND(G122="Per batch",H122=""),"Check - using the default batch size",IF(K122&lt;MinimumWage,"Check - below minimum wage","OK"))))))</f>
        <v>0</v>
      </c>
    </row>
    <row r="123" spans="2:22">
      <c r="B123" s="13">
        <f>IF(A123="","",IFERROR(INDEX(Products!$B$5:$B$304,MATCH(A123,Products!$A$5:$A$304,0)),"Not found"))</f>
        <v>0</v>
      </c>
      <c r="K123" s="20">
        <f>IF(A123="","",IF(E123&lt;&gt;"",E123,IF(D123="Employee",ROUND(EmployeeRate*(1+PayrollBurden),2),IF(OR(D123="Contractor",D123="Outsourced"),ROUND(ContractorRate*(1+PayrollBurden),2),LaborCostHour))))</f>
        <v>0</v>
      </c>
      <c r="L123" s="41">
        <f>IF(A123="","",IF(F123="","",ROUND(F123/60,3)))</f>
        <v>0</v>
      </c>
      <c r="M123" s="32">
        <f>IF(A123="","",IF(G123="Per batch",IF(OR(H123="",H123=0),DefaultBatchSize,H123),1))</f>
        <v>0</v>
      </c>
      <c r="N123" s="20">
        <f>IF(A123="","",IF(OR(L123="",K123=""),"",ROUND(L123*K123,2)))</f>
        <v>0</v>
      </c>
      <c r="O123" s="20">
        <f>IF(A123="","",IF(N123="","",ROUND(N123/MAX(1,M123),2)))</f>
        <v>0</v>
      </c>
      <c r="P123" s="36">
        <f>IF(A123="","",IF(F123="","",ROUND(F123/MAX(1,M123),2)))</f>
        <v>0</v>
      </c>
      <c r="Q123" s="20">
        <f>IF(A123="","",IF(L123="","",ROUND(L123/MAX(1,M123)*SuppliesPerHour,2)))</f>
        <v>0</v>
      </c>
      <c r="R123" s="20">
        <f>IF(A123="","",ROUND(SUMIFS(Labor!$O$5:$O$304,Labor!$A$5:$A$304,A123),2))</f>
        <v>0</v>
      </c>
      <c r="S123" s="33">
        <f>IF(A123="","",IF(OR(O123="",R123="",R123=0),"",O123/R123))</f>
        <v>0</v>
      </c>
      <c r="T123" s="32">
        <f>IF(A123="","",COUNTIFS($A$5:A123,A123))</f>
        <v>0</v>
      </c>
      <c r="U123" s="13">
        <f>IF(A123="","",A123&amp;"|"&amp;T123)</f>
        <v>0</v>
      </c>
      <c r="V123" s="43">
        <f>IF(A123="","",IF(B123="Not found","Check - no such product ID",IF(OR(F123="",F123=0),"Add - how many minutes?",IF(C123="","Add - which stage?",IF(AND(G123="Per batch",H123=""),"Check - using the default batch size",IF(K123&lt;MinimumWage,"Check - below minimum wage","OK"))))))</f>
        <v>0</v>
      </c>
    </row>
    <row r="124" spans="2:22">
      <c r="B124" s="13">
        <f>IF(A124="","",IFERROR(INDEX(Products!$B$5:$B$304,MATCH(A124,Products!$A$5:$A$304,0)),"Not found"))</f>
        <v>0</v>
      </c>
      <c r="K124" s="20">
        <f>IF(A124="","",IF(E124&lt;&gt;"",E124,IF(D124="Employee",ROUND(EmployeeRate*(1+PayrollBurden),2),IF(OR(D124="Contractor",D124="Outsourced"),ROUND(ContractorRate*(1+PayrollBurden),2),LaborCostHour))))</f>
        <v>0</v>
      </c>
      <c r="L124" s="41">
        <f>IF(A124="","",IF(F124="","",ROUND(F124/60,3)))</f>
        <v>0</v>
      </c>
      <c r="M124" s="32">
        <f>IF(A124="","",IF(G124="Per batch",IF(OR(H124="",H124=0),DefaultBatchSize,H124),1))</f>
        <v>0</v>
      </c>
      <c r="N124" s="20">
        <f>IF(A124="","",IF(OR(L124="",K124=""),"",ROUND(L124*K124,2)))</f>
        <v>0</v>
      </c>
      <c r="O124" s="20">
        <f>IF(A124="","",IF(N124="","",ROUND(N124/MAX(1,M124),2)))</f>
        <v>0</v>
      </c>
      <c r="P124" s="36">
        <f>IF(A124="","",IF(F124="","",ROUND(F124/MAX(1,M124),2)))</f>
        <v>0</v>
      </c>
      <c r="Q124" s="20">
        <f>IF(A124="","",IF(L124="","",ROUND(L124/MAX(1,M124)*SuppliesPerHour,2)))</f>
        <v>0</v>
      </c>
      <c r="R124" s="20">
        <f>IF(A124="","",ROUND(SUMIFS(Labor!$O$5:$O$304,Labor!$A$5:$A$304,A124),2))</f>
        <v>0</v>
      </c>
      <c r="S124" s="33">
        <f>IF(A124="","",IF(OR(O124="",R124="",R124=0),"",O124/R124))</f>
        <v>0</v>
      </c>
      <c r="T124" s="32">
        <f>IF(A124="","",COUNTIFS($A$5:A124,A124))</f>
        <v>0</v>
      </c>
      <c r="U124" s="13">
        <f>IF(A124="","",A124&amp;"|"&amp;T124)</f>
        <v>0</v>
      </c>
      <c r="V124" s="43">
        <f>IF(A124="","",IF(B124="Not found","Check - no such product ID",IF(OR(F124="",F124=0),"Add - how many minutes?",IF(C124="","Add - which stage?",IF(AND(G124="Per batch",H124=""),"Check - using the default batch size",IF(K124&lt;MinimumWage,"Check - below minimum wage","OK"))))))</f>
        <v>0</v>
      </c>
    </row>
    <row r="125" spans="2:22">
      <c r="B125" s="13">
        <f>IF(A125="","",IFERROR(INDEX(Products!$B$5:$B$304,MATCH(A125,Products!$A$5:$A$304,0)),"Not found"))</f>
        <v>0</v>
      </c>
      <c r="K125" s="20">
        <f>IF(A125="","",IF(E125&lt;&gt;"",E125,IF(D125="Employee",ROUND(EmployeeRate*(1+PayrollBurden),2),IF(OR(D125="Contractor",D125="Outsourced"),ROUND(ContractorRate*(1+PayrollBurden),2),LaborCostHour))))</f>
        <v>0</v>
      </c>
      <c r="L125" s="41">
        <f>IF(A125="","",IF(F125="","",ROUND(F125/60,3)))</f>
        <v>0</v>
      </c>
      <c r="M125" s="32">
        <f>IF(A125="","",IF(G125="Per batch",IF(OR(H125="",H125=0),DefaultBatchSize,H125),1))</f>
        <v>0</v>
      </c>
      <c r="N125" s="20">
        <f>IF(A125="","",IF(OR(L125="",K125=""),"",ROUND(L125*K125,2)))</f>
        <v>0</v>
      </c>
      <c r="O125" s="20">
        <f>IF(A125="","",IF(N125="","",ROUND(N125/MAX(1,M125),2)))</f>
        <v>0</v>
      </c>
      <c r="P125" s="36">
        <f>IF(A125="","",IF(F125="","",ROUND(F125/MAX(1,M125),2)))</f>
        <v>0</v>
      </c>
      <c r="Q125" s="20">
        <f>IF(A125="","",IF(L125="","",ROUND(L125/MAX(1,M125)*SuppliesPerHour,2)))</f>
        <v>0</v>
      </c>
      <c r="R125" s="20">
        <f>IF(A125="","",ROUND(SUMIFS(Labor!$O$5:$O$304,Labor!$A$5:$A$304,A125),2))</f>
        <v>0</v>
      </c>
      <c r="S125" s="33">
        <f>IF(A125="","",IF(OR(O125="",R125="",R125=0),"",O125/R125))</f>
        <v>0</v>
      </c>
      <c r="T125" s="32">
        <f>IF(A125="","",COUNTIFS($A$5:A125,A125))</f>
        <v>0</v>
      </c>
      <c r="U125" s="13">
        <f>IF(A125="","",A125&amp;"|"&amp;T125)</f>
        <v>0</v>
      </c>
      <c r="V125" s="43">
        <f>IF(A125="","",IF(B125="Not found","Check - no such product ID",IF(OR(F125="",F125=0),"Add - how many minutes?",IF(C125="","Add - which stage?",IF(AND(G125="Per batch",H125=""),"Check - using the default batch size",IF(K125&lt;MinimumWage,"Check - below minimum wage","OK"))))))</f>
        <v>0</v>
      </c>
    </row>
    <row r="126" spans="2:22">
      <c r="B126" s="13">
        <f>IF(A126="","",IFERROR(INDEX(Products!$B$5:$B$304,MATCH(A126,Products!$A$5:$A$304,0)),"Not found"))</f>
        <v>0</v>
      </c>
      <c r="K126" s="20">
        <f>IF(A126="","",IF(E126&lt;&gt;"",E126,IF(D126="Employee",ROUND(EmployeeRate*(1+PayrollBurden),2),IF(OR(D126="Contractor",D126="Outsourced"),ROUND(ContractorRate*(1+PayrollBurden),2),LaborCostHour))))</f>
        <v>0</v>
      </c>
      <c r="L126" s="41">
        <f>IF(A126="","",IF(F126="","",ROUND(F126/60,3)))</f>
        <v>0</v>
      </c>
      <c r="M126" s="32">
        <f>IF(A126="","",IF(G126="Per batch",IF(OR(H126="",H126=0),DefaultBatchSize,H126),1))</f>
        <v>0</v>
      </c>
      <c r="N126" s="20">
        <f>IF(A126="","",IF(OR(L126="",K126=""),"",ROUND(L126*K126,2)))</f>
        <v>0</v>
      </c>
      <c r="O126" s="20">
        <f>IF(A126="","",IF(N126="","",ROUND(N126/MAX(1,M126),2)))</f>
        <v>0</v>
      </c>
      <c r="P126" s="36">
        <f>IF(A126="","",IF(F126="","",ROUND(F126/MAX(1,M126),2)))</f>
        <v>0</v>
      </c>
      <c r="Q126" s="20">
        <f>IF(A126="","",IF(L126="","",ROUND(L126/MAX(1,M126)*SuppliesPerHour,2)))</f>
        <v>0</v>
      </c>
      <c r="R126" s="20">
        <f>IF(A126="","",ROUND(SUMIFS(Labor!$O$5:$O$304,Labor!$A$5:$A$304,A126),2))</f>
        <v>0</v>
      </c>
      <c r="S126" s="33">
        <f>IF(A126="","",IF(OR(O126="",R126="",R126=0),"",O126/R126))</f>
        <v>0</v>
      </c>
      <c r="T126" s="32">
        <f>IF(A126="","",COUNTIFS($A$5:A126,A126))</f>
        <v>0</v>
      </c>
      <c r="U126" s="13">
        <f>IF(A126="","",A126&amp;"|"&amp;T126)</f>
        <v>0</v>
      </c>
      <c r="V126" s="43">
        <f>IF(A126="","",IF(B126="Not found","Check - no such product ID",IF(OR(F126="",F126=0),"Add - how many minutes?",IF(C126="","Add - which stage?",IF(AND(G126="Per batch",H126=""),"Check - using the default batch size",IF(K126&lt;MinimumWage,"Check - below minimum wage","OK"))))))</f>
        <v>0</v>
      </c>
    </row>
    <row r="127" spans="2:22">
      <c r="B127" s="13">
        <f>IF(A127="","",IFERROR(INDEX(Products!$B$5:$B$304,MATCH(A127,Products!$A$5:$A$304,0)),"Not found"))</f>
        <v>0</v>
      </c>
      <c r="K127" s="20">
        <f>IF(A127="","",IF(E127&lt;&gt;"",E127,IF(D127="Employee",ROUND(EmployeeRate*(1+PayrollBurden),2),IF(OR(D127="Contractor",D127="Outsourced"),ROUND(ContractorRate*(1+PayrollBurden),2),LaborCostHour))))</f>
        <v>0</v>
      </c>
      <c r="L127" s="41">
        <f>IF(A127="","",IF(F127="","",ROUND(F127/60,3)))</f>
        <v>0</v>
      </c>
      <c r="M127" s="32">
        <f>IF(A127="","",IF(G127="Per batch",IF(OR(H127="",H127=0),DefaultBatchSize,H127),1))</f>
        <v>0</v>
      </c>
      <c r="N127" s="20">
        <f>IF(A127="","",IF(OR(L127="",K127=""),"",ROUND(L127*K127,2)))</f>
        <v>0</v>
      </c>
      <c r="O127" s="20">
        <f>IF(A127="","",IF(N127="","",ROUND(N127/MAX(1,M127),2)))</f>
        <v>0</v>
      </c>
      <c r="P127" s="36">
        <f>IF(A127="","",IF(F127="","",ROUND(F127/MAX(1,M127),2)))</f>
        <v>0</v>
      </c>
      <c r="Q127" s="20">
        <f>IF(A127="","",IF(L127="","",ROUND(L127/MAX(1,M127)*SuppliesPerHour,2)))</f>
        <v>0</v>
      </c>
      <c r="R127" s="20">
        <f>IF(A127="","",ROUND(SUMIFS(Labor!$O$5:$O$304,Labor!$A$5:$A$304,A127),2))</f>
        <v>0</v>
      </c>
      <c r="S127" s="33">
        <f>IF(A127="","",IF(OR(O127="",R127="",R127=0),"",O127/R127))</f>
        <v>0</v>
      </c>
      <c r="T127" s="32">
        <f>IF(A127="","",COUNTIFS($A$5:A127,A127))</f>
        <v>0</v>
      </c>
      <c r="U127" s="13">
        <f>IF(A127="","",A127&amp;"|"&amp;T127)</f>
        <v>0</v>
      </c>
      <c r="V127" s="43">
        <f>IF(A127="","",IF(B127="Not found","Check - no such product ID",IF(OR(F127="",F127=0),"Add - how many minutes?",IF(C127="","Add - which stage?",IF(AND(G127="Per batch",H127=""),"Check - using the default batch size",IF(K127&lt;MinimumWage,"Check - below minimum wage","OK"))))))</f>
        <v>0</v>
      </c>
    </row>
    <row r="128" spans="2:22">
      <c r="B128" s="13">
        <f>IF(A128="","",IFERROR(INDEX(Products!$B$5:$B$304,MATCH(A128,Products!$A$5:$A$304,0)),"Not found"))</f>
        <v>0</v>
      </c>
      <c r="K128" s="20">
        <f>IF(A128="","",IF(E128&lt;&gt;"",E128,IF(D128="Employee",ROUND(EmployeeRate*(1+PayrollBurden),2),IF(OR(D128="Contractor",D128="Outsourced"),ROUND(ContractorRate*(1+PayrollBurden),2),LaborCostHour))))</f>
        <v>0</v>
      </c>
      <c r="L128" s="41">
        <f>IF(A128="","",IF(F128="","",ROUND(F128/60,3)))</f>
        <v>0</v>
      </c>
      <c r="M128" s="32">
        <f>IF(A128="","",IF(G128="Per batch",IF(OR(H128="",H128=0),DefaultBatchSize,H128),1))</f>
        <v>0</v>
      </c>
      <c r="N128" s="20">
        <f>IF(A128="","",IF(OR(L128="",K128=""),"",ROUND(L128*K128,2)))</f>
        <v>0</v>
      </c>
      <c r="O128" s="20">
        <f>IF(A128="","",IF(N128="","",ROUND(N128/MAX(1,M128),2)))</f>
        <v>0</v>
      </c>
      <c r="P128" s="36">
        <f>IF(A128="","",IF(F128="","",ROUND(F128/MAX(1,M128),2)))</f>
        <v>0</v>
      </c>
      <c r="Q128" s="20">
        <f>IF(A128="","",IF(L128="","",ROUND(L128/MAX(1,M128)*SuppliesPerHour,2)))</f>
        <v>0</v>
      </c>
      <c r="R128" s="20">
        <f>IF(A128="","",ROUND(SUMIFS(Labor!$O$5:$O$304,Labor!$A$5:$A$304,A128),2))</f>
        <v>0</v>
      </c>
      <c r="S128" s="33">
        <f>IF(A128="","",IF(OR(O128="",R128="",R128=0),"",O128/R128))</f>
        <v>0</v>
      </c>
      <c r="T128" s="32">
        <f>IF(A128="","",COUNTIFS($A$5:A128,A128))</f>
        <v>0</v>
      </c>
      <c r="U128" s="13">
        <f>IF(A128="","",A128&amp;"|"&amp;T128)</f>
        <v>0</v>
      </c>
      <c r="V128" s="43">
        <f>IF(A128="","",IF(B128="Not found","Check - no such product ID",IF(OR(F128="",F128=0),"Add - how many minutes?",IF(C128="","Add - which stage?",IF(AND(G128="Per batch",H128=""),"Check - using the default batch size",IF(K128&lt;MinimumWage,"Check - below minimum wage","OK"))))))</f>
        <v>0</v>
      </c>
    </row>
    <row r="129" spans="2:22">
      <c r="B129" s="13">
        <f>IF(A129="","",IFERROR(INDEX(Products!$B$5:$B$304,MATCH(A129,Products!$A$5:$A$304,0)),"Not found"))</f>
        <v>0</v>
      </c>
      <c r="K129" s="20">
        <f>IF(A129="","",IF(E129&lt;&gt;"",E129,IF(D129="Employee",ROUND(EmployeeRate*(1+PayrollBurden),2),IF(OR(D129="Contractor",D129="Outsourced"),ROUND(ContractorRate*(1+PayrollBurden),2),LaborCostHour))))</f>
        <v>0</v>
      </c>
      <c r="L129" s="41">
        <f>IF(A129="","",IF(F129="","",ROUND(F129/60,3)))</f>
        <v>0</v>
      </c>
      <c r="M129" s="32">
        <f>IF(A129="","",IF(G129="Per batch",IF(OR(H129="",H129=0),DefaultBatchSize,H129),1))</f>
        <v>0</v>
      </c>
      <c r="N129" s="20">
        <f>IF(A129="","",IF(OR(L129="",K129=""),"",ROUND(L129*K129,2)))</f>
        <v>0</v>
      </c>
      <c r="O129" s="20">
        <f>IF(A129="","",IF(N129="","",ROUND(N129/MAX(1,M129),2)))</f>
        <v>0</v>
      </c>
      <c r="P129" s="36">
        <f>IF(A129="","",IF(F129="","",ROUND(F129/MAX(1,M129),2)))</f>
        <v>0</v>
      </c>
      <c r="Q129" s="20">
        <f>IF(A129="","",IF(L129="","",ROUND(L129/MAX(1,M129)*SuppliesPerHour,2)))</f>
        <v>0</v>
      </c>
      <c r="R129" s="20">
        <f>IF(A129="","",ROUND(SUMIFS(Labor!$O$5:$O$304,Labor!$A$5:$A$304,A129),2))</f>
        <v>0</v>
      </c>
      <c r="S129" s="33">
        <f>IF(A129="","",IF(OR(O129="",R129="",R129=0),"",O129/R129))</f>
        <v>0</v>
      </c>
      <c r="T129" s="32">
        <f>IF(A129="","",COUNTIFS($A$5:A129,A129))</f>
        <v>0</v>
      </c>
      <c r="U129" s="13">
        <f>IF(A129="","",A129&amp;"|"&amp;T129)</f>
        <v>0</v>
      </c>
      <c r="V129" s="43">
        <f>IF(A129="","",IF(B129="Not found","Check - no such product ID",IF(OR(F129="",F129=0),"Add - how many minutes?",IF(C129="","Add - which stage?",IF(AND(G129="Per batch",H129=""),"Check - using the default batch size",IF(K129&lt;MinimumWage,"Check - below minimum wage","OK"))))))</f>
        <v>0</v>
      </c>
    </row>
    <row r="130" spans="2:22">
      <c r="B130" s="13">
        <f>IF(A130="","",IFERROR(INDEX(Products!$B$5:$B$304,MATCH(A130,Products!$A$5:$A$304,0)),"Not found"))</f>
        <v>0</v>
      </c>
      <c r="K130" s="20">
        <f>IF(A130="","",IF(E130&lt;&gt;"",E130,IF(D130="Employee",ROUND(EmployeeRate*(1+PayrollBurden),2),IF(OR(D130="Contractor",D130="Outsourced"),ROUND(ContractorRate*(1+PayrollBurden),2),LaborCostHour))))</f>
        <v>0</v>
      </c>
      <c r="L130" s="41">
        <f>IF(A130="","",IF(F130="","",ROUND(F130/60,3)))</f>
        <v>0</v>
      </c>
      <c r="M130" s="32">
        <f>IF(A130="","",IF(G130="Per batch",IF(OR(H130="",H130=0),DefaultBatchSize,H130),1))</f>
        <v>0</v>
      </c>
      <c r="N130" s="20">
        <f>IF(A130="","",IF(OR(L130="",K130=""),"",ROUND(L130*K130,2)))</f>
        <v>0</v>
      </c>
      <c r="O130" s="20">
        <f>IF(A130="","",IF(N130="","",ROUND(N130/MAX(1,M130),2)))</f>
        <v>0</v>
      </c>
      <c r="P130" s="36">
        <f>IF(A130="","",IF(F130="","",ROUND(F130/MAX(1,M130),2)))</f>
        <v>0</v>
      </c>
      <c r="Q130" s="20">
        <f>IF(A130="","",IF(L130="","",ROUND(L130/MAX(1,M130)*SuppliesPerHour,2)))</f>
        <v>0</v>
      </c>
      <c r="R130" s="20">
        <f>IF(A130="","",ROUND(SUMIFS(Labor!$O$5:$O$304,Labor!$A$5:$A$304,A130),2))</f>
        <v>0</v>
      </c>
      <c r="S130" s="33">
        <f>IF(A130="","",IF(OR(O130="",R130="",R130=0),"",O130/R130))</f>
        <v>0</v>
      </c>
      <c r="T130" s="32">
        <f>IF(A130="","",COUNTIFS($A$5:A130,A130))</f>
        <v>0</v>
      </c>
      <c r="U130" s="13">
        <f>IF(A130="","",A130&amp;"|"&amp;T130)</f>
        <v>0</v>
      </c>
      <c r="V130" s="43">
        <f>IF(A130="","",IF(B130="Not found","Check - no such product ID",IF(OR(F130="",F130=0),"Add - how many minutes?",IF(C130="","Add - which stage?",IF(AND(G130="Per batch",H130=""),"Check - using the default batch size",IF(K130&lt;MinimumWage,"Check - below minimum wage","OK"))))))</f>
        <v>0</v>
      </c>
    </row>
    <row r="131" spans="2:22">
      <c r="B131" s="13">
        <f>IF(A131="","",IFERROR(INDEX(Products!$B$5:$B$304,MATCH(A131,Products!$A$5:$A$304,0)),"Not found"))</f>
        <v>0</v>
      </c>
      <c r="K131" s="20">
        <f>IF(A131="","",IF(E131&lt;&gt;"",E131,IF(D131="Employee",ROUND(EmployeeRate*(1+PayrollBurden),2),IF(OR(D131="Contractor",D131="Outsourced"),ROUND(ContractorRate*(1+PayrollBurden),2),LaborCostHour))))</f>
        <v>0</v>
      </c>
      <c r="L131" s="41">
        <f>IF(A131="","",IF(F131="","",ROUND(F131/60,3)))</f>
        <v>0</v>
      </c>
      <c r="M131" s="32">
        <f>IF(A131="","",IF(G131="Per batch",IF(OR(H131="",H131=0),DefaultBatchSize,H131),1))</f>
        <v>0</v>
      </c>
      <c r="N131" s="20">
        <f>IF(A131="","",IF(OR(L131="",K131=""),"",ROUND(L131*K131,2)))</f>
        <v>0</v>
      </c>
      <c r="O131" s="20">
        <f>IF(A131="","",IF(N131="","",ROUND(N131/MAX(1,M131),2)))</f>
        <v>0</v>
      </c>
      <c r="P131" s="36">
        <f>IF(A131="","",IF(F131="","",ROUND(F131/MAX(1,M131),2)))</f>
        <v>0</v>
      </c>
      <c r="Q131" s="20">
        <f>IF(A131="","",IF(L131="","",ROUND(L131/MAX(1,M131)*SuppliesPerHour,2)))</f>
        <v>0</v>
      </c>
      <c r="R131" s="20">
        <f>IF(A131="","",ROUND(SUMIFS(Labor!$O$5:$O$304,Labor!$A$5:$A$304,A131),2))</f>
        <v>0</v>
      </c>
      <c r="S131" s="33">
        <f>IF(A131="","",IF(OR(O131="",R131="",R131=0),"",O131/R131))</f>
        <v>0</v>
      </c>
      <c r="T131" s="32">
        <f>IF(A131="","",COUNTIFS($A$5:A131,A131))</f>
        <v>0</v>
      </c>
      <c r="U131" s="13">
        <f>IF(A131="","",A131&amp;"|"&amp;T131)</f>
        <v>0</v>
      </c>
      <c r="V131" s="43">
        <f>IF(A131="","",IF(B131="Not found","Check - no such product ID",IF(OR(F131="",F131=0),"Add - how many minutes?",IF(C131="","Add - which stage?",IF(AND(G131="Per batch",H131=""),"Check - using the default batch size",IF(K131&lt;MinimumWage,"Check - below minimum wage","OK"))))))</f>
        <v>0</v>
      </c>
    </row>
    <row r="132" spans="2:22">
      <c r="B132" s="13">
        <f>IF(A132="","",IFERROR(INDEX(Products!$B$5:$B$304,MATCH(A132,Products!$A$5:$A$304,0)),"Not found"))</f>
        <v>0</v>
      </c>
      <c r="K132" s="20">
        <f>IF(A132="","",IF(E132&lt;&gt;"",E132,IF(D132="Employee",ROUND(EmployeeRate*(1+PayrollBurden),2),IF(OR(D132="Contractor",D132="Outsourced"),ROUND(ContractorRate*(1+PayrollBurden),2),LaborCostHour))))</f>
        <v>0</v>
      </c>
      <c r="L132" s="41">
        <f>IF(A132="","",IF(F132="","",ROUND(F132/60,3)))</f>
        <v>0</v>
      </c>
      <c r="M132" s="32">
        <f>IF(A132="","",IF(G132="Per batch",IF(OR(H132="",H132=0),DefaultBatchSize,H132),1))</f>
        <v>0</v>
      </c>
      <c r="N132" s="20">
        <f>IF(A132="","",IF(OR(L132="",K132=""),"",ROUND(L132*K132,2)))</f>
        <v>0</v>
      </c>
      <c r="O132" s="20">
        <f>IF(A132="","",IF(N132="","",ROUND(N132/MAX(1,M132),2)))</f>
        <v>0</v>
      </c>
      <c r="P132" s="36">
        <f>IF(A132="","",IF(F132="","",ROUND(F132/MAX(1,M132),2)))</f>
        <v>0</v>
      </c>
      <c r="Q132" s="20">
        <f>IF(A132="","",IF(L132="","",ROUND(L132/MAX(1,M132)*SuppliesPerHour,2)))</f>
        <v>0</v>
      </c>
      <c r="R132" s="20">
        <f>IF(A132="","",ROUND(SUMIFS(Labor!$O$5:$O$304,Labor!$A$5:$A$304,A132),2))</f>
        <v>0</v>
      </c>
      <c r="S132" s="33">
        <f>IF(A132="","",IF(OR(O132="",R132="",R132=0),"",O132/R132))</f>
        <v>0</v>
      </c>
      <c r="T132" s="32">
        <f>IF(A132="","",COUNTIFS($A$5:A132,A132))</f>
        <v>0</v>
      </c>
      <c r="U132" s="13">
        <f>IF(A132="","",A132&amp;"|"&amp;T132)</f>
        <v>0</v>
      </c>
      <c r="V132" s="43">
        <f>IF(A132="","",IF(B132="Not found","Check - no such product ID",IF(OR(F132="",F132=0),"Add - how many minutes?",IF(C132="","Add - which stage?",IF(AND(G132="Per batch",H132=""),"Check - using the default batch size",IF(K132&lt;MinimumWage,"Check - below minimum wage","OK"))))))</f>
        <v>0</v>
      </c>
    </row>
    <row r="133" spans="2:22">
      <c r="B133" s="13">
        <f>IF(A133="","",IFERROR(INDEX(Products!$B$5:$B$304,MATCH(A133,Products!$A$5:$A$304,0)),"Not found"))</f>
        <v>0</v>
      </c>
      <c r="K133" s="20">
        <f>IF(A133="","",IF(E133&lt;&gt;"",E133,IF(D133="Employee",ROUND(EmployeeRate*(1+PayrollBurden),2),IF(OR(D133="Contractor",D133="Outsourced"),ROUND(ContractorRate*(1+PayrollBurden),2),LaborCostHour))))</f>
        <v>0</v>
      </c>
      <c r="L133" s="41">
        <f>IF(A133="","",IF(F133="","",ROUND(F133/60,3)))</f>
        <v>0</v>
      </c>
      <c r="M133" s="32">
        <f>IF(A133="","",IF(G133="Per batch",IF(OR(H133="",H133=0),DefaultBatchSize,H133),1))</f>
        <v>0</v>
      </c>
      <c r="N133" s="20">
        <f>IF(A133="","",IF(OR(L133="",K133=""),"",ROUND(L133*K133,2)))</f>
        <v>0</v>
      </c>
      <c r="O133" s="20">
        <f>IF(A133="","",IF(N133="","",ROUND(N133/MAX(1,M133),2)))</f>
        <v>0</v>
      </c>
      <c r="P133" s="36">
        <f>IF(A133="","",IF(F133="","",ROUND(F133/MAX(1,M133),2)))</f>
        <v>0</v>
      </c>
      <c r="Q133" s="20">
        <f>IF(A133="","",IF(L133="","",ROUND(L133/MAX(1,M133)*SuppliesPerHour,2)))</f>
        <v>0</v>
      </c>
      <c r="R133" s="20">
        <f>IF(A133="","",ROUND(SUMIFS(Labor!$O$5:$O$304,Labor!$A$5:$A$304,A133),2))</f>
        <v>0</v>
      </c>
      <c r="S133" s="33">
        <f>IF(A133="","",IF(OR(O133="",R133="",R133=0),"",O133/R133))</f>
        <v>0</v>
      </c>
      <c r="T133" s="32">
        <f>IF(A133="","",COUNTIFS($A$5:A133,A133))</f>
        <v>0</v>
      </c>
      <c r="U133" s="13">
        <f>IF(A133="","",A133&amp;"|"&amp;T133)</f>
        <v>0</v>
      </c>
      <c r="V133" s="43">
        <f>IF(A133="","",IF(B133="Not found","Check - no such product ID",IF(OR(F133="",F133=0),"Add - how many minutes?",IF(C133="","Add - which stage?",IF(AND(G133="Per batch",H133=""),"Check - using the default batch size",IF(K133&lt;MinimumWage,"Check - below minimum wage","OK"))))))</f>
        <v>0</v>
      </c>
    </row>
    <row r="134" spans="2:22">
      <c r="B134" s="13">
        <f>IF(A134="","",IFERROR(INDEX(Products!$B$5:$B$304,MATCH(A134,Products!$A$5:$A$304,0)),"Not found"))</f>
        <v>0</v>
      </c>
      <c r="K134" s="20">
        <f>IF(A134="","",IF(E134&lt;&gt;"",E134,IF(D134="Employee",ROUND(EmployeeRate*(1+PayrollBurden),2),IF(OR(D134="Contractor",D134="Outsourced"),ROUND(ContractorRate*(1+PayrollBurden),2),LaborCostHour))))</f>
        <v>0</v>
      </c>
      <c r="L134" s="41">
        <f>IF(A134="","",IF(F134="","",ROUND(F134/60,3)))</f>
        <v>0</v>
      </c>
      <c r="M134" s="32">
        <f>IF(A134="","",IF(G134="Per batch",IF(OR(H134="",H134=0),DefaultBatchSize,H134),1))</f>
        <v>0</v>
      </c>
      <c r="N134" s="20">
        <f>IF(A134="","",IF(OR(L134="",K134=""),"",ROUND(L134*K134,2)))</f>
        <v>0</v>
      </c>
      <c r="O134" s="20">
        <f>IF(A134="","",IF(N134="","",ROUND(N134/MAX(1,M134),2)))</f>
        <v>0</v>
      </c>
      <c r="P134" s="36">
        <f>IF(A134="","",IF(F134="","",ROUND(F134/MAX(1,M134),2)))</f>
        <v>0</v>
      </c>
      <c r="Q134" s="20">
        <f>IF(A134="","",IF(L134="","",ROUND(L134/MAX(1,M134)*SuppliesPerHour,2)))</f>
        <v>0</v>
      </c>
      <c r="R134" s="20">
        <f>IF(A134="","",ROUND(SUMIFS(Labor!$O$5:$O$304,Labor!$A$5:$A$304,A134),2))</f>
        <v>0</v>
      </c>
      <c r="S134" s="33">
        <f>IF(A134="","",IF(OR(O134="",R134="",R134=0),"",O134/R134))</f>
        <v>0</v>
      </c>
      <c r="T134" s="32">
        <f>IF(A134="","",COUNTIFS($A$5:A134,A134))</f>
        <v>0</v>
      </c>
      <c r="U134" s="13">
        <f>IF(A134="","",A134&amp;"|"&amp;T134)</f>
        <v>0</v>
      </c>
      <c r="V134" s="43">
        <f>IF(A134="","",IF(B134="Not found","Check - no such product ID",IF(OR(F134="",F134=0),"Add - how many minutes?",IF(C134="","Add - which stage?",IF(AND(G134="Per batch",H134=""),"Check - using the default batch size",IF(K134&lt;MinimumWage,"Check - below minimum wage","OK"))))))</f>
        <v>0</v>
      </c>
    </row>
    <row r="135" spans="2:22">
      <c r="B135" s="13">
        <f>IF(A135="","",IFERROR(INDEX(Products!$B$5:$B$304,MATCH(A135,Products!$A$5:$A$304,0)),"Not found"))</f>
        <v>0</v>
      </c>
      <c r="K135" s="20">
        <f>IF(A135="","",IF(E135&lt;&gt;"",E135,IF(D135="Employee",ROUND(EmployeeRate*(1+PayrollBurden),2),IF(OR(D135="Contractor",D135="Outsourced"),ROUND(ContractorRate*(1+PayrollBurden),2),LaborCostHour))))</f>
        <v>0</v>
      </c>
      <c r="L135" s="41">
        <f>IF(A135="","",IF(F135="","",ROUND(F135/60,3)))</f>
        <v>0</v>
      </c>
      <c r="M135" s="32">
        <f>IF(A135="","",IF(G135="Per batch",IF(OR(H135="",H135=0),DefaultBatchSize,H135),1))</f>
        <v>0</v>
      </c>
      <c r="N135" s="20">
        <f>IF(A135="","",IF(OR(L135="",K135=""),"",ROUND(L135*K135,2)))</f>
        <v>0</v>
      </c>
      <c r="O135" s="20">
        <f>IF(A135="","",IF(N135="","",ROUND(N135/MAX(1,M135),2)))</f>
        <v>0</v>
      </c>
      <c r="P135" s="36">
        <f>IF(A135="","",IF(F135="","",ROUND(F135/MAX(1,M135),2)))</f>
        <v>0</v>
      </c>
      <c r="Q135" s="20">
        <f>IF(A135="","",IF(L135="","",ROUND(L135/MAX(1,M135)*SuppliesPerHour,2)))</f>
        <v>0</v>
      </c>
      <c r="R135" s="20">
        <f>IF(A135="","",ROUND(SUMIFS(Labor!$O$5:$O$304,Labor!$A$5:$A$304,A135),2))</f>
        <v>0</v>
      </c>
      <c r="S135" s="33">
        <f>IF(A135="","",IF(OR(O135="",R135="",R135=0),"",O135/R135))</f>
        <v>0</v>
      </c>
      <c r="T135" s="32">
        <f>IF(A135="","",COUNTIFS($A$5:A135,A135))</f>
        <v>0</v>
      </c>
      <c r="U135" s="13">
        <f>IF(A135="","",A135&amp;"|"&amp;T135)</f>
        <v>0</v>
      </c>
      <c r="V135" s="43">
        <f>IF(A135="","",IF(B135="Not found","Check - no such product ID",IF(OR(F135="",F135=0),"Add - how many minutes?",IF(C135="","Add - which stage?",IF(AND(G135="Per batch",H135=""),"Check - using the default batch size",IF(K135&lt;MinimumWage,"Check - below minimum wage","OK"))))))</f>
        <v>0</v>
      </c>
    </row>
    <row r="136" spans="2:22">
      <c r="B136" s="13">
        <f>IF(A136="","",IFERROR(INDEX(Products!$B$5:$B$304,MATCH(A136,Products!$A$5:$A$304,0)),"Not found"))</f>
        <v>0</v>
      </c>
      <c r="K136" s="20">
        <f>IF(A136="","",IF(E136&lt;&gt;"",E136,IF(D136="Employee",ROUND(EmployeeRate*(1+PayrollBurden),2),IF(OR(D136="Contractor",D136="Outsourced"),ROUND(ContractorRate*(1+PayrollBurden),2),LaborCostHour))))</f>
        <v>0</v>
      </c>
      <c r="L136" s="41">
        <f>IF(A136="","",IF(F136="","",ROUND(F136/60,3)))</f>
        <v>0</v>
      </c>
      <c r="M136" s="32">
        <f>IF(A136="","",IF(G136="Per batch",IF(OR(H136="",H136=0),DefaultBatchSize,H136),1))</f>
        <v>0</v>
      </c>
      <c r="N136" s="20">
        <f>IF(A136="","",IF(OR(L136="",K136=""),"",ROUND(L136*K136,2)))</f>
        <v>0</v>
      </c>
      <c r="O136" s="20">
        <f>IF(A136="","",IF(N136="","",ROUND(N136/MAX(1,M136),2)))</f>
        <v>0</v>
      </c>
      <c r="P136" s="36">
        <f>IF(A136="","",IF(F136="","",ROUND(F136/MAX(1,M136),2)))</f>
        <v>0</v>
      </c>
      <c r="Q136" s="20">
        <f>IF(A136="","",IF(L136="","",ROUND(L136/MAX(1,M136)*SuppliesPerHour,2)))</f>
        <v>0</v>
      </c>
      <c r="R136" s="20">
        <f>IF(A136="","",ROUND(SUMIFS(Labor!$O$5:$O$304,Labor!$A$5:$A$304,A136),2))</f>
        <v>0</v>
      </c>
      <c r="S136" s="33">
        <f>IF(A136="","",IF(OR(O136="",R136="",R136=0),"",O136/R136))</f>
        <v>0</v>
      </c>
      <c r="T136" s="32">
        <f>IF(A136="","",COUNTIFS($A$5:A136,A136))</f>
        <v>0</v>
      </c>
      <c r="U136" s="13">
        <f>IF(A136="","",A136&amp;"|"&amp;T136)</f>
        <v>0</v>
      </c>
      <c r="V136" s="43">
        <f>IF(A136="","",IF(B136="Not found","Check - no such product ID",IF(OR(F136="",F136=0),"Add - how many minutes?",IF(C136="","Add - which stage?",IF(AND(G136="Per batch",H136=""),"Check - using the default batch size",IF(K136&lt;MinimumWage,"Check - below minimum wage","OK"))))))</f>
        <v>0</v>
      </c>
    </row>
    <row r="137" spans="2:22">
      <c r="B137" s="13">
        <f>IF(A137="","",IFERROR(INDEX(Products!$B$5:$B$304,MATCH(A137,Products!$A$5:$A$304,0)),"Not found"))</f>
        <v>0</v>
      </c>
      <c r="K137" s="20">
        <f>IF(A137="","",IF(E137&lt;&gt;"",E137,IF(D137="Employee",ROUND(EmployeeRate*(1+PayrollBurden),2),IF(OR(D137="Contractor",D137="Outsourced"),ROUND(ContractorRate*(1+PayrollBurden),2),LaborCostHour))))</f>
        <v>0</v>
      </c>
      <c r="L137" s="41">
        <f>IF(A137="","",IF(F137="","",ROUND(F137/60,3)))</f>
        <v>0</v>
      </c>
      <c r="M137" s="32">
        <f>IF(A137="","",IF(G137="Per batch",IF(OR(H137="",H137=0),DefaultBatchSize,H137),1))</f>
        <v>0</v>
      </c>
      <c r="N137" s="20">
        <f>IF(A137="","",IF(OR(L137="",K137=""),"",ROUND(L137*K137,2)))</f>
        <v>0</v>
      </c>
      <c r="O137" s="20">
        <f>IF(A137="","",IF(N137="","",ROUND(N137/MAX(1,M137),2)))</f>
        <v>0</v>
      </c>
      <c r="P137" s="36">
        <f>IF(A137="","",IF(F137="","",ROUND(F137/MAX(1,M137),2)))</f>
        <v>0</v>
      </c>
      <c r="Q137" s="20">
        <f>IF(A137="","",IF(L137="","",ROUND(L137/MAX(1,M137)*SuppliesPerHour,2)))</f>
        <v>0</v>
      </c>
      <c r="R137" s="20">
        <f>IF(A137="","",ROUND(SUMIFS(Labor!$O$5:$O$304,Labor!$A$5:$A$304,A137),2))</f>
        <v>0</v>
      </c>
      <c r="S137" s="33">
        <f>IF(A137="","",IF(OR(O137="",R137="",R137=0),"",O137/R137))</f>
        <v>0</v>
      </c>
      <c r="T137" s="32">
        <f>IF(A137="","",COUNTIFS($A$5:A137,A137))</f>
        <v>0</v>
      </c>
      <c r="U137" s="13">
        <f>IF(A137="","",A137&amp;"|"&amp;T137)</f>
        <v>0</v>
      </c>
      <c r="V137" s="43">
        <f>IF(A137="","",IF(B137="Not found","Check - no such product ID",IF(OR(F137="",F137=0),"Add - how many minutes?",IF(C137="","Add - which stage?",IF(AND(G137="Per batch",H137=""),"Check - using the default batch size",IF(K137&lt;MinimumWage,"Check - below minimum wage","OK"))))))</f>
        <v>0</v>
      </c>
    </row>
    <row r="138" spans="2:22">
      <c r="B138" s="13">
        <f>IF(A138="","",IFERROR(INDEX(Products!$B$5:$B$304,MATCH(A138,Products!$A$5:$A$304,0)),"Not found"))</f>
        <v>0</v>
      </c>
      <c r="K138" s="20">
        <f>IF(A138="","",IF(E138&lt;&gt;"",E138,IF(D138="Employee",ROUND(EmployeeRate*(1+PayrollBurden),2),IF(OR(D138="Contractor",D138="Outsourced"),ROUND(ContractorRate*(1+PayrollBurden),2),LaborCostHour))))</f>
        <v>0</v>
      </c>
      <c r="L138" s="41">
        <f>IF(A138="","",IF(F138="","",ROUND(F138/60,3)))</f>
        <v>0</v>
      </c>
      <c r="M138" s="32">
        <f>IF(A138="","",IF(G138="Per batch",IF(OR(H138="",H138=0),DefaultBatchSize,H138),1))</f>
        <v>0</v>
      </c>
      <c r="N138" s="20">
        <f>IF(A138="","",IF(OR(L138="",K138=""),"",ROUND(L138*K138,2)))</f>
        <v>0</v>
      </c>
      <c r="O138" s="20">
        <f>IF(A138="","",IF(N138="","",ROUND(N138/MAX(1,M138),2)))</f>
        <v>0</v>
      </c>
      <c r="P138" s="36">
        <f>IF(A138="","",IF(F138="","",ROUND(F138/MAX(1,M138),2)))</f>
        <v>0</v>
      </c>
      <c r="Q138" s="20">
        <f>IF(A138="","",IF(L138="","",ROUND(L138/MAX(1,M138)*SuppliesPerHour,2)))</f>
        <v>0</v>
      </c>
      <c r="R138" s="20">
        <f>IF(A138="","",ROUND(SUMIFS(Labor!$O$5:$O$304,Labor!$A$5:$A$304,A138),2))</f>
        <v>0</v>
      </c>
      <c r="S138" s="33">
        <f>IF(A138="","",IF(OR(O138="",R138="",R138=0),"",O138/R138))</f>
        <v>0</v>
      </c>
      <c r="T138" s="32">
        <f>IF(A138="","",COUNTIFS($A$5:A138,A138))</f>
        <v>0</v>
      </c>
      <c r="U138" s="13">
        <f>IF(A138="","",A138&amp;"|"&amp;T138)</f>
        <v>0</v>
      </c>
      <c r="V138" s="43">
        <f>IF(A138="","",IF(B138="Not found","Check - no such product ID",IF(OR(F138="",F138=0),"Add - how many minutes?",IF(C138="","Add - which stage?",IF(AND(G138="Per batch",H138=""),"Check - using the default batch size",IF(K138&lt;MinimumWage,"Check - below minimum wage","OK"))))))</f>
        <v>0</v>
      </c>
    </row>
    <row r="139" spans="2:22">
      <c r="B139" s="13">
        <f>IF(A139="","",IFERROR(INDEX(Products!$B$5:$B$304,MATCH(A139,Products!$A$5:$A$304,0)),"Not found"))</f>
        <v>0</v>
      </c>
      <c r="K139" s="20">
        <f>IF(A139="","",IF(E139&lt;&gt;"",E139,IF(D139="Employee",ROUND(EmployeeRate*(1+PayrollBurden),2),IF(OR(D139="Contractor",D139="Outsourced"),ROUND(ContractorRate*(1+PayrollBurden),2),LaborCostHour))))</f>
        <v>0</v>
      </c>
      <c r="L139" s="41">
        <f>IF(A139="","",IF(F139="","",ROUND(F139/60,3)))</f>
        <v>0</v>
      </c>
      <c r="M139" s="32">
        <f>IF(A139="","",IF(G139="Per batch",IF(OR(H139="",H139=0),DefaultBatchSize,H139),1))</f>
        <v>0</v>
      </c>
      <c r="N139" s="20">
        <f>IF(A139="","",IF(OR(L139="",K139=""),"",ROUND(L139*K139,2)))</f>
        <v>0</v>
      </c>
      <c r="O139" s="20">
        <f>IF(A139="","",IF(N139="","",ROUND(N139/MAX(1,M139),2)))</f>
        <v>0</v>
      </c>
      <c r="P139" s="36">
        <f>IF(A139="","",IF(F139="","",ROUND(F139/MAX(1,M139),2)))</f>
        <v>0</v>
      </c>
      <c r="Q139" s="20">
        <f>IF(A139="","",IF(L139="","",ROUND(L139/MAX(1,M139)*SuppliesPerHour,2)))</f>
        <v>0</v>
      </c>
      <c r="R139" s="20">
        <f>IF(A139="","",ROUND(SUMIFS(Labor!$O$5:$O$304,Labor!$A$5:$A$304,A139),2))</f>
        <v>0</v>
      </c>
      <c r="S139" s="33">
        <f>IF(A139="","",IF(OR(O139="",R139="",R139=0),"",O139/R139))</f>
        <v>0</v>
      </c>
      <c r="T139" s="32">
        <f>IF(A139="","",COUNTIFS($A$5:A139,A139))</f>
        <v>0</v>
      </c>
      <c r="U139" s="13">
        <f>IF(A139="","",A139&amp;"|"&amp;T139)</f>
        <v>0</v>
      </c>
      <c r="V139" s="43">
        <f>IF(A139="","",IF(B139="Not found","Check - no such product ID",IF(OR(F139="",F139=0),"Add - how many minutes?",IF(C139="","Add - which stage?",IF(AND(G139="Per batch",H139=""),"Check - using the default batch size",IF(K139&lt;MinimumWage,"Check - below minimum wage","OK"))))))</f>
        <v>0</v>
      </c>
    </row>
    <row r="140" spans="2:22">
      <c r="B140" s="13">
        <f>IF(A140="","",IFERROR(INDEX(Products!$B$5:$B$304,MATCH(A140,Products!$A$5:$A$304,0)),"Not found"))</f>
        <v>0</v>
      </c>
      <c r="K140" s="20">
        <f>IF(A140="","",IF(E140&lt;&gt;"",E140,IF(D140="Employee",ROUND(EmployeeRate*(1+PayrollBurden),2),IF(OR(D140="Contractor",D140="Outsourced"),ROUND(ContractorRate*(1+PayrollBurden),2),LaborCostHour))))</f>
        <v>0</v>
      </c>
      <c r="L140" s="41">
        <f>IF(A140="","",IF(F140="","",ROUND(F140/60,3)))</f>
        <v>0</v>
      </c>
      <c r="M140" s="32">
        <f>IF(A140="","",IF(G140="Per batch",IF(OR(H140="",H140=0),DefaultBatchSize,H140),1))</f>
        <v>0</v>
      </c>
      <c r="N140" s="20">
        <f>IF(A140="","",IF(OR(L140="",K140=""),"",ROUND(L140*K140,2)))</f>
        <v>0</v>
      </c>
      <c r="O140" s="20">
        <f>IF(A140="","",IF(N140="","",ROUND(N140/MAX(1,M140),2)))</f>
        <v>0</v>
      </c>
      <c r="P140" s="36">
        <f>IF(A140="","",IF(F140="","",ROUND(F140/MAX(1,M140),2)))</f>
        <v>0</v>
      </c>
      <c r="Q140" s="20">
        <f>IF(A140="","",IF(L140="","",ROUND(L140/MAX(1,M140)*SuppliesPerHour,2)))</f>
        <v>0</v>
      </c>
      <c r="R140" s="20">
        <f>IF(A140="","",ROUND(SUMIFS(Labor!$O$5:$O$304,Labor!$A$5:$A$304,A140),2))</f>
        <v>0</v>
      </c>
      <c r="S140" s="33">
        <f>IF(A140="","",IF(OR(O140="",R140="",R140=0),"",O140/R140))</f>
        <v>0</v>
      </c>
      <c r="T140" s="32">
        <f>IF(A140="","",COUNTIFS($A$5:A140,A140))</f>
        <v>0</v>
      </c>
      <c r="U140" s="13">
        <f>IF(A140="","",A140&amp;"|"&amp;T140)</f>
        <v>0</v>
      </c>
      <c r="V140" s="43">
        <f>IF(A140="","",IF(B140="Not found","Check - no such product ID",IF(OR(F140="",F140=0),"Add - how many minutes?",IF(C140="","Add - which stage?",IF(AND(G140="Per batch",H140=""),"Check - using the default batch size",IF(K140&lt;MinimumWage,"Check - below minimum wage","OK"))))))</f>
        <v>0</v>
      </c>
    </row>
    <row r="141" spans="2:22">
      <c r="B141" s="13">
        <f>IF(A141="","",IFERROR(INDEX(Products!$B$5:$B$304,MATCH(A141,Products!$A$5:$A$304,0)),"Not found"))</f>
        <v>0</v>
      </c>
      <c r="K141" s="20">
        <f>IF(A141="","",IF(E141&lt;&gt;"",E141,IF(D141="Employee",ROUND(EmployeeRate*(1+PayrollBurden),2),IF(OR(D141="Contractor",D141="Outsourced"),ROUND(ContractorRate*(1+PayrollBurden),2),LaborCostHour))))</f>
        <v>0</v>
      </c>
      <c r="L141" s="41">
        <f>IF(A141="","",IF(F141="","",ROUND(F141/60,3)))</f>
        <v>0</v>
      </c>
      <c r="M141" s="32">
        <f>IF(A141="","",IF(G141="Per batch",IF(OR(H141="",H141=0),DefaultBatchSize,H141),1))</f>
        <v>0</v>
      </c>
      <c r="N141" s="20">
        <f>IF(A141="","",IF(OR(L141="",K141=""),"",ROUND(L141*K141,2)))</f>
        <v>0</v>
      </c>
      <c r="O141" s="20">
        <f>IF(A141="","",IF(N141="","",ROUND(N141/MAX(1,M141),2)))</f>
        <v>0</v>
      </c>
      <c r="P141" s="36">
        <f>IF(A141="","",IF(F141="","",ROUND(F141/MAX(1,M141),2)))</f>
        <v>0</v>
      </c>
      <c r="Q141" s="20">
        <f>IF(A141="","",IF(L141="","",ROUND(L141/MAX(1,M141)*SuppliesPerHour,2)))</f>
        <v>0</v>
      </c>
      <c r="R141" s="20">
        <f>IF(A141="","",ROUND(SUMIFS(Labor!$O$5:$O$304,Labor!$A$5:$A$304,A141),2))</f>
        <v>0</v>
      </c>
      <c r="S141" s="33">
        <f>IF(A141="","",IF(OR(O141="",R141="",R141=0),"",O141/R141))</f>
        <v>0</v>
      </c>
      <c r="T141" s="32">
        <f>IF(A141="","",COUNTIFS($A$5:A141,A141))</f>
        <v>0</v>
      </c>
      <c r="U141" s="13">
        <f>IF(A141="","",A141&amp;"|"&amp;T141)</f>
        <v>0</v>
      </c>
      <c r="V141" s="43">
        <f>IF(A141="","",IF(B141="Not found","Check - no such product ID",IF(OR(F141="",F141=0),"Add - how many minutes?",IF(C141="","Add - which stage?",IF(AND(G141="Per batch",H141=""),"Check - using the default batch size",IF(K141&lt;MinimumWage,"Check - below minimum wage","OK"))))))</f>
        <v>0</v>
      </c>
    </row>
    <row r="142" spans="2:22">
      <c r="B142" s="13">
        <f>IF(A142="","",IFERROR(INDEX(Products!$B$5:$B$304,MATCH(A142,Products!$A$5:$A$304,0)),"Not found"))</f>
        <v>0</v>
      </c>
      <c r="K142" s="20">
        <f>IF(A142="","",IF(E142&lt;&gt;"",E142,IF(D142="Employee",ROUND(EmployeeRate*(1+PayrollBurden),2),IF(OR(D142="Contractor",D142="Outsourced"),ROUND(ContractorRate*(1+PayrollBurden),2),LaborCostHour))))</f>
        <v>0</v>
      </c>
      <c r="L142" s="41">
        <f>IF(A142="","",IF(F142="","",ROUND(F142/60,3)))</f>
        <v>0</v>
      </c>
      <c r="M142" s="32">
        <f>IF(A142="","",IF(G142="Per batch",IF(OR(H142="",H142=0),DefaultBatchSize,H142),1))</f>
        <v>0</v>
      </c>
      <c r="N142" s="20">
        <f>IF(A142="","",IF(OR(L142="",K142=""),"",ROUND(L142*K142,2)))</f>
        <v>0</v>
      </c>
      <c r="O142" s="20">
        <f>IF(A142="","",IF(N142="","",ROUND(N142/MAX(1,M142),2)))</f>
        <v>0</v>
      </c>
      <c r="P142" s="36">
        <f>IF(A142="","",IF(F142="","",ROUND(F142/MAX(1,M142),2)))</f>
        <v>0</v>
      </c>
      <c r="Q142" s="20">
        <f>IF(A142="","",IF(L142="","",ROUND(L142/MAX(1,M142)*SuppliesPerHour,2)))</f>
        <v>0</v>
      </c>
      <c r="R142" s="20">
        <f>IF(A142="","",ROUND(SUMIFS(Labor!$O$5:$O$304,Labor!$A$5:$A$304,A142),2))</f>
        <v>0</v>
      </c>
      <c r="S142" s="33">
        <f>IF(A142="","",IF(OR(O142="",R142="",R142=0),"",O142/R142))</f>
        <v>0</v>
      </c>
      <c r="T142" s="32">
        <f>IF(A142="","",COUNTIFS($A$5:A142,A142))</f>
        <v>0</v>
      </c>
      <c r="U142" s="13">
        <f>IF(A142="","",A142&amp;"|"&amp;T142)</f>
        <v>0</v>
      </c>
      <c r="V142" s="43">
        <f>IF(A142="","",IF(B142="Not found","Check - no such product ID",IF(OR(F142="",F142=0),"Add - how many minutes?",IF(C142="","Add - which stage?",IF(AND(G142="Per batch",H142=""),"Check - using the default batch size",IF(K142&lt;MinimumWage,"Check - below minimum wage","OK"))))))</f>
        <v>0</v>
      </c>
    </row>
    <row r="143" spans="2:22">
      <c r="B143" s="13">
        <f>IF(A143="","",IFERROR(INDEX(Products!$B$5:$B$304,MATCH(A143,Products!$A$5:$A$304,0)),"Not found"))</f>
        <v>0</v>
      </c>
      <c r="K143" s="20">
        <f>IF(A143="","",IF(E143&lt;&gt;"",E143,IF(D143="Employee",ROUND(EmployeeRate*(1+PayrollBurden),2),IF(OR(D143="Contractor",D143="Outsourced"),ROUND(ContractorRate*(1+PayrollBurden),2),LaborCostHour))))</f>
        <v>0</v>
      </c>
      <c r="L143" s="41">
        <f>IF(A143="","",IF(F143="","",ROUND(F143/60,3)))</f>
        <v>0</v>
      </c>
      <c r="M143" s="32">
        <f>IF(A143="","",IF(G143="Per batch",IF(OR(H143="",H143=0),DefaultBatchSize,H143),1))</f>
        <v>0</v>
      </c>
      <c r="N143" s="20">
        <f>IF(A143="","",IF(OR(L143="",K143=""),"",ROUND(L143*K143,2)))</f>
        <v>0</v>
      </c>
      <c r="O143" s="20">
        <f>IF(A143="","",IF(N143="","",ROUND(N143/MAX(1,M143),2)))</f>
        <v>0</v>
      </c>
      <c r="P143" s="36">
        <f>IF(A143="","",IF(F143="","",ROUND(F143/MAX(1,M143),2)))</f>
        <v>0</v>
      </c>
      <c r="Q143" s="20">
        <f>IF(A143="","",IF(L143="","",ROUND(L143/MAX(1,M143)*SuppliesPerHour,2)))</f>
        <v>0</v>
      </c>
      <c r="R143" s="20">
        <f>IF(A143="","",ROUND(SUMIFS(Labor!$O$5:$O$304,Labor!$A$5:$A$304,A143),2))</f>
        <v>0</v>
      </c>
      <c r="S143" s="33">
        <f>IF(A143="","",IF(OR(O143="",R143="",R143=0),"",O143/R143))</f>
        <v>0</v>
      </c>
      <c r="T143" s="32">
        <f>IF(A143="","",COUNTIFS($A$5:A143,A143))</f>
        <v>0</v>
      </c>
      <c r="U143" s="13">
        <f>IF(A143="","",A143&amp;"|"&amp;T143)</f>
        <v>0</v>
      </c>
      <c r="V143" s="43">
        <f>IF(A143="","",IF(B143="Not found","Check - no such product ID",IF(OR(F143="",F143=0),"Add - how many minutes?",IF(C143="","Add - which stage?",IF(AND(G143="Per batch",H143=""),"Check - using the default batch size",IF(K143&lt;MinimumWage,"Check - below minimum wage","OK"))))))</f>
        <v>0</v>
      </c>
    </row>
    <row r="144" spans="2:22">
      <c r="B144" s="13">
        <f>IF(A144="","",IFERROR(INDEX(Products!$B$5:$B$304,MATCH(A144,Products!$A$5:$A$304,0)),"Not found"))</f>
        <v>0</v>
      </c>
      <c r="K144" s="20">
        <f>IF(A144="","",IF(E144&lt;&gt;"",E144,IF(D144="Employee",ROUND(EmployeeRate*(1+PayrollBurden),2),IF(OR(D144="Contractor",D144="Outsourced"),ROUND(ContractorRate*(1+PayrollBurden),2),LaborCostHour))))</f>
        <v>0</v>
      </c>
      <c r="L144" s="41">
        <f>IF(A144="","",IF(F144="","",ROUND(F144/60,3)))</f>
        <v>0</v>
      </c>
      <c r="M144" s="32">
        <f>IF(A144="","",IF(G144="Per batch",IF(OR(H144="",H144=0),DefaultBatchSize,H144),1))</f>
        <v>0</v>
      </c>
      <c r="N144" s="20">
        <f>IF(A144="","",IF(OR(L144="",K144=""),"",ROUND(L144*K144,2)))</f>
        <v>0</v>
      </c>
      <c r="O144" s="20">
        <f>IF(A144="","",IF(N144="","",ROUND(N144/MAX(1,M144),2)))</f>
        <v>0</v>
      </c>
      <c r="P144" s="36">
        <f>IF(A144="","",IF(F144="","",ROUND(F144/MAX(1,M144),2)))</f>
        <v>0</v>
      </c>
      <c r="Q144" s="20">
        <f>IF(A144="","",IF(L144="","",ROUND(L144/MAX(1,M144)*SuppliesPerHour,2)))</f>
        <v>0</v>
      </c>
      <c r="R144" s="20">
        <f>IF(A144="","",ROUND(SUMIFS(Labor!$O$5:$O$304,Labor!$A$5:$A$304,A144),2))</f>
        <v>0</v>
      </c>
      <c r="S144" s="33">
        <f>IF(A144="","",IF(OR(O144="",R144="",R144=0),"",O144/R144))</f>
        <v>0</v>
      </c>
      <c r="T144" s="32">
        <f>IF(A144="","",COUNTIFS($A$5:A144,A144))</f>
        <v>0</v>
      </c>
      <c r="U144" s="13">
        <f>IF(A144="","",A144&amp;"|"&amp;T144)</f>
        <v>0</v>
      </c>
      <c r="V144" s="43">
        <f>IF(A144="","",IF(B144="Not found","Check - no such product ID",IF(OR(F144="",F144=0),"Add - how many minutes?",IF(C144="","Add - which stage?",IF(AND(G144="Per batch",H144=""),"Check - using the default batch size",IF(K144&lt;MinimumWage,"Check - below minimum wage","OK"))))))</f>
        <v>0</v>
      </c>
    </row>
    <row r="145" spans="2:22">
      <c r="B145" s="13">
        <f>IF(A145="","",IFERROR(INDEX(Products!$B$5:$B$304,MATCH(A145,Products!$A$5:$A$304,0)),"Not found"))</f>
        <v>0</v>
      </c>
      <c r="K145" s="20">
        <f>IF(A145="","",IF(E145&lt;&gt;"",E145,IF(D145="Employee",ROUND(EmployeeRate*(1+PayrollBurden),2),IF(OR(D145="Contractor",D145="Outsourced"),ROUND(ContractorRate*(1+PayrollBurden),2),LaborCostHour))))</f>
        <v>0</v>
      </c>
      <c r="L145" s="41">
        <f>IF(A145="","",IF(F145="","",ROUND(F145/60,3)))</f>
        <v>0</v>
      </c>
      <c r="M145" s="32">
        <f>IF(A145="","",IF(G145="Per batch",IF(OR(H145="",H145=0),DefaultBatchSize,H145),1))</f>
        <v>0</v>
      </c>
      <c r="N145" s="20">
        <f>IF(A145="","",IF(OR(L145="",K145=""),"",ROUND(L145*K145,2)))</f>
        <v>0</v>
      </c>
      <c r="O145" s="20">
        <f>IF(A145="","",IF(N145="","",ROUND(N145/MAX(1,M145),2)))</f>
        <v>0</v>
      </c>
      <c r="P145" s="36">
        <f>IF(A145="","",IF(F145="","",ROUND(F145/MAX(1,M145),2)))</f>
        <v>0</v>
      </c>
      <c r="Q145" s="20">
        <f>IF(A145="","",IF(L145="","",ROUND(L145/MAX(1,M145)*SuppliesPerHour,2)))</f>
        <v>0</v>
      </c>
      <c r="R145" s="20">
        <f>IF(A145="","",ROUND(SUMIFS(Labor!$O$5:$O$304,Labor!$A$5:$A$304,A145),2))</f>
        <v>0</v>
      </c>
      <c r="S145" s="33">
        <f>IF(A145="","",IF(OR(O145="",R145="",R145=0),"",O145/R145))</f>
        <v>0</v>
      </c>
      <c r="T145" s="32">
        <f>IF(A145="","",COUNTIFS($A$5:A145,A145))</f>
        <v>0</v>
      </c>
      <c r="U145" s="13">
        <f>IF(A145="","",A145&amp;"|"&amp;T145)</f>
        <v>0</v>
      </c>
      <c r="V145" s="43">
        <f>IF(A145="","",IF(B145="Not found","Check - no such product ID",IF(OR(F145="",F145=0),"Add - how many minutes?",IF(C145="","Add - which stage?",IF(AND(G145="Per batch",H145=""),"Check - using the default batch size",IF(K145&lt;MinimumWage,"Check - below minimum wage","OK"))))))</f>
        <v>0</v>
      </c>
    </row>
    <row r="146" spans="2:22">
      <c r="B146" s="13">
        <f>IF(A146="","",IFERROR(INDEX(Products!$B$5:$B$304,MATCH(A146,Products!$A$5:$A$304,0)),"Not found"))</f>
        <v>0</v>
      </c>
      <c r="K146" s="20">
        <f>IF(A146="","",IF(E146&lt;&gt;"",E146,IF(D146="Employee",ROUND(EmployeeRate*(1+PayrollBurden),2),IF(OR(D146="Contractor",D146="Outsourced"),ROUND(ContractorRate*(1+PayrollBurden),2),LaborCostHour))))</f>
        <v>0</v>
      </c>
      <c r="L146" s="41">
        <f>IF(A146="","",IF(F146="","",ROUND(F146/60,3)))</f>
        <v>0</v>
      </c>
      <c r="M146" s="32">
        <f>IF(A146="","",IF(G146="Per batch",IF(OR(H146="",H146=0),DefaultBatchSize,H146),1))</f>
        <v>0</v>
      </c>
      <c r="N146" s="20">
        <f>IF(A146="","",IF(OR(L146="",K146=""),"",ROUND(L146*K146,2)))</f>
        <v>0</v>
      </c>
      <c r="O146" s="20">
        <f>IF(A146="","",IF(N146="","",ROUND(N146/MAX(1,M146),2)))</f>
        <v>0</v>
      </c>
      <c r="P146" s="36">
        <f>IF(A146="","",IF(F146="","",ROUND(F146/MAX(1,M146),2)))</f>
        <v>0</v>
      </c>
      <c r="Q146" s="20">
        <f>IF(A146="","",IF(L146="","",ROUND(L146/MAX(1,M146)*SuppliesPerHour,2)))</f>
        <v>0</v>
      </c>
      <c r="R146" s="20">
        <f>IF(A146="","",ROUND(SUMIFS(Labor!$O$5:$O$304,Labor!$A$5:$A$304,A146),2))</f>
        <v>0</v>
      </c>
      <c r="S146" s="33">
        <f>IF(A146="","",IF(OR(O146="",R146="",R146=0),"",O146/R146))</f>
        <v>0</v>
      </c>
      <c r="T146" s="32">
        <f>IF(A146="","",COUNTIFS($A$5:A146,A146))</f>
        <v>0</v>
      </c>
      <c r="U146" s="13">
        <f>IF(A146="","",A146&amp;"|"&amp;T146)</f>
        <v>0</v>
      </c>
      <c r="V146" s="43">
        <f>IF(A146="","",IF(B146="Not found","Check - no such product ID",IF(OR(F146="",F146=0),"Add - how many minutes?",IF(C146="","Add - which stage?",IF(AND(G146="Per batch",H146=""),"Check - using the default batch size",IF(K146&lt;MinimumWage,"Check - below minimum wage","OK"))))))</f>
        <v>0</v>
      </c>
    </row>
    <row r="147" spans="2:22">
      <c r="B147" s="13">
        <f>IF(A147="","",IFERROR(INDEX(Products!$B$5:$B$304,MATCH(A147,Products!$A$5:$A$304,0)),"Not found"))</f>
        <v>0</v>
      </c>
      <c r="K147" s="20">
        <f>IF(A147="","",IF(E147&lt;&gt;"",E147,IF(D147="Employee",ROUND(EmployeeRate*(1+PayrollBurden),2),IF(OR(D147="Contractor",D147="Outsourced"),ROUND(ContractorRate*(1+PayrollBurden),2),LaborCostHour))))</f>
        <v>0</v>
      </c>
      <c r="L147" s="41">
        <f>IF(A147="","",IF(F147="","",ROUND(F147/60,3)))</f>
        <v>0</v>
      </c>
      <c r="M147" s="32">
        <f>IF(A147="","",IF(G147="Per batch",IF(OR(H147="",H147=0),DefaultBatchSize,H147),1))</f>
        <v>0</v>
      </c>
      <c r="N147" s="20">
        <f>IF(A147="","",IF(OR(L147="",K147=""),"",ROUND(L147*K147,2)))</f>
        <v>0</v>
      </c>
      <c r="O147" s="20">
        <f>IF(A147="","",IF(N147="","",ROUND(N147/MAX(1,M147),2)))</f>
        <v>0</v>
      </c>
      <c r="P147" s="36">
        <f>IF(A147="","",IF(F147="","",ROUND(F147/MAX(1,M147),2)))</f>
        <v>0</v>
      </c>
      <c r="Q147" s="20">
        <f>IF(A147="","",IF(L147="","",ROUND(L147/MAX(1,M147)*SuppliesPerHour,2)))</f>
        <v>0</v>
      </c>
      <c r="R147" s="20">
        <f>IF(A147="","",ROUND(SUMIFS(Labor!$O$5:$O$304,Labor!$A$5:$A$304,A147),2))</f>
        <v>0</v>
      </c>
      <c r="S147" s="33">
        <f>IF(A147="","",IF(OR(O147="",R147="",R147=0),"",O147/R147))</f>
        <v>0</v>
      </c>
      <c r="T147" s="32">
        <f>IF(A147="","",COUNTIFS($A$5:A147,A147))</f>
        <v>0</v>
      </c>
      <c r="U147" s="13">
        <f>IF(A147="","",A147&amp;"|"&amp;T147)</f>
        <v>0</v>
      </c>
      <c r="V147" s="43">
        <f>IF(A147="","",IF(B147="Not found","Check - no such product ID",IF(OR(F147="",F147=0),"Add - how many minutes?",IF(C147="","Add - which stage?",IF(AND(G147="Per batch",H147=""),"Check - using the default batch size",IF(K147&lt;MinimumWage,"Check - below minimum wage","OK"))))))</f>
        <v>0</v>
      </c>
    </row>
    <row r="148" spans="2:22">
      <c r="B148" s="13">
        <f>IF(A148="","",IFERROR(INDEX(Products!$B$5:$B$304,MATCH(A148,Products!$A$5:$A$304,0)),"Not found"))</f>
        <v>0</v>
      </c>
      <c r="K148" s="20">
        <f>IF(A148="","",IF(E148&lt;&gt;"",E148,IF(D148="Employee",ROUND(EmployeeRate*(1+PayrollBurden),2),IF(OR(D148="Contractor",D148="Outsourced"),ROUND(ContractorRate*(1+PayrollBurden),2),LaborCostHour))))</f>
        <v>0</v>
      </c>
      <c r="L148" s="41">
        <f>IF(A148="","",IF(F148="","",ROUND(F148/60,3)))</f>
        <v>0</v>
      </c>
      <c r="M148" s="32">
        <f>IF(A148="","",IF(G148="Per batch",IF(OR(H148="",H148=0),DefaultBatchSize,H148),1))</f>
        <v>0</v>
      </c>
      <c r="N148" s="20">
        <f>IF(A148="","",IF(OR(L148="",K148=""),"",ROUND(L148*K148,2)))</f>
        <v>0</v>
      </c>
      <c r="O148" s="20">
        <f>IF(A148="","",IF(N148="","",ROUND(N148/MAX(1,M148),2)))</f>
        <v>0</v>
      </c>
      <c r="P148" s="36">
        <f>IF(A148="","",IF(F148="","",ROUND(F148/MAX(1,M148),2)))</f>
        <v>0</v>
      </c>
      <c r="Q148" s="20">
        <f>IF(A148="","",IF(L148="","",ROUND(L148/MAX(1,M148)*SuppliesPerHour,2)))</f>
        <v>0</v>
      </c>
      <c r="R148" s="20">
        <f>IF(A148="","",ROUND(SUMIFS(Labor!$O$5:$O$304,Labor!$A$5:$A$304,A148),2))</f>
        <v>0</v>
      </c>
      <c r="S148" s="33">
        <f>IF(A148="","",IF(OR(O148="",R148="",R148=0),"",O148/R148))</f>
        <v>0</v>
      </c>
      <c r="T148" s="32">
        <f>IF(A148="","",COUNTIFS($A$5:A148,A148))</f>
        <v>0</v>
      </c>
      <c r="U148" s="13">
        <f>IF(A148="","",A148&amp;"|"&amp;T148)</f>
        <v>0</v>
      </c>
      <c r="V148" s="43">
        <f>IF(A148="","",IF(B148="Not found","Check - no such product ID",IF(OR(F148="",F148=0),"Add - how many minutes?",IF(C148="","Add - which stage?",IF(AND(G148="Per batch",H148=""),"Check - using the default batch size",IF(K148&lt;MinimumWage,"Check - below minimum wage","OK"))))))</f>
        <v>0</v>
      </c>
    </row>
    <row r="149" spans="2:22">
      <c r="B149" s="13">
        <f>IF(A149="","",IFERROR(INDEX(Products!$B$5:$B$304,MATCH(A149,Products!$A$5:$A$304,0)),"Not found"))</f>
        <v>0</v>
      </c>
      <c r="K149" s="20">
        <f>IF(A149="","",IF(E149&lt;&gt;"",E149,IF(D149="Employee",ROUND(EmployeeRate*(1+PayrollBurden),2),IF(OR(D149="Contractor",D149="Outsourced"),ROUND(ContractorRate*(1+PayrollBurden),2),LaborCostHour))))</f>
        <v>0</v>
      </c>
      <c r="L149" s="41">
        <f>IF(A149="","",IF(F149="","",ROUND(F149/60,3)))</f>
        <v>0</v>
      </c>
      <c r="M149" s="32">
        <f>IF(A149="","",IF(G149="Per batch",IF(OR(H149="",H149=0),DefaultBatchSize,H149),1))</f>
        <v>0</v>
      </c>
      <c r="N149" s="20">
        <f>IF(A149="","",IF(OR(L149="",K149=""),"",ROUND(L149*K149,2)))</f>
        <v>0</v>
      </c>
      <c r="O149" s="20">
        <f>IF(A149="","",IF(N149="","",ROUND(N149/MAX(1,M149),2)))</f>
        <v>0</v>
      </c>
      <c r="P149" s="36">
        <f>IF(A149="","",IF(F149="","",ROUND(F149/MAX(1,M149),2)))</f>
        <v>0</v>
      </c>
      <c r="Q149" s="20">
        <f>IF(A149="","",IF(L149="","",ROUND(L149/MAX(1,M149)*SuppliesPerHour,2)))</f>
        <v>0</v>
      </c>
      <c r="R149" s="20">
        <f>IF(A149="","",ROUND(SUMIFS(Labor!$O$5:$O$304,Labor!$A$5:$A$304,A149),2))</f>
        <v>0</v>
      </c>
      <c r="S149" s="33">
        <f>IF(A149="","",IF(OR(O149="",R149="",R149=0),"",O149/R149))</f>
        <v>0</v>
      </c>
      <c r="T149" s="32">
        <f>IF(A149="","",COUNTIFS($A$5:A149,A149))</f>
        <v>0</v>
      </c>
      <c r="U149" s="13">
        <f>IF(A149="","",A149&amp;"|"&amp;T149)</f>
        <v>0</v>
      </c>
      <c r="V149" s="43">
        <f>IF(A149="","",IF(B149="Not found","Check - no such product ID",IF(OR(F149="",F149=0),"Add - how many minutes?",IF(C149="","Add - which stage?",IF(AND(G149="Per batch",H149=""),"Check - using the default batch size",IF(K149&lt;MinimumWage,"Check - below minimum wage","OK"))))))</f>
        <v>0</v>
      </c>
    </row>
    <row r="150" spans="2:22">
      <c r="B150" s="13">
        <f>IF(A150="","",IFERROR(INDEX(Products!$B$5:$B$304,MATCH(A150,Products!$A$5:$A$304,0)),"Not found"))</f>
        <v>0</v>
      </c>
      <c r="K150" s="20">
        <f>IF(A150="","",IF(E150&lt;&gt;"",E150,IF(D150="Employee",ROUND(EmployeeRate*(1+PayrollBurden),2),IF(OR(D150="Contractor",D150="Outsourced"),ROUND(ContractorRate*(1+PayrollBurden),2),LaborCostHour))))</f>
        <v>0</v>
      </c>
      <c r="L150" s="41">
        <f>IF(A150="","",IF(F150="","",ROUND(F150/60,3)))</f>
        <v>0</v>
      </c>
      <c r="M150" s="32">
        <f>IF(A150="","",IF(G150="Per batch",IF(OR(H150="",H150=0),DefaultBatchSize,H150),1))</f>
        <v>0</v>
      </c>
      <c r="N150" s="20">
        <f>IF(A150="","",IF(OR(L150="",K150=""),"",ROUND(L150*K150,2)))</f>
        <v>0</v>
      </c>
      <c r="O150" s="20">
        <f>IF(A150="","",IF(N150="","",ROUND(N150/MAX(1,M150),2)))</f>
        <v>0</v>
      </c>
      <c r="P150" s="36">
        <f>IF(A150="","",IF(F150="","",ROUND(F150/MAX(1,M150),2)))</f>
        <v>0</v>
      </c>
      <c r="Q150" s="20">
        <f>IF(A150="","",IF(L150="","",ROUND(L150/MAX(1,M150)*SuppliesPerHour,2)))</f>
        <v>0</v>
      </c>
      <c r="R150" s="20">
        <f>IF(A150="","",ROUND(SUMIFS(Labor!$O$5:$O$304,Labor!$A$5:$A$304,A150),2))</f>
        <v>0</v>
      </c>
      <c r="S150" s="33">
        <f>IF(A150="","",IF(OR(O150="",R150="",R150=0),"",O150/R150))</f>
        <v>0</v>
      </c>
      <c r="T150" s="32">
        <f>IF(A150="","",COUNTIFS($A$5:A150,A150))</f>
        <v>0</v>
      </c>
      <c r="U150" s="13">
        <f>IF(A150="","",A150&amp;"|"&amp;T150)</f>
        <v>0</v>
      </c>
      <c r="V150" s="43">
        <f>IF(A150="","",IF(B150="Not found","Check - no such product ID",IF(OR(F150="",F150=0),"Add - how many minutes?",IF(C150="","Add - which stage?",IF(AND(G150="Per batch",H150=""),"Check - using the default batch size",IF(K150&lt;MinimumWage,"Check - below minimum wage","OK"))))))</f>
        <v>0</v>
      </c>
    </row>
    <row r="151" spans="2:22">
      <c r="B151" s="13">
        <f>IF(A151="","",IFERROR(INDEX(Products!$B$5:$B$304,MATCH(A151,Products!$A$5:$A$304,0)),"Not found"))</f>
        <v>0</v>
      </c>
      <c r="K151" s="20">
        <f>IF(A151="","",IF(E151&lt;&gt;"",E151,IF(D151="Employee",ROUND(EmployeeRate*(1+PayrollBurden),2),IF(OR(D151="Contractor",D151="Outsourced"),ROUND(ContractorRate*(1+PayrollBurden),2),LaborCostHour))))</f>
        <v>0</v>
      </c>
      <c r="L151" s="41">
        <f>IF(A151="","",IF(F151="","",ROUND(F151/60,3)))</f>
        <v>0</v>
      </c>
      <c r="M151" s="32">
        <f>IF(A151="","",IF(G151="Per batch",IF(OR(H151="",H151=0),DefaultBatchSize,H151),1))</f>
        <v>0</v>
      </c>
      <c r="N151" s="20">
        <f>IF(A151="","",IF(OR(L151="",K151=""),"",ROUND(L151*K151,2)))</f>
        <v>0</v>
      </c>
      <c r="O151" s="20">
        <f>IF(A151="","",IF(N151="","",ROUND(N151/MAX(1,M151),2)))</f>
        <v>0</v>
      </c>
      <c r="P151" s="36">
        <f>IF(A151="","",IF(F151="","",ROUND(F151/MAX(1,M151),2)))</f>
        <v>0</v>
      </c>
      <c r="Q151" s="20">
        <f>IF(A151="","",IF(L151="","",ROUND(L151/MAX(1,M151)*SuppliesPerHour,2)))</f>
        <v>0</v>
      </c>
      <c r="R151" s="20">
        <f>IF(A151="","",ROUND(SUMIFS(Labor!$O$5:$O$304,Labor!$A$5:$A$304,A151),2))</f>
        <v>0</v>
      </c>
      <c r="S151" s="33">
        <f>IF(A151="","",IF(OR(O151="",R151="",R151=0),"",O151/R151))</f>
        <v>0</v>
      </c>
      <c r="T151" s="32">
        <f>IF(A151="","",COUNTIFS($A$5:A151,A151))</f>
        <v>0</v>
      </c>
      <c r="U151" s="13">
        <f>IF(A151="","",A151&amp;"|"&amp;T151)</f>
        <v>0</v>
      </c>
      <c r="V151" s="43">
        <f>IF(A151="","",IF(B151="Not found","Check - no such product ID",IF(OR(F151="",F151=0),"Add - how many minutes?",IF(C151="","Add - which stage?",IF(AND(G151="Per batch",H151=""),"Check - using the default batch size",IF(K151&lt;MinimumWage,"Check - below minimum wage","OK"))))))</f>
        <v>0</v>
      </c>
    </row>
    <row r="152" spans="2:22">
      <c r="B152" s="13">
        <f>IF(A152="","",IFERROR(INDEX(Products!$B$5:$B$304,MATCH(A152,Products!$A$5:$A$304,0)),"Not found"))</f>
        <v>0</v>
      </c>
      <c r="K152" s="20">
        <f>IF(A152="","",IF(E152&lt;&gt;"",E152,IF(D152="Employee",ROUND(EmployeeRate*(1+PayrollBurden),2),IF(OR(D152="Contractor",D152="Outsourced"),ROUND(ContractorRate*(1+PayrollBurden),2),LaborCostHour))))</f>
        <v>0</v>
      </c>
      <c r="L152" s="41">
        <f>IF(A152="","",IF(F152="","",ROUND(F152/60,3)))</f>
        <v>0</v>
      </c>
      <c r="M152" s="32">
        <f>IF(A152="","",IF(G152="Per batch",IF(OR(H152="",H152=0),DefaultBatchSize,H152),1))</f>
        <v>0</v>
      </c>
      <c r="N152" s="20">
        <f>IF(A152="","",IF(OR(L152="",K152=""),"",ROUND(L152*K152,2)))</f>
        <v>0</v>
      </c>
      <c r="O152" s="20">
        <f>IF(A152="","",IF(N152="","",ROUND(N152/MAX(1,M152),2)))</f>
        <v>0</v>
      </c>
      <c r="P152" s="36">
        <f>IF(A152="","",IF(F152="","",ROUND(F152/MAX(1,M152),2)))</f>
        <v>0</v>
      </c>
      <c r="Q152" s="20">
        <f>IF(A152="","",IF(L152="","",ROUND(L152/MAX(1,M152)*SuppliesPerHour,2)))</f>
        <v>0</v>
      </c>
      <c r="R152" s="20">
        <f>IF(A152="","",ROUND(SUMIFS(Labor!$O$5:$O$304,Labor!$A$5:$A$304,A152),2))</f>
        <v>0</v>
      </c>
      <c r="S152" s="33">
        <f>IF(A152="","",IF(OR(O152="",R152="",R152=0),"",O152/R152))</f>
        <v>0</v>
      </c>
      <c r="T152" s="32">
        <f>IF(A152="","",COUNTIFS($A$5:A152,A152))</f>
        <v>0</v>
      </c>
      <c r="U152" s="13">
        <f>IF(A152="","",A152&amp;"|"&amp;T152)</f>
        <v>0</v>
      </c>
      <c r="V152" s="43">
        <f>IF(A152="","",IF(B152="Not found","Check - no such product ID",IF(OR(F152="",F152=0),"Add - how many minutes?",IF(C152="","Add - which stage?",IF(AND(G152="Per batch",H152=""),"Check - using the default batch size",IF(K152&lt;MinimumWage,"Check - below minimum wage","OK"))))))</f>
        <v>0</v>
      </c>
    </row>
    <row r="153" spans="2:22">
      <c r="B153" s="13">
        <f>IF(A153="","",IFERROR(INDEX(Products!$B$5:$B$304,MATCH(A153,Products!$A$5:$A$304,0)),"Not found"))</f>
        <v>0</v>
      </c>
      <c r="K153" s="20">
        <f>IF(A153="","",IF(E153&lt;&gt;"",E153,IF(D153="Employee",ROUND(EmployeeRate*(1+PayrollBurden),2),IF(OR(D153="Contractor",D153="Outsourced"),ROUND(ContractorRate*(1+PayrollBurden),2),LaborCostHour))))</f>
        <v>0</v>
      </c>
      <c r="L153" s="41">
        <f>IF(A153="","",IF(F153="","",ROUND(F153/60,3)))</f>
        <v>0</v>
      </c>
      <c r="M153" s="32">
        <f>IF(A153="","",IF(G153="Per batch",IF(OR(H153="",H153=0),DefaultBatchSize,H153),1))</f>
        <v>0</v>
      </c>
      <c r="N153" s="20">
        <f>IF(A153="","",IF(OR(L153="",K153=""),"",ROUND(L153*K153,2)))</f>
        <v>0</v>
      </c>
      <c r="O153" s="20">
        <f>IF(A153="","",IF(N153="","",ROUND(N153/MAX(1,M153),2)))</f>
        <v>0</v>
      </c>
      <c r="P153" s="36">
        <f>IF(A153="","",IF(F153="","",ROUND(F153/MAX(1,M153),2)))</f>
        <v>0</v>
      </c>
      <c r="Q153" s="20">
        <f>IF(A153="","",IF(L153="","",ROUND(L153/MAX(1,M153)*SuppliesPerHour,2)))</f>
        <v>0</v>
      </c>
      <c r="R153" s="20">
        <f>IF(A153="","",ROUND(SUMIFS(Labor!$O$5:$O$304,Labor!$A$5:$A$304,A153),2))</f>
        <v>0</v>
      </c>
      <c r="S153" s="33">
        <f>IF(A153="","",IF(OR(O153="",R153="",R153=0),"",O153/R153))</f>
        <v>0</v>
      </c>
      <c r="T153" s="32">
        <f>IF(A153="","",COUNTIFS($A$5:A153,A153))</f>
        <v>0</v>
      </c>
      <c r="U153" s="13">
        <f>IF(A153="","",A153&amp;"|"&amp;T153)</f>
        <v>0</v>
      </c>
      <c r="V153" s="43">
        <f>IF(A153="","",IF(B153="Not found","Check - no such product ID",IF(OR(F153="",F153=0),"Add - how many minutes?",IF(C153="","Add - which stage?",IF(AND(G153="Per batch",H153=""),"Check - using the default batch size",IF(K153&lt;MinimumWage,"Check - below minimum wage","OK"))))))</f>
        <v>0</v>
      </c>
    </row>
    <row r="154" spans="2:22">
      <c r="B154" s="13">
        <f>IF(A154="","",IFERROR(INDEX(Products!$B$5:$B$304,MATCH(A154,Products!$A$5:$A$304,0)),"Not found"))</f>
        <v>0</v>
      </c>
      <c r="K154" s="20">
        <f>IF(A154="","",IF(E154&lt;&gt;"",E154,IF(D154="Employee",ROUND(EmployeeRate*(1+PayrollBurden),2),IF(OR(D154="Contractor",D154="Outsourced"),ROUND(ContractorRate*(1+PayrollBurden),2),LaborCostHour))))</f>
        <v>0</v>
      </c>
      <c r="L154" s="41">
        <f>IF(A154="","",IF(F154="","",ROUND(F154/60,3)))</f>
        <v>0</v>
      </c>
      <c r="M154" s="32">
        <f>IF(A154="","",IF(G154="Per batch",IF(OR(H154="",H154=0),DefaultBatchSize,H154),1))</f>
        <v>0</v>
      </c>
      <c r="N154" s="20">
        <f>IF(A154="","",IF(OR(L154="",K154=""),"",ROUND(L154*K154,2)))</f>
        <v>0</v>
      </c>
      <c r="O154" s="20">
        <f>IF(A154="","",IF(N154="","",ROUND(N154/MAX(1,M154),2)))</f>
        <v>0</v>
      </c>
      <c r="P154" s="36">
        <f>IF(A154="","",IF(F154="","",ROUND(F154/MAX(1,M154),2)))</f>
        <v>0</v>
      </c>
      <c r="Q154" s="20">
        <f>IF(A154="","",IF(L154="","",ROUND(L154/MAX(1,M154)*SuppliesPerHour,2)))</f>
        <v>0</v>
      </c>
      <c r="R154" s="20">
        <f>IF(A154="","",ROUND(SUMIFS(Labor!$O$5:$O$304,Labor!$A$5:$A$304,A154),2))</f>
        <v>0</v>
      </c>
      <c r="S154" s="33">
        <f>IF(A154="","",IF(OR(O154="",R154="",R154=0),"",O154/R154))</f>
        <v>0</v>
      </c>
      <c r="T154" s="32">
        <f>IF(A154="","",COUNTIFS($A$5:A154,A154))</f>
        <v>0</v>
      </c>
      <c r="U154" s="13">
        <f>IF(A154="","",A154&amp;"|"&amp;T154)</f>
        <v>0</v>
      </c>
      <c r="V154" s="43">
        <f>IF(A154="","",IF(B154="Not found","Check - no such product ID",IF(OR(F154="",F154=0),"Add - how many minutes?",IF(C154="","Add - which stage?",IF(AND(G154="Per batch",H154=""),"Check - using the default batch size",IF(K154&lt;MinimumWage,"Check - below minimum wage","OK"))))))</f>
        <v>0</v>
      </c>
    </row>
    <row r="155" spans="2:22">
      <c r="B155" s="13">
        <f>IF(A155="","",IFERROR(INDEX(Products!$B$5:$B$304,MATCH(A155,Products!$A$5:$A$304,0)),"Not found"))</f>
        <v>0</v>
      </c>
      <c r="K155" s="20">
        <f>IF(A155="","",IF(E155&lt;&gt;"",E155,IF(D155="Employee",ROUND(EmployeeRate*(1+PayrollBurden),2),IF(OR(D155="Contractor",D155="Outsourced"),ROUND(ContractorRate*(1+PayrollBurden),2),LaborCostHour))))</f>
        <v>0</v>
      </c>
      <c r="L155" s="41">
        <f>IF(A155="","",IF(F155="","",ROUND(F155/60,3)))</f>
        <v>0</v>
      </c>
      <c r="M155" s="32">
        <f>IF(A155="","",IF(G155="Per batch",IF(OR(H155="",H155=0),DefaultBatchSize,H155),1))</f>
        <v>0</v>
      </c>
      <c r="N155" s="20">
        <f>IF(A155="","",IF(OR(L155="",K155=""),"",ROUND(L155*K155,2)))</f>
        <v>0</v>
      </c>
      <c r="O155" s="20">
        <f>IF(A155="","",IF(N155="","",ROUND(N155/MAX(1,M155),2)))</f>
        <v>0</v>
      </c>
      <c r="P155" s="36">
        <f>IF(A155="","",IF(F155="","",ROUND(F155/MAX(1,M155),2)))</f>
        <v>0</v>
      </c>
      <c r="Q155" s="20">
        <f>IF(A155="","",IF(L155="","",ROUND(L155/MAX(1,M155)*SuppliesPerHour,2)))</f>
        <v>0</v>
      </c>
      <c r="R155" s="20">
        <f>IF(A155="","",ROUND(SUMIFS(Labor!$O$5:$O$304,Labor!$A$5:$A$304,A155),2))</f>
        <v>0</v>
      </c>
      <c r="S155" s="33">
        <f>IF(A155="","",IF(OR(O155="",R155="",R155=0),"",O155/R155))</f>
        <v>0</v>
      </c>
      <c r="T155" s="32">
        <f>IF(A155="","",COUNTIFS($A$5:A155,A155))</f>
        <v>0</v>
      </c>
      <c r="U155" s="13">
        <f>IF(A155="","",A155&amp;"|"&amp;T155)</f>
        <v>0</v>
      </c>
      <c r="V155" s="43">
        <f>IF(A155="","",IF(B155="Not found","Check - no such product ID",IF(OR(F155="",F155=0),"Add - how many minutes?",IF(C155="","Add - which stage?",IF(AND(G155="Per batch",H155=""),"Check - using the default batch size",IF(K155&lt;MinimumWage,"Check - below minimum wage","OK"))))))</f>
        <v>0</v>
      </c>
    </row>
    <row r="156" spans="2:22">
      <c r="B156" s="13">
        <f>IF(A156="","",IFERROR(INDEX(Products!$B$5:$B$304,MATCH(A156,Products!$A$5:$A$304,0)),"Not found"))</f>
        <v>0</v>
      </c>
      <c r="K156" s="20">
        <f>IF(A156="","",IF(E156&lt;&gt;"",E156,IF(D156="Employee",ROUND(EmployeeRate*(1+PayrollBurden),2),IF(OR(D156="Contractor",D156="Outsourced"),ROUND(ContractorRate*(1+PayrollBurden),2),LaborCostHour))))</f>
        <v>0</v>
      </c>
      <c r="L156" s="41">
        <f>IF(A156="","",IF(F156="","",ROUND(F156/60,3)))</f>
        <v>0</v>
      </c>
      <c r="M156" s="32">
        <f>IF(A156="","",IF(G156="Per batch",IF(OR(H156="",H156=0),DefaultBatchSize,H156),1))</f>
        <v>0</v>
      </c>
      <c r="N156" s="20">
        <f>IF(A156="","",IF(OR(L156="",K156=""),"",ROUND(L156*K156,2)))</f>
        <v>0</v>
      </c>
      <c r="O156" s="20">
        <f>IF(A156="","",IF(N156="","",ROUND(N156/MAX(1,M156),2)))</f>
        <v>0</v>
      </c>
      <c r="P156" s="36">
        <f>IF(A156="","",IF(F156="","",ROUND(F156/MAX(1,M156),2)))</f>
        <v>0</v>
      </c>
      <c r="Q156" s="20">
        <f>IF(A156="","",IF(L156="","",ROUND(L156/MAX(1,M156)*SuppliesPerHour,2)))</f>
        <v>0</v>
      </c>
      <c r="R156" s="20">
        <f>IF(A156="","",ROUND(SUMIFS(Labor!$O$5:$O$304,Labor!$A$5:$A$304,A156),2))</f>
        <v>0</v>
      </c>
      <c r="S156" s="33">
        <f>IF(A156="","",IF(OR(O156="",R156="",R156=0),"",O156/R156))</f>
        <v>0</v>
      </c>
      <c r="T156" s="32">
        <f>IF(A156="","",COUNTIFS($A$5:A156,A156))</f>
        <v>0</v>
      </c>
      <c r="U156" s="13">
        <f>IF(A156="","",A156&amp;"|"&amp;T156)</f>
        <v>0</v>
      </c>
      <c r="V156" s="43">
        <f>IF(A156="","",IF(B156="Not found","Check - no such product ID",IF(OR(F156="",F156=0),"Add - how many minutes?",IF(C156="","Add - which stage?",IF(AND(G156="Per batch",H156=""),"Check - using the default batch size",IF(K156&lt;MinimumWage,"Check - below minimum wage","OK"))))))</f>
        <v>0</v>
      </c>
    </row>
    <row r="157" spans="2:22">
      <c r="B157" s="13">
        <f>IF(A157="","",IFERROR(INDEX(Products!$B$5:$B$304,MATCH(A157,Products!$A$5:$A$304,0)),"Not found"))</f>
        <v>0</v>
      </c>
      <c r="K157" s="20">
        <f>IF(A157="","",IF(E157&lt;&gt;"",E157,IF(D157="Employee",ROUND(EmployeeRate*(1+PayrollBurden),2),IF(OR(D157="Contractor",D157="Outsourced"),ROUND(ContractorRate*(1+PayrollBurden),2),LaborCostHour))))</f>
        <v>0</v>
      </c>
      <c r="L157" s="41">
        <f>IF(A157="","",IF(F157="","",ROUND(F157/60,3)))</f>
        <v>0</v>
      </c>
      <c r="M157" s="32">
        <f>IF(A157="","",IF(G157="Per batch",IF(OR(H157="",H157=0),DefaultBatchSize,H157),1))</f>
        <v>0</v>
      </c>
      <c r="N157" s="20">
        <f>IF(A157="","",IF(OR(L157="",K157=""),"",ROUND(L157*K157,2)))</f>
        <v>0</v>
      </c>
      <c r="O157" s="20">
        <f>IF(A157="","",IF(N157="","",ROUND(N157/MAX(1,M157),2)))</f>
        <v>0</v>
      </c>
      <c r="P157" s="36">
        <f>IF(A157="","",IF(F157="","",ROUND(F157/MAX(1,M157),2)))</f>
        <v>0</v>
      </c>
      <c r="Q157" s="20">
        <f>IF(A157="","",IF(L157="","",ROUND(L157/MAX(1,M157)*SuppliesPerHour,2)))</f>
        <v>0</v>
      </c>
      <c r="R157" s="20">
        <f>IF(A157="","",ROUND(SUMIFS(Labor!$O$5:$O$304,Labor!$A$5:$A$304,A157),2))</f>
        <v>0</v>
      </c>
      <c r="S157" s="33">
        <f>IF(A157="","",IF(OR(O157="",R157="",R157=0),"",O157/R157))</f>
        <v>0</v>
      </c>
      <c r="T157" s="32">
        <f>IF(A157="","",COUNTIFS($A$5:A157,A157))</f>
        <v>0</v>
      </c>
      <c r="U157" s="13">
        <f>IF(A157="","",A157&amp;"|"&amp;T157)</f>
        <v>0</v>
      </c>
      <c r="V157" s="43">
        <f>IF(A157="","",IF(B157="Not found","Check - no such product ID",IF(OR(F157="",F157=0),"Add - how many minutes?",IF(C157="","Add - which stage?",IF(AND(G157="Per batch",H157=""),"Check - using the default batch size",IF(K157&lt;MinimumWage,"Check - below minimum wage","OK"))))))</f>
        <v>0</v>
      </c>
    </row>
    <row r="158" spans="2:22">
      <c r="B158" s="13">
        <f>IF(A158="","",IFERROR(INDEX(Products!$B$5:$B$304,MATCH(A158,Products!$A$5:$A$304,0)),"Not found"))</f>
        <v>0</v>
      </c>
      <c r="K158" s="20">
        <f>IF(A158="","",IF(E158&lt;&gt;"",E158,IF(D158="Employee",ROUND(EmployeeRate*(1+PayrollBurden),2),IF(OR(D158="Contractor",D158="Outsourced"),ROUND(ContractorRate*(1+PayrollBurden),2),LaborCostHour))))</f>
        <v>0</v>
      </c>
      <c r="L158" s="41">
        <f>IF(A158="","",IF(F158="","",ROUND(F158/60,3)))</f>
        <v>0</v>
      </c>
      <c r="M158" s="32">
        <f>IF(A158="","",IF(G158="Per batch",IF(OR(H158="",H158=0),DefaultBatchSize,H158),1))</f>
        <v>0</v>
      </c>
      <c r="N158" s="20">
        <f>IF(A158="","",IF(OR(L158="",K158=""),"",ROUND(L158*K158,2)))</f>
        <v>0</v>
      </c>
      <c r="O158" s="20">
        <f>IF(A158="","",IF(N158="","",ROUND(N158/MAX(1,M158),2)))</f>
        <v>0</v>
      </c>
      <c r="P158" s="36">
        <f>IF(A158="","",IF(F158="","",ROUND(F158/MAX(1,M158),2)))</f>
        <v>0</v>
      </c>
      <c r="Q158" s="20">
        <f>IF(A158="","",IF(L158="","",ROUND(L158/MAX(1,M158)*SuppliesPerHour,2)))</f>
        <v>0</v>
      </c>
      <c r="R158" s="20">
        <f>IF(A158="","",ROUND(SUMIFS(Labor!$O$5:$O$304,Labor!$A$5:$A$304,A158),2))</f>
        <v>0</v>
      </c>
      <c r="S158" s="33">
        <f>IF(A158="","",IF(OR(O158="",R158="",R158=0),"",O158/R158))</f>
        <v>0</v>
      </c>
      <c r="T158" s="32">
        <f>IF(A158="","",COUNTIFS($A$5:A158,A158))</f>
        <v>0</v>
      </c>
      <c r="U158" s="13">
        <f>IF(A158="","",A158&amp;"|"&amp;T158)</f>
        <v>0</v>
      </c>
      <c r="V158" s="43">
        <f>IF(A158="","",IF(B158="Not found","Check - no such product ID",IF(OR(F158="",F158=0),"Add - how many minutes?",IF(C158="","Add - which stage?",IF(AND(G158="Per batch",H158=""),"Check - using the default batch size",IF(K158&lt;MinimumWage,"Check - below minimum wage","OK"))))))</f>
        <v>0</v>
      </c>
    </row>
    <row r="159" spans="2:22">
      <c r="B159" s="13">
        <f>IF(A159="","",IFERROR(INDEX(Products!$B$5:$B$304,MATCH(A159,Products!$A$5:$A$304,0)),"Not found"))</f>
        <v>0</v>
      </c>
      <c r="K159" s="20">
        <f>IF(A159="","",IF(E159&lt;&gt;"",E159,IF(D159="Employee",ROUND(EmployeeRate*(1+PayrollBurden),2),IF(OR(D159="Contractor",D159="Outsourced"),ROUND(ContractorRate*(1+PayrollBurden),2),LaborCostHour))))</f>
        <v>0</v>
      </c>
      <c r="L159" s="41">
        <f>IF(A159="","",IF(F159="","",ROUND(F159/60,3)))</f>
        <v>0</v>
      </c>
      <c r="M159" s="32">
        <f>IF(A159="","",IF(G159="Per batch",IF(OR(H159="",H159=0),DefaultBatchSize,H159),1))</f>
        <v>0</v>
      </c>
      <c r="N159" s="20">
        <f>IF(A159="","",IF(OR(L159="",K159=""),"",ROUND(L159*K159,2)))</f>
        <v>0</v>
      </c>
      <c r="O159" s="20">
        <f>IF(A159="","",IF(N159="","",ROUND(N159/MAX(1,M159),2)))</f>
        <v>0</v>
      </c>
      <c r="P159" s="36">
        <f>IF(A159="","",IF(F159="","",ROUND(F159/MAX(1,M159),2)))</f>
        <v>0</v>
      </c>
      <c r="Q159" s="20">
        <f>IF(A159="","",IF(L159="","",ROUND(L159/MAX(1,M159)*SuppliesPerHour,2)))</f>
        <v>0</v>
      </c>
      <c r="R159" s="20">
        <f>IF(A159="","",ROUND(SUMIFS(Labor!$O$5:$O$304,Labor!$A$5:$A$304,A159),2))</f>
        <v>0</v>
      </c>
      <c r="S159" s="33">
        <f>IF(A159="","",IF(OR(O159="",R159="",R159=0),"",O159/R159))</f>
        <v>0</v>
      </c>
      <c r="T159" s="32">
        <f>IF(A159="","",COUNTIFS($A$5:A159,A159))</f>
        <v>0</v>
      </c>
      <c r="U159" s="13">
        <f>IF(A159="","",A159&amp;"|"&amp;T159)</f>
        <v>0</v>
      </c>
      <c r="V159" s="43">
        <f>IF(A159="","",IF(B159="Not found","Check - no such product ID",IF(OR(F159="",F159=0),"Add - how many minutes?",IF(C159="","Add - which stage?",IF(AND(G159="Per batch",H159=""),"Check - using the default batch size",IF(K159&lt;MinimumWage,"Check - below minimum wage","OK"))))))</f>
        <v>0</v>
      </c>
    </row>
    <row r="160" spans="2:22">
      <c r="B160" s="13">
        <f>IF(A160="","",IFERROR(INDEX(Products!$B$5:$B$304,MATCH(A160,Products!$A$5:$A$304,0)),"Not found"))</f>
        <v>0</v>
      </c>
      <c r="K160" s="20">
        <f>IF(A160="","",IF(E160&lt;&gt;"",E160,IF(D160="Employee",ROUND(EmployeeRate*(1+PayrollBurden),2),IF(OR(D160="Contractor",D160="Outsourced"),ROUND(ContractorRate*(1+PayrollBurden),2),LaborCostHour))))</f>
        <v>0</v>
      </c>
      <c r="L160" s="41">
        <f>IF(A160="","",IF(F160="","",ROUND(F160/60,3)))</f>
        <v>0</v>
      </c>
      <c r="M160" s="32">
        <f>IF(A160="","",IF(G160="Per batch",IF(OR(H160="",H160=0),DefaultBatchSize,H160),1))</f>
        <v>0</v>
      </c>
      <c r="N160" s="20">
        <f>IF(A160="","",IF(OR(L160="",K160=""),"",ROUND(L160*K160,2)))</f>
        <v>0</v>
      </c>
      <c r="O160" s="20">
        <f>IF(A160="","",IF(N160="","",ROUND(N160/MAX(1,M160),2)))</f>
        <v>0</v>
      </c>
      <c r="P160" s="36">
        <f>IF(A160="","",IF(F160="","",ROUND(F160/MAX(1,M160),2)))</f>
        <v>0</v>
      </c>
      <c r="Q160" s="20">
        <f>IF(A160="","",IF(L160="","",ROUND(L160/MAX(1,M160)*SuppliesPerHour,2)))</f>
        <v>0</v>
      </c>
      <c r="R160" s="20">
        <f>IF(A160="","",ROUND(SUMIFS(Labor!$O$5:$O$304,Labor!$A$5:$A$304,A160),2))</f>
        <v>0</v>
      </c>
      <c r="S160" s="33">
        <f>IF(A160="","",IF(OR(O160="",R160="",R160=0),"",O160/R160))</f>
        <v>0</v>
      </c>
      <c r="T160" s="32">
        <f>IF(A160="","",COUNTIFS($A$5:A160,A160))</f>
        <v>0</v>
      </c>
      <c r="U160" s="13">
        <f>IF(A160="","",A160&amp;"|"&amp;T160)</f>
        <v>0</v>
      </c>
      <c r="V160" s="43">
        <f>IF(A160="","",IF(B160="Not found","Check - no such product ID",IF(OR(F160="",F160=0),"Add - how many minutes?",IF(C160="","Add - which stage?",IF(AND(G160="Per batch",H160=""),"Check - using the default batch size",IF(K160&lt;MinimumWage,"Check - below minimum wage","OK"))))))</f>
        <v>0</v>
      </c>
    </row>
    <row r="161" spans="2:22">
      <c r="B161" s="13">
        <f>IF(A161="","",IFERROR(INDEX(Products!$B$5:$B$304,MATCH(A161,Products!$A$5:$A$304,0)),"Not found"))</f>
        <v>0</v>
      </c>
      <c r="K161" s="20">
        <f>IF(A161="","",IF(E161&lt;&gt;"",E161,IF(D161="Employee",ROUND(EmployeeRate*(1+PayrollBurden),2),IF(OR(D161="Contractor",D161="Outsourced"),ROUND(ContractorRate*(1+PayrollBurden),2),LaborCostHour))))</f>
        <v>0</v>
      </c>
      <c r="L161" s="41">
        <f>IF(A161="","",IF(F161="","",ROUND(F161/60,3)))</f>
        <v>0</v>
      </c>
      <c r="M161" s="32">
        <f>IF(A161="","",IF(G161="Per batch",IF(OR(H161="",H161=0),DefaultBatchSize,H161),1))</f>
        <v>0</v>
      </c>
      <c r="N161" s="20">
        <f>IF(A161="","",IF(OR(L161="",K161=""),"",ROUND(L161*K161,2)))</f>
        <v>0</v>
      </c>
      <c r="O161" s="20">
        <f>IF(A161="","",IF(N161="","",ROUND(N161/MAX(1,M161),2)))</f>
        <v>0</v>
      </c>
      <c r="P161" s="36">
        <f>IF(A161="","",IF(F161="","",ROUND(F161/MAX(1,M161),2)))</f>
        <v>0</v>
      </c>
      <c r="Q161" s="20">
        <f>IF(A161="","",IF(L161="","",ROUND(L161/MAX(1,M161)*SuppliesPerHour,2)))</f>
        <v>0</v>
      </c>
      <c r="R161" s="20">
        <f>IF(A161="","",ROUND(SUMIFS(Labor!$O$5:$O$304,Labor!$A$5:$A$304,A161),2))</f>
        <v>0</v>
      </c>
      <c r="S161" s="33">
        <f>IF(A161="","",IF(OR(O161="",R161="",R161=0),"",O161/R161))</f>
        <v>0</v>
      </c>
      <c r="T161" s="32">
        <f>IF(A161="","",COUNTIFS($A$5:A161,A161))</f>
        <v>0</v>
      </c>
      <c r="U161" s="13">
        <f>IF(A161="","",A161&amp;"|"&amp;T161)</f>
        <v>0</v>
      </c>
      <c r="V161" s="43">
        <f>IF(A161="","",IF(B161="Not found","Check - no such product ID",IF(OR(F161="",F161=0),"Add - how many minutes?",IF(C161="","Add - which stage?",IF(AND(G161="Per batch",H161=""),"Check - using the default batch size",IF(K161&lt;MinimumWage,"Check - below minimum wage","OK"))))))</f>
        <v>0</v>
      </c>
    </row>
    <row r="162" spans="2:22">
      <c r="B162" s="13">
        <f>IF(A162="","",IFERROR(INDEX(Products!$B$5:$B$304,MATCH(A162,Products!$A$5:$A$304,0)),"Not found"))</f>
        <v>0</v>
      </c>
      <c r="K162" s="20">
        <f>IF(A162="","",IF(E162&lt;&gt;"",E162,IF(D162="Employee",ROUND(EmployeeRate*(1+PayrollBurden),2),IF(OR(D162="Contractor",D162="Outsourced"),ROUND(ContractorRate*(1+PayrollBurden),2),LaborCostHour))))</f>
        <v>0</v>
      </c>
      <c r="L162" s="41">
        <f>IF(A162="","",IF(F162="","",ROUND(F162/60,3)))</f>
        <v>0</v>
      </c>
      <c r="M162" s="32">
        <f>IF(A162="","",IF(G162="Per batch",IF(OR(H162="",H162=0),DefaultBatchSize,H162),1))</f>
        <v>0</v>
      </c>
      <c r="N162" s="20">
        <f>IF(A162="","",IF(OR(L162="",K162=""),"",ROUND(L162*K162,2)))</f>
        <v>0</v>
      </c>
      <c r="O162" s="20">
        <f>IF(A162="","",IF(N162="","",ROUND(N162/MAX(1,M162),2)))</f>
        <v>0</v>
      </c>
      <c r="P162" s="36">
        <f>IF(A162="","",IF(F162="","",ROUND(F162/MAX(1,M162),2)))</f>
        <v>0</v>
      </c>
      <c r="Q162" s="20">
        <f>IF(A162="","",IF(L162="","",ROUND(L162/MAX(1,M162)*SuppliesPerHour,2)))</f>
        <v>0</v>
      </c>
      <c r="R162" s="20">
        <f>IF(A162="","",ROUND(SUMIFS(Labor!$O$5:$O$304,Labor!$A$5:$A$304,A162),2))</f>
        <v>0</v>
      </c>
      <c r="S162" s="33">
        <f>IF(A162="","",IF(OR(O162="",R162="",R162=0),"",O162/R162))</f>
        <v>0</v>
      </c>
      <c r="T162" s="32">
        <f>IF(A162="","",COUNTIFS($A$5:A162,A162))</f>
        <v>0</v>
      </c>
      <c r="U162" s="13">
        <f>IF(A162="","",A162&amp;"|"&amp;T162)</f>
        <v>0</v>
      </c>
      <c r="V162" s="43">
        <f>IF(A162="","",IF(B162="Not found","Check - no such product ID",IF(OR(F162="",F162=0),"Add - how many minutes?",IF(C162="","Add - which stage?",IF(AND(G162="Per batch",H162=""),"Check - using the default batch size",IF(K162&lt;MinimumWage,"Check - below minimum wage","OK"))))))</f>
        <v>0</v>
      </c>
    </row>
    <row r="163" spans="2:22">
      <c r="B163" s="13">
        <f>IF(A163="","",IFERROR(INDEX(Products!$B$5:$B$304,MATCH(A163,Products!$A$5:$A$304,0)),"Not found"))</f>
        <v>0</v>
      </c>
      <c r="K163" s="20">
        <f>IF(A163="","",IF(E163&lt;&gt;"",E163,IF(D163="Employee",ROUND(EmployeeRate*(1+PayrollBurden),2),IF(OR(D163="Contractor",D163="Outsourced"),ROUND(ContractorRate*(1+PayrollBurden),2),LaborCostHour))))</f>
        <v>0</v>
      </c>
      <c r="L163" s="41">
        <f>IF(A163="","",IF(F163="","",ROUND(F163/60,3)))</f>
        <v>0</v>
      </c>
      <c r="M163" s="32">
        <f>IF(A163="","",IF(G163="Per batch",IF(OR(H163="",H163=0),DefaultBatchSize,H163),1))</f>
        <v>0</v>
      </c>
      <c r="N163" s="20">
        <f>IF(A163="","",IF(OR(L163="",K163=""),"",ROUND(L163*K163,2)))</f>
        <v>0</v>
      </c>
      <c r="O163" s="20">
        <f>IF(A163="","",IF(N163="","",ROUND(N163/MAX(1,M163),2)))</f>
        <v>0</v>
      </c>
      <c r="P163" s="36">
        <f>IF(A163="","",IF(F163="","",ROUND(F163/MAX(1,M163),2)))</f>
        <v>0</v>
      </c>
      <c r="Q163" s="20">
        <f>IF(A163="","",IF(L163="","",ROUND(L163/MAX(1,M163)*SuppliesPerHour,2)))</f>
        <v>0</v>
      </c>
      <c r="R163" s="20">
        <f>IF(A163="","",ROUND(SUMIFS(Labor!$O$5:$O$304,Labor!$A$5:$A$304,A163),2))</f>
        <v>0</v>
      </c>
      <c r="S163" s="33">
        <f>IF(A163="","",IF(OR(O163="",R163="",R163=0),"",O163/R163))</f>
        <v>0</v>
      </c>
      <c r="T163" s="32">
        <f>IF(A163="","",COUNTIFS($A$5:A163,A163))</f>
        <v>0</v>
      </c>
      <c r="U163" s="13">
        <f>IF(A163="","",A163&amp;"|"&amp;T163)</f>
        <v>0</v>
      </c>
      <c r="V163" s="43">
        <f>IF(A163="","",IF(B163="Not found","Check - no such product ID",IF(OR(F163="",F163=0),"Add - how many minutes?",IF(C163="","Add - which stage?",IF(AND(G163="Per batch",H163=""),"Check - using the default batch size",IF(K163&lt;MinimumWage,"Check - below minimum wage","OK"))))))</f>
        <v>0</v>
      </c>
    </row>
    <row r="164" spans="2:22">
      <c r="B164" s="13">
        <f>IF(A164="","",IFERROR(INDEX(Products!$B$5:$B$304,MATCH(A164,Products!$A$5:$A$304,0)),"Not found"))</f>
        <v>0</v>
      </c>
      <c r="K164" s="20">
        <f>IF(A164="","",IF(E164&lt;&gt;"",E164,IF(D164="Employee",ROUND(EmployeeRate*(1+PayrollBurden),2),IF(OR(D164="Contractor",D164="Outsourced"),ROUND(ContractorRate*(1+PayrollBurden),2),LaborCostHour))))</f>
        <v>0</v>
      </c>
      <c r="L164" s="41">
        <f>IF(A164="","",IF(F164="","",ROUND(F164/60,3)))</f>
        <v>0</v>
      </c>
      <c r="M164" s="32">
        <f>IF(A164="","",IF(G164="Per batch",IF(OR(H164="",H164=0),DefaultBatchSize,H164),1))</f>
        <v>0</v>
      </c>
      <c r="N164" s="20">
        <f>IF(A164="","",IF(OR(L164="",K164=""),"",ROUND(L164*K164,2)))</f>
        <v>0</v>
      </c>
      <c r="O164" s="20">
        <f>IF(A164="","",IF(N164="","",ROUND(N164/MAX(1,M164),2)))</f>
        <v>0</v>
      </c>
      <c r="P164" s="36">
        <f>IF(A164="","",IF(F164="","",ROUND(F164/MAX(1,M164),2)))</f>
        <v>0</v>
      </c>
      <c r="Q164" s="20">
        <f>IF(A164="","",IF(L164="","",ROUND(L164/MAX(1,M164)*SuppliesPerHour,2)))</f>
        <v>0</v>
      </c>
      <c r="R164" s="20">
        <f>IF(A164="","",ROUND(SUMIFS(Labor!$O$5:$O$304,Labor!$A$5:$A$304,A164),2))</f>
        <v>0</v>
      </c>
      <c r="S164" s="33">
        <f>IF(A164="","",IF(OR(O164="",R164="",R164=0),"",O164/R164))</f>
        <v>0</v>
      </c>
      <c r="T164" s="32">
        <f>IF(A164="","",COUNTIFS($A$5:A164,A164))</f>
        <v>0</v>
      </c>
      <c r="U164" s="13">
        <f>IF(A164="","",A164&amp;"|"&amp;T164)</f>
        <v>0</v>
      </c>
      <c r="V164" s="43">
        <f>IF(A164="","",IF(B164="Not found","Check - no such product ID",IF(OR(F164="",F164=0),"Add - how many minutes?",IF(C164="","Add - which stage?",IF(AND(G164="Per batch",H164=""),"Check - using the default batch size",IF(K164&lt;MinimumWage,"Check - below minimum wage","OK"))))))</f>
        <v>0</v>
      </c>
    </row>
    <row r="165" spans="2:22">
      <c r="B165" s="13">
        <f>IF(A165="","",IFERROR(INDEX(Products!$B$5:$B$304,MATCH(A165,Products!$A$5:$A$304,0)),"Not found"))</f>
        <v>0</v>
      </c>
      <c r="K165" s="20">
        <f>IF(A165="","",IF(E165&lt;&gt;"",E165,IF(D165="Employee",ROUND(EmployeeRate*(1+PayrollBurden),2),IF(OR(D165="Contractor",D165="Outsourced"),ROUND(ContractorRate*(1+PayrollBurden),2),LaborCostHour))))</f>
        <v>0</v>
      </c>
      <c r="L165" s="41">
        <f>IF(A165="","",IF(F165="","",ROUND(F165/60,3)))</f>
        <v>0</v>
      </c>
      <c r="M165" s="32">
        <f>IF(A165="","",IF(G165="Per batch",IF(OR(H165="",H165=0),DefaultBatchSize,H165),1))</f>
        <v>0</v>
      </c>
      <c r="N165" s="20">
        <f>IF(A165="","",IF(OR(L165="",K165=""),"",ROUND(L165*K165,2)))</f>
        <v>0</v>
      </c>
      <c r="O165" s="20">
        <f>IF(A165="","",IF(N165="","",ROUND(N165/MAX(1,M165),2)))</f>
        <v>0</v>
      </c>
      <c r="P165" s="36">
        <f>IF(A165="","",IF(F165="","",ROUND(F165/MAX(1,M165),2)))</f>
        <v>0</v>
      </c>
      <c r="Q165" s="20">
        <f>IF(A165="","",IF(L165="","",ROUND(L165/MAX(1,M165)*SuppliesPerHour,2)))</f>
        <v>0</v>
      </c>
      <c r="R165" s="20">
        <f>IF(A165="","",ROUND(SUMIFS(Labor!$O$5:$O$304,Labor!$A$5:$A$304,A165),2))</f>
        <v>0</v>
      </c>
      <c r="S165" s="33">
        <f>IF(A165="","",IF(OR(O165="",R165="",R165=0),"",O165/R165))</f>
        <v>0</v>
      </c>
      <c r="T165" s="32">
        <f>IF(A165="","",COUNTIFS($A$5:A165,A165))</f>
        <v>0</v>
      </c>
      <c r="U165" s="13">
        <f>IF(A165="","",A165&amp;"|"&amp;T165)</f>
        <v>0</v>
      </c>
      <c r="V165" s="43">
        <f>IF(A165="","",IF(B165="Not found","Check - no such product ID",IF(OR(F165="",F165=0),"Add - how many minutes?",IF(C165="","Add - which stage?",IF(AND(G165="Per batch",H165=""),"Check - using the default batch size",IF(K165&lt;MinimumWage,"Check - below minimum wage","OK"))))))</f>
        <v>0</v>
      </c>
    </row>
    <row r="166" spans="2:22">
      <c r="B166" s="13">
        <f>IF(A166="","",IFERROR(INDEX(Products!$B$5:$B$304,MATCH(A166,Products!$A$5:$A$304,0)),"Not found"))</f>
        <v>0</v>
      </c>
      <c r="K166" s="20">
        <f>IF(A166="","",IF(E166&lt;&gt;"",E166,IF(D166="Employee",ROUND(EmployeeRate*(1+PayrollBurden),2),IF(OR(D166="Contractor",D166="Outsourced"),ROUND(ContractorRate*(1+PayrollBurden),2),LaborCostHour))))</f>
        <v>0</v>
      </c>
      <c r="L166" s="41">
        <f>IF(A166="","",IF(F166="","",ROUND(F166/60,3)))</f>
        <v>0</v>
      </c>
      <c r="M166" s="32">
        <f>IF(A166="","",IF(G166="Per batch",IF(OR(H166="",H166=0),DefaultBatchSize,H166),1))</f>
        <v>0</v>
      </c>
      <c r="N166" s="20">
        <f>IF(A166="","",IF(OR(L166="",K166=""),"",ROUND(L166*K166,2)))</f>
        <v>0</v>
      </c>
      <c r="O166" s="20">
        <f>IF(A166="","",IF(N166="","",ROUND(N166/MAX(1,M166),2)))</f>
        <v>0</v>
      </c>
      <c r="P166" s="36">
        <f>IF(A166="","",IF(F166="","",ROUND(F166/MAX(1,M166),2)))</f>
        <v>0</v>
      </c>
      <c r="Q166" s="20">
        <f>IF(A166="","",IF(L166="","",ROUND(L166/MAX(1,M166)*SuppliesPerHour,2)))</f>
        <v>0</v>
      </c>
      <c r="R166" s="20">
        <f>IF(A166="","",ROUND(SUMIFS(Labor!$O$5:$O$304,Labor!$A$5:$A$304,A166),2))</f>
        <v>0</v>
      </c>
      <c r="S166" s="33">
        <f>IF(A166="","",IF(OR(O166="",R166="",R166=0),"",O166/R166))</f>
        <v>0</v>
      </c>
      <c r="T166" s="32">
        <f>IF(A166="","",COUNTIFS($A$5:A166,A166))</f>
        <v>0</v>
      </c>
      <c r="U166" s="13">
        <f>IF(A166="","",A166&amp;"|"&amp;T166)</f>
        <v>0</v>
      </c>
      <c r="V166" s="43">
        <f>IF(A166="","",IF(B166="Not found","Check - no such product ID",IF(OR(F166="",F166=0),"Add - how many minutes?",IF(C166="","Add - which stage?",IF(AND(G166="Per batch",H166=""),"Check - using the default batch size",IF(K166&lt;MinimumWage,"Check - below minimum wage","OK"))))))</f>
        <v>0</v>
      </c>
    </row>
    <row r="167" spans="2:22">
      <c r="B167" s="13">
        <f>IF(A167="","",IFERROR(INDEX(Products!$B$5:$B$304,MATCH(A167,Products!$A$5:$A$304,0)),"Not found"))</f>
        <v>0</v>
      </c>
      <c r="K167" s="20">
        <f>IF(A167="","",IF(E167&lt;&gt;"",E167,IF(D167="Employee",ROUND(EmployeeRate*(1+PayrollBurden),2),IF(OR(D167="Contractor",D167="Outsourced"),ROUND(ContractorRate*(1+PayrollBurden),2),LaborCostHour))))</f>
        <v>0</v>
      </c>
      <c r="L167" s="41">
        <f>IF(A167="","",IF(F167="","",ROUND(F167/60,3)))</f>
        <v>0</v>
      </c>
      <c r="M167" s="32">
        <f>IF(A167="","",IF(G167="Per batch",IF(OR(H167="",H167=0),DefaultBatchSize,H167),1))</f>
        <v>0</v>
      </c>
      <c r="N167" s="20">
        <f>IF(A167="","",IF(OR(L167="",K167=""),"",ROUND(L167*K167,2)))</f>
        <v>0</v>
      </c>
      <c r="O167" s="20">
        <f>IF(A167="","",IF(N167="","",ROUND(N167/MAX(1,M167),2)))</f>
        <v>0</v>
      </c>
      <c r="P167" s="36">
        <f>IF(A167="","",IF(F167="","",ROUND(F167/MAX(1,M167),2)))</f>
        <v>0</v>
      </c>
      <c r="Q167" s="20">
        <f>IF(A167="","",IF(L167="","",ROUND(L167/MAX(1,M167)*SuppliesPerHour,2)))</f>
        <v>0</v>
      </c>
      <c r="R167" s="20">
        <f>IF(A167="","",ROUND(SUMIFS(Labor!$O$5:$O$304,Labor!$A$5:$A$304,A167),2))</f>
        <v>0</v>
      </c>
      <c r="S167" s="33">
        <f>IF(A167="","",IF(OR(O167="",R167="",R167=0),"",O167/R167))</f>
        <v>0</v>
      </c>
      <c r="T167" s="32">
        <f>IF(A167="","",COUNTIFS($A$5:A167,A167))</f>
        <v>0</v>
      </c>
      <c r="U167" s="13">
        <f>IF(A167="","",A167&amp;"|"&amp;T167)</f>
        <v>0</v>
      </c>
      <c r="V167" s="43">
        <f>IF(A167="","",IF(B167="Not found","Check - no such product ID",IF(OR(F167="",F167=0),"Add - how many minutes?",IF(C167="","Add - which stage?",IF(AND(G167="Per batch",H167=""),"Check - using the default batch size",IF(K167&lt;MinimumWage,"Check - below minimum wage","OK"))))))</f>
        <v>0</v>
      </c>
    </row>
    <row r="168" spans="2:22">
      <c r="B168" s="13">
        <f>IF(A168="","",IFERROR(INDEX(Products!$B$5:$B$304,MATCH(A168,Products!$A$5:$A$304,0)),"Not found"))</f>
        <v>0</v>
      </c>
      <c r="K168" s="20">
        <f>IF(A168="","",IF(E168&lt;&gt;"",E168,IF(D168="Employee",ROUND(EmployeeRate*(1+PayrollBurden),2),IF(OR(D168="Contractor",D168="Outsourced"),ROUND(ContractorRate*(1+PayrollBurden),2),LaborCostHour))))</f>
        <v>0</v>
      </c>
      <c r="L168" s="41">
        <f>IF(A168="","",IF(F168="","",ROUND(F168/60,3)))</f>
        <v>0</v>
      </c>
      <c r="M168" s="32">
        <f>IF(A168="","",IF(G168="Per batch",IF(OR(H168="",H168=0),DefaultBatchSize,H168),1))</f>
        <v>0</v>
      </c>
      <c r="N168" s="20">
        <f>IF(A168="","",IF(OR(L168="",K168=""),"",ROUND(L168*K168,2)))</f>
        <v>0</v>
      </c>
      <c r="O168" s="20">
        <f>IF(A168="","",IF(N168="","",ROUND(N168/MAX(1,M168),2)))</f>
        <v>0</v>
      </c>
      <c r="P168" s="36">
        <f>IF(A168="","",IF(F168="","",ROUND(F168/MAX(1,M168),2)))</f>
        <v>0</v>
      </c>
      <c r="Q168" s="20">
        <f>IF(A168="","",IF(L168="","",ROUND(L168/MAX(1,M168)*SuppliesPerHour,2)))</f>
        <v>0</v>
      </c>
      <c r="R168" s="20">
        <f>IF(A168="","",ROUND(SUMIFS(Labor!$O$5:$O$304,Labor!$A$5:$A$304,A168),2))</f>
        <v>0</v>
      </c>
      <c r="S168" s="33">
        <f>IF(A168="","",IF(OR(O168="",R168="",R168=0),"",O168/R168))</f>
        <v>0</v>
      </c>
      <c r="T168" s="32">
        <f>IF(A168="","",COUNTIFS($A$5:A168,A168))</f>
        <v>0</v>
      </c>
      <c r="U168" s="13">
        <f>IF(A168="","",A168&amp;"|"&amp;T168)</f>
        <v>0</v>
      </c>
      <c r="V168" s="43">
        <f>IF(A168="","",IF(B168="Not found","Check - no such product ID",IF(OR(F168="",F168=0),"Add - how many minutes?",IF(C168="","Add - which stage?",IF(AND(G168="Per batch",H168=""),"Check - using the default batch size",IF(K168&lt;MinimumWage,"Check - below minimum wage","OK"))))))</f>
        <v>0</v>
      </c>
    </row>
    <row r="169" spans="2:22">
      <c r="B169" s="13">
        <f>IF(A169="","",IFERROR(INDEX(Products!$B$5:$B$304,MATCH(A169,Products!$A$5:$A$304,0)),"Not found"))</f>
        <v>0</v>
      </c>
      <c r="K169" s="20">
        <f>IF(A169="","",IF(E169&lt;&gt;"",E169,IF(D169="Employee",ROUND(EmployeeRate*(1+PayrollBurden),2),IF(OR(D169="Contractor",D169="Outsourced"),ROUND(ContractorRate*(1+PayrollBurden),2),LaborCostHour))))</f>
        <v>0</v>
      </c>
      <c r="L169" s="41">
        <f>IF(A169="","",IF(F169="","",ROUND(F169/60,3)))</f>
        <v>0</v>
      </c>
      <c r="M169" s="32">
        <f>IF(A169="","",IF(G169="Per batch",IF(OR(H169="",H169=0),DefaultBatchSize,H169),1))</f>
        <v>0</v>
      </c>
      <c r="N169" s="20">
        <f>IF(A169="","",IF(OR(L169="",K169=""),"",ROUND(L169*K169,2)))</f>
        <v>0</v>
      </c>
      <c r="O169" s="20">
        <f>IF(A169="","",IF(N169="","",ROUND(N169/MAX(1,M169),2)))</f>
        <v>0</v>
      </c>
      <c r="P169" s="36">
        <f>IF(A169="","",IF(F169="","",ROUND(F169/MAX(1,M169),2)))</f>
        <v>0</v>
      </c>
      <c r="Q169" s="20">
        <f>IF(A169="","",IF(L169="","",ROUND(L169/MAX(1,M169)*SuppliesPerHour,2)))</f>
        <v>0</v>
      </c>
      <c r="R169" s="20">
        <f>IF(A169="","",ROUND(SUMIFS(Labor!$O$5:$O$304,Labor!$A$5:$A$304,A169),2))</f>
        <v>0</v>
      </c>
      <c r="S169" s="33">
        <f>IF(A169="","",IF(OR(O169="",R169="",R169=0),"",O169/R169))</f>
        <v>0</v>
      </c>
      <c r="T169" s="32">
        <f>IF(A169="","",COUNTIFS($A$5:A169,A169))</f>
        <v>0</v>
      </c>
      <c r="U169" s="13">
        <f>IF(A169="","",A169&amp;"|"&amp;T169)</f>
        <v>0</v>
      </c>
      <c r="V169" s="43">
        <f>IF(A169="","",IF(B169="Not found","Check - no such product ID",IF(OR(F169="",F169=0),"Add - how many minutes?",IF(C169="","Add - which stage?",IF(AND(G169="Per batch",H169=""),"Check - using the default batch size",IF(K169&lt;MinimumWage,"Check - below minimum wage","OK"))))))</f>
        <v>0</v>
      </c>
    </row>
    <row r="170" spans="2:22">
      <c r="B170" s="13">
        <f>IF(A170="","",IFERROR(INDEX(Products!$B$5:$B$304,MATCH(A170,Products!$A$5:$A$304,0)),"Not found"))</f>
        <v>0</v>
      </c>
      <c r="K170" s="20">
        <f>IF(A170="","",IF(E170&lt;&gt;"",E170,IF(D170="Employee",ROUND(EmployeeRate*(1+PayrollBurden),2),IF(OR(D170="Contractor",D170="Outsourced"),ROUND(ContractorRate*(1+PayrollBurden),2),LaborCostHour))))</f>
        <v>0</v>
      </c>
      <c r="L170" s="41">
        <f>IF(A170="","",IF(F170="","",ROUND(F170/60,3)))</f>
        <v>0</v>
      </c>
      <c r="M170" s="32">
        <f>IF(A170="","",IF(G170="Per batch",IF(OR(H170="",H170=0),DefaultBatchSize,H170),1))</f>
        <v>0</v>
      </c>
      <c r="N170" s="20">
        <f>IF(A170="","",IF(OR(L170="",K170=""),"",ROUND(L170*K170,2)))</f>
        <v>0</v>
      </c>
      <c r="O170" s="20">
        <f>IF(A170="","",IF(N170="","",ROUND(N170/MAX(1,M170),2)))</f>
        <v>0</v>
      </c>
      <c r="P170" s="36">
        <f>IF(A170="","",IF(F170="","",ROUND(F170/MAX(1,M170),2)))</f>
        <v>0</v>
      </c>
      <c r="Q170" s="20">
        <f>IF(A170="","",IF(L170="","",ROUND(L170/MAX(1,M170)*SuppliesPerHour,2)))</f>
        <v>0</v>
      </c>
      <c r="R170" s="20">
        <f>IF(A170="","",ROUND(SUMIFS(Labor!$O$5:$O$304,Labor!$A$5:$A$304,A170),2))</f>
        <v>0</v>
      </c>
      <c r="S170" s="33">
        <f>IF(A170="","",IF(OR(O170="",R170="",R170=0),"",O170/R170))</f>
        <v>0</v>
      </c>
      <c r="T170" s="32">
        <f>IF(A170="","",COUNTIFS($A$5:A170,A170))</f>
        <v>0</v>
      </c>
      <c r="U170" s="13">
        <f>IF(A170="","",A170&amp;"|"&amp;T170)</f>
        <v>0</v>
      </c>
      <c r="V170" s="43">
        <f>IF(A170="","",IF(B170="Not found","Check - no such product ID",IF(OR(F170="",F170=0),"Add - how many minutes?",IF(C170="","Add - which stage?",IF(AND(G170="Per batch",H170=""),"Check - using the default batch size",IF(K170&lt;MinimumWage,"Check - below minimum wage","OK"))))))</f>
        <v>0</v>
      </c>
    </row>
    <row r="171" spans="2:22">
      <c r="B171" s="13">
        <f>IF(A171="","",IFERROR(INDEX(Products!$B$5:$B$304,MATCH(A171,Products!$A$5:$A$304,0)),"Not found"))</f>
        <v>0</v>
      </c>
      <c r="K171" s="20">
        <f>IF(A171="","",IF(E171&lt;&gt;"",E171,IF(D171="Employee",ROUND(EmployeeRate*(1+PayrollBurden),2),IF(OR(D171="Contractor",D171="Outsourced"),ROUND(ContractorRate*(1+PayrollBurden),2),LaborCostHour))))</f>
        <v>0</v>
      </c>
      <c r="L171" s="41">
        <f>IF(A171="","",IF(F171="","",ROUND(F171/60,3)))</f>
        <v>0</v>
      </c>
      <c r="M171" s="32">
        <f>IF(A171="","",IF(G171="Per batch",IF(OR(H171="",H171=0),DefaultBatchSize,H171),1))</f>
        <v>0</v>
      </c>
      <c r="N171" s="20">
        <f>IF(A171="","",IF(OR(L171="",K171=""),"",ROUND(L171*K171,2)))</f>
        <v>0</v>
      </c>
      <c r="O171" s="20">
        <f>IF(A171="","",IF(N171="","",ROUND(N171/MAX(1,M171),2)))</f>
        <v>0</v>
      </c>
      <c r="P171" s="36">
        <f>IF(A171="","",IF(F171="","",ROUND(F171/MAX(1,M171),2)))</f>
        <v>0</v>
      </c>
      <c r="Q171" s="20">
        <f>IF(A171="","",IF(L171="","",ROUND(L171/MAX(1,M171)*SuppliesPerHour,2)))</f>
        <v>0</v>
      </c>
      <c r="R171" s="20">
        <f>IF(A171="","",ROUND(SUMIFS(Labor!$O$5:$O$304,Labor!$A$5:$A$304,A171),2))</f>
        <v>0</v>
      </c>
      <c r="S171" s="33">
        <f>IF(A171="","",IF(OR(O171="",R171="",R171=0),"",O171/R171))</f>
        <v>0</v>
      </c>
      <c r="T171" s="32">
        <f>IF(A171="","",COUNTIFS($A$5:A171,A171))</f>
        <v>0</v>
      </c>
      <c r="U171" s="13">
        <f>IF(A171="","",A171&amp;"|"&amp;T171)</f>
        <v>0</v>
      </c>
      <c r="V171" s="43">
        <f>IF(A171="","",IF(B171="Not found","Check - no such product ID",IF(OR(F171="",F171=0),"Add - how many minutes?",IF(C171="","Add - which stage?",IF(AND(G171="Per batch",H171=""),"Check - using the default batch size",IF(K171&lt;MinimumWage,"Check - below minimum wage","OK"))))))</f>
        <v>0</v>
      </c>
    </row>
    <row r="172" spans="2:22">
      <c r="B172" s="13">
        <f>IF(A172="","",IFERROR(INDEX(Products!$B$5:$B$304,MATCH(A172,Products!$A$5:$A$304,0)),"Not found"))</f>
        <v>0</v>
      </c>
      <c r="K172" s="20">
        <f>IF(A172="","",IF(E172&lt;&gt;"",E172,IF(D172="Employee",ROUND(EmployeeRate*(1+PayrollBurden),2),IF(OR(D172="Contractor",D172="Outsourced"),ROUND(ContractorRate*(1+PayrollBurden),2),LaborCostHour))))</f>
        <v>0</v>
      </c>
      <c r="L172" s="41">
        <f>IF(A172="","",IF(F172="","",ROUND(F172/60,3)))</f>
        <v>0</v>
      </c>
      <c r="M172" s="32">
        <f>IF(A172="","",IF(G172="Per batch",IF(OR(H172="",H172=0),DefaultBatchSize,H172),1))</f>
        <v>0</v>
      </c>
      <c r="N172" s="20">
        <f>IF(A172="","",IF(OR(L172="",K172=""),"",ROUND(L172*K172,2)))</f>
        <v>0</v>
      </c>
      <c r="O172" s="20">
        <f>IF(A172="","",IF(N172="","",ROUND(N172/MAX(1,M172),2)))</f>
        <v>0</v>
      </c>
      <c r="P172" s="36">
        <f>IF(A172="","",IF(F172="","",ROUND(F172/MAX(1,M172),2)))</f>
        <v>0</v>
      </c>
      <c r="Q172" s="20">
        <f>IF(A172="","",IF(L172="","",ROUND(L172/MAX(1,M172)*SuppliesPerHour,2)))</f>
        <v>0</v>
      </c>
      <c r="R172" s="20">
        <f>IF(A172="","",ROUND(SUMIFS(Labor!$O$5:$O$304,Labor!$A$5:$A$304,A172),2))</f>
        <v>0</v>
      </c>
      <c r="S172" s="33">
        <f>IF(A172="","",IF(OR(O172="",R172="",R172=0),"",O172/R172))</f>
        <v>0</v>
      </c>
      <c r="T172" s="32">
        <f>IF(A172="","",COUNTIFS($A$5:A172,A172))</f>
        <v>0</v>
      </c>
      <c r="U172" s="13">
        <f>IF(A172="","",A172&amp;"|"&amp;T172)</f>
        <v>0</v>
      </c>
      <c r="V172" s="43">
        <f>IF(A172="","",IF(B172="Not found","Check - no such product ID",IF(OR(F172="",F172=0),"Add - how many minutes?",IF(C172="","Add - which stage?",IF(AND(G172="Per batch",H172=""),"Check - using the default batch size",IF(K172&lt;MinimumWage,"Check - below minimum wage","OK"))))))</f>
        <v>0</v>
      </c>
    </row>
    <row r="173" spans="2:22">
      <c r="B173" s="13">
        <f>IF(A173="","",IFERROR(INDEX(Products!$B$5:$B$304,MATCH(A173,Products!$A$5:$A$304,0)),"Not found"))</f>
        <v>0</v>
      </c>
      <c r="K173" s="20">
        <f>IF(A173="","",IF(E173&lt;&gt;"",E173,IF(D173="Employee",ROUND(EmployeeRate*(1+PayrollBurden),2),IF(OR(D173="Contractor",D173="Outsourced"),ROUND(ContractorRate*(1+PayrollBurden),2),LaborCostHour))))</f>
        <v>0</v>
      </c>
      <c r="L173" s="41">
        <f>IF(A173="","",IF(F173="","",ROUND(F173/60,3)))</f>
        <v>0</v>
      </c>
      <c r="M173" s="32">
        <f>IF(A173="","",IF(G173="Per batch",IF(OR(H173="",H173=0),DefaultBatchSize,H173),1))</f>
        <v>0</v>
      </c>
      <c r="N173" s="20">
        <f>IF(A173="","",IF(OR(L173="",K173=""),"",ROUND(L173*K173,2)))</f>
        <v>0</v>
      </c>
      <c r="O173" s="20">
        <f>IF(A173="","",IF(N173="","",ROUND(N173/MAX(1,M173),2)))</f>
        <v>0</v>
      </c>
      <c r="P173" s="36">
        <f>IF(A173="","",IF(F173="","",ROUND(F173/MAX(1,M173),2)))</f>
        <v>0</v>
      </c>
      <c r="Q173" s="20">
        <f>IF(A173="","",IF(L173="","",ROUND(L173/MAX(1,M173)*SuppliesPerHour,2)))</f>
        <v>0</v>
      </c>
      <c r="R173" s="20">
        <f>IF(A173="","",ROUND(SUMIFS(Labor!$O$5:$O$304,Labor!$A$5:$A$304,A173),2))</f>
        <v>0</v>
      </c>
      <c r="S173" s="33">
        <f>IF(A173="","",IF(OR(O173="",R173="",R173=0),"",O173/R173))</f>
        <v>0</v>
      </c>
      <c r="T173" s="32">
        <f>IF(A173="","",COUNTIFS($A$5:A173,A173))</f>
        <v>0</v>
      </c>
      <c r="U173" s="13">
        <f>IF(A173="","",A173&amp;"|"&amp;T173)</f>
        <v>0</v>
      </c>
      <c r="V173" s="43">
        <f>IF(A173="","",IF(B173="Not found","Check - no such product ID",IF(OR(F173="",F173=0),"Add - how many minutes?",IF(C173="","Add - which stage?",IF(AND(G173="Per batch",H173=""),"Check - using the default batch size",IF(K173&lt;MinimumWage,"Check - below minimum wage","OK"))))))</f>
        <v>0</v>
      </c>
    </row>
    <row r="174" spans="2:22">
      <c r="B174" s="13">
        <f>IF(A174="","",IFERROR(INDEX(Products!$B$5:$B$304,MATCH(A174,Products!$A$5:$A$304,0)),"Not found"))</f>
        <v>0</v>
      </c>
      <c r="K174" s="20">
        <f>IF(A174="","",IF(E174&lt;&gt;"",E174,IF(D174="Employee",ROUND(EmployeeRate*(1+PayrollBurden),2),IF(OR(D174="Contractor",D174="Outsourced"),ROUND(ContractorRate*(1+PayrollBurden),2),LaborCostHour))))</f>
        <v>0</v>
      </c>
      <c r="L174" s="41">
        <f>IF(A174="","",IF(F174="","",ROUND(F174/60,3)))</f>
        <v>0</v>
      </c>
      <c r="M174" s="32">
        <f>IF(A174="","",IF(G174="Per batch",IF(OR(H174="",H174=0),DefaultBatchSize,H174),1))</f>
        <v>0</v>
      </c>
      <c r="N174" s="20">
        <f>IF(A174="","",IF(OR(L174="",K174=""),"",ROUND(L174*K174,2)))</f>
        <v>0</v>
      </c>
      <c r="O174" s="20">
        <f>IF(A174="","",IF(N174="","",ROUND(N174/MAX(1,M174),2)))</f>
        <v>0</v>
      </c>
      <c r="P174" s="36">
        <f>IF(A174="","",IF(F174="","",ROUND(F174/MAX(1,M174),2)))</f>
        <v>0</v>
      </c>
      <c r="Q174" s="20">
        <f>IF(A174="","",IF(L174="","",ROUND(L174/MAX(1,M174)*SuppliesPerHour,2)))</f>
        <v>0</v>
      </c>
      <c r="R174" s="20">
        <f>IF(A174="","",ROUND(SUMIFS(Labor!$O$5:$O$304,Labor!$A$5:$A$304,A174),2))</f>
        <v>0</v>
      </c>
      <c r="S174" s="33">
        <f>IF(A174="","",IF(OR(O174="",R174="",R174=0),"",O174/R174))</f>
        <v>0</v>
      </c>
      <c r="T174" s="32">
        <f>IF(A174="","",COUNTIFS($A$5:A174,A174))</f>
        <v>0</v>
      </c>
      <c r="U174" s="13">
        <f>IF(A174="","",A174&amp;"|"&amp;T174)</f>
        <v>0</v>
      </c>
      <c r="V174" s="43">
        <f>IF(A174="","",IF(B174="Not found","Check - no such product ID",IF(OR(F174="",F174=0),"Add - how many minutes?",IF(C174="","Add - which stage?",IF(AND(G174="Per batch",H174=""),"Check - using the default batch size",IF(K174&lt;MinimumWage,"Check - below minimum wage","OK"))))))</f>
        <v>0</v>
      </c>
    </row>
    <row r="175" spans="2:22">
      <c r="B175" s="13">
        <f>IF(A175="","",IFERROR(INDEX(Products!$B$5:$B$304,MATCH(A175,Products!$A$5:$A$304,0)),"Not found"))</f>
        <v>0</v>
      </c>
      <c r="K175" s="20">
        <f>IF(A175="","",IF(E175&lt;&gt;"",E175,IF(D175="Employee",ROUND(EmployeeRate*(1+PayrollBurden),2),IF(OR(D175="Contractor",D175="Outsourced"),ROUND(ContractorRate*(1+PayrollBurden),2),LaborCostHour))))</f>
        <v>0</v>
      </c>
      <c r="L175" s="41">
        <f>IF(A175="","",IF(F175="","",ROUND(F175/60,3)))</f>
        <v>0</v>
      </c>
      <c r="M175" s="32">
        <f>IF(A175="","",IF(G175="Per batch",IF(OR(H175="",H175=0),DefaultBatchSize,H175),1))</f>
        <v>0</v>
      </c>
      <c r="N175" s="20">
        <f>IF(A175="","",IF(OR(L175="",K175=""),"",ROUND(L175*K175,2)))</f>
        <v>0</v>
      </c>
      <c r="O175" s="20">
        <f>IF(A175="","",IF(N175="","",ROUND(N175/MAX(1,M175),2)))</f>
        <v>0</v>
      </c>
      <c r="P175" s="36">
        <f>IF(A175="","",IF(F175="","",ROUND(F175/MAX(1,M175),2)))</f>
        <v>0</v>
      </c>
      <c r="Q175" s="20">
        <f>IF(A175="","",IF(L175="","",ROUND(L175/MAX(1,M175)*SuppliesPerHour,2)))</f>
        <v>0</v>
      </c>
      <c r="R175" s="20">
        <f>IF(A175="","",ROUND(SUMIFS(Labor!$O$5:$O$304,Labor!$A$5:$A$304,A175),2))</f>
        <v>0</v>
      </c>
      <c r="S175" s="33">
        <f>IF(A175="","",IF(OR(O175="",R175="",R175=0),"",O175/R175))</f>
        <v>0</v>
      </c>
      <c r="T175" s="32">
        <f>IF(A175="","",COUNTIFS($A$5:A175,A175))</f>
        <v>0</v>
      </c>
      <c r="U175" s="13">
        <f>IF(A175="","",A175&amp;"|"&amp;T175)</f>
        <v>0</v>
      </c>
      <c r="V175" s="43">
        <f>IF(A175="","",IF(B175="Not found","Check - no such product ID",IF(OR(F175="",F175=0),"Add - how many minutes?",IF(C175="","Add - which stage?",IF(AND(G175="Per batch",H175=""),"Check - using the default batch size",IF(K175&lt;MinimumWage,"Check - below minimum wage","OK"))))))</f>
        <v>0</v>
      </c>
    </row>
    <row r="176" spans="2:22">
      <c r="B176" s="13">
        <f>IF(A176="","",IFERROR(INDEX(Products!$B$5:$B$304,MATCH(A176,Products!$A$5:$A$304,0)),"Not found"))</f>
        <v>0</v>
      </c>
      <c r="K176" s="20">
        <f>IF(A176="","",IF(E176&lt;&gt;"",E176,IF(D176="Employee",ROUND(EmployeeRate*(1+PayrollBurden),2),IF(OR(D176="Contractor",D176="Outsourced"),ROUND(ContractorRate*(1+PayrollBurden),2),LaborCostHour))))</f>
        <v>0</v>
      </c>
      <c r="L176" s="41">
        <f>IF(A176="","",IF(F176="","",ROUND(F176/60,3)))</f>
        <v>0</v>
      </c>
      <c r="M176" s="32">
        <f>IF(A176="","",IF(G176="Per batch",IF(OR(H176="",H176=0),DefaultBatchSize,H176),1))</f>
        <v>0</v>
      </c>
      <c r="N176" s="20">
        <f>IF(A176="","",IF(OR(L176="",K176=""),"",ROUND(L176*K176,2)))</f>
        <v>0</v>
      </c>
      <c r="O176" s="20">
        <f>IF(A176="","",IF(N176="","",ROUND(N176/MAX(1,M176),2)))</f>
        <v>0</v>
      </c>
      <c r="P176" s="36">
        <f>IF(A176="","",IF(F176="","",ROUND(F176/MAX(1,M176),2)))</f>
        <v>0</v>
      </c>
      <c r="Q176" s="20">
        <f>IF(A176="","",IF(L176="","",ROUND(L176/MAX(1,M176)*SuppliesPerHour,2)))</f>
        <v>0</v>
      </c>
      <c r="R176" s="20">
        <f>IF(A176="","",ROUND(SUMIFS(Labor!$O$5:$O$304,Labor!$A$5:$A$304,A176),2))</f>
        <v>0</v>
      </c>
      <c r="S176" s="33">
        <f>IF(A176="","",IF(OR(O176="",R176="",R176=0),"",O176/R176))</f>
        <v>0</v>
      </c>
      <c r="T176" s="32">
        <f>IF(A176="","",COUNTIFS($A$5:A176,A176))</f>
        <v>0</v>
      </c>
      <c r="U176" s="13">
        <f>IF(A176="","",A176&amp;"|"&amp;T176)</f>
        <v>0</v>
      </c>
      <c r="V176" s="43">
        <f>IF(A176="","",IF(B176="Not found","Check - no such product ID",IF(OR(F176="",F176=0),"Add - how many minutes?",IF(C176="","Add - which stage?",IF(AND(G176="Per batch",H176=""),"Check - using the default batch size",IF(K176&lt;MinimumWage,"Check - below minimum wage","OK"))))))</f>
        <v>0</v>
      </c>
    </row>
    <row r="177" spans="2:22">
      <c r="B177" s="13">
        <f>IF(A177="","",IFERROR(INDEX(Products!$B$5:$B$304,MATCH(A177,Products!$A$5:$A$304,0)),"Not found"))</f>
        <v>0</v>
      </c>
      <c r="K177" s="20">
        <f>IF(A177="","",IF(E177&lt;&gt;"",E177,IF(D177="Employee",ROUND(EmployeeRate*(1+PayrollBurden),2),IF(OR(D177="Contractor",D177="Outsourced"),ROUND(ContractorRate*(1+PayrollBurden),2),LaborCostHour))))</f>
        <v>0</v>
      </c>
      <c r="L177" s="41">
        <f>IF(A177="","",IF(F177="","",ROUND(F177/60,3)))</f>
        <v>0</v>
      </c>
      <c r="M177" s="32">
        <f>IF(A177="","",IF(G177="Per batch",IF(OR(H177="",H177=0),DefaultBatchSize,H177),1))</f>
        <v>0</v>
      </c>
      <c r="N177" s="20">
        <f>IF(A177="","",IF(OR(L177="",K177=""),"",ROUND(L177*K177,2)))</f>
        <v>0</v>
      </c>
      <c r="O177" s="20">
        <f>IF(A177="","",IF(N177="","",ROUND(N177/MAX(1,M177),2)))</f>
        <v>0</v>
      </c>
      <c r="P177" s="36">
        <f>IF(A177="","",IF(F177="","",ROUND(F177/MAX(1,M177),2)))</f>
        <v>0</v>
      </c>
      <c r="Q177" s="20">
        <f>IF(A177="","",IF(L177="","",ROUND(L177/MAX(1,M177)*SuppliesPerHour,2)))</f>
        <v>0</v>
      </c>
      <c r="R177" s="20">
        <f>IF(A177="","",ROUND(SUMIFS(Labor!$O$5:$O$304,Labor!$A$5:$A$304,A177),2))</f>
        <v>0</v>
      </c>
      <c r="S177" s="33">
        <f>IF(A177="","",IF(OR(O177="",R177="",R177=0),"",O177/R177))</f>
        <v>0</v>
      </c>
      <c r="T177" s="32">
        <f>IF(A177="","",COUNTIFS($A$5:A177,A177))</f>
        <v>0</v>
      </c>
      <c r="U177" s="13">
        <f>IF(A177="","",A177&amp;"|"&amp;T177)</f>
        <v>0</v>
      </c>
      <c r="V177" s="43">
        <f>IF(A177="","",IF(B177="Not found","Check - no such product ID",IF(OR(F177="",F177=0),"Add - how many minutes?",IF(C177="","Add - which stage?",IF(AND(G177="Per batch",H177=""),"Check - using the default batch size",IF(K177&lt;MinimumWage,"Check - below minimum wage","OK"))))))</f>
        <v>0</v>
      </c>
    </row>
    <row r="178" spans="2:22">
      <c r="B178" s="13">
        <f>IF(A178="","",IFERROR(INDEX(Products!$B$5:$B$304,MATCH(A178,Products!$A$5:$A$304,0)),"Not found"))</f>
        <v>0</v>
      </c>
      <c r="K178" s="20">
        <f>IF(A178="","",IF(E178&lt;&gt;"",E178,IF(D178="Employee",ROUND(EmployeeRate*(1+PayrollBurden),2),IF(OR(D178="Contractor",D178="Outsourced"),ROUND(ContractorRate*(1+PayrollBurden),2),LaborCostHour))))</f>
        <v>0</v>
      </c>
      <c r="L178" s="41">
        <f>IF(A178="","",IF(F178="","",ROUND(F178/60,3)))</f>
        <v>0</v>
      </c>
      <c r="M178" s="32">
        <f>IF(A178="","",IF(G178="Per batch",IF(OR(H178="",H178=0),DefaultBatchSize,H178),1))</f>
        <v>0</v>
      </c>
      <c r="N178" s="20">
        <f>IF(A178="","",IF(OR(L178="",K178=""),"",ROUND(L178*K178,2)))</f>
        <v>0</v>
      </c>
      <c r="O178" s="20">
        <f>IF(A178="","",IF(N178="","",ROUND(N178/MAX(1,M178),2)))</f>
        <v>0</v>
      </c>
      <c r="P178" s="36">
        <f>IF(A178="","",IF(F178="","",ROUND(F178/MAX(1,M178),2)))</f>
        <v>0</v>
      </c>
      <c r="Q178" s="20">
        <f>IF(A178="","",IF(L178="","",ROUND(L178/MAX(1,M178)*SuppliesPerHour,2)))</f>
        <v>0</v>
      </c>
      <c r="R178" s="20">
        <f>IF(A178="","",ROUND(SUMIFS(Labor!$O$5:$O$304,Labor!$A$5:$A$304,A178),2))</f>
        <v>0</v>
      </c>
      <c r="S178" s="33">
        <f>IF(A178="","",IF(OR(O178="",R178="",R178=0),"",O178/R178))</f>
        <v>0</v>
      </c>
      <c r="T178" s="32">
        <f>IF(A178="","",COUNTIFS($A$5:A178,A178))</f>
        <v>0</v>
      </c>
      <c r="U178" s="13">
        <f>IF(A178="","",A178&amp;"|"&amp;T178)</f>
        <v>0</v>
      </c>
      <c r="V178" s="43">
        <f>IF(A178="","",IF(B178="Not found","Check - no such product ID",IF(OR(F178="",F178=0),"Add - how many minutes?",IF(C178="","Add - which stage?",IF(AND(G178="Per batch",H178=""),"Check - using the default batch size",IF(K178&lt;MinimumWage,"Check - below minimum wage","OK"))))))</f>
        <v>0</v>
      </c>
    </row>
    <row r="179" spans="2:22">
      <c r="B179" s="13">
        <f>IF(A179="","",IFERROR(INDEX(Products!$B$5:$B$304,MATCH(A179,Products!$A$5:$A$304,0)),"Not found"))</f>
        <v>0</v>
      </c>
      <c r="K179" s="20">
        <f>IF(A179="","",IF(E179&lt;&gt;"",E179,IF(D179="Employee",ROUND(EmployeeRate*(1+PayrollBurden),2),IF(OR(D179="Contractor",D179="Outsourced"),ROUND(ContractorRate*(1+PayrollBurden),2),LaborCostHour))))</f>
        <v>0</v>
      </c>
      <c r="L179" s="41">
        <f>IF(A179="","",IF(F179="","",ROUND(F179/60,3)))</f>
        <v>0</v>
      </c>
      <c r="M179" s="32">
        <f>IF(A179="","",IF(G179="Per batch",IF(OR(H179="",H179=0),DefaultBatchSize,H179),1))</f>
        <v>0</v>
      </c>
      <c r="N179" s="20">
        <f>IF(A179="","",IF(OR(L179="",K179=""),"",ROUND(L179*K179,2)))</f>
        <v>0</v>
      </c>
      <c r="O179" s="20">
        <f>IF(A179="","",IF(N179="","",ROUND(N179/MAX(1,M179),2)))</f>
        <v>0</v>
      </c>
      <c r="P179" s="36">
        <f>IF(A179="","",IF(F179="","",ROUND(F179/MAX(1,M179),2)))</f>
        <v>0</v>
      </c>
      <c r="Q179" s="20">
        <f>IF(A179="","",IF(L179="","",ROUND(L179/MAX(1,M179)*SuppliesPerHour,2)))</f>
        <v>0</v>
      </c>
      <c r="R179" s="20">
        <f>IF(A179="","",ROUND(SUMIFS(Labor!$O$5:$O$304,Labor!$A$5:$A$304,A179),2))</f>
        <v>0</v>
      </c>
      <c r="S179" s="33">
        <f>IF(A179="","",IF(OR(O179="",R179="",R179=0),"",O179/R179))</f>
        <v>0</v>
      </c>
      <c r="T179" s="32">
        <f>IF(A179="","",COUNTIFS($A$5:A179,A179))</f>
        <v>0</v>
      </c>
      <c r="U179" s="13">
        <f>IF(A179="","",A179&amp;"|"&amp;T179)</f>
        <v>0</v>
      </c>
      <c r="V179" s="43">
        <f>IF(A179="","",IF(B179="Not found","Check - no such product ID",IF(OR(F179="",F179=0),"Add - how many minutes?",IF(C179="","Add - which stage?",IF(AND(G179="Per batch",H179=""),"Check - using the default batch size",IF(K179&lt;MinimumWage,"Check - below minimum wage","OK"))))))</f>
        <v>0</v>
      </c>
    </row>
    <row r="180" spans="2:22">
      <c r="B180" s="13">
        <f>IF(A180="","",IFERROR(INDEX(Products!$B$5:$B$304,MATCH(A180,Products!$A$5:$A$304,0)),"Not found"))</f>
        <v>0</v>
      </c>
      <c r="K180" s="20">
        <f>IF(A180="","",IF(E180&lt;&gt;"",E180,IF(D180="Employee",ROUND(EmployeeRate*(1+PayrollBurden),2),IF(OR(D180="Contractor",D180="Outsourced"),ROUND(ContractorRate*(1+PayrollBurden),2),LaborCostHour))))</f>
        <v>0</v>
      </c>
      <c r="L180" s="41">
        <f>IF(A180="","",IF(F180="","",ROUND(F180/60,3)))</f>
        <v>0</v>
      </c>
      <c r="M180" s="32">
        <f>IF(A180="","",IF(G180="Per batch",IF(OR(H180="",H180=0),DefaultBatchSize,H180),1))</f>
        <v>0</v>
      </c>
      <c r="N180" s="20">
        <f>IF(A180="","",IF(OR(L180="",K180=""),"",ROUND(L180*K180,2)))</f>
        <v>0</v>
      </c>
      <c r="O180" s="20">
        <f>IF(A180="","",IF(N180="","",ROUND(N180/MAX(1,M180),2)))</f>
        <v>0</v>
      </c>
      <c r="P180" s="36">
        <f>IF(A180="","",IF(F180="","",ROUND(F180/MAX(1,M180),2)))</f>
        <v>0</v>
      </c>
      <c r="Q180" s="20">
        <f>IF(A180="","",IF(L180="","",ROUND(L180/MAX(1,M180)*SuppliesPerHour,2)))</f>
        <v>0</v>
      </c>
      <c r="R180" s="20">
        <f>IF(A180="","",ROUND(SUMIFS(Labor!$O$5:$O$304,Labor!$A$5:$A$304,A180),2))</f>
        <v>0</v>
      </c>
      <c r="S180" s="33">
        <f>IF(A180="","",IF(OR(O180="",R180="",R180=0),"",O180/R180))</f>
        <v>0</v>
      </c>
      <c r="T180" s="32">
        <f>IF(A180="","",COUNTIFS($A$5:A180,A180))</f>
        <v>0</v>
      </c>
      <c r="U180" s="13">
        <f>IF(A180="","",A180&amp;"|"&amp;T180)</f>
        <v>0</v>
      </c>
      <c r="V180" s="43">
        <f>IF(A180="","",IF(B180="Not found","Check - no such product ID",IF(OR(F180="",F180=0),"Add - how many minutes?",IF(C180="","Add - which stage?",IF(AND(G180="Per batch",H180=""),"Check - using the default batch size",IF(K180&lt;MinimumWage,"Check - below minimum wage","OK"))))))</f>
        <v>0</v>
      </c>
    </row>
    <row r="181" spans="2:22">
      <c r="B181" s="13">
        <f>IF(A181="","",IFERROR(INDEX(Products!$B$5:$B$304,MATCH(A181,Products!$A$5:$A$304,0)),"Not found"))</f>
        <v>0</v>
      </c>
      <c r="K181" s="20">
        <f>IF(A181="","",IF(E181&lt;&gt;"",E181,IF(D181="Employee",ROUND(EmployeeRate*(1+PayrollBurden),2),IF(OR(D181="Contractor",D181="Outsourced"),ROUND(ContractorRate*(1+PayrollBurden),2),LaborCostHour))))</f>
        <v>0</v>
      </c>
      <c r="L181" s="41">
        <f>IF(A181="","",IF(F181="","",ROUND(F181/60,3)))</f>
        <v>0</v>
      </c>
      <c r="M181" s="32">
        <f>IF(A181="","",IF(G181="Per batch",IF(OR(H181="",H181=0),DefaultBatchSize,H181),1))</f>
        <v>0</v>
      </c>
      <c r="N181" s="20">
        <f>IF(A181="","",IF(OR(L181="",K181=""),"",ROUND(L181*K181,2)))</f>
        <v>0</v>
      </c>
      <c r="O181" s="20">
        <f>IF(A181="","",IF(N181="","",ROUND(N181/MAX(1,M181),2)))</f>
        <v>0</v>
      </c>
      <c r="P181" s="36">
        <f>IF(A181="","",IF(F181="","",ROUND(F181/MAX(1,M181),2)))</f>
        <v>0</v>
      </c>
      <c r="Q181" s="20">
        <f>IF(A181="","",IF(L181="","",ROUND(L181/MAX(1,M181)*SuppliesPerHour,2)))</f>
        <v>0</v>
      </c>
      <c r="R181" s="20">
        <f>IF(A181="","",ROUND(SUMIFS(Labor!$O$5:$O$304,Labor!$A$5:$A$304,A181),2))</f>
        <v>0</v>
      </c>
      <c r="S181" s="33">
        <f>IF(A181="","",IF(OR(O181="",R181="",R181=0),"",O181/R181))</f>
        <v>0</v>
      </c>
      <c r="T181" s="32">
        <f>IF(A181="","",COUNTIFS($A$5:A181,A181))</f>
        <v>0</v>
      </c>
      <c r="U181" s="13">
        <f>IF(A181="","",A181&amp;"|"&amp;T181)</f>
        <v>0</v>
      </c>
      <c r="V181" s="43">
        <f>IF(A181="","",IF(B181="Not found","Check - no such product ID",IF(OR(F181="",F181=0),"Add - how many minutes?",IF(C181="","Add - which stage?",IF(AND(G181="Per batch",H181=""),"Check - using the default batch size",IF(K181&lt;MinimumWage,"Check - below minimum wage","OK"))))))</f>
        <v>0</v>
      </c>
    </row>
    <row r="182" spans="2:22">
      <c r="B182" s="13">
        <f>IF(A182="","",IFERROR(INDEX(Products!$B$5:$B$304,MATCH(A182,Products!$A$5:$A$304,0)),"Not found"))</f>
        <v>0</v>
      </c>
      <c r="K182" s="20">
        <f>IF(A182="","",IF(E182&lt;&gt;"",E182,IF(D182="Employee",ROUND(EmployeeRate*(1+PayrollBurden),2),IF(OR(D182="Contractor",D182="Outsourced"),ROUND(ContractorRate*(1+PayrollBurden),2),LaborCostHour))))</f>
        <v>0</v>
      </c>
      <c r="L182" s="41">
        <f>IF(A182="","",IF(F182="","",ROUND(F182/60,3)))</f>
        <v>0</v>
      </c>
      <c r="M182" s="32">
        <f>IF(A182="","",IF(G182="Per batch",IF(OR(H182="",H182=0),DefaultBatchSize,H182),1))</f>
        <v>0</v>
      </c>
      <c r="N182" s="20">
        <f>IF(A182="","",IF(OR(L182="",K182=""),"",ROUND(L182*K182,2)))</f>
        <v>0</v>
      </c>
      <c r="O182" s="20">
        <f>IF(A182="","",IF(N182="","",ROUND(N182/MAX(1,M182),2)))</f>
        <v>0</v>
      </c>
      <c r="P182" s="36">
        <f>IF(A182="","",IF(F182="","",ROUND(F182/MAX(1,M182),2)))</f>
        <v>0</v>
      </c>
      <c r="Q182" s="20">
        <f>IF(A182="","",IF(L182="","",ROUND(L182/MAX(1,M182)*SuppliesPerHour,2)))</f>
        <v>0</v>
      </c>
      <c r="R182" s="20">
        <f>IF(A182="","",ROUND(SUMIFS(Labor!$O$5:$O$304,Labor!$A$5:$A$304,A182),2))</f>
        <v>0</v>
      </c>
      <c r="S182" s="33">
        <f>IF(A182="","",IF(OR(O182="",R182="",R182=0),"",O182/R182))</f>
        <v>0</v>
      </c>
      <c r="T182" s="32">
        <f>IF(A182="","",COUNTIFS($A$5:A182,A182))</f>
        <v>0</v>
      </c>
      <c r="U182" s="13">
        <f>IF(A182="","",A182&amp;"|"&amp;T182)</f>
        <v>0</v>
      </c>
      <c r="V182" s="43">
        <f>IF(A182="","",IF(B182="Not found","Check - no such product ID",IF(OR(F182="",F182=0),"Add - how many minutes?",IF(C182="","Add - which stage?",IF(AND(G182="Per batch",H182=""),"Check - using the default batch size",IF(K182&lt;MinimumWage,"Check - below minimum wage","OK"))))))</f>
        <v>0</v>
      </c>
    </row>
    <row r="183" spans="2:22">
      <c r="B183" s="13">
        <f>IF(A183="","",IFERROR(INDEX(Products!$B$5:$B$304,MATCH(A183,Products!$A$5:$A$304,0)),"Not found"))</f>
        <v>0</v>
      </c>
      <c r="K183" s="20">
        <f>IF(A183="","",IF(E183&lt;&gt;"",E183,IF(D183="Employee",ROUND(EmployeeRate*(1+PayrollBurden),2),IF(OR(D183="Contractor",D183="Outsourced"),ROUND(ContractorRate*(1+PayrollBurden),2),LaborCostHour))))</f>
        <v>0</v>
      </c>
      <c r="L183" s="41">
        <f>IF(A183="","",IF(F183="","",ROUND(F183/60,3)))</f>
        <v>0</v>
      </c>
      <c r="M183" s="32">
        <f>IF(A183="","",IF(G183="Per batch",IF(OR(H183="",H183=0),DefaultBatchSize,H183),1))</f>
        <v>0</v>
      </c>
      <c r="N183" s="20">
        <f>IF(A183="","",IF(OR(L183="",K183=""),"",ROUND(L183*K183,2)))</f>
        <v>0</v>
      </c>
      <c r="O183" s="20">
        <f>IF(A183="","",IF(N183="","",ROUND(N183/MAX(1,M183),2)))</f>
        <v>0</v>
      </c>
      <c r="P183" s="36">
        <f>IF(A183="","",IF(F183="","",ROUND(F183/MAX(1,M183),2)))</f>
        <v>0</v>
      </c>
      <c r="Q183" s="20">
        <f>IF(A183="","",IF(L183="","",ROUND(L183/MAX(1,M183)*SuppliesPerHour,2)))</f>
        <v>0</v>
      </c>
      <c r="R183" s="20">
        <f>IF(A183="","",ROUND(SUMIFS(Labor!$O$5:$O$304,Labor!$A$5:$A$304,A183),2))</f>
        <v>0</v>
      </c>
      <c r="S183" s="33">
        <f>IF(A183="","",IF(OR(O183="",R183="",R183=0),"",O183/R183))</f>
        <v>0</v>
      </c>
      <c r="T183" s="32">
        <f>IF(A183="","",COUNTIFS($A$5:A183,A183))</f>
        <v>0</v>
      </c>
      <c r="U183" s="13">
        <f>IF(A183="","",A183&amp;"|"&amp;T183)</f>
        <v>0</v>
      </c>
      <c r="V183" s="43">
        <f>IF(A183="","",IF(B183="Not found","Check - no such product ID",IF(OR(F183="",F183=0),"Add - how many minutes?",IF(C183="","Add - which stage?",IF(AND(G183="Per batch",H183=""),"Check - using the default batch size",IF(K183&lt;MinimumWage,"Check - below minimum wage","OK"))))))</f>
        <v>0</v>
      </c>
    </row>
    <row r="184" spans="2:22">
      <c r="B184" s="13">
        <f>IF(A184="","",IFERROR(INDEX(Products!$B$5:$B$304,MATCH(A184,Products!$A$5:$A$304,0)),"Not found"))</f>
        <v>0</v>
      </c>
      <c r="K184" s="20">
        <f>IF(A184="","",IF(E184&lt;&gt;"",E184,IF(D184="Employee",ROUND(EmployeeRate*(1+PayrollBurden),2),IF(OR(D184="Contractor",D184="Outsourced"),ROUND(ContractorRate*(1+PayrollBurden),2),LaborCostHour))))</f>
        <v>0</v>
      </c>
      <c r="L184" s="41">
        <f>IF(A184="","",IF(F184="","",ROUND(F184/60,3)))</f>
        <v>0</v>
      </c>
      <c r="M184" s="32">
        <f>IF(A184="","",IF(G184="Per batch",IF(OR(H184="",H184=0),DefaultBatchSize,H184),1))</f>
        <v>0</v>
      </c>
      <c r="N184" s="20">
        <f>IF(A184="","",IF(OR(L184="",K184=""),"",ROUND(L184*K184,2)))</f>
        <v>0</v>
      </c>
      <c r="O184" s="20">
        <f>IF(A184="","",IF(N184="","",ROUND(N184/MAX(1,M184),2)))</f>
        <v>0</v>
      </c>
      <c r="P184" s="36">
        <f>IF(A184="","",IF(F184="","",ROUND(F184/MAX(1,M184),2)))</f>
        <v>0</v>
      </c>
      <c r="Q184" s="20">
        <f>IF(A184="","",IF(L184="","",ROUND(L184/MAX(1,M184)*SuppliesPerHour,2)))</f>
        <v>0</v>
      </c>
      <c r="R184" s="20">
        <f>IF(A184="","",ROUND(SUMIFS(Labor!$O$5:$O$304,Labor!$A$5:$A$304,A184),2))</f>
        <v>0</v>
      </c>
      <c r="S184" s="33">
        <f>IF(A184="","",IF(OR(O184="",R184="",R184=0),"",O184/R184))</f>
        <v>0</v>
      </c>
      <c r="T184" s="32">
        <f>IF(A184="","",COUNTIFS($A$5:A184,A184))</f>
        <v>0</v>
      </c>
      <c r="U184" s="13">
        <f>IF(A184="","",A184&amp;"|"&amp;T184)</f>
        <v>0</v>
      </c>
      <c r="V184" s="43">
        <f>IF(A184="","",IF(B184="Not found","Check - no such product ID",IF(OR(F184="",F184=0),"Add - how many minutes?",IF(C184="","Add - which stage?",IF(AND(G184="Per batch",H184=""),"Check - using the default batch size",IF(K184&lt;MinimumWage,"Check - below minimum wage","OK"))))))</f>
        <v>0</v>
      </c>
    </row>
    <row r="185" spans="2:22">
      <c r="B185" s="13">
        <f>IF(A185="","",IFERROR(INDEX(Products!$B$5:$B$304,MATCH(A185,Products!$A$5:$A$304,0)),"Not found"))</f>
        <v>0</v>
      </c>
      <c r="K185" s="20">
        <f>IF(A185="","",IF(E185&lt;&gt;"",E185,IF(D185="Employee",ROUND(EmployeeRate*(1+PayrollBurden),2),IF(OR(D185="Contractor",D185="Outsourced"),ROUND(ContractorRate*(1+PayrollBurden),2),LaborCostHour))))</f>
        <v>0</v>
      </c>
      <c r="L185" s="41">
        <f>IF(A185="","",IF(F185="","",ROUND(F185/60,3)))</f>
        <v>0</v>
      </c>
      <c r="M185" s="32">
        <f>IF(A185="","",IF(G185="Per batch",IF(OR(H185="",H185=0),DefaultBatchSize,H185),1))</f>
        <v>0</v>
      </c>
      <c r="N185" s="20">
        <f>IF(A185="","",IF(OR(L185="",K185=""),"",ROUND(L185*K185,2)))</f>
        <v>0</v>
      </c>
      <c r="O185" s="20">
        <f>IF(A185="","",IF(N185="","",ROUND(N185/MAX(1,M185),2)))</f>
        <v>0</v>
      </c>
      <c r="P185" s="36">
        <f>IF(A185="","",IF(F185="","",ROUND(F185/MAX(1,M185),2)))</f>
        <v>0</v>
      </c>
      <c r="Q185" s="20">
        <f>IF(A185="","",IF(L185="","",ROUND(L185/MAX(1,M185)*SuppliesPerHour,2)))</f>
        <v>0</v>
      </c>
      <c r="R185" s="20">
        <f>IF(A185="","",ROUND(SUMIFS(Labor!$O$5:$O$304,Labor!$A$5:$A$304,A185),2))</f>
        <v>0</v>
      </c>
      <c r="S185" s="33">
        <f>IF(A185="","",IF(OR(O185="",R185="",R185=0),"",O185/R185))</f>
        <v>0</v>
      </c>
      <c r="T185" s="32">
        <f>IF(A185="","",COUNTIFS($A$5:A185,A185))</f>
        <v>0</v>
      </c>
      <c r="U185" s="13">
        <f>IF(A185="","",A185&amp;"|"&amp;T185)</f>
        <v>0</v>
      </c>
      <c r="V185" s="43">
        <f>IF(A185="","",IF(B185="Not found","Check - no such product ID",IF(OR(F185="",F185=0),"Add - how many minutes?",IF(C185="","Add - which stage?",IF(AND(G185="Per batch",H185=""),"Check - using the default batch size",IF(K185&lt;MinimumWage,"Check - below minimum wage","OK"))))))</f>
        <v>0</v>
      </c>
    </row>
    <row r="186" spans="2:22">
      <c r="B186" s="13">
        <f>IF(A186="","",IFERROR(INDEX(Products!$B$5:$B$304,MATCH(A186,Products!$A$5:$A$304,0)),"Not found"))</f>
        <v>0</v>
      </c>
      <c r="K186" s="20">
        <f>IF(A186="","",IF(E186&lt;&gt;"",E186,IF(D186="Employee",ROUND(EmployeeRate*(1+PayrollBurden),2),IF(OR(D186="Contractor",D186="Outsourced"),ROUND(ContractorRate*(1+PayrollBurden),2),LaborCostHour))))</f>
        <v>0</v>
      </c>
      <c r="L186" s="41">
        <f>IF(A186="","",IF(F186="","",ROUND(F186/60,3)))</f>
        <v>0</v>
      </c>
      <c r="M186" s="32">
        <f>IF(A186="","",IF(G186="Per batch",IF(OR(H186="",H186=0),DefaultBatchSize,H186),1))</f>
        <v>0</v>
      </c>
      <c r="N186" s="20">
        <f>IF(A186="","",IF(OR(L186="",K186=""),"",ROUND(L186*K186,2)))</f>
        <v>0</v>
      </c>
      <c r="O186" s="20">
        <f>IF(A186="","",IF(N186="","",ROUND(N186/MAX(1,M186),2)))</f>
        <v>0</v>
      </c>
      <c r="P186" s="36">
        <f>IF(A186="","",IF(F186="","",ROUND(F186/MAX(1,M186),2)))</f>
        <v>0</v>
      </c>
      <c r="Q186" s="20">
        <f>IF(A186="","",IF(L186="","",ROUND(L186/MAX(1,M186)*SuppliesPerHour,2)))</f>
        <v>0</v>
      </c>
      <c r="R186" s="20">
        <f>IF(A186="","",ROUND(SUMIFS(Labor!$O$5:$O$304,Labor!$A$5:$A$304,A186),2))</f>
        <v>0</v>
      </c>
      <c r="S186" s="33">
        <f>IF(A186="","",IF(OR(O186="",R186="",R186=0),"",O186/R186))</f>
        <v>0</v>
      </c>
      <c r="T186" s="32">
        <f>IF(A186="","",COUNTIFS($A$5:A186,A186))</f>
        <v>0</v>
      </c>
      <c r="U186" s="13">
        <f>IF(A186="","",A186&amp;"|"&amp;T186)</f>
        <v>0</v>
      </c>
      <c r="V186" s="43">
        <f>IF(A186="","",IF(B186="Not found","Check - no such product ID",IF(OR(F186="",F186=0),"Add - how many minutes?",IF(C186="","Add - which stage?",IF(AND(G186="Per batch",H186=""),"Check - using the default batch size",IF(K186&lt;MinimumWage,"Check - below minimum wage","OK"))))))</f>
        <v>0</v>
      </c>
    </row>
    <row r="187" spans="2:22">
      <c r="B187" s="13">
        <f>IF(A187="","",IFERROR(INDEX(Products!$B$5:$B$304,MATCH(A187,Products!$A$5:$A$304,0)),"Not found"))</f>
        <v>0</v>
      </c>
      <c r="K187" s="20">
        <f>IF(A187="","",IF(E187&lt;&gt;"",E187,IF(D187="Employee",ROUND(EmployeeRate*(1+PayrollBurden),2),IF(OR(D187="Contractor",D187="Outsourced"),ROUND(ContractorRate*(1+PayrollBurden),2),LaborCostHour))))</f>
        <v>0</v>
      </c>
      <c r="L187" s="41">
        <f>IF(A187="","",IF(F187="","",ROUND(F187/60,3)))</f>
        <v>0</v>
      </c>
      <c r="M187" s="32">
        <f>IF(A187="","",IF(G187="Per batch",IF(OR(H187="",H187=0),DefaultBatchSize,H187),1))</f>
        <v>0</v>
      </c>
      <c r="N187" s="20">
        <f>IF(A187="","",IF(OR(L187="",K187=""),"",ROUND(L187*K187,2)))</f>
        <v>0</v>
      </c>
      <c r="O187" s="20">
        <f>IF(A187="","",IF(N187="","",ROUND(N187/MAX(1,M187),2)))</f>
        <v>0</v>
      </c>
      <c r="P187" s="36">
        <f>IF(A187="","",IF(F187="","",ROUND(F187/MAX(1,M187),2)))</f>
        <v>0</v>
      </c>
      <c r="Q187" s="20">
        <f>IF(A187="","",IF(L187="","",ROUND(L187/MAX(1,M187)*SuppliesPerHour,2)))</f>
        <v>0</v>
      </c>
      <c r="R187" s="20">
        <f>IF(A187="","",ROUND(SUMIFS(Labor!$O$5:$O$304,Labor!$A$5:$A$304,A187),2))</f>
        <v>0</v>
      </c>
      <c r="S187" s="33">
        <f>IF(A187="","",IF(OR(O187="",R187="",R187=0),"",O187/R187))</f>
        <v>0</v>
      </c>
      <c r="T187" s="32">
        <f>IF(A187="","",COUNTIFS($A$5:A187,A187))</f>
        <v>0</v>
      </c>
      <c r="U187" s="13">
        <f>IF(A187="","",A187&amp;"|"&amp;T187)</f>
        <v>0</v>
      </c>
      <c r="V187" s="43">
        <f>IF(A187="","",IF(B187="Not found","Check - no such product ID",IF(OR(F187="",F187=0),"Add - how many minutes?",IF(C187="","Add - which stage?",IF(AND(G187="Per batch",H187=""),"Check - using the default batch size",IF(K187&lt;MinimumWage,"Check - below minimum wage","OK"))))))</f>
        <v>0</v>
      </c>
    </row>
    <row r="188" spans="2:22">
      <c r="B188" s="13">
        <f>IF(A188="","",IFERROR(INDEX(Products!$B$5:$B$304,MATCH(A188,Products!$A$5:$A$304,0)),"Not found"))</f>
        <v>0</v>
      </c>
      <c r="K188" s="20">
        <f>IF(A188="","",IF(E188&lt;&gt;"",E188,IF(D188="Employee",ROUND(EmployeeRate*(1+PayrollBurden),2),IF(OR(D188="Contractor",D188="Outsourced"),ROUND(ContractorRate*(1+PayrollBurden),2),LaborCostHour))))</f>
        <v>0</v>
      </c>
      <c r="L188" s="41">
        <f>IF(A188="","",IF(F188="","",ROUND(F188/60,3)))</f>
        <v>0</v>
      </c>
      <c r="M188" s="32">
        <f>IF(A188="","",IF(G188="Per batch",IF(OR(H188="",H188=0),DefaultBatchSize,H188),1))</f>
        <v>0</v>
      </c>
      <c r="N188" s="20">
        <f>IF(A188="","",IF(OR(L188="",K188=""),"",ROUND(L188*K188,2)))</f>
        <v>0</v>
      </c>
      <c r="O188" s="20">
        <f>IF(A188="","",IF(N188="","",ROUND(N188/MAX(1,M188),2)))</f>
        <v>0</v>
      </c>
      <c r="P188" s="36">
        <f>IF(A188="","",IF(F188="","",ROUND(F188/MAX(1,M188),2)))</f>
        <v>0</v>
      </c>
      <c r="Q188" s="20">
        <f>IF(A188="","",IF(L188="","",ROUND(L188/MAX(1,M188)*SuppliesPerHour,2)))</f>
        <v>0</v>
      </c>
      <c r="R188" s="20">
        <f>IF(A188="","",ROUND(SUMIFS(Labor!$O$5:$O$304,Labor!$A$5:$A$304,A188),2))</f>
        <v>0</v>
      </c>
      <c r="S188" s="33">
        <f>IF(A188="","",IF(OR(O188="",R188="",R188=0),"",O188/R188))</f>
        <v>0</v>
      </c>
      <c r="T188" s="32">
        <f>IF(A188="","",COUNTIFS($A$5:A188,A188))</f>
        <v>0</v>
      </c>
      <c r="U188" s="13">
        <f>IF(A188="","",A188&amp;"|"&amp;T188)</f>
        <v>0</v>
      </c>
      <c r="V188" s="43">
        <f>IF(A188="","",IF(B188="Not found","Check - no such product ID",IF(OR(F188="",F188=0),"Add - how many minutes?",IF(C188="","Add - which stage?",IF(AND(G188="Per batch",H188=""),"Check - using the default batch size",IF(K188&lt;MinimumWage,"Check - below minimum wage","OK"))))))</f>
        <v>0</v>
      </c>
    </row>
    <row r="189" spans="2:22">
      <c r="B189" s="13">
        <f>IF(A189="","",IFERROR(INDEX(Products!$B$5:$B$304,MATCH(A189,Products!$A$5:$A$304,0)),"Not found"))</f>
        <v>0</v>
      </c>
      <c r="K189" s="20">
        <f>IF(A189="","",IF(E189&lt;&gt;"",E189,IF(D189="Employee",ROUND(EmployeeRate*(1+PayrollBurden),2),IF(OR(D189="Contractor",D189="Outsourced"),ROUND(ContractorRate*(1+PayrollBurden),2),LaborCostHour))))</f>
        <v>0</v>
      </c>
      <c r="L189" s="41">
        <f>IF(A189="","",IF(F189="","",ROUND(F189/60,3)))</f>
        <v>0</v>
      </c>
      <c r="M189" s="32">
        <f>IF(A189="","",IF(G189="Per batch",IF(OR(H189="",H189=0),DefaultBatchSize,H189),1))</f>
        <v>0</v>
      </c>
      <c r="N189" s="20">
        <f>IF(A189="","",IF(OR(L189="",K189=""),"",ROUND(L189*K189,2)))</f>
        <v>0</v>
      </c>
      <c r="O189" s="20">
        <f>IF(A189="","",IF(N189="","",ROUND(N189/MAX(1,M189),2)))</f>
        <v>0</v>
      </c>
      <c r="P189" s="36">
        <f>IF(A189="","",IF(F189="","",ROUND(F189/MAX(1,M189),2)))</f>
        <v>0</v>
      </c>
      <c r="Q189" s="20">
        <f>IF(A189="","",IF(L189="","",ROUND(L189/MAX(1,M189)*SuppliesPerHour,2)))</f>
        <v>0</v>
      </c>
      <c r="R189" s="20">
        <f>IF(A189="","",ROUND(SUMIFS(Labor!$O$5:$O$304,Labor!$A$5:$A$304,A189),2))</f>
        <v>0</v>
      </c>
      <c r="S189" s="33">
        <f>IF(A189="","",IF(OR(O189="",R189="",R189=0),"",O189/R189))</f>
        <v>0</v>
      </c>
      <c r="T189" s="32">
        <f>IF(A189="","",COUNTIFS($A$5:A189,A189))</f>
        <v>0</v>
      </c>
      <c r="U189" s="13">
        <f>IF(A189="","",A189&amp;"|"&amp;T189)</f>
        <v>0</v>
      </c>
      <c r="V189" s="43">
        <f>IF(A189="","",IF(B189="Not found","Check - no such product ID",IF(OR(F189="",F189=0),"Add - how many minutes?",IF(C189="","Add - which stage?",IF(AND(G189="Per batch",H189=""),"Check - using the default batch size",IF(K189&lt;MinimumWage,"Check - below minimum wage","OK"))))))</f>
        <v>0</v>
      </c>
    </row>
    <row r="190" spans="2:22">
      <c r="B190" s="13">
        <f>IF(A190="","",IFERROR(INDEX(Products!$B$5:$B$304,MATCH(A190,Products!$A$5:$A$304,0)),"Not found"))</f>
        <v>0</v>
      </c>
      <c r="K190" s="20">
        <f>IF(A190="","",IF(E190&lt;&gt;"",E190,IF(D190="Employee",ROUND(EmployeeRate*(1+PayrollBurden),2),IF(OR(D190="Contractor",D190="Outsourced"),ROUND(ContractorRate*(1+PayrollBurden),2),LaborCostHour))))</f>
        <v>0</v>
      </c>
      <c r="L190" s="41">
        <f>IF(A190="","",IF(F190="","",ROUND(F190/60,3)))</f>
        <v>0</v>
      </c>
      <c r="M190" s="32">
        <f>IF(A190="","",IF(G190="Per batch",IF(OR(H190="",H190=0),DefaultBatchSize,H190),1))</f>
        <v>0</v>
      </c>
      <c r="N190" s="20">
        <f>IF(A190="","",IF(OR(L190="",K190=""),"",ROUND(L190*K190,2)))</f>
        <v>0</v>
      </c>
      <c r="O190" s="20">
        <f>IF(A190="","",IF(N190="","",ROUND(N190/MAX(1,M190),2)))</f>
        <v>0</v>
      </c>
      <c r="P190" s="36">
        <f>IF(A190="","",IF(F190="","",ROUND(F190/MAX(1,M190),2)))</f>
        <v>0</v>
      </c>
      <c r="Q190" s="20">
        <f>IF(A190="","",IF(L190="","",ROUND(L190/MAX(1,M190)*SuppliesPerHour,2)))</f>
        <v>0</v>
      </c>
      <c r="R190" s="20">
        <f>IF(A190="","",ROUND(SUMIFS(Labor!$O$5:$O$304,Labor!$A$5:$A$304,A190),2))</f>
        <v>0</v>
      </c>
      <c r="S190" s="33">
        <f>IF(A190="","",IF(OR(O190="",R190="",R190=0),"",O190/R190))</f>
        <v>0</v>
      </c>
      <c r="T190" s="32">
        <f>IF(A190="","",COUNTIFS($A$5:A190,A190))</f>
        <v>0</v>
      </c>
      <c r="U190" s="13">
        <f>IF(A190="","",A190&amp;"|"&amp;T190)</f>
        <v>0</v>
      </c>
      <c r="V190" s="43">
        <f>IF(A190="","",IF(B190="Not found","Check - no such product ID",IF(OR(F190="",F190=0),"Add - how many minutes?",IF(C190="","Add - which stage?",IF(AND(G190="Per batch",H190=""),"Check - using the default batch size",IF(K190&lt;MinimumWage,"Check - below minimum wage","OK"))))))</f>
        <v>0</v>
      </c>
    </row>
    <row r="191" spans="2:22">
      <c r="B191" s="13">
        <f>IF(A191="","",IFERROR(INDEX(Products!$B$5:$B$304,MATCH(A191,Products!$A$5:$A$304,0)),"Not found"))</f>
        <v>0</v>
      </c>
      <c r="K191" s="20">
        <f>IF(A191="","",IF(E191&lt;&gt;"",E191,IF(D191="Employee",ROUND(EmployeeRate*(1+PayrollBurden),2),IF(OR(D191="Contractor",D191="Outsourced"),ROUND(ContractorRate*(1+PayrollBurden),2),LaborCostHour))))</f>
        <v>0</v>
      </c>
      <c r="L191" s="41">
        <f>IF(A191="","",IF(F191="","",ROUND(F191/60,3)))</f>
        <v>0</v>
      </c>
      <c r="M191" s="32">
        <f>IF(A191="","",IF(G191="Per batch",IF(OR(H191="",H191=0),DefaultBatchSize,H191),1))</f>
        <v>0</v>
      </c>
      <c r="N191" s="20">
        <f>IF(A191="","",IF(OR(L191="",K191=""),"",ROUND(L191*K191,2)))</f>
        <v>0</v>
      </c>
      <c r="O191" s="20">
        <f>IF(A191="","",IF(N191="","",ROUND(N191/MAX(1,M191),2)))</f>
        <v>0</v>
      </c>
      <c r="P191" s="36">
        <f>IF(A191="","",IF(F191="","",ROUND(F191/MAX(1,M191),2)))</f>
        <v>0</v>
      </c>
      <c r="Q191" s="20">
        <f>IF(A191="","",IF(L191="","",ROUND(L191/MAX(1,M191)*SuppliesPerHour,2)))</f>
        <v>0</v>
      </c>
      <c r="R191" s="20">
        <f>IF(A191="","",ROUND(SUMIFS(Labor!$O$5:$O$304,Labor!$A$5:$A$304,A191),2))</f>
        <v>0</v>
      </c>
      <c r="S191" s="33">
        <f>IF(A191="","",IF(OR(O191="",R191="",R191=0),"",O191/R191))</f>
        <v>0</v>
      </c>
      <c r="T191" s="32">
        <f>IF(A191="","",COUNTIFS($A$5:A191,A191))</f>
        <v>0</v>
      </c>
      <c r="U191" s="13">
        <f>IF(A191="","",A191&amp;"|"&amp;T191)</f>
        <v>0</v>
      </c>
      <c r="V191" s="43">
        <f>IF(A191="","",IF(B191="Not found","Check - no such product ID",IF(OR(F191="",F191=0),"Add - how many minutes?",IF(C191="","Add - which stage?",IF(AND(G191="Per batch",H191=""),"Check - using the default batch size",IF(K191&lt;MinimumWage,"Check - below minimum wage","OK"))))))</f>
        <v>0</v>
      </c>
    </row>
    <row r="192" spans="2:22">
      <c r="B192" s="13">
        <f>IF(A192="","",IFERROR(INDEX(Products!$B$5:$B$304,MATCH(A192,Products!$A$5:$A$304,0)),"Not found"))</f>
        <v>0</v>
      </c>
      <c r="K192" s="20">
        <f>IF(A192="","",IF(E192&lt;&gt;"",E192,IF(D192="Employee",ROUND(EmployeeRate*(1+PayrollBurden),2),IF(OR(D192="Contractor",D192="Outsourced"),ROUND(ContractorRate*(1+PayrollBurden),2),LaborCostHour))))</f>
        <v>0</v>
      </c>
      <c r="L192" s="41">
        <f>IF(A192="","",IF(F192="","",ROUND(F192/60,3)))</f>
        <v>0</v>
      </c>
      <c r="M192" s="32">
        <f>IF(A192="","",IF(G192="Per batch",IF(OR(H192="",H192=0),DefaultBatchSize,H192),1))</f>
        <v>0</v>
      </c>
      <c r="N192" s="20">
        <f>IF(A192="","",IF(OR(L192="",K192=""),"",ROUND(L192*K192,2)))</f>
        <v>0</v>
      </c>
      <c r="O192" s="20">
        <f>IF(A192="","",IF(N192="","",ROUND(N192/MAX(1,M192),2)))</f>
        <v>0</v>
      </c>
      <c r="P192" s="36">
        <f>IF(A192="","",IF(F192="","",ROUND(F192/MAX(1,M192),2)))</f>
        <v>0</v>
      </c>
      <c r="Q192" s="20">
        <f>IF(A192="","",IF(L192="","",ROUND(L192/MAX(1,M192)*SuppliesPerHour,2)))</f>
        <v>0</v>
      </c>
      <c r="R192" s="20">
        <f>IF(A192="","",ROUND(SUMIFS(Labor!$O$5:$O$304,Labor!$A$5:$A$304,A192),2))</f>
        <v>0</v>
      </c>
      <c r="S192" s="33">
        <f>IF(A192="","",IF(OR(O192="",R192="",R192=0),"",O192/R192))</f>
        <v>0</v>
      </c>
      <c r="T192" s="32">
        <f>IF(A192="","",COUNTIFS($A$5:A192,A192))</f>
        <v>0</v>
      </c>
      <c r="U192" s="13">
        <f>IF(A192="","",A192&amp;"|"&amp;T192)</f>
        <v>0</v>
      </c>
      <c r="V192" s="43">
        <f>IF(A192="","",IF(B192="Not found","Check - no such product ID",IF(OR(F192="",F192=0),"Add - how many minutes?",IF(C192="","Add - which stage?",IF(AND(G192="Per batch",H192=""),"Check - using the default batch size",IF(K192&lt;MinimumWage,"Check - below minimum wage","OK"))))))</f>
        <v>0</v>
      </c>
    </row>
    <row r="193" spans="2:22">
      <c r="B193" s="13">
        <f>IF(A193="","",IFERROR(INDEX(Products!$B$5:$B$304,MATCH(A193,Products!$A$5:$A$304,0)),"Not found"))</f>
        <v>0</v>
      </c>
      <c r="K193" s="20">
        <f>IF(A193="","",IF(E193&lt;&gt;"",E193,IF(D193="Employee",ROUND(EmployeeRate*(1+PayrollBurden),2),IF(OR(D193="Contractor",D193="Outsourced"),ROUND(ContractorRate*(1+PayrollBurden),2),LaborCostHour))))</f>
        <v>0</v>
      </c>
      <c r="L193" s="41">
        <f>IF(A193="","",IF(F193="","",ROUND(F193/60,3)))</f>
        <v>0</v>
      </c>
      <c r="M193" s="32">
        <f>IF(A193="","",IF(G193="Per batch",IF(OR(H193="",H193=0),DefaultBatchSize,H193),1))</f>
        <v>0</v>
      </c>
      <c r="N193" s="20">
        <f>IF(A193="","",IF(OR(L193="",K193=""),"",ROUND(L193*K193,2)))</f>
        <v>0</v>
      </c>
      <c r="O193" s="20">
        <f>IF(A193="","",IF(N193="","",ROUND(N193/MAX(1,M193),2)))</f>
        <v>0</v>
      </c>
      <c r="P193" s="36">
        <f>IF(A193="","",IF(F193="","",ROUND(F193/MAX(1,M193),2)))</f>
        <v>0</v>
      </c>
      <c r="Q193" s="20">
        <f>IF(A193="","",IF(L193="","",ROUND(L193/MAX(1,M193)*SuppliesPerHour,2)))</f>
        <v>0</v>
      </c>
      <c r="R193" s="20">
        <f>IF(A193="","",ROUND(SUMIFS(Labor!$O$5:$O$304,Labor!$A$5:$A$304,A193),2))</f>
        <v>0</v>
      </c>
      <c r="S193" s="33">
        <f>IF(A193="","",IF(OR(O193="",R193="",R193=0),"",O193/R193))</f>
        <v>0</v>
      </c>
      <c r="T193" s="32">
        <f>IF(A193="","",COUNTIFS($A$5:A193,A193))</f>
        <v>0</v>
      </c>
      <c r="U193" s="13">
        <f>IF(A193="","",A193&amp;"|"&amp;T193)</f>
        <v>0</v>
      </c>
      <c r="V193" s="43">
        <f>IF(A193="","",IF(B193="Not found","Check - no such product ID",IF(OR(F193="",F193=0),"Add - how many minutes?",IF(C193="","Add - which stage?",IF(AND(G193="Per batch",H193=""),"Check - using the default batch size",IF(K193&lt;MinimumWage,"Check - below minimum wage","OK"))))))</f>
        <v>0</v>
      </c>
    </row>
    <row r="194" spans="2:22">
      <c r="B194" s="13">
        <f>IF(A194="","",IFERROR(INDEX(Products!$B$5:$B$304,MATCH(A194,Products!$A$5:$A$304,0)),"Not found"))</f>
        <v>0</v>
      </c>
      <c r="K194" s="20">
        <f>IF(A194="","",IF(E194&lt;&gt;"",E194,IF(D194="Employee",ROUND(EmployeeRate*(1+PayrollBurden),2),IF(OR(D194="Contractor",D194="Outsourced"),ROUND(ContractorRate*(1+PayrollBurden),2),LaborCostHour))))</f>
        <v>0</v>
      </c>
      <c r="L194" s="41">
        <f>IF(A194="","",IF(F194="","",ROUND(F194/60,3)))</f>
        <v>0</v>
      </c>
      <c r="M194" s="32">
        <f>IF(A194="","",IF(G194="Per batch",IF(OR(H194="",H194=0),DefaultBatchSize,H194),1))</f>
        <v>0</v>
      </c>
      <c r="N194" s="20">
        <f>IF(A194="","",IF(OR(L194="",K194=""),"",ROUND(L194*K194,2)))</f>
        <v>0</v>
      </c>
      <c r="O194" s="20">
        <f>IF(A194="","",IF(N194="","",ROUND(N194/MAX(1,M194),2)))</f>
        <v>0</v>
      </c>
      <c r="P194" s="36">
        <f>IF(A194="","",IF(F194="","",ROUND(F194/MAX(1,M194),2)))</f>
        <v>0</v>
      </c>
      <c r="Q194" s="20">
        <f>IF(A194="","",IF(L194="","",ROUND(L194/MAX(1,M194)*SuppliesPerHour,2)))</f>
        <v>0</v>
      </c>
      <c r="R194" s="20">
        <f>IF(A194="","",ROUND(SUMIFS(Labor!$O$5:$O$304,Labor!$A$5:$A$304,A194),2))</f>
        <v>0</v>
      </c>
      <c r="S194" s="33">
        <f>IF(A194="","",IF(OR(O194="",R194="",R194=0),"",O194/R194))</f>
        <v>0</v>
      </c>
      <c r="T194" s="32">
        <f>IF(A194="","",COUNTIFS($A$5:A194,A194))</f>
        <v>0</v>
      </c>
      <c r="U194" s="13">
        <f>IF(A194="","",A194&amp;"|"&amp;T194)</f>
        <v>0</v>
      </c>
      <c r="V194" s="43">
        <f>IF(A194="","",IF(B194="Not found","Check - no such product ID",IF(OR(F194="",F194=0),"Add - how many minutes?",IF(C194="","Add - which stage?",IF(AND(G194="Per batch",H194=""),"Check - using the default batch size",IF(K194&lt;MinimumWage,"Check - below minimum wage","OK"))))))</f>
        <v>0</v>
      </c>
    </row>
    <row r="195" spans="2:22">
      <c r="B195" s="13">
        <f>IF(A195="","",IFERROR(INDEX(Products!$B$5:$B$304,MATCH(A195,Products!$A$5:$A$304,0)),"Not found"))</f>
        <v>0</v>
      </c>
      <c r="K195" s="20">
        <f>IF(A195="","",IF(E195&lt;&gt;"",E195,IF(D195="Employee",ROUND(EmployeeRate*(1+PayrollBurden),2),IF(OR(D195="Contractor",D195="Outsourced"),ROUND(ContractorRate*(1+PayrollBurden),2),LaborCostHour))))</f>
        <v>0</v>
      </c>
      <c r="L195" s="41">
        <f>IF(A195="","",IF(F195="","",ROUND(F195/60,3)))</f>
        <v>0</v>
      </c>
      <c r="M195" s="32">
        <f>IF(A195="","",IF(G195="Per batch",IF(OR(H195="",H195=0),DefaultBatchSize,H195),1))</f>
        <v>0</v>
      </c>
      <c r="N195" s="20">
        <f>IF(A195="","",IF(OR(L195="",K195=""),"",ROUND(L195*K195,2)))</f>
        <v>0</v>
      </c>
      <c r="O195" s="20">
        <f>IF(A195="","",IF(N195="","",ROUND(N195/MAX(1,M195),2)))</f>
        <v>0</v>
      </c>
      <c r="P195" s="36">
        <f>IF(A195="","",IF(F195="","",ROUND(F195/MAX(1,M195),2)))</f>
        <v>0</v>
      </c>
      <c r="Q195" s="20">
        <f>IF(A195="","",IF(L195="","",ROUND(L195/MAX(1,M195)*SuppliesPerHour,2)))</f>
        <v>0</v>
      </c>
      <c r="R195" s="20">
        <f>IF(A195="","",ROUND(SUMIFS(Labor!$O$5:$O$304,Labor!$A$5:$A$304,A195),2))</f>
        <v>0</v>
      </c>
      <c r="S195" s="33">
        <f>IF(A195="","",IF(OR(O195="",R195="",R195=0),"",O195/R195))</f>
        <v>0</v>
      </c>
      <c r="T195" s="32">
        <f>IF(A195="","",COUNTIFS($A$5:A195,A195))</f>
        <v>0</v>
      </c>
      <c r="U195" s="13">
        <f>IF(A195="","",A195&amp;"|"&amp;T195)</f>
        <v>0</v>
      </c>
      <c r="V195" s="43">
        <f>IF(A195="","",IF(B195="Not found","Check - no such product ID",IF(OR(F195="",F195=0),"Add - how many minutes?",IF(C195="","Add - which stage?",IF(AND(G195="Per batch",H195=""),"Check - using the default batch size",IF(K195&lt;MinimumWage,"Check - below minimum wage","OK"))))))</f>
        <v>0</v>
      </c>
    </row>
    <row r="196" spans="2:22">
      <c r="B196" s="13">
        <f>IF(A196="","",IFERROR(INDEX(Products!$B$5:$B$304,MATCH(A196,Products!$A$5:$A$304,0)),"Not found"))</f>
        <v>0</v>
      </c>
      <c r="K196" s="20">
        <f>IF(A196="","",IF(E196&lt;&gt;"",E196,IF(D196="Employee",ROUND(EmployeeRate*(1+PayrollBurden),2),IF(OR(D196="Contractor",D196="Outsourced"),ROUND(ContractorRate*(1+PayrollBurden),2),LaborCostHour))))</f>
        <v>0</v>
      </c>
      <c r="L196" s="41">
        <f>IF(A196="","",IF(F196="","",ROUND(F196/60,3)))</f>
        <v>0</v>
      </c>
      <c r="M196" s="32">
        <f>IF(A196="","",IF(G196="Per batch",IF(OR(H196="",H196=0),DefaultBatchSize,H196),1))</f>
        <v>0</v>
      </c>
      <c r="N196" s="20">
        <f>IF(A196="","",IF(OR(L196="",K196=""),"",ROUND(L196*K196,2)))</f>
        <v>0</v>
      </c>
      <c r="O196" s="20">
        <f>IF(A196="","",IF(N196="","",ROUND(N196/MAX(1,M196),2)))</f>
        <v>0</v>
      </c>
      <c r="P196" s="36">
        <f>IF(A196="","",IF(F196="","",ROUND(F196/MAX(1,M196),2)))</f>
        <v>0</v>
      </c>
      <c r="Q196" s="20">
        <f>IF(A196="","",IF(L196="","",ROUND(L196/MAX(1,M196)*SuppliesPerHour,2)))</f>
        <v>0</v>
      </c>
      <c r="R196" s="20">
        <f>IF(A196="","",ROUND(SUMIFS(Labor!$O$5:$O$304,Labor!$A$5:$A$304,A196),2))</f>
        <v>0</v>
      </c>
      <c r="S196" s="33">
        <f>IF(A196="","",IF(OR(O196="",R196="",R196=0),"",O196/R196))</f>
        <v>0</v>
      </c>
      <c r="T196" s="32">
        <f>IF(A196="","",COUNTIFS($A$5:A196,A196))</f>
        <v>0</v>
      </c>
      <c r="U196" s="13">
        <f>IF(A196="","",A196&amp;"|"&amp;T196)</f>
        <v>0</v>
      </c>
      <c r="V196" s="43">
        <f>IF(A196="","",IF(B196="Not found","Check - no such product ID",IF(OR(F196="",F196=0),"Add - how many minutes?",IF(C196="","Add - which stage?",IF(AND(G196="Per batch",H196=""),"Check - using the default batch size",IF(K196&lt;MinimumWage,"Check - below minimum wage","OK"))))))</f>
        <v>0</v>
      </c>
    </row>
    <row r="197" spans="2:22">
      <c r="B197" s="13">
        <f>IF(A197="","",IFERROR(INDEX(Products!$B$5:$B$304,MATCH(A197,Products!$A$5:$A$304,0)),"Not found"))</f>
        <v>0</v>
      </c>
      <c r="K197" s="20">
        <f>IF(A197="","",IF(E197&lt;&gt;"",E197,IF(D197="Employee",ROUND(EmployeeRate*(1+PayrollBurden),2),IF(OR(D197="Contractor",D197="Outsourced"),ROUND(ContractorRate*(1+PayrollBurden),2),LaborCostHour))))</f>
        <v>0</v>
      </c>
      <c r="L197" s="41">
        <f>IF(A197="","",IF(F197="","",ROUND(F197/60,3)))</f>
        <v>0</v>
      </c>
      <c r="M197" s="32">
        <f>IF(A197="","",IF(G197="Per batch",IF(OR(H197="",H197=0),DefaultBatchSize,H197),1))</f>
        <v>0</v>
      </c>
      <c r="N197" s="20">
        <f>IF(A197="","",IF(OR(L197="",K197=""),"",ROUND(L197*K197,2)))</f>
        <v>0</v>
      </c>
      <c r="O197" s="20">
        <f>IF(A197="","",IF(N197="","",ROUND(N197/MAX(1,M197),2)))</f>
        <v>0</v>
      </c>
      <c r="P197" s="36">
        <f>IF(A197="","",IF(F197="","",ROUND(F197/MAX(1,M197),2)))</f>
        <v>0</v>
      </c>
      <c r="Q197" s="20">
        <f>IF(A197="","",IF(L197="","",ROUND(L197/MAX(1,M197)*SuppliesPerHour,2)))</f>
        <v>0</v>
      </c>
      <c r="R197" s="20">
        <f>IF(A197="","",ROUND(SUMIFS(Labor!$O$5:$O$304,Labor!$A$5:$A$304,A197),2))</f>
        <v>0</v>
      </c>
      <c r="S197" s="33">
        <f>IF(A197="","",IF(OR(O197="",R197="",R197=0),"",O197/R197))</f>
        <v>0</v>
      </c>
      <c r="T197" s="32">
        <f>IF(A197="","",COUNTIFS($A$5:A197,A197))</f>
        <v>0</v>
      </c>
      <c r="U197" s="13">
        <f>IF(A197="","",A197&amp;"|"&amp;T197)</f>
        <v>0</v>
      </c>
      <c r="V197" s="43">
        <f>IF(A197="","",IF(B197="Not found","Check - no such product ID",IF(OR(F197="",F197=0),"Add - how many minutes?",IF(C197="","Add - which stage?",IF(AND(G197="Per batch",H197=""),"Check - using the default batch size",IF(K197&lt;MinimumWage,"Check - below minimum wage","OK"))))))</f>
        <v>0</v>
      </c>
    </row>
    <row r="198" spans="2:22">
      <c r="B198" s="13">
        <f>IF(A198="","",IFERROR(INDEX(Products!$B$5:$B$304,MATCH(A198,Products!$A$5:$A$304,0)),"Not found"))</f>
        <v>0</v>
      </c>
      <c r="K198" s="20">
        <f>IF(A198="","",IF(E198&lt;&gt;"",E198,IF(D198="Employee",ROUND(EmployeeRate*(1+PayrollBurden),2),IF(OR(D198="Contractor",D198="Outsourced"),ROUND(ContractorRate*(1+PayrollBurden),2),LaborCostHour))))</f>
        <v>0</v>
      </c>
      <c r="L198" s="41">
        <f>IF(A198="","",IF(F198="","",ROUND(F198/60,3)))</f>
        <v>0</v>
      </c>
      <c r="M198" s="32">
        <f>IF(A198="","",IF(G198="Per batch",IF(OR(H198="",H198=0),DefaultBatchSize,H198),1))</f>
        <v>0</v>
      </c>
      <c r="N198" s="20">
        <f>IF(A198="","",IF(OR(L198="",K198=""),"",ROUND(L198*K198,2)))</f>
        <v>0</v>
      </c>
      <c r="O198" s="20">
        <f>IF(A198="","",IF(N198="","",ROUND(N198/MAX(1,M198),2)))</f>
        <v>0</v>
      </c>
      <c r="P198" s="36">
        <f>IF(A198="","",IF(F198="","",ROUND(F198/MAX(1,M198),2)))</f>
        <v>0</v>
      </c>
      <c r="Q198" s="20">
        <f>IF(A198="","",IF(L198="","",ROUND(L198/MAX(1,M198)*SuppliesPerHour,2)))</f>
        <v>0</v>
      </c>
      <c r="R198" s="20">
        <f>IF(A198="","",ROUND(SUMIFS(Labor!$O$5:$O$304,Labor!$A$5:$A$304,A198),2))</f>
        <v>0</v>
      </c>
      <c r="S198" s="33">
        <f>IF(A198="","",IF(OR(O198="",R198="",R198=0),"",O198/R198))</f>
        <v>0</v>
      </c>
      <c r="T198" s="32">
        <f>IF(A198="","",COUNTIFS($A$5:A198,A198))</f>
        <v>0</v>
      </c>
      <c r="U198" s="13">
        <f>IF(A198="","",A198&amp;"|"&amp;T198)</f>
        <v>0</v>
      </c>
      <c r="V198" s="43">
        <f>IF(A198="","",IF(B198="Not found","Check - no such product ID",IF(OR(F198="",F198=0),"Add - how many minutes?",IF(C198="","Add - which stage?",IF(AND(G198="Per batch",H198=""),"Check - using the default batch size",IF(K198&lt;MinimumWage,"Check - below minimum wage","OK"))))))</f>
        <v>0</v>
      </c>
    </row>
    <row r="199" spans="2:22">
      <c r="B199" s="13">
        <f>IF(A199="","",IFERROR(INDEX(Products!$B$5:$B$304,MATCH(A199,Products!$A$5:$A$304,0)),"Not found"))</f>
        <v>0</v>
      </c>
      <c r="K199" s="20">
        <f>IF(A199="","",IF(E199&lt;&gt;"",E199,IF(D199="Employee",ROUND(EmployeeRate*(1+PayrollBurden),2),IF(OR(D199="Contractor",D199="Outsourced"),ROUND(ContractorRate*(1+PayrollBurden),2),LaborCostHour))))</f>
        <v>0</v>
      </c>
      <c r="L199" s="41">
        <f>IF(A199="","",IF(F199="","",ROUND(F199/60,3)))</f>
        <v>0</v>
      </c>
      <c r="M199" s="32">
        <f>IF(A199="","",IF(G199="Per batch",IF(OR(H199="",H199=0),DefaultBatchSize,H199),1))</f>
        <v>0</v>
      </c>
      <c r="N199" s="20">
        <f>IF(A199="","",IF(OR(L199="",K199=""),"",ROUND(L199*K199,2)))</f>
        <v>0</v>
      </c>
      <c r="O199" s="20">
        <f>IF(A199="","",IF(N199="","",ROUND(N199/MAX(1,M199),2)))</f>
        <v>0</v>
      </c>
      <c r="P199" s="36">
        <f>IF(A199="","",IF(F199="","",ROUND(F199/MAX(1,M199),2)))</f>
        <v>0</v>
      </c>
      <c r="Q199" s="20">
        <f>IF(A199="","",IF(L199="","",ROUND(L199/MAX(1,M199)*SuppliesPerHour,2)))</f>
        <v>0</v>
      </c>
      <c r="R199" s="20">
        <f>IF(A199="","",ROUND(SUMIFS(Labor!$O$5:$O$304,Labor!$A$5:$A$304,A199),2))</f>
        <v>0</v>
      </c>
      <c r="S199" s="33">
        <f>IF(A199="","",IF(OR(O199="",R199="",R199=0),"",O199/R199))</f>
        <v>0</v>
      </c>
      <c r="T199" s="32">
        <f>IF(A199="","",COUNTIFS($A$5:A199,A199))</f>
        <v>0</v>
      </c>
      <c r="U199" s="13">
        <f>IF(A199="","",A199&amp;"|"&amp;T199)</f>
        <v>0</v>
      </c>
      <c r="V199" s="43">
        <f>IF(A199="","",IF(B199="Not found","Check - no such product ID",IF(OR(F199="",F199=0),"Add - how many minutes?",IF(C199="","Add - which stage?",IF(AND(G199="Per batch",H199=""),"Check - using the default batch size",IF(K199&lt;MinimumWage,"Check - below minimum wage","OK"))))))</f>
        <v>0</v>
      </c>
    </row>
    <row r="200" spans="2:22">
      <c r="B200" s="13">
        <f>IF(A200="","",IFERROR(INDEX(Products!$B$5:$B$304,MATCH(A200,Products!$A$5:$A$304,0)),"Not found"))</f>
        <v>0</v>
      </c>
      <c r="K200" s="20">
        <f>IF(A200="","",IF(E200&lt;&gt;"",E200,IF(D200="Employee",ROUND(EmployeeRate*(1+PayrollBurden),2),IF(OR(D200="Contractor",D200="Outsourced"),ROUND(ContractorRate*(1+PayrollBurden),2),LaborCostHour))))</f>
        <v>0</v>
      </c>
      <c r="L200" s="41">
        <f>IF(A200="","",IF(F200="","",ROUND(F200/60,3)))</f>
        <v>0</v>
      </c>
      <c r="M200" s="32">
        <f>IF(A200="","",IF(G200="Per batch",IF(OR(H200="",H200=0),DefaultBatchSize,H200),1))</f>
        <v>0</v>
      </c>
      <c r="N200" s="20">
        <f>IF(A200="","",IF(OR(L200="",K200=""),"",ROUND(L200*K200,2)))</f>
        <v>0</v>
      </c>
      <c r="O200" s="20">
        <f>IF(A200="","",IF(N200="","",ROUND(N200/MAX(1,M200),2)))</f>
        <v>0</v>
      </c>
      <c r="P200" s="36">
        <f>IF(A200="","",IF(F200="","",ROUND(F200/MAX(1,M200),2)))</f>
        <v>0</v>
      </c>
      <c r="Q200" s="20">
        <f>IF(A200="","",IF(L200="","",ROUND(L200/MAX(1,M200)*SuppliesPerHour,2)))</f>
        <v>0</v>
      </c>
      <c r="R200" s="20">
        <f>IF(A200="","",ROUND(SUMIFS(Labor!$O$5:$O$304,Labor!$A$5:$A$304,A200),2))</f>
        <v>0</v>
      </c>
      <c r="S200" s="33">
        <f>IF(A200="","",IF(OR(O200="",R200="",R200=0),"",O200/R200))</f>
        <v>0</v>
      </c>
      <c r="T200" s="32">
        <f>IF(A200="","",COUNTIFS($A$5:A200,A200))</f>
        <v>0</v>
      </c>
      <c r="U200" s="13">
        <f>IF(A200="","",A200&amp;"|"&amp;T200)</f>
        <v>0</v>
      </c>
      <c r="V200" s="43">
        <f>IF(A200="","",IF(B200="Not found","Check - no such product ID",IF(OR(F200="",F200=0),"Add - how many minutes?",IF(C200="","Add - which stage?",IF(AND(G200="Per batch",H200=""),"Check - using the default batch size",IF(K200&lt;MinimumWage,"Check - below minimum wage","OK"))))))</f>
        <v>0</v>
      </c>
    </row>
    <row r="201" spans="2:22">
      <c r="B201" s="13">
        <f>IF(A201="","",IFERROR(INDEX(Products!$B$5:$B$304,MATCH(A201,Products!$A$5:$A$304,0)),"Not found"))</f>
        <v>0</v>
      </c>
      <c r="K201" s="20">
        <f>IF(A201="","",IF(E201&lt;&gt;"",E201,IF(D201="Employee",ROUND(EmployeeRate*(1+PayrollBurden),2),IF(OR(D201="Contractor",D201="Outsourced"),ROUND(ContractorRate*(1+PayrollBurden),2),LaborCostHour))))</f>
        <v>0</v>
      </c>
      <c r="L201" s="41">
        <f>IF(A201="","",IF(F201="","",ROUND(F201/60,3)))</f>
        <v>0</v>
      </c>
      <c r="M201" s="32">
        <f>IF(A201="","",IF(G201="Per batch",IF(OR(H201="",H201=0),DefaultBatchSize,H201),1))</f>
        <v>0</v>
      </c>
      <c r="N201" s="20">
        <f>IF(A201="","",IF(OR(L201="",K201=""),"",ROUND(L201*K201,2)))</f>
        <v>0</v>
      </c>
      <c r="O201" s="20">
        <f>IF(A201="","",IF(N201="","",ROUND(N201/MAX(1,M201),2)))</f>
        <v>0</v>
      </c>
      <c r="P201" s="36">
        <f>IF(A201="","",IF(F201="","",ROUND(F201/MAX(1,M201),2)))</f>
        <v>0</v>
      </c>
      <c r="Q201" s="20">
        <f>IF(A201="","",IF(L201="","",ROUND(L201/MAX(1,M201)*SuppliesPerHour,2)))</f>
        <v>0</v>
      </c>
      <c r="R201" s="20">
        <f>IF(A201="","",ROUND(SUMIFS(Labor!$O$5:$O$304,Labor!$A$5:$A$304,A201),2))</f>
        <v>0</v>
      </c>
      <c r="S201" s="33">
        <f>IF(A201="","",IF(OR(O201="",R201="",R201=0),"",O201/R201))</f>
        <v>0</v>
      </c>
      <c r="T201" s="32">
        <f>IF(A201="","",COUNTIFS($A$5:A201,A201))</f>
        <v>0</v>
      </c>
      <c r="U201" s="13">
        <f>IF(A201="","",A201&amp;"|"&amp;T201)</f>
        <v>0</v>
      </c>
      <c r="V201" s="43">
        <f>IF(A201="","",IF(B201="Not found","Check - no such product ID",IF(OR(F201="",F201=0),"Add - how many minutes?",IF(C201="","Add - which stage?",IF(AND(G201="Per batch",H201=""),"Check - using the default batch size",IF(K201&lt;MinimumWage,"Check - below minimum wage","OK"))))))</f>
        <v>0</v>
      </c>
    </row>
    <row r="202" spans="2:22">
      <c r="B202" s="13">
        <f>IF(A202="","",IFERROR(INDEX(Products!$B$5:$B$304,MATCH(A202,Products!$A$5:$A$304,0)),"Not found"))</f>
        <v>0</v>
      </c>
      <c r="K202" s="20">
        <f>IF(A202="","",IF(E202&lt;&gt;"",E202,IF(D202="Employee",ROUND(EmployeeRate*(1+PayrollBurden),2),IF(OR(D202="Contractor",D202="Outsourced"),ROUND(ContractorRate*(1+PayrollBurden),2),LaborCostHour))))</f>
        <v>0</v>
      </c>
      <c r="L202" s="41">
        <f>IF(A202="","",IF(F202="","",ROUND(F202/60,3)))</f>
        <v>0</v>
      </c>
      <c r="M202" s="32">
        <f>IF(A202="","",IF(G202="Per batch",IF(OR(H202="",H202=0),DefaultBatchSize,H202),1))</f>
        <v>0</v>
      </c>
      <c r="N202" s="20">
        <f>IF(A202="","",IF(OR(L202="",K202=""),"",ROUND(L202*K202,2)))</f>
        <v>0</v>
      </c>
      <c r="O202" s="20">
        <f>IF(A202="","",IF(N202="","",ROUND(N202/MAX(1,M202),2)))</f>
        <v>0</v>
      </c>
      <c r="P202" s="36">
        <f>IF(A202="","",IF(F202="","",ROUND(F202/MAX(1,M202),2)))</f>
        <v>0</v>
      </c>
      <c r="Q202" s="20">
        <f>IF(A202="","",IF(L202="","",ROUND(L202/MAX(1,M202)*SuppliesPerHour,2)))</f>
        <v>0</v>
      </c>
      <c r="R202" s="20">
        <f>IF(A202="","",ROUND(SUMIFS(Labor!$O$5:$O$304,Labor!$A$5:$A$304,A202),2))</f>
        <v>0</v>
      </c>
      <c r="S202" s="33">
        <f>IF(A202="","",IF(OR(O202="",R202="",R202=0),"",O202/R202))</f>
        <v>0</v>
      </c>
      <c r="T202" s="32">
        <f>IF(A202="","",COUNTIFS($A$5:A202,A202))</f>
        <v>0</v>
      </c>
      <c r="U202" s="13">
        <f>IF(A202="","",A202&amp;"|"&amp;T202)</f>
        <v>0</v>
      </c>
      <c r="V202" s="43">
        <f>IF(A202="","",IF(B202="Not found","Check - no such product ID",IF(OR(F202="",F202=0),"Add - how many minutes?",IF(C202="","Add - which stage?",IF(AND(G202="Per batch",H202=""),"Check - using the default batch size",IF(K202&lt;MinimumWage,"Check - below minimum wage","OK"))))))</f>
        <v>0</v>
      </c>
    </row>
    <row r="203" spans="2:22">
      <c r="B203" s="13">
        <f>IF(A203="","",IFERROR(INDEX(Products!$B$5:$B$304,MATCH(A203,Products!$A$5:$A$304,0)),"Not found"))</f>
        <v>0</v>
      </c>
      <c r="K203" s="20">
        <f>IF(A203="","",IF(E203&lt;&gt;"",E203,IF(D203="Employee",ROUND(EmployeeRate*(1+PayrollBurden),2),IF(OR(D203="Contractor",D203="Outsourced"),ROUND(ContractorRate*(1+PayrollBurden),2),LaborCostHour))))</f>
        <v>0</v>
      </c>
      <c r="L203" s="41">
        <f>IF(A203="","",IF(F203="","",ROUND(F203/60,3)))</f>
        <v>0</v>
      </c>
      <c r="M203" s="32">
        <f>IF(A203="","",IF(G203="Per batch",IF(OR(H203="",H203=0),DefaultBatchSize,H203),1))</f>
        <v>0</v>
      </c>
      <c r="N203" s="20">
        <f>IF(A203="","",IF(OR(L203="",K203=""),"",ROUND(L203*K203,2)))</f>
        <v>0</v>
      </c>
      <c r="O203" s="20">
        <f>IF(A203="","",IF(N203="","",ROUND(N203/MAX(1,M203),2)))</f>
        <v>0</v>
      </c>
      <c r="P203" s="36">
        <f>IF(A203="","",IF(F203="","",ROUND(F203/MAX(1,M203),2)))</f>
        <v>0</v>
      </c>
      <c r="Q203" s="20">
        <f>IF(A203="","",IF(L203="","",ROUND(L203/MAX(1,M203)*SuppliesPerHour,2)))</f>
        <v>0</v>
      </c>
      <c r="R203" s="20">
        <f>IF(A203="","",ROUND(SUMIFS(Labor!$O$5:$O$304,Labor!$A$5:$A$304,A203),2))</f>
        <v>0</v>
      </c>
      <c r="S203" s="33">
        <f>IF(A203="","",IF(OR(O203="",R203="",R203=0),"",O203/R203))</f>
        <v>0</v>
      </c>
      <c r="T203" s="32">
        <f>IF(A203="","",COUNTIFS($A$5:A203,A203))</f>
        <v>0</v>
      </c>
      <c r="U203" s="13">
        <f>IF(A203="","",A203&amp;"|"&amp;T203)</f>
        <v>0</v>
      </c>
      <c r="V203" s="43">
        <f>IF(A203="","",IF(B203="Not found","Check - no such product ID",IF(OR(F203="",F203=0),"Add - how many minutes?",IF(C203="","Add - which stage?",IF(AND(G203="Per batch",H203=""),"Check - using the default batch size",IF(K203&lt;MinimumWage,"Check - below minimum wage","OK"))))))</f>
        <v>0</v>
      </c>
    </row>
    <row r="204" spans="2:22">
      <c r="B204" s="13">
        <f>IF(A204="","",IFERROR(INDEX(Products!$B$5:$B$304,MATCH(A204,Products!$A$5:$A$304,0)),"Not found"))</f>
        <v>0</v>
      </c>
      <c r="K204" s="20">
        <f>IF(A204="","",IF(E204&lt;&gt;"",E204,IF(D204="Employee",ROUND(EmployeeRate*(1+PayrollBurden),2),IF(OR(D204="Contractor",D204="Outsourced"),ROUND(ContractorRate*(1+PayrollBurden),2),LaborCostHour))))</f>
        <v>0</v>
      </c>
      <c r="L204" s="41">
        <f>IF(A204="","",IF(F204="","",ROUND(F204/60,3)))</f>
        <v>0</v>
      </c>
      <c r="M204" s="32">
        <f>IF(A204="","",IF(G204="Per batch",IF(OR(H204="",H204=0),DefaultBatchSize,H204),1))</f>
        <v>0</v>
      </c>
      <c r="N204" s="20">
        <f>IF(A204="","",IF(OR(L204="",K204=""),"",ROUND(L204*K204,2)))</f>
        <v>0</v>
      </c>
      <c r="O204" s="20">
        <f>IF(A204="","",IF(N204="","",ROUND(N204/MAX(1,M204),2)))</f>
        <v>0</v>
      </c>
      <c r="P204" s="36">
        <f>IF(A204="","",IF(F204="","",ROUND(F204/MAX(1,M204),2)))</f>
        <v>0</v>
      </c>
      <c r="Q204" s="20">
        <f>IF(A204="","",IF(L204="","",ROUND(L204/MAX(1,M204)*SuppliesPerHour,2)))</f>
        <v>0</v>
      </c>
      <c r="R204" s="20">
        <f>IF(A204="","",ROUND(SUMIFS(Labor!$O$5:$O$304,Labor!$A$5:$A$304,A204),2))</f>
        <v>0</v>
      </c>
      <c r="S204" s="33">
        <f>IF(A204="","",IF(OR(O204="",R204="",R204=0),"",O204/R204))</f>
        <v>0</v>
      </c>
      <c r="T204" s="32">
        <f>IF(A204="","",COUNTIFS($A$5:A204,A204))</f>
        <v>0</v>
      </c>
      <c r="U204" s="13">
        <f>IF(A204="","",A204&amp;"|"&amp;T204)</f>
        <v>0</v>
      </c>
      <c r="V204" s="43">
        <f>IF(A204="","",IF(B204="Not found","Check - no such product ID",IF(OR(F204="",F204=0),"Add - how many minutes?",IF(C204="","Add - which stage?",IF(AND(G204="Per batch",H204=""),"Check - using the default batch size",IF(K204&lt;MinimumWage,"Check - below minimum wage","OK"))))))</f>
        <v>0</v>
      </c>
    </row>
    <row r="205" spans="2:22">
      <c r="B205" s="13">
        <f>IF(A205="","",IFERROR(INDEX(Products!$B$5:$B$304,MATCH(A205,Products!$A$5:$A$304,0)),"Not found"))</f>
        <v>0</v>
      </c>
      <c r="K205" s="20">
        <f>IF(A205="","",IF(E205&lt;&gt;"",E205,IF(D205="Employee",ROUND(EmployeeRate*(1+PayrollBurden),2),IF(OR(D205="Contractor",D205="Outsourced"),ROUND(ContractorRate*(1+PayrollBurden),2),LaborCostHour))))</f>
        <v>0</v>
      </c>
      <c r="L205" s="41">
        <f>IF(A205="","",IF(F205="","",ROUND(F205/60,3)))</f>
        <v>0</v>
      </c>
      <c r="M205" s="32">
        <f>IF(A205="","",IF(G205="Per batch",IF(OR(H205="",H205=0),DefaultBatchSize,H205),1))</f>
        <v>0</v>
      </c>
      <c r="N205" s="20">
        <f>IF(A205="","",IF(OR(L205="",K205=""),"",ROUND(L205*K205,2)))</f>
        <v>0</v>
      </c>
      <c r="O205" s="20">
        <f>IF(A205="","",IF(N205="","",ROUND(N205/MAX(1,M205),2)))</f>
        <v>0</v>
      </c>
      <c r="P205" s="36">
        <f>IF(A205="","",IF(F205="","",ROUND(F205/MAX(1,M205),2)))</f>
        <v>0</v>
      </c>
      <c r="Q205" s="20">
        <f>IF(A205="","",IF(L205="","",ROUND(L205/MAX(1,M205)*SuppliesPerHour,2)))</f>
        <v>0</v>
      </c>
      <c r="R205" s="20">
        <f>IF(A205="","",ROUND(SUMIFS(Labor!$O$5:$O$304,Labor!$A$5:$A$304,A205),2))</f>
        <v>0</v>
      </c>
      <c r="S205" s="33">
        <f>IF(A205="","",IF(OR(O205="",R205="",R205=0),"",O205/R205))</f>
        <v>0</v>
      </c>
      <c r="T205" s="32">
        <f>IF(A205="","",COUNTIFS($A$5:A205,A205))</f>
        <v>0</v>
      </c>
      <c r="U205" s="13">
        <f>IF(A205="","",A205&amp;"|"&amp;T205)</f>
        <v>0</v>
      </c>
      <c r="V205" s="43">
        <f>IF(A205="","",IF(B205="Not found","Check - no such product ID",IF(OR(F205="",F205=0),"Add - how many minutes?",IF(C205="","Add - which stage?",IF(AND(G205="Per batch",H205=""),"Check - using the default batch size",IF(K205&lt;MinimumWage,"Check - below minimum wage","OK"))))))</f>
        <v>0</v>
      </c>
    </row>
    <row r="206" spans="2:22">
      <c r="B206" s="13">
        <f>IF(A206="","",IFERROR(INDEX(Products!$B$5:$B$304,MATCH(A206,Products!$A$5:$A$304,0)),"Not found"))</f>
        <v>0</v>
      </c>
      <c r="K206" s="20">
        <f>IF(A206="","",IF(E206&lt;&gt;"",E206,IF(D206="Employee",ROUND(EmployeeRate*(1+PayrollBurden),2),IF(OR(D206="Contractor",D206="Outsourced"),ROUND(ContractorRate*(1+PayrollBurden),2),LaborCostHour))))</f>
        <v>0</v>
      </c>
      <c r="L206" s="41">
        <f>IF(A206="","",IF(F206="","",ROUND(F206/60,3)))</f>
        <v>0</v>
      </c>
      <c r="M206" s="32">
        <f>IF(A206="","",IF(G206="Per batch",IF(OR(H206="",H206=0),DefaultBatchSize,H206),1))</f>
        <v>0</v>
      </c>
      <c r="N206" s="20">
        <f>IF(A206="","",IF(OR(L206="",K206=""),"",ROUND(L206*K206,2)))</f>
        <v>0</v>
      </c>
      <c r="O206" s="20">
        <f>IF(A206="","",IF(N206="","",ROUND(N206/MAX(1,M206),2)))</f>
        <v>0</v>
      </c>
      <c r="P206" s="36">
        <f>IF(A206="","",IF(F206="","",ROUND(F206/MAX(1,M206),2)))</f>
        <v>0</v>
      </c>
      <c r="Q206" s="20">
        <f>IF(A206="","",IF(L206="","",ROUND(L206/MAX(1,M206)*SuppliesPerHour,2)))</f>
        <v>0</v>
      </c>
      <c r="R206" s="20">
        <f>IF(A206="","",ROUND(SUMIFS(Labor!$O$5:$O$304,Labor!$A$5:$A$304,A206),2))</f>
        <v>0</v>
      </c>
      <c r="S206" s="33">
        <f>IF(A206="","",IF(OR(O206="",R206="",R206=0),"",O206/R206))</f>
        <v>0</v>
      </c>
      <c r="T206" s="32">
        <f>IF(A206="","",COUNTIFS($A$5:A206,A206))</f>
        <v>0</v>
      </c>
      <c r="U206" s="13">
        <f>IF(A206="","",A206&amp;"|"&amp;T206)</f>
        <v>0</v>
      </c>
      <c r="V206" s="43">
        <f>IF(A206="","",IF(B206="Not found","Check - no such product ID",IF(OR(F206="",F206=0),"Add - how many minutes?",IF(C206="","Add - which stage?",IF(AND(G206="Per batch",H206=""),"Check - using the default batch size",IF(K206&lt;MinimumWage,"Check - below minimum wage","OK"))))))</f>
        <v>0</v>
      </c>
    </row>
    <row r="207" spans="2:22">
      <c r="B207" s="13">
        <f>IF(A207="","",IFERROR(INDEX(Products!$B$5:$B$304,MATCH(A207,Products!$A$5:$A$304,0)),"Not found"))</f>
        <v>0</v>
      </c>
      <c r="K207" s="20">
        <f>IF(A207="","",IF(E207&lt;&gt;"",E207,IF(D207="Employee",ROUND(EmployeeRate*(1+PayrollBurden),2),IF(OR(D207="Contractor",D207="Outsourced"),ROUND(ContractorRate*(1+PayrollBurden),2),LaborCostHour))))</f>
        <v>0</v>
      </c>
      <c r="L207" s="41">
        <f>IF(A207="","",IF(F207="","",ROUND(F207/60,3)))</f>
        <v>0</v>
      </c>
      <c r="M207" s="32">
        <f>IF(A207="","",IF(G207="Per batch",IF(OR(H207="",H207=0),DefaultBatchSize,H207),1))</f>
        <v>0</v>
      </c>
      <c r="N207" s="20">
        <f>IF(A207="","",IF(OR(L207="",K207=""),"",ROUND(L207*K207,2)))</f>
        <v>0</v>
      </c>
      <c r="O207" s="20">
        <f>IF(A207="","",IF(N207="","",ROUND(N207/MAX(1,M207),2)))</f>
        <v>0</v>
      </c>
      <c r="P207" s="36">
        <f>IF(A207="","",IF(F207="","",ROUND(F207/MAX(1,M207),2)))</f>
        <v>0</v>
      </c>
      <c r="Q207" s="20">
        <f>IF(A207="","",IF(L207="","",ROUND(L207/MAX(1,M207)*SuppliesPerHour,2)))</f>
        <v>0</v>
      </c>
      <c r="R207" s="20">
        <f>IF(A207="","",ROUND(SUMIFS(Labor!$O$5:$O$304,Labor!$A$5:$A$304,A207),2))</f>
        <v>0</v>
      </c>
      <c r="S207" s="33">
        <f>IF(A207="","",IF(OR(O207="",R207="",R207=0),"",O207/R207))</f>
        <v>0</v>
      </c>
      <c r="T207" s="32">
        <f>IF(A207="","",COUNTIFS($A$5:A207,A207))</f>
        <v>0</v>
      </c>
      <c r="U207" s="13">
        <f>IF(A207="","",A207&amp;"|"&amp;T207)</f>
        <v>0</v>
      </c>
      <c r="V207" s="43">
        <f>IF(A207="","",IF(B207="Not found","Check - no such product ID",IF(OR(F207="",F207=0),"Add - how many minutes?",IF(C207="","Add - which stage?",IF(AND(G207="Per batch",H207=""),"Check - using the default batch size",IF(K207&lt;MinimumWage,"Check - below minimum wage","OK"))))))</f>
        <v>0</v>
      </c>
    </row>
    <row r="208" spans="2:22">
      <c r="B208" s="13">
        <f>IF(A208="","",IFERROR(INDEX(Products!$B$5:$B$304,MATCH(A208,Products!$A$5:$A$304,0)),"Not found"))</f>
        <v>0</v>
      </c>
      <c r="K208" s="20">
        <f>IF(A208="","",IF(E208&lt;&gt;"",E208,IF(D208="Employee",ROUND(EmployeeRate*(1+PayrollBurden),2),IF(OR(D208="Contractor",D208="Outsourced"),ROUND(ContractorRate*(1+PayrollBurden),2),LaborCostHour))))</f>
        <v>0</v>
      </c>
      <c r="L208" s="41">
        <f>IF(A208="","",IF(F208="","",ROUND(F208/60,3)))</f>
        <v>0</v>
      </c>
      <c r="M208" s="32">
        <f>IF(A208="","",IF(G208="Per batch",IF(OR(H208="",H208=0),DefaultBatchSize,H208),1))</f>
        <v>0</v>
      </c>
      <c r="N208" s="20">
        <f>IF(A208="","",IF(OR(L208="",K208=""),"",ROUND(L208*K208,2)))</f>
        <v>0</v>
      </c>
      <c r="O208" s="20">
        <f>IF(A208="","",IF(N208="","",ROUND(N208/MAX(1,M208),2)))</f>
        <v>0</v>
      </c>
      <c r="P208" s="36">
        <f>IF(A208="","",IF(F208="","",ROUND(F208/MAX(1,M208),2)))</f>
        <v>0</v>
      </c>
      <c r="Q208" s="20">
        <f>IF(A208="","",IF(L208="","",ROUND(L208/MAX(1,M208)*SuppliesPerHour,2)))</f>
        <v>0</v>
      </c>
      <c r="R208" s="20">
        <f>IF(A208="","",ROUND(SUMIFS(Labor!$O$5:$O$304,Labor!$A$5:$A$304,A208),2))</f>
        <v>0</v>
      </c>
      <c r="S208" s="33">
        <f>IF(A208="","",IF(OR(O208="",R208="",R208=0),"",O208/R208))</f>
        <v>0</v>
      </c>
      <c r="T208" s="32">
        <f>IF(A208="","",COUNTIFS($A$5:A208,A208))</f>
        <v>0</v>
      </c>
      <c r="U208" s="13">
        <f>IF(A208="","",A208&amp;"|"&amp;T208)</f>
        <v>0</v>
      </c>
      <c r="V208" s="43">
        <f>IF(A208="","",IF(B208="Not found","Check - no such product ID",IF(OR(F208="",F208=0),"Add - how many minutes?",IF(C208="","Add - which stage?",IF(AND(G208="Per batch",H208=""),"Check - using the default batch size",IF(K208&lt;MinimumWage,"Check - below minimum wage","OK"))))))</f>
        <v>0</v>
      </c>
    </row>
    <row r="209" spans="2:22">
      <c r="B209" s="13">
        <f>IF(A209="","",IFERROR(INDEX(Products!$B$5:$B$304,MATCH(A209,Products!$A$5:$A$304,0)),"Not found"))</f>
        <v>0</v>
      </c>
      <c r="K209" s="20">
        <f>IF(A209="","",IF(E209&lt;&gt;"",E209,IF(D209="Employee",ROUND(EmployeeRate*(1+PayrollBurden),2),IF(OR(D209="Contractor",D209="Outsourced"),ROUND(ContractorRate*(1+PayrollBurden),2),LaborCostHour))))</f>
        <v>0</v>
      </c>
      <c r="L209" s="41">
        <f>IF(A209="","",IF(F209="","",ROUND(F209/60,3)))</f>
        <v>0</v>
      </c>
      <c r="M209" s="32">
        <f>IF(A209="","",IF(G209="Per batch",IF(OR(H209="",H209=0),DefaultBatchSize,H209),1))</f>
        <v>0</v>
      </c>
      <c r="N209" s="20">
        <f>IF(A209="","",IF(OR(L209="",K209=""),"",ROUND(L209*K209,2)))</f>
        <v>0</v>
      </c>
      <c r="O209" s="20">
        <f>IF(A209="","",IF(N209="","",ROUND(N209/MAX(1,M209),2)))</f>
        <v>0</v>
      </c>
      <c r="P209" s="36">
        <f>IF(A209="","",IF(F209="","",ROUND(F209/MAX(1,M209),2)))</f>
        <v>0</v>
      </c>
      <c r="Q209" s="20">
        <f>IF(A209="","",IF(L209="","",ROUND(L209/MAX(1,M209)*SuppliesPerHour,2)))</f>
        <v>0</v>
      </c>
      <c r="R209" s="20">
        <f>IF(A209="","",ROUND(SUMIFS(Labor!$O$5:$O$304,Labor!$A$5:$A$304,A209),2))</f>
        <v>0</v>
      </c>
      <c r="S209" s="33">
        <f>IF(A209="","",IF(OR(O209="",R209="",R209=0),"",O209/R209))</f>
        <v>0</v>
      </c>
      <c r="T209" s="32">
        <f>IF(A209="","",COUNTIFS($A$5:A209,A209))</f>
        <v>0</v>
      </c>
      <c r="U209" s="13">
        <f>IF(A209="","",A209&amp;"|"&amp;T209)</f>
        <v>0</v>
      </c>
      <c r="V209" s="43">
        <f>IF(A209="","",IF(B209="Not found","Check - no such product ID",IF(OR(F209="",F209=0),"Add - how many minutes?",IF(C209="","Add - which stage?",IF(AND(G209="Per batch",H209=""),"Check - using the default batch size",IF(K209&lt;MinimumWage,"Check - below minimum wage","OK"))))))</f>
        <v>0</v>
      </c>
    </row>
    <row r="210" spans="2:22">
      <c r="B210" s="13">
        <f>IF(A210="","",IFERROR(INDEX(Products!$B$5:$B$304,MATCH(A210,Products!$A$5:$A$304,0)),"Not found"))</f>
        <v>0</v>
      </c>
      <c r="K210" s="20">
        <f>IF(A210="","",IF(E210&lt;&gt;"",E210,IF(D210="Employee",ROUND(EmployeeRate*(1+PayrollBurden),2),IF(OR(D210="Contractor",D210="Outsourced"),ROUND(ContractorRate*(1+PayrollBurden),2),LaborCostHour))))</f>
        <v>0</v>
      </c>
      <c r="L210" s="41">
        <f>IF(A210="","",IF(F210="","",ROUND(F210/60,3)))</f>
        <v>0</v>
      </c>
      <c r="M210" s="32">
        <f>IF(A210="","",IF(G210="Per batch",IF(OR(H210="",H210=0),DefaultBatchSize,H210),1))</f>
        <v>0</v>
      </c>
      <c r="N210" s="20">
        <f>IF(A210="","",IF(OR(L210="",K210=""),"",ROUND(L210*K210,2)))</f>
        <v>0</v>
      </c>
      <c r="O210" s="20">
        <f>IF(A210="","",IF(N210="","",ROUND(N210/MAX(1,M210),2)))</f>
        <v>0</v>
      </c>
      <c r="P210" s="36">
        <f>IF(A210="","",IF(F210="","",ROUND(F210/MAX(1,M210),2)))</f>
        <v>0</v>
      </c>
      <c r="Q210" s="20">
        <f>IF(A210="","",IF(L210="","",ROUND(L210/MAX(1,M210)*SuppliesPerHour,2)))</f>
        <v>0</v>
      </c>
      <c r="R210" s="20">
        <f>IF(A210="","",ROUND(SUMIFS(Labor!$O$5:$O$304,Labor!$A$5:$A$304,A210),2))</f>
        <v>0</v>
      </c>
      <c r="S210" s="33">
        <f>IF(A210="","",IF(OR(O210="",R210="",R210=0),"",O210/R210))</f>
        <v>0</v>
      </c>
      <c r="T210" s="32">
        <f>IF(A210="","",COUNTIFS($A$5:A210,A210))</f>
        <v>0</v>
      </c>
      <c r="U210" s="13">
        <f>IF(A210="","",A210&amp;"|"&amp;T210)</f>
        <v>0</v>
      </c>
      <c r="V210" s="43">
        <f>IF(A210="","",IF(B210="Not found","Check - no such product ID",IF(OR(F210="",F210=0),"Add - how many minutes?",IF(C210="","Add - which stage?",IF(AND(G210="Per batch",H210=""),"Check - using the default batch size",IF(K210&lt;MinimumWage,"Check - below minimum wage","OK"))))))</f>
        <v>0</v>
      </c>
    </row>
    <row r="211" spans="2:22">
      <c r="B211" s="13">
        <f>IF(A211="","",IFERROR(INDEX(Products!$B$5:$B$304,MATCH(A211,Products!$A$5:$A$304,0)),"Not found"))</f>
        <v>0</v>
      </c>
      <c r="K211" s="20">
        <f>IF(A211="","",IF(E211&lt;&gt;"",E211,IF(D211="Employee",ROUND(EmployeeRate*(1+PayrollBurden),2),IF(OR(D211="Contractor",D211="Outsourced"),ROUND(ContractorRate*(1+PayrollBurden),2),LaborCostHour))))</f>
        <v>0</v>
      </c>
      <c r="L211" s="41">
        <f>IF(A211="","",IF(F211="","",ROUND(F211/60,3)))</f>
        <v>0</v>
      </c>
      <c r="M211" s="32">
        <f>IF(A211="","",IF(G211="Per batch",IF(OR(H211="",H211=0),DefaultBatchSize,H211),1))</f>
        <v>0</v>
      </c>
      <c r="N211" s="20">
        <f>IF(A211="","",IF(OR(L211="",K211=""),"",ROUND(L211*K211,2)))</f>
        <v>0</v>
      </c>
      <c r="O211" s="20">
        <f>IF(A211="","",IF(N211="","",ROUND(N211/MAX(1,M211),2)))</f>
        <v>0</v>
      </c>
      <c r="P211" s="36">
        <f>IF(A211="","",IF(F211="","",ROUND(F211/MAX(1,M211),2)))</f>
        <v>0</v>
      </c>
      <c r="Q211" s="20">
        <f>IF(A211="","",IF(L211="","",ROUND(L211/MAX(1,M211)*SuppliesPerHour,2)))</f>
        <v>0</v>
      </c>
      <c r="R211" s="20">
        <f>IF(A211="","",ROUND(SUMIFS(Labor!$O$5:$O$304,Labor!$A$5:$A$304,A211),2))</f>
        <v>0</v>
      </c>
      <c r="S211" s="33">
        <f>IF(A211="","",IF(OR(O211="",R211="",R211=0),"",O211/R211))</f>
        <v>0</v>
      </c>
      <c r="T211" s="32">
        <f>IF(A211="","",COUNTIFS($A$5:A211,A211))</f>
        <v>0</v>
      </c>
      <c r="U211" s="13">
        <f>IF(A211="","",A211&amp;"|"&amp;T211)</f>
        <v>0</v>
      </c>
      <c r="V211" s="43">
        <f>IF(A211="","",IF(B211="Not found","Check - no such product ID",IF(OR(F211="",F211=0),"Add - how many minutes?",IF(C211="","Add - which stage?",IF(AND(G211="Per batch",H211=""),"Check - using the default batch size",IF(K211&lt;MinimumWage,"Check - below minimum wage","OK"))))))</f>
        <v>0</v>
      </c>
    </row>
    <row r="212" spans="2:22">
      <c r="B212" s="13">
        <f>IF(A212="","",IFERROR(INDEX(Products!$B$5:$B$304,MATCH(A212,Products!$A$5:$A$304,0)),"Not found"))</f>
        <v>0</v>
      </c>
      <c r="K212" s="20">
        <f>IF(A212="","",IF(E212&lt;&gt;"",E212,IF(D212="Employee",ROUND(EmployeeRate*(1+PayrollBurden),2),IF(OR(D212="Contractor",D212="Outsourced"),ROUND(ContractorRate*(1+PayrollBurden),2),LaborCostHour))))</f>
        <v>0</v>
      </c>
      <c r="L212" s="41">
        <f>IF(A212="","",IF(F212="","",ROUND(F212/60,3)))</f>
        <v>0</v>
      </c>
      <c r="M212" s="32">
        <f>IF(A212="","",IF(G212="Per batch",IF(OR(H212="",H212=0),DefaultBatchSize,H212),1))</f>
        <v>0</v>
      </c>
      <c r="N212" s="20">
        <f>IF(A212="","",IF(OR(L212="",K212=""),"",ROUND(L212*K212,2)))</f>
        <v>0</v>
      </c>
      <c r="O212" s="20">
        <f>IF(A212="","",IF(N212="","",ROUND(N212/MAX(1,M212),2)))</f>
        <v>0</v>
      </c>
      <c r="P212" s="36">
        <f>IF(A212="","",IF(F212="","",ROUND(F212/MAX(1,M212),2)))</f>
        <v>0</v>
      </c>
      <c r="Q212" s="20">
        <f>IF(A212="","",IF(L212="","",ROUND(L212/MAX(1,M212)*SuppliesPerHour,2)))</f>
        <v>0</v>
      </c>
      <c r="R212" s="20">
        <f>IF(A212="","",ROUND(SUMIFS(Labor!$O$5:$O$304,Labor!$A$5:$A$304,A212),2))</f>
        <v>0</v>
      </c>
      <c r="S212" s="33">
        <f>IF(A212="","",IF(OR(O212="",R212="",R212=0),"",O212/R212))</f>
        <v>0</v>
      </c>
      <c r="T212" s="32">
        <f>IF(A212="","",COUNTIFS($A$5:A212,A212))</f>
        <v>0</v>
      </c>
      <c r="U212" s="13">
        <f>IF(A212="","",A212&amp;"|"&amp;T212)</f>
        <v>0</v>
      </c>
      <c r="V212" s="43">
        <f>IF(A212="","",IF(B212="Not found","Check - no such product ID",IF(OR(F212="",F212=0),"Add - how many minutes?",IF(C212="","Add - which stage?",IF(AND(G212="Per batch",H212=""),"Check - using the default batch size",IF(K212&lt;MinimumWage,"Check - below minimum wage","OK"))))))</f>
        <v>0</v>
      </c>
    </row>
    <row r="213" spans="2:22">
      <c r="B213" s="13">
        <f>IF(A213="","",IFERROR(INDEX(Products!$B$5:$B$304,MATCH(A213,Products!$A$5:$A$304,0)),"Not found"))</f>
        <v>0</v>
      </c>
      <c r="K213" s="20">
        <f>IF(A213="","",IF(E213&lt;&gt;"",E213,IF(D213="Employee",ROUND(EmployeeRate*(1+PayrollBurden),2),IF(OR(D213="Contractor",D213="Outsourced"),ROUND(ContractorRate*(1+PayrollBurden),2),LaborCostHour))))</f>
        <v>0</v>
      </c>
      <c r="L213" s="41">
        <f>IF(A213="","",IF(F213="","",ROUND(F213/60,3)))</f>
        <v>0</v>
      </c>
      <c r="M213" s="32">
        <f>IF(A213="","",IF(G213="Per batch",IF(OR(H213="",H213=0),DefaultBatchSize,H213),1))</f>
        <v>0</v>
      </c>
      <c r="N213" s="20">
        <f>IF(A213="","",IF(OR(L213="",K213=""),"",ROUND(L213*K213,2)))</f>
        <v>0</v>
      </c>
      <c r="O213" s="20">
        <f>IF(A213="","",IF(N213="","",ROUND(N213/MAX(1,M213),2)))</f>
        <v>0</v>
      </c>
      <c r="P213" s="36">
        <f>IF(A213="","",IF(F213="","",ROUND(F213/MAX(1,M213),2)))</f>
        <v>0</v>
      </c>
      <c r="Q213" s="20">
        <f>IF(A213="","",IF(L213="","",ROUND(L213/MAX(1,M213)*SuppliesPerHour,2)))</f>
        <v>0</v>
      </c>
      <c r="R213" s="20">
        <f>IF(A213="","",ROUND(SUMIFS(Labor!$O$5:$O$304,Labor!$A$5:$A$304,A213),2))</f>
        <v>0</v>
      </c>
      <c r="S213" s="33">
        <f>IF(A213="","",IF(OR(O213="",R213="",R213=0),"",O213/R213))</f>
        <v>0</v>
      </c>
      <c r="T213" s="32">
        <f>IF(A213="","",COUNTIFS($A$5:A213,A213))</f>
        <v>0</v>
      </c>
      <c r="U213" s="13">
        <f>IF(A213="","",A213&amp;"|"&amp;T213)</f>
        <v>0</v>
      </c>
      <c r="V213" s="43">
        <f>IF(A213="","",IF(B213="Not found","Check - no such product ID",IF(OR(F213="",F213=0),"Add - how many minutes?",IF(C213="","Add - which stage?",IF(AND(G213="Per batch",H213=""),"Check - using the default batch size",IF(K213&lt;MinimumWage,"Check - below minimum wage","OK"))))))</f>
        <v>0</v>
      </c>
    </row>
    <row r="214" spans="2:22">
      <c r="B214" s="13">
        <f>IF(A214="","",IFERROR(INDEX(Products!$B$5:$B$304,MATCH(A214,Products!$A$5:$A$304,0)),"Not found"))</f>
        <v>0</v>
      </c>
      <c r="K214" s="20">
        <f>IF(A214="","",IF(E214&lt;&gt;"",E214,IF(D214="Employee",ROUND(EmployeeRate*(1+PayrollBurden),2),IF(OR(D214="Contractor",D214="Outsourced"),ROUND(ContractorRate*(1+PayrollBurden),2),LaborCostHour))))</f>
        <v>0</v>
      </c>
      <c r="L214" s="41">
        <f>IF(A214="","",IF(F214="","",ROUND(F214/60,3)))</f>
        <v>0</v>
      </c>
      <c r="M214" s="32">
        <f>IF(A214="","",IF(G214="Per batch",IF(OR(H214="",H214=0),DefaultBatchSize,H214),1))</f>
        <v>0</v>
      </c>
      <c r="N214" s="20">
        <f>IF(A214="","",IF(OR(L214="",K214=""),"",ROUND(L214*K214,2)))</f>
        <v>0</v>
      </c>
      <c r="O214" s="20">
        <f>IF(A214="","",IF(N214="","",ROUND(N214/MAX(1,M214),2)))</f>
        <v>0</v>
      </c>
      <c r="P214" s="36">
        <f>IF(A214="","",IF(F214="","",ROUND(F214/MAX(1,M214),2)))</f>
        <v>0</v>
      </c>
      <c r="Q214" s="20">
        <f>IF(A214="","",IF(L214="","",ROUND(L214/MAX(1,M214)*SuppliesPerHour,2)))</f>
        <v>0</v>
      </c>
      <c r="R214" s="20">
        <f>IF(A214="","",ROUND(SUMIFS(Labor!$O$5:$O$304,Labor!$A$5:$A$304,A214),2))</f>
        <v>0</v>
      </c>
      <c r="S214" s="33">
        <f>IF(A214="","",IF(OR(O214="",R214="",R214=0),"",O214/R214))</f>
        <v>0</v>
      </c>
      <c r="T214" s="32">
        <f>IF(A214="","",COUNTIFS($A$5:A214,A214))</f>
        <v>0</v>
      </c>
      <c r="U214" s="13">
        <f>IF(A214="","",A214&amp;"|"&amp;T214)</f>
        <v>0</v>
      </c>
      <c r="V214" s="43">
        <f>IF(A214="","",IF(B214="Not found","Check - no such product ID",IF(OR(F214="",F214=0),"Add - how many minutes?",IF(C214="","Add - which stage?",IF(AND(G214="Per batch",H214=""),"Check - using the default batch size",IF(K214&lt;MinimumWage,"Check - below minimum wage","OK"))))))</f>
        <v>0</v>
      </c>
    </row>
    <row r="215" spans="2:22">
      <c r="B215" s="13">
        <f>IF(A215="","",IFERROR(INDEX(Products!$B$5:$B$304,MATCH(A215,Products!$A$5:$A$304,0)),"Not found"))</f>
        <v>0</v>
      </c>
      <c r="K215" s="20">
        <f>IF(A215="","",IF(E215&lt;&gt;"",E215,IF(D215="Employee",ROUND(EmployeeRate*(1+PayrollBurden),2),IF(OR(D215="Contractor",D215="Outsourced"),ROUND(ContractorRate*(1+PayrollBurden),2),LaborCostHour))))</f>
        <v>0</v>
      </c>
      <c r="L215" s="41">
        <f>IF(A215="","",IF(F215="","",ROUND(F215/60,3)))</f>
        <v>0</v>
      </c>
      <c r="M215" s="32">
        <f>IF(A215="","",IF(G215="Per batch",IF(OR(H215="",H215=0),DefaultBatchSize,H215),1))</f>
        <v>0</v>
      </c>
      <c r="N215" s="20">
        <f>IF(A215="","",IF(OR(L215="",K215=""),"",ROUND(L215*K215,2)))</f>
        <v>0</v>
      </c>
      <c r="O215" s="20">
        <f>IF(A215="","",IF(N215="","",ROUND(N215/MAX(1,M215),2)))</f>
        <v>0</v>
      </c>
      <c r="P215" s="36">
        <f>IF(A215="","",IF(F215="","",ROUND(F215/MAX(1,M215),2)))</f>
        <v>0</v>
      </c>
      <c r="Q215" s="20">
        <f>IF(A215="","",IF(L215="","",ROUND(L215/MAX(1,M215)*SuppliesPerHour,2)))</f>
        <v>0</v>
      </c>
      <c r="R215" s="20">
        <f>IF(A215="","",ROUND(SUMIFS(Labor!$O$5:$O$304,Labor!$A$5:$A$304,A215),2))</f>
        <v>0</v>
      </c>
      <c r="S215" s="33">
        <f>IF(A215="","",IF(OR(O215="",R215="",R215=0),"",O215/R215))</f>
        <v>0</v>
      </c>
      <c r="T215" s="32">
        <f>IF(A215="","",COUNTIFS($A$5:A215,A215))</f>
        <v>0</v>
      </c>
      <c r="U215" s="13">
        <f>IF(A215="","",A215&amp;"|"&amp;T215)</f>
        <v>0</v>
      </c>
      <c r="V215" s="43">
        <f>IF(A215="","",IF(B215="Not found","Check - no such product ID",IF(OR(F215="",F215=0),"Add - how many minutes?",IF(C215="","Add - which stage?",IF(AND(G215="Per batch",H215=""),"Check - using the default batch size",IF(K215&lt;MinimumWage,"Check - below minimum wage","OK"))))))</f>
        <v>0</v>
      </c>
    </row>
    <row r="216" spans="2:22">
      <c r="B216" s="13">
        <f>IF(A216="","",IFERROR(INDEX(Products!$B$5:$B$304,MATCH(A216,Products!$A$5:$A$304,0)),"Not found"))</f>
        <v>0</v>
      </c>
      <c r="K216" s="20">
        <f>IF(A216="","",IF(E216&lt;&gt;"",E216,IF(D216="Employee",ROUND(EmployeeRate*(1+PayrollBurden),2),IF(OR(D216="Contractor",D216="Outsourced"),ROUND(ContractorRate*(1+PayrollBurden),2),LaborCostHour))))</f>
        <v>0</v>
      </c>
      <c r="L216" s="41">
        <f>IF(A216="","",IF(F216="","",ROUND(F216/60,3)))</f>
        <v>0</v>
      </c>
      <c r="M216" s="32">
        <f>IF(A216="","",IF(G216="Per batch",IF(OR(H216="",H216=0),DefaultBatchSize,H216),1))</f>
        <v>0</v>
      </c>
      <c r="N216" s="20">
        <f>IF(A216="","",IF(OR(L216="",K216=""),"",ROUND(L216*K216,2)))</f>
        <v>0</v>
      </c>
      <c r="O216" s="20">
        <f>IF(A216="","",IF(N216="","",ROUND(N216/MAX(1,M216),2)))</f>
        <v>0</v>
      </c>
      <c r="P216" s="36">
        <f>IF(A216="","",IF(F216="","",ROUND(F216/MAX(1,M216),2)))</f>
        <v>0</v>
      </c>
      <c r="Q216" s="20">
        <f>IF(A216="","",IF(L216="","",ROUND(L216/MAX(1,M216)*SuppliesPerHour,2)))</f>
        <v>0</v>
      </c>
      <c r="R216" s="20">
        <f>IF(A216="","",ROUND(SUMIFS(Labor!$O$5:$O$304,Labor!$A$5:$A$304,A216),2))</f>
        <v>0</v>
      </c>
      <c r="S216" s="33">
        <f>IF(A216="","",IF(OR(O216="",R216="",R216=0),"",O216/R216))</f>
        <v>0</v>
      </c>
      <c r="T216" s="32">
        <f>IF(A216="","",COUNTIFS($A$5:A216,A216))</f>
        <v>0</v>
      </c>
      <c r="U216" s="13">
        <f>IF(A216="","",A216&amp;"|"&amp;T216)</f>
        <v>0</v>
      </c>
      <c r="V216" s="43">
        <f>IF(A216="","",IF(B216="Not found","Check - no such product ID",IF(OR(F216="",F216=0),"Add - how many minutes?",IF(C216="","Add - which stage?",IF(AND(G216="Per batch",H216=""),"Check - using the default batch size",IF(K216&lt;MinimumWage,"Check - below minimum wage","OK"))))))</f>
        <v>0</v>
      </c>
    </row>
    <row r="217" spans="2:22">
      <c r="B217" s="13">
        <f>IF(A217="","",IFERROR(INDEX(Products!$B$5:$B$304,MATCH(A217,Products!$A$5:$A$304,0)),"Not found"))</f>
        <v>0</v>
      </c>
      <c r="K217" s="20">
        <f>IF(A217="","",IF(E217&lt;&gt;"",E217,IF(D217="Employee",ROUND(EmployeeRate*(1+PayrollBurden),2),IF(OR(D217="Contractor",D217="Outsourced"),ROUND(ContractorRate*(1+PayrollBurden),2),LaborCostHour))))</f>
        <v>0</v>
      </c>
      <c r="L217" s="41">
        <f>IF(A217="","",IF(F217="","",ROUND(F217/60,3)))</f>
        <v>0</v>
      </c>
      <c r="M217" s="32">
        <f>IF(A217="","",IF(G217="Per batch",IF(OR(H217="",H217=0),DefaultBatchSize,H217),1))</f>
        <v>0</v>
      </c>
      <c r="N217" s="20">
        <f>IF(A217="","",IF(OR(L217="",K217=""),"",ROUND(L217*K217,2)))</f>
        <v>0</v>
      </c>
      <c r="O217" s="20">
        <f>IF(A217="","",IF(N217="","",ROUND(N217/MAX(1,M217),2)))</f>
        <v>0</v>
      </c>
      <c r="P217" s="36">
        <f>IF(A217="","",IF(F217="","",ROUND(F217/MAX(1,M217),2)))</f>
        <v>0</v>
      </c>
      <c r="Q217" s="20">
        <f>IF(A217="","",IF(L217="","",ROUND(L217/MAX(1,M217)*SuppliesPerHour,2)))</f>
        <v>0</v>
      </c>
      <c r="R217" s="20">
        <f>IF(A217="","",ROUND(SUMIFS(Labor!$O$5:$O$304,Labor!$A$5:$A$304,A217),2))</f>
        <v>0</v>
      </c>
      <c r="S217" s="33">
        <f>IF(A217="","",IF(OR(O217="",R217="",R217=0),"",O217/R217))</f>
        <v>0</v>
      </c>
      <c r="T217" s="32">
        <f>IF(A217="","",COUNTIFS($A$5:A217,A217))</f>
        <v>0</v>
      </c>
      <c r="U217" s="13">
        <f>IF(A217="","",A217&amp;"|"&amp;T217)</f>
        <v>0</v>
      </c>
      <c r="V217" s="43">
        <f>IF(A217="","",IF(B217="Not found","Check - no such product ID",IF(OR(F217="",F217=0),"Add - how many minutes?",IF(C217="","Add - which stage?",IF(AND(G217="Per batch",H217=""),"Check - using the default batch size",IF(K217&lt;MinimumWage,"Check - below minimum wage","OK"))))))</f>
        <v>0</v>
      </c>
    </row>
    <row r="218" spans="2:22">
      <c r="B218" s="13">
        <f>IF(A218="","",IFERROR(INDEX(Products!$B$5:$B$304,MATCH(A218,Products!$A$5:$A$304,0)),"Not found"))</f>
        <v>0</v>
      </c>
      <c r="K218" s="20">
        <f>IF(A218="","",IF(E218&lt;&gt;"",E218,IF(D218="Employee",ROUND(EmployeeRate*(1+PayrollBurden),2),IF(OR(D218="Contractor",D218="Outsourced"),ROUND(ContractorRate*(1+PayrollBurden),2),LaborCostHour))))</f>
        <v>0</v>
      </c>
      <c r="L218" s="41">
        <f>IF(A218="","",IF(F218="","",ROUND(F218/60,3)))</f>
        <v>0</v>
      </c>
      <c r="M218" s="32">
        <f>IF(A218="","",IF(G218="Per batch",IF(OR(H218="",H218=0),DefaultBatchSize,H218),1))</f>
        <v>0</v>
      </c>
      <c r="N218" s="20">
        <f>IF(A218="","",IF(OR(L218="",K218=""),"",ROUND(L218*K218,2)))</f>
        <v>0</v>
      </c>
      <c r="O218" s="20">
        <f>IF(A218="","",IF(N218="","",ROUND(N218/MAX(1,M218),2)))</f>
        <v>0</v>
      </c>
      <c r="P218" s="36">
        <f>IF(A218="","",IF(F218="","",ROUND(F218/MAX(1,M218),2)))</f>
        <v>0</v>
      </c>
      <c r="Q218" s="20">
        <f>IF(A218="","",IF(L218="","",ROUND(L218/MAX(1,M218)*SuppliesPerHour,2)))</f>
        <v>0</v>
      </c>
      <c r="R218" s="20">
        <f>IF(A218="","",ROUND(SUMIFS(Labor!$O$5:$O$304,Labor!$A$5:$A$304,A218),2))</f>
        <v>0</v>
      </c>
      <c r="S218" s="33">
        <f>IF(A218="","",IF(OR(O218="",R218="",R218=0),"",O218/R218))</f>
        <v>0</v>
      </c>
      <c r="T218" s="32">
        <f>IF(A218="","",COUNTIFS($A$5:A218,A218))</f>
        <v>0</v>
      </c>
      <c r="U218" s="13">
        <f>IF(A218="","",A218&amp;"|"&amp;T218)</f>
        <v>0</v>
      </c>
      <c r="V218" s="43">
        <f>IF(A218="","",IF(B218="Not found","Check - no such product ID",IF(OR(F218="",F218=0),"Add - how many minutes?",IF(C218="","Add - which stage?",IF(AND(G218="Per batch",H218=""),"Check - using the default batch size",IF(K218&lt;MinimumWage,"Check - below minimum wage","OK"))))))</f>
        <v>0</v>
      </c>
    </row>
    <row r="219" spans="2:22">
      <c r="B219" s="13">
        <f>IF(A219="","",IFERROR(INDEX(Products!$B$5:$B$304,MATCH(A219,Products!$A$5:$A$304,0)),"Not found"))</f>
        <v>0</v>
      </c>
      <c r="K219" s="20">
        <f>IF(A219="","",IF(E219&lt;&gt;"",E219,IF(D219="Employee",ROUND(EmployeeRate*(1+PayrollBurden),2),IF(OR(D219="Contractor",D219="Outsourced"),ROUND(ContractorRate*(1+PayrollBurden),2),LaborCostHour))))</f>
        <v>0</v>
      </c>
      <c r="L219" s="41">
        <f>IF(A219="","",IF(F219="","",ROUND(F219/60,3)))</f>
        <v>0</v>
      </c>
      <c r="M219" s="32">
        <f>IF(A219="","",IF(G219="Per batch",IF(OR(H219="",H219=0),DefaultBatchSize,H219),1))</f>
        <v>0</v>
      </c>
      <c r="N219" s="20">
        <f>IF(A219="","",IF(OR(L219="",K219=""),"",ROUND(L219*K219,2)))</f>
        <v>0</v>
      </c>
      <c r="O219" s="20">
        <f>IF(A219="","",IF(N219="","",ROUND(N219/MAX(1,M219),2)))</f>
        <v>0</v>
      </c>
      <c r="P219" s="36">
        <f>IF(A219="","",IF(F219="","",ROUND(F219/MAX(1,M219),2)))</f>
        <v>0</v>
      </c>
      <c r="Q219" s="20">
        <f>IF(A219="","",IF(L219="","",ROUND(L219/MAX(1,M219)*SuppliesPerHour,2)))</f>
        <v>0</v>
      </c>
      <c r="R219" s="20">
        <f>IF(A219="","",ROUND(SUMIFS(Labor!$O$5:$O$304,Labor!$A$5:$A$304,A219),2))</f>
        <v>0</v>
      </c>
      <c r="S219" s="33">
        <f>IF(A219="","",IF(OR(O219="",R219="",R219=0),"",O219/R219))</f>
        <v>0</v>
      </c>
      <c r="T219" s="32">
        <f>IF(A219="","",COUNTIFS($A$5:A219,A219))</f>
        <v>0</v>
      </c>
      <c r="U219" s="13">
        <f>IF(A219="","",A219&amp;"|"&amp;T219)</f>
        <v>0</v>
      </c>
      <c r="V219" s="43">
        <f>IF(A219="","",IF(B219="Not found","Check - no such product ID",IF(OR(F219="",F219=0),"Add - how many minutes?",IF(C219="","Add - which stage?",IF(AND(G219="Per batch",H219=""),"Check - using the default batch size",IF(K219&lt;MinimumWage,"Check - below minimum wage","OK"))))))</f>
        <v>0</v>
      </c>
    </row>
    <row r="220" spans="2:22">
      <c r="B220" s="13">
        <f>IF(A220="","",IFERROR(INDEX(Products!$B$5:$B$304,MATCH(A220,Products!$A$5:$A$304,0)),"Not found"))</f>
        <v>0</v>
      </c>
      <c r="K220" s="20">
        <f>IF(A220="","",IF(E220&lt;&gt;"",E220,IF(D220="Employee",ROUND(EmployeeRate*(1+PayrollBurden),2),IF(OR(D220="Contractor",D220="Outsourced"),ROUND(ContractorRate*(1+PayrollBurden),2),LaborCostHour))))</f>
        <v>0</v>
      </c>
      <c r="L220" s="41">
        <f>IF(A220="","",IF(F220="","",ROUND(F220/60,3)))</f>
        <v>0</v>
      </c>
      <c r="M220" s="32">
        <f>IF(A220="","",IF(G220="Per batch",IF(OR(H220="",H220=0),DefaultBatchSize,H220),1))</f>
        <v>0</v>
      </c>
      <c r="N220" s="20">
        <f>IF(A220="","",IF(OR(L220="",K220=""),"",ROUND(L220*K220,2)))</f>
        <v>0</v>
      </c>
      <c r="O220" s="20">
        <f>IF(A220="","",IF(N220="","",ROUND(N220/MAX(1,M220),2)))</f>
        <v>0</v>
      </c>
      <c r="P220" s="36">
        <f>IF(A220="","",IF(F220="","",ROUND(F220/MAX(1,M220),2)))</f>
        <v>0</v>
      </c>
      <c r="Q220" s="20">
        <f>IF(A220="","",IF(L220="","",ROUND(L220/MAX(1,M220)*SuppliesPerHour,2)))</f>
        <v>0</v>
      </c>
      <c r="R220" s="20">
        <f>IF(A220="","",ROUND(SUMIFS(Labor!$O$5:$O$304,Labor!$A$5:$A$304,A220),2))</f>
        <v>0</v>
      </c>
      <c r="S220" s="33">
        <f>IF(A220="","",IF(OR(O220="",R220="",R220=0),"",O220/R220))</f>
        <v>0</v>
      </c>
      <c r="T220" s="32">
        <f>IF(A220="","",COUNTIFS($A$5:A220,A220))</f>
        <v>0</v>
      </c>
      <c r="U220" s="13">
        <f>IF(A220="","",A220&amp;"|"&amp;T220)</f>
        <v>0</v>
      </c>
      <c r="V220" s="43">
        <f>IF(A220="","",IF(B220="Not found","Check - no such product ID",IF(OR(F220="",F220=0),"Add - how many minutes?",IF(C220="","Add - which stage?",IF(AND(G220="Per batch",H220=""),"Check - using the default batch size",IF(K220&lt;MinimumWage,"Check - below minimum wage","OK"))))))</f>
        <v>0</v>
      </c>
    </row>
    <row r="221" spans="2:22">
      <c r="B221" s="13">
        <f>IF(A221="","",IFERROR(INDEX(Products!$B$5:$B$304,MATCH(A221,Products!$A$5:$A$304,0)),"Not found"))</f>
        <v>0</v>
      </c>
      <c r="K221" s="20">
        <f>IF(A221="","",IF(E221&lt;&gt;"",E221,IF(D221="Employee",ROUND(EmployeeRate*(1+PayrollBurden),2),IF(OR(D221="Contractor",D221="Outsourced"),ROUND(ContractorRate*(1+PayrollBurden),2),LaborCostHour))))</f>
        <v>0</v>
      </c>
      <c r="L221" s="41">
        <f>IF(A221="","",IF(F221="","",ROUND(F221/60,3)))</f>
        <v>0</v>
      </c>
      <c r="M221" s="32">
        <f>IF(A221="","",IF(G221="Per batch",IF(OR(H221="",H221=0),DefaultBatchSize,H221),1))</f>
        <v>0</v>
      </c>
      <c r="N221" s="20">
        <f>IF(A221="","",IF(OR(L221="",K221=""),"",ROUND(L221*K221,2)))</f>
        <v>0</v>
      </c>
      <c r="O221" s="20">
        <f>IF(A221="","",IF(N221="","",ROUND(N221/MAX(1,M221),2)))</f>
        <v>0</v>
      </c>
      <c r="P221" s="36">
        <f>IF(A221="","",IF(F221="","",ROUND(F221/MAX(1,M221),2)))</f>
        <v>0</v>
      </c>
      <c r="Q221" s="20">
        <f>IF(A221="","",IF(L221="","",ROUND(L221/MAX(1,M221)*SuppliesPerHour,2)))</f>
        <v>0</v>
      </c>
      <c r="R221" s="20">
        <f>IF(A221="","",ROUND(SUMIFS(Labor!$O$5:$O$304,Labor!$A$5:$A$304,A221),2))</f>
        <v>0</v>
      </c>
      <c r="S221" s="33">
        <f>IF(A221="","",IF(OR(O221="",R221="",R221=0),"",O221/R221))</f>
        <v>0</v>
      </c>
      <c r="T221" s="32">
        <f>IF(A221="","",COUNTIFS($A$5:A221,A221))</f>
        <v>0</v>
      </c>
      <c r="U221" s="13">
        <f>IF(A221="","",A221&amp;"|"&amp;T221)</f>
        <v>0</v>
      </c>
      <c r="V221" s="43">
        <f>IF(A221="","",IF(B221="Not found","Check - no such product ID",IF(OR(F221="",F221=0),"Add - how many minutes?",IF(C221="","Add - which stage?",IF(AND(G221="Per batch",H221=""),"Check - using the default batch size",IF(K221&lt;MinimumWage,"Check - below minimum wage","OK"))))))</f>
        <v>0</v>
      </c>
    </row>
    <row r="222" spans="2:22">
      <c r="B222" s="13">
        <f>IF(A222="","",IFERROR(INDEX(Products!$B$5:$B$304,MATCH(A222,Products!$A$5:$A$304,0)),"Not found"))</f>
        <v>0</v>
      </c>
      <c r="K222" s="20">
        <f>IF(A222="","",IF(E222&lt;&gt;"",E222,IF(D222="Employee",ROUND(EmployeeRate*(1+PayrollBurden),2),IF(OR(D222="Contractor",D222="Outsourced"),ROUND(ContractorRate*(1+PayrollBurden),2),LaborCostHour))))</f>
        <v>0</v>
      </c>
      <c r="L222" s="41">
        <f>IF(A222="","",IF(F222="","",ROUND(F222/60,3)))</f>
        <v>0</v>
      </c>
      <c r="M222" s="32">
        <f>IF(A222="","",IF(G222="Per batch",IF(OR(H222="",H222=0),DefaultBatchSize,H222),1))</f>
        <v>0</v>
      </c>
      <c r="N222" s="20">
        <f>IF(A222="","",IF(OR(L222="",K222=""),"",ROUND(L222*K222,2)))</f>
        <v>0</v>
      </c>
      <c r="O222" s="20">
        <f>IF(A222="","",IF(N222="","",ROUND(N222/MAX(1,M222),2)))</f>
        <v>0</v>
      </c>
      <c r="P222" s="36">
        <f>IF(A222="","",IF(F222="","",ROUND(F222/MAX(1,M222),2)))</f>
        <v>0</v>
      </c>
      <c r="Q222" s="20">
        <f>IF(A222="","",IF(L222="","",ROUND(L222/MAX(1,M222)*SuppliesPerHour,2)))</f>
        <v>0</v>
      </c>
      <c r="R222" s="20">
        <f>IF(A222="","",ROUND(SUMIFS(Labor!$O$5:$O$304,Labor!$A$5:$A$304,A222),2))</f>
        <v>0</v>
      </c>
      <c r="S222" s="33">
        <f>IF(A222="","",IF(OR(O222="",R222="",R222=0),"",O222/R222))</f>
        <v>0</v>
      </c>
      <c r="T222" s="32">
        <f>IF(A222="","",COUNTIFS($A$5:A222,A222))</f>
        <v>0</v>
      </c>
      <c r="U222" s="13">
        <f>IF(A222="","",A222&amp;"|"&amp;T222)</f>
        <v>0</v>
      </c>
      <c r="V222" s="43">
        <f>IF(A222="","",IF(B222="Not found","Check - no such product ID",IF(OR(F222="",F222=0),"Add - how many minutes?",IF(C222="","Add - which stage?",IF(AND(G222="Per batch",H222=""),"Check - using the default batch size",IF(K222&lt;MinimumWage,"Check - below minimum wage","OK"))))))</f>
        <v>0</v>
      </c>
    </row>
    <row r="223" spans="2:22">
      <c r="B223" s="13">
        <f>IF(A223="","",IFERROR(INDEX(Products!$B$5:$B$304,MATCH(A223,Products!$A$5:$A$304,0)),"Not found"))</f>
        <v>0</v>
      </c>
      <c r="K223" s="20">
        <f>IF(A223="","",IF(E223&lt;&gt;"",E223,IF(D223="Employee",ROUND(EmployeeRate*(1+PayrollBurden),2),IF(OR(D223="Contractor",D223="Outsourced"),ROUND(ContractorRate*(1+PayrollBurden),2),LaborCostHour))))</f>
        <v>0</v>
      </c>
      <c r="L223" s="41">
        <f>IF(A223="","",IF(F223="","",ROUND(F223/60,3)))</f>
        <v>0</v>
      </c>
      <c r="M223" s="32">
        <f>IF(A223="","",IF(G223="Per batch",IF(OR(H223="",H223=0),DefaultBatchSize,H223),1))</f>
        <v>0</v>
      </c>
      <c r="N223" s="20">
        <f>IF(A223="","",IF(OR(L223="",K223=""),"",ROUND(L223*K223,2)))</f>
        <v>0</v>
      </c>
      <c r="O223" s="20">
        <f>IF(A223="","",IF(N223="","",ROUND(N223/MAX(1,M223),2)))</f>
        <v>0</v>
      </c>
      <c r="P223" s="36">
        <f>IF(A223="","",IF(F223="","",ROUND(F223/MAX(1,M223),2)))</f>
        <v>0</v>
      </c>
      <c r="Q223" s="20">
        <f>IF(A223="","",IF(L223="","",ROUND(L223/MAX(1,M223)*SuppliesPerHour,2)))</f>
        <v>0</v>
      </c>
      <c r="R223" s="20">
        <f>IF(A223="","",ROUND(SUMIFS(Labor!$O$5:$O$304,Labor!$A$5:$A$304,A223),2))</f>
        <v>0</v>
      </c>
      <c r="S223" s="33">
        <f>IF(A223="","",IF(OR(O223="",R223="",R223=0),"",O223/R223))</f>
        <v>0</v>
      </c>
      <c r="T223" s="32">
        <f>IF(A223="","",COUNTIFS($A$5:A223,A223))</f>
        <v>0</v>
      </c>
      <c r="U223" s="13">
        <f>IF(A223="","",A223&amp;"|"&amp;T223)</f>
        <v>0</v>
      </c>
      <c r="V223" s="43">
        <f>IF(A223="","",IF(B223="Not found","Check - no such product ID",IF(OR(F223="",F223=0),"Add - how many minutes?",IF(C223="","Add - which stage?",IF(AND(G223="Per batch",H223=""),"Check - using the default batch size",IF(K223&lt;MinimumWage,"Check - below minimum wage","OK"))))))</f>
        <v>0</v>
      </c>
    </row>
    <row r="224" spans="2:22">
      <c r="B224" s="13">
        <f>IF(A224="","",IFERROR(INDEX(Products!$B$5:$B$304,MATCH(A224,Products!$A$5:$A$304,0)),"Not found"))</f>
        <v>0</v>
      </c>
      <c r="K224" s="20">
        <f>IF(A224="","",IF(E224&lt;&gt;"",E224,IF(D224="Employee",ROUND(EmployeeRate*(1+PayrollBurden),2),IF(OR(D224="Contractor",D224="Outsourced"),ROUND(ContractorRate*(1+PayrollBurden),2),LaborCostHour))))</f>
        <v>0</v>
      </c>
      <c r="L224" s="41">
        <f>IF(A224="","",IF(F224="","",ROUND(F224/60,3)))</f>
        <v>0</v>
      </c>
      <c r="M224" s="32">
        <f>IF(A224="","",IF(G224="Per batch",IF(OR(H224="",H224=0),DefaultBatchSize,H224),1))</f>
        <v>0</v>
      </c>
      <c r="N224" s="20">
        <f>IF(A224="","",IF(OR(L224="",K224=""),"",ROUND(L224*K224,2)))</f>
        <v>0</v>
      </c>
      <c r="O224" s="20">
        <f>IF(A224="","",IF(N224="","",ROUND(N224/MAX(1,M224),2)))</f>
        <v>0</v>
      </c>
      <c r="P224" s="36">
        <f>IF(A224="","",IF(F224="","",ROUND(F224/MAX(1,M224),2)))</f>
        <v>0</v>
      </c>
      <c r="Q224" s="20">
        <f>IF(A224="","",IF(L224="","",ROUND(L224/MAX(1,M224)*SuppliesPerHour,2)))</f>
        <v>0</v>
      </c>
      <c r="R224" s="20">
        <f>IF(A224="","",ROUND(SUMIFS(Labor!$O$5:$O$304,Labor!$A$5:$A$304,A224),2))</f>
        <v>0</v>
      </c>
      <c r="S224" s="33">
        <f>IF(A224="","",IF(OR(O224="",R224="",R224=0),"",O224/R224))</f>
        <v>0</v>
      </c>
      <c r="T224" s="32">
        <f>IF(A224="","",COUNTIFS($A$5:A224,A224))</f>
        <v>0</v>
      </c>
      <c r="U224" s="13">
        <f>IF(A224="","",A224&amp;"|"&amp;T224)</f>
        <v>0</v>
      </c>
      <c r="V224" s="43">
        <f>IF(A224="","",IF(B224="Not found","Check - no such product ID",IF(OR(F224="",F224=0),"Add - how many minutes?",IF(C224="","Add - which stage?",IF(AND(G224="Per batch",H224=""),"Check - using the default batch size",IF(K224&lt;MinimumWage,"Check - below minimum wage","OK"))))))</f>
        <v>0</v>
      </c>
    </row>
    <row r="225" spans="2:22">
      <c r="B225" s="13">
        <f>IF(A225="","",IFERROR(INDEX(Products!$B$5:$B$304,MATCH(A225,Products!$A$5:$A$304,0)),"Not found"))</f>
        <v>0</v>
      </c>
      <c r="K225" s="20">
        <f>IF(A225="","",IF(E225&lt;&gt;"",E225,IF(D225="Employee",ROUND(EmployeeRate*(1+PayrollBurden),2),IF(OR(D225="Contractor",D225="Outsourced"),ROUND(ContractorRate*(1+PayrollBurden),2),LaborCostHour))))</f>
        <v>0</v>
      </c>
      <c r="L225" s="41">
        <f>IF(A225="","",IF(F225="","",ROUND(F225/60,3)))</f>
        <v>0</v>
      </c>
      <c r="M225" s="32">
        <f>IF(A225="","",IF(G225="Per batch",IF(OR(H225="",H225=0),DefaultBatchSize,H225),1))</f>
        <v>0</v>
      </c>
      <c r="N225" s="20">
        <f>IF(A225="","",IF(OR(L225="",K225=""),"",ROUND(L225*K225,2)))</f>
        <v>0</v>
      </c>
      <c r="O225" s="20">
        <f>IF(A225="","",IF(N225="","",ROUND(N225/MAX(1,M225),2)))</f>
        <v>0</v>
      </c>
      <c r="P225" s="36">
        <f>IF(A225="","",IF(F225="","",ROUND(F225/MAX(1,M225),2)))</f>
        <v>0</v>
      </c>
      <c r="Q225" s="20">
        <f>IF(A225="","",IF(L225="","",ROUND(L225/MAX(1,M225)*SuppliesPerHour,2)))</f>
        <v>0</v>
      </c>
      <c r="R225" s="20">
        <f>IF(A225="","",ROUND(SUMIFS(Labor!$O$5:$O$304,Labor!$A$5:$A$304,A225),2))</f>
        <v>0</v>
      </c>
      <c r="S225" s="33">
        <f>IF(A225="","",IF(OR(O225="",R225="",R225=0),"",O225/R225))</f>
        <v>0</v>
      </c>
      <c r="T225" s="32">
        <f>IF(A225="","",COUNTIFS($A$5:A225,A225))</f>
        <v>0</v>
      </c>
      <c r="U225" s="13">
        <f>IF(A225="","",A225&amp;"|"&amp;T225)</f>
        <v>0</v>
      </c>
      <c r="V225" s="43">
        <f>IF(A225="","",IF(B225="Not found","Check - no such product ID",IF(OR(F225="",F225=0),"Add - how many minutes?",IF(C225="","Add - which stage?",IF(AND(G225="Per batch",H225=""),"Check - using the default batch size",IF(K225&lt;MinimumWage,"Check - below minimum wage","OK"))))))</f>
        <v>0</v>
      </c>
    </row>
    <row r="226" spans="2:22">
      <c r="B226" s="13">
        <f>IF(A226="","",IFERROR(INDEX(Products!$B$5:$B$304,MATCH(A226,Products!$A$5:$A$304,0)),"Not found"))</f>
        <v>0</v>
      </c>
      <c r="K226" s="20">
        <f>IF(A226="","",IF(E226&lt;&gt;"",E226,IF(D226="Employee",ROUND(EmployeeRate*(1+PayrollBurden),2),IF(OR(D226="Contractor",D226="Outsourced"),ROUND(ContractorRate*(1+PayrollBurden),2),LaborCostHour))))</f>
        <v>0</v>
      </c>
      <c r="L226" s="41">
        <f>IF(A226="","",IF(F226="","",ROUND(F226/60,3)))</f>
        <v>0</v>
      </c>
      <c r="M226" s="32">
        <f>IF(A226="","",IF(G226="Per batch",IF(OR(H226="",H226=0),DefaultBatchSize,H226),1))</f>
        <v>0</v>
      </c>
      <c r="N226" s="20">
        <f>IF(A226="","",IF(OR(L226="",K226=""),"",ROUND(L226*K226,2)))</f>
        <v>0</v>
      </c>
      <c r="O226" s="20">
        <f>IF(A226="","",IF(N226="","",ROUND(N226/MAX(1,M226),2)))</f>
        <v>0</v>
      </c>
      <c r="P226" s="36">
        <f>IF(A226="","",IF(F226="","",ROUND(F226/MAX(1,M226),2)))</f>
        <v>0</v>
      </c>
      <c r="Q226" s="20">
        <f>IF(A226="","",IF(L226="","",ROUND(L226/MAX(1,M226)*SuppliesPerHour,2)))</f>
        <v>0</v>
      </c>
      <c r="R226" s="20">
        <f>IF(A226="","",ROUND(SUMIFS(Labor!$O$5:$O$304,Labor!$A$5:$A$304,A226),2))</f>
        <v>0</v>
      </c>
      <c r="S226" s="33">
        <f>IF(A226="","",IF(OR(O226="",R226="",R226=0),"",O226/R226))</f>
        <v>0</v>
      </c>
      <c r="T226" s="32">
        <f>IF(A226="","",COUNTIFS($A$5:A226,A226))</f>
        <v>0</v>
      </c>
      <c r="U226" s="13">
        <f>IF(A226="","",A226&amp;"|"&amp;T226)</f>
        <v>0</v>
      </c>
      <c r="V226" s="43">
        <f>IF(A226="","",IF(B226="Not found","Check - no such product ID",IF(OR(F226="",F226=0),"Add - how many minutes?",IF(C226="","Add - which stage?",IF(AND(G226="Per batch",H226=""),"Check - using the default batch size",IF(K226&lt;MinimumWage,"Check - below minimum wage","OK"))))))</f>
        <v>0</v>
      </c>
    </row>
    <row r="227" spans="2:22">
      <c r="B227" s="13">
        <f>IF(A227="","",IFERROR(INDEX(Products!$B$5:$B$304,MATCH(A227,Products!$A$5:$A$304,0)),"Not found"))</f>
        <v>0</v>
      </c>
      <c r="K227" s="20">
        <f>IF(A227="","",IF(E227&lt;&gt;"",E227,IF(D227="Employee",ROUND(EmployeeRate*(1+PayrollBurden),2),IF(OR(D227="Contractor",D227="Outsourced"),ROUND(ContractorRate*(1+PayrollBurden),2),LaborCostHour))))</f>
        <v>0</v>
      </c>
      <c r="L227" s="41">
        <f>IF(A227="","",IF(F227="","",ROUND(F227/60,3)))</f>
        <v>0</v>
      </c>
      <c r="M227" s="32">
        <f>IF(A227="","",IF(G227="Per batch",IF(OR(H227="",H227=0),DefaultBatchSize,H227),1))</f>
        <v>0</v>
      </c>
      <c r="N227" s="20">
        <f>IF(A227="","",IF(OR(L227="",K227=""),"",ROUND(L227*K227,2)))</f>
        <v>0</v>
      </c>
      <c r="O227" s="20">
        <f>IF(A227="","",IF(N227="","",ROUND(N227/MAX(1,M227),2)))</f>
        <v>0</v>
      </c>
      <c r="P227" s="36">
        <f>IF(A227="","",IF(F227="","",ROUND(F227/MAX(1,M227),2)))</f>
        <v>0</v>
      </c>
      <c r="Q227" s="20">
        <f>IF(A227="","",IF(L227="","",ROUND(L227/MAX(1,M227)*SuppliesPerHour,2)))</f>
        <v>0</v>
      </c>
      <c r="R227" s="20">
        <f>IF(A227="","",ROUND(SUMIFS(Labor!$O$5:$O$304,Labor!$A$5:$A$304,A227),2))</f>
        <v>0</v>
      </c>
      <c r="S227" s="33">
        <f>IF(A227="","",IF(OR(O227="",R227="",R227=0),"",O227/R227))</f>
        <v>0</v>
      </c>
      <c r="T227" s="32">
        <f>IF(A227="","",COUNTIFS($A$5:A227,A227))</f>
        <v>0</v>
      </c>
      <c r="U227" s="13">
        <f>IF(A227="","",A227&amp;"|"&amp;T227)</f>
        <v>0</v>
      </c>
      <c r="V227" s="43">
        <f>IF(A227="","",IF(B227="Not found","Check - no such product ID",IF(OR(F227="",F227=0),"Add - how many minutes?",IF(C227="","Add - which stage?",IF(AND(G227="Per batch",H227=""),"Check - using the default batch size",IF(K227&lt;MinimumWage,"Check - below minimum wage","OK"))))))</f>
        <v>0</v>
      </c>
    </row>
    <row r="228" spans="2:22">
      <c r="B228" s="13">
        <f>IF(A228="","",IFERROR(INDEX(Products!$B$5:$B$304,MATCH(A228,Products!$A$5:$A$304,0)),"Not found"))</f>
        <v>0</v>
      </c>
      <c r="K228" s="20">
        <f>IF(A228="","",IF(E228&lt;&gt;"",E228,IF(D228="Employee",ROUND(EmployeeRate*(1+PayrollBurden),2),IF(OR(D228="Contractor",D228="Outsourced"),ROUND(ContractorRate*(1+PayrollBurden),2),LaborCostHour))))</f>
        <v>0</v>
      </c>
      <c r="L228" s="41">
        <f>IF(A228="","",IF(F228="","",ROUND(F228/60,3)))</f>
        <v>0</v>
      </c>
      <c r="M228" s="32">
        <f>IF(A228="","",IF(G228="Per batch",IF(OR(H228="",H228=0),DefaultBatchSize,H228),1))</f>
        <v>0</v>
      </c>
      <c r="N228" s="20">
        <f>IF(A228="","",IF(OR(L228="",K228=""),"",ROUND(L228*K228,2)))</f>
        <v>0</v>
      </c>
      <c r="O228" s="20">
        <f>IF(A228="","",IF(N228="","",ROUND(N228/MAX(1,M228),2)))</f>
        <v>0</v>
      </c>
      <c r="P228" s="36">
        <f>IF(A228="","",IF(F228="","",ROUND(F228/MAX(1,M228),2)))</f>
        <v>0</v>
      </c>
      <c r="Q228" s="20">
        <f>IF(A228="","",IF(L228="","",ROUND(L228/MAX(1,M228)*SuppliesPerHour,2)))</f>
        <v>0</v>
      </c>
      <c r="R228" s="20">
        <f>IF(A228="","",ROUND(SUMIFS(Labor!$O$5:$O$304,Labor!$A$5:$A$304,A228),2))</f>
        <v>0</v>
      </c>
      <c r="S228" s="33">
        <f>IF(A228="","",IF(OR(O228="",R228="",R228=0),"",O228/R228))</f>
        <v>0</v>
      </c>
      <c r="T228" s="32">
        <f>IF(A228="","",COUNTIFS($A$5:A228,A228))</f>
        <v>0</v>
      </c>
      <c r="U228" s="13">
        <f>IF(A228="","",A228&amp;"|"&amp;T228)</f>
        <v>0</v>
      </c>
      <c r="V228" s="43">
        <f>IF(A228="","",IF(B228="Not found","Check - no such product ID",IF(OR(F228="",F228=0),"Add - how many minutes?",IF(C228="","Add - which stage?",IF(AND(G228="Per batch",H228=""),"Check - using the default batch size",IF(K228&lt;MinimumWage,"Check - below minimum wage","OK"))))))</f>
        <v>0</v>
      </c>
    </row>
    <row r="229" spans="2:22">
      <c r="B229" s="13">
        <f>IF(A229="","",IFERROR(INDEX(Products!$B$5:$B$304,MATCH(A229,Products!$A$5:$A$304,0)),"Not found"))</f>
        <v>0</v>
      </c>
      <c r="K229" s="20">
        <f>IF(A229="","",IF(E229&lt;&gt;"",E229,IF(D229="Employee",ROUND(EmployeeRate*(1+PayrollBurden),2),IF(OR(D229="Contractor",D229="Outsourced"),ROUND(ContractorRate*(1+PayrollBurden),2),LaborCostHour))))</f>
        <v>0</v>
      </c>
      <c r="L229" s="41">
        <f>IF(A229="","",IF(F229="","",ROUND(F229/60,3)))</f>
        <v>0</v>
      </c>
      <c r="M229" s="32">
        <f>IF(A229="","",IF(G229="Per batch",IF(OR(H229="",H229=0),DefaultBatchSize,H229),1))</f>
        <v>0</v>
      </c>
      <c r="N229" s="20">
        <f>IF(A229="","",IF(OR(L229="",K229=""),"",ROUND(L229*K229,2)))</f>
        <v>0</v>
      </c>
      <c r="O229" s="20">
        <f>IF(A229="","",IF(N229="","",ROUND(N229/MAX(1,M229),2)))</f>
        <v>0</v>
      </c>
      <c r="P229" s="36">
        <f>IF(A229="","",IF(F229="","",ROUND(F229/MAX(1,M229),2)))</f>
        <v>0</v>
      </c>
      <c r="Q229" s="20">
        <f>IF(A229="","",IF(L229="","",ROUND(L229/MAX(1,M229)*SuppliesPerHour,2)))</f>
        <v>0</v>
      </c>
      <c r="R229" s="20">
        <f>IF(A229="","",ROUND(SUMIFS(Labor!$O$5:$O$304,Labor!$A$5:$A$304,A229),2))</f>
        <v>0</v>
      </c>
      <c r="S229" s="33">
        <f>IF(A229="","",IF(OR(O229="",R229="",R229=0),"",O229/R229))</f>
        <v>0</v>
      </c>
      <c r="T229" s="32">
        <f>IF(A229="","",COUNTIFS($A$5:A229,A229))</f>
        <v>0</v>
      </c>
      <c r="U229" s="13">
        <f>IF(A229="","",A229&amp;"|"&amp;T229)</f>
        <v>0</v>
      </c>
      <c r="V229" s="43">
        <f>IF(A229="","",IF(B229="Not found","Check - no such product ID",IF(OR(F229="",F229=0),"Add - how many minutes?",IF(C229="","Add - which stage?",IF(AND(G229="Per batch",H229=""),"Check - using the default batch size",IF(K229&lt;MinimumWage,"Check - below minimum wage","OK"))))))</f>
        <v>0</v>
      </c>
    </row>
    <row r="230" spans="2:22">
      <c r="B230" s="13">
        <f>IF(A230="","",IFERROR(INDEX(Products!$B$5:$B$304,MATCH(A230,Products!$A$5:$A$304,0)),"Not found"))</f>
        <v>0</v>
      </c>
      <c r="K230" s="20">
        <f>IF(A230="","",IF(E230&lt;&gt;"",E230,IF(D230="Employee",ROUND(EmployeeRate*(1+PayrollBurden),2),IF(OR(D230="Contractor",D230="Outsourced"),ROUND(ContractorRate*(1+PayrollBurden),2),LaborCostHour))))</f>
        <v>0</v>
      </c>
      <c r="L230" s="41">
        <f>IF(A230="","",IF(F230="","",ROUND(F230/60,3)))</f>
        <v>0</v>
      </c>
      <c r="M230" s="32">
        <f>IF(A230="","",IF(G230="Per batch",IF(OR(H230="",H230=0),DefaultBatchSize,H230),1))</f>
        <v>0</v>
      </c>
      <c r="N230" s="20">
        <f>IF(A230="","",IF(OR(L230="",K230=""),"",ROUND(L230*K230,2)))</f>
        <v>0</v>
      </c>
      <c r="O230" s="20">
        <f>IF(A230="","",IF(N230="","",ROUND(N230/MAX(1,M230),2)))</f>
        <v>0</v>
      </c>
      <c r="P230" s="36">
        <f>IF(A230="","",IF(F230="","",ROUND(F230/MAX(1,M230),2)))</f>
        <v>0</v>
      </c>
      <c r="Q230" s="20">
        <f>IF(A230="","",IF(L230="","",ROUND(L230/MAX(1,M230)*SuppliesPerHour,2)))</f>
        <v>0</v>
      </c>
      <c r="R230" s="20">
        <f>IF(A230="","",ROUND(SUMIFS(Labor!$O$5:$O$304,Labor!$A$5:$A$304,A230),2))</f>
        <v>0</v>
      </c>
      <c r="S230" s="33">
        <f>IF(A230="","",IF(OR(O230="",R230="",R230=0),"",O230/R230))</f>
        <v>0</v>
      </c>
      <c r="T230" s="32">
        <f>IF(A230="","",COUNTIFS($A$5:A230,A230))</f>
        <v>0</v>
      </c>
      <c r="U230" s="13">
        <f>IF(A230="","",A230&amp;"|"&amp;T230)</f>
        <v>0</v>
      </c>
      <c r="V230" s="43">
        <f>IF(A230="","",IF(B230="Not found","Check - no such product ID",IF(OR(F230="",F230=0),"Add - how many minutes?",IF(C230="","Add - which stage?",IF(AND(G230="Per batch",H230=""),"Check - using the default batch size",IF(K230&lt;MinimumWage,"Check - below minimum wage","OK"))))))</f>
        <v>0</v>
      </c>
    </row>
    <row r="231" spans="2:22">
      <c r="B231" s="13">
        <f>IF(A231="","",IFERROR(INDEX(Products!$B$5:$B$304,MATCH(A231,Products!$A$5:$A$304,0)),"Not found"))</f>
        <v>0</v>
      </c>
      <c r="K231" s="20">
        <f>IF(A231="","",IF(E231&lt;&gt;"",E231,IF(D231="Employee",ROUND(EmployeeRate*(1+PayrollBurden),2),IF(OR(D231="Contractor",D231="Outsourced"),ROUND(ContractorRate*(1+PayrollBurden),2),LaborCostHour))))</f>
        <v>0</v>
      </c>
      <c r="L231" s="41">
        <f>IF(A231="","",IF(F231="","",ROUND(F231/60,3)))</f>
        <v>0</v>
      </c>
      <c r="M231" s="32">
        <f>IF(A231="","",IF(G231="Per batch",IF(OR(H231="",H231=0),DefaultBatchSize,H231),1))</f>
        <v>0</v>
      </c>
      <c r="N231" s="20">
        <f>IF(A231="","",IF(OR(L231="",K231=""),"",ROUND(L231*K231,2)))</f>
        <v>0</v>
      </c>
      <c r="O231" s="20">
        <f>IF(A231="","",IF(N231="","",ROUND(N231/MAX(1,M231),2)))</f>
        <v>0</v>
      </c>
      <c r="P231" s="36">
        <f>IF(A231="","",IF(F231="","",ROUND(F231/MAX(1,M231),2)))</f>
        <v>0</v>
      </c>
      <c r="Q231" s="20">
        <f>IF(A231="","",IF(L231="","",ROUND(L231/MAX(1,M231)*SuppliesPerHour,2)))</f>
        <v>0</v>
      </c>
      <c r="R231" s="20">
        <f>IF(A231="","",ROUND(SUMIFS(Labor!$O$5:$O$304,Labor!$A$5:$A$304,A231),2))</f>
        <v>0</v>
      </c>
      <c r="S231" s="33">
        <f>IF(A231="","",IF(OR(O231="",R231="",R231=0),"",O231/R231))</f>
        <v>0</v>
      </c>
      <c r="T231" s="32">
        <f>IF(A231="","",COUNTIFS($A$5:A231,A231))</f>
        <v>0</v>
      </c>
      <c r="U231" s="13">
        <f>IF(A231="","",A231&amp;"|"&amp;T231)</f>
        <v>0</v>
      </c>
      <c r="V231" s="43">
        <f>IF(A231="","",IF(B231="Not found","Check - no such product ID",IF(OR(F231="",F231=0),"Add - how many minutes?",IF(C231="","Add - which stage?",IF(AND(G231="Per batch",H231=""),"Check - using the default batch size",IF(K231&lt;MinimumWage,"Check - below minimum wage","OK"))))))</f>
        <v>0</v>
      </c>
    </row>
    <row r="232" spans="2:22">
      <c r="B232" s="13">
        <f>IF(A232="","",IFERROR(INDEX(Products!$B$5:$B$304,MATCH(A232,Products!$A$5:$A$304,0)),"Not found"))</f>
        <v>0</v>
      </c>
      <c r="K232" s="20">
        <f>IF(A232="","",IF(E232&lt;&gt;"",E232,IF(D232="Employee",ROUND(EmployeeRate*(1+PayrollBurden),2),IF(OR(D232="Contractor",D232="Outsourced"),ROUND(ContractorRate*(1+PayrollBurden),2),LaborCostHour))))</f>
        <v>0</v>
      </c>
      <c r="L232" s="41">
        <f>IF(A232="","",IF(F232="","",ROUND(F232/60,3)))</f>
        <v>0</v>
      </c>
      <c r="M232" s="32">
        <f>IF(A232="","",IF(G232="Per batch",IF(OR(H232="",H232=0),DefaultBatchSize,H232),1))</f>
        <v>0</v>
      </c>
      <c r="N232" s="20">
        <f>IF(A232="","",IF(OR(L232="",K232=""),"",ROUND(L232*K232,2)))</f>
        <v>0</v>
      </c>
      <c r="O232" s="20">
        <f>IF(A232="","",IF(N232="","",ROUND(N232/MAX(1,M232),2)))</f>
        <v>0</v>
      </c>
      <c r="P232" s="36">
        <f>IF(A232="","",IF(F232="","",ROUND(F232/MAX(1,M232),2)))</f>
        <v>0</v>
      </c>
      <c r="Q232" s="20">
        <f>IF(A232="","",IF(L232="","",ROUND(L232/MAX(1,M232)*SuppliesPerHour,2)))</f>
        <v>0</v>
      </c>
      <c r="R232" s="20">
        <f>IF(A232="","",ROUND(SUMIFS(Labor!$O$5:$O$304,Labor!$A$5:$A$304,A232),2))</f>
        <v>0</v>
      </c>
      <c r="S232" s="33">
        <f>IF(A232="","",IF(OR(O232="",R232="",R232=0),"",O232/R232))</f>
        <v>0</v>
      </c>
      <c r="T232" s="32">
        <f>IF(A232="","",COUNTIFS($A$5:A232,A232))</f>
        <v>0</v>
      </c>
      <c r="U232" s="13">
        <f>IF(A232="","",A232&amp;"|"&amp;T232)</f>
        <v>0</v>
      </c>
      <c r="V232" s="43">
        <f>IF(A232="","",IF(B232="Not found","Check - no such product ID",IF(OR(F232="",F232=0),"Add - how many minutes?",IF(C232="","Add - which stage?",IF(AND(G232="Per batch",H232=""),"Check - using the default batch size",IF(K232&lt;MinimumWage,"Check - below minimum wage","OK"))))))</f>
        <v>0</v>
      </c>
    </row>
    <row r="233" spans="2:22">
      <c r="B233" s="13">
        <f>IF(A233="","",IFERROR(INDEX(Products!$B$5:$B$304,MATCH(A233,Products!$A$5:$A$304,0)),"Not found"))</f>
        <v>0</v>
      </c>
      <c r="K233" s="20">
        <f>IF(A233="","",IF(E233&lt;&gt;"",E233,IF(D233="Employee",ROUND(EmployeeRate*(1+PayrollBurden),2),IF(OR(D233="Contractor",D233="Outsourced"),ROUND(ContractorRate*(1+PayrollBurden),2),LaborCostHour))))</f>
        <v>0</v>
      </c>
      <c r="L233" s="41">
        <f>IF(A233="","",IF(F233="","",ROUND(F233/60,3)))</f>
        <v>0</v>
      </c>
      <c r="M233" s="32">
        <f>IF(A233="","",IF(G233="Per batch",IF(OR(H233="",H233=0),DefaultBatchSize,H233),1))</f>
        <v>0</v>
      </c>
      <c r="N233" s="20">
        <f>IF(A233="","",IF(OR(L233="",K233=""),"",ROUND(L233*K233,2)))</f>
        <v>0</v>
      </c>
      <c r="O233" s="20">
        <f>IF(A233="","",IF(N233="","",ROUND(N233/MAX(1,M233),2)))</f>
        <v>0</v>
      </c>
      <c r="P233" s="36">
        <f>IF(A233="","",IF(F233="","",ROUND(F233/MAX(1,M233),2)))</f>
        <v>0</v>
      </c>
      <c r="Q233" s="20">
        <f>IF(A233="","",IF(L233="","",ROUND(L233/MAX(1,M233)*SuppliesPerHour,2)))</f>
        <v>0</v>
      </c>
      <c r="R233" s="20">
        <f>IF(A233="","",ROUND(SUMIFS(Labor!$O$5:$O$304,Labor!$A$5:$A$304,A233),2))</f>
        <v>0</v>
      </c>
      <c r="S233" s="33">
        <f>IF(A233="","",IF(OR(O233="",R233="",R233=0),"",O233/R233))</f>
        <v>0</v>
      </c>
      <c r="T233" s="32">
        <f>IF(A233="","",COUNTIFS($A$5:A233,A233))</f>
        <v>0</v>
      </c>
      <c r="U233" s="13">
        <f>IF(A233="","",A233&amp;"|"&amp;T233)</f>
        <v>0</v>
      </c>
      <c r="V233" s="43">
        <f>IF(A233="","",IF(B233="Not found","Check - no such product ID",IF(OR(F233="",F233=0),"Add - how many minutes?",IF(C233="","Add - which stage?",IF(AND(G233="Per batch",H233=""),"Check - using the default batch size",IF(K233&lt;MinimumWage,"Check - below minimum wage","OK"))))))</f>
        <v>0</v>
      </c>
    </row>
    <row r="234" spans="2:22">
      <c r="B234" s="13">
        <f>IF(A234="","",IFERROR(INDEX(Products!$B$5:$B$304,MATCH(A234,Products!$A$5:$A$304,0)),"Not found"))</f>
        <v>0</v>
      </c>
      <c r="K234" s="20">
        <f>IF(A234="","",IF(E234&lt;&gt;"",E234,IF(D234="Employee",ROUND(EmployeeRate*(1+PayrollBurden),2),IF(OR(D234="Contractor",D234="Outsourced"),ROUND(ContractorRate*(1+PayrollBurden),2),LaborCostHour))))</f>
        <v>0</v>
      </c>
      <c r="L234" s="41">
        <f>IF(A234="","",IF(F234="","",ROUND(F234/60,3)))</f>
        <v>0</v>
      </c>
      <c r="M234" s="32">
        <f>IF(A234="","",IF(G234="Per batch",IF(OR(H234="",H234=0),DefaultBatchSize,H234),1))</f>
        <v>0</v>
      </c>
      <c r="N234" s="20">
        <f>IF(A234="","",IF(OR(L234="",K234=""),"",ROUND(L234*K234,2)))</f>
        <v>0</v>
      </c>
      <c r="O234" s="20">
        <f>IF(A234="","",IF(N234="","",ROUND(N234/MAX(1,M234),2)))</f>
        <v>0</v>
      </c>
      <c r="P234" s="36">
        <f>IF(A234="","",IF(F234="","",ROUND(F234/MAX(1,M234),2)))</f>
        <v>0</v>
      </c>
      <c r="Q234" s="20">
        <f>IF(A234="","",IF(L234="","",ROUND(L234/MAX(1,M234)*SuppliesPerHour,2)))</f>
        <v>0</v>
      </c>
      <c r="R234" s="20">
        <f>IF(A234="","",ROUND(SUMIFS(Labor!$O$5:$O$304,Labor!$A$5:$A$304,A234),2))</f>
        <v>0</v>
      </c>
      <c r="S234" s="33">
        <f>IF(A234="","",IF(OR(O234="",R234="",R234=0),"",O234/R234))</f>
        <v>0</v>
      </c>
      <c r="T234" s="32">
        <f>IF(A234="","",COUNTIFS($A$5:A234,A234))</f>
        <v>0</v>
      </c>
      <c r="U234" s="13">
        <f>IF(A234="","",A234&amp;"|"&amp;T234)</f>
        <v>0</v>
      </c>
      <c r="V234" s="43">
        <f>IF(A234="","",IF(B234="Not found","Check - no such product ID",IF(OR(F234="",F234=0),"Add - how many minutes?",IF(C234="","Add - which stage?",IF(AND(G234="Per batch",H234=""),"Check - using the default batch size",IF(K234&lt;MinimumWage,"Check - below minimum wage","OK"))))))</f>
        <v>0</v>
      </c>
    </row>
    <row r="235" spans="2:22">
      <c r="B235" s="13">
        <f>IF(A235="","",IFERROR(INDEX(Products!$B$5:$B$304,MATCH(A235,Products!$A$5:$A$304,0)),"Not found"))</f>
        <v>0</v>
      </c>
      <c r="K235" s="20">
        <f>IF(A235="","",IF(E235&lt;&gt;"",E235,IF(D235="Employee",ROUND(EmployeeRate*(1+PayrollBurden),2),IF(OR(D235="Contractor",D235="Outsourced"),ROUND(ContractorRate*(1+PayrollBurden),2),LaborCostHour))))</f>
        <v>0</v>
      </c>
      <c r="L235" s="41">
        <f>IF(A235="","",IF(F235="","",ROUND(F235/60,3)))</f>
        <v>0</v>
      </c>
      <c r="M235" s="32">
        <f>IF(A235="","",IF(G235="Per batch",IF(OR(H235="",H235=0),DefaultBatchSize,H235),1))</f>
        <v>0</v>
      </c>
      <c r="N235" s="20">
        <f>IF(A235="","",IF(OR(L235="",K235=""),"",ROUND(L235*K235,2)))</f>
        <v>0</v>
      </c>
      <c r="O235" s="20">
        <f>IF(A235="","",IF(N235="","",ROUND(N235/MAX(1,M235),2)))</f>
        <v>0</v>
      </c>
      <c r="P235" s="36">
        <f>IF(A235="","",IF(F235="","",ROUND(F235/MAX(1,M235),2)))</f>
        <v>0</v>
      </c>
      <c r="Q235" s="20">
        <f>IF(A235="","",IF(L235="","",ROUND(L235/MAX(1,M235)*SuppliesPerHour,2)))</f>
        <v>0</v>
      </c>
      <c r="R235" s="20">
        <f>IF(A235="","",ROUND(SUMIFS(Labor!$O$5:$O$304,Labor!$A$5:$A$304,A235),2))</f>
        <v>0</v>
      </c>
      <c r="S235" s="33">
        <f>IF(A235="","",IF(OR(O235="",R235="",R235=0),"",O235/R235))</f>
        <v>0</v>
      </c>
      <c r="T235" s="32">
        <f>IF(A235="","",COUNTIFS($A$5:A235,A235))</f>
        <v>0</v>
      </c>
      <c r="U235" s="13">
        <f>IF(A235="","",A235&amp;"|"&amp;T235)</f>
        <v>0</v>
      </c>
      <c r="V235" s="43">
        <f>IF(A235="","",IF(B235="Not found","Check - no such product ID",IF(OR(F235="",F235=0),"Add - how many minutes?",IF(C235="","Add - which stage?",IF(AND(G235="Per batch",H235=""),"Check - using the default batch size",IF(K235&lt;MinimumWage,"Check - below minimum wage","OK"))))))</f>
        <v>0</v>
      </c>
    </row>
    <row r="236" spans="2:22">
      <c r="B236" s="13">
        <f>IF(A236="","",IFERROR(INDEX(Products!$B$5:$B$304,MATCH(A236,Products!$A$5:$A$304,0)),"Not found"))</f>
        <v>0</v>
      </c>
      <c r="K236" s="20">
        <f>IF(A236="","",IF(E236&lt;&gt;"",E236,IF(D236="Employee",ROUND(EmployeeRate*(1+PayrollBurden),2),IF(OR(D236="Contractor",D236="Outsourced"),ROUND(ContractorRate*(1+PayrollBurden),2),LaborCostHour))))</f>
        <v>0</v>
      </c>
      <c r="L236" s="41">
        <f>IF(A236="","",IF(F236="","",ROUND(F236/60,3)))</f>
        <v>0</v>
      </c>
      <c r="M236" s="32">
        <f>IF(A236="","",IF(G236="Per batch",IF(OR(H236="",H236=0),DefaultBatchSize,H236),1))</f>
        <v>0</v>
      </c>
      <c r="N236" s="20">
        <f>IF(A236="","",IF(OR(L236="",K236=""),"",ROUND(L236*K236,2)))</f>
        <v>0</v>
      </c>
      <c r="O236" s="20">
        <f>IF(A236="","",IF(N236="","",ROUND(N236/MAX(1,M236),2)))</f>
        <v>0</v>
      </c>
      <c r="P236" s="36">
        <f>IF(A236="","",IF(F236="","",ROUND(F236/MAX(1,M236),2)))</f>
        <v>0</v>
      </c>
      <c r="Q236" s="20">
        <f>IF(A236="","",IF(L236="","",ROUND(L236/MAX(1,M236)*SuppliesPerHour,2)))</f>
        <v>0</v>
      </c>
      <c r="R236" s="20">
        <f>IF(A236="","",ROUND(SUMIFS(Labor!$O$5:$O$304,Labor!$A$5:$A$304,A236),2))</f>
        <v>0</v>
      </c>
      <c r="S236" s="33">
        <f>IF(A236="","",IF(OR(O236="",R236="",R236=0),"",O236/R236))</f>
        <v>0</v>
      </c>
      <c r="T236" s="32">
        <f>IF(A236="","",COUNTIFS($A$5:A236,A236))</f>
        <v>0</v>
      </c>
      <c r="U236" s="13">
        <f>IF(A236="","",A236&amp;"|"&amp;T236)</f>
        <v>0</v>
      </c>
      <c r="V236" s="43">
        <f>IF(A236="","",IF(B236="Not found","Check - no such product ID",IF(OR(F236="",F236=0),"Add - how many minutes?",IF(C236="","Add - which stage?",IF(AND(G236="Per batch",H236=""),"Check - using the default batch size",IF(K236&lt;MinimumWage,"Check - below minimum wage","OK"))))))</f>
        <v>0</v>
      </c>
    </row>
    <row r="237" spans="2:22">
      <c r="B237" s="13">
        <f>IF(A237="","",IFERROR(INDEX(Products!$B$5:$B$304,MATCH(A237,Products!$A$5:$A$304,0)),"Not found"))</f>
        <v>0</v>
      </c>
      <c r="K237" s="20">
        <f>IF(A237="","",IF(E237&lt;&gt;"",E237,IF(D237="Employee",ROUND(EmployeeRate*(1+PayrollBurden),2),IF(OR(D237="Contractor",D237="Outsourced"),ROUND(ContractorRate*(1+PayrollBurden),2),LaborCostHour))))</f>
        <v>0</v>
      </c>
      <c r="L237" s="41">
        <f>IF(A237="","",IF(F237="","",ROUND(F237/60,3)))</f>
        <v>0</v>
      </c>
      <c r="M237" s="32">
        <f>IF(A237="","",IF(G237="Per batch",IF(OR(H237="",H237=0),DefaultBatchSize,H237),1))</f>
        <v>0</v>
      </c>
      <c r="N237" s="20">
        <f>IF(A237="","",IF(OR(L237="",K237=""),"",ROUND(L237*K237,2)))</f>
        <v>0</v>
      </c>
      <c r="O237" s="20">
        <f>IF(A237="","",IF(N237="","",ROUND(N237/MAX(1,M237),2)))</f>
        <v>0</v>
      </c>
      <c r="P237" s="36">
        <f>IF(A237="","",IF(F237="","",ROUND(F237/MAX(1,M237),2)))</f>
        <v>0</v>
      </c>
      <c r="Q237" s="20">
        <f>IF(A237="","",IF(L237="","",ROUND(L237/MAX(1,M237)*SuppliesPerHour,2)))</f>
        <v>0</v>
      </c>
      <c r="R237" s="20">
        <f>IF(A237="","",ROUND(SUMIFS(Labor!$O$5:$O$304,Labor!$A$5:$A$304,A237),2))</f>
        <v>0</v>
      </c>
      <c r="S237" s="33">
        <f>IF(A237="","",IF(OR(O237="",R237="",R237=0),"",O237/R237))</f>
        <v>0</v>
      </c>
      <c r="T237" s="32">
        <f>IF(A237="","",COUNTIFS($A$5:A237,A237))</f>
        <v>0</v>
      </c>
      <c r="U237" s="13">
        <f>IF(A237="","",A237&amp;"|"&amp;T237)</f>
        <v>0</v>
      </c>
      <c r="V237" s="43">
        <f>IF(A237="","",IF(B237="Not found","Check - no such product ID",IF(OR(F237="",F237=0),"Add - how many minutes?",IF(C237="","Add - which stage?",IF(AND(G237="Per batch",H237=""),"Check - using the default batch size",IF(K237&lt;MinimumWage,"Check - below minimum wage","OK"))))))</f>
        <v>0</v>
      </c>
    </row>
    <row r="238" spans="2:22">
      <c r="B238" s="13">
        <f>IF(A238="","",IFERROR(INDEX(Products!$B$5:$B$304,MATCH(A238,Products!$A$5:$A$304,0)),"Not found"))</f>
        <v>0</v>
      </c>
      <c r="K238" s="20">
        <f>IF(A238="","",IF(E238&lt;&gt;"",E238,IF(D238="Employee",ROUND(EmployeeRate*(1+PayrollBurden),2),IF(OR(D238="Contractor",D238="Outsourced"),ROUND(ContractorRate*(1+PayrollBurden),2),LaborCostHour))))</f>
        <v>0</v>
      </c>
      <c r="L238" s="41">
        <f>IF(A238="","",IF(F238="","",ROUND(F238/60,3)))</f>
        <v>0</v>
      </c>
      <c r="M238" s="32">
        <f>IF(A238="","",IF(G238="Per batch",IF(OR(H238="",H238=0),DefaultBatchSize,H238),1))</f>
        <v>0</v>
      </c>
      <c r="N238" s="20">
        <f>IF(A238="","",IF(OR(L238="",K238=""),"",ROUND(L238*K238,2)))</f>
        <v>0</v>
      </c>
      <c r="O238" s="20">
        <f>IF(A238="","",IF(N238="","",ROUND(N238/MAX(1,M238),2)))</f>
        <v>0</v>
      </c>
      <c r="P238" s="36">
        <f>IF(A238="","",IF(F238="","",ROUND(F238/MAX(1,M238),2)))</f>
        <v>0</v>
      </c>
      <c r="Q238" s="20">
        <f>IF(A238="","",IF(L238="","",ROUND(L238/MAX(1,M238)*SuppliesPerHour,2)))</f>
        <v>0</v>
      </c>
      <c r="R238" s="20">
        <f>IF(A238="","",ROUND(SUMIFS(Labor!$O$5:$O$304,Labor!$A$5:$A$304,A238),2))</f>
        <v>0</v>
      </c>
      <c r="S238" s="33">
        <f>IF(A238="","",IF(OR(O238="",R238="",R238=0),"",O238/R238))</f>
        <v>0</v>
      </c>
      <c r="T238" s="32">
        <f>IF(A238="","",COUNTIFS($A$5:A238,A238))</f>
        <v>0</v>
      </c>
      <c r="U238" s="13">
        <f>IF(A238="","",A238&amp;"|"&amp;T238)</f>
        <v>0</v>
      </c>
      <c r="V238" s="43">
        <f>IF(A238="","",IF(B238="Not found","Check - no such product ID",IF(OR(F238="",F238=0),"Add - how many minutes?",IF(C238="","Add - which stage?",IF(AND(G238="Per batch",H238=""),"Check - using the default batch size",IF(K238&lt;MinimumWage,"Check - below minimum wage","OK"))))))</f>
        <v>0</v>
      </c>
    </row>
    <row r="239" spans="2:22">
      <c r="B239" s="13">
        <f>IF(A239="","",IFERROR(INDEX(Products!$B$5:$B$304,MATCH(A239,Products!$A$5:$A$304,0)),"Not found"))</f>
        <v>0</v>
      </c>
      <c r="K239" s="20">
        <f>IF(A239="","",IF(E239&lt;&gt;"",E239,IF(D239="Employee",ROUND(EmployeeRate*(1+PayrollBurden),2),IF(OR(D239="Contractor",D239="Outsourced"),ROUND(ContractorRate*(1+PayrollBurden),2),LaborCostHour))))</f>
        <v>0</v>
      </c>
      <c r="L239" s="41">
        <f>IF(A239="","",IF(F239="","",ROUND(F239/60,3)))</f>
        <v>0</v>
      </c>
      <c r="M239" s="32">
        <f>IF(A239="","",IF(G239="Per batch",IF(OR(H239="",H239=0),DefaultBatchSize,H239),1))</f>
        <v>0</v>
      </c>
      <c r="N239" s="20">
        <f>IF(A239="","",IF(OR(L239="",K239=""),"",ROUND(L239*K239,2)))</f>
        <v>0</v>
      </c>
      <c r="O239" s="20">
        <f>IF(A239="","",IF(N239="","",ROUND(N239/MAX(1,M239),2)))</f>
        <v>0</v>
      </c>
      <c r="P239" s="36">
        <f>IF(A239="","",IF(F239="","",ROUND(F239/MAX(1,M239),2)))</f>
        <v>0</v>
      </c>
      <c r="Q239" s="20">
        <f>IF(A239="","",IF(L239="","",ROUND(L239/MAX(1,M239)*SuppliesPerHour,2)))</f>
        <v>0</v>
      </c>
      <c r="R239" s="20">
        <f>IF(A239="","",ROUND(SUMIFS(Labor!$O$5:$O$304,Labor!$A$5:$A$304,A239),2))</f>
        <v>0</v>
      </c>
      <c r="S239" s="33">
        <f>IF(A239="","",IF(OR(O239="",R239="",R239=0),"",O239/R239))</f>
        <v>0</v>
      </c>
      <c r="T239" s="32">
        <f>IF(A239="","",COUNTIFS($A$5:A239,A239))</f>
        <v>0</v>
      </c>
      <c r="U239" s="13">
        <f>IF(A239="","",A239&amp;"|"&amp;T239)</f>
        <v>0</v>
      </c>
      <c r="V239" s="43">
        <f>IF(A239="","",IF(B239="Not found","Check - no such product ID",IF(OR(F239="",F239=0),"Add - how many minutes?",IF(C239="","Add - which stage?",IF(AND(G239="Per batch",H239=""),"Check - using the default batch size",IF(K239&lt;MinimumWage,"Check - below minimum wage","OK"))))))</f>
        <v>0</v>
      </c>
    </row>
    <row r="240" spans="2:22">
      <c r="B240" s="13">
        <f>IF(A240="","",IFERROR(INDEX(Products!$B$5:$B$304,MATCH(A240,Products!$A$5:$A$304,0)),"Not found"))</f>
        <v>0</v>
      </c>
      <c r="K240" s="20">
        <f>IF(A240="","",IF(E240&lt;&gt;"",E240,IF(D240="Employee",ROUND(EmployeeRate*(1+PayrollBurden),2),IF(OR(D240="Contractor",D240="Outsourced"),ROUND(ContractorRate*(1+PayrollBurden),2),LaborCostHour))))</f>
        <v>0</v>
      </c>
      <c r="L240" s="41">
        <f>IF(A240="","",IF(F240="","",ROUND(F240/60,3)))</f>
        <v>0</v>
      </c>
      <c r="M240" s="32">
        <f>IF(A240="","",IF(G240="Per batch",IF(OR(H240="",H240=0),DefaultBatchSize,H240),1))</f>
        <v>0</v>
      </c>
      <c r="N240" s="20">
        <f>IF(A240="","",IF(OR(L240="",K240=""),"",ROUND(L240*K240,2)))</f>
        <v>0</v>
      </c>
      <c r="O240" s="20">
        <f>IF(A240="","",IF(N240="","",ROUND(N240/MAX(1,M240),2)))</f>
        <v>0</v>
      </c>
      <c r="P240" s="36">
        <f>IF(A240="","",IF(F240="","",ROUND(F240/MAX(1,M240),2)))</f>
        <v>0</v>
      </c>
      <c r="Q240" s="20">
        <f>IF(A240="","",IF(L240="","",ROUND(L240/MAX(1,M240)*SuppliesPerHour,2)))</f>
        <v>0</v>
      </c>
      <c r="R240" s="20">
        <f>IF(A240="","",ROUND(SUMIFS(Labor!$O$5:$O$304,Labor!$A$5:$A$304,A240),2))</f>
        <v>0</v>
      </c>
      <c r="S240" s="33">
        <f>IF(A240="","",IF(OR(O240="",R240="",R240=0),"",O240/R240))</f>
        <v>0</v>
      </c>
      <c r="T240" s="32">
        <f>IF(A240="","",COUNTIFS($A$5:A240,A240))</f>
        <v>0</v>
      </c>
      <c r="U240" s="13">
        <f>IF(A240="","",A240&amp;"|"&amp;T240)</f>
        <v>0</v>
      </c>
      <c r="V240" s="43">
        <f>IF(A240="","",IF(B240="Not found","Check - no such product ID",IF(OR(F240="",F240=0),"Add - how many minutes?",IF(C240="","Add - which stage?",IF(AND(G240="Per batch",H240=""),"Check - using the default batch size",IF(K240&lt;MinimumWage,"Check - below minimum wage","OK"))))))</f>
        <v>0</v>
      </c>
    </row>
    <row r="241" spans="2:22">
      <c r="B241" s="13">
        <f>IF(A241="","",IFERROR(INDEX(Products!$B$5:$B$304,MATCH(A241,Products!$A$5:$A$304,0)),"Not found"))</f>
        <v>0</v>
      </c>
      <c r="K241" s="20">
        <f>IF(A241="","",IF(E241&lt;&gt;"",E241,IF(D241="Employee",ROUND(EmployeeRate*(1+PayrollBurden),2),IF(OR(D241="Contractor",D241="Outsourced"),ROUND(ContractorRate*(1+PayrollBurden),2),LaborCostHour))))</f>
        <v>0</v>
      </c>
      <c r="L241" s="41">
        <f>IF(A241="","",IF(F241="","",ROUND(F241/60,3)))</f>
        <v>0</v>
      </c>
      <c r="M241" s="32">
        <f>IF(A241="","",IF(G241="Per batch",IF(OR(H241="",H241=0),DefaultBatchSize,H241),1))</f>
        <v>0</v>
      </c>
      <c r="N241" s="20">
        <f>IF(A241="","",IF(OR(L241="",K241=""),"",ROUND(L241*K241,2)))</f>
        <v>0</v>
      </c>
      <c r="O241" s="20">
        <f>IF(A241="","",IF(N241="","",ROUND(N241/MAX(1,M241),2)))</f>
        <v>0</v>
      </c>
      <c r="P241" s="36">
        <f>IF(A241="","",IF(F241="","",ROUND(F241/MAX(1,M241),2)))</f>
        <v>0</v>
      </c>
      <c r="Q241" s="20">
        <f>IF(A241="","",IF(L241="","",ROUND(L241/MAX(1,M241)*SuppliesPerHour,2)))</f>
        <v>0</v>
      </c>
      <c r="R241" s="20">
        <f>IF(A241="","",ROUND(SUMIFS(Labor!$O$5:$O$304,Labor!$A$5:$A$304,A241),2))</f>
        <v>0</v>
      </c>
      <c r="S241" s="33">
        <f>IF(A241="","",IF(OR(O241="",R241="",R241=0),"",O241/R241))</f>
        <v>0</v>
      </c>
      <c r="T241" s="32">
        <f>IF(A241="","",COUNTIFS($A$5:A241,A241))</f>
        <v>0</v>
      </c>
      <c r="U241" s="13">
        <f>IF(A241="","",A241&amp;"|"&amp;T241)</f>
        <v>0</v>
      </c>
      <c r="V241" s="43">
        <f>IF(A241="","",IF(B241="Not found","Check - no such product ID",IF(OR(F241="",F241=0),"Add - how many minutes?",IF(C241="","Add - which stage?",IF(AND(G241="Per batch",H241=""),"Check - using the default batch size",IF(K241&lt;MinimumWage,"Check - below minimum wage","OK"))))))</f>
        <v>0</v>
      </c>
    </row>
    <row r="242" spans="2:22">
      <c r="B242" s="13">
        <f>IF(A242="","",IFERROR(INDEX(Products!$B$5:$B$304,MATCH(A242,Products!$A$5:$A$304,0)),"Not found"))</f>
        <v>0</v>
      </c>
      <c r="K242" s="20">
        <f>IF(A242="","",IF(E242&lt;&gt;"",E242,IF(D242="Employee",ROUND(EmployeeRate*(1+PayrollBurden),2),IF(OR(D242="Contractor",D242="Outsourced"),ROUND(ContractorRate*(1+PayrollBurden),2),LaborCostHour))))</f>
        <v>0</v>
      </c>
      <c r="L242" s="41">
        <f>IF(A242="","",IF(F242="","",ROUND(F242/60,3)))</f>
        <v>0</v>
      </c>
      <c r="M242" s="32">
        <f>IF(A242="","",IF(G242="Per batch",IF(OR(H242="",H242=0),DefaultBatchSize,H242),1))</f>
        <v>0</v>
      </c>
      <c r="N242" s="20">
        <f>IF(A242="","",IF(OR(L242="",K242=""),"",ROUND(L242*K242,2)))</f>
        <v>0</v>
      </c>
      <c r="O242" s="20">
        <f>IF(A242="","",IF(N242="","",ROUND(N242/MAX(1,M242),2)))</f>
        <v>0</v>
      </c>
      <c r="P242" s="36">
        <f>IF(A242="","",IF(F242="","",ROUND(F242/MAX(1,M242),2)))</f>
        <v>0</v>
      </c>
      <c r="Q242" s="20">
        <f>IF(A242="","",IF(L242="","",ROUND(L242/MAX(1,M242)*SuppliesPerHour,2)))</f>
        <v>0</v>
      </c>
      <c r="R242" s="20">
        <f>IF(A242="","",ROUND(SUMIFS(Labor!$O$5:$O$304,Labor!$A$5:$A$304,A242),2))</f>
        <v>0</v>
      </c>
      <c r="S242" s="33">
        <f>IF(A242="","",IF(OR(O242="",R242="",R242=0),"",O242/R242))</f>
        <v>0</v>
      </c>
      <c r="T242" s="32">
        <f>IF(A242="","",COUNTIFS($A$5:A242,A242))</f>
        <v>0</v>
      </c>
      <c r="U242" s="13">
        <f>IF(A242="","",A242&amp;"|"&amp;T242)</f>
        <v>0</v>
      </c>
      <c r="V242" s="43">
        <f>IF(A242="","",IF(B242="Not found","Check - no such product ID",IF(OR(F242="",F242=0),"Add - how many minutes?",IF(C242="","Add - which stage?",IF(AND(G242="Per batch",H242=""),"Check - using the default batch size",IF(K242&lt;MinimumWage,"Check - below minimum wage","OK"))))))</f>
        <v>0</v>
      </c>
    </row>
    <row r="243" spans="2:22">
      <c r="B243" s="13">
        <f>IF(A243="","",IFERROR(INDEX(Products!$B$5:$B$304,MATCH(A243,Products!$A$5:$A$304,0)),"Not found"))</f>
        <v>0</v>
      </c>
      <c r="K243" s="20">
        <f>IF(A243="","",IF(E243&lt;&gt;"",E243,IF(D243="Employee",ROUND(EmployeeRate*(1+PayrollBurden),2),IF(OR(D243="Contractor",D243="Outsourced"),ROUND(ContractorRate*(1+PayrollBurden),2),LaborCostHour))))</f>
        <v>0</v>
      </c>
      <c r="L243" s="41">
        <f>IF(A243="","",IF(F243="","",ROUND(F243/60,3)))</f>
        <v>0</v>
      </c>
      <c r="M243" s="32">
        <f>IF(A243="","",IF(G243="Per batch",IF(OR(H243="",H243=0),DefaultBatchSize,H243),1))</f>
        <v>0</v>
      </c>
      <c r="N243" s="20">
        <f>IF(A243="","",IF(OR(L243="",K243=""),"",ROUND(L243*K243,2)))</f>
        <v>0</v>
      </c>
      <c r="O243" s="20">
        <f>IF(A243="","",IF(N243="","",ROUND(N243/MAX(1,M243),2)))</f>
        <v>0</v>
      </c>
      <c r="P243" s="36">
        <f>IF(A243="","",IF(F243="","",ROUND(F243/MAX(1,M243),2)))</f>
        <v>0</v>
      </c>
      <c r="Q243" s="20">
        <f>IF(A243="","",IF(L243="","",ROUND(L243/MAX(1,M243)*SuppliesPerHour,2)))</f>
        <v>0</v>
      </c>
      <c r="R243" s="20">
        <f>IF(A243="","",ROUND(SUMIFS(Labor!$O$5:$O$304,Labor!$A$5:$A$304,A243),2))</f>
        <v>0</v>
      </c>
      <c r="S243" s="33">
        <f>IF(A243="","",IF(OR(O243="",R243="",R243=0),"",O243/R243))</f>
        <v>0</v>
      </c>
      <c r="T243" s="32">
        <f>IF(A243="","",COUNTIFS($A$5:A243,A243))</f>
        <v>0</v>
      </c>
      <c r="U243" s="13">
        <f>IF(A243="","",A243&amp;"|"&amp;T243)</f>
        <v>0</v>
      </c>
      <c r="V243" s="43">
        <f>IF(A243="","",IF(B243="Not found","Check - no such product ID",IF(OR(F243="",F243=0),"Add - how many minutes?",IF(C243="","Add - which stage?",IF(AND(G243="Per batch",H243=""),"Check - using the default batch size",IF(K243&lt;MinimumWage,"Check - below minimum wage","OK"))))))</f>
        <v>0</v>
      </c>
    </row>
    <row r="244" spans="2:22">
      <c r="B244" s="13">
        <f>IF(A244="","",IFERROR(INDEX(Products!$B$5:$B$304,MATCH(A244,Products!$A$5:$A$304,0)),"Not found"))</f>
        <v>0</v>
      </c>
      <c r="K244" s="20">
        <f>IF(A244="","",IF(E244&lt;&gt;"",E244,IF(D244="Employee",ROUND(EmployeeRate*(1+PayrollBurden),2),IF(OR(D244="Contractor",D244="Outsourced"),ROUND(ContractorRate*(1+PayrollBurden),2),LaborCostHour))))</f>
        <v>0</v>
      </c>
      <c r="L244" s="41">
        <f>IF(A244="","",IF(F244="","",ROUND(F244/60,3)))</f>
        <v>0</v>
      </c>
      <c r="M244" s="32">
        <f>IF(A244="","",IF(G244="Per batch",IF(OR(H244="",H244=0),DefaultBatchSize,H244),1))</f>
        <v>0</v>
      </c>
      <c r="N244" s="20">
        <f>IF(A244="","",IF(OR(L244="",K244=""),"",ROUND(L244*K244,2)))</f>
        <v>0</v>
      </c>
      <c r="O244" s="20">
        <f>IF(A244="","",IF(N244="","",ROUND(N244/MAX(1,M244),2)))</f>
        <v>0</v>
      </c>
      <c r="P244" s="36">
        <f>IF(A244="","",IF(F244="","",ROUND(F244/MAX(1,M244),2)))</f>
        <v>0</v>
      </c>
      <c r="Q244" s="20">
        <f>IF(A244="","",IF(L244="","",ROUND(L244/MAX(1,M244)*SuppliesPerHour,2)))</f>
        <v>0</v>
      </c>
      <c r="R244" s="20">
        <f>IF(A244="","",ROUND(SUMIFS(Labor!$O$5:$O$304,Labor!$A$5:$A$304,A244),2))</f>
        <v>0</v>
      </c>
      <c r="S244" s="33">
        <f>IF(A244="","",IF(OR(O244="",R244="",R244=0),"",O244/R244))</f>
        <v>0</v>
      </c>
      <c r="T244" s="32">
        <f>IF(A244="","",COUNTIFS($A$5:A244,A244))</f>
        <v>0</v>
      </c>
      <c r="U244" s="13">
        <f>IF(A244="","",A244&amp;"|"&amp;T244)</f>
        <v>0</v>
      </c>
      <c r="V244" s="43">
        <f>IF(A244="","",IF(B244="Not found","Check - no such product ID",IF(OR(F244="",F244=0),"Add - how many minutes?",IF(C244="","Add - which stage?",IF(AND(G244="Per batch",H244=""),"Check - using the default batch size",IF(K244&lt;MinimumWage,"Check - below minimum wage","OK"))))))</f>
        <v>0</v>
      </c>
    </row>
    <row r="245" spans="2:22">
      <c r="B245" s="13">
        <f>IF(A245="","",IFERROR(INDEX(Products!$B$5:$B$304,MATCH(A245,Products!$A$5:$A$304,0)),"Not found"))</f>
        <v>0</v>
      </c>
      <c r="K245" s="20">
        <f>IF(A245="","",IF(E245&lt;&gt;"",E245,IF(D245="Employee",ROUND(EmployeeRate*(1+PayrollBurden),2),IF(OR(D245="Contractor",D245="Outsourced"),ROUND(ContractorRate*(1+PayrollBurden),2),LaborCostHour))))</f>
        <v>0</v>
      </c>
      <c r="L245" s="41">
        <f>IF(A245="","",IF(F245="","",ROUND(F245/60,3)))</f>
        <v>0</v>
      </c>
      <c r="M245" s="32">
        <f>IF(A245="","",IF(G245="Per batch",IF(OR(H245="",H245=0),DefaultBatchSize,H245),1))</f>
        <v>0</v>
      </c>
      <c r="N245" s="20">
        <f>IF(A245="","",IF(OR(L245="",K245=""),"",ROUND(L245*K245,2)))</f>
        <v>0</v>
      </c>
      <c r="O245" s="20">
        <f>IF(A245="","",IF(N245="","",ROUND(N245/MAX(1,M245),2)))</f>
        <v>0</v>
      </c>
      <c r="P245" s="36">
        <f>IF(A245="","",IF(F245="","",ROUND(F245/MAX(1,M245),2)))</f>
        <v>0</v>
      </c>
      <c r="Q245" s="20">
        <f>IF(A245="","",IF(L245="","",ROUND(L245/MAX(1,M245)*SuppliesPerHour,2)))</f>
        <v>0</v>
      </c>
      <c r="R245" s="20">
        <f>IF(A245="","",ROUND(SUMIFS(Labor!$O$5:$O$304,Labor!$A$5:$A$304,A245),2))</f>
        <v>0</v>
      </c>
      <c r="S245" s="33">
        <f>IF(A245="","",IF(OR(O245="",R245="",R245=0),"",O245/R245))</f>
        <v>0</v>
      </c>
      <c r="T245" s="32">
        <f>IF(A245="","",COUNTIFS($A$5:A245,A245))</f>
        <v>0</v>
      </c>
      <c r="U245" s="13">
        <f>IF(A245="","",A245&amp;"|"&amp;T245)</f>
        <v>0</v>
      </c>
      <c r="V245" s="43">
        <f>IF(A245="","",IF(B245="Not found","Check - no such product ID",IF(OR(F245="",F245=0),"Add - how many minutes?",IF(C245="","Add - which stage?",IF(AND(G245="Per batch",H245=""),"Check - using the default batch size",IF(K245&lt;MinimumWage,"Check - below minimum wage","OK"))))))</f>
        <v>0</v>
      </c>
    </row>
    <row r="246" spans="2:22">
      <c r="B246" s="13">
        <f>IF(A246="","",IFERROR(INDEX(Products!$B$5:$B$304,MATCH(A246,Products!$A$5:$A$304,0)),"Not found"))</f>
        <v>0</v>
      </c>
      <c r="K246" s="20">
        <f>IF(A246="","",IF(E246&lt;&gt;"",E246,IF(D246="Employee",ROUND(EmployeeRate*(1+PayrollBurden),2),IF(OR(D246="Contractor",D246="Outsourced"),ROUND(ContractorRate*(1+PayrollBurden),2),LaborCostHour))))</f>
        <v>0</v>
      </c>
      <c r="L246" s="41">
        <f>IF(A246="","",IF(F246="","",ROUND(F246/60,3)))</f>
        <v>0</v>
      </c>
      <c r="M246" s="32">
        <f>IF(A246="","",IF(G246="Per batch",IF(OR(H246="",H246=0),DefaultBatchSize,H246),1))</f>
        <v>0</v>
      </c>
      <c r="N246" s="20">
        <f>IF(A246="","",IF(OR(L246="",K246=""),"",ROUND(L246*K246,2)))</f>
        <v>0</v>
      </c>
      <c r="O246" s="20">
        <f>IF(A246="","",IF(N246="","",ROUND(N246/MAX(1,M246),2)))</f>
        <v>0</v>
      </c>
      <c r="P246" s="36">
        <f>IF(A246="","",IF(F246="","",ROUND(F246/MAX(1,M246),2)))</f>
        <v>0</v>
      </c>
      <c r="Q246" s="20">
        <f>IF(A246="","",IF(L246="","",ROUND(L246/MAX(1,M246)*SuppliesPerHour,2)))</f>
        <v>0</v>
      </c>
      <c r="R246" s="20">
        <f>IF(A246="","",ROUND(SUMIFS(Labor!$O$5:$O$304,Labor!$A$5:$A$304,A246),2))</f>
        <v>0</v>
      </c>
      <c r="S246" s="33">
        <f>IF(A246="","",IF(OR(O246="",R246="",R246=0),"",O246/R246))</f>
        <v>0</v>
      </c>
      <c r="T246" s="32">
        <f>IF(A246="","",COUNTIFS($A$5:A246,A246))</f>
        <v>0</v>
      </c>
      <c r="U246" s="13">
        <f>IF(A246="","",A246&amp;"|"&amp;T246)</f>
        <v>0</v>
      </c>
      <c r="V246" s="43">
        <f>IF(A246="","",IF(B246="Not found","Check - no such product ID",IF(OR(F246="",F246=0),"Add - how many minutes?",IF(C246="","Add - which stage?",IF(AND(G246="Per batch",H246=""),"Check - using the default batch size",IF(K246&lt;MinimumWage,"Check - below minimum wage","OK"))))))</f>
        <v>0</v>
      </c>
    </row>
    <row r="247" spans="2:22">
      <c r="B247" s="13">
        <f>IF(A247="","",IFERROR(INDEX(Products!$B$5:$B$304,MATCH(A247,Products!$A$5:$A$304,0)),"Not found"))</f>
        <v>0</v>
      </c>
      <c r="K247" s="20">
        <f>IF(A247="","",IF(E247&lt;&gt;"",E247,IF(D247="Employee",ROUND(EmployeeRate*(1+PayrollBurden),2),IF(OR(D247="Contractor",D247="Outsourced"),ROUND(ContractorRate*(1+PayrollBurden),2),LaborCostHour))))</f>
        <v>0</v>
      </c>
      <c r="L247" s="41">
        <f>IF(A247="","",IF(F247="","",ROUND(F247/60,3)))</f>
        <v>0</v>
      </c>
      <c r="M247" s="32">
        <f>IF(A247="","",IF(G247="Per batch",IF(OR(H247="",H247=0),DefaultBatchSize,H247),1))</f>
        <v>0</v>
      </c>
      <c r="N247" s="20">
        <f>IF(A247="","",IF(OR(L247="",K247=""),"",ROUND(L247*K247,2)))</f>
        <v>0</v>
      </c>
      <c r="O247" s="20">
        <f>IF(A247="","",IF(N247="","",ROUND(N247/MAX(1,M247),2)))</f>
        <v>0</v>
      </c>
      <c r="P247" s="36">
        <f>IF(A247="","",IF(F247="","",ROUND(F247/MAX(1,M247),2)))</f>
        <v>0</v>
      </c>
      <c r="Q247" s="20">
        <f>IF(A247="","",IF(L247="","",ROUND(L247/MAX(1,M247)*SuppliesPerHour,2)))</f>
        <v>0</v>
      </c>
      <c r="R247" s="20">
        <f>IF(A247="","",ROUND(SUMIFS(Labor!$O$5:$O$304,Labor!$A$5:$A$304,A247),2))</f>
        <v>0</v>
      </c>
      <c r="S247" s="33">
        <f>IF(A247="","",IF(OR(O247="",R247="",R247=0),"",O247/R247))</f>
        <v>0</v>
      </c>
      <c r="T247" s="32">
        <f>IF(A247="","",COUNTIFS($A$5:A247,A247))</f>
        <v>0</v>
      </c>
      <c r="U247" s="13">
        <f>IF(A247="","",A247&amp;"|"&amp;T247)</f>
        <v>0</v>
      </c>
      <c r="V247" s="43">
        <f>IF(A247="","",IF(B247="Not found","Check - no such product ID",IF(OR(F247="",F247=0),"Add - how many minutes?",IF(C247="","Add - which stage?",IF(AND(G247="Per batch",H247=""),"Check - using the default batch size",IF(K247&lt;MinimumWage,"Check - below minimum wage","OK"))))))</f>
        <v>0</v>
      </c>
    </row>
    <row r="248" spans="2:22">
      <c r="B248" s="13">
        <f>IF(A248="","",IFERROR(INDEX(Products!$B$5:$B$304,MATCH(A248,Products!$A$5:$A$304,0)),"Not found"))</f>
        <v>0</v>
      </c>
      <c r="K248" s="20">
        <f>IF(A248="","",IF(E248&lt;&gt;"",E248,IF(D248="Employee",ROUND(EmployeeRate*(1+PayrollBurden),2),IF(OR(D248="Contractor",D248="Outsourced"),ROUND(ContractorRate*(1+PayrollBurden),2),LaborCostHour))))</f>
        <v>0</v>
      </c>
      <c r="L248" s="41">
        <f>IF(A248="","",IF(F248="","",ROUND(F248/60,3)))</f>
        <v>0</v>
      </c>
      <c r="M248" s="32">
        <f>IF(A248="","",IF(G248="Per batch",IF(OR(H248="",H248=0),DefaultBatchSize,H248),1))</f>
        <v>0</v>
      </c>
      <c r="N248" s="20">
        <f>IF(A248="","",IF(OR(L248="",K248=""),"",ROUND(L248*K248,2)))</f>
        <v>0</v>
      </c>
      <c r="O248" s="20">
        <f>IF(A248="","",IF(N248="","",ROUND(N248/MAX(1,M248),2)))</f>
        <v>0</v>
      </c>
      <c r="P248" s="36">
        <f>IF(A248="","",IF(F248="","",ROUND(F248/MAX(1,M248),2)))</f>
        <v>0</v>
      </c>
      <c r="Q248" s="20">
        <f>IF(A248="","",IF(L248="","",ROUND(L248/MAX(1,M248)*SuppliesPerHour,2)))</f>
        <v>0</v>
      </c>
      <c r="R248" s="20">
        <f>IF(A248="","",ROUND(SUMIFS(Labor!$O$5:$O$304,Labor!$A$5:$A$304,A248),2))</f>
        <v>0</v>
      </c>
      <c r="S248" s="33">
        <f>IF(A248="","",IF(OR(O248="",R248="",R248=0),"",O248/R248))</f>
        <v>0</v>
      </c>
      <c r="T248" s="32">
        <f>IF(A248="","",COUNTIFS($A$5:A248,A248))</f>
        <v>0</v>
      </c>
      <c r="U248" s="13">
        <f>IF(A248="","",A248&amp;"|"&amp;T248)</f>
        <v>0</v>
      </c>
      <c r="V248" s="43">
        <f>IF(A248="","",IF(B248="Not found","Check - no such product ID",IF(OR(F248="",F248=0),"Add - how many minutes?",IF(C248="","Add - which stage?",IF(AND(G248="Per batch",H248=""),"Check - using the default batch size",IF(K248&lt;MinimumWage,"Check - below minimum wage","OK"))))))</f>
        <v>0</v>
      </c>
    </row>
    <row r="249" spans="2:22">
      <c r="B249" s="13">
        <f>IF(A249="","",IFERROR(INDEX(Products!$B$5:$B$304,MATCH(A249,Products!$A$5:$A$304,0)),"Not found"))</f>
        <v>0</v>
      </c>
      <c r="K249" s="20">
        <f>IF(A249="","",IF(E249&lt;&gt;"",E249,IF(D249="Employee",ROUND(EmployeeRate*(1+PayrollBurden),2),IF(OR(D249="Contractor",D249="Outsourced"),ROUND(ContractorRate*(1+PayrollBurden),2),LaborCostHour))))</f>
        <v>0</v>
      </c>
      <c r="L249" s="41">
        <f>IF(A249="","",IF(F249="","",ROUND(F249/60,3)))</f>
        <v>0</v>
      </c>
      <c r="M249" s="32">
        <f>IF(A249="","",IF(G249="Per batch",IF(OR(H249="",H249=0),DefaultBatchSize,H249),1))</f>
        <v>0</v>
      </c>
      <c r="N249" s="20">
        <f>IF(A249="","",IF(OR(L249="",K249=""),"",ROUND(L249*K249,2)))</f>
        <v>0</v>
      </c>
      <c r="O249" s="20">
        <f>IF(A249="","",IF(N249="","",ROUND(N249/MAX(1,M249),2)))</f>
        <v>0</v>
      </c>
      <c r="P249" s="36">
        <f>IF(A249="","",IF(F249="","",ROUND(F249/MAX(1,M249),2)))</f>
        <v>0</v>
      </c>
      <c r="Q249" s="20">
        <f>IF(A249="","",IF(L249="","",ROUND(L249/MAX(1,M249)*SuppliesPerHour,2)))</f>
        <v>0</v>
      </c>
      <c r="R249" s="20">
        <f>IF(A249="","",ROUND(SUMIFS(Labor!$O$5:$O$304,Labor!$A$5:$A$304,A249),2))</f>
        <v>0</v>
      </c>
      <c r="S249" s="33">
        <f>IF(A249="","",IF(OR(O249="",R249="",R249=0),"",O249/R249))</f>
        <v>0</v>
      </c>
      <c r="T249" s="32">
        <f>IF(A249="","",COUNTIFS($A$5:A249,A249))</f>
        <v>0</v>
      </c>
      <c r="U249" s="13">
        <f>IF(A249="","",A249&amp;"|"&amp;T249)</f>
        <v>0</v>
      </c>
      <c r="V249" s="43">
        <f>IF(A249="","",IF(B249="Not found","Check - no such product ID",IF(OR(F249="",F249=0),"Add - how many minutes?",IF(C249="","Add - which stage?",IF(AND(G249="Per batch",H249=""),"Check - using the default batch size",IF(K249&lt;MinimumWage,"Check - below minimum wage","OK"))))))</f>
        <v>0</v>
      </c>
    </row>
    <row r="250" spans="2:22">
      <c r="B250" s="13">
        <f>IF(A250="","",IFERROR(INDEX(Products!$B$5:$B$304,MATCH(A250,Products!$A$5:$A$304,0)),"Not found"))</f>
        <v>0</v>
      </c>
      <c r="K250" s="20">
        <f>IF(A250="","",IF(E250&lt;&gt;"",E250,IF(D250="Employee",ROUND(EmployeeRate*(1+PayrollBurden),2),IF(OR(D250="Contractor",D250="Outsourced"),ROUND(ContractorRate*(1+PayrollBurden),2),LaborCostHour))))</f>
        <v>0</v>
      </c>
      <c r="L250" s="41">
        <f>IF(A250="","",IF(F250="","",ROUND(F250/60,3)))</f>
        <v>0</v>
      </c>
      <c r="M250" s="32">
        <f>IF(A250="","",IF(G250="Per batch",IF(OR(H250="",H250=0),DefaultBatchSize,H250),1))</f>
        <v>0</v>
      </c>
      <c r="N250" s="20">
        <f>IF(A250="","",IF(OR(L250="",K250=""),"",ROUND(L250*K250,2)))</f>
        <v>0</v>
      </c>
      <c r="O250" s="20">
        <f>IF(A250="","",IF(N250="","",ROUND(N250/MAX(1,M250),2)))</f>
        <v>0</v>
      </c>
      <c r="P250" s="36">
        <f>IF(A250="","",IF(F250="","",ROUND(F250/MAX(1,M250),2)))</f>
        <v>0</v>
      </c>
      <c r="Q250" s="20">
        <f>IF(A250="","",IF(L250="","",ROUND(L250/MAX(1,M250)*SuppliesPerHour,2)))</f>
        <v>0</v>
      </c>
      <c r="R250" s="20">
        <f>IF(A250="","",ROUND(SUMIFS(Labor!$O$5:$O$304,Labor!$A$5:$A$304,A250),2))</f>
        <v>0</v>
      </c>
      <c r="S250" s="33">
        <f>IF(A250="","",IF(OR(O250="",R250="",R250=0),"",O250/R250))</f>
        <v>0</v>
      </c>
      <c r="T250" s="32">
        <f>IF(A250="","",COUNTIFS($A$5:A250,A250))</f>
        <v>0</v>
      </c>
      <c r="U250" s="13">
        <f>IF(A250="","",A250&amp;"|"&amp;T250)</f>
        <v>0</v>
      </c>
      <c r="V250" s="43">
        <f>IF(A250="","",IF(B250="Not found","Check - no such product ID",IF(OR(F250="",F250=0),"Add - how many minutes?",IF(C250="","Add - which stage?",IF(AND(G250="Per batch",H250=""),"Check - using the default batch size",IF(K250&lt;MinimumWage,"Check - below minimum wage","OK"))))))</f>
        <v>0</v>
      </c>
    </row>
    <row r="251" spans="2:22">
      <c r="B251" s="13">
        <f>IF(A251="","",IFERROR(INDEX(Products!$B$5:$B$304,MATCH(A251,Products!$A$5:$A$304,0)),"Not found"))</f>
        <v>0</v>
      </c>
      <c r="K251" s="20">
        <f>IF(A251="","",IF(E251&lt;&gt;"",E251,IF(D251="Employee",ROUND(EmployeeRate*(1+PayrollBurden),2),IF(OR(D251="Contractor",D251="Outsourced"),ROUND(ContractorRate*(1+PayrollBurden),2),LaborCostHour))))</f>
        <v>0</v>
      </c>
      <c r="L251" s="41">
        <f>IF(A251="","",IF(F251="","",ROUND(F251/60,3)))</f>
        <v>0</v>
      </c>
      <c r="M251" s="32">
        <f>IF(A251="","",IF(G251="Per batch",IF(OR(H251="",H251=0),DefaultBatchSize,H251),1))</f>
        <v>0</v>
      </c>
      <c r="N251" s="20">
        <f>IF(A251="","",IF(OR(L251="",K251=""),"",ROUND(L251*K251,2)))</f>
        <v>0</v>
      </c>
      <c r="O251" s="20">
        <f>IF(A251="","",IF(N251="","",ROUND(N251/MAX(1,M251),2)))</f>
        <v>0</v>
      </c>
      <c r="P251" s="36">
        <f>IF(A251="","",IF(F251="","",ROUND(F251/MAX(1,M251),2)))</f>
        <v>0</v>
      </c>
      <c r="Q251" s="20">
        <f>IF(A251="","",IF(L251="","",ROUND(L251/MAX(1,M251)*SuppliesPerHour,2)))</f>
        <v>0</v>
      </c>
      <c r="R251" s="20">
        <f>IF(A251="","",ROUND(SUMIFS(Labor!$O$5:$O$304,Labor!$A$5:$A$304,A251),2))</f>
        <v>0</v>
      </c>
      <c r="S251" s="33">
        <f>IF(A251="","",IF(OR(O251="",R251="",R251=0),"",O251/R251))</f>
        <v>0</v>
      </c>
      <c r="T251" s="32">
        <f>IF(A251="","",COUNTIFS($A$5:A251,A251))</f>
        <v>0</v>
      </c>
      <c r="U251" s="13">
        <f>IF(A251="","",A251&amp;"|"&amp;T251)</f>
        <v>0</v>
      </c>
      <c r="V251" s="43">
        <f>IF(A251="","",IF(B251="Not found","Check - no such product ID",IF(OR(F251="",F251=0),"Add - how many minutes?",IF(C251="","Add - which stage?",IF(AND(G251="Per batch",H251=""),"Check - using the default batch size",IF(K251&lt;MinimumWage,"Check - below minimum wage","OK"))))))</f>
        <v>0</v>
      </c>
    </row>
    <row r="252" spans="2:22">
      <c r="B252" s="13">
        <f>IF(A252="","",IFERROR(INDEX(Products!$B$5:$B$304,MATCH(A252,Products!$A$5:$A$304,0)),"Not found"))</f>
        <v>0</v>
      </c>
      <c r="K252" s="20">
        <f>IF(A252="","",IF(E252&lt;&gt;"",E252,IF(D252="Employee",ROUND(EmployeeRate*(1+PayrollBurden),2),IF(OR(D252="Contractor",D252="Outsourced"),ROUND(ContractorRate*(1+PayrollBurden),2),LaborCostHour))))</f>
        <v>0</v>
      </c>
      <c r="L252" s="41">
        <f>IF(A252="","",IF(F252="","",ROUND(F252/60,3)))</f>
        <v>0</v>
      </c>
      <c r="M252" s="32">
        <f>IF(A252="","",IF(G252="Per batch",IF(OR(H252="",H252=0),DefaultBatchSize,H252),1))</f>
        <v>0</v>
      </c>
      <c r="N252" s="20">
        <f>IF(A252="","",IF(OR(L252="",K252=""),"",ROUND(L252*K252,2)))</f>
        <v>0</v>
      </c>
      <c r="O252" s="20">
        <f>IF(A252="","",IF(N252="","",ROUND(N252/MAX(1,M252),2)))</f>
        <v>0</v>
      </c>
      <c r="P252" s="36">
        <f>IF(A252="","",IF(F252="","",ROUND(F252/MAX(1,M252),2)))</f>
        <v>0</v>
      </c>
      <c r="Q252" s="20">
        <f>IF(A252="","",IF(L252="","",ROUND(L252/MAX(1,M252)*SuppliesPerHour,2)))</f>
        <v>0</v>
      </c>
      <c r="R252" s="20">
        <f>IF(A252="","",ROUND(SUMIFS(Labor!$O$5:$O$304,Labor!$A$5:$A$304,A252),2))</f>
        <v>0</v>
      </c>
      <c r="S252" s="33">
        <f>IF(A252="","",IF(OR(O252="",R252="",R252=0),"",O252/R252))</f>
        <v>0</v>
      </c>
      <c r="T252" s="32">
        <f>IF(A252="","",COUNTIFS($A$5:A252,A252))</f>
        <v>0</v>
      </c>
      <c r="U252" s="13">
        <f>IF(A252="","",A252&amp;"|"&amp;T252)</f>
        <v>0</v>
      </c>
      <c r="V252" s="43">
        <f>IF(A252="","",IF(B252="Not found","Check - no such product ID",IF(OR(F252="",F252=0),"Add - how many minutes?",IF(C252="","Add - which stage?",IF(AND(G252="Per batch",H252=""),"Check - using the default batch size",IF(K252&lt;MinimumWage,"Check - below minimum wage","OK"))))))</f>
        <v>0</v>
      </c>
    </row>
    <row r="253" spans="2:22">
      <c r="B253" s="13">
        <f>IF(A253="","",IFERROR(INDEX(Products!$B$5:$B$304,MATCH(A253,Products!$A$5:$A$304,0)),"Not found"))</f>
        <v>0</v>
      </c>
      <c r="K253" s="20">
        <f>IF(A253="","",IF(E253&lt;&gt;"",E253,IF(D253="Employee",ROUND(EmployeeRate*(1+PayrollBurden),2),IF(OR(D253="Contractor",D253="Outsourced"),ROUND(ContractorRate*(1+PayrollBurden),2),LaborCostHour))))</f>
        <v>0</v>
      </c>
      <c r="L253" s="41">
        <f>IF(A253="","",IF(F253="","",ROUND(F253/60,3)))</f>
        <v>0</v>
      </c>
      <c r="M253" s="32">
        <f>IF(A253="","",IF(G253="Per batch",IF(OR(H253="",H253=0),DefaultBatchSize,H253),1))</f>
        <v>0</v>
      </c>
      <c r="N253" s="20">
        <f>IF(A253="","",IF(OR(L253="",K253=""),"",ROUND(L253*K253,2)))</f>
        <v>0</v>
      </c>
      <c r="O253" s="20">
        <f>IF(A253="","",IF(N253="","",ROUND(N253/MAX(1,M253),2)))</f>
        <v>0</v>
      </c>
      <c r="P253" s="36">
        <f>IF(A253="","",IF(F253="","",ROUND(F253/MAX(1,M253),2)))</f>
        <v>0</v>
      </c>
      <c r="Q253" s="20">
        <f>IF(A253="","",IF(L253="","",ROUND(L253/MAX(1,M253)*SuppliesPerHour,2)))</f>
        <v>0</v>
      </c>
      <c r="R253" s="20">
        <f>IF(A253="","",ROUND(SUMIFS(Labor!$O$5:$O$304,Labor!$A$5:$A$304,A253),2))</f>
        <v>0</v>
      </c>
      <c r="S253" s="33">
        <f>IF(A253="","",IF(OR(O253="",R253="",R253=0),"",O253/R253))</f>
        <v>0</v>
      </c>
      <c r="T253" s="32">
        <f>IF(A253="","",COUNTIFS($A$5:A253,A253))</f>
        <v>0</v>
      </c>
      <c r="U253" s="13">
        <f>IF(A253="","",A253&amp;"|"&amp;T253)</f>
        <v>0</v>
      </c>
      <c r="V253" s="43">
        <f>IF(A253="","",IF(B253="Not found","Check - no such product ID",IF(OR(F253="",F253=0),"Add - how many minutes?",IF(C253="","Add - which stage?",IF(AND(G253="Per batch",H253=""),"Check - using the default batch size",IF(K253&lt;MinimumWage,"Check - below minimum wage","OK"))))))</f>
        <v>0</v>
      </c>
    </row>
    <row r="254" spans="2:22">
      <c r="B254" s="13">
        <f>IF(A254="","",IFERROR(INDEX(Products!$B$5:$B$304,MATCH(A254,Products!$A$5:$A$304,0)),"Not found"))</f>
        <v>0</v>
      </c>
      <c r="K254" s="20">
        <f>IF(A254="","",IF(E254&lt;&gt;"",E254,IF(D254="Employee",ROUND(EmployeeRate*(1+PayrollBurden),2),IF(OR(D254="Contractor",D254="Outsourced"),ROUND(ContractorRate*(1+PayrollBurden),2),LaborCostHour))))</f>
        <v>0</v>
      </c>
      <c r="L254" s="41">
        <f>IF(A254="","",IF(F254="","",ROUND(F254/60,3)))</f>
        <v>0</v>
      </c>
      <c r="M254" s="32">
        <f>IF(A254="","",IF(G254="Per batch",IF(OR(H254="",H254=0),DefaultBatchSize,H254),1))</f>
        <v>0</v>
      </c>
      <c r="N254" s="20">
        <f>IF(A254="","",IF(OR(L254="",K254=""),"",ROUND(L254*K254,2)))</f>
        <v>0</v>
      </c>
      <c r="O254" s="20">
        <f>IF(A254="","",IF(N254="","",ROUND(N254/MAX(1,M254),2)))</f>
        <v>0</v>
      </c>
      <c r="P254" s="36">
        <f>IF(A254="","",IF(F254="","",ROUND(F254/MAX(1,M254),2)))</f>
        <v>0</v>
      </c>
      <c r="Q254" s="20">
        <f>IF(A254="","",IF(L254="","",ROUND(L254/MAX(1,M254)*SuppliesPerHour,2)))</f>
        <v>0</v>
      </c>
      <c r="R254" s="20">
        <f>IF(A254="","",ROUND(SUMIFS(Labor!$O$5:$O$304,Labor!$A$5:$A$304,A254),2))</f>
        <v>0</v>
      </c>
      <c r="S254" s="33">
        <f>IF(A254="","",IF(OR(O254="",R254="",R254=0),"",O254/R254))</f>
        <v>0</v>
      </c>
      <c r="T254" s="32">
        <f>IF(A254="","",COUNTIFS($A$5:A254,A254))</f>
        <v>0</v>
      </c>
      <c r="U254" s="13">
        <f>IF(A254="","",A254&amp;"|"&amp;T254)</f>
        <v>0</v>
      </c>
      <c r="V254" s="43">
        <f>IF(A254="","",IF(B254="Not found","Check - no such product ID",IF(OR(F254="",F254=0),"Add - how many minutes?",IF(C254="","Add - which stage?",IF(AND(G254="Per batch",H254=""),"Check - using the default batch size",IF(K254&lt;MinimumWage,"Check - below minimum wage","OK"))))))</f>
        <v>0</v>
      </c>
    </row>
    <row r="255" spans="2:22">
      <c r="B255" s="13">
        <f>IF(A255="","",IFERROR(INDEX(Products!$B$5:$B$304,MATCH(A255,Products!$A$5:$A$304,0)),"Not found"))</f>
        <v>0</v>
      </c>
      <c r="K255" s="20">
        <f>IF(A255="","",IF(E255&lt;&gt;"",E255,IF(D255="Employee",ROUND(EmployeeRate*(1+PayrollBurden),2),IF(OR(D255="Contractor",D255="Outsourced"),ROUND(ContractorRate*(1+PayrollBurden),2),LaborCostHour))))</f>
        <v>0</v>
      </c>
      <c r="L255" s="41">
        <f>IF(A255="","",IF(F255="","",ROUND(F255/60,3)))</f>
        <v>0</v>
      </c>
      <c r="M255" s="32">
        <f>IF(A255="","",IF(G255="Per batch",IF(OR(H255="",H255=0),DefaultBatchSize,H255),1))</f>
        <v>0</v>
      </c>
      <c r="N255" s="20">
        <f>IF(A255="","",IF(OR(L255="",K255=""),"",ROUND(L255*K255,2)))</f>
        <v>0</v>
      </c>
      <c r="O255" s="20">
        <f>IF(A255="","",IF(N255="","",ROUND(N255/MAX(1,M255),2)))</f>
        <v>0</v>
      </c>
      <c r="P255" s="36">
        <f>IF(A255="","",IF(F255="","",ROUND(F255/MAX(1,M255),2)))</f>
        <v>0</v>
      </c>
      <c r="Q255" s="20">
        <f>IF(A255="","",IF(L255="","",ROUND(L255/MAX(1,M255)*SuppliesPerHour,2)))</f>
        <v>0</v>
      </c>
      <c r="R255" s="20">
        <f>IF(A255="","",ROUND(SUMIFS(Labor!$O$5:$O$304,Labor!$A$5:$A$304,A255),2))</f>
        <v>0</v>
      </c>
      <c r="S255" s="33">
        <f>IF(A255="","",IF(OR(O255="",R255="",R255=0),"",O255/R255))</f>
        <v>0</v>
      </c>
      <c r="T255" s="32">
        <f>IF(A255="","",COUNTIFS($A$5:A255,A255))</f>
        <v>0</v>
      </c>
      <c r="U255" s="13">
        <f>IF(A255="","",A255&amp;"|"&amp;T255)</f>
        <v>0</v>
      </c>
      <c r="V255" s="43">
        <f>IF(A255="","",IF(B255="Not found","Check - no such product ID",IF(OR(F255="",F255=0),"Add - how many minutes?",IF(C255="","Add - which stage?",IF(AND(G255="Per batch",H255=""),"Check - using the default batch size",IF(K255&lt;MinimumWage,"Check - below minimum wage","OK"))))))</f>
        <v>0</v>
      </c>
    </row>
    <row r="256" spans="2:22">
      <c r="B256" s="13">
        <f>IF(A256="","",IFERROR(INDEX(Products!$B$5:$B$304,MATCH(A256,Products!$A$5:$A$304,0)),"Not found"))</f>
        <v>0</v>
      </c>
      <c r="K256" s="20">
        <f>IF(A256="","",IF(E256&lt;&gt;"",E256,IF(D256="Employee",ROUND(EmployeeRate*(1+PayrollBurden),2),IF(OR(D256="Contractor",D256="Outsourced"),ROUND(ContractorRate*(1+PayrollBurden),2),LaborCostHour))))</f>
        <v>0</v>
      </c>
      <c r="L256" s="41">
        <f>IF(A256="","",IF(F256="","",ROUND(F256/60,3)))</f>
        <v>0</v>
      </c>
      <c r="M256" s="32">
        <f>IF(A256="","",IF(G256="Per batch",IF(OR(H256="",H256=0),DefaultBatchSize,H256),1))</f>
        <v>0</v>
      </c>
      <c r="N256" s="20">
        <f>IF(A256="","",IF(OR(L256="",K256=""),"",ROUND(L256*K256,2)))</f>
        <v>0</v>
      </c>
      <c r="O256" s="20">
        <f>IF(A256="","",IF(N256="","",ROUND(N256/MAX(1,M256),2)))</f>
        <v>0</v>
      </c>
      <c r="P256" s="36">
        <f>IF(A256="","",IF(F256="","",ROUND(F256/MAX(1,M256),2)))</f>
        <v>0</v>
      </c>
      <c r="Q256" s="20">
        <f>IF(A256="","",IF(L256="","",ROUND(L256/MAX(1,M256)*SuppliesPerHour,2)))</f>
        <v>0</v>
      </c>
      <c r="R256" s="20">
        <f>IF(A256="","",ROUND(SUMIFS(Labor!$O$5:$O$304,Labor!$A$5:$A$304,A256),2))</f>
        <v>0</v>
      </c>
      <c r="S256" s="33">
        <f>IF(A256="","",IF(OR(O256="",R256="",R256=0),"",O256/R256))</f>
        <v>0</v>
      </c>
      <c r="T256" s="32">
        <f>IF(A256="","",COUNTIFS($A$5:A256,A256))</f>
        <v>0</v>
      </c>
      <c r="U256" s="13">
        <f>IF(A256="","",A256&amp;"|"&amp;T256)</f>
        <v>0</v>
      </c>
      <c r="V256" s="43">
        <f>IF(A256="","",IF(B256="Not found","Check - no such product ID",IF(OR(F256="",F256=0),"Add - how many minutes?",IF(C256="","Add - which stage?",IF(AND(G256="Per batch",H256=""),"Check - using the default batch size",IF(K256&lt;MinimumWage,"Check - below minimum wage","OK"))))))</f>
        <v>0</v>
      </c>
    </row>
    <row r="257" spans="2:22">
      <c r="B257" s="13">
        <f>IF(A257="","",IFERROR(INDEX(Products!$B$5:$B$304,MATCH(A257,Products!$A$5:$A$304,0)),"Not found"))</f>
        <v>0</v>
      </c>
      <c r="K257" s="20">
        <f>IF(A257="","",IF(E257&lt;&gt;"",E257,IF(D257="Employee",ROUND(EmployeeRate*(1+PayrollBurden),2),IF(OR(D257="Contractor",D257="Outsourced"),ROUND(ContractorRate*(1+PayrollBurden),2),LaborCostHour))))</f>
        <v>0</v>
      </c>
      <c r="L257" s="41">
        <f>IF(A257="","",IF(F257="","",ROUND(F257/60,3)))</f>
        <v>0</v>
      </c>
      <c r="M257" s="32">
        <f>IF(A257="","",IF(G257="Per batch",IF(OR(H257="",H257=0),DefaultBatchSize,H257),1))</f>
        <v>0</v>
      </c>
      <c r="N257" s="20">
        <f>IF(A257="","",IF(OR(L257="",K257=""),"",ROUND(L257*K257,2)))</f>
        <v>0</v>
      </c>
      <c r="O257" s="20">
        <f>IF(A257="","",IF(N257="","",ROUND(N257/MAX(1,M257),2)))</f>
        <v>0</v>
      </c>
      <c r="P257" s="36">
        <f>IF(A257="","",IF(F257="","",ROUND(F257/MAX(1,M257),2)))</f>
        <v>0</v>
      </c>
      <c r="Q257" s="20">
        <f>IF(A257="","",IF(L257="","",ROUND(L257/MAX(1,M257)*SuppliesPerHour,2)))</f>
        <v>0</v>
      </c>
      <c r="R257" s="20">
        <f>IF(A257="","",ROUND(SUMIFS(Labor!$O$5:$O$304,Labor!$A$5:$A$304,A257),2))</f>
        <v>0</v>
      </c>
      <c r="S257" s="33">
        <f>IF(A257="","",IF(OR(O257="",R257="",R257=0),"",O257/R257))</f>
        <v>0</v>
      </c>
      <c r="T257" s="32">
        <f>IF(A257="","",COUNTIFS($A$5:A257,A257))</f>
        <v>0</v>
      </c>
      <c r="U257" s="13">
        <f>IF(A257="","",A257&amp;"|"&amp;T257)</f>
        <v>0</v>
      </c>
      <c r="V257" s="43">
        <f>IF(A257="","",IF(B257="Not found","Check - no such product ID",IF(OR(F257="",F257=0),"Add - how many minutes?",IF(C257="","Add - which stage?",IF(AND(G257="Per batch",H257=""),"Check - using the default batch size",IF(K257&lt;MinimumWage,"Check - below minimum wage","OK"))))))</f>
        <v>0</v>
      </c>
    </row>
    <row r="258" spans="2:22">
      <c r="B258" s="13">
        <f>IF(A258="","",IFERROR(INDEX(Products!$B$5:$B$304,MATCH(A258,Products!$A$5:$A$304,0)),"Not found"))</f>
        <v>0</v>
      </c>
      <c r="K258" s="20">
        <f>IF(A258="","",IF(E258&lt;&gt;"",E258,IF(D258="Employee",ROUND(EmployeeRate*(1+PayrollBurden),2),IF(OR(D258="Contractor",D258="Outsourced"),ROUND(ContractorRate*(1+PayrollBurden),2),LaborCostHour))))</f>
        <v>0</v>
      </c>
      <c r="L258" s="41">
        <f>IF(A258="","",IF(F258="","",ROUND(F258/60,3)))</f>
        <v>0</v>
      </c>
      <c r="M258" s="32">
        <f>IF(A258="","",IF(G258="Per batch",IF(OR(H258="",H258=0),DefaultBatchSize,H258),1))</f>
        <v>0</v>
      </c>
      <c r="N258" s="20">
        <f>IF(A258="","",IF(OR(L258="",K258=""),"",ROUND(L258*K258,2)))</f>
        <v>0</v>
      </c>
      <c r="O258" s="20">
        <f>IF(A258="","",IF(N258="","",ROUND(N258/MAX(1,M258),2)))</f>
        <v>0</v>
      </c>
      <c r="P258" s="36">
        <f>IF(A258="","",IF(F258="","",ROUND(F258/MAX(1,M258),2)))</f>
        <v>0</v>
      </c>
      <c r="Q258" s="20">
        <f>IF(A258="","",IF(L258="","",ROUND(L258/MAX(1,M258)*SuppliesPerHour,2)))</f>
        <v>0</v>
      </c>
      <c r="R258" s="20">
        <f>IF(A258="","",ROUND(SUMIFS(Labor!$O$5:$O$304,Labor!$A$5:$A$304,A258),2))</f>
        <v>0</v>
      </c>
      <c r="S258" s="33">
        <f>IF(A258="","",IF(OR(O258="",R258="",R258=0),"",O258/R258))</f>
        <v>0</v>
      </c>
      <c r="T258" s="32">
        <f>IF(A258="","",COUNTIFS($A$5:A258,A258))</f>
        <v>0</v>
      </c>
      <c r="U258" s="13">
        <f>IF(A258="","",A258&amp;"|"&amp;T258)</f>
        <v>0</v>
      </c>
      <c r="V258" s="43">
        <f>IF(A258="","",IF(B258="Not found","Check - no such product ID",IF(OR(F258="",F258=0),"Add - how many minutes?",IF(C258="","Add - which stage?",IF(AND(G258="Per batch",H258=""),"Check - using the default batch size",IF(K258&lt;MinimumWage,"Check - below minimum wage","OK"))))))</f>
        <v>0</v>
      </c>
    </row>
    <row r="259" spans="2:22">
      <c r="B259" s="13">
        <f>IF(A259="","",IFERROR(INDEX(Products!$B$5:$B$304,MATCH(A259,Products!$A$5:$A$304,0)),"Not found"))</f>
        <v>0</v>
      </c>
      <c r="K259" s="20">
        <f>IF(A259="","",IF(E259&lt;&gt;"",E259,IF(D259="Employee",ROUND(EmployeeRate*(1+PayrollBurden),2),IF(OR(D259="Contractor",D259="Outsourced"),ROUND(ContractorRate*(1+PayrollBurden),2),LaborCostHour))))</f>
        <v>0</v>
      </c>
      <c r="L259" s="41">
        <f>IF(A259="","",IF(F259="","",ROUND(F259/60,3)))</f>
        <v>0</v>
      </c>
      <c r="M259" s="32">
        <f>IF(A259="","",IF(G259="Per batch",IF(OR(H259="",H259=0),DefaultBatchSize,H259),1))</f>
        <v>0</v>
      </c>
      <c r="N259" s="20">
        <f>IF(A259="","",IF(OR(L259="",K259=""),"",ROUND(L259*K259,2)))</f>
        <v>0</v>
      </c>
      <c r="O259" s="20">
        <f>IF(A259="","",IF(N259="","",ROUND(N259/MAX(1,M259),2)))</f>
        <v>0</v>
      </c>
      <c r="P259" s="36">
        <f>IF(A259="","",IF(F259="","",ROUND(F259/MAX(1,M259),2)))</f>
        <v>0</v>
      </c>
      <c r="Q259" s="20">
        <f>IF(A259="","",IF(L259="","",ROUND(L259/MAX(1,M259)*SuppliesPerHour,2)))</f>
        <v>0</v>
      </c>
      <c r="R259" s="20">
        <f>IF(A259="","",ROUND(SUMIFS(Labor!$O$5:$O$304,Labor!$A$5:$A$304,A259),2))</f>
        <v>0</v>
      </c>
      <c r="S259" s="33">
        <f>IF(A259="","",IF(OR(O259="",R259="",R259=0),"",O259/R259))</f>
        <v>0</v>
      </c>
      <c r="T259" s="32">
        <f>IF(A259="","",COUNTIFS($A$5:A259,A259))</f>
        <v>0</v>
      </c>
      <c r="U259" s="13">
        <f>IF(A259="","",A259&amp;"|"&amp;T259)</f>
        <v>0</v>
      </c>
      <c r="V259" s="43">
        <f>IF(A259="","",IF(B259="Not found","Check - no such product ID",IF(OR(F259="",F259=0),"Add - how many minutes?",IF(C259="","Add - which stage?",IF(AND(G259="Per batch",H259=""),"Check - using the default batch size",IF(K259&lt;MinimumWage,"Check - below minimum wage","OK"))))))</f>
        <v>0</v>
      </c>
    </row>
    <row r="260" spans="2:22">
      <c r="B260" s="13">
        <f>IF(A260="","",IFERROR(INDEX(Products!$B$5:$B$304,MATCH(A260,Products!$A$5:$A$304,0)),"Not found"))</f>
        <v>0</v>
      </c>
      <c r="K260" s="20">
        <f>IF(A260="","",IF(E260&lt;&gt;"",E260,IF(D260="Employee",ROUND(EmployeeRate*(1+PayrollBurden),2),IF(OR(D260="Contractor",D260="Outsourced"),ROUND(ContractorRate*(1+PayrollBurden),2),LaborCostHour))))</f>
        <v>0</v>
      </c>
      <c r="L260" s="41">
        <f>IF(A260="","",IF(F260="","",ROUND(F260/60,3)))</f>
        <v>0</v>
      </c>
      <c r="M260" s="32">
        <f>IF(A260="","",IF(G260="Per batch",IF(OR(H260="",H260=0),DefaultBatchSize,H260),1))</f>
        <v>0</v>
      </c>
      <c r="N260" s="20">
        <f>IF(A260="","",IF(OR(L260="",K260=""),"",ROUND(L260*K260,2)))</f>
        <v>0</v>
      </c>
      <c r="O260" s="20">
        <f>IF(A260="","",IF(N260="","",ROUND(N260/MAX(1,M260),2)))</f>
        <v>0</v>
      </c>
      <c r="P260" s="36">
        <f>IF(A260="","",IF(F260="","",ROUND(F260/MAX(1,M260),2)))</f>
        <v>0</v>
      </c>
      <c r="Q260" s="20">
        <f>IF(A260="","",IF(L260="","",ROUND(L260/MAX(1,M260)*SuppliesPerHour,2)))</f>
        <v>0</v>
      </c>
      <c r="R260" s="20">
        <f>IF(A260="","",ROUND(SUMIFS(Labor!$O$5:$O$304,Labor!$A$5:$A$304,A260),2))</f>
        <v>0</v>
      </c>
      <c r="S260" s="33">
        <f>IF(A260="","",IF(OR(O260="",R260="",R260=0),"",O260/R260))</f>
        <v>0</v>
      </c>
      <c r="T260" s="32">
        <f>IF(A260="","",COUNTIFS($A$5:A260,A260))</f>
        <v>0</v>
      </c>
      <c r="U260" s="13">
        <f>IF(A260="","",A260&amp;"|"&amp;T260)</f>
        <v>0</v>
      </c>
      <c r="V260" s="43">
        <f>IF(A260="","",IF(B260="Not found","Check - no such product ID",IF(OR(F260="",F260=0),"Add - how many minutes?",IF(C260="","Add - which stage?",IF(AND(G260="Per batch",H260=""),"Check - using the default batch size",IF(K260&lt;MinimumWage,"Check - below minimum wage","OK"))))))</f>
        <v>0</v>
      </c>
    </row>
    <row r="261" spans="2:22">
      <c r="B261" s="13">
        <f>IF(A261="","",IFERROR(INDEX(Products!$B$5:$B$304,MATCH(A261,Products!$A$5:$A$304,0)),"Not found"))</f>
        <v>0</v>
      </c>
      <c r="K261" s="20">
        <f>IF(A261="","",IF(E261&lt;&gt;"",E261,IF(D261="Employee",ROUND(EmployeeRate*(1+PayrollBurden),2),IF(OR(D261="Contractor",D261="Outsourced"),ROUND(ContractorRate*(1+PayrollBurden),2),LaborCostHour))))</f>
        <v>0</v>
      </c>
      <c r="L261" s="41">
        <f>IF(A261="","",IF(F261="","",ROUND(F261/60,3)))</f>
        <v>0</v>
      </c>
      <c r="M261" s="32">
        <f>IF(A261="","",IF(G261="Per batch",IF(OR(H261="",H261=0),DefaultBatchSize,H261),1))</f>
        <v>0</v>
      </c>
      <c r="N261" s="20">
        <f>IF(A261="","",IF(OR(L261="",K261=""),"",ROUND(L261*K261,2)))</f>
        <v>0</v>
      </c>
      <c r="O261" s="20">
        <f>IF(A261="","",IF(N261="","",ROUND(N261/MAX(1,M261),2)))</f>
        <v>0</v>
      </c>
      <c r="P261" s="36">
        <f>IF(A261="","",IF(F261="","",ROUND(F261/MAX(1,M261),2)))</f>
        <v>0</v>
      </c>
      <c r="Q261" s="20">
        <f>IF(A261="","",IF(L261="","",ROUND(L261/MAX(1,M261)*SuppliesPerHour,2)))</f>
        <v>0</v>
      </c>
      <c r="R261" s="20">
        <f>IF(A261="","",ROUND(SUMIFS(Labor!$O$5:$O$304,Labor!$A$5:$A$304,A261),2))</f>
        <v>0</v>
      </c>
      <c r="S261" s="33">
        <f>IF(A261="","",IF(OR(O261="",R261="",R261=0),"",O261/R261))</f>
        <v>0</v>
      </c>
      <c r="T261" s="32">
        <f>IF(A261="","",COUNTIFS($A$5:A261,A261))</f>
        <v>0</v>
      </c>
      <c r="U261" s="13">
        <f>IF(A261="","",A261&amp;"|"&amp;T261)</f>
        <v>0</v>
      </c>
      <c r="V261" s="43">
        <f>IF(A261="","",IF(B261="Not found","Check - no such product ID",IF(OR(F261="",F261=0),"Add - how many minutes?",IF(C261="","Add - which stage?",IF(AND(G261="Per batch",H261=""),"Check - using the default batch size",IF(K261&lt;MinimumWage,"Check - below minimum wage","OK"))))))</f>
        <v>0</v>
      </c>
    </row>
    <row r="262" spans="2:22">
      <c r="B262" s="13">
        <f>IF(A262="","",IFERROR(INDEX(Products!$B$5:$B$304,MATCH(A262,Products!$A$5:$A$304,0)),"Not found"))</f>
        <v>0</v>
      </c>
      <c r="K262" s="20">
        <f>IF(A262="","",IF(E262&lt;&gt;"",E262,IF(D262="Employee",ROUND(EmployeeRate*(1+PayrollBurden),2),IF(OR(D262="Contractor",D262="Outsourced"),ROUND(ContractorRate*(1+PayrollBurden),2),LaborCostHour))))</f>
        <v>0</v>
      </c>
      <c r="L262" s="41">
        <f>IF(A262="","",IF(F262="","",ROUND(F262/60,3)))</f>
        <v>0</v>
      </c>
      <c r="M262" s="32">
        <f>IF(A262="","",IF(G262="Per batch",IF(OR(H262="",H262=0),DefaultBatchSize,H262),1))</f>
        <v>0</v>
      </c>
      <c r="N262" s="20">
        <f>IF(A262="","",IF(OR(L262="",K262=""),"",ROUND(L262*K262,2)))</f>
        <v>0</v>
      </c>
      <c r="O262" s="20">
        <f>IF(A262="","",IF(N262="","",ROUND(N262/MAX(1,M262),2)))</f>
        <v>0</v>
      </c>
      <c r="P262" s="36">
        <f>IF(A262="","",IF(F262="","",ROUND(F262/MAX(1,M262),2)))</f>
        <v>0</v>
      </c>
      <c r="Q262" s="20">
        <f>IF(A262="","",IF(L262="","",ROUND(L262/MAX(1,M262)*SuppliesPerHour,2)))</f>
        <v>0</v>
      </c>
      <c r="R262" s="20">
        <f>IF(A262="","",ROUND(SUMIFS(Labor!$O$5:$O$304,Labor!$A$5:$A$304,A262),2))</f>
        <v>0</v>
      </c>
      <c r="S262" s="33">
        <f>IF(A262="","",IF(OR(O262="",R262="",R262=0),"",O262/R262))</f>
        <v>0</v>
      </c>
      <c r="T262" s="32">
        <f>IF(A262="","",COUNTIFS($A$5:A262,A262))</f>
        <v>0</v>
      </c>
      <c r="U262" s="13">
        <f>IF(A262="","",A262&amp;"|"&amp;T262)</f>
        <v>0</v>
      </c>
      <c r="V262" s="43">
        <f>IF(A262="","",IF(B262="Not found","Check - no such product ID",IF(OR(F262="",F262=0),"Add - how many minutes?",IF(C262="","Add - which stage?",IF(AND(G262="Per batch",H262=""),"Check - using the default batch size",IF(K262&lt;MinimumWage,"Check - below minimum wage","OK"))))))</f>
        <v>0</v>
      </c>
    </row>
    <row r="263" spans="2:22">
      <c r="B263" s="13">
        <f>IF(A263="","",IFERROR(INDEX(Products!$B$5:$B$304,MATCH(A263,Products!$A$5:$A$304,0)),"Not found"))</f>
        <v>0</v>
      </c>
      <c r="K263" s="20">
        <f>IF(A263="","",IF(E263&lt;&gt;"",E263,IF(D263="Employee",ROUND(EmployeeRate*(1+PayrollBurden),2),IF(OR(D263="Contractor",D263="Outsourced"),ROUND(ContractorRate*(1+PayrollBurden),2),LaborCostHour))))</f>
        <v>0</v>
      </c>
      <c r="L263" s="41">
        <f>IF(A263="","",IF(F263="","",ROUND(F263/60,3)))</f>
        <v>0</v>
      </c>
      <c r="M263" s="32">
        <f>IF(A263="","",IF(G263="Per batch",IF(OR(H263="",H263=0),DefaultBatchSize,H263),1))</f>
        <v>0</v>
      </c>
      <c r="N263" s="20">
        <f>IF(A263="","",IF(OR(L263="",K263=""),"",ROUND(L263*K263,2)))</f>
        <v>0</v>
      </c>
      <c r="O263" s="20">
        <f>IF(A263="","",IF(N263="","",ROUND(N263/MAX(1,M263),2)))</f>
        <v>0</v>
      </c>
      <c r="P263" s="36">
        <f>IF(A263="","",IF(F263="","",ROUND(F263/MAX(1,M263),2)))</f>
        <v>0</v>
      </c>
      <c r="Q263" s="20">
        <f>IF(A263="","",IF(L263="","",ROUND(L263/MAX(1,M263)*SuppliesPerHour,2)))</f>
        <v>0</v>
      </c>
      <c r="R263" s="20">
        <f>IF(A263="","",ROUND(SUMIFS(Labor!$O$5:$O$304,Labor!$A$5:$A$304,A263),2))</f>
        <v>0</v>
      </c>
      <c r="S263" s="33">
        <f>IF(A263="","",IF(OR(O263="",R263="",R263=0),"",O263/R263))</f>
        <v>0</v>
      </c>
      <c r="T263" s="32">
        <f>IF(A263="","",COUNTIFS($A$5:A263,A263))</f>
        <v>0</v>
      </c>
      <c r="U263" s="13">
        <f>IF(A263="","",A263&amp;"|"&amp;T263)</f>
        <v>0</v>
      </c>
      <c r="V263" s="43">
        <f>IF(A263="","",IF(B263="Not found","Check - no such product ID",IF(OR(F263="",F263=0),"Add - how many minutes?",IF(C263="","Add - which stage?",IF(AND(G263="Per batch",H263=""),"Check - using the default batch size",IF(K263&lt;MinimumWage,"Check - below minimum wage","OK"))))))</f>
        <v>0</v>
      </c>
    </row>
    <row r="264" spans="2:22">
      <c r="B264" s="13">
        <f>IF(A264="","",IFERROR(INDEX(Products!$B$5:$B$304,MATCH(A264,Products!$A$5:$A$304,0)),"Not found"))</f>
        <v>0</v>
      </c>
      <c r="K264" s="20">
        <f>IF(A264="","",IF(E264&lt;&gt;"",E264,IF(D264="Employee",ROUND(EmployeeRate*(1+PayrollBurden),2),IF(OR(D264="Contractor",D264="Outsourced"),ROUND(ContractorRate*(1+PayrollBurden),2),LaborCostHour))))</f>
        <v>0</v>
      </c>
      <c r="L264" s="41">
        <f>IF(A264="","",IF(F264="","",ROUND(F264/60,3)))</f>
        <v>0</v>
      </c>
      <c r="M264" s="32">
        <f>IF(A264="","",IF(G264="Per batch",IF(OR(H264="",H264=0),DefaultBatchSize,H264),1))</f>
        <v>0</v>
      </c>
      <c r="N264" s="20">
        <f>IF(A264="","",IF(OR(L264="",K264=""),"",ROUND(L264*K264,2)))</f>
        <v>0</v>
      </c>
      <c r="O264" s="20">
        <f>IF(A264="","",IF(N264="","",ROUND(N264/MAX(1,M264),2)))</f>
        <v>0</v>
      </c>
      <c r="P264" s="36">
        <f>IF(A264="","",IF(F264="","",ROUND(F264/MAX(1,M264),2)))</f>
        <v>0</v>
      </c>
      <c r="Q264" s="20">
        <f>IF(A264="","",IF(L264="","",ROUND(L264/MAX(1,M264)*SuppliesPerHour,2)))</f>
        <v>0</v>
      </c>
      <c r="R264" s="20">
        <f>IF(A264="","",ROUND(SUMIFS(Labor!$O$5:$O$304,Labor!$A$5:$A$304,A264),2))</f>
        <v>0</v>
      </c>
      <c r="S264" s="33">
        <f>IF(A264="","",IF(OR(O264="",R264="",R264=0),"",O264/R264))</f>
        <v>0</v>
      </c>
      <c r="T264" s="32">
        <f>IF(A264="","",COUNTIFS($A$5:A264,A264))</f>
        <v>0</v>
      </c>
      <c r="U264" s="13">
        <f>IF(A264="","",A264&amp;"|"&amp;T264)</f>
        <v>0</v>
      </c>
      <c r="V264" s="43">
        <f>IF(A264="","",IF(B264="Not found","Check - no such product ID",IF(OR(F264="",F264=0),"Add - how many minutes?",IF(C264="","Add - which stage?",IF(AND(G264="Per batch",H264=""),"Check - using the default batch size",IF(K264&lt;MinimumWage,"Check - below minimum wage","OK"))))))</f>
        <v>0</v>
      </c>
    </row>
    <row r="265" spans="2:22">
      <c r="B265" s="13">
        <f>IF(A265="","",IFERROR(INDEX(Products!$B$5:$B$304,MATCH(A265,Products!$A$5:$A$304,0)),"Not found"))</f>
        <v>0</v>
      </c>
      <c r="K265" s="20">
        <f>IF(A265="","",IF(E265&lt;&gt;"",E265,IF(D265="Employee",ROUND(EmployeeRate*(1+PayrollBurden),2),IF(OR(D265="Contractor",D265="Outsourced"),ROUND(ContractorRate*(1+PayrollBurden),2),LaborCostHour))))</f>
        <v>0</v>
      </c>
      <c r="L265" s="41">
        <f>IF(A265="","",IF(F265="","",ROUND(F265/60,3)))</f>
        <v>0</v>
      </c>
      <c r="M265" s="32">
        <f>IF(A265="","",IF(G265="Per batch",IF(OR(H265="",H265=0),DefaultBatchSize,H265),1))</f>
        <v>0</v>
      </c>
      <c r="N265" s="20">
        <f>IF(A265="","",IF(OR(L265="",K265=""),"",ROUND(L265*K265,2)))</f>
        <v>0</v>
      </c>
      <c r="O265" s="20">
        <f>IF(A265="","",IF(N265="","",ROUND(N265/MAX(1,M265),2)))</f>
        <v>0</v>
      </c>
      <c r="P265" s="36">
        <f>IF(A265="","",IF(F265="","",ROUND(F265/MAX(1,M265),2)))</f>
        <v>0</v>
      </c>
      <c r="Q265" s="20">
        <f>IF(A265="","",IF(L265="","",ROUND(L265/MAX(1,M265)*SuppliesPerHour,2)))</f>
        <v>0</v>
      </c>
      <c r="R265" s="20">
        <f>IF(A265="","",ROUND(SUMIFS(Labor!$O$5:$O$304,Labor!$A$5:$A$304,A265),2))</f>
        <v>0</v>
      </c>
      <c r="S265" s="33">
        <f>IF(A265="","",IF(OR(O265="",R265="",R265=0),"",O265/R265))</f>
        <v>0</v>
      </c>
      <c r="T265" s="32">
        <f>IF(A265="","",COUNTIFS($A$5:A265,A265))</f>
        <v>0</v>
      </c>
      <c r="U265" s="13">
        <f>IF(A265="","",A265&amp;"|"&amp;T265)</f>
        <v>0</v>
      </c>
      <c r="V265" s="43">
        <f>IF(A265="","",IF(B265="Not found","Check - no such product ID",IF(OR(F265="",F265=0),"Add - how many minutes?",IF(C265="","Add - which stage?",IF(AND(G265="Per batch",H265=""),"Check - using the default batch size",IF(K265&lt;MinimumWage,"Check - below minimum wage","OK"))))))</f>
        <v>0</v>
      </c>
    </row>
    <row r="266" spans="2:22">
      <c r="B266" s="13">
        <f>IF(A266="","",IFERROR(INDEX(Products!$B$5:$B$304,MATCH(A266,Products!$A$5:$A$304,0)),"Not found"))</f>
        <v>0</v>
      </c>
      <c r="K266" s="20">
        <f>IF(A266="","",IF(E266&lt;&gt;"",E266,IF(D266="Employee",ROUND(EmployeeRate*(1+PayrollBurden),2),IF(OR(D266="Contractor",D266="Outsourced"),ROUND(ContractorRate*(1+PayrollBurden),2),LaborCostHour))))</f>
        <v>0</v>
      </c>
      <c r="L266" s="41">
        <f>IF(A266="","",IF(F266="","",ROUND(F266/60,3)))</f>
        <v>0</v>
      </c>
      <c r="M266" s="32">
        <f>IF(A266="","",IF(G266="Per batch",IF(OR(H266="",H266=0),DefaultBatchSize,H266),1))</f>
        <v>0</v>
      </c>
      <c r="N266" s="20">
        <f>IF(A266="","",IF(OR(L266="",K266=""),"",ROUND(L266*K266,2)))</f>
        <v>0</v>
      </c>
      <c r="O266" s="20">
        <f>IF(A266="","",IF(N266="","",ROUND(N266/MAX(1,M266),2)))</f>
        <v>0</v>
      </c>
      <c r="P266" s="36">
        <f>IF(A266="","",IF(F266="","",ROUND(F266/MAX(1,M266),2)))</f>
        <v>0</v>
      </c>
      <c r="Q266" s="20">
        <f>IF(A266="","",IF(L266="","",ROUND(L266/MAX(1,M266)*SuppliesPerHour,2)))</f>
        <v>0</v>
      </c>
      <c r="R266" s="20">
        <f>IF(A266="","",ROUND(SUMIFS(Labor!$O$5:$O$304,Labor!$A$5:$A$304,A266),2))</f>
        <v>0</v>
      </c>
      <c r="S266" s="33">
        <f>IF(A266="","",IF(OR(O266="",R266="",R266=0),"",O266/R266))</f>
        <v>0</v>
      </c>
      <c r="T266" s="32">
        <f>IF(A266="","",COUNTIFS($A$5:A266,A266))</f>
        <v>0</v>
      </c>
      <c r="U266" s="13">
        <f>IF(A266="","",A266&amp;"|"&amp;T266)</f>
        <v>0</v>
      </c>
      <c r="V266" s="43">
        <f>IF(A266="","",IF(B266="Not found","Check - no such product ID",IF(OR(F266="",F266=0),"Add - how many minutes?",IF(C266="","Add - which stage?",IF(AND(G266="Per batch",H266=""),"Check - using the default batch size",IF(K266&lt;MinimumWage,"Check - below minimum wage","OK"))))))</f>
        <v>0</v>
      </c>
    </row>
    <row r="267" spans="2:22">
      <c r="B267" s="13">
        <f>IF(A267="","",IFERROR(INDEX(Products!$B$5:$B$304,MATCH(A267,Products!$A$5:$A$304,0)),"Not found"))</f>
        <v>0</v>
      </c>
      <c r="K267" s="20">
        <f>IF(A267="","",IF(E267&lt;&gt;"",E267,IF(D267="Employee",ROUND(EmployeeRate*(1+PayrollBurden),2),IF(OR(D267="Contractor",D267="Outsourced"),ROUND(ContractorRate*(1+PayrollBurden),2),LaborCostHour))))</f>
        <v>0</v>
      </c>
      <c r="L267" s="41">
        <f>IF(A267="","",IF(F267="","",ROUND(F267/60,3)))</f>
        <v>0</v>
      </c>
      <c r="M267" s="32">
        <f>IF(A267="","",IF(G267="Per batch",IF(OR(H267="",H267=0),DefaultBatchSize,H267),1))</f>
        <v>0</v>
      </c>
      <c r="N267" s="20">
        <f>IF(A267="","",IF(OR(L267="",K267=""),"",ROUND(L267*K267,2)))</f>
        <v>0</v>
      </c>
      <c r="O267" s="20">
        <f>IF(A267="","",IF(N267="","",ROUND(N267/MAX(1,M267),2)))</f>
        <v>0</v>
      </c>
      <c r="P267" s="36">
        <f>IF(A267="","",IF(F267="","",ROUND(F267/MAX(1,M267),2)))</f>
        <v>0</v>
      </c>
      <c r="Q267" s="20">
        <f>IF(A267="","",IF(L267="","",ROUND(L267/MAX(1,M267)*SuppliesPerHour,2)))</f>
        <v>0</v>
      </c>
      <c r="R267" s="20">
        <f>IF(A267="","",ROUND(SUMIFS(Labor!$O$5:$O$304,Labor!$A$5:$A$304,A267),2))</f>
        <v>0</v>
      </c>
      <c r="S267" s="33">
        <f>IF(A267="","",IF(OR(O267="",R267="",R267=0),"",O267/R267))</f>
        <v>0</v>
      </c>
      <c r="T267" s="32">
        <f>IF(A267="","",COUNTIFS($A$5:A267,A267))</f>
        <v>0</v>
      </c>
      <c r="U267" s="13">
        <f>IF(A267="","",A267&amp;"|"&amp;T267)</f>
        <v>0</v>
      </c>
      <c r="V267" s="43">
        <f>IF(A267="","",IF(B267="Not found","Check - no such product ID",IF(OR(F267="",F267=0),"Add - how many minutes?",IF(C267="","Add - which stage?",IF(AND(G267="Per batch",H267=""),"Check - using the default batch size",IF(K267&lt;MinimumWage,"Check - below minimum wage","OK"))))))</f>
        <v>0</v>
      </c>
    </row>
    <row r="268" spans="2:22">
      <c r="B268" s="13">
        <f>IF(A268="","",IFERROR(INDEX(Products!$B$5:$B$304,MATCH(A268,Products!$A$5:$A$304,0)),"Not found"))</f>
        <v>0</v>
      </c>
      <c r="K268" s="20">
        <f>IF(A268="","",IF(E268&lt;&gt;"",E268,IF(D268="Employee",ROUND(EmployeeRate*(1+PayrollBurden),2),IF(OR(D268="Contractor",D268="Outsourced"),ROUND(ContractorRate*(1+PayrollBurden),2),LaborCostHour))))</f>
        <v>0</v>
      </c>
      <c r="L268" s="41">
        <f>IF(A268="","",IF(F268="","",ROUND(F268/60,3)))</f>
        <v>0</v>
      </c>
      <c r="M268" s="32">
        <f>IF(A268="","",IF(G268="Per batch",IF(OR(H268="",H268=0),DefaultBatchSize,H268),1))</f>
        <v>0</v>
      </c>
      <c r="N268" s="20">
        <f>IF(A268="","",IF(OR(L268="",K268=""),"",ROUND(L268*K268,2)))</f>
        <v>0</v>
      </c>
      <c r="O268" s="20">
        <f>IF(A268="","",IF(N268="","",ROUND(N268/MAX(1,M268),2)))</f>
        <v>0</v>
      </c>
      <c r="P268" s="36">
        <f>IF(A268="","",IF(F268="","",ROUND(F268/MAX(1,M268),2)))</f>
        <v>0</v>
      </c>
      <c r="Q268" s="20">
        <f>IF(A268="","",IF(L268="","",ROUND(L268/MAX(1,M268)*SuppliesPerHour,2)))</f>
        <v>0</v>
      </c>
      <c r="R268" s="20">
        <f>IF(A268="","",ROUND(SUMIFS(Labor!$O$5:$O$304,Labor!$A$5:$A$304,A268),2))</f>
        <v>0</v>
      </c>
      <c r="S268" s="33">
        <f>IF(A268="","",IF(OR(O268="",R268="",R268=0),"",O268/R268))</f>
        <v>0</v>
      </c>
      <c r="T268" s="32">
        <f>IF(A268="","",COUNTIFS($A$5:A268,A268))</f>
        <v>0</v>
      </c>
      <c r="U268" s="13">
        <f>IF(A268="","",A268&amp;"|"&amp;T268)</f>
        <v>0</v>
      </c>
      <c r="V268" s="43">
        <f>IF(A268="","",IF(B268="Not found","Check - no such product ID",IF(OR(F268="",F268=0),"Add - how many minutes?",IF(C268="","Add - which stage?",IF(AND(G268="Per batch",H268=""),"Check - using the default batch size",IF(K268&lt;MinimumWage,"Check - below minimum wage","OK"))))))</f>
        <v>0</v>
      </c>
    </row>
    <row r="269" spans="2:22">
      <c r="B269" s="13">
        <f>IF(A269="","",IFERROR(INDEX(Products!$B$5:$B$304,MATCH(A269,Products!$A$5:$A$304,0)),"Not found"))</f>
        <v>0</v>
      </c>
      <c r="K269" s="20">
        <f>IF(A269="","",IF(E269&lt;&gt;"",E269,IF(D269="Employee",ROUND(EmployeeRate*(1+PayrollBurden),2),IF(OR(D269="Contractor",D269="Outsourced"),ROUND(ContractorRate*(1+PayrollBurden),2),LaborCostHour))))</f>
        <v>0</v>
      </c>
      <c r="L269" s="41">
        <f>IF(A269="","",IF(F269="","",ROUND(F269/60,3)))</f>
        <v>0</v>
      </c>
      <c r="M269" s="32">
        <f>IF(A269="","",IF(G269="Per batch",IF(OR(H269="",H269=0),DefaultBatchSize,H269),1))</f>
        <v>0</v>
      </c>
      <c r="N269" s="20">
        <f>IF(A269="","",IF(OR(L269="",K269=""),"",ROUND(L269*K269,2)))</f>
        <v>0</v>
      </c>
      <c r="O269" s="20">
        <f>IF(A269="","",IF(N269="","",ROUND(N269/MAX(1,M269),2)))</f>
        <v>0</v>
      </c>
      <c r="P269" s="36">
        <f>IF(A269="","",IF(F269="","",ROUND(F269/MAX(1,M269),2)))</f>
        <v>0</v>
      </c>
      <c r="Q269" s="20">
        <f>IF(A269="","",IF(L269="","",ROUND(L269/MAX(1,M269)*SuppliesPerHour,2)))</f>
        <v>0</v>
      </c>
      <c r="R269" s="20">
        <f>IF(A269="","",ROUND(SUMIFS(Labor!$O$5:$O$304,Labor!$A$5:$A$304,A269),2))</f>
        <v>0</v>
      </c>
      <c r="S269" s="33">
        <f>IF(A269="","",IF(OR(O269="",R269="",R269=0),"",O269/R269))</f>
        <v>0</v>
      </c>
      <c r="T269" s="32">
        <f>IF(A269="","",COUNTIFS($A$5:A269,A269))</f>
        <v>0</v>
      </c>
      <c r="U269" s="13">
        <f>IF(A269="","",A269&amp;"|"&amp;T269)</f>
        <v>0</v>
      </c>
      <c r="V269" s="43">
        <f>IF(A269="","",IF(B269="Not found","Check - no such product ID",IF(OR(F269="",F269=0),"Add - how many minutes?",IF(C269="","Add - which stage?",IF(AND(G269="Per batch",H269=""),"Check - using the default batch size",IF(K269&lt;MinimumWage,"Check - below minimum wage","OK"))))))</f>
        <v>0</v>
      </c>
    </row>
    <row r="270" spans="2:22">
      <c r="B270" s="13">
        <f>IF(A270="","",IFERROR(INDEX(Products!$B$5:$B$304,MATCH(A270,Products!$A$5:$A$304,0)),"Not found"))</f>
        <v>0</v>
      </c>
      <c r="K270" s="20">
        <f>IF(A270="","",IF(E270&lt;&gt;"",E270,IF(D270="Employee",ROUND(EmployeeRate*(1+PayrollBurden),2),IF(OR(D270="Contractor",D270="Outsourced"),ROUND(ContractorRate*(1+PayrollBurden),2),LaborCostHour))))</f>
        <v>0</v>
      </c>
      <c r="L270" s="41">
        <f>IF(A270="","",IF(F270="","",ROUND(F270/60,3)))</f>
        <v>0</v>
      </c>
      <c r="M270" s="32">
        <f>IF(A270="","",IF(G270="Per batch",IF(OR(H270="",H270=0),DefaultBatchSize,H270),1))</f>
        <v>0</v>
      </c>
      <c r="N270" s="20">
        <f>IF(A270="","",IF(OR(L270="",K270=""),"",ROUND(L270*K270,2)))</f>
        <v>0</v>
      </c>
      <c r="O270" s="20">
        <f>IF(A270="","",IF(N270="","",ROUND(N270/MAX(1,M270),2)))</f>
        <v>0</v>
      </c>
      <c r="P270" s="36">
        <f>IF(A270="","",IF(F270="","",ROUND(F270/MAX(1,M270),2)))</f>
        <v>0</v>
      </c>
      <c r="Q270" s="20">
        <f>IF(A270="","",IF(L270="","",ROUND(L270/MAX(1,M270)*SuppliesPerHour,2)))</f>
        <v>0</v>
      </c>
      <c r="R270" s="20">
        <f>IF(A270="","",ROUND(SUMIFS(Labor!$O$5:$O$304,Labor!$A$5:$A$304,A270),2))</f>
        <v>0</v>
      </c>
      <c r="S270" s="33">
        <f>IF(A270="","",IF(OR(O270="",R270="",R270=0),"",O270/R270))</f>
        <v>0</v>
      </c>
      <c r="T270" s="32">
        <f>IF(A270="","",COUNTIFS($A$5:A270,A270))</f>
        <v>0</v>
      </c>
      <c r="U270" s="13">
        <f>IF(A270="","",A270&amp;"|"&amp;T270)</f>
        <v>0</v>
      </c>
      <c r="V270" s="43">
        <f>IF(A270="","",IF(B270="Not found","Check - no such product ID",IF(OR(F270="",F270=0),"Add - how many minutes?",IF(C270="","Add - which stage?",IF(AND(G270="Per batch",H270=""),"Check - using the default batch size",IF(K270&lt;MinimumWage,"Check - below minimum wage","OK"))))))</f>
        <v>0</v>
      </c>
    </row>
    <row r="271" spans="2:22">
      <c r="B271" s="13">
        <f>IF(A271="","",IFERROR(INDEX(Products!$B$5:$B$304,MATCH(A271,Products!$A$5:$A$304,0)),"Not found"))</f>
        <v>0</v>
      </c>
      <c r="K271" s="20">
        <f>IF(A271="","",IF(E271&lt;&gt;"",E271,IF(D271="Employee",ROUND(EmployeeRate*(1+PayrollBurden),2),IF(OR(D271="Contractor",D271="Outsourced"),ROUND(ContractorRate*(1+PayrollBurden),2),LaborCostHour))))</f>
        <v>0</v>
      </c>
      <c r="L271" s="41">
        <f>IF(A271="","",IF(F271="","",ROUND(F271/60,3)))</f>
        <v>0</v>
      </c>
      <c r="M271" s="32">
        <f>IF(A271="","",IF(G271="Per batch",IF(OR(H271="",H271=0),DefaultBatchSize,H271),1))</f>
        <v>0</v>
      </c>
      <c r="N271" s="20">
        <f>IF(A271="","",IF(OR(L271="",K271=""),"",ROUND(L271*K271,2)))</f>
        <v>0</v>
      </c>
      <c r="O271" s="20">
        <f>IF(A271="","",IF(N271="","",ROUND(N271/MAX(1,M271),2)))</f>
        <v>0</v>
      </c>
      <c r="P271" s="36">
        <f>IF(A271="","",IF(F271="","",ROUND(F271/MAX(1,M271),2)))</f>
        <v>0</v>
      </c>
      <c r="Q271" s="20">
        <f>IF(A271="","",IF(L271="","",ROUND(L271/MAX(1,M271)*SuppliesPerHour,2)))</f>
        <v>0</v>
      </c>
      <c r="R271" s="20">
        <f>IF(A271="","",ROUND(SUMIFS(Labor!$O$5:$O$304,Labor!$A$5:$A$304,A271),2))</f>
        <v>0</v>
      </c>
      <c r="S271" s="33">
        <f>IF(A271="","",IF(OR(O271="",R271="",R271=0),"",O271/R271))</f>
        <v>0</v>
      </c>
      <c r="T271" s="32">
        <f>IF(A271="","",COUNTIFS($A$5:A271,A271))</f>
        <v>0</v>
      </c>
      <c r="U271" s="13">
        <f>IF(A271="","",A271&amp;"|"&amp;T271)</f>
        <v>0</v>
      </c>
      <c r="V271" s="43">
        <f>IF(A271="","",IF(B271="Not found","Check - no such product ID",IF(OR(F271="",F271=0),"Add - how many minutes?",IF(C271="","Add - which stage?",IF(AND(G271="Per batch",H271=""),"Check - using the default batch size",IF(K271&lt;MinimumWage,"Check - below minimum wage","OK"))))))</f>
        <v>0</v>
      </c>
    </row>
    <row r="272" spans="2:22">
      <c r="B272" s="13">
        <f>IF(A272="","",IFERROR(INDEX(Products!$B$5:$B$304,MATCH(A272,Products!$A$5:$A$304,0)),"Not found"))</f>
        <v>0</v>
      </c>
      <c r="K272" s="20">
        <f>IF(A272="","",IF(E272&lt;&gt;"",E272,IF(D272="Employee",ROUND(EmployeeRate*(1+PayrollBurden),2),IF(OR(D272="Contractor",D272="Outsourced"),ROUND(ContractorRate*(1+PayrollBurden),2),LaborCostHour))))</f>
        <v>0</v>
      </c>
      <c r="L272" s="41">
        <f>IF(A272="","",IF(F272="","",ROUND(F272/60,3)))</f>
        <v>0</v>
      </c>
      <c r="M272" s="32">
        <f>IF(A272="","",IF(G272="Per batch",IF(OR(H272="",H272=0),DefaultBatchSize,H272),1))</f>
        <v>0</v>
      </c>
      <c r="N272" s="20">
        <f>IF(A272="","",IF(OR(L272="",K272=""),"",ROUND(L272*K272,2)))</f>
        <v>0</v>
      </c>
      <c r="O272" s="20">
        <f>IF(A272="","",IF(N272="","",ROUND(N272/MAX(1,M272),2)))</f>
        <v>0</v>
      </c>
      <c r="P272" s="36">
        <f>IF(A272="","",IF(F272="","",ROUND(F272/MAX(1,M272),2)))</f>
        <v>0</v>
      </c>
      <c r="Q272" s="20">
        <f>IF(A272="","",IF(L272="","",ROUND(L272/MAX(1,M272)*SuppliesPerHour,2)))</f>
        <v>0</v>
      </c>
      <c r="R272" s="20">
        <f>IF(A272="","",ROUND(SUMIFS(Labor!$O$5:$O$304,Labor!$A$5:$A$304,A272),2))</f>
        <v>0</v>
      </c>
      <c r="S272" s="33">
        <f>IF(A272="","",IF(OR(O272="",R272="",R272=0),"",O272/R272))</f>
        <v>0</v>
      </c>
      <c r="T272" s="32">
        <f>IF(A272="","",COUNTIFS($A$5:A272,A272))</f>
        <v>0</v>
      </c>
      <c r="U272" s="13">
        <f>IF(A272="","",A272&amp;"|"&amp;T272)</f>
        <v>0</v>
      </c>
      <c r="V272" s="43">
        <f>IF(A272="","",IF(B272="Not found","Check - no such product ID",IF(OR(F272="",F272=0),"Add - how many minutes?",IF(C272="","Add - which stage?",IF(AND(G272="Per batch",H272=""),"Check - using the default batch size",IF(K272&lt;MinimumWage,"Check - below minimum wage","OK"))))))</f>
        <v>0</v>
      </c>
    </row>
    <row r="273" spans="2:22">
      <c r="B273" s="13">
        <f>IF(A273="","",IFERROR(INDEX(Products!$B$5:$B$304,MATCH(A273,Products!$A$5:$A$304,0)),"Not found"))</f>
        <v>0</v>
      </c>
      <c r="K273" s="20">
        <f>IF(A273="","",IF(E273&lt;&gt;"",E273,IF(D273="Employee",ROUND(EmployeeRate*(1+PayrollBurden),2),IF(OR(D273="Contractor",D273="Outsourced"),ROUND(ContractorRate*(1+PayrollBurden),2),LaborCostHour))))</f>
        <v>0</v>
      </c>
      <c r="L273" s="41">
        <f>IF(A273="","",IF(F273="","",ROUND(F273/60,3)))</f>
        <v>0</v>
      </c>
      <c r="M273" s="32">
        <f>IF(A273="","",IF(G273="Per batch",IF(OR(H273="",H273=0),DefaultBatchSize,H273),1))</f>
        <v>0</v>
      </c>
      <c r="N273" s="20">
        <f>IF(A273="","",IF(OR(L273="",K273=""),"",ROUND(L273*K273,2)))</f>
        <v>0</v>
      </c>
      <c r="O273" s="20">
        <f>IF(A273="","",IF(N273="","",ROUND(N273/MAX(1,M273),2)))</f>
        <v>0</v>
      </c>
      <c r="P273" s="36">
        <f>IF(A273="","",IF(F273="","",ROUND(F273/MAX(1,M273),2)))</f>
        <v>0</v>
      </c>
      <c r="Q273" s="20">
        <f>IF(A273="","",IF(L273="","",ROUND(L273/MAX(1,M273)*SuppliesPerHour,2)))</f>
        <v>0</v>
      </c>
      <c r="R273" s="20">
        <f>IF(A273="","",ROUND(SUMIFS(Labor!$O$5:$O$304,Labor!$A$5:$A$304,A273),2))</f>
        <v>0</v>
      </c>
      <c r="S273" s="33">
        <f>IF(A273="","",IF(OR(O273="",R273="",R273=0),"",O273/R273))</f>
        <v>0</v>
      </c>
      <c r="T273" s="32">
        <f>IF(A273="","",COUNTIFS($A$5:A273,A273))</f>
        <v>0</v>
      </c>
      <c r="U273" s="13">
        <f>IF(A273="","",A273&amp;"|"&amp;T273)</f>
        <v>0</v>
      </c>
      <c r="V273" s="43">
        <f>IF(A273="","",IF(B273="Not found","Check - no such product ID",IF(OR(F273="",F273=0),"Add - how many minutes?",IF(C273="","Add - which stage?",IF(AND(G273="Per batch",H273=""),"Check - using the default batch size",IF(K273&lt;MinimumWage,"Check - below minimum wage","OK"))))))</f>
        <v>0</v>
      </c>
    </row>
    <row r="274" spans="2:22">
      <c r="B274" s="13">
        <f>IF(A274="","",IFERROR(INDEX(Products!$B$5:$B$304,MATCH(A274,Products!$A$5:$A$304,0)),"Not found"))</f>
        <v>0</v>
      </c>
      <c r="K274" s="20">
        <f>IF(A274="","",IF(E274&lt;&gt;"",E274,IF(D274="Employee",ROUND(EmployeeRate*(1+PayrollBurden),2),IF(OR(D274="Contractor",D274="Outsourced"),ROUND(ContractorRate*(1+PayrollBurden),2),LaborCostHour))))</f>
        <v>0</v>
      </c>
      <c r="L274" s="41">
        <f>IF(A274="","",IF(F274="","",ROUND(F274/60,3)))</f>
        <v>0</v>
      </c>
      <c r="M274" s="32">
        <f>IF(A274="","",IF(G274="Per batch",IF(OR(H274="",H274=0),DefaultBatchSize,H274),1))</f>
        <v>0</v>
      </c>
      <c r="N274" s="20">
        <f>IF(A274="","",IF(OR(L274="",K274=""),"",ROUND(L274*K274,2)))</f>
        <v>0</v>
      </c>
      <c r="O274" s="20">
        <f>IF(A274="","",IF(N274="","",ROUND(N274/MAX(1,M274),2)))</f>
        <v>0</v>
      </c>
      <c r="P274" s="36">
        <f>IF(A274="","",IF(F274="","",ROUND(F274/MAX(1,M274),2)))</f>
        <v>0</v>
      </c>
      <c r="Q274" s="20">
        <f>IF(A274="","",IF(L274="","",ROUND(L274/MAX(1,M274)*SuppliesPerHour,2)))</f>
        <v>0</v>
      </c>
      <c r="R274" s="20">
        <f>IF(A274="","",ROUND(SUMIFS(Labor!$O$5:$O$304,Labor!$A$5:$A$304,A274),2))</f>
        <v>0</v>
      </c>
      <c r="S274" s="33">
        <f>IF(A274="","",IF(OR(O274="",R274="",R274=0),"",O274/R274))</f>
        <v>0</v>
      </c>
      <c r="T274" s="32">
        <f>IF(A274="","",COUNTIFS($A$5:A274,A274))</f>
        <v>0</v>
      </c>
      <c r="U274" s="13">
        <f>IF(A274="","",A274&amp;"|"&amp;T274)</f>
        <v>0</v>
      </c>
      <c r="V274" s="43">
        <f>IF(A274="","",IF(B274="Not found","Check - no such product ID",IF(OR(F274="",F274=0),"Add - how many minutes?",IF(C274="","Add - which stage?",IF(AND(G274="Per batch",H274=""),"Check - using the default batch size",IF(K274&lt;MinimumWage,"Check - below minimum wage","OK"))))))</f>
        <v>0</v>
      </c>
    </row>
    <row r="275" spans="2:22">
      <c r="B275" s="13">
        <f>IF(A275="","",IFERROR(INDEX(Products!$B$5:$B$304,MATCH(A275,Products!$A$5:$A$304,0)),"Not found"))</f>
        <v>0</v>
      </c>
      <c r="K275" s="20">
        <f>IF(A275="","",IF(E275&lt;&gt;"",E275,IF(D275="Employee",ROUND(EmployeeRate*(1+PayrollBurden),2),IF(OR(D275="Contractor",D275="Outsourced"),ROUND(ContractorRate*(1+PayrollBurden),2),LaborCostHour))))</f>
        <v>0</v>
      </c>
      <c r="L275" s="41">
        <f>IF(A275="","",IF(F275="","",ROUND(F275/60,3)))</f>
        <v>0</v>
      </c>
      <c r="M275" s="32">
        <f>IF(A275="","",IF(G275="Per batch",IF(OR(H275="",H275=0),DefaultBatchSize,H275),1))</f>
        <v>0</v>
      </c>
      <c r="N275" s="20">
        <f>IF(A275="","",IF(OR(L275="",K275=""),"",ROUND(L275*K275,2)))</f>
        <v>0</v>
      </c>
      <c r="O275" s="20">
        <f>IF(A275="","",IF(N275="","",ROUND(N275/MAX(1,M275),2)))</f>
        <v>0</v>
      </c>
      <c r="P275" s="36">
        <f>IF(A275="","",IF(F275="","",ROUND(F275/MAX(1,M275),2)))</f>
        <v>0</v>
      </c>
      <c r="Q275" s="20">
        <f>IF(A275="","",IF(L275="","",ROUND(L275/MAX(1,M275)*SuppliesPerHour,2)))</f>
        <v>0</v>
      </c>
      <c r="R275" s="20">
        <f>IF(A275="","",ROUND(SUMIFS(Labor!$O$5:$O$304,Labor!$A$5:$A$304,A275),2))</f>
        <v>0</v>
      </c>
      <c r="S275" s="33">
        <f>IF(A275="","",IF(OR(O275="",R275="",R275=0),"",O275/R275))</f>
        <v>0</v>
      </c>
      <c r="T275" s="32">
        <f>IF(A275="","",COUNTIFS($A$5:A275,A275))</f>
        <v>0</v>
      </c>
      <c r="U275" s="13">
        <f>IF(A275="","",A275&amp;"|"&amp;T275)</f>
        <v>0</v>
      </c>
      <c r="V275" s="43">
        <f>IF(A275="","",IF(B275="Not found","Check - no such product ID",IF(OR(F275="",F275=0),"Add - how many minutes?",IF(C275="","Add - which stage?",IF(AND(G275="Per batch",H275=""),"Check - using the default batch size",IF(K275&lt;MinimumWage,"Check - below minimum wage","OK"))))))</f>
        <v>0</v>
      </c>
    </row>
    <row r="276" spans="2:22">
      <c r="B276" s="13">
        <f>IF(A276="","",IFERROR(INDEX(Products!$B$5:$B$304,MATCH(A276,Products!$A$5:$A$304,0)),"Not found"))</f>
        <v>0</v>
      </c>
      <c r="K276" s="20">
        <f>IF(A276="","",IF(E276&lt;&gt;"",E276,IF(D276="Employee",ROUND(EmployeeRate*(1+PayrollBurden),2),IF(OR(D276="Contractor",D276="Outsourced"),ROUND(ContractorRate*(1+PayrollBurden),2),LaborCostHour))))</f>
        <v>0</v>
      </c>
      <c r="L276" s="41">
        <f>IF(A276="","",IF(F276="","",ROUND(F276/60,3)))</f>
        <v>0</v>
      </c>
      <c r="M276" s="32">
        <f>IF(A276="","",IF(G276="Per batch",IF(OR(H276="",H276=0),DefaultBatchSize,H276),1))</f>
        <v>0</v>
      </c>
      <c r="N276" s="20">
        <f>IF(A276="","",IF(OR(L276="",K276=""),"",ROUND(L276*K276,2)))</f>
        <v>0</v>
      </c>
      <c r="O276" s="20">
        <f>IF(A276="","",IF(N276="","",ROUND(N276/MAX(1,M276),2)))</f>
        <v>0</v>
      </c>
      <c r="P276" s="36">
        <f>IF(A276="","",IF(F276="","",ROUND(F276/MAX(1,M276),2)))</f>
        <v>0</v>
      </c>
      <c r="Q276" s="20">
        <f>IF(A276="","",IF(L276="","",ROUND(L276/MAX(1,M276)*SuppliesPerHour,2)))</f>
        <v>0</v>
      </c>
      <c r="R276" s="20">
        <f>IF(A276="","",ROUND(SUMIFS(Labor!$O$5:$O$304,Labor!$A$5:$A$304,A276),2))</f>
        <v>0</v>
      </c>
      <c r="S276" s="33">
        <f>IF(A276="","",IF(OR(O276="",R276="",R276=0),"",O276/R276))</f>
        <v>0</v>
      </c>
      <c r="T276" s="32">
        <f>IF(A276="","",COUNTIFS($A$5:A276,A276))</f>
        <v>0</v>
      </c>
      <c r="U276" s="13">
        <f>IF(A276="","",A276&amp;"|"&amp;T276)</f>
        <v>0</v>
      </c>
      <c r="V276" s="43">
        <f>IF(A276="","",IF(B276="Not found","Check - no such product ID",IF(OR(F276="",F276=0),"Add - how many minutes?",IF(C276="","Add - which stage?",IF(AND(G276="Per batch",H276=""),"Check - using the default batch size",IF(K276&lt;MinimumWage,"Check - below minimum wage","OK"))))))</f>
        <v>0</v>
      </c>
    </row>
    <row r="277" spans="2:22">
      <c r="B277" s="13">
        <f>IF(A277="","",IFERROR(INDEX(Products!$B$5:$B$304,MATCH(A277,Products!$A$5:$A$304,0)),"Not found"))</f>
        <v>0</v>
      </c>
      <c r="K277" s="20">
        <f>IF(A277="","",IF(E277&lt;&gt;"",E277,IF(D277="Employee",ROUND(EmployeeRate*(1+PayrollBurden),2),IF(OR(D277="Contractor",D277="Outsourced"),ROUND(ContractorRate*(1+PayrollBurden),2),LaborCostHour))))</f>
        <v>0</v>
      </c>
      <c r="L277" s="41">
        <f>IF(A277="","",IF(F277="","",ROUND(F277/60,3)))</f>
        <v>0</v>
      </c>
      <c r="M277" s="32">
        <f>IF(A277="","",IF(G277="Per batch",IF(OR(H277="",H277=0),DefaultBatchSize,H277),1))</f>
        <v>0</v>
      </c>
      <c r="N277" s="20">
        <f>IF(A277="","",IF(OR(L277="",K277=""),"",ROUND(L277*K277,2)))</f>
        <v>0</v>
      </c>
      <c r="O277" s="20">
        <f>IF(A277="","",IF(N277="","",ROUND(N277/MAX(1,M277),2)))</f>
        <v>0</v>
      </c>
      <c r="P277" s="36">
        <f>IF(A277="","",IF(F277="","",ROUND(F277/MAX(1,M277),2)))</f>
        <v>0</v>
      </c>
      <c r="Q277" s="20">
        <f>IF(A277="","",IF(L277="","",ROUND(L277/MAX(1,M277)*SuppliesPerHour,2)))</f>
        <v>0</v>
      </c>
      <c r="R277" s="20">
        <f>IF(A277="","",ROUND(SUMIFS(Labor!$O$5:$O$304,Labor!$A$5:$A$304,A277),2))</f>
        <v>0</v>
      </c>
      <c r="S277" s="33">
        <f>IF(A277="","",IF(OR(O277="",R277="",R277=0),"",O277/R277))</f>
        <v>0</v>
      </c>
      <c r="T277" s="32">
        <f>IF(A277="","",COUNTIFS($A$5:A277,A277))</f>
        <v>0</v>
      </c>
      <c r="U277" s="13">
        <f>IF(A277="","",A277&amp;"|"&amp;T277)</f>
        <v>0</v>
      </c>
      <c r="V277" s="43">
        <f>IF(A277="","",IF(B277="Not found","Check - no such product ID",IF(OR(F277="",F277=0),"Add - how many minutes?",IF(C277="","Add - which stage?",IF(AND(G277="Per batch",H277=""),"Check - using the default batch size",IF(K277&lt;MinimumWage,"Check - below minimum wage","OK"))))))</f>
        <v>0</v>
      </c>
    </row>
    <row r="278" spans="2:22">
      <c r="B278" s="13">
        <f>IF(A278="","",IFERROR(INDEX(Products!$B$5:$B$304,MATCH(A278,Products!$A$5:$A$304,0)),"Not found"))</f>
        <v>0</v>
      </c>
      <c r="K278" s="20">
        <f>IF(A278="","",IF(E278&lt;&gt;"",E278,IF(D278="Employee",ROUND(EmployeeRate*(1+PayrollBurden),2),IF(OR(D278="Contractor",D278="Outsourced"),ROUND(ContractorRate*(1+PayrollBurden),2),LaborCostHour))))</f>
        <v>0</v>
      </c>
      <c r="L278" s="41">
        <f>IF(A278="","",IF(F278="","",ROUND(F278/60,3)))</f>
        <v>0</v>
      </c>
      <c r="M278" s="32">
        <f>IF(A278="","",IF(G278="Per batch",IF(OR(H278="",H278=0),DefaultBatchSize,H278),1))</f>
        <v>0</v>
      </c>
      <c r="N278" s="20">
        <f>IF(A278="","",IF(OR(L278="",K278=""),"",ROUND(L278*K278,2)))</f>
        <v>0</v>
      </c>
      <c r="O278" s="20">
        <f>IF(A278="","",IF(N278="","",ROUND(N278/MAX(1,M278),2)))</f>
        <v>0</v>
      </c>
      <c r="P278" s="36">
        <f>IF(A278="","",IF(F278="","",ROUND(F278/MAX(1,M278),2)))</f>
        <v>0</v>
      </c>
      <c r="Q278" s="20">
        <f>IF(A278="","",IF(L278="","",ROUND(L278/MAX(1,M278)*SuppliesPerHour,2)))</f>
        <v>0</v>
      </c>
      <c r="R278" s="20">
        <f>IF(A278="","",ROUND(SUMIFS(Labor!$O$5:$O$304,Labor!$A$5:$A$304,A278),2))</f>
        <v>0</v>
      </c>
      <c r="S278" s="33">
        <f>IF(A278="","",IF(OR(O278="",R278="",R278=0),"",O278/R278))</f>
        <v>0</v>
      </c>
      <c r="T278" s="32">
        <f>IF(A278="","",COUNTIFS($A$5:A278,A278))</f>
        <v>0</v>
      </c>
      <c r="U278" s="13">
        <f>IF(A278="","",A278&amp;"|"&amp;T278)</f>
        <v>0</v>
      </c>
      <c r="V278" s="43">
        <f>IF(A278="","",IF(B278="Not found","Check - no such product ID",IF(OR(F278="",F278=0),"Add - how many minutes?",IF(C278="","Add - which stage?",IF(AND(G278="Per batch",H278=""),"Check - using the default batch size",IF(K278&lt;MinimumWage,"Check - below minimum wage","OK"))))))</f>
        <v>0</v>
      </c>
    </row>
    <row r="279" spans="2:22">
      <c r="B279" s="13">
        <f>IF(A279="","",IFERROR(INDEX(Products!$B$5:$B$304,MATCH(A279,Products!$A$5:$A$304,0)),"Not found"))</f>
        <v>0</v>
      </c>
      <c r="K279" s="20">
        <f>IF(A279="","",IF(E279&lt;&gt;"",E279,IF(D279="Employee",ROUND(EmployeeRate*(1+PayrollBurden),2),IF(OR(D279="Contractor",D279="Outsourced"),ROUND(ContractorRate*(1+PayrollBurden),2),LaborCostHour))))</f>
        <v>0</v>
      </c>
      <c r="L279" s="41">
        <f>IF(A279="","",IF(F279="","",ROUND(F279/60,3)))</f>
        <v>0</v>
      </c>
      <c r="M279" s="32">
        <f>IF(A279="","",IF(G279="Per batch",IF(OR(H279="",H279=0),DefaultBatchSize,H279),1))</f>
        <v>0</v>
      </c>
      <c r="N279" s="20">
        <f>IF(A279="","",IF(OR(L279="",K279=""),"",ROUND(L279*K279,2)))</f>
        <v>0</v>
      </c>
      <c r="O279" s="20">
        <f>IF(A279="","",IF(N279="","",ROUND(N279/MAX(1,M279),2)))</f>
        <v>0</v>
      </c>
      <c r="P279" s="36">
        <f>IF(A279="","",IF(F279="","",ROUND(F279/MAX(1,M279),2)))</f>
        <v>0</v>
      </c>
      <c r="Q279" s="20">
        <f>IF(A279="","",IF(L279="","",ROUND(L279/MAX(1,M279)*SuppliesPerHour,2)))</f>
        <v>0</v>
      </c>
      <c r="R279" s="20">
        <f>IF(A279="","",ROUND(SUMIFS(Labor!$O$5:$O$304,Labor!$A$5:$A$304,A279),2))</f>
        <v>0</v>
      </c>
      <c r="S279" s="33">
        <f>IF(A279="","",IF(OR(O279="",R279="",R279=0),"",O279/R279))</f>
        <v>0</v>
      </c>
      <c r="T279" s="32">
        <f>IF(A279="","",COUNTIFS($A$5:A279,A279))</f>
        <v>0</v>
      </c>
      <c r="U279" s="13">
        <f>IF(A279="","",A279&amp;"|"&amp;T279)</f>
        <v>0</v>
      </c>
      <c r="V279" s="43">
        <f>IF(A279="","",IF(B279="Not found","Check - no such product ID",IF(OR(F279="",F279=0),"Add - how many minutes?",IF(C279="","Add - which stage?",IF(AND(G279="Per batch",H279=""),"Check - using the default batch size",IF(K279&lt;MinimumWage,"Check - below minimum wage","OK"))))))</f>
        <v>0</v>
      </c>
    </row>
    <row r="280" spans="2:22">
      <c r="B280" s="13">
        <f>IF(A280="","",IFERROR(INDEX(Products!$B$5:$B$304,MATCH(A280,Products!$A$5:$A$304,0)),"Not found"))</f>
        <v>0</v>
      </c>
      <c r="K280" s="20">
        <f>IF(A280="","",IF(E280&lt;&gt;"",E280,IF(D280="Employee",ROUND(EmployeeRate*(1+PayrollBurden),2),IF(OR(D280="Contractor",D280="Outsourced"),ROUND(ContractorRate*(1+PayrollBurden),2),LaborCostHour))))</f>
        <v>0</v>
      </c>
      <c r="L280" s="41">
        <f>IF(A280="","",IF(F280="","",ROUND(F280/60,3)))</f>
        <v>0</v>
      </c>
      <c r="M280" s="32">
        <f>IF(A280="","",IF(G280="Per batch",IF(OR(H280="",H280=0),DefaultBatchSize,H280),1))</f>
        <v>0</v>
      </c>
      <c r="N280" s="20">
        <f>IF(A280="","",IF(OR(L280="",K280=""),"",ROUND(L280*K280,2)))</f>
        <v>0</v>
      </c>
      <c r="O280" s="20">
        <f>IF(A280="","",IF(N280="","",ROUND(N280/MAX(1,M280),2)))</f>
        <v>0</v>
      </c>
      <c r="P280" s="36">
        <f>IF(A280="","",IF(F280="","",ROUND(F280/MAX(1,M280),2)))</f>
        <v>0</v>
      </c>
      <c r="Q280" s="20">
        <f>IF(A280="","",IF(L280="","",ROUND(L280/MAX(1,M280)*SuppliesPerHour,2)))</f>
        <v>0</v>
      </c>
      <c r="R280" s="20">
        <f>IF(A280="","",ROUND(SUMIFS(Labor!$O$5:$O$304,Labor!$A$5:$A$304,A280),2))</f>
        <v>0</v>
      </c>
      <c r="S280" s="33">
        <f>IF(A280="","",IF(OR(O280="",R280="",R280=0),"",O280/R280))</f>
        <v>0</v>
      </c>
      <c r="T280" s="32">
        <f>IF(A280="","",COUNTIFS($A$5:A280,A280))</f>
        <v>0</v>
      </c>
      <c r="U280" s="13">
        <f>IF(A280="","",A280&amp;"|"&amp;T280)</f>
        <v>0</v>
      </c>
      <c r="V280" s="43">
        <f>IF(A280="","",IF(B280="Not found","Check - no such product ID",IF(OR(F280="",F280=0),"Add - how many minutes?",IF(C280="","Add - which stage?",IF(AND(G280="Per batch",H280=""),"Check - using the default batch size",IF(K280&lt;MinimumWage,"Check - below minimum wage","OK"))))))</f>
        <v>0</v>
      </c>
    </row>
    <row r="281" spans="2:22">
      <c r="B281" s="13">
        <f>IF(A281="","",IFERROR(INDEX(Products!$B$5:$B$304,MATCH(A281,Products!$A$5:$A$304,0)),"Not found"))</f>
        <v>0</v>
      </c>
      <c r="K281" s="20">
        <f>IF(A281="","",IF(E281&lt;&gt;"",E281,IF(D281="Employee",ROUND(EmployeeRate*(1+PayrollBurden),2),IF(OR(D281="Contractor",D281="Outsourced"),ROUND(ContractorRate*(1+PayrollBurden),2),LaborCostHour))))</f>
        <v>0</v>
      </c>
      <c r="L281" s="41">
        <f>IF(A281="","",IF(F281="","",ROUND(F281/60,3)))</f>
        <v>0</v>
      </c>
      <c r="M281" s="32">
        <f>IF(A281="","",IF(G281="Per batch",IF(OR(H281="",H281=0),DefaultBatchSize,H281),1))</f>
        <v>0</v>
      </c>
      <c r="N281" s="20">
        <f>IF(A281="","",IF(OR(L281="",K281=""),"",ROUND(L281*K281,2)))</f>
        <v>0</v>
      </c>
      <c r="O281" s="20">
        <f>IF(A281="","",IF(N281="","",ROUND(N281/MAX(1,M281),2)))</f>
        <v>0</v>
      </c>
      <c r="P281" s="36">
        <f>IF(A281="","",IF(F281="","",ROUND(F281/MAX(1,M281),2)))</f>
        <v>0</v>
      </c>
      <c r="Q281" s="20">
        <f>IF(A281="","",IF(L281="","",ROUND(L281/MAX(1,M281)*SuppliesPerHour,2)))</f>
        <v>0</v>
      </c>
      <c r="R281" s="20">
        <f>IF(A281="","",ROUND(SUMIFS(Labor!$O$5:$O$304,Labor!$A$5:$A$304,A281),2))</f>
        <v>0</v>
      </c>
      <c r="S281" s="33">
        <f>IF(A281="","",IF(OR(O281="",R281="",R281=0),"",O281/R281))</f>
        <v>0</v>
      </c>
      <c r="T281" s="32">
        <f>IF(A281="","",COUNTIFS($A$5:A281,A281))</f>
        <v>0</v>
      </c>
      <c r="U281" s="13">
        <f>IF(A281="","",A281&amp;"|"&amp;T281)</f>
        <v>0</v>
      </c>
      <c r="V281" s="43">
        <f>IF(A281="","",IF(B281="Not found","Check - no such product ID",IF(OR(F281="",F281=0),"Add - how many minutes?",IF(C281="","Add - which stage?",IF(AND(G281="Per batch",H281=""),"Check - using the default batch size",IF(K281&lt;MinimumWage,"Check - below minimum wage","OK"))))))</f>
        <v>0</v>
      </c>
    </row>
    <row r="282" spans="2:22">
      <c r="B282" s="13">
        <f>IF(A282="","",IFERROR(INDEX(Products!$B$5:$B$304,MATCH(A282,Products!$A$5:$A$304,0)),"Not found"))</f>
        <v>0</v>
      </c>
      <c r="K282" s="20">
        <f>IF(A282="","",IF(E282&lt;&gt;"",E282,IF(D282="Employee",ROUND(EmployeeRate*(1+PayrollBurden),2),IF(OR(D282="Contractor",D282="Outsourced"),ROUND(ContractorRate*(1+PayrollBurden),2),LaborCostHour))))</f>
        <v>0</v>
      </c>
      <c r="L282" s="41">
        <f>IF(A282="","",IF(F282="","",ROUND(F282/60,3)))</f>
        <v>0</v>
      </c>
      <c r="M282" s="32">
        <f>IF(A282="","",IF(G282="Per batch",IF(OR(H282="",H282=0),DefaultBatchSize,H282),1))</f>
        <v>0</v>
      </c>
      <c r="N282" s="20">
        <f>IF(A282="","",IF(OR(L282="",K282=""),"",ROUND(L282*K282,2)))</f>
        <v>0</v>
      </c>
      <c r="O282" s="20">
        <f>IF(A282="","",IF(N282="","",ROUND(N282/MAX(1,M282),2)))</f>
        <v>0</v>
      </c>
      <c r="P282" s="36">
        <f>IF(A282="","",IF(F282="","",ROUND(F282/MAX(1,M282),2)))</f>
        <v>0</v>
      </c>
      <c r="Q282" s="20">
        <f>IF(A282="","",IF(L282="","",ROUND(L282/MAX(1,M282)*SuppliesPerHour,2)))</f>
        <v>0</v>
      </c>
      <c r="R282" s="20">
        <f>IF(A282="","",ROUND(SUMIFS(Labor!$O$5:$O$304,Labor!$A$5:$A$304,A282),2))</f>
        <v>0</v>
      </c>
      <c r="S282" s="33">
        <f>IF(A282="","",IF(OR(O282="",R282="",R282=0),"",O282/R282))</f>
        <v>0</v>
      </c>
      <c r="T282" s="32">
        <f>IF(A282="","",COUNTIFS($A$5:A282,A282))</f>
        <v>0</v>
      </c>
      <c r="U282" s="13">
        <f>IF(A282="","",A282&amp;"|"&amp;T282)</f>
        <v>0</v>
      </c>
      <c r="V282" s="43">
        <f>IF(A282="","",IF(B282="Not found","Check - no such product ID",IF(OR(F282="",F282=0),"Add - how many minutes?",IF(C282="","Add - which stage?",IF(AND(G282="Per batch",H282=""),"Check - using the default batch size",IF(K282&lt;MinimumWage,"Check - below minimum wage","OK"))))))</f>
        <v>0</v>
      </c>
    </row>
    <row r="283" spans="2:22">
      <c r="B283" s="13">
        <f>IF(A283="","",IFERROR(INDEX(Products!$B$5:$B$304,MATCH(A283,Products!$A$5:$A$304,0)),"Not found"))</f>
        <v>0</v>
      </c>
      <c r="K283" s="20">
        <f>IF(A283="","",IF(E283&lt;&gt;"",E283,IF(D283="Employee",ROUND(EmployeeRate*(1+PayrollBurden),2),IF(OR(D283="Contractor",D283="Outsourced"),ROUND(ContractorRate*(1+PayrollBurden),2),LaborCostHour))))</f>
        <v>0</v>
      </c>
      <c r="L283" s="41">
        <f>IF(A283="","",IF(F283="","",ROUND(F283/60,3)))</f>
        <v>0</v>
      </c>
      <c r="M283" s="32">
        <f>IF(A283="","",IF(G283="Per batch",IF(OR(H283="",H283=0),DefaultBatchSize,H283),1))</f>
        <v>0</v>
      </c>
      <c r="N283" s="20">
        <f>IF(A283="","",IF(OR(L283="",K283=""),"",ROUND(L283*K283,2)))</f>
        <v>0</v>
      </c>
      <c r="O283" s="20">
        <f>IF(A283="","",IF(N283="","",ROUND(N283/MAX(1,M283),2)))</f>
        <v>0</v>
      </c>
      <c r="P283" s="36">
        <f>IF(A283="","",IF(F283="","",ROUND(F283/MAX(1,M283),2)))</f>
        <v>0</v>
      </c>
      <c r="Q283" s="20">
        <f>IF(A283="","",IF(L283="","",ROUND(L283/MAX(1,M283)*SuppliesPerHour,2)))</f>
        <v>0</v>
      </c>
      <c r="R283" s="20">
        <f>IF(A283="","",ROUND(SUMIFS(Labor!$O$5:$O$304,Labor!$A$5:$A$304,A283),2))</f>
        <v>0</v>
      </c>
      <c r="S283" s="33">
        <f>IF(A283="","",IF(OR(O283="",R283="",R283=0),"",O283/R283))</f>
        <v>0</v>
      </c>
      <c r="T283" s="32">
        <f>IF(A283="","",COUNTIFS($A$5:A283,A283))</f>
        <v>0</v>
      </c>
      <c r="U283" s="13">
        <f>IF(A283="","",A283&amp;"|"&amp;T283)</f>
        <v>0</v>
      </c>
      <c r="V283" s="43">
        <f>IF(A283="","",IF(B283="Not found","Check - no such product ID",IF(OR(F283="",F283=0),"Add - how many minutes?",IF(C283="","Add - which stage?",IF(AND(G283="Per batch",H283=""),"Check - using the default batch size",IF(K283&lt;MinimumWage,"Check - below minimum wage","OK"))))))</f>
        <v>0</v>
      </c>
    </row>
    <row r="284" spans="2:22">
      <c r="B284" s="13">
        <f>IF(A284="","",IFERROR(INDEX(Products!$B$5:$B$304,MATCH(A284,Products!$A$5:$A$304,0)),"Not found"))</f>
        <v>0</v>
      </c>
      <c r="K284" s="20">
        <f>IF(A284="","",IF(E284&lt;&gt;"",E284,IF(D284="Employee",ROUND(EmployeeRate*(1+PayrollBurden),2),IF(OR(D284="Contractor",D284="Outsourced"),ROUND(ContractorRate*(1+PayrollBurden),2),LaborCostHour))))</f>
        <v>0</v>
      </c>
      <c r="L284" s="41">
        <f>IF(A284="","",IF(F284="","",ROUND(F284/60,3)))</f>
        <v>0</v>
      </c>
      <c r="M284" s="32">
        <f>IF(A284="","",IF(G284="Per batch",IF(OR(H284="",H284=0),DefaultBatchSize,H284),1))</f>
        <v>0</v>
      </c>
      <c r="N284" s="20">
        <f>IF(A284="","",IF(OR(L284="",K284=""),"",ROUND(L284*K284,2)))</f>
        <v>0</v>
      </c>
      <c r="O284" s="20">
        <f>IF(A284="","",IF(N284="","",ROUND(N284/MAX(1,M284),2)))</f>
        <v>0</v>
      </c>
      <c r="P284" s="36">
        <f>IF(A284="","",IF(F284="","",ROUND(F284/MAX(1,M284),2)))</f>
        <v>0</v>
      </c>
      <c r="Q284" s="20">
        <f>IF(A284="","",IF(L284="","",ROUND(L284/MAX(1,M284)*SuppliesPerHour,2)))</f>
        <v>0</v>
      </c>
      <c r="R284" s="20">
        <f>IF(A284="","",ROUND(SUMIFS(Labor!$O$5:$O$304,Labor!$A$5:$A$304,A284),2))</f>
        <v>0</v>
      </c>
      <c r="S284" s="33">
        <f>IF(A284="","",IF(OR(O284="",R284="",R284=0),"",O284/R284))</f>
        <v>0</v>
      </c>
      <c r="T284" s="32">
        <f>IF(A284="","",COUNTIFS($A$5:A284,A284))</f>
        <v>0</v>
      </c>
      <c r="U284" s="13">
        <f>IF(A284="","",A284&amp;"|"&amp;T284)</f>
        <v>0</v>
      </c>
      <c r="V284" s="43">
        <f>IF(A284="","",IF(B284="Not found","Check - no such product ID",IF(OR(F284="",F284=0),"Add - how many minutes?",IF(C284="","Add - which stage?",IF(AND(G284="Per batch",H284=""),"Check - using the default batch size",IF(K284&lt;MinimumWage,"Check - below minimum wage","OK"))))))</f>
        <v>0</v>
      </c>
    </row>
    <row r="285" spans="2:22">
      <c r="B285" s="13">
        <f>IF(A285="","",IFERROR(INDEX(Products!$B$5:$B$304,MATCH(A285,Products!$A$5:$A$304,0)),"Not found"))</f>
        <v>0</v>
      </c>
      <c r="K285" s="20">
        <f>IF(A285="","",IF(E285&lt;&gt;"",E285,IF(D285="Employee",ROUND(EmployeeRate*(1+PayrollBurden),2),IF(OR(D285="Contractor",D285="Outsourced"),ROUND(ContractorRate*(1+PayrollBurden),2),LaborCostHour))))</f>
        <v>0</v>
      </c>
      <c r="L285" s="41">
        <f>IF(A285="","",IF(F285="","",ROUND(F285/60,3)))</f>
        <v>0</v>
      </c>
      <c r="M285" s="32">
        <f>IF(A285="","",IF(G285="Per batch",IF(OR(H285="",H285=0),DefaultBatchSize,H285),1))</f>
        <v>0</v>
      </c>
      <c r="N285" s="20">
        <f>IF(A285="","",IF(OR(L285="",K285=""),"",ROUND(L285*K285,2)))</f>
        <v>0</v>
      </c>
      <c r="O285" s="20">
        <f>IF(A285="","",IF(N285="","",ROUND(N285/MAX(1,M285),2)))</f>
        <v>0</v>
      </c>
      <c r="P285" s="36">
        <f>IF(A285="","",IF(F285="","",ROUND(F285/MAX(1,M285),2)))</f>
        <v>0</v>
      </c>
      <c r="Q285" s="20">
        <f>IF(A285="","",IF(L285="","",ROUND(L285/MAX(1,M285)*SuppliesPerHour,2)))</f>
        <v>0</v>
      </c>
      <c r="R285" s="20">
        <f>IF(A285="","",ROUND(SUMIFS(Labor!$O$5:$O$304,Labor!$A$5:$A$304,A285),2))</f>
        <v>0</v>
      </c>
      <c r="S285" s="33">
        <f>IF(A285="","",IF(OR(O285="",R285="",R285=0),"",O285/R285))</f>
        <v>0</v>
      </c>
      <c r="T285" s="32">
        <f>IF(A285="","",COUNTIFS($A$5:A285,A285))</f>
        <v>0</v>
      </c>
      <c r="U285" s="13">
        <f>IF(A285="","",A285&amp;"|"&amp;T285)</f>
        <v>0</v>
      </c>
      <c r="V285" s="43">
        <f>IF(A285="","",IF(B285="Not found","Check - no such product ID",IF(OR(F285="",F285=0),"Add - how many minutes?",IF(C285="","Add - which stage?",IF(AND(G285="Per batch",H285=""),"Check - using the default batch size",IF(K285&lt;MinimumWage,"Check - below minimum wage","OK"))))))</f>
        <v>0</v>
      </c>
    </row>
    <row r="286" spans="2:22">
      <c r="B286" s="13">
        <f>IF(A286="","",IFERROR(INDEX(Products!$B$5:$B$304,MATCH(A286,Products!$A$5:$A$304,0)),"Not found"))</f>
        <v>0</v>
      </c>
      <c r="K286" s="20">
        <f>IF(A286="","",IF(E286&lt;&gt;"",E286,IF(D286="Employee",ROUND(EmployeeRate*(1+PayrollBurden),2),IF(OR(D286="Contractor",D286="Outsourced"),ROUND(ContractorRate*(1+PayrollBurden),2),LaborCostHour))))</f>
        <v>0</v>
      </c>
      <c r="L286" s="41">
        <f>IF(A286="","",IF(F286="","",ROUND(F286/60,3)))</f>
        <v>0</v>
      </c>
      <c r="M286" s="32">
        <f>IF(A286="","",IF(G286="Per batch",IF(OR(H286="",H286=0),DefaultBatchSize,H286),1))</f>
        <v>0</v>
      </c>
      <c r="N286" s="20">
        <f>IF(A286="","",IF(OR(L286="",K286=""),"",ROUND(L286*K286,2)))</f>
        <v>0</v>
      </c>
      <c r="O286" s="20">
        <f>IF(A286="","",IF(N286="","",ROUND(N286/MAX(1,M286),2)))</f>
        <v>0</v>
      </c>
      <c r="P286" s="36">
        <f>IF(A286="","",IF(F286="","",ROUND(F286/MAX(1,M286),2)))</f>
        <v>0</v>
      </c>
      <c r="Q286" s="20">
        <f>IF(A286="","",IF(L286="","",ROUND(L286/MAX(1,M286)*SuppliesPerHour,2)))</f>
        <v>0</v>
      </c>
      <c r="R286" s="20">
        <f>IF(A286="","",ROUND(SUMIFS(Labor!$O$5:$O$304,Labor!$A$5:$A$304,A286),2))</f>
        <v>0</v>
      </c>
      <c r="S286" s="33">
        <f>IF(A286="","",IF(OR(O286="",R286="",R286=0),"",O286/R286))</f>
        <v>0</v>
      </c>
      <c r="T286" s="32">
        <f>IF(A286="","",COUNTIFS($A$5:A286,A286))</f>
        <v>0</v>
      </c>
      <c r="U286" s="13">
        <f>IF(A286="","",A286&amp;"|"&amp;T286)</f>
        <v>0</v>
      </c>
      <c r="V286" s="43">
        <f>IF(A286="","",IF(B286="Not found","Check - no such product ID",IF(OR(F286="",F286=0),"Add - how many minutes?",IF(C286="","Add - which stage?",IF(AND(G286="Per batch",H286=""),"Check - using the default batch size",IF(K286&lt;MinimumWage,"Check - below minimum wage","OK"))))))</f>
        <v>0</v>
      </c>
    </row>
    <row r="287" spans="2:22">
      <c r="B287" s="13">
        <f>IF(A287="","",IFERROR(INDEX(Products!$B$5:$B$304,MATCH(A287,Products!$A$5:$A$304,0)),"Not found"))</f>
        <v>0</v>
      </c>
      <c r="K287" s="20">
        <f>IF(A287="","",IF(E287&lt;&gt;"",E287,IF(D287="Employee",ROUND(EmployeeRate*(1+PayrollBurden),2),IF(OR(D287="Contractor",D287="Outsourced"),ROUND(ContractorRate*(1+PayrollBurden),2),LaborCostHour))))</f>
        <v>0</v>
      </c>
      <c r="L287" s="41">
        <f>IF(A287="","",IF(F287="","",ROUND(F287/60,3)))</f>
        <v>0</v>
      </c>
      <c r="M287" s="32">
        <f>IF(A287="","",IF(G287="Per batch",IF(OR(H287="",H287=0),DefaultBatchSize,H287),1))</f>
        <v>0</v>
      </c>
      <c r="N287" s="20">
        <f>IF(A287="","",IF(OR(L287="",K287=""),"",ROUND(L287*K287,2)))</f>
        <v>0</v>
      </c>
      <c r="O287" s="20">
        <f>IF(A287="","",IF(N287="","",ROUND(N287/MAX(1,M287),2)))</f>
        <v>0</v>
      </c>
      <c r="P287" s="36">
        <f>IF(A287="","",IF(F287="","",ROUND(F287/MAX(1,M287),2)))</f>
        <v>0</v>
      </c>
      <c r="Q287" s="20">
        <f>IF(A287="","",IF(L287="","",ROUND(L287/MAX(1,M287)*SuppliesPerHour,2)))</f>
        <v>0</v>
      </c>
      <c r="R287" s="20">
        <f>IF(A287="","",ROUND(SUMIFS(Labor!$O$5:$O$304,Labor!$A$5:$A$304,A287),2))</f>
        <v>0</v>
      </c>
      <c r="S287" s="33">
        <f>IF(A287="","",IF(OR(O287="",R287="",R287=0),"",O287/R287))</f>
        <v>0</v>
      </c>
      <c r="T287" s="32">
        <f>IF(A287="","",COUNTIFS($A$5:A287,A287))</f>
        <v>0</v>
      </c>
      <c r="U287" s="13">
        <f>IF(A287="","",A287&amp;"|"&amp;T287)</f>
        <v>0</v>
      </c>
      <c r="V287" s="43">
        <f>IF(A287="","",IF(B287="Not found","Check - no such product ID",IF(OR(F287="",F287=0),"Add - how many minutes?",IF(C287="","Add - which stage?",IF(AND(G287="Per batch",H287=""),"Check - using the default batch size",IF(K287&lt;MinimumWage,"Check - below minimum wage","OK"))))))</f>
        <v>0</v>
      </c>
    </row>
    <row r="288" spans="2:22">
      <c r="B288" s="13">
        <f>IF(A288="","",IFERROR(INDEX(Products!$B$5:$B$304,MATCH(A288,Products!$A$5:$A$304,0)),"Not found"))</f>
        <v>0</v>
      </c>
      <c r="K288" s="20">
        <f>IF(A288="","",IF(E288&lt;&gt;"",E288,IF(D288="Employee",ROUND(EmployeeRate*(1+PayrollBurden),2),IF(OR(D288="Contractor",D288="Outsourced"),ROUND(ContractorRate*(1+PayrollBurden),2),LaborCostHour))))</f>
        <v>0</v>
      </c>
      <c r="L288" s="41">
        <f>IF(A288="","",IF(F288="","",ROUND(F288/60,3)))</f>
        <v>0</v>
      </c>
      <c r="M288" s="32">
        <f>IF(A288="","",IF(G288="Per batch",IF(OR(H288="",H288=0),DefaultBatchSize,H288),1))</f>
        <v>0</v>
      </c>
      <c r="N288" s="20">
        <f>IF(A288="","",IF(OR(L288="",K288=""),"",ROUND(L288*K288,2)))</f>
        <v>0</v>
      </c>
      <c r="O288" s="20">
        <f>IF(A288="","",IF(N288="","",ROUND(N288/MAX(1,M288),2)))</f>
        <v>0</v>
      </c>
      <c r="P288" s="36">
        <f>IF(A288="","",IF(F288="","",ROUND(F288/MAX(1,M288),2)))</f>
        <v>0</v>
      </c>
      <c r="Q288" s="20">
        <f>IF(A288="","",IF(L288="","",ROUND(L288/MAX(1,M288)*SuppliesPerHour,2)))</f>
        <v>0</v>
      </c>
      <c r="R288" s="20">
        <f>IF(A288="","",ROUND(SUMIFS(Labor!$O$5:$O$304,Labor!$A$5:$A$304,A288),2))</f>
        <v>0</v>
      </c>
      <c r="S288" s="33">
        <f>IF(A288="","",IF(OR(O288="",R288="",R288=0),"",O288/R288))</f>
        <v>0</v>
      </c>
      <c r="T288" s="32">
        <f>IF(A288="","",COUNTIFS($A$5:A288,A288))</f>
        <v>0</v>
      </c>
      <c r="U288" s="13">
        <f>IF(A288="","",A288&amp;"|"&amp;T288)</f>
        <v>0</v>
      </c>
      <c r="V288" s="43">
        <f>IF(A288="","",IF(B288="Not found","Check - no such product ID",IF(OR(F288="",F288=0),"Add - how many minutes?",IF(C288="","Add - which stage?",IF(AND(G288="Per batch",H288=""),"Check - using the default batch size",IF(K288&lt;MinimumWage,"Check - below minimum wage","OK"))))))</f>
        <v>0</v>
      </c>
    </row>
    <row r="289" spans="2:22">
      <c r="B289" s="13">
        <f>IF(A289="","",IFERROR(INDEX(Products!$B$5:$B$304,MATCH(A289,Products!$A$5:$A$304,0)),"Not found"))</f>
        <v>0</v>
      </c>
      <c r="K289" s="20">
        <f>IF(A289="","",IF(E289&lt;&gt;"",E289,IF(D289="Employee",ROUND(EmployeeRate*(1+PayrollBurden),2),IF(OR(D289="Contractor",D289="Outsourced"),ROUND(ContractorRate*(1+PayrollBurden),2),LaborCostHour))))</f>
        <v>0</v>
      </c>
      <c r="L289" s="41">
        <f>IF(A289="","",IF(F289="","",ROUND(F289/60,3)))</f>
        <v>0</v>
      </c>
      <c r="M289" s="32">
        <f>IF(A289="","",IF(G289="Per batch",IF(OR(H289="",H289=0),DefaultBatchSize,H289),1))</f>
        <v>0</v>
      </c>
      <c r="N289" s="20">
        <f>IF(A289="","",IF(OR(L289="",K289=""),"",ROUND(L289*K289,2)))</f>
        <v>0</v>
      </c>
      <c r="O289" s="20">
        <f>IF(A289="","",IF(N289="","",ROUND(N289/MAX(1,M289),2)))</f>
        <v>0</v>
      </c>
      <c r="P289" s="36">
        <f>IF(A289="","",IF(F289="","",ROUND(F289/MAX(1,M289),2)))</f>
        <v>0</v>
      </c>
      <c r="Q289" s="20">
        <f>IF(A289="","",IF(L289="","",ROUND(L289/MAX(1,M289)*SuppliesPerHour,2)))</f>
        <v>0</v>
      </c>
      <c r="R289" s="20">
        <f>IF(A289="","",ROUND(SUMIFS(Labor!$O$5:$O$304,Labor!$A$5:$A$304,A289),2))</f>
        <v>0</v>
      </c>
      <c r="S289" s="33">
        <f>IF(A289="","",IF(OR(O289="",R289="",R289=0),"",O289/R289))</f>
        <v>0</v>
      </c>
      <c r="T289" s="32">
        <f>IF(A289="","",COUNTIFS($A$5:A289,A289))</f>
        <v>0</v>
      </c>
      <c r="U289" s="13">
        <f>IF(A289="","",A289&amp;"|"&amp;T289)</f>
        <v>0</v>
      </c>
      <c r="V289" s="43">
        <f>IF(A289="","",IF(B289="Not found","Check - no such product ID",IF(OR(F289="",F289=0),"Add - how many minutes?",IF(C289="","Add - which stage?",IF(AND(G289="Per batch",H289=""),"Check - using the default batch size",IF(K289&lt;MinimumWage,"Check - below minimum wage","OK"))))))</f>
        <v>0</v>
      </c>
    </row>
    <row r="290" spans="2:22">
      <c r="B290" s="13">
        <f>IF(A290="","",IFERROR(INDEX(Products!$B$5:$B$304,MATCH(A290,Products!$A$5:$A$304,0)),"Not found"))</f>
        <v>0</v>
      </c>
      <c r="K290" s="20">
        <f>IF(A290="","",IF(E290&lt;&gt;"",E290,IF(D290="Employee",ROUND(EmployeeRate*(1+PayrollBurden),2),IF(OR(D290="Contractor",D290="Outsourced"),ROUND(ContractorRate*(1+PayrollBurden),2),LaborCostHour))))</f>
        <v>0</v>
      </c>
      <c r="L290" s="41">
        <f>IF(A290="","",IF(F290="","",ROUND(F290/60,3)))</f>
        <v>0</v>
      </c>
      <c r="M290" s="32">
        <f>IF(A290="","",IF(G290="Per batch",IF(OR(H290="",H290=0),DefaultBatchSize,H290),1))</f>
        <v>0</v>
      </c>
      <c r="N290" s="20">
        <f>IF(A290="","",IF(OR(L290="",K290=""),"",ROUND(L290*K290,2)))</f>
        <v>0</v>
      </c>
      <c r="O290" s="20">
        <f>IF(A290="","",IF(N290="","",ROUND(N290/MAX(1,M290),2)))</f>
        <v>0</v>
      </c>
      <c r="P290" s="36">
        <f>IF(A290="","",IF(F290="","",ROUND(F290/MAX(1,M290),2)))</f>
        <v>0</v>
      </c>
      <c r="Q290" s="20">
        <f>IF(A290="","",IF(L290="","",ROUND(L290/MAX(1,M290)*SuppliesPerHour,2)))</f>
        <v>0</v>
      </c>
      <c r="R290" s="20">
        <f>IF(A290="","",ROUND(SUMIFS(Labor!$O$5:$O$304,Labor!$A$5:$A$304,A290),2))</f>
        <v>0</v>
      </c>
      <c r="S290" s="33">
        <f>IF(A290="","",IF(OR(O290="",R290="",R290=0),"",O290/R290))</f>
        <v>0</v>
      </c>
      <c r="T290" s="32">
        <f>IF(A290="","",COUNTIFS($A$5:A290,A290))</f>
        <v>0</v>
      </c>
      <c r="U290" s="13">
        <f>IF(A290="","",A290&amp;"|"&amp;T290)</f>
        <v>0</v>
      </c>
      <c r="V290" s="43">
        <f>IF(A290="","",IF(B290="Not found","Check - no such product ID",IF(OR(F290="",F290=0),"Add - how many minutes?",IF(C290="","Add - which stage?",IF(AND(G290="Per batch",H290=""),"Check - using the default batch size",IF(K290&lt;MinimumWage,"Check - below minimum wage","OK"))))))</f>
        <v>0</v>
      </c>
    </row>
    <row r="291" spans="2:22">
      <c r="B291" s="13">
        <f>IF(A291="","",IFERROR(INDEX(Products!$B$5:$B$304,MATCH(A291,Products!$A$5:$A$304,0)),"Not found"))</f>
        <v>0</v>
      </c>
      <c r="K291" s="20">
        <f>IF(A291="","",IF(E291&lt;&gt;"",E291,IF(D291="Employee",ROUND(EmployeeRate*(1+PayrollBurden),2),IF(OR(D291="Contractor",D291="Outsourced"),ROUND(ContractorRate*(1+PayrollBurden),2),LaborCostHour))))</f>
        <v>0</v>
      </c>
      <c r="L291" s="41">
        <f>IF(A291="","",IF(F291="","",ROUND(F291/60,3)))</f>
        <v>0</v>
      </c>
      <c r="M291" s="32">
        <f>IF(A291="","",IF(G291="Per batch",IF(OR(H291="",H291=0),DefaultBatchSize,H291),1))</f>
        <v>0</v>
      </c>
      <c r="N291" s="20">
        <f>IF(A291="","",IF(OR(L291="",K291=""),"",ROUND(L291*K291,2)))</f>
        <v>0</v>
      </c>
      <c r="O291" s="20">
        <f>IF(A291="","",IF(N291="","",ROUND(N291/MAX(1,M291),2)))</f>
        <v>0</v>
      </c>
      <c r="P291" s="36">
        <f>IF(A291="","",IF(F291="","",ROUND(F291/MAX(1,M291),2)))</f>
        <v>0</v>
      </c>
      <c r="Q291" s="20">
        <f>IF(A291="","",IF(L291="","",ROUND(L291/MAX(1,M291)*SuppliesPerHour,2)))</f>
        <v>0</v>
      </c>
      <c r="R291" s="20">
        <f>IF(A291="","",ROUND(SUMIFS(Labor!$O$5:$O$304,Labor!$A$5:$A$304,A291),2))</f>
        <v>0</v>
      </c>
      <c r="S291" s="33">
        <f>IF(A291="","",IF(OR(O291="",R291="",R291=0),"",O291/R291))</f>
        <v>0</v>
      </c>
      <c r="T291" s="32">
        <f>IF(A291="","",COUNTIFS($A$5:A291,A291))</f>
        <v>0</v>
      </c>
      <c r="U291" s="13">
        <f>IF(A291="","",A291&amp;"|"&amp;T291)</f>
        <v>0</v>
      </c>
      <c r="V291" s="43">
        <f>IF(A291="","",IF(B291="Not found","Check - no such product ID",IF(OR(F291="",F291=0),"Add - how many minutes?",IF(C291="","Add - which stage?",IF(AND(G291="Per batch",H291=""),"Check - using the default batch size",IF(K291&lt;MinimumWage,"Check - below minimum wage","OK"))))))</f>
        <v>0</v>
      </c>
    </row>
    <row r="292" spans="2:22">
      <c r="B292" s="13">
        <f>IF(A292="","",IFERROR(INDEX(Products!$B$5:$B$304,MATCH(A292,Products!$A$5:$A$304,0)),"Not found"))</f>
        <v>0</v>
      </c>
      <c r="K292" s="20">
        <f>IF(A292="","",IF(E292&lt;&gt;"",E292,IF(D292="Employee",ROUND(EmployeeRate*(1+PayrollBurden),2),IF(OR(D292="Contractor",D292="Outsourced"),ROUND(ContractorRate*(1+PayrollBurden),2),LaborCostHour))))</f>
        <v>0</v>
      </c>
      <c r="L292" s="41">
        <f>IF(A292="","",IF(F292="","",ROUND(F292/60,3)))</f>
        <v>0</v>
      </c>
      <c r="M292" s="32">
        <f>IF(A292="","",IF(G292="Per batch",IF(OR(H292="",H292=0),DefaultBatchSize,H292),1))</f>
        <v>0</v>
      </c>
      <c r="N292" s="20">
        <f>IF(A292="","",IF(OR(L292="",K292=""),"",ROUND(L292*K292,2)))</f>
        <v>0</v>
      </c>
      <c r="O292" s="20">
        <f>IF(A292="","",IF(N292="","",ROUND(N292/MAX(1,M292),2)))</f>
        <v>0</v>
      </c>
      <c r="P292" s="36">
        <f>IF(A292="","",IF(F292="","",ROUND(F292/MAX(1,M292),2)))</f>
        <v>0</v>
      </c>
      <c r="Q292" s="20">
        <f>IF(A292="","",IF(L292="","",ROUND(L292/MAX(1,M292)*SuppliesPerHour,2)))</f>
        <v>0</v>
      </c>
      <c r="R292" s="20">
        <f>IF(A292="","",ROUND(SUMIFS(Labor!$O$5:$O$304,Labor!$A$5:$A$304,A292),2))</f>
        <v>0</v>
      </c>
      <c r="S292" s="33">
        <f>IF(A292="","",IF(OR(O292="",R292="",R292=0),"",O292/R292))</f>
        <v>0</v>
      </c>
      <c r="T292" s="32">
        <f>IF(A292="","",COUNTIFS($A$5:A292,A292))</f>
        <v>0</v>
      </c>
      <c r="U292" s="13">
        <f>IF(A292="","",A292&amp;"|"&amp;T292)</f>
        <v>0</v>
      </c>
      <c r="V292" s="43">
        <f>IF(A292="","",IF(B292="Not found","Check - no such product ID",IF(OR(F292="",F292=0),"Add - how many minutes?",IF(C292="","Add - which stage?",IF(AND(G292="Per batch",H292=""),"Check - using the default batch size",IF(K292&lt;MinimumWage,"Check - below minimum wage","OK"))))))</f>
        <v>0</v>
      </c>
    </row>
    <row r="293" spans="2:22">
      <c r="B293" s="13">
        <f>IF(A293="","",IFERROR(INDEX(Products!$B$5:$B$304,MATCH(A293,Products!$A$5:$A$304,0)),"Not found"))</f>
        <v>0</v>
      </c>
      <c r="K293" s="20">
        <f>IF(A293="","",IF(E293&lt;&gt;"",E293,IF(D293="Employee",ROUND(EmployeeRate*(1+PayrollBurden),2),IF(OR(D293="Contractor",D293="Outsourced"),ROUND(ContractorRate*(1+PayrollBurden),2),LaborCostHour))))</f>
        <v>0</v>
      </c>
      <c r="L293" s="41">
        <f>IF(A293="","",IF(F293="","",ROUND(F293/60,3)))</f>
        <v>0</v>
      </c>
      <c r="M293" s="32">
        <f>IF(A293="","",IF(G293="Per batch",IF(OR(H293="",H293=0),DefaultBatchSize,H293),1))</f>
        <v>0</v>
      </c>
      <c r="N293" s="20">
        <f>IF(A293="","",IF(OR(L293="",K293=""),"",ROUND(L293*K293,2)))</f>
        <v>0</v>
      </c>
      <c r="O293" s="20">
        <f>IF(A293="","",IF(N293="","",ROUND(N293/MAX(1,M293),2)))</f>
        <v>0</v>
      </c>
      <c r="P293" s="36">
        <f>IF(A293="","",IF(F293="","",ROUND(F293/MAX(1,M293),2)))</f>
        <v>0</v>
      </c>
      <c r="Q293" s="20">
        <f>IF(A293="","",IF(L293="","",ROUND(L293/MAX(1,M293)*SuppliesPerHour,2)))</f>
        <v>0</v>
      </c>
      <c r="R293" s="20">
        <f>IF(A293="","",ROUND(SUMIFS(Labor!$O$5:$O$304,Labor!$A$5:$A$304,A293),2))</f>
        <v>0</v>
      </c>
      <c r="S293" s="33">
        <f>IF(A293="","",IF(OR(O293="",R293="",R293=0),"",O293/R293))</f>
        <v>0</v>
      </c>
      <c r="T293" s="32">
        <f>IF(A293="","",COUNTIFS($A$5:A293,A293))</f>
        <v>0</v>
      </c>
      <c r="U293" s="13">
        <f>IF(A293="","",A293&amp;"|"&amp;T293)</f>
        <v>0</v>
      </c>
      <c r="V293" s="43">
        <f>IF(A293="","",IF(B293="Not found","Check - no such product ID",IF(OR(F293="",F293=0),"Add - how many minutes?",IF(C293="","Add - which stage?",IF(AND(G293="Per batch",H293=""),"Check - using the default batch size",IF(K293&lt;MinimumWage,"Check - below minimum wage","OK"))))))</f>
        <v>0</v>
      </c>
    </row>
    <row r="294" spans="2:22">
      <c r="B294" s="13">
        <f>IF(A294="","",IFERROR(INDEX(Products!$B$5:$B$304,MATCH(A294,Products!$A$5:$A$304,0)),"Not found"))</f>
        <v>0</v>
      </c>
      <c r="K294" s="20">
        <f>IF(A294="","",IF(E294&lt;&gt;"",E294,IF(D294="Employee",ROUND(EmployeeRate*(1+PayrollBurden),2),IF(OR(D294="Contractor",D294="Outsourced"),ROUND(ContractorRate*(1+PayrollBurden),2),LaborCostHour))))</f>
        <v>0</v>
      </c>
      <c r="L294" s="41">
        <f>IF(A294="","",IF(F294="","",ROUND(F294/60,3)))</f>
        <v>0</v>
      </c>
      <c r="M294" s="32">
        <f>IF(A294="","",IF(G294="Per batch",IF(OR(H294="",H294=0),DefaultBatchSize,H294),1))</f>
        <v>0</v>
      </c>
      <c r="N294" s="20">
        <f>IF(A294="","",IF(OR(L294="",K294=""),"",ROUND(L294*K294,2)))</f>
        <v>0</v>
      </c>
      <c r="O294" s="20">
        <f>IF(A294="","",IF(N294="","",ROUND(N294/MAX(1,M294),2)))</f>
        <v>0</v>
      </c>
      <c r="P294" s="36">
        <f>IF(A294="","",IF(F294="","",ROUND(F294/MAX(1,M294),2)))</f>
        <v>0</v>
      </c>
      <c r="Q294" s="20">
        <f>IF(A294="","",IF(L294="","",ROUND(L294/MAX(1,M294)*SuppliesPerHour,2)))</f>
        <v>0</v>
      </c>
      <c r="R294" s="20">
        <f>IF(A294="","",ROUND(SUMIFS(Labor!$O$5:$O$304,Labor!$A$5:$A$304,A294),2))</f>
        <v>0</v>
      </c>
      <c r="S294" s="33">
        <f>IF(A294="","",IF(OR(O294="",R294="",R294=0),"",O294/R294))</f>
        <v>0</v>
      </c>
      <c r="T294" s="32">
        <f>IF(A294="","",COUNTIFS($A$5:A294,A294))</f>
        <v>0</v>
      </c>
      <c r="U294" s="13">
        <f>IF(A294="","",A294&amp;"|"&amp;T294)</f>
        <v>0</v>
      </c>
      <c r="V294" s="43">
        <f>IF(A294="","",IF(B294="Not found","Check - no such product ID",IF(OR(F294="",F294=0),"Add - how many minutes?",IF(C294="","Add - which stage?",IF(AND(G294="Per batch",H294=""),"Check - using the default batch size",IF(K294&lt;MinimumWage,"Check - below minimum wage","OK"))))))</f>
        <v>0</v>
      </c>
    </row>
    <row r="295" spans="2:22">
      <c r="B295" s="13">
        <f>IF(A295="","",IFERROR(INDEX(Products!$B$5:$B$304,MATCH(A295,Products!$A$5:$A$304,0)),"Not found"))</f>
        <v>0</v>
      </c>
      <c r="K295" s="20">
        <f>IF(A295="","",IF(E295&lt;&gt;"",E295,IF(D295="Employee",ROUND(EmployeeRate*(1+PayrollBurden),2),IF(OR(D295="Contractor",D295="Outsourced"),ROUND(ContractorRate*(1+PayrollBurden),2),LaborCostHour))))</f>
        <v>0</v>
      </c>
      <c r="L295" s="41">
        <f>IF(A295="","",IF(F295="","",ROUND(F295/60,3)))</f>
        <v>0</v>
      </c>
      <c r="M295" s="32">
        <f>IF(A295="","",IF(G295="Per batch",IF(OR(H295="",H295=0),DefaultBatchSize,H295),1))</f>
        <v>0</v>
      </c>
      <c r="N295" s="20">
        <f>IF(A295="","",IF(OR(L295="",K295=""),"",ROUND(L295*K295,2)))</f>
        <v>0</v>
      </c>
      <c r="O295" s="20">
        <f>IF(A295="","",IF(N295="","",ROUND(N295/MAX(1,M295),2)))</f>
        <v>0</v>
      </c>
      <c r="P295" s="36">
        <f>IF(A295="","",IF(F295="","",ROUND(F295/MAX(1,M295),2)))</f>
        <v>0</v>
      </c>
      <c r="Q295" s="20">
        <f>IF(A295="","",IF(L295="","",ROUND(L295/MAX(1,M295)*SuppliesPerHour,2)))</f>
        <v>0</v>
      </c>
      <c r="R295" s="20">
        <f>IF(A295="","",ROUND(SUMIFS(Labor!$O$5:$O$304,Labor!$A$5:$A$304,A295),2))</f>
        <v>0</v>
      </c>
      <c r="S295" s="33">
        <f>IF(A295="","",IF(OR(O295="",R295="",R295=0),"",O295/R295))</f>
        <v>0</v>
      </c>
      <c r="T295" s="32">
        <f>IF(A295="","",COUNTIFS($A$5:A295,A295))</f>
        <v>0</v>
      </c>
      <c r="U295" s="13">
        <f>IF(A295="","",A295&amp;"|"&amp;T295)</f>
        <v>0</v>
      </c>
      <c r="V295" s="43">
        <f>IF(A295="","",IF(B295="Not found","Check - no such product ID",IF(OR(F295="",F295=0),"Add - how many minutes?",IF(C295="","Add - which stage?",IF(AND(G295="Per batch",H295=""),"Check - using the default batch size",IF(K295&lt;MinimumWage,"Check - below minimum wage","OK"))))))</f>
        <v>0</v>
      </c>
    </row>
    <row r="296" spans="2:22">
      <c r="B296" s="13">
        <f>IF(A296="","",IFERROR(INDEX(Products!$B$5:$B$304,MATCH(A296,Products!$A$5:$A$304,0)),"Not found"))</f>
        <v>0</v>
      </c>
      <c r="K296" s="20">
        <f>IF(A296="","",IF(E296&lt;&gt;"",E296,IF(D296="Employee",ROUND(EmployeeRate*(1+PayrollBurden),2),IF(OR(D296="Contractor",D296="Outsourced"),ROUND(ContractorRate*(1+PayrollBurden),2),LaborCostHour))))</f>
        <v>0</v>
      </c>
      <c r="L296" s="41">
        <f>IF(A296="","",IF(F296="","",ROUND(F296/60,3)))</f>
        <v>0</v>
      </c>
      <c r="M296" s="32">
        <f>IF(A296="","",IF(G296="Per batch",IF(OR(H296="",H296=0),DefaultBatchSize,H296),1))</f>
        <v>0</v>
      </c>
      <c r="N296" s="20">
        <f>IF(A296="","",IF(OR(L296="",K296=""),"",ROUND(L296*K296,2)))</f>
        <v>0</v>
      </c>
      <c r="O296" s="20">
        <f>IF(A296="","",IF(N296="","",ROUND(N296/MAX(1,M296),2)))</f>
        <v>0</v>
      </c>
      <c r="P296" s="36">
        <f>IF(A296="","",IF(F296="","",ROUND(F296/MAX(1,M296),2)))</f>
        <v>0</v>
      </c>
      <c r="Q296" s="20">
        <f>IF(A296="","",IF(L296="","",ROUND(L296/MAX(1,M296)*SuppliesPerHour,2)))</f>
        <v>0</v>
      </c>
      <c r="R296" s="20">
        <f>IF(A296="","",ROUND(SUMIFS(Labor!$O$5:$O$304,Labor!$A$5:$A$304,A296),2))</f>
        <v>0</v>
      </c>
      <c r="S296" s="33">
        <f>IF(A296="","",IF(OR(O296="",R296="",R296=0),"",O296/R296))</f>
        <v>0</v>
      </c>
      <c r="T296" s="32">
        <f>IF(A296="","",COUNTIFS($A$5:A296,A296))</f>
        <v>0</v>
      </c>
      <c r="U296" s="13">
        <f>IF(A296="","",A296&amp;"|"&amp;T296)</f>
        <v>0</v>
      </c>
      <c r="V296" s="43">
        <f>IF(A296="","",IF(B296="Not found","Check - no such product ID",IF(OR(F296="",F296=0),"Add - how many minutes?",IF(C296="","Add - which stage?",IF(AND(G296="Per batch",H296=""),"Check - using the default batch size",IF(K296&lt;MinimumWage,"Check - below minimum wage","OK"))))))</f>
        <v>0</v>
      </c>
    </row>
    <row r="297" spans="2:22">
      <c r="B297" s="13">
        <f>IF(A297="","",IFERROR(INDEX(Products!$B$5:$B$304,MATCH(A297,Products!$A$5:$A$304,0)),"Not found"))</f>
        <v>0</v>
      </c>
      <c r="K297" s="20">
        <f>IF(A297="","",IF(E297&lt;&gt;"",E297,IF(D297="Employee",ROUND(EmployeeRate*(1+PayrollBurden),2),IF(OR(D297="Contractor",D297="Outsourced"),ROUND(ContractorRate*(1+PayrollBurden),2),LaborCostHour))))</f>
        <v>0</v>
      </c>
      <c r="L297" s="41">
        <f>IF(A297="","",IF(F297="","",ROUND(F297/60,3)))</f>
        <v>0</v>
      </c>
      <c r="M297" s="32">
        <f>IF(A297="","",IF(G297="Per batch",IF(OR(H297="",H297=0),DefaultBatchSize,H297),1))</f>
        <v>0</v>
      </c>
      <c r="N297" s="20">
        <f>IF(A297="","",IF(OR(L297="",K297=""),"",ROUND(L297*K297,2)))</f>
        <v>0</v>
      </c>
      <c r="O297" s="20">
        <f>IF(A297="","",IF(N297="","",ROUND(N297/MAX(1,M297),2)))</f>
        <v>0</v>
      </c>
      <c r="P297" s="36">
        <f>IF(A297="","",IF(F297="","",ROUND(F297/MAX(1,M297),2)))</f>
        <v>0</v>
      </c>
      <c r="Q297" s="20">
        <f>IF(A297="","",IF(L297="","",ROUND(L297/MAX(1,M297)*SuppliesPerHour,2)))</f>
        <v>0</v>
      </c>
      <c r="R297" s="20">
        <f>IF(A297="","",ROUND(SUMIFS(Labor!$O$5:$O$304,Labor!$A$5:$A$304,A297),2))</f>
        <v>0</v>
      </c>
      <c r="S297" s="33">
        <f>IF(A297="","",IF(OR(O297="",R297="",R297=0),"",O297/R297))</f>
        <v>0</v>
      </c>
      <c r="T297" s="32">
        <f>IF(A297="","",COUNTIFS($A$5:A297,A297))</f>
        <v>0</v>
      </c>
      <c r="U297" s="13">
        <f>IF(A297="","",A297&amp;"|"&amp;T297)</f>
        <v>0</v>
      </c>
      <c r="V297" s="43">
        <f>IF(A297="","",IF(B297="Not found","Check - no such product ID",IF(OR(F297="",F297=0),"Add - how many minutes?",IF(C297="","Add - which stage?",IF(AND(G297="Per batch",H297=""),"Check - using the default batch size",IF(K297&lt;MinimumWage,"Check - below minimum wage","OK"))))))</f>
        <v>0</v>
      </c>
    </row>
    <row r="298" spans="2:22">
      <c r="B298" s="13">
        <f>IF(A298="","",IFERROR(INDEX(Products!$B$5:$B$304,MATCH(A298,Products!$A$5:$A$304,0)),"Not found"))</f>
        <v>0</v>
      </c>
      <c r="K298" s="20">
        <f>IF(A298="","",IF(E298&lt;&gt;"",E298,IF(D298="Employee",ROUND(EmployeeRate*(1+PayrollBurden),2),IF(OR(D298="Contractor",D298="Outsourced"),ROUND(ContractorRate*(1+PayrollBurden),2),LaborCostHour))))</f>
        <v>0</v>
      </c>
      <c r="L298" s="41">
        <f>IF(A298="","",IF(F298="","",ROUND(F298/60,3)))</f>
        <v>0</v>
      </c>
      <c r="M298" s="32">
        <f>IF(A298="","",IF(G298="Per batch",IF(OR(H298="",H298=0),DefaultBatchSize,H298),1))</f>
        <v>0</v>
      </c>
      <c r="N298" s="20">
        <f>IF(A298="","",IF(OR(L298="",K298=""),"",ROUND(L298*K298,2)))</f>
        <v>0</v>
      </c>
      <c r="O298" s="20">
        <f>IF(A298="","",IF(N298="","",ROUND(N298/MAX(1,M298),2)))</f>
        <v>0</v>
      </c>
      <c r="P298" s="36">
        <f>IF(A298="","",IF(F298="","",ROUND(F298/MAX(1,M298),2)))</f>
        <v>0</v>
      </c>
      <c r="Q298" s="20">
        <f>IF(A298="","",IF(L298="","",ROUND(L298/MAX(1,M298)*SuppliesPerHour,2)))</f>
        <v>0</v>
      </c>
      <c r="R298" s="20">
        <f>IF(A298="","",ROUND(SUMIFS(Labor!$O$5:$O$304,Labor!$A$5:$A$304,A298),2))</f>
        <v>0</v>
      </c>
      <c r="S298" s="33">
        <f>IF(A298="","",IF(OR(O298="",R298="",R298=0),"",O298/R298))</f>
        <v>0</v>
      </c>
      <c r="T298" s="32">
        <f>IF(A298="","",COUNTIFS($A$5:A298,A298))</f>
        <v>0</v>
      </c>
      <c r="U298" s="13">
        <f>IF(A298="","",A298&amp;"|"&amp;T298)</f>
        <v>0</v>
      </c>
      <c r="V298" s="43">
        <f>IF(A298="","",IF(B298="Not found","Check - no such product ID",IF(OR(F298="",F298=0),"Add - how many minutes?",IF(C298="","Add - which stage?",IF(AND(G298="Per batch",H298=""),"Check - using the default batch size",IF(K298&lt;MinimumWage,"Check - below minimum wage","OK"))))))</f>
        <v>0</v>
      </c>
    </row>
    <row r="299" spans="2:22">
      <c r="B299" s="13">
        <f>IF(A299="","",IFERROR(INDEX(Products!$B$5:$B$304,MATCH(A299,Products!$A$5:$A$304,0)),"Not found"))</f>
        <v>0</v>
      </c>
      <c r="K299" s="20">
        <f>IF(A299="","",IF(E299&lt;&gt;"",E299,IF(D299="Employee",ROUND(EmployeeRate*(1+PayrollBurden),2),IF(OR(D299="Contractor",D299="Outsourced"),ROUND(ContractorRate*(1+PayrollBurden),2),LaborCostHour))))</f>
        <v>0</v>
      </c>
      <c r="L299" s="41">
        <f>IF(A299="","",IF(F299="","",ROUND(F299/60,3)))</f>
        <v>0</v>
      </c>
      <c r="M299" s="32">
        <f>IF(A299="","",IF(G299="Per batch",IF(OR(H299="",H299=0),DefaultBatchSize,H299),1))</f>
        <v>0</v>
      </c>
      <c r="N299" s="20">
        <f>IF(A299="","",IF(OR(L299="",K299=""),"",ROUND(L299*K299,2)))</f>
        <v>0</v>
      </c>
      <c r="O299" s="20">
        <f>IF(A299="","",IF(N299="","",ROUND(N299/MAX(1,M299),2)))</f>
        <v>0</v>
      </c>
      <c r="P299" s="36">
        <f>IF(A299="","",IF(F299="","",ROUND(F299/MAX(1,M299),2)))</f>
        <v>0</v>
      </c>
      <c r="Q299" s="20">
        <f>IF(A299="","",IF(L299="","",ROUND(L299/MAX(1,M299)*SuppliesPerHour,2)))</f>
        <v>0</v>
      </c>
      <c r="R299" s="20">
        <f>IF(A299="","",ROUND(SUMIFS(Labor!$O$5:$O$304,Labor!$A$5:$A$304,A299),2))</f>
        <v>0</v>
      </c>
      <c r="S299" s="33">
        <f>IF(A299="","",IF(OR(O299="",R299="",R299=0),"",O299/R299))</f>
        <v>0</v>
      </c>
      <c r="T299" s="32">
        <f>IF(A299="","",COUNTIFS($A$5:A299,A299))</f>
        <v>0</v>
      </c>
      <c r="U299" s="13">
        <f>IF(A299="","",A299&amp;"|"&amp;T299)</f>
        <v>0</v>
      </c>
      <c r="V299" s="43">
        <f>IF(A299="","",IF(B299="Not found","Check - no such product ID",IF(OR(F299="",F299=0),"Add - how many minutes?",IF(C299="","Add - which stage?",IF(AND(G299="Per batch",H299=""),"Check - using the default batch size",IF(K299&lt;MinimumWage,"Check - below minimum wage","OK"))))))</f>
        <v>0</v>
      </c>
    </row>
    <row r="300" spans="2:22">
      <c r="B300" s="13">
        <f>IF(A300="","",IFERROR(INDEX(Products!$B$5:$B$304,MATCH(A300,Products!$A$5:$A$304,0)),"Not found"))</f>
        <v>0</v>
      </c>
      <c r="K300" s="20">
        <f>IF(A300="","",IF(E300&lt;&gt;"",E300,IF(D300="Employee",ROUND(EmployeeRate*(1+PayrollBurden),2),IF(OR(D300="Contractor",D300="Outsourced"),ROUND(ContractorRate*(1+PayrollBurden),2),LaborCostHour))))</f>
        <v>0</v>
      </c>
      <c r="L300" s="41">
        <f>IF(A300="","",IF(F300="","",ROUND(F300/60,3)))</f>
        <v>0</v>
      </c>
      <c r="M300" s="32">
        <f>IF(A300="","",IF(G300="Per batch",IF(OR(H300="",H300=0),DefaultBatchSize,H300),1))</f>
        <v>0</v>
      </c>
      <c r="N300" s="20">
        <f>IF(A300="","",IF(OR(L300="",K300=""),"",ROUND(L300*K300,2)))</f>
        <v>0</v>
      </c>
      <c r="O300" s="20">
        <f>IF(A300="","",IF(N300="","",ROUND(N300/MAX(1,M300),2)))</f>
        <v>0</v>
      </c>
      <c r="P300" s="36">
        <f>IF(A300="","",IF(F300="","",ROUND(F300/MAX(1,M300),2)))</f>
        <v>0</v>
      </c>
      <c r="Q300" s="20">
        <f>IF(A300="","",IF(L300="","",ROUND(L300/MAX(1,M300)*SuppliesPerHour,2)))</f>
        <v>0</v>
      </c>
      <c r="R300" s="20">
        <f>IF(A300="","",ROUND(SUMIFS(Labor!$O$5:$O$304,Labor!$A$5:$A$304,A300),2))</f>
        <v>0</v>
      </c>
      <c r="S300" s="33">
        <f>IF(A300="","",IF(OR(O300="",R300="",R300=0),"",O300/R300))</f>
        <v>0</v>
      </c>
      <c r="T300" s="32">
        <f>IF(A300="","",COUNTIFS($A$5:A300,A300))</f>
        <v>0</v>
      </c>
      <c r="U300" s="13">
        <f>IF(A300="","",A300&amp;"|"&amp;T300)</f>
        <v>0</v>
      </c>
      <c r="V300" s="43">
        <f>IF(A300="","",IF(B300="Not found","Check - no such product ID",IF(OR(F300="",F300=0),"Add - how many minutes?",IF(C300="","Add - which stage?",IF(AND(G300="Per batch",H300=""),"Check - using the default batch size",IF(K300&lt;MinimumWage,"Check - below minimum wage","OK"))))))</f>
        <v>0</v>
      </c>
    </row>
    <row r="301" spans="2:22">
      <c r="B301" s="13">
        <f>IF(A301="","",IFERROR(INDEX(Products!$B$5:$B$304,MATCH(A301,Products!$A$5:$A$304,0)),"Not found"))</f>
        <v>0</v>
      </c>
      <c r="K301" s="20">
        <f>IF(A301="","",IF(E301&lt;&gt;"",E301,IF(D301="Employee",ROUND(EmployeeRate*(1+PayrollBurden),2),IF(OR(D301="Contractor",D301="Outsourced"),ROUND(ContractorRate*(1+PayrollBurden),2),LaborCostHour))))</f>
        <v>0</v>
      </c>
      <c r="L301" s="41">
        <f>IF(A301="","",IF(F301="","",ROUND(F301/60,3)))</f>
        <v>0</v>
      </c>
      <c r="M301" s="32">
        <f>IF(A301="","",IF(G301="Per batch",IF(OR(H301="",H301=0),DefaultBatchSize,H301),1))</f>
        <v>0</v>
      </c>
      <c r="N301" s="20">
        <f>IF(A301="","",IF(OR(L301="",K301=""),"",ROUND(L301*K301,2)))</f>
        <v>0</v>
      </c>
      <c r="O301" s="20">
        <f>IF(A301="","",IF(N301="","",ROUND(N301/MAX(1,M301),2)))</f>
        <v>0</v>
      </c>
      <c r="P301" s="36">
        <f>IF(A301="","",IF(F301="","",ROUND(F301/MAX(1,M301),2)))</f>
        <v>0</v>
      </c>
      <c r="Q301" s="20">
        <f>IF(A301="","",IF(L301="","",ROUND(L301/MAX(1,M301)*SuppliesPerHour,2)))</f>
        <v>0</v>
      </c>
      <c r="R301" s="20">
        <f>IF(A301="","",ROUND(SUMIFS(Labor!$O$5:$O$304,Labor!$A$5:$A$304,A301),2))</f>
        <v>0</v>
      </c>
      <c r="S301" s="33">
        <f>IF(A301="","",IF(OR(O301="",R301="",R301=0),"",O301/R301))</f>
        <v>0</v>
      </c>
      <c r="T301" s="32">
        <f>IF(A301="","",COUNTIFS($A$5:A301,A301))</f>
        <v>0</v>
      </c>
      <c r="U301" s="13">
        <f>IF(A301="","",A301&amp;"|"&amp;T301)</f>
        <v>0</v>
      </c>
      <c r="V301" s="43">
        <f>IF(A301="","",IF(B301="Not found","Check - no such product ID",IF(OR(F301="",F301=0),"Add - how many minutes?",IF(C301="","Add - which stage?",IF(AND(G301="Per batch",H301=""),"Check - using the default batch size",IF(K301&lt;MinimumWage,"Check - below minimum wage","OK"))))))</f>
        <v>0</v>
      </c>
    </row>
    <row r="302" spans="2:22">
      <c r="B302" s="13">
        <f>IF(A302="","",IFERROR(INDEX(Products!$B$5:$B$304,MATCH(A302,Products!$A$5:$A$304,0)),"Not found"))</f>
        <v>0</v>
      </c>
      <c r="K302" s="20">
        <f>IF(A302="","",IF(E302&lt;&gt;"",E302,IF(D302="Employee",ROUND(EmployeeRate*(1+PayrollBurden),2),IF(OR(D302="Contractor",D302="Outsourced"),ROUND(ContractorRate*(1+PayrollBurden),2),LaborCostHour))))</f>
        <v>0</v>
      </c>
      <c r="L302" s="41">
        <f>IF(A302="","",IF(F302="","",ROUND(F302/60,3)))</f>
        <v>0</v>
      </c>
      <c r="M302" s="32">
        <f>IF(A302="","",IF(G302="Per batch",IF(OR(H302="",H302=0),DefaultBatchSize,H302),1))</f>
        <v>0</v>
      </c>
      <c r="N302" s="20">
        <f>IF(A302="","",IF(OR(L302="",K302=""),"",ROUND(L302*K302,2)))</f>
        <v>0</v>
      </c>
      <c r="O302" s="20">
        <f>IF(A302="","",IF(N302="","",ROUND(N302/MAX(1,M302),2)))</f>
        <v>0</v>
      </c>
      <c r="P302" s="36">
        <f>IF(A302="","",IF(F302="","",ROUND(F302/MAX(1,M302),2)))</f>
        <v>0</v>
      </c>
      <c r="Q302" s="20">
        <f>IF(A302="","",IF(L302="","",ROUND(L302/MAX(1,M302)*SuppliesPerHour,2)))</f>
        <v>0</v>
      </c>
      <c r="R302" s="20">
        <f>IF(A302="","",ROUND(SUMIFS(Labor!$O$5:$O$304,Labor!$A$5:$A$304,A302),2))</f>
        <v>0</v>
      </c>
      <c r="S302" s="33">
        <f>IF(A302="","",IF(OR(O302="",R302="",R302=0),"",O302/R302))</f>
        <v>0</v>
      </c>
      <c r="T302" s="32">
        <f>IF(A302="","",COUNTIFS($A$5:A302,A302))</f>
        <v>0</v>
      </c>
      <c r="U302" s="13">
        <f>IF(A302="","",A302&amp;"|"&amp;T302)</f>
        <v>0</v>
      </c>
      <c r="V302" s="43">
        <f>IF(A302="","",IF(B302="Not found","Check - no such product ID",IF(OR(F302="",F302=0),"Add - how many minutes?",IF(C302="","Add - which stage?",IF(AND(G302="Per batch",H302=""),"Check - using the default batch size",IF(K302&lt;MinimumWage,"Check - below minimum wage","OK"))))))</f>
        <v>0</v>
      </c>
    </row>
    <row r="303" spans="2:22">
      <c r="B303" s="13">
        <f>IF(A303="","",IFERROR(INDEX(Products!$B$5:$B$304,MATCH(A303,Products!$A$5:$A$304,0)),"Not found"))</f>
        <v>0</v>
      </c>
      <c r="K303" s="20">
        <f>IF(A303="","",IF(E303&lt;&gt;"",E303,IF(D303="Employee",ROUND(EmployeeRate*(1+PayrollBurden),2),IF(OR(D303="Contractor",D303="Outsourced"),ROUND(ContractorRate*(1+PayrollBurden),2),LaborCostHour))))</f>
        <v>0</v>
      </c>
      <c r="L303" s="41">
        <f>IF(A303="","",IF(F303="","",ROUND(F303/60,3)))</f>
        <v>0</v>
      </c>
      <c r="M303" s="32">
        <f>IF(A303="","",IF(G303="Per batch",IF(OR(H303="",H303=0),DefaultBatchSize,H303),1))</f>
        <v>0</v>
      </c>
      <c r="N303" s="20">
        <f>IF(A303="","",IF(OR(L303="",K303=""),"",ROUND(L303*K303,2)))</f>
        <v>0</v>
      </c>
      <c r="O303" s="20">
        <f>IF(A303="","",IF(N303="","",ROUND(N303/MAX(1,M303),2)))</f>
        <v>0</v>
      </c>
      <c r="P303" s="36">
        <f>IF(A303="","",IF(F303="","",ROUND(F303/MAX(1,M303),2)))</f>
        <v>0</v>
      </c>
      <c r="Q303" s="20">
        <f>IF(A303="","",IF(L303="","",ROUND(L303/MAX(1,M303)*SuppliesPerHour,2)))</f>
        <v>0</v>
      </c>
      <c r="R303" s="20">
        <f>IF(A303="","",ROUND(SUMIFS(Labor!$O$5:$O$304,Labor!$A$5:$A$304,A303),2))</f>
        <v>0</v>
      </c>
      <c r="S303" s="33">
        <f>IF(A303="","",IF(OR(O303="",R303="",R303=0),"",O303/R303))</f>
        <v>0</v>
      </c>
      <c r="T303" s="32">
        <f>IF(A303="","",COUNTIFS($A$5:A303,A303))</f>
        <v>0</v>
      </c>
      <c r="U303" s="13">
        <f>IF(A303="","",A303&amp;"|"&amp;T303)</f>
        <v>0</v>
      </c>
      <c r="V303" s="43">
        <f>IF(A303="","",IF(B303="Not found","Check - no such product ID",IF(OR(F303="",F303=0),"Add - how many minutes?",IF(C303="","Add - which stage?",IF(AND(G303="Per batch",H303=""),"Check - using the default batch size",IF(K303&lt;MinimumWage,"Check - below minimum wage","OK"))))))</f>
        <v>0</v>
      </c>
    </row>
    <row r="304" spans="2:22">
      <c r="B304" s="13">
        <f>IF(A304="","",IFERROR(INDEX(Products!$B$5:$B$304,MATCH(A304,Products!$A$5:$A$304,0)),"Not found"))</f>
        <v>0</v>
      </c>
      <c r="K304" s="20">
        <f>IF(A304="","",IF(E304&lt;&gt;"",E304,IF(D304="Employee",ROUND(EmployeeRate*(1+PayrollBurden),2),IF(OR(D304="Contractor",D304="Outsourced"),ROUND(ContractorRate*(1+PayrollBurden),2),LaborCostHour))))</f>
        <v>0</v>
      </c>
      <c r="L304" s="41">
        <f>IF(A304="","",IF(F304="","",ROUND(F304/60,3)))</f>
        <v>0</v>
      </c>
      <c r="M304" s="32">
        <f>IF(A304="","",IF(G304="Per batch",IF(OR(H304="",H304=0),DefaultBatchSize,H304),1))</f>
        <v>0</v>
      </c>
      <c r="N304" s="20">
        <f>IF(A304="","",IF(OR(L304="",K304=""),"",ROUND(L304*K304,2)))</f>
        <v>0</v>
      </c>
      <c r="O304" s="20">
        <f>IF(A304="","",IF(N304="","",ROUND(N304/MAX(1,M304),2)))</f>
        <v>0</v>
      </c>
      <c r="P304" s="36">
        <f>IF(A304="","",IF(F304="","",ROUND(F304/MAX(1,M304),2)))</f>
        <v>0</v>
      </c>
      <c r="Q304" s="20">
        <f>IF(A304="","",IF(L304="","",ROUND(L304/MAX(1,M304)*SuppliesPerHour,2)))</f>
        <v>0</v>
      </c>
      <c r="R304" s="20">
        <f>IF(A304="","",ROUND(SUMIFS(Labor!$O$5:$O$304,Labor!$A$5:$A$304,A304),2))</f>
        <v>0</v>
      </c>
      <c r="S304" s="33">
        <f>IF(A304="","",IF(OR(O304="",R304="",R304=0),"",O304/R304))</f>
        <v>0</v>
      </c>
      <c r="T304" s="32">
        <f>IF(A304="","",COUNTIFS($A$5:A304,A304))</f>
        <v>0</v>
      </c>
      <c r="U304" s="13">
        <f>IF(A304="","",A304&amp;"|"&amp;T304)</f>
        <v>0</v>
      </c>
      <c r="V304" s="43">
        <f>IF(A304="","",IF(B304="Not found","Check - no such product ID",IF(OR(F304="",F304=0),"Add - how many minutes?",IF(C304="","Add - which stage?",IF(AND(G304="Per batch",H304=""),"Check - using the default batch size",IF(K304&lt;MinimumWage,"Check - below minimum wage","OK"))))))</f>
        <v>0</v>
      </c>
    </row>
    <row r="306" spans="1:22" ht="20" customHeight="1">
      <c r="A306" s="7" t="s">
        <v>800</v>
      </c>
      <c r="B306" s="7"/>
      <c r="C306" s="7"/>
      <c r="D306" s="7"/>
      <c r="E306" s="7"/>
      <c r="F306" s="7"/>
      <c r="G306" s="7"/>
      <c r="H306" s="7"/>
      <c r="I306" s="7"/>
      <c r="J306" s="7"/>
      <c r="K306" s="7"/>
      <c r="L306" s="7"/>
      <c r="M306" s="7"/>
      <c r="N306" s="7"/>
      <c r="O306" s="7"/>
      <c r="P306" s="7"/>
      <c r="Q306" s="7"/>
      <c r="R306" s="7"/>
      <c r="S306" s="7"/>
      <c r="T306" s="7"/>
      <c r="U306" s="7"/>
      <c r="V306" s="7"/>
    </row>
    <row r="307" spans="1:22" ht="26" customHeight="1">
      <c r="A307" s="8" t="s">
        <v>801</v>
      </c>
      <c r="B307" s="9" t="s">
        <v>758</v>
      </c>
      <c r="C307" s="9" t="s">
        <v>802</v>
      </c>
      <c r="D307" s="9" t="s">
        <v>803</v>
      </c>
      <c r="E307" s="9" t="s">
        <v>804</v>
      </c>
      <c r="F307" s="9" t="s">
        <v>805</v>
      </c>
      <c r="G307" s="9" t="s">
        <v>762</v>
      </c>
    </row>
    <row r="308" spans="1:22">
      <c r="A308" s="32">
        <f>COUNTIF(Labor!$A$5:$A$304,"&lt;&gt;")</f>
        <v>0</v>
      </c>
      <c r="B308" s="32">
        <f>COUNTIFS(Labor!$T$5:$T$304,1)</f>
        <v>0</v>
      </c>
      <c r="C308" s="32">
        <f>ROUND(SUM(Labor!$P$5:$P$304),0)</f>
        <v>0</v>
      </c>
      <c r="D308" s="20">
        <f>ROUND(SUM(Labor!$O$5:$O$304),2)</f>
        <v>0</v>
      </c>
      <c r="E308" s="20">
        <f>IFERROR(ROUND(AVERAGE(Labor!$K$5:$K$304),2),"")</f>
        <v>0</v>
      </c>
      <c r="F308" s="32">
        <f>COUNTIFS(Labor!$I$5:$I$304,"Yes")</f>
        <v>0</v>
      </c>
      <c r="G308" s="32">
        <f>COUNTIFS(Labor!$V$5:$V$304,"Check*")+COUNTIFS(Labor!$V$5:$V$304,"Add*")</f>
        <v>0</v>
      </c>
    </row>
  </sheetData>
  <sheetProtection password="EC7C" sheet="1" objects="1" scenarios="1" formatCells="0" formatColumns="0" formatRows="0" insertRows="0" insertHyperlinks="0" deleteRows="0" autoFilter="0"/>
  <autoFilter ref="A4:V304"/>
  <mergeCells count="14">
    <mergeCell ref="A1:S1"/>
    <mergeCell ref="T1:V1"/>
    <mergeCell ref="A2:V2"/>
    <mergeCell ref="A3:B3"/>
    <mergeCell ref="C3:D3"/>
    <mergeCell ref="E3:F3"/>
    <mergeCell ref="G3:H3"/>
    <mergeCell ref="I3:J3"/>
    <mergeCell ref="K3:L3"/>
    <mergeCell ref="M3:N3"/>
    <mergeCell ref="O3:P3"/>
    <mergeCell ref="Q3:R3"/>
    <mergeCell ref="S3:V3"/>
    <mergeCell ref="A306:V306"/>
  </mergeCells>
  <conditionalFormatting sqref="V5:V304">
    <cfRule type="beginsWith" dxfId="1" priority="1" operator="beginsWith" text="OK">
      <formula>LEFT(V5,2)="OK"</formula>
    </cfRule>
    <cfRule type="containsText" dxfId="2" priority="2" operator="containsText" text="Overdue">
      <formula>NOT(ISERROR(SEARCH("Overdue",V5)))</formula>
    </cfRule>
    <cfRule type="containsText" dxfId="2" priority="3" operator="containsText" text="Late">
      <formula>NOT(ISERROR(SEARCH("Late",V5)))</formula>
    </cfRule>
    <cfRule type="containsText" dxfId="2" priority="4" operator="containsText" text="Missing">
      <formula>NOT(ISERROR(SEARCH("Missing",V5)))</formula>
    </cfRule>
    <cfRule type="containsText" dxfId="2" priority="5" operator="containsText" text="Conflict">
      <formula>NOT(ISERROR(SEARCH("Conflict",V5)))</formula>
    </cfRule>
    <cfRule type="containsText" dxfId="2" priority="6" operator="containsText" text="Clash">
      <formula>NOT(ISERROR(SEARCH("Clash",V5)))</formula>
    </cfRule>
    <cfRule type="containsText" dxfId="2" priority="7" operator="containsText" text="Expired">
      <formula>NOT(ISERROR(SEARCH("Expired",V5)))</formula>
    </cfRule>
    <cfRule type="containsText" dxfId="2" priority="8" operator="containsText" text="Duplicate">
      <formula>NOT(ISERROR(SEARCH("Duplicate",V5)))</formula>
    </cfRule>
    <cfRule type="containsText" dxfId="2" priority="9" operator="containsText" text="Unpaid">
      <formula>NOT(ISERROR(SEARCH("Unpaid",V5)))</formula>
    </cfRule>
    <cfRule type="containsText" dxfId="2" priority="10" operator="containsText" text="Loss">
      <formula>NOT(ISERROR(SEARCH("Loss",V5)))</formula>
    </cfRule>
    <cfRule type="containsText" dxfId="2" priority="11" operator="containsText" text="Below">
      <formula>NOT(ISERROR(SEARCH("Below",V5)))</formula>
    </cfRule>
    <cfRule type="containsText" dxfId="0" priority="12" operator="containsText" text="Action">
      <formula>NOT(ISERROR(SEARCH("Action",V5)))</formula>
    </cfRule>
    <cfRule type="containsText" dxfId="0" priority="13" operator="containsText" text="Due">
      <formula>NOT(ISERROR(SEARCH("Due",V5)))</formula>
    </cfRule>
    <cfRule type="containsText" dxfId="0" priority="14" operator="containsText" text="Check">
      <formula>NOT(ISERROR(SEARCH("Check",V5)))</formula>
    </cfRule>
    <cfRule type="containsText" dxfId="0" priority="15" operator="containsText" text="Chase">
      <formula>NOT(ISERROR(SEARCH("Chase",V5)))</formula>
    </cfRule>
    <cfRule type="containsText" dxfId="0" priority="16" operator="containsText" text="Assign">
      <formula>NOT(ISERROR(SEARCH("Assign",V5)))</formula>
    </cfRule>
    <cfRule type="containsText" dxfId="0" priority="17" operator="containsText" text="Confirm">
      <formula>NOT(ISERROR(SEARCH("Confirm",V5)))</formula>
    </cfRule>
    <cfRule type="containsText" dxfId="0" priority="18" operator="containsText" text="Order">
      <formula>NOT(ISERROR(SEARCH("Order",V5)))</formula>
    </cfRule>
    <cfRule type="containsText" dxfId="3" priority="19" operator="containsText" text="Today">
      <formula>NOT(ISERROR(SEARCH("Today",V5)))</formula>
    </cfRule>
    <cfRule type="containsText" dxfId="3" priority="20" operator="containsText" text="Upcoming">
      <formula>NOT(ISERROR(SEARCH("Upcoming",V5)))</formula>
    </cfRule>
    <cfRule type="containsText" dxfId="3" priority="21" operator="containsText" text="Tomorrow">
      <formula>NOT(ISERROR(SEARCH("Tomorrow",V5)))</formula>
    </cfRule>
  </conditionalFormatting>
  <dataValidations count="8">
    <dataValidation type="list" allowBlank="1" showInputMessage="1" showErrorMessage="1" promptTitle="Product" prompt="The product ID. Add as many stages as the piece really has - the total is what the catalog uses." sqref="A5:A304">
      <formula1>ProductIDs</formula1>
    </dataValidation>
    <dataValidation type="list" allowBlank="1" showInputMessage="1" showErrorMessage="1" promptTitle="Stage" prompt="Making is never the whole story. Photography, listing and packing are work too, and they are where small items lose money." sqref="C5:C304">
      <formula1>LaborStageList</formula1>
    </dataValidation>
    <dataValidation type="list" allowBlank="1" showInputMessage="1" showErrorMessage="1" promptTitle="Who does it" prompt="Sets the hourly rate: you, an employee or a contractor. Override it in the next column if this particular job pays differently." sqref="D5:D304">
      <formula1>LaborWhoList</formula1>
    </dataValidation>
    <dataValidation type="decimal" allowBlank="1" showInputMessage="1" showErrorMessage="1" errorTitle="Check the value" error="Enter a number between 0 and 1000." promptTitle="Rate override" prompt="Leave blank to use the rate on the Settings tab for whoever is doing it." sqref="E5:E304">
      <formula1>0</formula1>
      <formula2>1000</formula2>
    </dataValidation>
    <dataValidation type="decimal" allowBlank="1" showInputMessage="1" showErrorMessage="1" errorTitle="Check the value" error="Enter a number between 0 and 100000." promptTitle="Minutes" prompt="Time it once with a timer, not from memory. Makers underestimate their own hours by about a third." sqref="F5:F304">
      <formula1>0</formula1>
      <formula2>100000</formula2>
    </dataValidation>
    <dataValidation type="list" allowBlank="1" showInputMessage="1" showErrorMessage="1" promptTitle="Per item or batch" prompt="'Per batch' for anything you do once for a whole run - setting up, pouring a pot of wax, a post office trip." sqref="G5:G304">
      <formula1>PerBasisList</formula1>
    </dataValidation>
    <dataValidation type="whole" allowBlank="1" showInputMessage="1" showErrorMessage="1" errorTitle="Check the value" error="Enter a number between 1 and 100000." promptTitle="Items in that batch" prompt="Only used when the stage is per batch. Blank uses the default batch size on Settings." sqref="H5:H304">
      <formula1>1</formula1>
      <formula2>100000</formula2>
    </dataValidation>
    <dataValidation type="list" allowBlank="1" showInputMessage="1" showErrorMessage="1" promptTitle="Skilled work?" prompt="Flag the stages that took years to learn. The reports show how much of your making time is skilled - that is the part worth protecting." sqref="I5:I3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&amp;L&amp;"Calibri,Bold"&amp;12&amp;C&amp;"Calibri,Bold"&amp;11Labor&amp;R&amp;"Calibri,Italic"&amp;9Handmade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B5704F"/>
    <pageSetUpPr fitToPage="1"/>
  </sheetPr>
  <dimension ref="A1:Z95"/>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style="15" customWidth="1"/>
    <col min="2" max="2" width="18.7109375" style="15" customWidth="1"/>
    <col min="3" max="3" width="16.7109375" style="15" customWidth="1"/>
    <col min="4" max="4" width="12.7109375" style="21" customWidth="1"/>
    <col min="5" max="5" width="11.7109375" style="18" customWidth="1"/>
    <col min="6" max="6" width="11.7109375" style="21" customWidth="1"/>
    <col min="7" max="7" width="12.7109375" style="21" customWidth="1"/>
    <col min="8" max="8" width="9.7109375" style="47" customWidth="1"/>
    <col min="9" max="9" width="10.7109375" style="47" customWidth="1"/>
    <col min="10" max="10" width="9.7109375" style="47" customWidth="1"/>
    <col min="11" max="11" width="10.7109375" style="47" customWidth="1"/>
    <col min="12" max="12" width="10.7109375" style="47" customWidth="1"/>
    <col min="13" max="13" width="24.7109375" style="40" customWidth="1"/>
    <col min="14" max="14" width="10.7109375" style="45" customWidth="1"/>
    <col min="15" max="15" width="12.7109375" style="45" customWidth="1"/>
    <col min="16" max="16" width="13.7109375" style="36" customWidth="1"/>
    <col min="17" max="17" width="10.7109375" style="45" hidden="1" customWidth="1"/>
    <col min="18" max="18" width="10.7109375" style="45" hidden="1" customWidth="1"/>
    <col min="19" max="19" width="10.7109375" style="45" hidden="1" customWidth="1"/>
    <col min="20" max="20" width="10.7109375" style="45" hidden="1" customWidth="1"/>
    <col min="21" max="21" width="10.7109375" style="36" hidden="1" customWidth="1"/>
    <col min="22" max="22" width="10.7109375" style="36" hidden="1" customWidth="1"/>
    <col min="23" max="23" width="10.7109375" style="36" hidden="1" customWidth="1"/>
    <col min="24" max="24" width="10.7109375" style="36" hidden="1" customWidth="1"/>
    <col min="25" max="25" width="11.7109375" style="32" customWidth="1"/>
    <col min="26" max="26" width="24.7109375" style="43" customWidth="1"/>
    <col min="1" max="1" width="16.7109375" customWidth="1"/>
    <col min="2" max="2" width="13.7109375" customWidth="1"/>
    <col min="3" max="3" width="13.7109375" customWidth="1"/>
    <col min="4" max="4" width="13.7109375" customWidth="1"/>
    <col min="5" max="5" width="58.7109375" customWidth="1"/>
  </cols>
  <sheetData>
    <row r="1" spans="1:26" ht="34" customHeight="1">
      <c r="A1" s="2" t="s">
        <v>806</v>
      </c>
      <c r="B1" s="2"/>
      <c r="C1" s="2"/>
      <c r="D1" s="2"/>
      <c r="E1" s="2"/>
      <c r="F1" s="2"/>
      <c r="G1" s="2"/>
      <c r="H1" s="2"/>
      <c r="I1" s="2"/>
      <c r="J1" s="2"/>
      <c r="K1" s="2"/>
      <c r="L1" s="2"/>
      <c r="M1" s="2"/>
      <c r="N1" s="2"/>
      <c r="O1" s="2"/>
      <c r="P1" s="2"/>
      <c r="Q1" s="2"/>
      <c r="R1" s="2"/>
      <c r="S1" s="2"/>
      <c r="T1" s="2"/>
      <c r="U1" s="2"/>
      <c r="V1" s="2"/>
      <c r="W1" s="2"/>
      <c r="X1" s="3" t="s">
        <v>1</v>
      </c>
      <c r="Y1" s="3"/>
      <c r="Z1" s="3"/>
    </row>
    <row r="2" spans="1:26" ht="18" customHeight="1">
      <c r="A2" s="4" t="s">
        <v>807</v>
      </c>
      <c r="B2" s="4"/>
      <c r="C2" s="4"/>
      <c r="D2" s="4"/>
      <c r="E2" s="4"/>
      <c r="F2" s="4"/>
      <c r="G2" s="4"/>
      <c r="H2" s="4"/>
      <c r="I2" s="4"/>
      <c r="J2" s="4"/>
      <c r="K2" s="4"/>
      <c r="L2" s="4"/>
      <c r="M2" s="4"/>
      <c r="N2" s="4"/>
      <c r="O2" s="4"/>
      <c r="P2" s="4"/>
      <c r="Q2" s="4"/>
      <c r="R2" s="4"/>
      <c r="S2" s="4"/>
      <c r="T2" s="4"/>
      <c r="U2" s="4"/>
      <c r="V2" s="4"/>
      <c r="W2" s="4"/>
      <c r="X2" s="4"/>
      <c r="Y2" s="4"/>
      <c r="Z2" s="4"/>
    </row>
    <row r="3" spans="1:26"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808</v>
      </c>
      <c r="T3" s="44"/>
      <c r="U3" s="44"/>
      <c r="V3" s="44"/>
      <c r="W3" s="44"/>
      <c r="X3" s="44"/>
      <c r="Y3" s="44"/>
      <c r="Z3" s="44"/>
    </row>
    <row r="4" spans="1:26" ht="30" customHeight="1">
      <c r="A4" s="8" t="s">
        <v>809</v>
      </c>
      <c r="B4" s="8" t="s">
        <v>569</v>
      </c>
      <c r="C4" s="9" t="s">
        <v>571</v>
      </c>
      <c r="D4" s="9" t="s">
        <v>810</v>
      </c>
      <c r="E4" s="9" t="s">
        <v>575</v>
      </c>
      <c r="F4" s="9" t="s">
        <v>811</v>
      </c>
      <c r="G4" s="9" t="s">
        <v>812</v>
      </c>
      <c r="H4" s="9" t="s">
        <v>524</v>
      </c>
      <c r="I4" s="9" t="s">
        <v>516</v>
      </c>
      <c r="J4" s="9" t="s">
        <v>529</v>
      </c>
      <c r="K4" s="9" t="s">
        <v>813</v>
      </c>
      <c r="L4" s="9" t="s">
        <v>814</v>
      </c>
      <c r="M4" s="9" t="s">
        <v>466</v>
      </c>
      <c r="N4" s="9" t="s">
        <v>815</v>
      </c>
      <c r="O4" s="9" t="s">
        <v>816</v>
      </c>
      <c r="P4" s="9" t="s">
        <v>817</v>
      </c>
      <c r="Q4" s="9" t="s">
        <v>818</v>
      </c>
      <c r="R4" s="9" t="s">
        <v>819</v>
      </c>
      <c r="S4" s="9" t="s">
        <v>820</v>
      </c>
      <c r="T4" s="9" t="s">
        <v>821</v>
      </c>
      <c r="U4" s="9" t="s">
        <v>822</v>
      </c>
      <c r="V4" s="9" t="s">
        <v>823</v>
      </c>
      <c r="W4" s="9" t="s">
        <v>824</v>
      </c>
      <c r="X4" s="9" t="s">
        <v>825</v>
      </c>
      <c r="Y4" s="9" t="s">
        <v>826</v>
      </c>
      <c r="Z4" s="9" t="s">
        <v>729</v>
      </c>
    </row>
    <row r="5" spans="1:26">
      <c r="A5" s="15" t="s">
        <v>827</v>
      </c>
      <c r="B5" s="15" t="s">
        <v>828</v>
      </c>
      <c r="C5" s="15" t="s">
        <v>829</v>
      </c>
      <c r="D5" s="21">
        <v>50</v>
      </c>
      <c r="E5" s="18">
        <v>34.5</v>
      </c>
      <c r="F5" s="21">
        <v>1</v>
      </c>
      <c r="G5" s="21">
        <v>45</v>
      </c>
      <c r="H5" s="47" t="s">
        <v>278</v>
      </c>
      <c r="I5" s="47" t="s">
        <v>278</v>
      </c>
      <c r="J5" s="47" t="s">
        <v>278</v>
      </c>
      <c r="K5" s="47" t="s">
        <v>278</v>
      </c>
      <c r="L5" s="47" t="s">
        <v>281</v>
      </c>
      <c r="N5" s="45">
        <f>IF(A5="","",IF(OR(E5="",D5="",D5=0),"",ROUND(E5/D5,4)))</f>
        <v>0</v>
      </c>
      <c r="O5" s="45">
        <f>IF(A5="","",IF(OR(N5="",F5=""),"",ROUND(N5*F5,4)))</f>
        <v>0</v>
      </c>
      <c r="P5" s="36">
        <f>IF(A5="","",IF(OR(G5="",F5=""),"",ROUND(G5*F5,1)))</f>
        <v>0</v>
      </c>
      <c r="Q5" s="45">
        <f>IF(A5="","",IF(AND(H5="Yes",O5&lt;&gt;""),O5,0))</f>
        <v>0</v>
      </c>
      <c r="R5" s="45">
        <f>IF(A5="","",IF(AND(I5="Yes",O5&lt;&gt;""),O5,0))</f>
        <v>0</v>
      </c>
      <c r="S5" s="45">
        <f>IF(A5="","",IF(AND(J5="Yes",O5&lt;&gt;""),O5,0))</f>
        <v>0</v>
      </c>
      <c r="T5" s="45">
        <f>IF(A5="","",IF(AND(K5="Yes",O5&lt;&gt;""),O5,0))</f>
        <v>0</v>
      </c>
      <c r="U5" s="36">
        <f>IF(A5="","",IF(AND(H5="Yes",P5&lt;&gt;""),P5,0))</f>
        <v>0</v>
      </c>
      <c r="V5" s="36">
        <f>IF(A5="","",IF(AND(I5="Yes",P5&lt;&gt;""),P5,0))</f>
        <v>0</v>
      </c>
      <c r="W5" s="36">
        <f>IF(A5="","",IF(AND(J5="Yes",P5&lt;&gt;""),P5,0))</f>
        <v>0</v>
      </c>
      <c r="X5" s="36">
        <f>IF(A5="","",IF(AND(K5="Yes",P5&lt;&gt;""),P5,0))</f>
        <v>0</v>
      </c>
      <c r="Y5" s="32">
        <f>IF(A5="","",COUNTIF(H5:K5,"Yes"))</f>
        <v>0</v>
      </c>
      <c r="Z5" s="43">
        <f>IF(A5="","",IF(OR(E5="",D5=""),"Add - price and pack size please",IF(Y5=0,"Check - in no profile",IF(F5="","Add - how many per order?",IF(G5="","Check - no weight, postage may be wrong","OK")))))</f>
        <v>0</v>
      </c>
    </row>
    <row r="6" spans="1:26">
      <c r="A6" s="15" t="s">
        <v>830</v>
      </c>
      <c r="B6" s="15" t="s">
        <v>831</v>
      </c>
      <c r="C6" s="15" t="s">
        <v>829</v>
      </c>
      <c r="D6" s="21">
        <v>100</v>
      </c>
      <c r="E6" s="18">
        <v>14</v>
      </c>
      <c r="F6" s="21">
        <v>1</v>
      </c>
      <c r="G6" s="21">
        <v>12</v>
      </c>
      <c r="H6" s="47" t="s">
        <v>278</v>
      </c>
      <c r="I6" s="47" t="s">
        <v>281</v>
      </c>
      <c r="J6" s="47" t="s">
        <v>281</v>
      </c>
      <c r="K6" s="47" t="s">
        <v>281</v>
      </c>
      <c r="L6" s="47" t="s">
        <v>281</v>
      </c>
      <c r="M6" s="40" t="s">
        <v>832</v>
      </c>
      <c r="N6" s="45">
        <f>IF(A6="","",IF(OR(E6="",D6="",D6=0),"",ROUND(E6/D6,4)))</f>
        <v>0</v>
      </c>
      <c r="O6" s="45">
        <f>IF(A6="","",IF(OR(N6="",F6=""),"",ROUND(N6*F6,4)))</f>
        <v>0</v>
      </c>
      <c r="P6" s="36">
        <f>IF(A6="","",IF(OR(G6="",F6=""),"",ROUND(G6*F6,1)))</f>
        <v>0</v>
      </c>
      <c r="Q6" s="45">
        <f>IF(A6="","",IF(AND(H6="Yes",O6&lt;&gt;""),O6,0))</f>
        <v>0</v>
      </c>
      <c r="R6" s="45">
        <f>IF(A6="","",IF(AND(I6="Yes",O6&lt;&gt;""),O6,0))</f>
        <v>0</v>
      </c>
      <c r="S6" s="45">
        <f>IF(A6="","",IF(AND(J6="Yes",O6&lt;&gt;""),O6,0))</f>
        <v>0</v>
      </c>
      <c r="T6" s="45">
        <f>IF(A6="","",IF(AND(K6="Yes",O6&lt;&gt;""),O6,0))</f>
        <v>0</v>
      </c>
      <c r="U6" s="36">
        <f>IF(A6="","",IF(AND(H6="Yes",P6&lt;&gt;""),P6,0))</f>
        <v>0</v>
      </c>
      <c r="V6" s="36">
        <f>IF(A6="","",IF(AND(I6="Yes",P6&lt;&gt;""),P6,0))</f>
        <v>0</v>
      </c>
      <c r="W6" s="36">
        <f>IF(A6="","",IF(AND(J6="Yes",P6&lt;&gt;""),P6,0))</f>
        <v>0</v>
      </c>
      <c r="X6" s="36">
        <f>IF(A6="","",IF(AND(K6="Yes",P6&lt;&gt;""),P6,0))</f>
        <v>0</v>
      </c>
      <c r="Y6" s="32">
        <f>IF(A6="","",COUNTIF(H6:K6,"Yes"))</f>
        <v>0</v>
      </c>
      <c r="Z6" s="43">
        <f>IF(A6="","",IF(OR(E6="",D6=""),"Add - price and pack size please",IF(Y6=0,"Check - in no profile",IF(F6="","Add - how many per order?",IF(G6="","Check - no weight, postage may be wrong","OK")))))</f>
        <v>0</v>
      </c>
    </row>
    <row r="7" spans="1:26">
      <c r="A7" s="15" t="s">
        <v>833</v>
      </c>
      <c r="B7" s="15" t="s">
        <v>834</v>
      </c>
      <c r="C7" s="15" t="s">
        <v>835</v>
      </c>
      <c r="D7" s="21">
        <v>500</v>
      </c>
      <c r="E7" s="18">
        <v>42</v>
      </c>
      <c r="F7" s="21">
        <v>2</v>
      </c>
      <c r="G7" s="21">
        <v>4</v>
      </c>
      <c r="H7" s="47" t="s">
        <v>281</v>
      </c>
      <c r="I7" s="47" t="s">
        <v>278</v>
      </c>
      <c r="J7" s="47" t="s">
        <v>278</v>
      </c>
      <c r="K7" s="47" t="s">
        <v>278</v>
      </c>
      <c r="L7" s="47" t="s">
        <v>281</v>
      </c>
      <c r="N7" s="45">
        <f>IF(A7="","",IF(OR(E7="",D7="",D7=0),"",ROUND(E7/D7,4)))</f>
        <v>0</v>
      </c>
      <c r="O7" s="45">
        <f>IF(A7="","",IF(OR(N7="",F7=""),"",ROUND(N7*F7,4)))</f>
        <v>0</v>
      </c>
      <c r="P7" s="36">
        <f>IF(A7="","",IF(OR(G7="",F7=""),"",ROUND(G7*F7,1)))</f>
        <v>0</v>
      </c>
      <c r="Q7" s="45">
        <f>IF(A7="","",IF(AND(H7="Yes",O7&lt;&gt;""),O7,0))</f>
        <v>0</v>
      </c>
      <c r="R7" s="45">
        <f>IF(A7="","",IF(AND(I7="Yes",O7&lt;&gt;""),O7,0))</f>
        <v>0</v>
      </c>
      <c r="S7" s="45">
        <f>IF(A7="","",IF(AND(J7="Yes",O7&lt;&gt;""),O7,0))</f>
        <v>0</v>
      </c>
      <c r="T7" s="45">
        <f>IF(A7="","",IF(AND(K7="Yes",O7&lt;&gt;""),O7,0))</f>
        <v>0</v>
      </c>
      <c r="U7" s="36">
        <f>IF(A7="","",IF(AND(H7="Yes",P7&lt;&gt;""),P7,0))</f>
        <v>0</v>
      </c>
      <c r="V7" s="36">
        <f>IF(A7="","",IF(AND(I7="Yes",P7&lt;&gt;""),P7,0))</f>
        <v>0</v>
      </c>
      <c r="W7" s="36">
        <f>IF(A7="","",IF(AND(J7="Yes",P7&lt;&gt;""),P7,0))</f>
        <v>0</v>
      </c>
      <c r="X7" s="36">
        <f>IF(A7="","",IF(AND(K7="Yes",P7&lt;&gt;""),P7,0))</f>
        <v>0</v>
      </c>
      <c r="Y7" s="32">
        <f>IF(A7="","",COUNTIF(H7:K7,"Yes"))</f>
        <v>0</v>
      </c>
      <c r="Z7" s="43">
        <f>IF(A7="","",IF(OR(E7="",D7=""),"Add - price and pack size please",IF(Y7=0,"Check - in no profile",IF(F7="","Add - how many per order?",IF(G7="","Check - no weight, postage may be wrong","OK")))))</f>
        <v>0</v>
      </c>
    </row>
    <row r="8" spans="1:26">
      <c r="A8" s="15" t="s">
        <v>836</v>
      </c>
      <c r="B8" s="15" t="s">
        <v>837</v>
      </c>
      <c r="C8" s="15" t="s">
        <v>835</v>
      </c>
      <c r="D8" s="21">
        <v>500</v>
      </c>
      <c r="E8" s="18">
        <v>22</v>
      </c>
      <c r="F8" s="21">
        <v>2</v>
      </c>
      <c r="G8" s="21">
        <v>1</v>
      </c>
      <c r="H8" s="47" t="s">
        <v>278</v>
      </c>
      <c r="I8" s="47" t="s">
        <v>278</v>
      </c>
      <c r="J8" s="47" t="s">
        <v>278</v>
      </c>
      <c r="K8" s="47" t="s">
        <v>278</v>
      </c>
      <c r="L8" s="47" t="s">
        <v>281</v>
      </c>
      <c r="N8" s="45">
        <f>IF(A8="","",IF(OR(E8="",D8="",D8=0),"",ROUND(E8/D8,4)))</f>
        <v>0</v>
      </c>
      <c r="O8" s="45">
        <f>IF(A8="","",IF(OR(N8="",F8=""),"",ROUND(N8*F8,4)))</f>
        <v>0</v>
      </c>
      <c r="P8" s="36">
        <f>IF(A8="","",IF(OR(G8="",F8=""),"",ROUND(G8*F8,1)))</f>
        <v>0</v>
      </c>
      <c r="Q8" s="45">
        <f>IF(A8="","",IF(AND(H8="Yes",O8&lt;&gt;""),O8,0))</f>
        <v>0</v>
      </c>
      <c r="R8" s="45">
        <f>IF(A8="","",IF(AND(I8="Yes",O8&lt;&gt;""),O8,0))</f>
        <v>0</v>
      </c>
      <c r="S8" s="45">
        <f>IF(A8="","",IF(AND(J8="Yes",O8&lt;&gt;""),O8,0))</f>
        <v>0</v>
      </c>
      <c r="T8" s="45">
        <f>IF(A8="","",IF(AND(K8="Yes",O8&lt;&gt;""),O8,0))</f>
        <v>0</v>
      </c>
      <c r="U8" s="36">
        <f>IF(A8="","",IF(AND(H8="Yes",P8&lt;&gt;""),P8,0))</f>
        <v>0</v>
      </c>
      <c r="V8" s="36">
        <f>IF(A8="","",IF(AND(I8="Yes",P8&lt;&gt;""),P8,0))</f>
        <v>0</v>
      </c>
      <c r="W8" s="36">
        <f>IF(A8="","",IF(AND(J8="Yes",P8&lt;&gt;""),P8,0))</f>
        <v>0</v>
      </c>
      <c r="X8" s="36">
        <f>IF(A8="","",IF(AND(K8="Yes",P8&lt;&gt;""),P8,0))</f>
        <v>0</v>
      </c>
      <c r="Y8" s="32">
        <f>IF(A8="","",COUNTIF(H8:K8,"Yes"))</f>
        <v>0</v>
      </c>
      <c r="Z8" s="43">
        <f>IF(A8="","",IF(OR(E8="",D8=""),"Add - price and pack size please",IF(Y8=0,"Check - in no profile",IF(F8="","Add - how many per order?",IF(G8="","Check - no weight, postage may be wrong","OK")))))</f>
        <v>0</v>
      </c>
    </row>
    <row r="9" spans="1:26">
      <c r="A9" s="15" t="s">
        <v>838</v>
      </c>
      <c r="B9" s="15" t="s">
        <v>838</v>
      </c>
      <c r="C9" s="15" t="s">
        <v>839</v>
      </c>
      <c r="D9" s="21">
        <v>250</v>
      </c>
      <c r="E9" s="18">
        <v>38</v>
      </c>
      <c r="F9" s="21">
        <v>1</v>
      </c>
      <c r="G9" s="21">
        <v>5</v>
      </c>
      <c r="H9" s="47" t="s">
        <v>281</v>
      </c>
      <c r="I9" s="47" t="s">
        <v>278</v>
      </c>
      <c r="J9" s="47" t="s">
        <v>278</v>
      </c>
      <c r="K9" s="47" t="s">
        <v>278</v>
      </c>
      <c r="L9" s="47" t="s">
        <v>281</v>
      </c>
      <c r="M9" s="40" t="s">
        <v>840</v>
      </c>
      <c r="N9" s="45">
        <f>IF(A9="","",IF(OR(E9="",D9="",D9=0),"",ROUND(E9/D9,4)))</f>
        <v>0</v>
      </c>
      <c r="O9" s="45">
        <f>IF(A9="","",IF(OR(N9="",F9=""),"",ROUND(N9*F9,4)))</f>
        <v>0</v>
      </c>
      <c r="P9" s="36">
        <f>IF(A9="","",IF(OR(G9="",F9=""),"",ROUND(G9*F9,1)))</f>
        <v>0</v>
      </c>
      <c r="Q9" s="45">
        <f>IF(A9="","",IF(AND(H9="Yes",O9&lt;&gt;""),O9,0))</f>
        <v>0</v>
      </c>
      <c r="R9" s="45">
        <f>IF(A9="","",IF(AND(I9="Yes",O9&lt;&gt;""),O9,0))</f>
        <v>0</v>
      </c>
      <c r="S9" s="45">
        <f>IF(A9="","",IF(AND(J9="Yes",O9&lt;&gt;""),O9,0))</f>
        <v>0</v>
      </c>
      <c r="T9" s="45">
        <f>IF(A9="","",IF(AND(K9="Yes",O9&lt;&gt;""),O9,0))</f>
        <v>0</v>
      </c>
      <c r="U9" s="36">
        <f>IF(A9="","",IF(AND(H9="Yes",P9&lt;&gt;""),P9,0))</f>
        <v>0</v>
      </c>
      <c r="V9" s="36">
        <f>IF(A9="","",IF(AND(I9="Yes",P9&lt;&gt;""),P9,0))</f>
        <v>0</v>
      </c>
      <c r="W9" s="36">
        <f>IF(A9="","",IF(AND(J9="Yes",P9&lt;&gt;""),P9,0))</f>
        <v>0</v>
      </c>
      <c r="X9" s="36">
        <f>IF(A9="","",IF(AND(K9="Yes",P9&lt;&gt;""),P9,0))</f>
        <v>0</v>
      </c>
      <c r="Y9" s="32">
        <f>IF(A9="","",COUNTIF(H9:K9,"Yes"))</f>
        <v>0</v>
      </c>
      <c r="Z9" s="43">
        <f>IF(A9="","",IF(OR(E9="",D9=""),"Add - price and pack size please",IF(Y9=0,"Check - in no profile",IF(F9="","Add - how many per order?",IF(G9="","Check - no weight, postage may be wrong","OK")))))</f>
        <v>0</v>
      </c>
    </row>
    <row r="10" spans="1:26">
      <c r="A10" s="15" t="s">
        <v>841</v>
      </c>
      <c r="B10" s="15" t="s">
        <v>841</v>
      </c>
      <c r="C10" s="15" t="s">
        <v>839</v>
      </c>
      <c r="D10" s="21">
        <v>250</v>
      </c>
      <c r="E10" s="18">
        <v>26</v>
      </c>
      <c r="F10" s="21">
        <v>1</v>
      </c>
      <c r="G10" s="21">
        <v>3</v>
      </c>
      <c r="H10" s="47" t="s">
        <v>281</v>
      </c>
      <c r="I10" s="47" t="s">
        <v>278</v>
      </c>
      <c r="J10" s="47" t="s">
        <v>278</v>
      </c>
      <c r="K10" s="47" t="s">
        <v>278</v>
      </c>
      <c r="L10" s="47" t="s">
        <v>281</v>
      </c>
      <c r="M10" s="40" t="s">
        <v>842</v>
      </c>
      <c r="N10" s="45">
        <f>IF(A10="","",IF(OR(E10="",D10="",D10=0),"",ROUND(E10/D10,4)))</f>
        <v>0</v>
      </c>
      <c r="O10" s="45">
        <f>IF(A10="","",IF(OR(N10="",F10=""),"",ROUND(N10*F10,4)))</f>
        <v>0</v>
      </c>
      <c r="P10" s="36">
        <f>IF(A10="","",IF(OR(G10="",F10=""),"",ROUND(G10*F10,1)))</f>
        <v>0</v>
      </c>
      <c r="Q10" s="45">
        <f>IF(A10="","",IF(AND(H10="Yes",O10&lt;&gt;""),O10,0))</f>
        <v>0</v>
      </c>
      <c r="R10" s="45">
        <f>IF(A10="","",IF(AND(I10="Yes",O10&lt;&gt;""),O10,0))</f>
        <v>0</v>
      </c>
      <c r="S10" s="45">
        <f>IF(A10="","",IF(AND(J10="Yes",O10&lt;&gt;""),O10,0))</f>
        <v>0</v>
      </c>
      <c r="T10" s="45">
        <f>IF(A10="","",IF(AND(K10="Yes",O10&lt;&gt;""),O10,0))</f>
        <v>0</v>
      </c>
      <c r="U10" s="36">
        <f>IF(A10="","",IF(AND(H10="Yes",P10&lt;&gt;""),P10,0))</f>
        <v>0</v>
      </c>
      <c r="V10" s="36">
        <f>IF(A10="","",IF(AND(I10="Yes",P10&lt;&gt;""),P10,0))</f>
        <v>0</v>
      </c>
      <c r="W10" s="36">
        <f>IF(A10="","",IF(AND(J10="Yes",P10&lt;&gt;""),P10,0))</f>
        <v>0</v>
      </c>
      <c r="X10" s="36">
        <f>IF(A10="","",IF(AND(K10="Yes",P10&lt;&gt;""),P10,0))</f>
        <v>0</v>
      </c>
      <c r="Y10" s="32">
        <f>IF(A10="","",COUNTIF(H10:K10,"Yes"))</f>
        <v>0</v>
      </c>
      <c r="Z10" s="43">
        <f>IF(A10="","",IF(OR(E10="",D10=""),"Add - price and pack size please",IF(Y10=0,"Check - in no profile",IF(F10="","Add - how many per order?",IF(G10="","Check - no weight, postage may be wrong","OK")))))</f>
        <v>0</v>
      </c>
    </row>
    <row r="11" spans="1:26">
      <c r="A11" s="15" t="s">
        <v>843</v>
      </c>
      <c r="B11" s="15" t="s">
        <v>844</v>
      </c>
      <c r="C11" s="15" t="s">
        <v>829</v>
      </c>
      <c r="D11" s="21">
        <v>80</v>
      </c>
      <c r="E11" s="18">
        <v>9</v>
      </c>
      <c r="F11" s="21">
        <v>1</v>
      </c>
      <c r="G11" s="21">
        <v>2</v>
      </c>
      <c r="H11" s="47" t="s">
        <v>281</v>
      </c>
      <c r="I11" s="47" t="s">
        <v>281</v>
      </c>
      <c r="J11" s="47" t="s">
        <v>278</v>
      </c>
      <c r="K11" s="47" t="s">
        <v>278</v>
      </c>
      <c r="L11" s="47" t="s">
        <v>281</v>
      </c>
      <c r="N11" s="45">
        <f>IF(A11="","",IF(OR(E11="",D11="",D11=0),"",ROUND(E11/D11,4)))</f>
        <v>0</v>
      </c>
      <c r="O11" s="45">
        <f>IF(A11="","",IF(OR(N11="",F11=""),"",ROUND(N11*F11,4)))</f>
        <v>0</v>
      </c>
      <c r="P11" s="36">
        <f>IF(A11="","",IF(OR(G11="",F11=""),"",ROUND(G11*F11,1)))</f>
        <v>0</v>
      </c>
      <c r="Q11" s="45">
        <f>IF(A11="","",IF(AND(H11="Yes",O11&lt;&gt;""),O11,0))</f>
        <v>0</v>
      </c>
      <c r="R11" s="45">
        <f>IF(A11="","",IF(AND(I11="Yes",O11&lt;&gt;""),O11,0))</f>
        <v>0</v>
      </c>
      <c r="S11" s="45">
        <f>IF(A11="","",IF(AND(J11="Yes",O11&lt;&gt;""),O11,0))</f>
        <v>0</v>
      </c>
      <c r="T11" s="45">
        <f>IF(A11="","",IF(AND(K11="Yes",O11&lt;&gt;""),O11,0))</f>
        <v>0</v>
      </c>
      <c r="U11" s="36">
        <f>IF(A11="","",IF(AND(H11="Yes",P11&lt;&gt;""),P11,0))</f>
        <v>0</v>
      </c>
      <c r="V11" s="36">
        <f>IF(A11="","",IF(AND(I11="Yes",P11&lt;&gt;""),P11,0))</f>
        <v>0</v>
      </c>
      <c r="W11" s="36">
        <f>IF(A11="","",IF(AND(J11="Yes",P11&lt;&gt;""),P11,0))</f>
        <v>0</v>
      </c>
      <c r="X11" s="36">
        <f>IF(A11="","",IF(AND(K11="Yes",P11&lt;&gt;""),P11,0))</f>
        <v>0</v>
      </c>
      <c r="Y11" s="32">
        <f>IF(A11="","",COUNTIF(H11:K11,"Yes"))</f>
        <v>0</v>
      </c>
      <c r="Z11" s="43">
        <f>IF(A11="","",IF(OR(E11="",D11=""),"Add - price and pack size please",IF(Y11=0,"Check - in no profile",IF(F11="","Add - how many per order?",IF(G11="","Check - no weight, postage may be wrong","OK")))))</f>
        <v>0</v>
      </c>
    </row>
    <row r="12" spans="1:26">
      <c r="A12" s="15" t="s">
        <v>845</v>
      </c>
      <c r="B12" s="15" t="s">
        <v>846</v>
      </c>
      <c r="C12" s="15" t="s">
        <v>829</v>
      </c>
      <c r="D12" s="21">
        <v>50</v>
      </c>
      <c r="E12" s="18">
        <v>76</v>
      </c>
      <c r="F12" s="21">
        <v>1</v>
      </c>
      <c r="G12" s="21">
        <v>95</v>
      </c>
      <c r="H12" s="47" t="s">
        <v>281</v>
      </c>
      <c r="I12" s="47" t="s">
        <v>281</v>
      </c>
      <c r="J12" s="47" t="s">
        <v>278</v>
      </c>
      <c r="K12" s="47" t="s">
        <v>278</v>
      </c>
      <c r="L12" s="47" t="s">
        <v>278</v>
      </c>
      <c r="M12" s="40" t="s">
        <v>847</v>
      </c>
      <c r="N12" s="45">
        <f>IF(A12="","",IF(OR(E12="",D12="",D12=0),"",ROUND(E12/D12,4)))</f>
        <v>0</v>
      </c>
      <c r="O12" s="45">
        <f>IF(A12="","",IF(OR(N12="",F12=""),"",ROUND(N12*F12,4)))</f>
        <v>0</v>
      </c>
      <c r="P12" s="36">
        <f>IF(A12="","",IF(OR(G12="",F12=""),"",ROUND(G12*F12,1)))</f>
        <v>0</v>
      </c>
      <c r="Q12" s="45">
        <f>IF(A12="","",IF(AND(H12="Yes",O12&lt;&gt;""),O12,0))</f>
        <v>0</v>
      </c>
      <c r="R12" s="45">
        <f>IF(A12="","",IF(AND(I12="Yes",O12&lt;&gt;""),O12,0))</f>
        <v>0</v>
      </c>
      <c r="S12" s="45">
        <f>IF(A12="","",IF(AND(J12="Yes",O12&lt;&gt;""),O12,0))</f>
        <v>0</v>
      </c>
      <c r="T12" s="45">
        <f>IF(A12="","",IF(AND(K12="Yes",O12&lt;&gt;""),O12,0))</f>
        <v>0</v>
      </c>
      <c r="U12" s="36">
        <f>IF(A12="","",IF(AND(H12="Yes",P12&lt;&gt;""),P12,0))</f>
        <v>0</v>
      </c>
      <c r="V12" s="36">
        <f>IF(A12="","",IF(AND(I12="Yes",P12&lt;&gt;""),P12,0))</f>
        <v>0</v>
      </c>
      <c r="W12" s="36">
        <f>IF(A12="","",IF(AND(J12="Yes",P12&lt;&gt;""),P12,0))</f>
        <v>0</v>
      </c>
      <c r="X12" s="36">
        <f>IF(A12="","",IF(AND(K12="Yes",P12&lt;&gt;""),P12,0))</f>
        <v>0</v>
      </c>
      <c r="Y12" s="32">
        <f>IF(A12="","",COUNTIF(H12:K12,"Yes"))</f>
        <v>0</v>
      </c>
      <c r="Z12" s="43">
        <f>IF(A12="","",IF(OR(E12="",D12=""),"Add - price and pack size please",IF(Y12=0,"Check - in no profile",IF(F12="","Add - how many per order?",IF(G12="","Check - no weight, postage may be wrong","OK")))))</f>
        <v>0</v>
      </c>
    </row>
    <row r="13" spans="1:26">
      <c r="A13" s="15" t="s">
        <v>848</v>
      </c>
      <c r="B13" s="15" t="s">
        <v>849</v>
      </c>
      <c r="C13" s="15" t="s">
        <v>829</v>
      </c>
      <c r="D13" s="21">
        <v>100</v>
      </c>
      <c r="E13" s="18">
        <v>19</v>
      </c>
      <c r="F13" s="21">
        <v>1</v>
      </c>
      <c r="G13" s="21">
        <v>15</v>
      </c>
      <c r="H13" s="47" t="s">
        <v>281</v>
      </c>
      <c r="I13" s="47" t="s">
        <v>278</v>
      </c>
      <c r="J13" s="47" t="s">
        <v>278</v>
      </c>
      <c r="K13" s="47" t="s">
        <v>278</v>
      </c>
      <c r="L13" s="47" t="s">
        <v>281</v>
      </c>
      <c r="M13" s="40" t="s">
        <v>850</v>
      </c>
      <c r="N13" s="45">
        <f>IF(A13="","",IF(OR(E13="",D13="",D13=0),"",ROUND(E13/D13,4)))</f>
        <v>0</v>
      </c>
      <c r="O13" s="45">
        <f>IF(A13="","",IF(OR(N13="",F13=""),"",ROUND(N13*F13,4)))</f>
        <v>0</v>
      </c>
      <c r="P13" s="36">
        <f>IF(A13="","",IF(OR(G13="",F13=""),"",ROUND(G13*F13,1)))</f>
        <v>0</v>
      </c>
      <c r="Q13" s="45">
        <f>IF(A13="","",IF(AND(H13="Yes",O13&lt;&gt;""),O13,0))</f>
        <v>0</v>
      </c>
      <c r="R13" s="45">
        <f>IF(A13="","",IF(AND(I13="Yes",O13&lt;&gt;""),O13,0))</f>
        <v>0</v>
      </c>
      <c r="S13" s="45">
        <f>IF(A13="","",IF(AND(J13="Yes",O13&lt;&gt;""),O13,0))</f>
        <v>0</v>
      </c>
      <c r="T13" s="45">
        <f>IF(A13="","",IF(AND(K13="Yes",O13&lt;&gt;""),O13,0))</f>
        <v>0</v>
      </c>
      <c r="U13" s="36">
        <f>IF(A13="","",IF(AND(H13="Yes",P13&lt;&gt;""),P13,0))</f>
        <v>0</v>
      </c>
      <c r="V13" s="36">
        <f>IF(A13="","",IF(AND(I13="Yes",P13&lt;&gt;""),P13,0))</f>
        <v>0</v>
      </c>
      <c r="W13" s="36">
        <f>IF(A13="","",IF(AND(J13="Yes",P13&lt;&gt;""),P13,0))</f>
        <v>0</v>
      </c>
      <c r="X13" s="36">
        <f>IF(A13="","",IF(AND(K13="Yes",P13&lt;&gt;""),P13,0))</f>
        <v>0</v>
      </c>
      <c r="Y13" s="32">
        <f>IF(A13="","",COUNTIF(H13:K13,"Yes"))</f>
        <v>0</v>
      </c>
      <c r="Z13" s="43">
        <f>IF(A13="","",IF(OR(E13="",D13=""),"Add - price and pack size please",IF(Y13=0,"Check - in no profile",IF(F13="","Add - how many per order?",IF(G13="","Check - no weight, postage may be wrong","OK")))))</f>
        <v>0</v>
      </c>
    </row>
    <row r="14" spans="1:26">
      <c r="A14" s="15" t="s">
        <v>851</v>
      </c>
      <c r="B14" s="15" t="s">
        <v>844</v>
      </c>
      <c r="C14" s="15" t="s">
        <v>852</v>
      </c>
      <c r="D14" s="21">
        <v>100</v>
      </c>
      <c r="E14" s="18">
        <v>28</v>
      </c>
      <c r="F14" s="21">
        <v>1</v>
      </c>
      <c r="G14" s="21">
        <v>4</v>
      </c>
      <c r="H14" s="47" t="s">
        <v>281</v>
      </c>
      <c r="I14" s="47" t="s">
        <v>281</v>
      </c>
      <c r="J14" s="47" t="s">
        <v>281</v>
      </c>
      <c r="K14" s="47" t="s">
        <v>278</v>
      </c>
      <c r="L14" s="47" t="s">
        <v>281</v>
      </c>
      <c r="N14" s="45">
        <f>IF(A14="","",IF(OR(E14="",D14="",D14=0),"",ROUND(E14/D14,4)))</f>
        <v>0</v>
      </c>
      <c r="O14" s="45">
        <f>IF(A14="","",IF(OR(N14="",F14=""),"",ROUND(N14*F14,4)))</f>
        <v>0</v>
      </c>
      <c r="P14" s="36">
        <f>IF(A14="","",IF(OR(G14="",F14=""),"",ROUND(G14*F14,1)))</f>
        <v>0</v>
      </c>
      <c r="Q14" s="45">
        <f>IF(A14="","",IF(AND(H14="Yes",O14&lt;&gt;""),O14,0))</f>
        <v>0</v>
      </c>
      <c r="R14" s="45">
        <f>IF(A14="","",IF(AND(I14="Yes",O14&lt;&gt;""),O14,0))</f>
        <v>0</v>
      </c>
      <c r="S14" s="45">
        <f>IF(A14="","",IF(AND(J14="Yes",O14&lt;&gt;""),O14,0))</f>
        <v>0</v>
      </c>
      <c r="T14" s="45">
        <f>IF(A14="","",IF(AND(K14="Yes",O14&lt;&gt;""),O14,0))</f>
        <v>0</v>
      </c>
      <c r="U14" s="36">
        <f>IF(A14="","",IF(AND(H14="Yes",P14&lt;&gt;""),P14,0))</f>
        <v>0</v>
      </c>
      <c r="V14" s="36">
        <f>IF(A14="","",IF(AND(I14="Yes",P14&lt;&gt;""),P14,0))</f>
        <v>0</v>
      </c>
      <c r="W14" s="36">
        <f>IF(A14="","",IF(AND(J14="Yes",P14&lt;&gt;""),P14,0))</f>
        <v>0</v>
      </c>
      <c r="X14" s="36">
        <f>IF(A14="","",IF(AND(K14="Yes",P14&lt;&gt;""),P14,0))</f>
        <v>0</v>
      </c>
      <c r="Y14" s="32">
        <f>IF(A14="","",COUNTIF(H14:K14,"Yes"))</f>
        <v>0</v>
      </c>
      <c r="Z14" s="43">
        <f>IF(A14="","",IF(OR(E14="",D14=""),"Add - price and pack size please",IF(Y14=0,"Check - in no profile",IF(F14="","Add - how many per order?",IF(G14="","Check - no weight, postage may be wrong","OK")))))</f>
        <v>0</v>
      </c>
    </row>
    <row r="15" spans="1:26">
      <c r="N15" s="45">
        <f>IF(A15="","",IF(OR(E15="",D15="",D15=0),"",ROUND(E15/D15,4)))</f>
        <v>0</v>
      </c>
      <c r="O15" s="45">
        <f>IF(A15="","",IF(OR(N15="",F15=""),"",ROUND(N15*F15,4)))</f>
        <v>0</v>
      </c>
      <c r="P15" s="36">
        <f>IF(A15="","",IF(OR(G15="",F15=""),"",ROUND(G15*F15,1)))</f>
        <v>0</v>
      </c>
      <c r="Q15" s="45">
        <f>IF(A15="","",IF(AND(H15="Yes",O15&lt;&gt;""),O15,0))</f>
        <v>0</v>
      </c>
      <c r="R15" s="45">
        <f>IF(A15="","",IF(AND(I15="Yes",O15&lt;&gt;""),O15,0))</f>
        <v>0</v>
      </c>
      <c r="S15" s="45">
        <f>IF(A15="","",IF(AND(J15="Yes",O15&lt;&gt;""),O15,0))</f>
        <v>0</v>
      </c>
      <c r="T15" s="45">
        <f>IF(A15="","",IF(AND(K15="Yes",O15&lt;&gt;""),O15,0))</f>
        <v>0</v>
      </c>
      <c r="U15" s="36">
        <f>IF(A15="","",IF(AND(H15="Yes",P15&lt;&gt;""),P15,0))</f>
        <v>0</v>
      </c>
      <c r="V15" s="36">
        <f>IF(A15="","",IF(AND(I15="Yes",P15&lt;&gt;""),P15,0))</f>
        <v>0</v>
      </c>
      <c r="W15" s="36">
        <f>IF(A15="","",IF(AND(J15="Yes",P15&lt;&gt;""),P15,0))</f>
        <v>0</v>
      </c>
      <c r="X15" s="36">
        <f>IF(A15="","",IF(AND(K15="Yes",P15&lt;&gt;""),P15,0))</f>
        <v>0</v>
      </c>
      <c r="Y15" s="32">
        <f>IF(A15="","",COUNTIF(H15:K15,"Yes"))</f>
        <v>0</v>
      </c>
      <c r="Z15" s="43">
        <f>IF(A15="","",IF(OR(E15="",D15=""),"Add - price and pack size please",IF(Y15=0,"Check - in no profile",IF(F15="","Add - how many per order?",IF(G15="","Check - no weight, postage may be wrong","OK")))))</f>
        <v>0</v>
      </c>
    </row>
    <row r="16" spans="1:26">
      <c r="N16" s="45">
        <f>IF(A16="","",IF(OR(E16="",D16="",D16=0),"",ROUND(E16/D16,4)))</f>
        <v>0</v>
      </c>
      <c r="O16" s="45">
        <f>IF(A16="","",IF(OR(N16="",F16=""),"",ROUND(N16*F16,4)))</f>
        <v>0</v>
      </c>
      <c r="P16" s="36">
        <f>IF(A16="","",IF(OR(G16="",F16=""),"",ROUND(G16*F16,1)))</f>
        <v>0</v>
      </c>
      <c r="Q16" s="45">
        <f>IF(A16="","",IF(AND(H16="Yes",O16&lt;&gt;""),O16,0))</f>
        <v>0</v>
      </c>
      <c r="R16" s="45">
        <f>IF(A16="","",IF(AND(I16="Yes",O16&lt;&gt;""),O16,0))</f>
        <v>0</v>
      </c>
      <c r="S16" s="45">
        <f>IF(A16="","",IF(AND(J16="Yes",O16&lt;&gt;""),O16,0))</f>
        <v>0</v>
      </c>
      <c r="T16" s="45">
        <f>IF(A16="","",IF(AND(K16="Yes",O16&lt;&gt;""),O16,0))</f>
        <v>0</v>
      </c>
      <c r="U16" s="36">
        <f>IF(A16="","",IF(AND(H16="Yes",P16&lt;&gt;""),P16,0))</f>
        <v>0</v>
      </c>
      <c r="V16" s="36">
        <f>IF(A16="","",IF(AND(I16="Yes",P16&lt;&gt;""),P16,0))</f>
        <v>0</v>
      </c>
      <c r="W16" s="36">
        <f>IF(A16="","",IF(AND(J16="Yes",P16&lt;&gt;""),P16,0))</f>
        <v>0</v>
      </c>
      <c r="X16" s="36">
        <f>IF(A16="","",IF(AND(K16="Yes",P16&lt;&gt;""),P16,0))</f>
        <v>0</v>
      </c>
      <c r="Y16" s="32">
        <f>IF(A16="","",COUNTIF(H16:K16,"Yes"))</f>
        <v>0</v>
      </c>
      <c r="Z16" s="43">
        <f>IF(A16="","",IF(OR(E16="",D16=""),"Add - price and pack size please",IF(Y16=0,"Check - in no profile",IF(F16="","Add - how many per order?",IF(G16="","Check - no weight, postage may be wrong","OK")))))</f>
        <v>0</v>
      </c>
    </row>
    <row r="17" spans="14:26">
      <c r="N17" s="45">
        <f>IF(A17="","",IF(OR(E17="",D17="",D17=0),"",ROUND(E17/D17,4)))</f>
        <v>0</v>
      </c>
      <c r="O17" s="45">
        <f>IF(A17="","",IF(OR(N17="",F17=""),"",ROUND(N17*F17,4)))</f>
        <v>0</v>
      </c>
      <c r="P17" s="36">
        <f>IF(A17="","",IF(OR(G17="",F17=""),"",ROUND(G17*F17,1)))</f>
        <v>0</v>
      </c>
      <c r="Q17" s="45">
        <f>IF(A17="","",IF(AND(H17="Yes",O17&lt;&gt;""),O17,0))</f>
        <v>0</v>
      </c>
      <c r="R17" s="45">
        <f>IF(A17="","",IF(AND(I17="Yes",O17&lt;&gt;""),O17,0))</f>
        <v>0</v>
      </c>
      <c r="S17" s="45">
        <f>IF(A17="","",IF(AND(J17="Yes",O17&lt;&gt;""),O17,0))</f>
        <v>0</v>
      </c>
      <c r="T17" s="45">
        <f>IF(A17="","",IF(AND(K17="Yes",O17&lt;&gt;""),O17,0))</f>
        <v>0</v>
      </c>
      <c r="U17" s="36">
        <f>IF(A17="","",IF(AND(H17="Yes",P17&lt;&gt;""),P17,0))</f>
        <v>0</v>
      </c>
      <c r="V17" s="36">
        <f>IF(A17="","",IF(AND(I17="Yes",P17&lt;&gt;""),P17,0))</f>
        <v>0</v>
      </c>
      <c r="W17" s="36">
        <f>IF(A17="","",IF(AND(J17="Yes",P17&lt;&gt;""),P17,0))</f>
        <v>0</v>
      </c>
      <c r="X17" s="36">
        <f>IF(A17="","",IF(AND(K17="Yes",P17&lt;&gt;""),P17,0))</f>
        <v>0</v>
      </c>
      <c r="Y17" s="32">
        <f>IF(A17="","",COUNTIF(H17:K17,"Yes"))</f>
        <v>0</v>
      </c>
      <c r="Z17" s="43">
        <f>IF(A17="","",IF(OR(E17="",D17=""),"Add - price and pack size please",IF(Y17=0,"Check - in no profile",IF(F17="","Add - how many per order?",IF(G17="","Check - no weight, postage may be wrong","OK")))))</f>
        <v>0</v>
      </c>
    </row>
    <row r="18" spans="14:26">
      <c r="N18" s="45">
        <f>IF(A18="","",IF(OR(E18="",D18="",D18=0),"",ROUND(E18/D18,4)))</f>
        <v>0</v>
      </c>
      <c r="O18" s="45">
        <f>IF(A18="","",IF(OR(N18="",F18=""),"",ROUND(N18*F18,4)))</f>
        <v>0</v>
      </c>
      <c r="P18" s="36">
        <f>IF(A18="","",IF(OR(G18="",F18=""),"",ROUND(G18*F18,1)))</f>
        <v>0</v>
      </c>
      <c r="Q18" s="45">
        <f>IF(A18="","",IF(AND(H18="Yes",O18&lt;&gt;""),O18,0))</f>
        <v>0</v>
      </c>
      <c r="R18" s="45">
        <f>IF(A18="","",IF(AND(I18="Yes",O18&lt;&gt;""),O18,0))</f>
        <v>0</v>
      </c>
      <c r="S18" s="45">
        <f>IF(A18="","",IF(AND(J18="Yes",O18&lt;&gt;""),O18,0))</f>
        <v>0</v>
      </c>
      <c r="T18" s="45">
        <f>IF(A18="","",IF(AND(K18="Yes",O18&lt;&gt;""),O18,0))</f>
        <v>0</v>
      </c>
      <c r="U18" s="36">
        <f>IF(A18="","",IF(AND(H18="Yes",P18&lt;&gt;""),P18,0))</f>
        <v>0</v>
      </c>
      <c r="V18" s="36">
        <f>IF(A18="","",IF(AND(I18="Yes",P18&lt;&gt;""),P18,0))</f>
        <v>0</v>
      </c>
      <c r="W18" s="36">
        <f>IF(A18="","",IF(AND(J18="Yes",P18&lt;&gt;""),P18,0))</f>
        <v>0</v>
      </c>
      <c r="X18" s="36">
        <f>IF(A18="","",IF(AND(K18="Yes",P18&lt;&gt;""),P18,0))</f>
        <v>0</v>
      </c>
      <c r="Y18" s="32">
        <f>IF(A18="","",COUNTIF(H18:K18,"Yes"))</f>
        <v>0</v>
      </c>
      <c r="Z18" s="43">
        <f>IF(A18="","",IF(OR(E18="",D18=""),"Add - price and pack size please",IF(Y18=0,"Check - in no profile",IF(F18="","Add - how many per order?",IF(G18="","Check - no weight, postage may be wrong","OK")))))</f>
        <v>0</v>
      </c>
    </row>
    <row r="19" spans="14:26">
      <c r="N19" s="45">
        <f>IF(A19="","",IF(OR(E19="",D19="",D19=0),"",ROUND(E19/D19,4)))</f>
        <v>0</v>
      </c>
      <c r="O19" s="45">
        <f>IF(A19="","",IF(OR(N19="",F19=""),"",ROUND(N19*F19,4)))</f>
        <v>0</v>
      </c>
      <c r="P19" s="36">
        <f>IF(A19="","",IF(OR(G19="",F19=""),"",ROUND(G19*F19,1)))</f>
        <v>0</v>
      </c>
      <c r="Q19" s="45">
        <f>IF(A19="","",IF(AND(H19="Yes",O19&lt;&gt;""),O19,0))</f>
        <v>0</v>
      </c>
      <c r="R19" s="45">
        <f>IF(A19="","",IF(AND(I19="Yes",O19&lt;&gt;""),O19,0))</f>
        <v>0</v>
      </c>
      <c r="S19" s="45">
        <f>IF(A19="","",IF(AND(J19="Yes",O19&lt;&gt;""),O19,0))</f>
        <v>0</v>
      </c>
      <c r="T19" s="45">
        <f>IF(A19="","",IF(AND(K19="Yes",O19&lt;&gt;""),O19,0))</f>
        <v>0</v>
      </c>
      <c r="U19" s="36">
        <f>IF(A19="","",IF(AND(H19="Yes",P19&lt;&gt;""),P19,0))</f>
        <v>0</v>
      </c>
      <c r="V19" s="36">
        <f>IF(A19="","",IF(AND(I19="Yes",P19&lt;&gt;""),P19,0))</f>
        <v>0</v>
      </c>
      <c r="W19" s="36">
        <f>IF(A19="","",IF(AND(J19="Yes",P19&lt;&gt;""),P19,0))</f>
        <v>0</v>
      </c>
      <c r="X19" s="36">
        <f>IF(A19="","",IF(AND(K19="Yes",P19&lt;&gt;""),P19,0))</f>
        <v>0</v>
      </c>
      <c r="Y19" s="32">
        <f>IF(A19="","",COUNTIF(H19:K19,"Yes"))</f>
        <v>0</v>
      </c>
      <c r="Z19" s="43">
        <f>IF(A19="","",IF(OR(E19="",D19=""),"Add - price and pack size please",IF(Y19=0,"Check - in no profile",IF(F19="","Add - how many per order?",IF(G19="","Check - no weight, postage may be wrong","OK")))))</f>
        <v>0</v>
      </c>
    </row>
    <row r="20" spans="14:26">
      <c r="N20" s="45">
        <f>IF(A20="","",IF(OR(E20="",D20="",D20=0),"",ROUND(E20/D20,4)))</f>
        <v>0</v>
      </c>
      <c r="O20" s="45">
        <f>IF(A20="","",IF(OR(N20="",F20=""),"",ROUND(N20*F20,4)))</f>
        <v>0</v>
      </c>
      <c r="P20" s="36">
        <f>IF(A20="","",IF(OR(G20="",F20=""),"",ROUND(G20*F20,1)))</f>
        <v>0</v>
      </c>
      <c r="Q20" s="45">
        <f>IF(A20="","",IF(AND(H20="Yes",O20&lt;&gt;""),O20,0))</f>
        <v>0</v>
      </c>
      <c r="R20" s="45">
        <f>IF(A20="","",IF(AND(I20="Yes",O20&lt;&gt;""),O20,0))</f>
        <v>0</v>
      </c>
      <c r="S20" s="45">
        <f>IF(A20="","",IF(AND(J20="Yes",O20&lt;&gt;""),O20,0))</f>
        <v>0</v>
      </c>
      <c r="T20" s="45">
        <f>IF(A20="","",IF(AND(K20="Yes",O20&lt;&gt;""),O20,0))</f>
        <v>0</v>
      </c>
      <c r="U20" s="36">
        <f>IF(A20="","",IF(AND(H20="Yes",P20&lt;&gt;""),P20,0))</f>
        <v>0</v>
      </c>
      <c r="V20" s="36">
        <f>IF(A20="","",IF(AND(I20="Yes",P20&lt;&gt;""),P20,0))</f>
        <v>0</v>
      </c>
      <c r="W20" s="36">
        <f>IF(A20="","",IF(AND(J20="Yes",P20&lt;&gt;""),P20,0))</f>
        <v>0</v>
      </c>
      <c r="X20" s="36">
        <f>IF(A20="","",IF(AND(K20="Yes",P20&lt;&gt;""),P20,0))</f>
        <v>0</v>
      </c>
      <c r="Y20" s="32">
        <f>IF(A20="","",COUNTIF(H20:K20,"Yes"))</f>
        <v>0</v>
      </c>
      <c r="Z20" s="43">
        <f>IF(A20="","",IF(OR(E20="",D20=""),"Add - price and pack size please",IF(Y20=0,"Check - in no profile",IF(F20="","Add - how many per order?",IF(G20="","Check - no weight, postage may be wrong","OK")))))</f>
        <v>0</v>
      </c>
    </row>
    <row r="21" spans="14:26">
      <c r="N21" s="45">
        <f>IF(A21="","",IF(OR(E21="",D21="",D21=0),"",ROUND(E21/D21,4)))</f>
        <v>0</v>
      </c>
      <c r="O21" s="45">
        <f>IF(A21="","",IF(OR(N21="",F21=""),"",ROUND(N21*F21,4)))</f>
        <v>0</v>
      </c>
      <c r="P21" s="36">
        <f>IF(A21="","",IF(OR(G21="",F21=""),"",ROUND(G21*F21,1)))</f>
        <v>0</v>
      </c>
      <c r="Q21" s="45">
        <f>IF(A21="","",IF(AND(H21="Yes",O21&lt;&gt;""),O21,0))</f>
        <v>0</v>
      </c>
      <c r="R21" s="45">
        <f>IF(A21="","",IF(AND(I21="Yes",O21&lt;&gt;""),O21,0))</f>
        <v>0</v>
      </c>
      <c r="S21" s="45">
        <f>IF(A21="","",IF(AND(J21="Yes",O21&lt;&gt;""),O21,0))</f>
        <v>0</v>
      </c>
      <c r="T21" s="45">
        <f>IF(A21="","",IF(AND(K21="Yes",O21&lt;&gt;""),O21,0))</f>
        <v>0</v>
      </c>
      <c r="U21" s="36">
        <f>IF(A21="","",IF(AND(H21="Yes",P21&lt;&gt;""),P21,0))</f>
        <v>0</v>
      </c>
      <c r="V21" s="36">
        <f>IF(A21="","",IF(AND(I21="Yes",P21&lt;&gt;""),P21,0))</f>
        <v>0</v>
      </c>
      <c r="W21" s="36">
        <f>IF(A21="","",IF(AND(J21="Yes",P21&lt;&gt;""),P21,0))</f>
        <v>0</v>
      </c>
      <c r="X21" s="36">
        <f>IF(A21="","",IF(AND(K21="Yes",P21&lt;&gt;""),P21,0))</f>
        <v>0</v>
      </c>
      <c r="Y21" s="32">
        <f>IF(A21="","",COUNTIF(H21:K21,"Yes"))</f>
        <v>0</v>
      </c>
      <c r="Z21" s="43">
        <f>IF(A21="","",IF(OR(E21="",D21=""),"Add - price and pack size please",IF(Y21=0,"Check - in no profile",IF(F21="","Add - how many per order?",IF(G21="","Check - no weight, postage may be wrong","OK")))))</f>
        <v>0</v>
      </c>
    </row>
    <row r="22" spans="14:26">
      <c r="N22" s="45">
        <f>IF(A22="","",IF(OR(E22="",D22="",D22=0),"",ROUND(E22/D22,4)))</f>
        <v>0</v>
      </c>
      <c r="O22" s="45">
        <f>IF(A22="","",IF(OR(N22="",F22=""),"",ROUND(N22*F22,4)))</f>
        <v>0</v>
      </c>
      <c r="P22" s="36">
        <f>IF(A22="","",IF(OR(G22="",F22=""),"",ROUND(G22*F22,1)))</f>
        <v>0</v>
      </c>
      <c r="Q22" s="45">
        <f>IF(A22="","",IF(AND(H22="Yes",O22&lt;&gt;""),O22,0))</f>
        <v>0</v>
      </c>
      <c r="R22" s="45">
        <f>IF(A22="","",IF(AND(I22="Yes",O22&lt;&gt;""),O22,0))</f>
        <v>0</v>
      </c>
      <c r="S22" s="45">
        <f>IF(A22="","",IF(AND(J22="Yes",O22&lt;&gt;""),O22,0))</f>
        <v>0</v>
      </c>
      <c r="T22" s="45">
        <f>IF(A22="","",IF(AND(K22="Yes",O22&lt;&gt;""),O22,0))</f>
        <v>0</v>
      </c>
      <c r="U22" s="36">
        <f>IF(A22="","",IF(AND(H22="Yes",P22&lt;&gt;""),P22,0))</f>
        <v>0</v>
      </c>
      <c r="V22" s="36">
        <f>IF(A22="","",IF(AND(I22="Yes",P22&lt;&gt;""),P22,0))</f>
        <v>0</v>
      </c>
      <c r="W22" s="36">
        <f>IF(A22="","",IF(AND(J22="Yes",P22&lt;&gt;""),P22,0))</f>
        <v>0</v>
      </c>
      <c r="X22" s="36">
        <f>IF(A22="","",IF(AND(K22="Yes",P22&lt;&gt;""),P22,0))</f>
        <v>0</v>
      </c>
      <c r="Y22" s="32">
        <f>IF(A22="","",COUNTIF(H22:K22,"Yes"))</f>
        <v>0</v>
      </c>
      <c r="Z22" s="43">
        <f>IF(A22="","",IF(OR(E22="",D22=""),"Add - price and pack size please",IF(Y22=0,"Check - in no profile",IF(F22="","Add - how many per order?",IF(G22="","Check - no weight, postage may be wrong","OK")))))</f>
        <v>0</v>
      </c>
    </row>
    <row r="23" spans="14:26">
      <c r="N23" s="45">
        <f>IF(A23="","",IF(OR(E23="",D23="",D23=0),"",ROUND(E23/D23,4)))</f>
        <v>0</v>
      </c>
      <c r="O23" s="45">
        <f>IF(A23="","",IF(OR(N23="",F23=""),"",ROUND(N23*F23,4)))</f>
        <v>0</v>
      </c>
      <c r="P23" s="36">
        <f>IF(A23="","",IF(OR(G23="",F23=""),"",ROUND(G23*F23,1)))</f>
        <v>0</v>
      </c>
      <c r="Q23" s="45">
        <f>IF(A23="","",IF(AND(H23="Yes",O23&lt;&gt;""),O23,0))</f>
        <v>0</v>
      </c>
      <c r="R23" s="45">
        <f>IF(A23="","",IF(AND(I23="Yes",O23&lt;&gt;""),O23,0))</f>
        <v>0</v>
      </c>
      <c r="S23" s="45">
        <f>IF(A23="","",IF(AND(J23="Yes",O23&lt;&gt;""),O23,0))</f>
        <v>0</v>
      </c>
      <c r="T23" s="45">
        <f>IF(A23="","",IF(AND(K23="Yes",O23&lt;&gt;""),O23,0))</f>
        <v>0</v>
      </c>
      <c r="U23" s="36">
        <f>IF(A23="","",IF(AND(H23="Yes",P23&lt;&gt;""),P23,0))</f>
        <v>0</v>
      </c>
      <c r="V23" s="36">
        <f>IF(A23="","",IF(AND(I23="Yes",P23&lt;&gt;""),P23,0))</f>
        <v>0</v>
      </c>
      <c r="W23" s="36">
        <f>IF(A23="","",IF(AND(J23="Yes",P23&lt;&gt;""),P23,0))</f>
        <v>0</v>
      </c>
      <c r="X23" s="36">
        <f>IF(A23="","",IF(AND(K23="Yes",P23&lt;&gt;""),P23,0))</f>
        <v>0</v>
      </c>
      <c r="Y23" s="32">
        <f>IF(A23="","",COUNTIF(H23:K23,"Yes"))</f>
        <v>0</v>
      </c>
      <c r="Z23" s="43">
        <f>IF(A23="","",IF(OR(E23="",D23=""),"Add - price and pack size please",IF(Y23=0,"Check - in no profile",IF(F23="","Add - how many per order?",IF(G23="","Check - no weight, postage may be wrong","OK")))))</f>
        <v>0</v>
      </c>
    </row>
    <row r="24" spans="14:26">
      <c r="N24" s="45">
        <f>IF(A24="","",IF(OR(E24="",D24="",D24=0),"",ROUND(E24/D24,4)))</f>
        <v>0</v>
      </c>
      <c r="O24" s="45">
        <f>IF(A24="","",IF(OR(N24="",F24=""),"",ROUND(N24*F24,4)))</f>
        <v>0</v>
      </c>
      <c r="P24" s="36">
        <f>IF(A24="","",IF(OR(G24="",F24=""),"",ROUND(G24*F24,1)))</f>
        <v>0</v>
      </c>
      <c r="Q24" s="45">
        <f>IF(A24="","",IF(AND(H24="Yes",O24&lt;&gt;""),O24,0))</f>
        <v>0</v>
      </c>
      <c r="R24" s="45">
        <f>IF(A24="","",IF(AND(I24="Yes",O24&lt;&gt;""),O24,0))</f>
        <v>0</v>
      </c>
      <c r="S24" s="45">
        <f>IF(A24="","",IF(AND(J24="Yes",O24&lt;&gt;""),O24,0))</f>
        <v>0</v>
      </c>
      <c r="T24" s="45">
        <f>IF(A24="","",IF(AND(K24="Yes",O24&lt;&gt;""),O24,0))</f>
        <v>0</v>
      </c>
      <c r="U24" s="36">
        <f>IF(A24="","",IF(AND(H24="Yes",P24&lt;&gt;""),P24,0))</f>
        <v>0</v>
      </c>
      <c r="V24" s="36">
        <f>IF(A24="","",IF(AND(I24="Yes",P24&lt;&gt;""),P24,0))</f>
        <v>0</v>
      </c>
      <c r="W24" s="36">
        <f>IF(A24="","",IF(AND(J24="Yes",P24&lt;&gt;""),P24,0))</f>
        <v>0</v>
      </c>
      <c r="X24" s="36">
        <f>IF(A24="","",IF(AND(K24="Yes",P24&lt;&gt;""),P24,0))</f>
        <v>0</v>
      </c>
      <c r="Y24" s="32">
        <f>IF(A24="","",COUNTIF(H24:K24,"Yes"))</f>
        <v>0</v>
      </c>
      <c r="Z24" s="43">
        <f>IF(A24="","",IF(OR(E24="",D24=""),"Add - price and pack size please",IF(Y24=0,"Check - in no profile",IF(F24="","Add - how many per order?",IF(G24="","Check - no weight, postage may be wrong","OK")))))</f>
        <v>0</v>
      </c>
    </row>
    <row r="25" spans="14:26">
      <c r="N25" s="45">
        <f>IF(A25="","",IF(OR(E25="",D25="",D25=0),"",ROUND(E25/D25,4)))</f>
        <v>0</v>
      </c>
      <c r="O25" s="45">
        <f>IF(A25="","",IF(OR(N25="",F25=""),"",ROUND(N25*F25,4)))</f>
        <v>0</v>
      </c>
      <c r="P25" s="36">
        <f>IF(A25="","",IF(OR(G25="",F25=""),"",ROUND(G25*F25,1)))</f>
        <v>0</v>
      </c>
      <c r="Q25" s="45">
        <f>IF(A25="","",IF(AND(H25="Yes",O25&lt;&gt;""),O25,0))</f>
        <v>0</v>
      </c>
      <c r="R25" s="45">
        <f>IF(A25="","",IF(AND(I25="Yes",O25&lt;&gt;""),O25,0))</f>
        <v>0</v>
      </c>
      <c r="S25" s="45">
        <f>IF(A25="","",IF(AND(J25="Yes",O25&lt;&gt;""),O25,0))</f>
        <v>0</v>
      </c>
      <c r="T25" s="45">
        <f>IF(A25="","",IF(AND(K25="Yes",O25&lt;&gt;""),O25,0))</f>
        <v>0</v>
      </c>
      <c r="U25" s="36">
        <f>IF(A25="","",IF(AND(H25="Yes",P25&lt;&gt;""),P25,0))</f>
        <v>0</v>
      </c>
      <c r="V25" s="36">
        <f>IF(A25="","",IF(AND(I25="Yes",P25&lt;&gt;""),P25,0))</f>
        <v>0</v>
      </c>
      <c r="W25" s="36">
        <f>IF(A25="","",IF(AND(J25="Yes",P25&lt;&gt;""),P25,0))</f>
        <v>0</v>
      </c>
      <c r="X25" s="36">
        <f>IF(A25="","",IF(AND(K25="Yes",P25&lt;&gt;""),P25,0))</f>
        <v>0</v>
      </c>
      <c r="Y25" s="32">
        <f>IF(A25="","",COUNTIF(H25:K25,"Yes"))</f>
        <v>0</v>
      </c>
      <c r="Z25" s="43">
        <f>IF(A25="","",IF(OR(E25="",D25=""),"Add - price and pack size please",IF(Y25=0,"Check - in no profile",IF(F25="","Add - how many per order?",IF(G25="","Check - no weight, postage may be wrong","OK")))))</f>
        <v>0</v>
      </c>
    </row>
    <row r="26" spans="14:26">
      <c r="N26" s="45">
        <f>IF(A26="","",IF(OR(E26="",D26="",D26=0),"",ROUND(E26/D26,4)))</f>
        <v>0</v>
      </c>
      <c r="O26" s="45">
        <f>IF(A26="","",IF(OR(N26="",F26=""),"",ROUND(N26*F26,4)))</f>
        <v>0</v>
      </c>
      <c r="P26" s="36">
        <f>IF(A26="","",IF(OR(G26="",F26=""),"",ROUND(G26*F26,1)))</f>
        <v>0</v>
      </c>
      <c r="Q26" s="45">
        <f>IF(A26="","",IF(AND(H26="Yes",O26&lt;&gt;""),O26,0))</f>
        <v>0</v>
      </c>
      <c r="R26" s="45">
        <f>IF(A26="","",IF(AND(I26="Yes",O26&lt;&gt;""),O26,0))</f>
        <v>0</v>
      </c>
      <c r="S26" s="45">
        <f>IF(A26="","",IF(AND(J26="Yes",O26&lt;&gt;""),O26,0))</f>
        <v>0</v>
      </c>
      <c r="T26" s="45">
        <f>IF(A26="","",IF(AND(K26="Yes",O26&lt;&gt;""),O26,0))</f>
        <v>0</v>
      </c>
      <c r="U26" s="36">
        <f>IF(A26="","",IF(AND(H26="Yes",P26&lt;&gt;""),P26,0))</f>
        <v>0</v>
      </c>
      <c r="V26" s="36">
        <f>IF(A26="","",IF(AND(I26="Yes",P26&lt;&gt;""),P26,0))</f>
        <v>0</v>
      </c>
      <c r="W26" s="36">
        <f>IF(A26="","",IF(AND(J26="Yes",P26&lt;&gt;""),P26,0))</f>
        <v>0</v>
      </c>
      <c r="X26" s="36">
        <f>IF(A26="","",IF(AND(K26="Yes",P26&lt;&gt;""),P26,0))</f>
        <v>0</v>
      </c>
      <c r="Y26" s="32">
        <f>IF(A26="","",COUNTIF(H26:K26,"Yes"))</f>
        <v>0</v>
      </c>
      <c r="Z26" s="43">
        <f>IF(A26="","",IF(OR(E26="",D26=""),"Add - price and pack size please",IF(Y26=0,"Check - in no profile",IF(F26="","Add - how many per order?",IF(G26="","Check - no weight, postage may be wrong","OK")))))</f>
        <v>0</v>
      </c>
    </row>
    <row r="27" spans="14:26">
      <c r="N27" s="45">
        <f>IF(A27="","",IF(OR(E27="",D27="",D27=0),"",ROUND(E27/D27,4)))</f>
        <v>0</v>
      </c>
      <c r="O27" s="45">
        <f>IF(A27="","",IF(OR(N27="",F27=""),"",ROUND(N27*F27,4)))</f>
        <v>0</v>
      </c>
      <c r="P27" s="36">
        <f>IF(A27="","",IF(OR(G27="",F27=""),"",ROUND(G27*F27,1)))</f>
        <v>0</v>
      </c>
      <c r="Q27" s="45">
        <f>IF(A27="","",IF(AND(H27="Yes",O27&lt;&gt;""),O27,0))</f>
        <v>0</v>
      </c>
      <c r="R27" s="45">
        <f>IF(A27="","",IF(AND(I27="Yes",O27&lt;&gt;""),O27,0))</f>
        <v>0</v>
      </c>
      <c r="S27" s="45">
        <f>IF(A27="","",IF(AND(J27="Yes",O27&lt;&gt;""),O27,0))</f>
        <v>0</v>
      </c>
      <c r="T27" s="45">
        <f>IF(A27="","",IF(AND(K27="Yes",O27&lt;&gt;""),O27,0))</f>
        <v>0</v>
      </c>
      <c r="U27" s="36">
        <f>IF(A27="","",IF(AND(H27="Yes",P27&lt;&gt;""),P27,0))</f>
        <v>0</v>
      </c>
      <c r="V27" s="36">
        <f>IF(A27="","",IF(AND(I27="Yes",P27&lt;&gt;""),P27,0))</f>
        <v>0</v>
      </c>
      <c r="W27" s="36">
        <f>IF(A27="","",IF(AND(J27="Yes",P27&lt;&gt;""),P27,0))</f>
        <v>0</v>
      </c>
      <c r="X27" s="36">
        <f>IF(A27="","",IF(AND(K27="Yes",P27&lt;&gt;""),P27,0))</f>
        <v>0</v>
      </c>
      <c r="Y27" s="32">
        <f>IF(A27="","",COUNTIF(H27:K27,"Yes"))</f>
        <v>0</v>
      </c>
      <c r="Z27" s="43">
        <f>IF(A27="","",IF(OR(E27="",D27=""),"Add - price and pack size please",IF(Y27=0,"Check - in no profile",IF(F27="","Add - how many per order?",IF(G27="","Check - no weight, postage may be wrong","OK")))))</f>
        <v>0</v>
      </c>
    </row>
    <row r="28" spans="14:26">
      <c r="N28" s="45">
        <f>IF(A28="","",IF(OR(E28="",D28="",D28=0),"",ROUND(E28/D28,4)))</f>
        <v>0</v>
      </c>
      <c r="O28" s="45">
        <f>IF(A28="","",IF(OR(N28="",F28=""),"",ROUND(N28*F28,4)))</f>
        <v>0</v>
      </c>
      <c r="P28" s="36">
        <f>IF(A28="","",IF(OR(G28="",F28=""),"",ROUND(G28*F28,1)))</f>
        <v>0</v>
      </c>
      <c r="Q28" s="45">
        <f>IF(A28="","",IF(AND(H28="Yes",O28&lt;&gt;""),O28,0))</f>
        <v>0</v>
      </c>
      <c r="R28" s="45">
        <f>IF(A28="","",IF(AND(I28="Yes",O28&lt;&gt;""),O28,0))</f>
        <v>0</v>
      </c>
      <c r="S28" s="45">
        <f>IF(A28="","",IF(AND(J28="Yes",O28&lt;&gt;""),O28,0))</f>
        <v>0</v>
      </c>
      <c r="T28" s="45">
        <f>IF(A28="","",IF(AND(K28="Yes",O28&lt;&gt;""),O28,0))</f>
        <v>0</v>
      </c>
      <c r="U28" s="36">
        <f>IF(A28="","",IF(AND(H28="Yes",P28&lt;&gt;""),P28,0))</f>
        <v>0</v>
      </c>
      <c r="V28" s="36">
        <f>IF(A28="","",IF(AND(I28="Yes",P28&lt;&gt;""),P28,0))</f>
        <v>0</v>
      </c>
      <c r="W28" s="36">
        <f>IF(A28="","",IF(AND(J28="Yes",P28&lt;&gt;""),P28,0))</f>
        <v>0</v>
      </c>
      <c r="X28" s="36">
        <f>IF(A28="","",IF(AND(K28="Yes",P28&lt;&gt;""),P28,0))</f>
        <v>0</v>
      </c>
      <c r="Y28" s="32">
        <f>IF(A28="","",COUNTIF(H28:K28,"Yes"))</f>
        <v>0</v>
      </c>
      <c r="Z28" s="43">
        <f>IF(A28="","",IF(OR(E28="",D28=""),"Add - price and pack size please",IF(Y28=0,"Check - in no profile",IF(F28="","Add - how many per order?",IF(G28="","Check - no weight, postage may be wrong","OK")))))</f>
        <v>0</v>
      </c>
    </row>
    <row r="29" spans="14:26">
      <c r="N29" s="45">
        <f>IF(A29="","",IF(OR(E29="",D29="",D29=0),"",ROUND(E29/D29,4)))</f>
        <v>0</v>
      </c>
      <c r="O29" s="45">
        <f>IF(A29="","",IF(OR(N29="",F29=""),"",ROUND(N29*F29,4)))</f>
        <v>0</v>
      </c>
      <c r="P29" s="36">
        <f>IF(A29="","",IF(OR(G29="",F29=""),"",ROUND(G29*F29,1)))</f>
        <v>0</v>
      </c>
      <c r="Q29" s="45">
        <f>IF(A29="","",IF(AND(H29="Yes",O29&lt;&gt;""),O29,0))</f>
        <v>0</v>
      </c>
      <c r="R29" s="45">
        <f>IF(A29="","",IF(AND(I29="Yes",O29&lt;&gt;""),O29,0))</f>
        <v>0</v>
      </c>
      <c r="S29" s="45">
        <f>IF(A29="","",IF(AND(J29="Yes",O29&lt;&gt;""),O29,0))</f>
        <v>0</v>
      </c>
      <c r="T29" s="45">
        <f>IF(A29="","",IF(AND(K29="Yes",O29&lt;&gt;""),O29,0))</f>
        <v>0</v>
      </c>
      <c r="U29" s="36">
        <f>IF(A29="","",IF(AND(H29="Yes",P29&lt;&gt;""),P29,0))</f>
        <v>0</v>
      </c>
      <c r="V29" s="36">
        <f>IF(A29="","",IF(AND(I29="Yes",P29&lt;&gt;""),P29,0))</f>
        <v>0</v>
      </c>
      <c r="W29" s="36">
        <f>IF(A29="","",IF(AND(J29="Yes",P29&lt;&gt;""),P29,0))</f>
        <v>0</v>
      </c>
      <c r="X29" s="36">
        <f>IF(A29="","",IF(AND(K29="Yes",P29&lt;&gt;""),P29,0))</f>
        <v>0</v>
      </c>
      <c r="Y29" s="32">
        <f>IF(A29="","",COUNTIF(H29:K29,"Yes"))</f>
        <v>0</v>
      </c>
      <c r="Z29" s="43">
        <f>IF(A29="","",IF(OR(E29="",D29=""),"Add - price and pack size please",IF(Y29=0,"Check - in no profile",IF(F29="","Add - how many per order?",IF(G29="","Check - no weight, postage may be wrong","OK")))))</f>
        <v>0</v>
      </c>
    </row>
    <row r="30" spans="14:26">
      <c r="N30" s="45">
        <f>IF(A30="","",IF(OR(E30="",D30="",D30=0),"",ROUND(E30/D30,4)))</f>
        <v>0</v>
      </c>
      <c r="O30" s="45">
        <f>IF(A30="","",IF(OR(N30="",F30=""),"",ROUND(N30*F30,4)))</f>
        <v>0</v>
      </c>
      <c r="P30" s="36">
        <f>IF(A30="","",IF(OR(G30="",F30=""),"",ROUND(G30*F30,1)))</f>
        <v>0</v>
      </c>
      <c r="Q30" s="45">
        <f>IF(A30="","",IF(AND(H30="Yes",O30&lt;&gt;""),O30,0))</f>
        <v>0</v>
      </c>
      <c r="R30" s="45">
        <f>IF(A30="","",IF(AND(I30="Yes",O30&lt;&gt;""),O30,0))</f>
        <v>0</v>
      </c>
      <c r="S30" s="45">
        <f>IF(A30="","",IF(AND(J30="Yes",O30&lt;&gt;""),O30,0))</f>
        <v>0</v>
      </c>
      <c r="T30" s="45">
        <f>IF(A30="","",IF(AND(K30="Yes",O30&lt;&gt;""),O30,0))</f>
        <v>0</v>
      </c>
      <c r="U30" s="36">
        <f>IF(A30="","",IF(AND(H30="Yes",P30&lt;&gt;""),P30,0))</f>
        <v>0</v>
      </c>
      <c r="V30" s="36">
        <f>IF(A30="","",IF(AND(I30="Yes",P30&lt;&gt;""),P30,0))</f>
        <v>0</v>
      </c>
      <c r="W30" s="36">
        <f>IF(A30="","",IF(AND(J30="Yes",P30&lt;&gt;""),P30,0))</f>
        <v>0</v>
      </c>
      <c r="X30" s="36">
        <f>IF(A30="","",IF(AND(K30="Yes",P30&lt;&gt;""),P30,0))</f>
        <v>0</v>
      </c>
      <c r="Y30" s="32">
        <f>IF(A30="","",COUNTIF(H30:K30,"Yes"))</f>
        <v>0</v>
      </c>
      <c r="Z30" s="43">
        <f>IF(A30="","",IF(OR(E30="",D30=""),"Add - price and pack size please",IF(Y30=0,"Check - in no profile",IF(F30="","Add - how many per order?",IF(G30="","Check - no weight, postage may be wrong","OK")))))</f>
        <v>0</v>
      </c>
    </row>
    <row r="31" spans="14:26">
      <c r="N31" s="45">
        <f>IF(A31="","",IF(OR(E31="",D31="",D31=0),"",ROUND(E31/D31,4)))</f>
        <v>0</v>
      </c>
      <c r="O31" s="45">
        <f>IF(A31="","",IF(OR(N31="",F31=""),"",ROUND(N31*F31,4)))</f>
        <v>0</v>
      </c>
      <c r="P31" s="36">
        <f>IF(A31="","",IF(OR(G31="",F31=""),"",ROUND(G31*F31,1)))</f>
        <v>0</v>
      </c>
      <c r="Q31" s="45">
        <f>IF(A31="","",IF(AND(H31="Yes",O31&lt;&gt;""),O31,0))</f>
        <v>0</v>
      </c>
      <c r="R31" s="45">
        <f>IF(A31="","",IF(AND(I31="Yes",O31&lt;&gt;""),O31,0))</f>
        <v>0</v>
      </c>
      <c r="S31" s="45">
        <f>IF(A31="","",IF(AND(J31="Yes",O31&lt;&gt;""),O31,0))</f>
        <v>0</v>
      </c>
      <c r="T31" s="45">
        <f>IF(A31="","",IF(AND(K31="Yes",O31&lt;&gt;""),O31,0))</f>
        <v>0</v>
      </c>
      <c r="U31" s="36">
        <f>IF(A31="","",IF(AND(H31="Yes",P31&lt;&gt;""),P31,0))</f>
        <v>0</v>
      </c>
      <c r="V31" s="36">
        <f>IF(A31="","",IF(AND(I31="Yes",P31&lt;&gt;""),P31,0))</f>
        <v>0</v>
      </c>
      <c r="W31" s="36">
        <f>IF(A31="","",IF(AND(J31="Yes",P31&lt;&gt;""),P31,0))</f>
        <v>0</v>
      </c>
      <c r="X31" s="36">
        <f>IF(A31="","",IF(AND(K31="Yes",P31&lt;&gt;""),P31,0))</f>
        <v>0</v>
      </c>
      <c r="Y31" s="32">
        <f>IF(A31="","",COUNTIF(H31:K31,"Yes"))</f>
        <v>0</v>
      </c>
      <c r="Z31" s="43">
        <f>IF(A31="","",IF(OR(E31="",D31=""),"Add - price and pack size please",IF(Y31=0,"Check - in no profile",IF(F31="","Add - how many per order?",IF(G31="","Check - no weight, postage may be wrong","OK")))))</f>
        <v>0</v>
      </c>
    </row>
    <row r="32" spans="14:26">
      <c r="N32" s="45">
        <f>IF(A32="","",IF(OR(E32="",D32="",D32=0),"",ROUND(E32/D32,4)))</f>
        <v>0</v>
      </c>
      <c r="O32" s="45">
        <f>IF(A32="","",IF(OR(N32="",F32=""),"",ROUND(N32*F32,4)))</f>
        <v>0</v>
      </c>
      <c r="P32" s="36">
        <f>IF(A32="","",IF(OR(G32="",F32=""),"",ROUND(G32*F32,1)))</f>
        <v>0</v>
      </c>
      <c r="Q32" s="45">
        <f>IF(A32="","",IF(AND(H32="Yes",O32&lt;&gt;""),O32,0))</f>
        <v>0</v>
      </c>
      <c r="R32" s="45">
        <f>IF(A32="","",IF(AND(I32="Yes",O32&lt;&gt;""),O32,0))</f>
        <v>0</v>
      </c>
      <c r="S32" s="45">
        <f>IF(A32="","",IF(AND(J32="Yes",O32&lt;&gt;""),O32,0))</f>
        <v>0</v>
      </c>
      <c r="T32" s="45">
        <f>IF(A32="","",IF(AND(K32="Yes",O32&lt;&gt;""),O32,0))</f>
        <v>0</v>
      </c>
      <c r="U32" s="36">
        <f>IF(A32="","",IF(AND(H32="Yes",P32&lt;&gt;""),P32,0))</f>
        <v>0</v>
      </c>
      <c r="V32" s="36">
        <f>IF(A32="","",IF(AND(I32="Yes",P32&lt;&gt;""),P32,0))</f>
        <v>0</v>
      </c>
      <c r="W32" s="36">
        <f>IF(A32="","",IF(AND(J32="Yes",P32&lt;&gt;""),P32,0))</f>
        <v>0</v>
      </c>
      <c r="X32" s="36">
        <f>IF(A32="","",IF(AND(K32="Yes",P32&lt;&gt;""),P32,0))</f>
        <v>0</v>
      </c>
      <c r="Y32" s="32">
        <f>IF(A32="","",COUNTIF(H32:K32,"Yes"))</f>
        <v>0</v>
      </c>
      <c r="Z32" s="43">
        <f>IF(A32="","",IF(OR(E32="",D32=""),"Add - price and pack size please",IF(Y32=0,"Check - in no profile",IF(F32="","Add - how many per order?",IF(G32="","Check - no weight, postage may be wrong","OK")))))</f>
        <v>0</v>
      </c>
    </row>
    <row r="33" spans="14:26">
      <c r="N33" s="45">
        <f>IF(A33="","",IF(OR(E33="",D33="",D33=0),"",ROUND(E33/D33,4)))</f>
        <v>0</v>
      </c>
      <c r="O33" s="45">
        <f>IF(A33="","",IF(OR(N33="",F33=""),"",ROUND(N33*F33,4)))</f>
        <v>0</v>
      </c>
      <c r="P33" s="36">
        <f>IF(A33="","",IF(OR(G33="",F33=""),"",ROUND(G33*F33,1)))</f>
        <v>0</v>
      </c>
      <c r="Q33" s="45">
        <f>IF(A33="","",IF(AND(H33="Yes",O33&lt;&gt;""),O33,0))</f>
        <v>0</v>
      </c>
      <c r="R33" s="45">
        <f>IF(A33="","",IF(AND(I33="Yes",O33&lt;&gt;""),O33,0))</f>
        <v>0</v>
      </c>
      <c r="S33" s="45">
        <f>IF(A33="","",IF(AND(J33="Yes",O33&lt;&gt;""),O33,0))</f>
        <v>0</v>
      </c>
      <c r="T33" s="45">
        <f>IF(A33="","",IF(AND(K33="Yes",O33&lt;&gt;""),O33,0))</f>
        <v>0</v>
      </c>
      <c r="U33" s="36">
        <f>IF(A33="","",IF(AND(H33="Yes",P33&lt;&gt;""),P33,0))</f>
        <v>0</v>
      </c>
      <c r="V33" s="36">
        <f>IF(A33="","",IF(AND(I33="Yes",P33&lt;&gt;""),P33,0))</f>
        <v>0</v>
      </c>
      <c r="W33" s="36">
        <f>IF(A33="","",IF(AND(J33="Yes",P33&lt;&gt;""),P33,0))</f>
        <v>0</v>
      </c>
      <c r="X33" s="36">
        <f>IF(A33="","",IF(AND(K33="Yes",P33&lt;&gt;""),P33,0))</f>
        <v>0</v>
      </c>
      <c r="Y33" s="32">
        <f>IF(A33="","",COUNTIF(H33:K33,"Yes"))</f>
        <v>0</v>
      </c>
      <c r="Z33" s="43">
        <f>IF(A33="","",IF(OR(E33="",D33=""),"Add - price and pack size please",IF(Y33=0,"Check - in no profile",IF(F33="","Add - how many per order?",IF(G33="","Check - no weight, postage may be wrong","OK")))))</f>
        <v>0</v>
      </c>
    </row>
    <row r="34" spans="14:26">
      <c r="N34" s="45">
        <f>IF(A34="","",IF(OR(E34="",D34="",D34=0),"",ROUND(E34/D34,4)))</f>
        <v>0</v>
      </c>
      <c r="O34" s="45">
        <f>IF(A34="","",IF(OR(N34="",F34=""),"",ROUND(N34*F34,4)))</f>
        <v>0</v>
      </c>
      <c r="P34" s="36">
        <f>IF(A34="","",IF(OR(G34="",F34=""),"",ROUND(G34*F34,1)))</f>
        <v>0</v>
      </c>
      <c r="Q34" s="45">
        <f>IF(A34="","",IF(AND(H34="Yes",O34&lt;&gt;""),O34,0))</f>
        <v>0</v>
      </c>
      <c r="R34" s="45">
        <f>IF(A34="","",IF(AND(I34="Yes",O34&lt;&gt;""),O34,0))</f>
        <v>0</v>
      </c>
      <c r="S34" s="45">
        <f>IF(A34="","",IF(AND(J34="Yes",O34&lt;&gt;""),O34,0))</f>
        <v>0</v>
      </c>
      <c r="T34" s="45">
        <f>IF(A34="","",IF(AND(K34="Yes",O34&lt;&gt;""),O34,0))</f>
        <v>0</v>
      </c>
      <c r="U34" s="36">
        <f>IF(A34="","",IF(AND(H34="Yes",P34&lt;&gt;""),P34,0))</f>
        <v>0</v>
      </c>
      <c r="V34" s="36">
        <f>IF(A34="","",IF(AND(I34="Yes",P34&lt;&gt;""),P34,0))</f>
        <v>0</v>
      </c>
      <c r="W34" s="36">
        <f>IF(A34="","",IF(AND(J34="Yes",P34&lt;&gt;""),P34,0))</f>
        <v>0</v>
      </c>
      <c r="X34" s="36">
        <f>IF(A34="","",IF(AND(K34="Yes",P34&lt;&gt;""),P34,0))</f>
        <v>0</v>
      </c>
      <c r="Y34" s="32">
        <f>IF(A34="","",COUNTIF(H34:K34,"Yes"))</f>
        <v>0</v>
      </c>
      <c r="Z34" s="43">
        <f>IF(A34="","",IF(OR(E34="",D34=""),"Add - price and pack size please",IF(Y34=0,"Check - in no profile",IF(F34="","Add - how many per order?",IF(G34="","Check - no weight, postage may be wrong","OK")))))</f>
        <v>0</v>
      </c>
    </row>
    <row r="35" spans="14:26">
      <c r="N35" s="45">
        <f>IF(A35="","",IF(OR(E35="",D35="",D35=0),"",ROUND(E35/D35,4)))</f>
        <v>0</v>
      </c>
      <c r="O35" s="45">
        <f>IF(A35="","",IF(OR(N35="",F35=""),"",ROUND(N35*F35,4)))</f>
        <v>0</v>
      </c>
      <c r="P35" s="36">
        <f>IF(A35="","",IF(OR(G35="",F35=""),"",ROUND(G35*F35,1)))</f>
        <v>0</v>
      </c>
      <c r="Q35" s="45">
        <f>IF(A35="","",IF(AND(H35="Yes",O35&lt;&gt;""),O35,0))</f>
        <v>0</v>
      </c>
      <c r="R35" s="45">
        <f>IF(A35="","",IF(AND(I35="Yes",O35&lt;&gt;""),O35,0))</f>
        <v>0</v>
      </c>
      <c r="S35" s="45">
        <f>IF(A35="","",IF(AND(J35="Yes",O35&lt;&gt;""),O35,0))</f>
        <v>0</v>
      </c>
      <c r="T35" s="45">
        <f>IF(A35="","",IF(AND(K35="Yes",O35&lt;&gt;""),O35,0))</f>
        <v>0</v>
      </c>
      <c r="U35" s="36">
        <f>IF(A35="","",IF(AND(H35="Yes",P35&lt;&gt;""),P35,0))</f>
        <v>0</v>
      </c>
      <c r="V35" s="36">
        <f>IF(A35="","",IF(AND(I35="Yes",P35&lt;&gt;""),P35,0))</f>
        <v>0</v>
      </c>
      <c r="W35" s="36">
        <f>IF(A35="","",IF(AND(J35="Yes",P35&lt;&gt;""),P35,0))</f>
        <v>0</v>
      </c>
      <c r="X35" s="36">
        <f>IF(A35="","",IF(AND(K35="Yes",P35&lt;&gt;""),P35,0))</f>
        <v>0</v>
      </c>
      <c r="Y35" s="32">
        <f>IF(A35="","",COUNTIF(H35:K35,"Yes"))</f>
        <v>0</v>
      </c>
      <c r="Z35" s="43">
        <f>IF(A35="","",IF(OR(E35="",D35=""),"Add - price and pack size please",IF(Y35=0,"Check - in no profile",IF(F35="","Add - how many per order?",IF(G35="","Check - no weight, postage may be wrong","OK")))))</f>
        <v>0</v>
      </c>
    </row>
    <row r="36" spans="14:26">
      <c r="N36" s="45">
        <f>IF(A36="","",IF(OR(E36="",D36="",D36=0),"",ROUND(E36/D36,4)))</f>
        <v>0</v>
      </c>
      <c r="O36" s="45">
        <f>IF(A36="","",IF(OR(N36="",F36=""),"",ROUND(N36*F36,4)))</f>
        <v>0</v>
      </c>
      <c r="P36" s="36">
        <f>IF(A36="","",IF(OR(G36="",F36=""),"",ROUND(G36*F36,1)))</f>
        <v>0</v>
      </c>
      <c r="Q36" s="45">
        <f>IF(A36="","",IF(AND(H36="Yes",O36&lt;&gt;""),O36,0))</f>
        <v>0</v>
      </c>
      <c r="R36" s="45">
        <f>IF(A36="","",IF(AND(I36="Yes",O36&lt;&gt;""),O36,0))</f>
        <v>0</v>
      </c>
      <c r="S36" s="45">
        <f>IF(A36="","",IF(AND(J36="Yes",O36&lt;&gt;""),O36,0))</f>
        <v>0</v>
      </c>
      <c r="T36" s="45">
        <f>IF(A36="","",IF(AND(K36="Yes",O36&lt;&gt;""),O36,0))</f>
        <v>0</v>
      </c>
      <c r="U36" s="36">
        <f>IF(A36="","",IF(AND(H36="Yes",P36&lt;&gt;""),P36,0))</f>
        <v>0</v>
      </c>
      <c r="V36" s="36">
        <f>IF(A36="","",IF(AND(I36="Yes",P36&lt;&gt;""),P36,0))</f>
        <v>0</v>
      </c>
      <c r="W36" s="36">
        <f>IF(A36="","",IF(AND(J36="Yes",P36&lt;&gt;""),P36,0))</f>
        <v>0</v>
      </c>
      <c r="X36" s="36">
        <f>IF(A36="","",IF(AND(K36="Yes",P36&lt;&gt;""),P36,0))</f>
        <v>0</v>
      </c>
      <c r="Y36" s="32">
        <f>IF(A36="","",COUNTIF(H36:K36,"Yes"))</f>
        <v>0</v>
      </c>
      <c r="Z36" s="43">
        <f>IF(A36="","",IF(OR(E36="",D36=""),"Add - price and pack size please",IF(Y36=0,"Check - in no profile",IF(F36="","Add - how many per order?",IF(G36="","Check - no weight, postage may be wrong","OK")))))</f>
        <v>0</v>
      </c>
    </row>
    <row r="37" spans="14:26">
      <c r="N37" s="45">
        <f>IF(A37="","",IF(OR(E37="",D37="",D37=0),"",ROUND(E37/D37,4)))</f>
        <v>0</v>
      </c>
      <c r="O37" s="45">
        <f>IF(A37="","",IF(OR(N37="",F37=""),"",ROUND(N37*F37,4)))</f>
        <v>0</v>
      </c>
      <c r="P37" s="36">
        <f>IF(A37="","",IF(OR(G37="",F37=""),"",ROUND(G37*F37,1)))</f>
        <v>0</v>
      </c>
      <c r="Q37" s="45">
        <f>IF(A37="","",IF(AND(H37="Yes",O37&lt;&gt;""),O37,0))</f>
        <v>0</v>
      </c>
      <c r="R37" s="45">
        <f>IF(A37="","",IF(AND(I37="Yes",O37&lt;&gt;""),O37,0))</f>
        <v>0</v>
      </c>
      <c r="S37" s="45">
        <f>IF(A37="","",IF(AND(J37="Yes",O37&lt;&gt;""),O37,0))</f>
        <v>0</v>
      </c>
      <c r="T37" s="45">
        <f>IF(A37="","",IF(AND(K37="Yes",O37&lt;&gt;""),O37,0))</f>
        <v>0</v>
      </c>
      <c r="U37" s="36">
        <f>IF(A37="","",IF(AND(H37="Yes",P37&lt;&gt;""),P37,0))</f>
        <v>0</v>
      </c>
      <c r="V37" s="36">
        <f>IF(A37="","",IF(AND(I37="Yes",P37&lt;&gt;""),P37,0))</f>
        <v>0</v>
      </c>
      <c r="W37" s="36">
        <f>IF(A37="","",IF(AND(J37="Yes",P37&lt;&gt;""),P37,0))</f>
        <v>0</v>
      </c>
      <c r="X37" s="36">
        <f>IF(A37="","",IF(AND(K37="Yes",P37&lt;&gt;""),P37,0))</f>
        <v>0</v>
      </c>
      <c r="Y37" s="32">
        <f>IF(A37="","",COUNTIF(H37:K37,"Yes"))</f>
        <v>0</v>
      </c>
      <c r="Z37" s="43">
        <f>IF(A37="","",IF(OR(E37="",D37=""),"Add - price and pack size please",IF(Y37=0,"Check - in no profile",IF(F37="","Add - how many per order?",IF(G37="","Check - no weight, postage may be wrong","OK")))))</f>
        <v>0</v>
      </c>
    </row>
    <row r="38" spans="14:26">
      <c r="N38" s="45">
        <f>IF(A38="","",IF(OR(E38="",D38="",D38=0),"",ROUND(E38/D38,4)))</f>
        <v>0</v>
      </c>
      <c r="O38" s="45">
        <f>IF(A38="","",IF(OR(N38="",F38=""),"",ROUND(N38*F38,4)))</f>
        <v>0</v>
      </c>
      <c r="P38" s="36">
        <f>IF(A38="","",IF(OR(G38="",F38=""),"",ROUND(G38*F38,1)))</f>
        <v>0</v>
      </c>
      <c r="Q38" s="45">
        <f>IF(A38="","",IF(AND(H38="Yes",O38&lt;&gt;""),O38,0))</f>
        <v>0</v>
      </c>
      <c r="R38" s="45">
        <f>IF(A38="","",IF(AND(I38="Yes",O38&lt;&gt;""),O38,0))</f>
        <v>0</v>
      </c>
      <c r="S38" s="45">
        <f>IF(A38="","",IF(AND(J38="Yes",O38&lt;&gt;""),O38,0))</f>
        <v>0</v>
      </c>
      <c r="T38" s="45">
        <f>IF(A38="","",IF(AND(K38="Yes",O38&lt;&gt;""),O38,0))</f>
        <v>0</v>
      </c>
      <c r="U38" s="36">
        <f>IF(A38="","",IF(AND(H38="Yes",P38&lt;&gt;""),P38,0))</f>
        <v>0</v>
      </c>
      <c r="V38" s="36">
        <f>IF(A38="","",IF(AND(I38="Yes",P38&lt;&gt;""),P38,0))</f>
        <v>0</v>
      </c>
      <c r="W38" s="36">
        <f>IF(A38="","",IF(AND(J38="Yes",P38&lt;&gt;""),P38,0))</f>
        <v>0</v>
      </c>
      <c r="X38" s="36">
        <f>IF(A38="","",IF(AND(K38="Yes",P38&lt;&gt;""),P38,0))</f>
        <v>0</v>
      </c>
      <c r="Y38" s="32">
        <f>IF(A38="","",COUNTIF(H38:K38,"Yes"))</f>
        <v>0</v>
      </c>
      <c r="Z38" s="43">
        <f>IF(A38="","",IF(OR(E38="",D38=""),"Add - price and pack size please",IF(Y38=0,"Check - in no profile",IF(F38="","Add - how many per order?",IF(G38="","Check - no weight, postage may be wrong","OK")))))</f>
        <v>0</v>
      </c>
    </row>
    <row r="39" spans="14:26">
      <c r="N39" s="45">
        <f>IF(A39="","",IF(OR(E39="",D39="",D39=0),"",ROUND(E39/D39,4)))</f>
        <v>0</v>
      </c>
      <c r="O39" s="45">
        <f>IF(A39="","",IF(OR(N39="",F39=""),"",ROUND(N39*F39,4)))</f>
        <v>0</v>
      </c>
      <c r="P39" s="36">
        <f>IF(A39="","",IF(OR(G39="",F39=""),"",ROUND(G39*F39,1)))</f>
        <v>0</v>
      </c>
      <c r="Q39" s="45">
        <f>IF(A39="","",IF(AND(H39="Yes",O39&lt;&gt;""),O39,0))</f>
        <v>0</v>
      </c>
      <c r="R39" s="45">
        <f>IF(A39="","",IF(AND(I39="Yes",O39&lt;&gt;""),O39,0))</f>
        <v>0</v>
      </c>
      <c r="S39" s="45">
        <f>IF(A39="","",IF(AND(J39="Yes",O39&lt;&gt;""),O39,0))</f>
        <v>0</v>
      </c>
      <c r="T39" s="45">
        <f>IF(A39="","",IF(AND(K39="Yes",O39&lt;&gt;""),O39,0))</f>
        <v>0</v>
      </c>
      <c r="U39" s="36">
        <f>IF(A39="","",IF(AND(H39="Yes",P39&lt;&gt;""),P39,0))</f>
        <v>0</v>
      </c>
      <c r="V39" s="36">
        <f>IF(A39="","",IF(AND(I39="Yes",P39&lt;&gt;""),P39,0))</f>
        <v>0</v>
      </c>
      <c r="W39" s="36">
        <f>IF(A39="","",IF(AND(J39="Yes",P39&lt;&gt;""),P39,0))</f>
        <v>0</v>
      </c>
      <c r="X39" s="36">
        <f>IF(A39="","",IF(AND(K39="Yes",P39&lt;&gt;""),P39,0))</f>
        <v>0</v>
      </c>
      <c r="Y39" s="32">
        <f>IF(A39="","",COUNTIF(H39:K39,"Yes"))</f>
        <v>0</v>
      </c>
      <c r="Z39" s="43">
        <f>IF(A39="","",IF(OR(E39="",D39=""),"Add - price and pack size please",IF(Y39=0,"Check - in no profile",IF(F39="","Add - how many per order?",IF(G39="","Check - no weight, postage may be wrong","OK")))))</f>
        <v>0</v>
      </c>
    </row>
    <row r="40" spans="14:26">
      <c r="N40" s="45">
        <f>IF(A40="","",IF(OR(E40="",D40="",D40=0),"",ROUND(E40/D40,4)))</f>
        <v>0</v>
      </c>
      <c r="O40" s="45">
        <f>IF(A40="","",IF(OR(N40="",F40=""),"",ROUND(N40*F40,4)))</f>
        <v>0</v>
      </c>
      <c r="P40" s="36">
        <f>IF(A40="","",IF(OR(G40="",F40=""),"",ROUND(G40*F40,1)))</f>
        <v>0</v>
      </c>
      <c r="Q40" s="45">
        <f>IF(A40="","",IF(AND(H40="Yes",O40&lt;&gt;""),O40,0))</f>
        <v>0</v>
      </c>
      <c r="R40" s="45">
        <f>IF(A40="","",IF(AND(I40="Yes",O40&lt;&gt;""),O40,0))</f>
        <v>0</v>
      </c>
      <c r="S40" s="45">
        <f>IF(A40="","",IF(AND(J40="Yes",O40&lt;&gt;""),O40,0))</f>
        <v>0</v>
      </c>
      <c r="T40" s="45">
        <f>IF(A40="","",IF(AND(K40="Yes",O40&lt;&gt;""),O40,0))</f>
        <v>0</v>
      </c>
      <c r="U40" s="36">
        <f>IF(A40="","",IF(AND(H40="Yes",P40&lt;&gt;""),P40,0))</f>
        <v>0</v>
      </c>
      <c r="V40" s="36">
        <f>IF(A40="","",IF(AND(I40="Yes",P40&lt;&gt;""),P40,0))</f>
        <v>0</v>
      </c>
      <c r="W40" s="36">
        <f>IF(A40="","",IF(AND(J40="Yes",P40&lt;&gt;""),P40,0))</f>
        <v>0</v>
      </c>
      <c r="X40" s="36">
        <f>IF(A40="","",IF(AND(K40="Yes",P40&lt;&gt;""),P40,0))</f>
        <v>0</v>
      </c>
      <c r="Y40" s="32">
        <f>IF(A40="","",COUNTIF(H40:K40,"Yes"))</f>
        <v>0</v>
      </c>
      <c r="Z40" s="43">
        <f>IF(A40="","",IF(OR(E40="",D40=""),"Add - price and pack size please",IF(Y40=0,"Check - in no profile",IF(F40="","Add - how many per order?",IF(G40="","Check - no weight, postage may be wrong","OK")))))</f>
        <v>0</v>
      </c>
    </row>
    <row r="41" spans="14:26">
      <c r="N41" s="45">
        <f>IF(A41="","",IF(OR(E41="",D41="",D41=0),"",ROUND(E41/D41,4)))</f>
        <v>0</v>
      </c>
      <c r="O41" s="45">
        <f>IF(A41="","",IF(OR(N41="",F41=""),"",ROUND(N41*F41,4)))</f>
        <v>0</v>
      </c>
      <c r="P41" s="36">
        <f>IF(A41="","",IF(OR(G41="",F41=""),"",ROUND(G41*F41,1)))</f>
        <v>0</v>
      </c>
      <c r="Q41" s="45">
        <f>IF(A41="","",IF(AND(H41="Yes",O41&lt;&gt;""),O41,0))</f>
        <v>0</v>
      </c>
      <c r="R41" s="45">
        <f>IF(A41="","",IF(AND(I41="Yes",O41&lt;&gt;""),O41,0))</f>
        <v>0</v>
      </c>
      <c r="S41" s="45">
        <f>IF(A41="","",IF(AND(J41="Yes",O41&lt;&gt;""),O41,0))</f>
        <v>0</v>
      </c>
      <c r="T41" s="45">
        <f>IF(A41="","",IF(AND(K41="Yes",O41&lt;&gt;""),O41,0))</f>
        <v>0</v>
      </c>
      <c r="U41" s="36">
        <f>IF(A41="","",IF(AND(H41="Yes",P41&lt;&gt;""),P41,0))</f>
        <v>0</v>
      </c>
      <c r="V41" s="36">
        <f>IF(A41="","",IF(AND(I41="Yes",P41&lt;&gt;""),P41,0))</f>
        <v>0</v>
      </c>
      <c r="W41" s="36">
        <f>IF(A41="","",IF(AND(J41="Yes",P41&lt;&gt;""),P41,0))</f>
        <v>0</v>
      </c>
      <c r="X41" s="36">
        <f>IF(A41="","",IF(AND(K41="Yes",P41&lt;&gt;""),P41,0))</f>
        <v>0</v>
      </c>
      <c r="Y41" s="32">
        <f>IF(A41="","",COUNTIF(H41:K41,"Yes"))</f>
        <v>0</v>
      </c>
      <c r="Z41" s="43">
        <f>IF(A41="","",IF(OR(E41="",D41=""),"Add - price and pack size please",IF(Y41=0,"Check - in no profile",IF(F41="","Add - how many per order?",IF(G41="","Check - no weight, postage may be wrong","OK")))))</f>
        <v>0</v>
      </c>
    </row>
    <row r="42" spans="14:26">
      <c r="N42" s="45">
        <f>IF(A42="","",IF(OR(E42="",D42="",D42=0),"",ROUND(E42/D42,4)))</f>
        <v>0</v>
      </c>
      <c r="O42" s="45">
        <f>IF(A42="","",IF(OR(N42="",F42=""),"",ROUND(N42*F42,4)))</f>
        <v>0</v>
      </c>
      <c r="P42" s="36">
        <f>IF(A42="","",IF(OR(G42="",F42=""),"",ROUND(G42*F42,1)))</f>
        <v>0</v>
      </c>
      <c r="Q42" s="45">
        <f>IF(A42="","",IF(AND(H42="Yes",O42&lt;&gt;""),O42,0))</f>
        <v>0</v>
      </c>
      <c r="R42" s="45">
        <f>IF(A42="","",IF(AND(I42="Yes",O42&lt;&gt;""),O42,0))</f>
        <v>0</v>
      </c>
      <c r="S42" s="45">
        <f>IF(A42="","",IF(AND(J42="Yes",O42&lt;&gt;""),O42,0))</f>
        <v>0</v>
      </c>
      <c r="T42" s="45">
        <f>IF(A42="","",IF(AND(K42="Yes",O42&lt;&gt;""),O42,0))</f>
        <v>0</v>
      </c>
      <c r="U42" s="36">
        <f>IF(A42="","",IF(AND(H42="Yes",P42&lt;&gt;""),P42,0))</f>
        <v>0</v>
      </c>
      <c r="V42" s="36">
        <f>IF(A42="","",IF(AND(I42="Yes",P42&lt;&gt;""),P42,0))</f>
        <v>0</v>
      </c>
      <c r="W42" s="36">
        <f>IF(A42="","",IF(AND(J42="Yes",P42&lt;&gt;""),P42,0))</f>
        <v>0</v>
      </c>
      <c r="X42" s="36">
        <f>IF(A42="","",IF(AND(K42="Yes",P42&lt;&gt;""),P42,0))</f>
        <v>0</v>
      </c>
      <c r="Y42" s="32">
        <f>IF(A42="","",COUNTIF(H42:K42,"Yes"))</f>
        <v>0</v>
      </c>
      <c r="Z42" s="43">
        <f>IF(A42="","",IF(OR(E42="",D42=""),"Add - price and pack size please",IF(Y42=0,"Check - in no profile",IF(F42="","Add - how many per order?",IF(G42="","Check - no weight, postage may be wrong","OK")))))</f>
        <v>0</v>
      </c>
    </row>
    <row r="43" spans="14:26">
      <c r="N43" s="45">
        <f>IF(A43="","",IF(OR(E43="",D43="",D43=0),"",ROUND(E43/D43,4)))</f>
        <v>0</v>
      </c>
      <c r="O43" s="45">
        <f>IF(A43="","",IF(OR(N43="",F43=""),"",ROUND(N43*F43,4)))</f>
        <v>0</v>
      </c>
      <c r="P43" s="36">
        <f>IF(A43="","",IF(OR(G43="",F43=""),"",ROUND(G43*F43,1)))</f>
        <v>0</v>
      </c>
      <c r="Q43" s="45">
        <f>IF(A43="","",IF(AND(H43="Yes",O43&lt;&gt;""),O43,0))</f>
        <v>0</v>
      </c>
      <c r="R43" s="45">
        <f>IF(A43="","",IF(AND(I43="Yes",O43&lt;&gt;""),O43,0))</f>
        <v>0</v>
      </c>
      <c r="S43" s="45">
        <f>IF(A43="","",IF(AND(J43="Yes",O43&lt;&gt;""),O43,0))</f>
        <v>0</v>
      </c>
      <c r="T43" s="45">
        <f>IF(A43="","",IF(AND(K43="Yes",O43&lt;&gt;""),O43,0))</f>
        <v>0</v>
      </c>
      <c r="U43" s="36">
        <f>IF(A43="","",IF(AND(H43="Yes",P43&lt;&gt;""),P43,0))</f>
        <v>0</v>
      </c>
      <c r="V43" s="36">
        <f>IF(A43="","",IF(AND(I43="Yes",P43&lt;&gt;""),P43,0))</f>
        <v>0</v>
      </c>
      <c r="W43" s="36">
        <f>IF(A43="","",IF(AND(J43="Yes",P43&lt;&gt;""),P43,0))</f>
        <v>0</v>
      </c>
      <c r="X43" s="36">
        <f>IF(A43="","",IF(AND(K43="Yes",P43&lt;&gt;""),P43,0))</f>
        <v>0</v>
      </c>
      <c r="Y43" s="32">
        <f>IF(A43="","",COUNTIF(H43:K43,"Yes"))</f>
        <v>0</v>
      </c>
      <c r="Z43" s="43">
        <f>IF(A43="","",IF(OR(E43="",D43=""),"Add - price and pack size please",IF(Y43=0,"Check - in no profile",IF(F43="","Add - how many per order?",IF(G43="","Check - no weight, postage may be wrong","OK")))))</f>
        <v>0</v>
      </c>
    </row>
    <row r="44" spans="14:26">
      <c r="N44" s="45">
        <f>IF(A44="","",IF(OR(E44="",D44="",D44=0),"",ROUND(E44/D44,4)))</f>
        <v>0</v>
      </c>
      <c r="O44" s="45">
        <f>IF(A44="","",IF(OR(N44="",F44=""),"",ROUND(N44*F44,4)))</f>
        <v>0</v>
      </c>
      <c r="P44" s="36">
        <f>IF(A44="","",IF(OR(G44="",F44=""),"",ROUND(G44*F44,1)))</f>
        <v>0</v>
      </c>
      <c r="Q44" s="45">
        <f>IF(A44="","",IF(AND(H44="Yes",O44&lt;&gt;""),O44,0))</f>
        <v>0</v>
      </c>
      <c r="R44" s="45">
        <f>IF(A44="","",IF(AND(I44="Yes",O44&lt;&gt;""),O44,0))</f>
        <v>0</v>
      </c>
      <c r="S44" s="45">
        <f>IF(A44="","",IF(AND(J44="Yes",O44&lt;&gt;""),O44,0))</f>
        <v>0</v>
      </c>
      <c r="T44" s="45">
        <f>IF(A44="","",IF(AND(K44="Yes",O44&lt;&gt;""),O44,0))</f>
        <v>0</v>
      </c>
      <c r="U44" s="36">
        <f>IF(A44="","",IF(AND(H44="Yes",P44&lt;&gt;""),P44,0))</f>
        <v>0</v>
      </c>
      <c r="V44" s="36">
        <f>IF(A44="","",IF(AND(I44="Yes",P44&lt;&gt;""),P44,0))</f>
        <v>0</v>
      </c>
      <c r="W44" s="36">
        <f>IF(A44="","",IF(AND(J44="Yes",P44&lt;&gt;""),P44,0))</f>
        <v>0</v>
      </c>
      <c r="X44" s="36">
        <f>IF(A44="","",IF(AND(K44="Yes",P44&lt;&gt;""),P44,0))</f>
        <v>0</v>
      </c>
      <c r="Y44" s="32">
        <f>IF(A44="","",COUNTIF(H44:K44,"Yes"))</f>
        <v>0</v>
      </c>
      <c r="Z44" s="43">
        <f>IF(A44="","",IF(OR(E44="",D44=""),"Add - price and pack size please",IF(Y44=0,"Check - in no profile",IF(F44="","Add - how many per order?",IF(G44="","Check - no weight, postage may be wrong","OK")))))</f>
        <v>0</v>
      </c>
    </row>
    <row r="45" spans="14:26">
      <c r="N45" s="45">
        <f>IF(A45="","",IF(OR(E45="",D45="",D45=0),"",ROUND(E45/D45,4)))</f>
        <v>0</v>
      </c>
      <c r="O45" s="45">
        <f>IF(A45="","",IF(OR(N45="",F45=""),"",ROUND(N45*F45,4)))</f>
        <v>0</v>
      </c>
      <c r="P45" s="36">
        <f>IF(A45="","",IF(OR(G45="",F45=""),"",ROUND(G45*F45,1)))</f>
        <v>0</v>
      </c>
      <c r="Q45" s="45">
        <f>IF(A45="","",IF(AND(H45="Yes",O45&lt;&gt;""),O45,0))</f>
        <v>0</v>
      </c>
      <c r="R45" s="45">
        <f>IF(A45="","",IF(AND(I45="Yes",O45&lt;&gt;""),O45,0))</f>
        <v>0</v>
      </c>
      <c r="S45" s="45">
        <f>IF(A45="","",IF(AND(J45="Yes",O45&lt;&gt;""),O45,0))</f>
        <v>0</v>
      </c>
      <c r="T45" s="45">
        <f>IF(A45="","",IF(AND(K45="Yes",O45&lt;&gt;""),O45,0))</f>
        <v>0</v>
      </c>
      <c r="U45" s="36">
        <f>IF(A45="","",IF(AND(H45="Yes",P45&lt;&gt;""),P45,0))</f>
        <v>0</v>
      </c>
      <c r="V45" s="36">
        <f>IF(A45="","",IF(AND(I45="Yes",P45&lt;&gt;""),P45,0))</f>
        <v>0</v>
      </c>
      <c r="W45" s="36">
        <f>IF(A45="","",IF(AND(J45="Yes",P45&lt;&gt;""),P45,0))</f>
        <v>0</v>
      </c>
      <c r="X45" s="36">
        <f>IF(A45="","",IF(AND(K45="Yes",P45&lt;&gt;""),P45,0))</f>
        <v>0</v>
      </c>
      <c r="Y45" s="32">
        <f>IF(A45="","",COUNTIF(H45:K45,"Yes"))</f>
        <v>0</v>
      </c>
      <c r="Z45" s="43">
        <f>IF(A45="","",IF(OR(E45="",D45=""),"Add - price and pack size please",IF(Y45=0,"Check - in no profile",IF(F45="","Add - how many per order?",IF(G45="","Check - no weight, postage may be wrong","OK")))))</f>
        <v>0</v>
      </c>
    </row>
    <row r="46" spans="14:26">
      <c r="N46" s="45">
        <f>IF(A46="","",IF(OR(E46="",D46="",D46=0),"",ROUND(E46/D46,4)))</f>
        <v>0</v>
      </c>
      <c r="O46" s="45">
        <f>IF(A46="","",IF(OR(N46="",F46=""),"",ROUND(N46*F46,4)))</f>
        <v>0</v>
      </c>
      <c r="P46" s="36">
        <f>IF(A46="","",IF(OR(G46="",F46=""),"",ROUND(G46*F46,1)))</f>
        <v>0</v>
      </c>
      <c r="Q46" s="45">
        <f>IF(A46="","",IF(AND(H46="Yes",O46&lt;&gt;""),O46,0))</f>
        <v>0</v>
      </c>
      <c r="R46" s="45">
        <f>IF(A46="","",IF(AND(I46="Yes",O46&lt;&gt;""),O46,0))</f>
        <v>0</v>
      </c>
      <c r="S46" s="45">
        <f>IF(A46="","",IF(AND(J46="Yes",O46&lt;&gt;""),O46,0))</f>
        <v>0</v>
      </c>
      <c r="T46" s="45">
        <f>IF(A46="","",IF(AND(K46="Yes",O46&lt;&gt;""),O46,0))</f>
        <v>0</v>
      </c>
      <c r="U46" s="36">
        <f>IF(A46="","",IF(AND(H46="Yes",P46&lt;&gt;""),P46,0))</f>
        <v>0</v>
      </c>
      <c r="V46" s="36">
        <f>IF(A46="","",IF(AND(I46="Yes",P46&lt;&gt;""),P46,0))</f>
        <v>0</v>
      </c>
      <c r="W46" s="36">
        <f>IF(A46="","",IF(AND(J46="Yes",P46&lt;&gt;""),P46,0))</f>
        <v>0</v>
      </c>
      <c r="X46" s="36">
        <f>IF(A46="","",IF(AND(K46="Yes",P46&lt;&gt;""),P46,0))</f>
        <v>0</v>
      </c>
      <c r="Y46" s="32">
        <f>IF(A46="","",COUNTIF(H46:K46,"Yes"))</f>
        <v>0</v>
      </c>
      <c r="Z46" s="43">
        <f>IF(A46="","",IF(OR(E46="",D46=""),"Add - price and pack size please",IF(Y46=0,"Check - in no profile",IF(F46="","Add - how many per order?",IF(G46="","Check - no weight, postage may be wrong","OK")))))</f>
        <v>0</v>
      </c>
    </row>
    <row r="47" spans="14:26">
      <c r="N47" s="45">
        <f>IF(A47="","",IF(OR(E47="",D47="",D47=0),"",ROUND(E47/D47,4)))</f>
        <v>0</v>
      </c>
      <c r="O47" s="45">
        <f>IF(A47="","",IF(OR(N47="",F47=""),"",ROUND(N47*F47,4)))</f>
        <v>0</v>
      </c>
      <c r="P47" s="36">
        <f>IF(A47="","",IF(OR(G47="",F47=""),"",ROUND(G47*F47,1)))</f>
        <v>0</v>
      </c>
      <c r="Q47" s="45">
        <f>IF(A47="","",IF(AND(H47="Yes",O47&lt;&gt;""),O47,0))</f>
        <v>0</v>
      </c>
      <c r="R47" s="45">
        <f>IF(A47="","",IF(AND(I47="Yes",O47&lt;&gt;""),O47,0))</f>
        <v>0</v>
      </c>
      <c r="S47" s="45">
        <f>IF(A47="","",IF(AND(J47="Yes",O47&lt;&gt;""),O47,0))</f>
        <v>0</v>
      </c>
      <c r="T47" s="45">
        <f>IF(A47="","",IF(AND(K47="Yes",O47&lt;&gt;""),O47,0))</f>
        <v>0</v>
      </c>
      <c r="U47" s="36">
        <f>IF(A47="","",IF(AND(H47="Yes",P47&lt;&gt;""),P47,0))</f>
        <v>0</v>
      </c>
      <c r="V47" s="36">
        <f>IF(A47="","",IF(AND(I47="Yes",P47&lt;&gt;""),P47,0))</f>
        <v>0</v>
      </c>
      <c r="W47" s="36">
        <f>IF(A47="","",IF(AND(J47="Yes",P47&lt;&gt;""),P47,0))</f>
        <v>0</v>
      </c>
      <c r="X47" s="36">
        <f>IF(A47="","",IF(AND(K47="Yes",P47&lt;&gt;""),P47,0))</f>
        <v>0</v>
      </c>
      <c r="Y47" s="32">
        <f>IF(A47="","",COUNTIF(H47:K47,"Yes"))</f>
        <v>0</v>
      </c>
      <c r="Z47" s="43">
        <f>IF(A47="","",IF(OR(E47="",D47=""),"Add - price and pack size please",IF(Y47=0,"Check - in no profile",IF(F47="","Add - how many per order?",IF(G47="","Check - no weight, postage may be wrong","OK")))))</f>
        <v>0</v>
      </c>
    </row>
    <row r="48" spans="14:26">
      <c r="N48" s="45">
        <f>IF(A48="","",IF(OR(E48="",D48="",D48=0),"",ROUND(E48/D48,4)))</f>
        <v>0</v>
      </c>
      <c r="O48" s="45">
        <f>IF(A48="","",IF(OR(N48="",F48=""),"",ROUND(N48*F48,4)))</f>
        <v>0</v>
      </c>
      <c r="P48" s="36">
        <f>IF(A48="","",IF(OR(G48="",F48=""),"",ROUND(G48*F48,1)))</f>
        <v>0</v>
      </c>
      <c r="Q48" s="45">
        <f>IF(A48="","",IF(AND(H48="Yes",O48&lt;&gt;""),O48,0))</f>
        <v>0</v>
      </c>
      <c r="R48" s="45">
        <f>IF(A48="","",IF(AND(I48="Yes",O48&lt;&gt;""),O48,0))</f>
        <v>0</v>
      </c>
      <c r="S48" s="45">
        <f>IF(A48="","",IF(AND(J48="Yes",O48&lt;&gt;""),O48,0))</f>
        <v>0</v>
      </c>
      <c r="T48" s="45">
        <f>IF(A48="","",IF(AND(K48="Yes",O48&lt;&gt;""),O48,0))</f>
        <v>0</v>
      </c>
      <c r="U48" s="36">
        <f>IF(A48="","",IF(AND(H48="Yes",P48&lt;&gt;""),P48,0))</f>
        <v>0</v>
      </c>
      <c r="V48" s="36">
        <f>IF(A48="","",IF(AND(I48="Yes",P48&lt;&gt;""),P48,0))</f>
        <v>0</v>
      </c>
      <c r="W48" s="36">
        <f>IF(A48="","",IF(AND(J48="Yes",P48&lt;&gt;""),P48,0))</f>
        <v>0</v>
      </c>
      <c r="X48" s="36">
        <f>IF(A48="","",IF(AND(K48="Yes",P48&lt;&gt;""),P48,0))</f>
        <v>0</v>
      </c>
      <c r="Y48" s="32">
        <f>IF(A48="","",COUNTIF(H48:K48,"Yes"))</f>
        <v>0</v>
      </c>
      <c r="Z48" s="43">
        <f>IF(A48="","",IF(OR(E48="",D48=""),"Add - price and pack size please",IF(Y48=0,"Check - in no profile",IF(F48="","Add - how many per order?",IF(G48="","Check - no weight, postage may be wrong","OK")))))</f>
        <v>0</v>
      </c>
    </row>
    <row r="49" spans="14:26">
      <c r="N49" s="45">
        <f>IF(A49="","",IF(OR(E49="",D49="",D49=0),"",ROUND(E49/D49,4)))</f>
        <v>0</v>
      </c>
      <c r="O49" s="45">
        <f>IF(A49="","",IF(OR(N49="",F49=""),"",ROUND(N49*F49,4)))</f>
        <v>0</v>
      </c>
      <c r="P49" s="36">
        <f>IF(A49="","",IF(OR(G49="",F49=""),"",ROUND(G49*F49,1)))</f>
        <v>0</v>
      </c>
      <c r="Q49" s="45">
        <f>IF(A49="","",IF(AND(H49="Yes",O49&lt;&gt;""),O49,0))</f>
        <v>0</v>
      </c>
      <c r="R49" s="45">
        <f>IF(A49="","",IF(AND(I49="Yes",O49&lt;&gt;""),O49,0))</f>
        <v>0</v>
      </c>
      <c r="S49" s="45">
        <f>IF(A49="","",IF(AND(J49="Yes",O49&lt;&gt;""),O49,0))</f>
        <v>0</v>
      </c>
      <c r="T49" s="45">
        <f>IF(A49="","",IF(AND(K49="Yes",O49&lt;&gt;""),O49,0))</f>
        <v>0</v>
      </c>
      <c r="U49" s="36">
        <f>IF(A49="","",IF(AND(H49="Yes",P49&lt;&gt;""),P49,0))</f>
        <v>0</v>
      </c>
      <c r="V49" s="36">
        <f>IF(A49="","",IF(AND(I49="Yes",P49&lt;&gt;""),P49,0))</f>
        <v>0</v>
      </c>
      <c r="W49" s="36">
        <f>IF(A49="","",IF(AND(J49="Yes",P49&lt;&gt;""),P49,0))</f>
        <v>0</v>
      </c>
      <c r="X49" s="36">
        <f>IF(A49="","",IF(AND(K49="Yes",P49&lt;&gt;""),P49,0))</f>
        <v>0</v>
      </c>
      <c r="Y49" s="32">
        <f>IF(A49="","",COUNTIF(H49:K49,"Yes"))</f>
        <v>0</v>
      </c>
      <c r="Z49" s="43">
        <f>IF(A49="","",IF(OR(E49="",D49=""),"Add - price and pack size please",IF(Y49=0,"Check - in no profile",IF(F49="","Add - how many per order?",IF(G49="","Check - no weight, postage may be wrong","OK")))))</f>
        <v>0</v>
      </c>
    </row>
    <row r="50" spans="14:26">
      <c r="N50" s="45">
        <f>IF(A50="","",IF(OR(E50="",D50="",D50=0),"",ROUND(E50/D50,4)))</f>
        <v>0</v>
      </c>
      <c r="O50" s="45">
        <f>IF(A50="","",IF(OR(N50="",F50=""),"",ROUND(N50*F50,4)))</f>
        <v>0</v>
      </c>
      <c r="P50" s="36">
        <f>IF(A50="","",IF(OR(G50="",F50=""),"",ROUND(G50*F50,1)))</f>
        <v>0</v>
      </c>
      <c r="Q50" s="45">
        <f>IF(A50="","",IF(AND(H50="Yes",O50&lt;&gt;""),O50,0))</f>
        <v>0</v>
      </c>
      <c r="R50" s="45">
        <f>IF(A50="","",IF(AND(I50="Yes",O50&lt;&gt;""),O50,0))</f>
        <v>0</v>
      </c>
      <c r="S50" s="45">
        <f>IF(A50="","",IF(AND(J50="Yes",O50&lt;&gt;""),O50,0))</f>
        <v>0</v>
      </c>
      <c r="T50" s="45">
        <f>IF(A50="","",IF(AND(K50="Yes",O50&lt;&gt;""),O50,0))</f>
        <v>0</v>
      </c>
      <c r="U50" s="36">
        <f>IF(A50="","",IF(AND(H50="Yes",P50&lt;&gt;""),P50,0))</f>
        <v>0</v>
      </c>
      <c r="V50" s="36">
        <f>IF(A50="","",IF(AND(I50="Yes",P50&lt;&gt;""),P50,0))</f>
        <v>0</v>
      </c>
      <c r="W50" s="36">
        <f>IF(A50="","",IF(AND(J50="Yes",P50&lt;&gt;""),P50,0))</f>
        <v>0</v>
      </c>
      <c r="X50" s="36">
        <f>IF(A50="","",IF(AND(K50="Yes",P50&lt;&gt;""),P50,0))</f>
        <v>0</v>
      </c>
      <c r="Y50" s="32">
        <f>IF(A50="","",COUNTIF(H50:K50,"Yes"))</f>
        <v>0</v>
      </c>
      <c r="Z50" s="43">
        <f>IF(A50="","",IF(OR(E50="",D50=""),"Add - price and pack size please",IF(Y50=0,"Check - in no profile",IF(F50="","Add - how many per order?",IF(G50="","Check - no weight, postage may be wrong","OK")))))</f>
        <v>0</v>
      </c>
    </row>
    <row r="51" spans="14:26">
      <c r="N51" s="45">
        <f>IF(A51="","",IF(OR(E51="",D51="",D51=0),"",ROUND(E51/D51,4)))</f>
        <v>0</v>
      </c>
      <c r="O51" s="45">
        <f>IF(A51="","",IF(OR(N51="",F51=""),"",ROUND(N51*F51,4)))</f>
        <v>0</v>
      </c>
      <c r="P51" s="36">
        <f>IF(A51="","",IF(OR(G51="",F51=""),"",ROUND(G51*F51,1)))</f>
        <v>0</v>
      </c>
      <c r="Q51" s="45">
        <f>IF(A51="","",IF(AND(H51="Yes",O51&lt;&gt;""),O51,0))</f>
        <v>0</v>
      </c>
      <c r="R51" s="45">
        <f>IF(A51="","",IF(AND(I51="Yes",O51&lt;&gt;""),O51,0))</f>
        <v>0</v>
      </c>
      <c r="S51" s="45">
        <f>IF(A51="","",IF(AND(J51="Yes",O51&lt;&gt;""),O51,0))</f>
        <v>0</v>
      </c>
      <c r="T51" s="45">
        <f>IF(A51="","",IF(AND(K51="Yes",O51&lt;&gt;""),O51,0))</f>
        <v>0</v>
      </c>
      <c r="U51" s="36">
        <f>IF(A51="","",IF(AND(H51="Yes",P51&lt;&gt;""),P51,0))</f>
        <v>0</v>
      </c>
      <c r="V51" s="36">
        <f>IF(A51="","",IF(AND(I51="Yes",P51&lt;&gt;""),P51,0))</f>
        <v>0</v>
      </c>
      <c r="W51" s="36">
        <f>IF(A51="","",IF(AND(J51="Yes",P51&lt;&gt;""),P51,0))</f>
        <v>0</v>
      </c>
      <c r="X51" s="36">
        <f>IF(A51="","",IF(AND(K51="Yes",P51&lt;&gt;""),P51,0))</f>
        <v>0</v>
      </c>
      <c r="Y51" s="32">
        <f>IF(A51="","",COUNTIF(H51:K51,"Yes"))</f>
        <v>0</v>
      </c>
      <c r="Z51" s="43">
        <f>IF(A51="","",IF(OR(E51="",D51=""),"Add - price and pack size please",IF(Y51=0,"Check - in no profile",IF(F51="","Add - how many per order?",IF(G51="","Check - no weight, postage may be wrong","OK")))))</f>
        <v>0</v>
      </c>
    </row>
    <row r="52" spans="14:26">
      <c r="N52" s="45">
        <f>IF(A52="","",IF(OR(E52="",D52="",D52=0),"",ROUND(E52/D52,4)))</f>
        <v>0</v>
      </c>
      <c r="O52" s="45">
        <f>IF(A52="","",IF(OR(N52="",F52=""),"",ROUND(N52*F52,4)))</f>
        <v>0</v>
      </c>
      <c r="P52" s="36">
        <f>IF(A52="","",IF(OR(G52="",F52=""),"",ROUND(G52*F52,1)))</f>
        <v>0</v>
      </c>
      <c r="Q52" s="45">
        <f>IF(A52="","",IF(AND(H52="Yes",O52&lt;&gt;""),O52,0))</f>
        <v>0</v>
      </c>
      <c r="R52" s="45">
        <f>IF(A52="","",IF(AND(I52="Yes",O52&lt;&gt;""),O52,0))</f>
        <v>0</v>
      </c>
      <c r="S52" s="45">
        <f>IF(A52="","",IF(AND(J52="Yes",O52&lt;&gt;""),O52,0))</f>
        <v>0</v>
      </c>
      <c r="T52" s="45">
        <f>IF(A52="","",IF(AND(K52="Yes",O52&lt;&gt;""),O52,0))</f>
        <v>0</v>
      </c>
      <c r="U52" s="36">
        <f>IF(A52="","",IF(AND(H52="Yes",P52&lt;&gt;""),P52,0))</f>
        <v>0</v>
      </c>
      <c r="V52" s="36">
        <f>IF(A52="","",IF(AND(I52="Yes",P52&lt;&gt;""),P52,0))</f>
        <v>0</v>
      </c>
      <c r="W52" s="36">
        <f>IF(A52="","",IF(AND(J52="Yes",P52&lt;&gt;""),P52,0))</f>
        <v>0</v>
      </c>
      <c r="X52" s="36">
        <f>IF(A52="","",IF(AND(K52="Yes",P52&lt;&gt;""),P52,0))</f>
        <v>0</v>
      </c>
      <c r="Y52" s="32">
        <f>IF(A52="","",COUNTIF(H52:K52,"Yes"))</f>
        <v>0</v>
      </c>
      <c r="Z52" s="43">
        <f>IF(A52="","",IF(OR(E52="",D52=""),"Add - price and pack size please",IF(Y52=0,"Check - in no profile",IF(F52="","Add - how many per order?",IF(G52="","Check - no weight, postage may be wrong","OK")))))</f>
        <v>0</v>
      </c>
    </row>
    <row r="53" spans="14:26">
      <c r="N53" s="45">
        <f>IF(A53="","",IF(OR(E53="",D53="",D53=0),"",ROUND(E53/D53,4)))</f>
        <v>0</v>
      </c>
      <c r="O53" s="45">
        <f>IF(A53="","",IF(OR(N53="",F53=""),"",ROUND(N53*F53,4)))</f>
        <v>0</v>
      </c>
      <c r="P53" s="36">
        <f>IF(A53="","",IF(OR(G53="",F53=""),"",ROUND(G53*F53,1)))</f>
        <v>0</v>
      </c>
      <c r="Q53" s="45">
        <f>IF(A53="","",IF(AND(H53="Yes",O53&lt;&gt;""),O53,0))</f>
        <v>0</v>
      </c>
      <c r="R53" s="45">
        <f>IF(A53="","",IF(AND(I53="Yes",O53&lt;&gt;""),O53,0))</f>
        <v>0</v>
      </c>
      <c r="S53" s="45">
        <f>IF(A53="","",IF(AND(J53="Yes",O53&lt;&gt;""),O53,0))</f>
        <v>0</v>
      </c>
      <c r="T53" s="45">
        <f>IF(A53="","",IF(AND(K53="Yes",O53&lt;&gt;""),O53,0))</f>
        <v>0</v>
      </c>
      <c r="U53" s="36">
        <f>IF(A53="","",IF(AND(H53="Yes",P53&lt;&gt;""),P53,0))</f>
        <v>0</v>
      </c>
      <c r="V53" s="36">
        <f>IF(A53="","",IF(AND(I53="Yes",P53&lt;&gt;""),P53,0))</f>
        <v>0</v>
      </c>
      <c r="W53" s="36">
        <f>IF(A53="","",IF(AND(J53="Yes",P53&lt;&gt;""),P53,0))</f>
        <v>0</v>
      </c>
      <c r="X53" s="36">
        <f>IF(A53="","",IF(AND(K53="Yes",P53&lt;&gt;""),P53,0))</f>
        <v>0</v>
      </c>
      <c r="Y53" s="32">
        <f>IF(A53="","",COUNTIF(H53:K53,"Yes"))</f>
        <v>0</v>
      </c>
      <c r="Z53" s="43">
        <f>IF(A53="","",IF(OR(E53="",D53=""),"Add - price and pack size please",IF(Y53=0,"Check - in no profile",IF(F53="","Add - how many per order?",IF(G53="","Check - no weight, postage may be wrong","OK")))))</f>
        <v>0</v>
      </c>
    </row>
    <row r="54" spans="14:26">
      <c r="N54" s="45">
        <f>IF(A54="","",IF(OR(E54="",D54="",D54=0),"",ROUND(E54/D54,4)))</f>
        <v>0</v>
      </c>
      <c r="O54" s="45">
        <f>IF(A54="","",IF(OR(N54="",F54=""),"",ROUND(N54*F54,4)))</f>
        <v>0</v>
      </c>
      <c r="P54" s="36">
        <f>IF(A54="","",IF(OR(G54="",F54=""),"",ROUND(G54*F54,1)))</f>
        <v>0</v>
      </c>
      <c r="Q54" s="45">
        <f>IF(A54="","",IF(AND(H54="Yes",O54&lt;&gt;""),O54,0))</f>
        <v>0</v>
      </c>
      <c r="R54" s="45">
        <f>IF(A54="","",IF(AND(I54="Yes",O54&lt;&gt;""),O54,0))</f>
        <v>0</v>
      </c>
      <c r="S54" s="45">
        <f>IF(A54="","",IF(AND(J54="Yes",O54&lt;&gt;""),O54,0))</f>
        <v>0</v>
      </c>
      <c r="T54" s="45">
        <f>IF(A54="","",IF(AND(K54="Yes",O54&lt;&gt;""),O54,0))</f>
        <v>0</v>
      </c>
      <c r="U54" s="36">
        <f>IF(A54="","",IF(AND(H54="Yes",P54&lt;&gt;""),P54,0))</f>
        <v>0</v>
      </c>
      <c r="V54" s="36">
        <f>IF(A54="","",IF(AND(I54="Yes",P54&lt;&gt;""),P54,0))</f>
        <v>0</v>
      </c>
      <c r="W54" s="36">
        <f>IF(A54="","",IF(AND(J54="Yes",P54&lt;&gt;""),P54,0))</f>
        <v>0</v>
      </c>
      <c r="X54" s="36">
        <f>IF(A54="","",IF(AND(K54="Yes",P54&lt;&gt;""),P54,0))</f>
        <v>0</v>
      </c>
      <c r="Y54" s="32">
        <f>IF(A54="","",COUNTIF(H54:K54,"Yes"))</f>
        <v>0</v>
      </c>
      <c r="Z54" s="43">
        <f>IF(A54="","",IF(OR(E54="",D54=""),"Add - price and pack size please",IF(Y54=0,"Check - in no profile",IF(F54="","Add - how many per order?",IF(G54="","Check - no weight, postage may be wrong","OK")))))</f>
        <v>0</v>
      </c>
    </row>
    <row r="55" spans="14:26">
      <c r="N55" s="45">
        <f>IF(A55="","",IF(OR(E55="",D55="",D55=0),"",ROUND(E55/D55,4)))</f>
        <v>0</v>
      </c>
      <c r="O55" s="45">
        <f>IF(A55="","",IF(OR(N55="",F55=""),"",ROUND(N55*F55,4)))</f>
        <v>0</v>
      </c>
      <c r="P55" s="36">
        <f>IF(A55="","",IF(OR(G55="",F55=""),"",ROUND(G55*F55,1)))</f>
        <v>0</v>
      </c>
      <c r="Q55" s="45">
        <f>IF(A55="","",IF(AND(H55="Yes",O55&lt;&gt;""),O55,0))</f>
        <v>0</v>
      </c>
      <c r="R55" s="45">
        <f>IF(A55="","",IF(AND(I55="Yes",O55&lt;&gt;""),O55,0))</f>
        <v>0</v>
      </c>
      <c r="S55" s="45">
        <f>IF(A55="","",IF(AND(J55="Yes",O55&lt;&gt;""),O55,0))</f>
        <v>0</v>
      </c>
      <c r="T55" s="45">
        <f>IF(A55="","",IF(AND(K55="Yes",O55&lt;&gt;""),O55,0))</f>
        <v>0</v>
      </c>
      <c r="U55" s="36">
        <f>IF(A55="","",IF(AND(H55="Yes",P55&lt;&gt;""),P55,0))</f>
        <v>0</v>
      </c>
      <c r="V55" s="36">
        <f>IF(A55="","",IF(AND(I55="Yes",P55&lt;&gt;""),P55,0))</f>
        <v>0</v>
      </c>
      <c r="W55" s="36">
        <f>IF(A55="","",IF(AND(J55="Yes",P55&lt;&gt;""),P55,0))</f>
        <v>0</v>
      </c>
      <c r="X55" s="36">
        <f>IF(A55="","",IF(AND(K55="Yes",P55&lt;&gt;""),P55,0))</f>
        <v>0</v>
      </c>
      <c r="Y55" s="32">
        <f>IF(A55="","",COUNTIF(H55:K55,"Yes"))</f>
        <v>0</v>
      </c>
      <c r="Z55" s="43">
        <f>IF(A55="","",IF(OR(E55="",D55=""),"Add - price and pack size please",IF(Y55=0,"Check - in no profile",IF(F55="","Add - how many per order?",IF(G55="","Check - no weight, postage may be wrong","OK")))))</f>
        <v>0</v>
      </c>
    </row>
    <row r="56" spans="14:26">
      <c r="N56" s="45">
        <f>IF(A56="","",IF(OR(E56="",D56="",D56=0),"",ROUND(E56/D56,4)))</f>
        <v>0</v>
      </c>
      <c r="O56" s="45">
        <f>IF(A56="","",IF(OR(N56="",F56=""),"",ROUND(N56*F56,4)))</f>
        <v>0</v>
      </c>
      <c r="P56" s="36">
        <f>IF(A56="","",IF(OR(G56="",F56=""),"",ROUND(G56*F56,1)))</f>
        <v>0</v>
      </c>
      <c r="Q56" s="45">
        <f>IF(A56="","",IF(AND(H56="Yes",O56&lt;&gt;""),O56,0))</f>
        <v>0</v>
      </c>
      <c r="R56" s="45">
        <f>IF(A56="","",IF(AND(I56="Yes",O56&lt;&gt;""),O56,0))</f>
        <v>0</v>
      </c>
      <c r="S56" s="45">
        <f>IF(A56="","",IF(AND(J56="Yes",O56&lt;&gt;""),O56,0))</f>
        <v>0</v>
      </c>
      <c r="T56" s="45">
        <f>IF(A56="","",IF(AND(K56="Yes",O56&lt;&gt;""),O56,0))</f>
        <v>0</v>
      </c>
      <c r="U56" s="36">
        <f>IF(A56="","",IF(AND(H56="Yes",P56&lt;&gt;""),P56,0))</f>
        <v>0</v>
      </c>
      <c r="V56" s="36">
        <f>IF(A56="","",IF(AND(I56="Yes",P56&lt;&gt;""),P56,0))</f>
        <v>0</v>
      </c>
      <c r="W56" s="36">
        <f>IF(A56="","",IF(AND(J56="Yes",P56&lt;&gt;""),P56,0))</f>
        <v>0</v>
      </c>
      <c r="X56" s="36">
        <f>IF(A56="","",IF(AND(K56="Yes",P56&lt;&gt;""),P56,0))</f>
        <v>0</v>
      </c>
      <c r="Y56" s="32">
        <f>IF(A56="","",COUNTIF(H56:K56,"Yes"))</f>
        <v>0</v>
      </c>
      <c r="Z56" s="43">
        <f>IF(A56="","",IF(OR(E56="",D56=""),"Add - price and pack size please",IF(Y56=0,"Check - in no profile",IF(F56="","Add - how many per order?",IF(G56="","Check - no weight, postage may be wrong","OK")))))</f>
        <v>0</v>
      </c>
    </row>
    <row r="57" spans="14:26">
      <c r="N57" s="45">
        <f>IF(A57="","",IF(OR(E57="",D57="",D57=0),"",ROUND(E57/D57,4)))</f>
        <v>0</v>
      </c>
      <c r="O57" s="45">
        <f>IF(A57="","",IF(OR(N57="",F57=""),"",ROUND(N57*F57,4)))</f>
        <v>0</v>
      </c>
      <c r="P57" s="36">
        <f>IF(A57="","",IF(OR(G57="",F57=""),"",ROUND(G57*F57,1)))</f>
        <v>0</v>
      </c>
      <c r="Q57" s="45">
        <f>IF(A57="","",IF(AND(H57="Yes",O57&lt;&gt;""),O57,0))</f>
        <v>0</v>
      </c>
      <c r="R57" s="45">
        <f>IF(A57="","",IF(AND(I57="Yes",O57&lt;&gt;""),O57,0))</f>
        <v>0</v>
      </c>
      <c r="S57" s="45">
        <f>IF(A57="","",IF(AND(J57="Yes",O57&lt;&gt;""),O57,0))</f>
        <v>0</v>
      </c>
      <c r="T57" s="45">
        <f>IF(A57="","",IF(AND(K57="Yes",O57&lt;&gt;""),O57,0))</f>
        <v>0</v>
      </c>
      <c r="U57" s="36">
        <f>IF(A57="","",IF(AND(H57="Yes",P57&lt;&gt;""),P57,0))</f>
        <v>0</v>
      </c>
      <c r="V57" s="36">
        <f>IF(A57="","",IF(AND(I57="Yes",P57&lt;&gt;""),P57,0))</f>
        <v>0</v>
      </c>
      <c r="W57" s="36">
        <f>IF(A57="","",IF(AND(J57="Yes",P57&lt;&gt;""),P57,0))</f>
        <v>0</v>
      </c>
      <c r="X57" s="36">
        <f>IF(A57="","",IF(AND(K57="Yes",P57&lt;&gt;""),P57,0))</f>
        <v>0</v>
      </c>
      <c r="Y57" s="32">
        <f>IF(A57="","",COUNTIF(H57:K57,"Yes"))</f>
        <v>0</v>
      </c>
      <c r="Z57" s="43">
        <f>IF(A57="","",IF(OR(E57="",D57=""),"Add - price and pack size please",IF(Y57=0,"Check - in no profile",IF(F57="","Add - how many per order?",IF(G57="","Check - no weight, postage may be wrong","OK")))))</f>
        <v>0</v>
      </c>
    </row>
    <row r="58" spans="14:26">
      <c r="N58" s="45">
        <f>IF(A58="","",IF(OR(E58="",D58="",D58=0),"",ROUND(E58/D58,4)))</f>
        <v>0</v>
      </c>
      <c r="O58" s="45">
        <f>IF(A58="","",IF(OR(N58="",F58=""),"",ROUND(N58*F58,4)))</f>
        <v>0</v>
      </c>
      <c r="P58" s="36">
        <f>IF(A58="","",IF(OR(G58="",F58=""),"",ROUND(G58*F58,1)))</f>
        <v>0</v>
      </c>
      <c r="Q58" s="45">
        <f>IF(A58="","",IF(AND(H58="Yes",O58&lt;&gt;""),O58,0))</f>
        <v>0</v>
      </c>
      <c r="R58" s="45">
        <f>IF(A58="","",IF(AND(I58="Yes",O58&lt;&gt;""),O58,0))</f>
        <v>0</v>
      </c>
      <c r="S58" s="45">
        <f>IF(A58="","",IF(AND(J58="Yes",O58&lt;&gt;""),O58,0))</f>
        <v>0</v>
      </c>
      <c r="T58" s="45">
        <f>IF(A58="","",IF(AND(K58="Yes",O58&lt;&gt;""),O58,0))</f>
        <v>0</v>
      </c>
      <c r="U58" s="36">
        <f>IF(A58="","",IF(AND(H58="Yes",P58&lt;&gt;""),P58,0))</f>
        <v>0</v>
      </c>
      <c r="V58" s="36">
        <f>IF(A58="","",IF(AND(I58="Yes",P58&lt;&gt;""),P58,0))</f>
        <v>0</v>
      </c>
      <c r="W58" s="36">
        <f>IF(A58="","",IF(AND(J58="Yes",P58&lt;&gt;""),P58,0))</f>
        <v>0</v>
      </c>
      <c r="X58" s="36">
        <f>IF(A58="","",IF(AND(K58="Yes",P58&lt;&gt;""),P58,0))</f>
        <v>0</v>
      </c>
      <c r="Y58" s="32">
        <f>IF(A58="","",COUNTIF(H58:K58,"Yes"))</f>
        <v>0</v>
      </c>
      <c r="Z58" s="43">
        <f>IF(A58="","",IF(OR(E58="",D58=""),"Add - price and pack size please",IF(Y58=0,"Check - in no profile",IF(F58="","Add - how many per order?",IF(G58="","Check - no weight, postage may be wrong","OK")))))</f>
        <v>0</v>
      </c>
    </row>
    <row r="59" spans="14:26">
      <c r="N59" s="45">
        <f>IF(A59="","",IF(OR(E59="",D59="",D59=0),"",ROUND(E59/D59,4)))</f>
        <v>0</v>
      </c>
      <c r="O59" s="45">
        <f>IF(A59="","",IF(OR(N59="",F59=""),"",ROUND(N59*F59,4)))</f>
        <v>0</v>
      </c>
      <c r="P59" s="36">
        <f>IF(A59="","",IF(OR(G59="",F59=""),"",ROUND(G59*F59,1)))</f>
        <v>0</v>
      </c>
      <c r="Q59" s="45">
        <f>IF(A59="","",IF(AND(H59="Yes",O59&lt;&gt;""),O59,0))</f>
        <v>0</v>
      </c>
      <c r="R59" s="45">
        <f>IF(A59="","",IF(AND(I59="Yes",O59&lt;&gt;""),O59,0))</f>
        <v>0</v>
      </c>
      <c r="S59" s="45">
        <f>IF(A59="","",IF(AND(J59="Yes",O59&lt;&gt;""),O59,0))</f>
        <v>0</v>
      </c>
      <c r="T59" s="45">
        <f>IF(A59="","",IF(AND(K59="Yes",O59&lt;&gt;""),O59,0))</f>
        <v>0</v>
      </c>
      <c r="U59" s="36">
        <f>IF(A59="","",IF(AND(H59="Yes",P59&lt;&gt;""),P59,0))</f>
        <v>0</v>
      </c>
      <c r="V59" s="36">
        <f>IF(A59="","",IF(AND(I59="Yes",P59&lt;&gt;""),P59,0))</f>
        <v>0</v>
      </c>
      <c r="W59" s="36">
        <f>IF(A59="","",IF(AND(J59="Yes",P59&lt;&gt;""),P59,0))</f>
        <v>0</v>
      </c>
      <c r="X59" s="36">
        <f>IF(A59="","",IF(AND(K59="Yes",P59&lt;&gt;""),P59,0))</f>
        <v>0</v>
      </c>
      <c r="Y59" s="32">
        <f>IF(A59="","",COUNTIF(H59:K59,"Yes"))</f>
        <v>0</v>
      </c>
      <c r="Z59" s="43">
        <f>IF(A59="","",IF(OR(E59="",D59=""),"Add - price and pack size please",IF(Y59=0,"Check - in no profile",IF(F59="","Add - how many per order?",IF(G59="","Check - no weight, postage may be wrong","OK")))))</f>
        <v>0</v>
      </c>
    </row>
    <row r="60" spans="14:26">
      <c r="N60" s="45">
        <f>IF(A60="","",IF(OR(E60="",D60="",D60=0),"",ROUND(E60/D60,4)))</f>
        <v>0</v>
      </c>
      <c r="O60" s="45">
        <f>IF(A60="","",IF(OR(N60="",F60=""),"",ROUND(N60*F60,4)))</f>
        <v>0</v>
      </c>
      <c r="P60" s="36">
        <f>IF(A60="","",IF(OR(G60="",F60=""),"",ROUND(G60*F60,1)))</f>
        <v>0</v>
      </c>
      <c r="Q60" s="45">
        <f>IF(A60="","",IF(AND(H60="Yes",O60&lt;&gt;""),O60,0))</f>
        <v>0</v>
      </c>
      <c r="R60" s="45">
        <f>IF(A60="","",IF(AND(I60="Yes",O60&lt;&gt;""),O60,0))</f>
        <v>0</v>
      </c>
      <c r="S60" s="45">
        <f>IF(A60="","",IF(AND(J60="Yes",O60&lt;&gt;""),O60,0))</f>
        <v>0</v>
      </c>
      <c r="T60" s="45">
        <f>IF(A60="","",IF(AND(K60="Yes",O60&lt;&gt;""),O60,0))</f>
        <v>0</v>
      </c>
      <c r="U60" s="36">
        <f>IF(A60="","",IF(AND(H60="Yes",P60&lt;&gt;""),P60,0))</f>
        <v>0</v>
      </c>
      <c r="V60" s="36">
        <f>IF(A60="","",IF(AND(I60="Yes",P60&lt;&gt;""),P60,0))</f>
        <v>0</v>
      </c>
      <c r="W60" s="36">
        <f>IF(A60="","",IF(AND(J60="Yes",P60&lt;&gt;""),P60,0))</f>
        <v>0</v>
      </c>
      <c r="X60" s="36">
        <f>IF(A60="","",IF(AND(K60="Yes",P60&lt;&gt;""),P60,0))</f>
        <v>0</v>
      </c>
      <c r="Y60" s="32">
        <f>IF(A60="","",COUNTIF(H60:K60,"Yes"))</f>
        <v>0</v>
      </c>
      <c r="Z60" s="43">
        <f>IF(A60="","",IF(OR(E60="",D60=""),"Add - price and pack size please",IF(Y60=0,"Check - in no profile",IF(F60="","Add - how many per order?",IF(G60="","Check - no weight, postage may be wrong","OK")))))</f>
        <v>0</v>
      </c>
    </row>
    <row r="61" spans="14:26">
      <c r="N61" s="45">
        <f>IF(A61="","",IF(OR(E61="",D61="",D61=0),"",ROUND(E61/D61,4)))</f>
        <v>0</v>
      </c>
      <c r="O61" s="45">
        <f>IF(A61="","",IF(OR(N61="",F61=""),"",ROUND(N61*F61,4)))</f>
        <v>0</v>
      </c>
      <c r="P61" s="36">
        <f>IF(A61="","",IF(OR(G61="",F61=""),"",ROUND(G61*F61,1)))</f>
        <v>0</v>
      </c>
      <c r="Q61" s="45">
        <f>IF(A61="","",IF(AND(H61="Yes",O61&lt;&gt;""),O61,0))</f>
        <v>0</v>
      </c>
      <c r="R61" s="45">
        <f>IF(A61="","",IF(AND(I61="Yes",O61&lt;&gt;""),O61,0))</f>
        <v>0</v>
      </c>
      <c r="S61" s="45">
        <f>IF(A61="","",IF(AND(J61="Yes",O61&lt;&gt;""),O61,0))</f>
        <v>0</v>
      </c>
      <c r="T61" s="45">
        <f>IF(A61="","",IF(AND(K61="Yes",O61&lt;&gt;""),O61,0))</f>
        <v>0</v>
      </c>
      <c r="U61" s="36">
        <f>IF(A61="","",IF(AND(H61="Yes",P61&lt;&gt;""),P61,0))</f>
        <v>0</v>
      </c>
      <c r="V61" s="36">
        <f>IF(A61="","",IF(AND(I61="Yes",P61&lt;&gt;""),P61,0))</f>
        <v>0</v>
      </c>
      <c r="W61" s="36">
        <f>IF(A61="","",IF(AND(J61="Yes",P61&lt;&gt;""),P61,0))</f>
        <v>0</v>
      </c>
      <c r="X61" s="36">
        <f>IF(A61="","",IF(AND(K61="Yes",P61&lt;&gt;""),P61,0))</f>
        <v>0</v>
      </c>
      <c r="Y61" s="32">
        <f>IF(A61="","",COUNTIF(H61:K61,"Yes"))</f>
        <v>0</v>
      </c>
      <c r="Z61" s="43">
        <f>IF(A61="","",IF(OR(E61="",D61=""),"Add - price and pack size please",IF(Y61=0,"Check - in no profile",IF(F61="","Add - how many per order?",IF(G61="","Check - no weight, postage may be wrong","OK")))))</f>
        <v>0</v>
      </c>
    </row>
    <row r="62" spans="14:26">
      <c r="N62" s="45">
        <f>IF(A62="","",IF(OR(E62="",D62="",D62=0),"",ROUND(E62/D62,4)))</f>
        <v>0</v>
      </c>
      <c r="O62" s="45">
        <f>IF(A62="","",IF(OR(N62="",F62=""),"",ROUND(N62*F62,4)))</f>
        <v>0</v>
      </c>
      <c r="P62" s="36">
        <f>IF(A62="","",IF(OR(G62="",F62=""),"",ROUND(G62*F62,1)))</f>
        <v>0</v>
      </c>
      <c r="Q62" s="45">
        <f>IF(A62="","",IF(AND(H62="Yes",O62&lt;&gt;""),O62,0))</f>
        <v>0</v>
      </c>
      <c r="R62" s="45">
        <f>IF(A62="","",IF(AND(I62="Yes",O62&lt;&gt;""),O62,0))</f>
        <v>0</v>
      </c>
      <c r="S62" s="45">
        <f>IF(A62="","",IF(AND(J62="Yes",O62&lt;&gt;""),O62,0))</f>
        <v>0</v>
      </c>
      <c r="T62" s="45">
        <f>IF(A62="","",IF(AND(K62="Yes",O62&lt;&gt;""),O62,0))</f>
        <v>0</v>
      </c>
      <c r="U62" s="36">
        <f>IF(A62="","",IF(AND(H62="Yes",P62&lt;&gt;""),P62,0))</f>
        <v>0</v>
      </c>
      <c r="V62" s="36">
        <f>IF(A62="","",IF(AND(I62="Yes",P62&lt;&gt;""),P62,0))</f>
        <v>0</v>
      </c>
      <c r="W62" s="36">
        <f>IF(A62="","",IF(AND(J62="Yes",P62&lt;&gt;""),P62,0))</f>
        <v>0</v>
      </c>
      <c r="X62" s="36">
        <f>IF(A62="","",IF(AND(K62="Yes",P62&lt;&gt;""),P62,0))</f>
        <v>0</v>
      </c>
      <c r="Y62" s="32">
        <f>IF(A62="","",COUNTIF(H62:K62,"Yes"))</f>
        <v>0</v>
      </c>
      <c r="Z62" s="43">
        <f>IF(A62="","",IF(OR(E62="",D62=""),"Add - price and pack size please",IF(Y62=0,"Check - in no profile",IF(F62="","Add - how many per order?",IF(G62="","Check - no weight, postage may be wrong","OK")))))</f>
        <v>0</v>
      </c>
    </row>
    <row r="63" spans="14:26">
      <c r="N63" s="45">
        <f>IF(A63="","",IF(OR(E63="",D63="",D63=0),"",ROUND(E63/D63,4)))</f>
        <v>0</v>
      </c>
      <c r="O63" s="45">
        <f>IF(A63="","",IF(OR(N63="",F63=""),"",ROUND(N63*F63,4)))</f>
        <v>0</v>
      </c>
      <c r="P63" s="36">
        <f>IF(A63="","",IF(OR(G63="",F63=""),"",ROUND(G63*F63,1)))</f>
        <v>0</v>
      </c>
      <c r="Q63" s="45">
        <f>IF(A63="","",IF(AND(H63="Yes",O63&lt;&gt;""),O63,0))</f>
        <v>0</v>
      </c>
      <c r="R63" s="45">
        <f>IF(A63="","",IF(AND(I63="Yes",O63&lt;&gt;""),O63,0))</f>
        <v>0</v>
      </c>
      <c r="S63" s="45">
        <f>IF(A63="","",IF(AND(J63="Yes",O63&lt;&gt;""),O63,0))</f>
        <v>0</v>
      </c>
      <c r="T63" s="45">
        <f>IF(A63="","",IF(AND(K63="Yes",O63&lt;&gt;""),O63,0))</f>
        <v>0</v>
      </c>
      <c r="U63" s="36">
        <f>IF(A63="","",IF(AND(H63="Yes",P63&lt;&gt;""),P63,0))</f>
        <v>0</v>
      </c>
      <c r="V63" s="36">
        <f>IF(A63="","",IF(AND(I63="Yes",P63&lt;&gt;""),P63,0))</f>
        <v>0</v>
      </c>
      <c r="W63" s="36">
        <f>IF(A63="","",IF(AND(J63="Yes",P63&lt;&gt;""),P63,0))</f>
        <v>0</v>
      </c>
      <c r="X63" s="36">
        <f>IF(A63="","",IF(AND(K63="Yes",P63&lt;&gt;""),P63,0))</f>
        <v>0</v>
      </c>
      <c r="Y63" s="32">
        <f>IF(A63="","",COUNTIF(H63:K63,"Yes"))</f>
        <v>0</v>
      </c>
      <c r="Z63" s="43">
        <f>IF(A63="","",IF(OR(E63="",D63=""),"Add - price and pack size please",IF(Y63=0,"Check - in no profile",IF(F63="","Add - how many per order?",IF(G63="","Check - no weight, postage may be wrong","OK")))))</f>
        <v>0</v>
      </c>
    </row>
    <row r="64" spans="14:26">
      <c r="N64" s="45">
        <f>IF(A64="","",IF(OR(E64="",D64="",D64=0),"",ROUND(E64/D64,4)))</f>
        <v>0</v>
      </c>
      <c r="O64" s="45">
        <f>IF(A64="","",IF(OR(N64="",F64=""),"",ROUND(N64*F64,4)))</f>
        <v>0</v>
      </c>
      <c r="P64" s="36">
        <f>IF(A64="","",IF(OR(G64="",F64=""),"",ROUND(G64*F64,1)))</f>
        <v>0</v>
      </c>
      <c r="Q64" s="45">
        <f>IF(A64="","",IF(AND(H64="Yes",O64&lt;&gt;""),O64,0))</f>
        <v>0</v>
      </c>
      <c r="R64" s="45">
        <f>IF(A64="","",IF(AND(I64="Yes",O64&lt;&gt;""),O64,0))</f>
        <v>0</v>
      </c>
      <c r="S64" s="45">
        <f>IF(A64="","",IF(AND(J64="Yes",O64&lt;&gt;""),O64,0))</f>
        <v>0</v>
      </c>
      <c r="T64" s="45">
        <f>IF(A64="","",IF(AND(K64="Yes",O64&lt;&gt;""),O64,0))</f>
        <v>0</v>
      </c>
      <c r="U64" s="36">
        <f>IF(A64="","",IF(AND(H64="Yes",P64&lt;&gt;""),P64,0))</f>
        <v>0</v>
      </c>
      <c r="V64" s="36">
        <f>IF(A64="","",IF(AND(I64="Yes",P64&lt;&gt;""),P64,0))</f>
        <v>0</v>
      </c>
      <c r="W64" s="36">
        <f>IF(A64="","",IF(AND(J64="Yes",P64&lt;&gt;""),P64,0))</f>
        <v>0</v>
      </c>
      <c r="X64" s="36">
        <f>IF(A64="","",IF(AND(K64="Yes",P64&lt;&gt;""),P64,0))</f>
        <v>0</v>
      </c>
      <c r="Y64" s="32">
        <f>IF(A64="","",COUNTIF(H64:K64,"Yes"))</f>
        <v>0</v>
      </c>
      <c r="Z64" s="43">
        <f>IF(A64="","",IF(OR(E64="",D64=""),"Add - price and pack size please",IF(Y64=0,"Check - in no profile",IF(F64="","Add - how many per order?",IF(G64="","Check - no weight, postage may be wrong","OK")))))</f>
        <v>0</v>
      </c>
    </row>
    <row r="65" spans="14:26">
      <c r="N65" s="45">
        <f>IF(A65="","",IF(OR(E65="",D65="",D65=0),"",ROUND(E65/D65,4)))</f>
        <v>0</v>
      </c>
      <c r="O65" s="45">
        <f>IF(A65="","",IF(OR(N65="",F65=""),"",ROUND(N65*F65,4)))</f>
        <v>0</v>
      </c>
      <c r="P65" s="36">
        <f>IF(A65="","",IF(OR(G65="",F65=""),"",ROUND(G65*F65,1)))</f>
        <v>0</v>
      </c>
      <c r="Q65" s="45">
        <f>IF(A65="","",IF(AND(H65="Yes",O65&lt;&gt;""),O65,0))</f>
        <v>0</v>
      </c>
      <c r="R65" s="45">
        <f>IF(A65="","",IF(AND(I65="Yes",O65&lt;&gt;""),O65,0))</f>
        <v>0</v>
      </c>
      <c r="S65" s="45">
        <f>IF(A65="","",IF(AND(J65="Yes",O65&lt;&gt;""),O65,0))</f>
        <v>0</v>
      </c>
      <c r="T65" s="45">
        <f>IF(A65="","",IF(AND(K65="Yes",O65&lt;&gt;""),O65,0))</f>
        <v>0</v>
      </c>
      <c r="U65" s="36">
        <f>IF(A65="","",IF(AND(H65="Yes",P65&lt;&gt;""),P65,0))</f>
        <v>0</v>
      </c>
      <c r="V65" s="36">
        <f>IF(A65="","",IF(AND(I65="Yes",P65&lt;&gt;""),P65,0))</f>
        <v>0</v>
      </c>
      <c r="W65" s="36">
        <f>IF(A65="","",IF(AND(J65="Yes",P65&lt;&gt;""),P65,0))</f>
        <v>0</v>
      </c>
      <c r="X65" s="36">
        <f>IF(A65="","",IF(AND(K65="Yes",P65&lt;&gt;""),P65,0))</f>
        <v>0</v>
      </c>
      <c r="Y65" s="32">
        <f>IF(A65="","",COUNTIF(H65:K65,"Yes"))</f>
        <v>0</v>
      </c>
      <c r="Z65" s="43">
        <f>IF(A65="","",IF(OR(E65="",D65=""),"Add - price and pack size please",IF(Y65=0,"Check - in no profile",IF(F65="","Add - how many per order?",IF(G65="","Check - no weight, postage may be wrong","OK")))))</f>
        <v>0</v>
      </c>
    </row>
    <row r="66" spans="14:26">
      <c r="N66" s="45">
        <f>IF(A66="","",IF(OR(E66="",D66="",D66=0),"",ROUND(E66/D66,4)))</f>
        <v>0</v>
      </c>
      <c r="O66" s="45">
        <f>IF(A66="","",IF(OR(N66="",F66=""),"",ROUND(N66*F66,4)))</f>
        <v>0</v>
      </c>
      <c r="P66" s="36">
        <f>IF(A66="","",IF(OR(G66="",F66=""),"",ROUND(G66*F66,1)))</f>
        <v>0</v>
      </c>
      <c r="Q66" s="45">
        <f>IF(A66="","",IF(AND(H66="Yes",O66&lt;&gt;""),O66,0))</f>
        <v>0</v>
      </c>
      <c r="R66" s="45">
        <f>IF(A66="","",IF(AND(I66="Yes",O66&lt;&gt;""),O66,0))</f>
        <v>0</v>
      </c>
      <c r="S66" s="45">
        <f>IF(A66="","",IF(AND(J66="Yes",O66&lt;&gt;""),O66,0))</f>
        <v>0</v>
      </c>
      <c r="T66" s="45">
        <f>IF(A66="","",IF(AND(K66="Yes",O66&lt;&gt;""),O66,0))</f>
        <v>0</v>
      </c>
      <c r="U66" s="36">
        <f>IF(A66="","",IF(AND(H66="Yes",P66&lt;&gt;""),P66,0))</f>
        <v>0</v>
      </c>
      <c r="V66" s="36">
        <f>IF(A66="","",IF(AND(I66="Yes",P66&lt;&gt;""),P66,0))</f>
        <v>0</v>
      </c>
      <c r="W66" s="36">
        <f>IF(A66="","",IF(AND(J66="Yes",P66&lt;&gt;""),P66,0))</f>
        <v>0</v>
      </c>
      <c r="X66" s="36">
        <f>IF(A66="","",IF(AND(K66="Yes",P66&lt;&gt;""),P66,0))</f>
        <v>0</v>
      </c>
      <c r="Y66" s="32">
        <f>IF(A66="","",COUNTIF(H66:K66,"Yes"))</f>
        <v>0</v>
      </c>
      <c r="Z66" s="43">
        <f>IF(A66="","",IF(OR(E66="",D66=""),"Add - price and pack size please",IF(Y66=0,"Check - in no profile",IF(F66="","Add - how many per order?",IF(G66="","Check - no weight, postage may be wrong","OK")))))</f>
        <v>0</v>
      </c>
    </row>
    <row r="67" spans="14:26">
      <c r="N67" s="45">
        <f>IF(A67="","",IF(OR(E67="",D67="",D67=0),"",ROUND(E67/D67,4)))</f>
        <v>0</v>
      </c>
      <c r="O67" s="45">
        <f>IF(A67="","",IF(OR(N67="",F67=""),"",ROUND(N67*F67,4)))</f>
        <v>0</v>
      </c>
      <c r="P67" s="36">
        <f>IF(A67="","",IF(OR(G67="",F67=""),"",ROUND(G67*F67,1)))</f>
        <v>0</v>
      </c>
      <c r="Q67" s="45">
        <f>IF(A67="","",IF(AND(H67="Yes",O67&lt;&gt;""),O67,0))</f>
        <v>0</v>
      </c>
      <c r="R67" s="45">
        <f>IF(A67="","",IF(AND(I67="Yes",O67&lt;&gt;""),O67,0))</f>
        <v>0</v>
      </c>
      <c r="S67" s="45">
        <f>IF(A67="","",IF(AND(J67="Yes",O67&lt;&gt;""),O67,0))</f>
        <v>0</v>
      </c>
      <c r="T67" s="45">
        <f>IF(A67="","",IF(AND(K67="Yes",O67&lt;&gt;""),O67,0))</f>
        <v>0</v>
      </c>
      <c r="U67" s="36">
        <f>IF(A67="","",IF(AND(H67="Yes",P67&lt;&gt;""),P67,0))</f>
        <v>0</v>
      </c>
      <c r="V67" s="36">
        <f>IF(A67="","",IF(AND(I67="Yes",P67&lt;&gt;""),P67,0))</f>
        <v>0</v>
      </c>
      <c r="W67" s="36">
        <f>IF(A67="","",IF(AND(J67="Yes",P67&lt;&gt;""),P67,0))</f>
        <v>0</v>
      </c>
      <c r="X67" s="36">
        <f>IF(A67="","",IF(AND(K67="Yes",P67&lt;&gt;""),P67,0))</f>
        <v>0</v>
      </c>
      <c r="Y67" s="32">
        <f>IF(A67="","",COUNTIF(H67:K67,"Yes"))</f>
        <v>0</v>
      </c>
      <c r="Z67" s="43">
        <f>IF(A67="","",IF(OR(E67="",D67=""),"Add - price and pack size please",IF(Y67=0,"Check - in no profile",IF(F67="","Add - how many per order?",IF(G67="","Check - no weight, postage may be wrong","OK")))))</f>
        <v>0</v>
      </c>
    </row>
    <row r="68" spans="14:26">
      <c r="N68" s="45">
        <f>IF(A68="","",IF(OR(E68="",D68="",D68=0),"",ROUND(E68/D68,4)))</f>
        <v>0</v>
      </c>
      <c r="O68" s="45">
        <f>IF(A68="","",IF(OR(N68="",F68=""),"",ROUND(N68*F68,4)))</f>
        <v>0</v>
      </c>
      <c r="P68" s="36">
        <f>IF(A68="","",IF(OR(G68="",F68=""),"",ROUND(G68*F68,1)))</f>
        <v>0</v>
      </c>
      <c r="Q68" s="45">
        <f>IF(A68="","",IF(AND(H68="Yes",O68&lt;&gt;""),O68,0))</f>
        <v>0</v>
      </c>
      <c r="R68" s="45">
        <f>IF(A68="","",IF(AND(I68="Yes",O68&lt;&gt;""),O68,0))</f>
        <v>0</v>
      </c>
      <c r="S68" s="45">
        <f>IF(A68="","",IF(AND(J68="Yes",O68&lt;&gt;""),O68,0))</f>
        <v>0</v>
      </c>
      <c r="T68" s="45">
        <f>IF(A68="","",IF(AND(K68="Yes",O68&lt;&gt;""),O68,0))</f>
        <v>0</v>
      </c>
      <c r="U68" s="36">
        <f>IF(A68="","",IF(AND(H68="Yes",P68&lt;&gt;""),P68,0))</f>
        <v>0</v>
      </c>
      <c r="V68" s="36">
        <f>IF(A68="","",IF(AND(I68="Yes",P68&lt;&gt;""),P68,0))</f>
        <v>0</v>
      </c>
      <c r="W68" s="36">
        <f>IF(A68="","",IF(AND(J68="Yes",P68&lt;&gt;""),P68,0))</f>
        <v>0</v>
      </c>
      <c r="X68" s="36">
        <f>IF(A68="","",IF(AND(K68="Yes",P68&lt;&gt;""),P68,0))</f>
        <v>0</v>
      </c>
      <c r="Y68" s="32">
        <f>IF(A68="","",COUNTIF(H68:K68,"Yes"))</f>
        <v>0</v>
      </c>
      <c r="Z68" s="43">
        <f>IF(A68="","",IF(OR(E68="",D68=""),"Add - price and pack size please",IF(Y68=0,"Check - in no profile",IF(F68="","Add - how many per order?",IF(G68="","Check - no weight, postage may be wrong","OK")))))</f>
        <v>0</v>
      </c>
    </row>
    <row r="69" spans="14:26">
      <c r="N69" s="45">
        <f>IF(A69="","",IF(OR(E69="",D69="",D69=0),"",ROUND(E69/D69,4)))</f>
        <v>0</v>
      </c>
      <c r="O69" s="45">
        <f>IF(A69="","",IF(OR(N69="",F69=""),"",ROUND(N69*F69,4)))</f>
        <v>0</v>
      </c>
      <c r="P69" s="36">
        <f>IF(A69="","",IF(OR(G69="",F69=""),"",ROUND(G69*F69,1)))</f>
        <v>0</v>
      </c>
      <c r="Q69" s="45">
        <f>IF(A69="","",IF(AND(H69="Yes",O69&lt;&gt;""),O69,0))</f>
        <v>0</v>
      </c>
      <c r="R69" s="45">
        <f>IF(A69="","",IF(AND(I69="Yes",O69&lt;&gt;""),O69,0))</f>
        <v>0</v>
      </c>
      <c r="S69" s="45">
        <f>IF(A69="","",IF(AND(J69="Yes",O69&lt;&gt;""),O69,0))</f>
        <v>0</v>
      </c>
      <c r="T69" s="45">
        <f>IF(A69="","",IF(AND(K69="Yes",O69&lt;&gt;""),O69,0))</f>
        <v>0</v>
      </c>
      <c r="U69" s="36">
        <f>IF(A69="","",IF(AND(H69="Yes",P69&lt;&gt;""),P69,0))</f>
        <v>0</v>
      </c>
      <c r="V69" s="36">
        <f>IF(A69="","",IF(AND(I69="Yes",P69&lt;&gt;""),P69,0))</f>
        <v>0</v>
      </c>
      <c r="W69" s="36">
        <f>IF(A69="","",IF(AND(J69="Yes",P69&lt;&gt;""),P69,0))</f>
        <v>0</v>
      </c>
      <c r="X69" s="36">
        <f>IF(A69="","",IF(AND(K69="Yes",P69&lt;&gt;""),P69,0))</f>
        <v>0</v>
      </c>
      <c r="Y69" s="32">
        <f>IF(A69="","",COUNTIF(H69:K69,"Yes"))</f>
        <v>0</v>
      </c>
      <c r="Z69" s="43">
        <f>IF(A69="","",IF(OR(E69="",D69=""),"Add - price and pack size please",IF(Y69=0,"Check - in no profile",IF(F69="","Add - how many per order?",IF(G69="","Check - no weight, postage may be wrong","OK")))))</f>
        <v>0</v>
      </c>
    </row>
    <row r="70" spans="14:26">
      <c r="N70" s="45">
        <f>IF(A70="","",IF(OR(E70="",D70="",D70=0),"",ROUND(E70/D70,4)))</f>
        <v>0</v>
      </c>
      <c r="O70" s="45">
        <f>IF(A70="","",IF(OR(N70="",F70=""),"",ROUND(N70*F70,4)))</f>
        <v>0</v>
      </c>
      <c r="P70" s="36">
        <f>IF(A70="","",IF(OR(G70="",F70=""),"",ROUND(G70*F70,1)))</f>
        <v>0</v>
      </c>
      <c r="Q70" s="45">
        <f>IF(A70="","",IF(AND(H70="Yes",O70&lt;&gt;""),O70,0))</f>
        <v>0</v>
      </c>
      <c r="R70" s="45">
        <f>IF(A70="","",IF(AND(I70="Yes",O70&lt;&gt;""),O70,0))</f>
        <v>0</v>
      </c>
      <c r="S70" s="45">
        <f>IF(A70="","",IF(AND(J70="Yes",O70&lt;&gt;""),O70,0))</f>
        <v>0</v>
      </c>
      <c r="T70" s="45">
        <f>IF(A70="","",IF(AND(K70="Yes",O70&lt;&gt;""),O70,0))</f>
        <v>0</v>
      </c>
      <c r="U70" s="36">
        <f>IF(A70="","",IF(AND(H70="Yes",P70&lt;&gt;""),P70,0))</f>
        <v>0</v>
      </c>
      <c r="V70" s="36">
        <f>IF(A70="","",IF(AND(I70="Yes",P70&lt;&gt;""),P70,0))</f>
        <v>0</v>
      </c>
      <c r="W70" s="36">
        <f>IF(A70="","",IF(AND(J70="Yes",P70&lt;&gt;""),P70,0))</f>
        <v>0</v>
      </c>
      <c r="X70" s="36">
        <f>IF(A70="","",IF(AND(K70="Yes",P70&lt;&gt;""),P70,0))</f>
        <v>0</v>
      </c>
      <c r="Y70" s="32">
        <f>IF(A70="","",COUNTIF(H70:K70,"Yes"))</f>
        <v>0</v>
      </c>
      <c r="Z70" s="43">
        <f>IF(A70="","",IF(OR(E70="",D70=""),"Add - price and pack size please",IF(Y70=0,"Check - in no profile",IF(F70="","Add - how many per order?",IF(G70="","Check - no weight, postage may be wrong","OK")))))</f>
        <v>0</v>
      </c>
    </row>
    <row r="71" spans="14:26">
      <c r="N71" s="45">
        <f>IF(A71="","",IF(OR(E71="",D71="",D71=0),"",ROUND(E71/D71,4)))</f>
        <v>0</v>
      </c>
      <c r="O71" s="45">
        <f>IF(A71="","",IF(OR(N71="",F71=""),"",ROUND(N71*F71,4)))</f>
        <v>0</v>
      </c>
      <c r="P71" s="36">
        <f>IF(A71="","",IF(OR(G71="",F71=""),"",ROUND(G71*F71,1)))</f>
        <v>0</v>
      </c>
      <c r="Q71" s="45">
        <f>IF(A71="","",IF(AND(H71="Yes",O71&lt;&gt;""),O71,0))</f>
        <v>0</v>
      </c>
      <c r="R71" s="45">
        <f>IF(A71="","",IF(AND(I71="Yes",O71&lt;&gt;""),O71,0))</f>
        <v>0</v>
      </c>
      <c r="S71" s="45">
        <f>IF(A71="","",IF(AND(J71="Yes",O71&lt;&gt;""),O71,0))</f>
        <v>0</v>
      </c>
      <c r="T71" s="45">
        <f>IF(A71="","",IF(AND(K71="Yes",O71&lt;&gt;""),O71,0))</f>
        <v>0</v>
      </c>
      <c r="U71" s="36">
        <f>IF(A71="","",IF(AND(H71="Yes",P71&lt;&gt;""),P71,0))</f>
        <v>0</v>
      </c>
      <c r="V71" s="36">
        <f>IF(A71="","",IF(AND(I71="Yes",P71&lt;&gt;""),P71,0))</f>
        <v>0</v>
      </c>
      <c r="W71" s="36">
        <f>IF(A71="","",IF(AND(J71="Yes",P71&lt;&gt;""),P71,0))</f>
        <v>0</v>
      </c>
      <c r="X71" s="36">
        <f>IF(A71="","",IF(AND(K71="Yes",P71&lt;&gt;""),P71,0))</f>
        <v>0</v>
      </c>
      <c r="Y71" s="32">
        <f>IF(A71="","",COUNTIF(H71:K71,"Yes"))</f>
        <v>0</v>
      </c>
      <c r="Z71" s="43">
        <f>IF(A71="","",IF(OR(E71="",D71=""),"Add - price and pack size please",IF(Y71=0,"Check - in no profile",IF(F71="","Add - how many per order?",IF(G71="","Check - no weight, postage may be wrong","OK")))))</f>
        <v>0</v>
      </c>
    </row>
    <row r="72" spans="14:26">
      <c r="N72" s="45">
        <f>IF(A72="","",IF(OR(E72="",D72="",D72=0),"",ROUND(E72/D72,4)))</f>
        <v>0</v>
      </c>
      <c r="O72" s="45">
        <f>IF(A72="","",IF(OR(N72="",F72=""),"",ROUND(N72*F72,4)))</f>
        <v>0</v>
      </c>
      <c r="P72" s="36">
        <f>IF(A72="","",IF(OR(G72="",F72=""),"",ROUND(G72*F72,1)))</f>
        <v>0</v>
      </c>
      <c r="Q72" s="45">
        <f>IF(A72="","",IF(AND(H72="Yes",O72&lt;&gt;""),O72,0))</f>
        <v>0</v>
      </c>
      <c r="R72" s="45">
        <f>IF(A72="","",IF(AND(I72="Yes",O72&lt;&gt;""),O72,0))</f>
        <v>0</v>
      </c>
      <c r="S72" s="45">
        <f>IF(A72="","",IF(AND(J72="Yes",O72&lt;&gt;""),O72,0))</f>
        <v>0</v>
      </c>
      <c r="T72" s="45">
        <f>IF(A72="","",IF(AND(K72="Yes",O72&lt;&gt;""),O72,0))</f>
        <v>0</v>
      </c>
      <c r="U72" s="36">
        <f>IF(A72="","",IF(AND(H72="Yes",P72&lt;&gt;""),P72,0))</f>
        <v>0</v>
      </c>
      <c r="V72" s="36">
        <f>IF(A72="","",IF(AND(I72="Yes",P72&lt;&gt;""),P72,0))</f>
        <v>0</v>
      </c>
      <c r="W72" s="36">
        <f>IF(A72="","",IF(AND(J72="Yes",P72&lt;&gt;""),P72,0))</f>
        <v>0</v>
      </c>
      <c r="X72" s="36">
        <f>IF(A72="","",IF(AND(K72="Yes",P72&lt;&gt;""),P72,0))</f>
        <v>0</v>
      </c>
      <c r="Y72" s="32">
        <f>IF(A72="","",COUNTIF(H72:K72,"Yes"))</f>
        <v>0</v>
      </c>
      <c r="Z72" s="43">
        <f>IF(A72="","",IF(OR(E72="",D72=""),"Add - price and pack size please",IF(Y72=0,"Check - in no profile",IF(F72="","Add - how many per order?",IF(G72="","Check - no weight, postage may be wrong","OK")))))</f>
        <v>0</v>
      </c>
    </row>
    <row r="73" spans="14:26">
      <c r="N73" s="45">
        <f>IF(A73="","",IF(OR(E73="",D73="",D73=0),"",ROUND(E73/D73,4)))</f>
        <v>0</v>
      </c>
      <c r="O73" s="45">
        <f>IF(A73="","",IF(OR(N73="",F73=""),"",ROUND(N73*F73,4)))</f>
        <v>0</v>
      </c>
      <c r="P73" s="36">
        <f>IF(A73="","",IF(OR(G73="",F73=""),"",ROUND(G73*F73,1)))</f>
        <v>0</v>
      </c>
      <c r="Q73" s="45">
        <f>IF(A73="","",IF(AND(H73="Yes",O73&lt;&gt;""),O73,0))</f>
        <v>0</v>
      </c>
      <c r="R73" s="45">
        <f>IF(A73="","",IF(AND(I73="Yes",O73&lt;&gt;""),O73,0))</f>
        <v>0</v>
      </c>
      <c r="S73" s="45">
        <f>IF(A73="","",IF(AND(J73="Yes",O73&lt;&gt;""),O73,0))</f>
        <v>0</v>
      </c>
      <c r="T73" s="45">
        <f>IF(A73="","",IF(AND(K73="Yes",O73&lt;&gt;""),O73,0))</f>
        <v>0</v>
      </c>
      <c r="U73" s="36">
        <f>IF(A73="","",IF(AND(H73="Yes",P73&lt;&gt;""),P73,0))</f>
        <v>0</v>
      </c>
      <c r="V73" s="36">
        <f>IF(A73="","",IF(AND(I73="Yes",P73&lt;&gt;""),P73,0))</f>
        <v>0</v>
      </c>
      <c r="W73" s="36">
        <f>IF(A73="","",IF(AND(J73="Yes",P73&lt;&gt;""),P73,0))</f>
        <v>0</v>
      </c>
      <c r="X73" s="36">
        <f>IF(A73="","",IF(AND(K73="Yes",P73&lt;&gt;""),P73,0))</f>
        <v>0</v>
      </c>
      <c r="Y73" s="32">
        <f>IF(A73="","",COUNTIF(H73:K73,"Yes"))</f>
        <v>0</v>
      </c>
      <c r="Z73" s="43">
        <f>IF(A73="","",IF(OR(E73="",D73=""),"Add - price and pack size please",IF(Y73=0,"Check - in no profile",IF(F73="","Add - how many per order?",IF(G73="","Check - no weight, postage may be wrong","OK")))))</f>
        <v>0</v>
      </c>
    </row>
    <row r="74" spans="14:26">
      <c r="N74" s="45">
        <f>IF(A74="","",IF(OR(E74="",D74="",D74=0),"",ROUND(E74/D74,4)))</f>
        <v>0</v>
      </c>
      <c r="O74" s="45">
        <f>IF(A74="","",IF(OR(N74="",F74=""),"",ROUND(N74*F74,4)))</f>
        <v>0</v>
      </c>
      <c r="P74" s="36">
        <f>IF(A74="","",IF(OR(G74="",F74=""),"",ROUND(G74*F74,1)))</f>
        <v>0</v>
      </c>
      <c r="Q74" s="45">
        <f>IF(A74="","",IF(AND(H74="Yes",O74&lt;&gt;""),O74,0))</f>
        <v>0</v>
      </c>
      <c r="R74" s="45">
        <f>IF(A74="","",IF(AND(I74="Yes",O74&lt;&gt;""),O74,0))</f>
        <v>0</v>
      </c>
      <c r="S74" s="45">
        <f>IF(A74="","",IF(AND(J74="Yes",O74&lt;&gt;""),O74,0))</f>
        <v>0</v>
      </c>
      <c r="T74" s="45">
        <f>IF(A74="","",IF(AND(K74="Yes",O74&lt;&gt;""),O74,0))</f>
        <v>0</v>
      </c>
      <c r="U74" s="36">
        <f>IF(A74="","",IF(AND(H74="Yes",P74&lt;&gt;""),P74,0))</f>
        <v>0</v>
      </c>
      <c r="V74" s="36">
        <f>IF(A74="","",IF(AND(I74="Yes",P74&lt;&gt;""),P74,0))</f>
        <v>0</v>
      </c>
      <c r="W74" s="36">
        <f>IF(A74="","",IF(AND(J74="Yes",P74&lt;&gt;""),P74,0))</f>
        <v>0</v>
      </c>
      <c r="X74" s="36">
        <f>IF(A74="","",IF(AND(K74="Yes",P74&lt;&gt;""),P74,0))</f>
        <v>0</v>
      </c>
      <c r="Y74" s="32">
        <f>IF(A74="","",COUNTIF(H74:K74,"Yes"))</f>
        <v>0</v>
      </c>
      <c r="Z74" s="43">
        <f>IF(A74="","",IF(OR(E74="",D74=""),"Add - price and pack size please",IF(Y74=0,"Check - in no profile",IF(F74="","Add - how many per order?",IF(G74="","Check - no weight, postage may be wrong","OK")))))</f>
        <v>0</v>
      </c>
    </row>
    <row r="75" spans="14:26">
      <c r="N75" s="45">
        <f>IF(A75="","",IF(OR(E75="",D75="",D75=0),"",ROUND(E75/D75,4)))</f>
        <v>0</v>
      </c>
      <c r="O75" s="45">
        <f>IF(A75="","",IF(OR(N75="",F75=""),"",ROUND(N75*F75,4)))</f>
        <v>0</v>
      </c>
      <c r="P75" s="36">
        <f>IF(A75="","",IF(OR(G75="",F75=""),"",ROUND(G75*F75,1)))</f>
        <v>0</v>
      </c>
      <c r="Q75" s="45">
        <f>IF(A75="","",IF(AND(H75="Yes",O75&lt;&gt;""),O75,0))</f>
        <v>0</v>
      </c>
      <c r="R75" s="45">
        <f>IF(A75="","",IF(AND(I75="Yes",O75&lt;&gt;""),O75,0))</f>
        <v>0</v>
      </c>
      <c r="S75" s="45">
        <f>IF(A75="","",IF(AND(J75="Yes",O75&lt;&gt;""),O75,0))</f>
        <v>0</v>
      </c>
      <c r="T75" s="45">
        <f>IF(A75="","",IF(AND(K75="Yes",O75&lt;&gt;""),O75,0))</f>
        <v>0</v>
      </c>
      <c r="U75" s="36">
        <f>IF(A75="","",IF(AND(H75="Yes",P75&lt;&gt;""),P75,0))</f>
        <v>0</v>
      </c>
      <c r="V75" s="36">
        <f>IF(A75="","",IF(AND(I75="Yes",P75&lt;&gt;""),P75,0))</f>
        <v>0</v>
      </c>
      <c r="W75" s="36">
        <f>IF(A75="","",IF(AND(J75="Yes",P75&lt;&gt;""),P75,0))</f>
        <v>0</v>
      </c>
      <c r="X75" s="36">
        <f>IF(A75="","",IF(AND(K75="Yes",P75&lt;&gt;""),P75,0))</f>
        <v>0</v>
      </c>
      <c r="Y75" s="32">
        <f>IF(A75="","",COUNTIF(H75:K75,"Yes"))</f>
        <v>0</v>
      </c>
      <c r="Z75" s="43">
        <f>IF(A75="","",IF(OR(E75="",D75=""),"Add - price and pack size please",IF(Y75=0,"Check - in no profile",IF(F75="","Add - how many per order?",IF(G75="","Check - no weight, postage may be wrong","OK")))))</f>
        <v>0</v>
      </c>
    </row>
    <row r="76" spans="14:26">
      <c r="N76" s="45">
        <f>IF(A76="","",IF(OR(E76="",D76="",D76=0),"",ROUND(E76/D76,4)))</f>
        <v>0</v>
      </c>
      <c r="O76" s="45">
        <f>IF(A76="","",IF(OR(N76="",F76=""),"",ROUND(N76*F76,4)))</f>
        <v>0</v>
      </c>
      <c r="P76" s="36">
        <f>IF(A76="","",IF(OR(G76="",F76=""),"",ROUND(G76*F76,1)))</f>
        <v>0</v>
      </c>
      <c r="Q76" s="45">
        <f>IF(A76="","",IF(AND(H76="Yes",O76&lt;&gt;""),O76,0))</f>
        <v>0</v>
      </c>
      <c r="R76" s="45">
        <f>IF(A76="","",IF(AND(I76="Yes",O76&lt;&gt;""),O76,0))</f>
        <v>0</v>
      </c>
      <c r="S76" s="45">
        <f>IF(A76="","",IF(AND(J76="Yes",O76&lt;&gt;""),O76,0))</f>
        <v>0</v>
      </c>
      <c r="T76" s="45">
        <f>IF(A76="","",IF(AND(K76="Yes",O76&lt;&gt;""),O76,0))</f>
        <v>0</v>
      </c>
      <c r="U76" s="36">
        <f>IF(A76="","",IF(AND(H76="Yes",P76&lt;&gt;""),P76,0))</f>
        <v>0</v>
      </c>
      <c r="V76" s="36">
        <f>IF(A76="","",IF(AND(I76="Yes",P76&lt;&gt;""),P76,0))</f>
        <v>0</v>
      </c>
      <c r="W76" s="36">
        <f>IF(A76="","",IF(AND(J76="Yes",P76&lt;&gt;""),P76,0))</f>
        <v>0</v>
      </c>
      <c r="X76" s="36">
        <f>IF(A76="","",IF(AND(K76="Yes",P76&lt;&gt;""),P76,0))</f>
        <v>0</v>
      </c>
      <c r="Y76" s="32">
        <f>IF(A76="","",COUNTIF(H76:K76,"Yes"))</f>
        <v>0</v>
      </c>
      <c r="Z76" s="43">
        <f>IF(A76="","",IF(OR(E76="",D76=""),"Add - price and pack size please",IF(Y76=0,"Check - in no profile",IF(F76="","Add - how many per order?",IF(G76="","Check - no weight, postage may be wrong","OK")))))</f>
        <v>0</v>
      </c>
    </row>
    <row r="77" spans="14:26">
      <c r="N77" s="45">
        <f>IF(A77="","",IF(OR(E77="",D77="",D77=0),"",ROUND(E77/D77,4)))</f>
        <v>0</v>
      </c>
      <c r="O77" s="45">
        <f>IF(A77="","",IF(OR(N77="",F77=""),"",ROUND(N77*F77,4)))</f>
        <v>0</v>
      </c>
      <c r="P77" s="36">
        <f>IF(A77="","",IF(OR(G77="",F77=""),"",ROUND(G77*F77,1)))</f>
        <v>0</v>
      </c>
      <c r="Q77" s="45">
        <f>IF(A77="","",IF(AND(H77="Yes",O77&lt;&gt;""),O77,0))</f>
        <v>0</v>
      </c>
      <c r="R77" s="45">
        <f>IF(A77="","",IF(AND(I77="Yes",O77&lt;&gt;""),O77,0))</f>
        <v>0</v>
      </c>
      <c r="S77" s="45">
        <f>IF(A77="","",IF(AND(J77="Yes",O77&lt;&gt;""),O77,0))</f>
        <v>0</v>
      </c>
      <c r="T77" s="45">
        <f>IF(A77="","",IF(AND(K77="Yes",O77&lt;&gt;""),O77,0))</f>
        <v>0</v>
      </c>
      <c r="U77" s="36">
        <f>IF(A77="","",IF(AND(H77="Yes",P77&lt;&gt;""),P77,0))</f>
        <v>0</v>
      </c>
      <c r="V77" s="36">
        <f>IF(A77="","",IF(AND(I77="Yes",P77&lt;&gt;""),P77,0))</f>
        <v>0</v>
      </c>
      <c r="W77" s="36">
        <f>IF(A77="","",IF(AND(J77="Yes",P77&lt;&gt;""),P77,0))</f>
        <v>0</v>
      </c>
      <c r="X77" s="36">
        <f>IF(A77="","",IF(AND(K77="Yes",P77&lt;&gt;""),P77,0))</f>
        <v>0</v>
      </c>
      <c r="Y77" s="32">
        <f>IF(A77="","",COUNTIF(H77:K77,"Yes"))</f>
        <v>0</v>
      </c>
      <c r="Z77" s="43">
        <f>IF(A77="","",IF(OR(E77="",D77=""),"Add - price and pack size please",IF(Y77=0,"Check - in no profile",IF(F77="","Add - how many per order?",IF(G77="","Check - no weight, postage may be wrong","OK")))))</f>
        <v>0</v>
      </c>
    </row>
    <row r="78" spans="14:26">
      <c r="N78" s="45">
        <f>IF(A78="","",IF(OR(E78="",D78="",D78=0),"",ROUND(E78/D78,4)))</f>
        <v>0</v>
      </c>
      <c r="O78" s="45">
        <f>IF(A78="","",IF(OR(N78="",F78=""),"",ROUND(N78*F78,4)))</f>
        <v>0</v>
      </c>
      <c r="P78" s="36">
        <f>IF(A78="","",IF(OR(G78="",F78=""),"",ROUND(G78*F78,1)))</f>
        <v>0</v>
      </c>
      <c r="Q78" s="45">
        <f>IF(A78="","",IF(AND(H78="Yes",O78&lt;&gt;""),O78,0))</f>
        <v>0</v>
      </c>
      <c r="R78" s="45">
        <f>IF(A78="","",IF(AND(I78="Yes",O78&lt;&gt;""),O78,0))</f>
        <v>0</v>
      </c>
      <c r="S78" s="45">
        <f>IF(A78="","",IF(AND(J78="Yes",O78&lt;&gt;""),O78,0))</f>
        <v>0</v>
      </c>
      <c r="T78" s="45">
        <f>IF(A78="","",IF(AND(K78="Yes",O78&lt;&gt;""),O78,0))</f>
        <v>0</v>
      </c>
      <c r="U78" s="36">
        <f>IF(A78="","",IF(AND(H78="Yes",P78&lt;&gt;""),P78,0))</f>
        <v>0</v>
      </c>
      <c r="V78" s="36">
        <f>IF(A78="","",IF(AND(I78="Yes",P78&lt;&gt;""),P78,0))</f>
        <v>0</v>
      </c>
      <c r="W78" s="36">
        <f>IF(A78="","",IF(AND(J78="Yes",P78&lt;&gt;""),P78,0))</f>
        <v>0</v>
      </c>
      <c r="X78" s="36">
        <f>IF(A78="","",IF(AND(K78="Yes",P78&lt;&gt;""),P78,0))</f>
        <v>0</v>
      </c>
      <c r="Y78" s="32">
        <f>IF(A78="","",COUNTIF(H78:K78,"Yes"))</f>
        <v>0</v>
      </c>
      <c r="Z78" s="43">
        <f>IF(A78="","",IF(OR(E78="",D78=""),"Add - price and pack size please",IF(Y78=0,"Check - in no profile",IF(F78="","Add - how many per order?",IF(G78="","Check - no weight, postage may be wrong","OK")))))</f>
        <v>0</v>
      </c>
    </row>
    <row r="79" spans="14:26">
      <c r="N79" s="45">
        <f>IF(A79="","",IF(OR(E79="",D79="",D79=0),"",ROUND(E79/D79,4)))</f>
        <v>0</v>
      </c>
      <c r="O79" s="45">
        <f>IF(A79="","",IF(OR(N79="",F79=""),"",ROUND(N79*F79,4)))</f>
        <v>0</v>
      </c>
      <c r="P79" s="36">
        <f>IF(A79="","",IF(OR(G79="",F79=""),"",ROUND(G79*F79,1)))</f>
        <v>0</v>
      </c>
      <c r="Q79" s="45">
        <f>IF(A79="","",IF(AND(H79="Yes",O79&lt;&gt;""),O79,0))</f>
        <v>0</v>
      </c>
      <c r="R79" s="45">
        <f>IF(A79="","",IF(AND(I79="Yes",O79&lt;&gt;""),O79,0))</f>
        <v>0</v>
      </c>
      <c r="S79" s="45">
        <f>IF(A79="","",IF(AND(J79="Yes",O79&lt;&gt;""),O79,0))</f>
        <v>0</v>
      </c>
      <c r="T79" s="45">
        <f>IF(A79="","",IF(AND(K79="Yes",O79&lt;&gt;""),O79,0))</f>
        <v>0</v>
      </c>
      <c r="U79" s="36">
        <f>IF(A79="","",IF(AND(H79="Yes",P79&lt;&gt;""),P79,0))</f>
        <v>0</v>
      </c>
      <c r="V79" s="36">
        <f>IF(A79="","",IF(AND(I79="Yes",P79&lt;&gt;""),P79,0))</f>
        <v>0</v>
      </c>
      <c r="W79" s="36">
        <f>IF(A79="","",IF(AND(J79="Yes",P79&lt;&gt;""),P79,0))</f>
        <v>0</v>
      </c>
      <c r="X79" s="36">
        <f>IF(A79="","",IF(AND(K79="Yes",P79&lt;&gt;""),P79,0))</f>
        <v>0</v>
      </c>
      <c r="Y79" s="32">
        <f>IF(A79="","",COUNTIF(H79:K79,"Yes"))</f>
        <v>0</v>
      </c>
      <c r="Z79" s="43">
        <f>IF(A79="","",IF(OR(E79="",D79=""),"Add - price and pack size please",IF(Y79=0,"Check - in no profile",IF(F79="","Add - how many per order?",IF(G79="","Check - no weight, postage may be wrong","OK")))))</f>
        <v>0</v>
      </c>
    </row>
    <row r="80" spans="14:26">
      <c r="N80" s="45">
        <f>IF(A80="","",IF(OR(E80="",D80="",D80=0),"",ROUND(E80/D80,4)))</f>
        <v>0</v>
      </c>
      <c r="O80" s="45">
        <f>IF(A80="","",IF(OR(N80="",F80=""),"",ROUND(N80*F80,4)))</f>
        <v>0</v>
      </c>
      <c r="P80" s="36">
        <f>IF(A80="","",IF(OR(G80="",F80=""),"",ROUND(G80*F80,1)))</f>
        <v>0</v>
      </c>
      <c r="Q80" s="45">
        <f>IF(A80="","",IF(AND(H80="Yes",O80&lt;&gt;""),O80,0))</f>
        <v>0</v>
      </c>
      <c r="R80" s="45">
        <f>IF(A80="","",IF(AND(I80="Yes",O80&lt;&gt;""),O80,0))</f>
        <v>0</v>
      </c>
      <c r="S80" s="45">
        <f>IF(A80="","",IF(AND(J80="Yes",O80&lt;&gt;""),O80,0))</f>
        <v>0</v>
      </c>
      <c r="T80" s="45">
        <f>IF(A80="","",IF(AND(K80="Yes",O80&lt;&gt;""),O80,0))</f>
        <v>0</v>
      </c>
      <c r="U80" s="36">
        <f>IF(A80="","",IF(AND(H80="Yes",P80&lt;&gt;""),P80,0))</f>
        <v>0</v>
      </c>
      <c r="V80" s="36">
        <f>IF(A80="","",IF(AND(I80="Yes",P80&lt;&gt;""),P80,0))</f>
        <v>0</v>
      </c>
      <c r="W80" s="36">
        <f>IF(A80="","",IF(AND(J80="Yes",P80&lt;&gt;""),P80,0))</f>
        <v>0</v>
      </c>
      <c r="X80" s="36">
        <f>IF(A80="","",IF(AND(K80="Yes",P80&lt;&gt;""),P80,0))</f>
        <v>0</v>
      </c>
      <c r="Y80" s="32">
        <f>IF(A80="","",COUNTIF(H80:K80,"Yes"))</f>
        <v>0</v>
      </c>
      <c r="Z80" s="43">
        <f>IF(A80="","",IF(OR(E80="",D80=""),"Add - price and pack size please",IF(Y80=0,"Check - in no profile",IF(F80="","Add - how many per order?",IF(G80="","Check - no weight, postage may be wrong","OK")))))</f>
        <v>0</v>
      </c>
    </row>
    <row r="81" spans="1:26">
      <c r="N81" s="45">
        <f>IF(A81="","",IF(OR(E81="",D81="",D81=0),"",ROUND(E81/D81,4)))</f>
        <v>0</v>
      </c>
      <c r="O81" s="45">
        <f>IF(A81="","",IF(OR(N81="",F81=""),"",ROUND(N81*F81,4)))</f>
        <v>0</v>
      </c>
      <c r="P81" s="36">
        <f>IF(A81="","",IF(OR(G81="",F81=""),"",ROUND(G81*F81,1)))</f>
        <v>0</v>
      </c>
      <c r="Q81" s="45">
        <f>IF(A81="","",IF(AND(H81="Yes",O81&lt;&gt;""),O81,0))</f>
        <v>0</v>
      </c>
      <c r="R81" s="45">
        <f>IF(A81="","",IF(AND(I81="Yes",O81&lt;&gt;""),O81,0))</f>
        <v>0</v>
      </c>
      <c r="S81" s="45">
        <f>IF(A81="","",IF(AND(J81="Yes",O81&lt;&gt;""),O81,0))</f>
        <v>0</v>
      </c>
      <c r="T81" s="45">
        <f>IF(A81="","",IF(AND(K81="Yes",O81&lt;&gt;""),O81,0))</f>
        <v>0</v>
      </c>
      <c r="U81" s="36">
        <f>IF(A81="","",IF(AND(H81="Yes",P81&lt;&gt;""),P81,0))</f>
        <v>0</v>
      </c>
      <c r="V81" s="36">
        <f>IF(A81="","",IF(AND(I81="Yes",P81&lt;&gt;""),P81,0))</f>
        <v>0</v>
      </c>
      <c r="W81" s="36">
        <f>IF(A81="","",IF(AND(J81="Yes",P81&lt;&gt;""),P81,0))</f>
        <v>0</v>
      </c>
      <c r="X81" s="36">
        <f>IF(A81="","",IF(AND(K81="Yes",P81&lt;&gt;""),P81,0))</f>
        <v>0</v>
      </c>
      <c r="Y81" s="32">
        <f>IF(A81="","",COUNTIF(H81:K81,"Yes"))</f>
        <v>0</v>
      </c>
      <c r="Z81" s="43">
        <f>IF(A81="","",IF(OR(E81="",D81=""),"Add - price and pack size please",IF(Y81=0,"Check - in no profile",IF(F81="","Add - how many per order?",IF(G81="","Check - no weight, postage may be wrong","OK")))))</f>
        <v>0</v>
      </c>
    </row>
    <row r="82" spans="1:26">
      <c r="N82" s="45">
        <f>IF(A82="","",IF(OR(E82="",D82="",D82=0),"",ROUND(E82/D82,4)))</f>
        <v>0</v>
      </c>
      <c r="O82" s="45">
        <f>IF(A82="","",IF(OR(N82="",F82=""),"",ROUND(N82*F82,4)))</f>
        <v>0</v>
      </c>
      <c r="P82" s="36">
        <f>IF(A82="","",IF(OR(G82="",F82=""),"",ROUND(G82*F82,1)))</f>
        <v>0</v>
      </c>
      <c r="Q82" s="45">
        <f>IF(A82="","",IF(AND(H82="Yes",O82&lt;&gt;""),O82,0))</f>
        <v>0</v>
      </c>
      <c r="R82" s="45">
        <f>IF(A82="","",IF(AND(I82="Yes",O82&lt;&gt;""),O82,0))</f>
        <v>0</v>
      </c>
      <c r="S82" s="45">
        <f>IF(A82="","",IF(AND(J82="Yes",O82&lt;&gt;""),O82,0))</f>
        <v>0</v>
      </c>
      <c r="T82" s="45">
        <f>IF(A82="","",IF(AND(K82="Yes",O82&lt;&gt;""),O82,0))</f>
        <v>0</v>
      </c>
      <c r="U82" s="36">
        <f>IF(A82="","",IF(AND(H82="Yes",P82&lt;&gt;""),P82,0))</f>
        <v>0</v>
      </c>
      <c r="V82" s="36">
        <f>IF(A82="","",IF(AND(I82="Yes",P82&lt;&gt;""),P82,0))</f>
        <v>0</v>
      </c>
      <c r="W82" s="36">
        <f>IF(A82="","",IF(AND(J82="Yes",P82&lt;&gt;""),P82,0))</f>
        <v>0</v>
      </c>
      <c r="X82" s="36">
        <f>IF(A82="","",IF(AND(K82="Yes",P82&lt;&gt;""),P82,0))</f>
        <v>0</v>
      </c>
      <c r="Y82" s="32">
        <f>IF(A82="","",COUNTIF(H82:K82,"Yes"))</f>
        <v>0</v>
      </c>
      <c r="Z82" s="43">
        <f>IF(A82="","",IF(OR(E82="",D82=""),"Add - price and pack size please",IF(Y82=0,"Check - in no profile",IF(F82="","Add - how many per order?",IF(G82="","Check - no weight, postage may be wrong","OK")))))</f>
        <v>0</v>
      </c>
    </row>
    <row r="83" spans="1:26">
      <c r="N83" s="45">
        <f>IF(A83="","",IF(OR(E83="",D83="",D83=0),"",ROUND(E83/D83,4)))</f>
        <v>0</v>
      </c>
      <c r="O83" s="45">
        <f>IF(A83="","",IF(OR(N83="",F83=""),"",ROUND(N83*F83,4)))</f>
        <v>0</v>
      </c>
      <c r="P83" s="36">
        <f>IF(A83="","",IF(OR(G83="",F83=""),"",ROUND(G83*F83,1)))</f>
        <v>0</v>
      </c>
      <c r="Q83" s="45">
        <f>IF(A83="","",IF(AND(H83="Yes",O83&lt;&gt;""),O83,0))</f>
        <v>0</v>
      </c>
      <c r="R83" s="45">
        <f>IF(A83="","",IF(AND(I83="Yes",O83&lt;&gt;""),O83,0))</f>
        <v>0</v>
      </c>
      <c r="S83" s="45">
        <f>IF(A83="","",IF(AND(J83="Yes",O83&lt;&gt;""),O83,0))</f>
        <v>0</v>
      </c>
      <c r="T83" s="45">
        <f>IF(A83="","",IF(AND(K83="Yes",O83&lt;&gt;""),O83,0))</f>
        <v>0</v>
      </c>
      <c r="U83" s="36">
        <f>IF(A83="","",IF(AND(H83="Yes",P83&lt;&gt;""),P83,0))</f>
        <v>0</v>
      </c>
      <c r="V83" s="36">
        <f>IF(A83="","",IF(AND(I83="Yes",P83&lt;&gt;""),P83,0))</f>
        <v>0</v>
      </c>
      <c r="W83" s="36">
        <f>IF(A83="","",IF(AND(J83="Yes",P83&lt;&gt;""),P83,0))</f>
        <v>0</v>
      </c>
      <c r="X83" s="36">
        <f>IF(A83="","",IF(AND(K83="Yes",P83&lt;&gt;""),P83,0))</f>
        <v>0</v>
      </c>
      <c r="Y83" s="32">
        <f>IF(A83="","",COUNTIF(H83:K83,"Yes"))</f>
        <v>0</v>
      </c>
      <c r="Z83" s="43">
        <f>IF(A83="","",IF(OR(E83="",D83=""),"Add - price and pack size please",IF(Y83=0,"Check - in no profile",IF(F83="","Add - how many per order?",IF(G83="","Check - no weight, postage may be wrong","OK")))))</f>
        <v>0</v>
      </c>
    </row>
    <row r="84" spans="1:26">
      <c r="N84" s="45">
        <f>IF(A84="","",IF(OR(E84="",D84="",D84=0),"",ROUND(E84/D84,4)))</f>
        <v>0</v>
      </c>
      <c r="O84" s="45">
        <f>IF(A84="","",IF(OR(N84="",F84=""),"",ROUND(N84*F84,4)))</f>
        <v>0</v>
      </c>
      <c r="P84" s="36">
        <f>IF(A84="","",IF(OR(G84="",F84=""),"",ROUND(G84*F84,1)))</f>
        <v>0</v>
      </c>
      <c r="Q84" s="45">
        <f>IF(A84="","",IF(AND(H84="Yes",O84&lt;&gt;""),O84,0))</f>
        <v>0</v>
      </c>
      <c r="R84" s="45">
        <f>IF(A84="","",IF(AND(I84="Yes",O84&lt;&gt;""),O84,0))</f>
        <v>0</v>
      </c>
      <c r="S84" s="45">
        <f>IF(A84="","",IF(AND(J84="Yes",O84&lt;&gt;""),O84,0))</f>
        <v>0</v>
      </c>
      <c r="T84" s="45">
        <f>IF(A84="","",IF(AND(K84="Yes",O84&lt;&gt;""),O84,0))</f>
        <v>0</v>
      </c>
      <c r="U84" s="36">
        <f>IF(A84="","",IF(AND(H84="Yes",P84&lt;&gt;""),P84,0))</f>
        <v>0</v>
      </c>
      <c r="V84" s="36">
        <f>IF(A84="","",IF(AND(I84="Yes",P84&lt;&gt;""),P84,0))</f>
        <v>0</v>
      </c>
      <c r="W84" s="36">
        <f>IF(A84="","",IF(AND(J84="Yes",P84&lt;&gt;""),P84,0))</f>
        <v>0</v>
      </c>
      <c r="X84" s="36">
        <f>IF(A84="","",IF(AND(K84="Yes",P84&lt;&gt;""),P84,0))</f>
        <v>0</v>
      </c>
      <c r="Y84" s="32">
        <f>IF(A84="","",COUNTIF(H84:K84,"Yes"))</f>
        <v>0</v>
      </c>
      <c r="Z84" s="43">
        <f>IF(A84="","",IF(OR(E84="",D84=""),"Add - price and pack size please",IF(Y84=0,"Check - in no profile",IF(F84="","Add - how many per order?",IF(G84="","Check - no weight, postage may be wrong","OK")))))</f>
        <v>0</v>
      </c>
    </row>
    <row r="86" spans="1:26" ht="20" customHeight="1">
      <c r="A86" s="7" t="s">
        <v>853</v>
      </c>
      <c r="B86" s="7"/>
      <c r="C86" s="7"/>
      <c r="D86" s="7"/>
      <c r="E86" s="7"/>
      <c r="F86" s="7"/>
      <c r="G86" s="7"/>
      <c r="H86" s="7"/>
      <c r="I86" s="7"/>
      <c r="J86" s="7"/>
      <c r="K86" s="7"/>
      <c r="L86" s="7"/>
      <c r="M86" s="7"/>
      <c r="N86" s="7"/>
      <c r="O86" s="7"/>
      <c r="P86" s="7"/>
      <c r="Q86" s="7"/>
      <c r="R86" s="7"/>
      <c r="S86" s="7"/>
      <c r="T86" s="7"/>
      <c r="U86" s="7"/>
      <c r="V86" s="7"/>
      <c r="W86" s="7"/>
      <c r="X86" s="7"/>
      <c r="Y86" s="7"/>
      <c r="Z86" s="7"/>
    </row>
    <row r="87" spans="1:26" ht="30" customHeight="1">
      <c r="A87" s="6" t="s">
        <v>854</v>
      </c>
      <c r="B87" s="6"/>
      <c r="C87" s="6"/>
      <c r="D87" s="6"/>
      <c r="E87" s="6"/>
      <c r="F87" s="6"/>
      <c r="G87" s="6"/>
      <c r="H87" s="6"/>
      <c r="I87" s="6"/>
      <c r="J87" s="6"/>
      <c r="K87" s="6"/>
      <c r="L87" s="6"/>
      <c r="M87" s="6"/>
      <c r="N87" s="6"/>
      <c r="O87" s="6"/>
      <c r="P87" s="6"/>
      <c r="Q87" s="6"/>
      <c r="R87" s="6"/>
      <c r="S87" s="6"/>
      <c r="T87" s="6"/>
      <c r="U87" s="6"/>
      <c r="V87" s="6"/>
      <c r="W87" s="6"/>
      <c r="X87" s="6"/>
      <c r="Y87" s="6"/>
      <c r="Z87" s="6"/>
    </row>
    <row r="89" spans="1:26" ht="26" customHeight="1">
      <c r="A89" s="8" t="s">
        <v>855</v>
      </c>
      <c r="B89" s="9" t="s">
        <v>856</v>
      </c>
      <c r="C89" s="9" t="s">
        <v>33</v>
      </c>
      <c r="D89" s="9" t="s">
        <v>857</v>
      </c>
      <c r="E89" s="9" t="s">
        <v>858</v>
      </c>
    </row>
    <row r="90" spans="1:26">
      <c r="A90" s="10" t="s">
        <v>524</v>
      </c>
      <c r="B90" s="32">
        <f>COUNTIFS(Packaging!$H$5:$H$84,"Yes")</f>
        <v>0</v>
      </c>
      <c r="C90" s="20">
        <f>ROUND(SUM(Packaging!$Q$5:$Q$84),2)</f>
        <v>0</v>
      </c>
      <c r="D90" s="36">
        <f>ROUND(SUM(Packaging!$U$5:$U$84),1)</f>
        <v>0</v>
      </c>
      <c r="E90" s="12" t="s">
        <v>859</v>
      </c>
    </row>
    <row r="91" spans="1:26">
      <c r="A91" s="10" t="s">
        <v>516</v>
      </c>
      <c r="B91" s="32">
        <f>COUNTIFS(Packaging!$I$5:$I$84,"Yes")</f>
        <v>0</v>
      </c>
      <c r="C91" s="20">
        <f>ROUND(SUM(Packaging!$R$5:$R$84),2)</f>
        <v>0</v>
      </c>
      <c r="D91" s="36">
        <f>ROUND(SUM(Packaging!$V$5:$V$84),1)</f>
        <v>0</v>
      </c>
      <c r="E91" s="12" t="s">
        <v>860</v>
      </c>
    </row>
    <row r="92" spans="1:26">
      <c r="A92" s="10" t="s">
        <v>529</v>
      </c>
      <c r="B92" s="32">
        <f>COUNTIFS(Packaging!$J$5:$J$84,"Yes")</f>
        <v>0</v>
      </c>
      <c r="C92" s="20">
        <f>ROUND(SUM(Packaging!$S$5:$S$84),2)</f>
        <v>0</v>
      </c>
      <c r="D92" s="36">
        <f>ROUND(SUM(Packaging!$W$5:$W$84),1)</f>
        <v>0</v>
      </c>
      <c r="E92" s="12" t="s">
        <v>861</v>
      </c>
    </row>
    <row r="93" spans="1:26">
      <c r="A93" s="10" t="s">
        <v>813</v>
      </c>
      <c r="B93" s="32">
        <f>COUNTIFS(Packaging!$K$5:$K$84,"Yes")</f>
        <v>0</v>
      </c>
      <c r="C93" s="20">
        <f>ROUND(SUM(Packaging!$T$5:$T$84),2)</f>
        <v>0</v>
      </c>
      <c r="D93" s="36">
        <f>ROUND(SUM(Packaging!$X$5:$X$84),1)</f>
        <v>0</v>
      </c>
      <c r="E93" s="12" t="s">
        <v>862</v>
      </c>
    </row>
    <row r="95" spans="1:26" ht="26" customHeight="1">
      <c r="A95" s="6" t="s">
        <v>863</v>
      </c>
      <c r="B95" s="6"/>
      <c r="C95" s="6"/>
      <c r="D95" s="6"/>
      <c r="E95" s="6"/>
      <c r="F95" s="6"/>
      <c r="G95" s="6"/>
      <c r="H95" s="6"/>
      <c r="I95" s="6"/>
      <c r="J95" s="6"/>
      <c r="K95" s="6"/>
      <c r="L95" s="6"/>
      <c r="M95" s="6"/>
      <c r="N95" s="6"/>
      <c r="O95" s="6"/>
      <c r="P95" s="6"/>
      <c r="Q95" s="6"/>
      <c r="R95" s="6"/>
      <c r="S95" s="6"/>
      <c r="T95" s="6"/>
      <c r="U95" s="6"/>
      <c r="V95" s="6"/>
      <c r="W95" s="6"/>
      <c r="X95" s="6"/>
      <c r="Y95" s="6"/>
      <c r="Z95" s="6"/>
    </row>
  </sheetData>
  <sheetProtection password="EC7C" sheet="1" objects="1" scenarios="1" formatCells="0" formatColumns="0" formatRows="0" insertRows="0" insertHyperlinks="0" deleteRows="0" autoFilter="0"/>
  <autoFilter ref="A4:Z84"/>
  <mergeCells count="16">
    <mergeCell ref="A1:W1"/>
    <mergeCell ref="X1:Z1"/>
    <mergeCell ref="A2:Z2"/>
    <mergeCell ref="A3:B3"/>
    <mergeCell ref="C3:D3"/>
    <mergeCell ref="E3:F3"/>
    <mergeCell ref="G3:H3"/>
    <mergeCell ref="I3:J3"/>
    <mergeCell ref="K3:L3"/>
    <mergeCell ref="M3:N3"/>
    <mergeCell ref="O3:P3"/>
    <mergeCell ref="Q3:R3"/>
    <mergeCell ref="S3:Z3"/>
    <mergeCell ref="A86:Z86"/>
    <mergeCell ref="A87:Z87"/>
    <mergeCell ref="A95:Z95"/>
  </mergeCells>
  <conditionalFormatting sqref="H5:H84">
    <cfRule type="containsText" dxfId="0" priority="1" operator="containsText" text="No">
      <formula>NOT(ISERROR(SEARCH("No",H5)))</formula>
    </cfRule>
    <cfRule type="containsText" dxfId="1" priority="2" operator="containsText" text="Yes">
      <formula>NOT(ISERROR(SEARCH("Yes",H5)))</formula>
    </cfRule>
  </conditionalFormatting>
  <conditionalFormatting sqref="I5:I84">
    <cfRule type="containsText" dxfId="0" priority="3" operator="containsText" text="No">
      <formula>NOT(ISERROR(SEARCH("No",I5)))</formula>
    </cfRule>
    <cfRule type="containsText" dxfId="1" priority="4" operator="containsText" text="Yes">
      <formula>NOT(ISERROR(SEARCH("Yes",I5)))</formula>
    </cfRule>
  </conditionalFormatting>
  <conditionalFormatting sqref="J5:J84">
    <cfRule type="containsText" dxfId="0" priority="5" operator="containsText" text="No">
      <formula>NOT(ISERROR(SEARCH("No",J5)))</formula>
    </cfRule>
    <cfRule type="containsText" dxfId="1" priority="6" operator="containsText" text="Yes">
      <formula>NOT(ISERROR(SEARCH("Yes",J5)))</formula>
    </cfRule>
  </conditionalFormatting>
  <conditionalFormatting sqref="K5:K84">
    <cfRule type="containsText" dxfId="0" priority="7" operator="containsText" text="No">
      <formula>NOT(ISERROR(SEARCH("No",K5)))</formula>
    </cfRule>
    <cfRule type="containsText" dxfId="1" priority="8" operator="containsText" text="Yes">
      <formula>NOT(ISERROR(SEARCH("Yes",K5)))</formula>
    </cfRule>
  </conditionalFormatting>
  <conditionalFormatting sqref="L5:L84">
    <cfRule type="containsText" dxfId="0" priority="9" operator="containsText" text="No">
      <formula>NOT(ISERROR(SEARCH("No",L5)))</formula>
    </cfRule>
    <cfRule type="containsText" dxfId="1" priority="10" operator="containsText" text="Yes">
      <formula>NOT(ISERROR(SEARCH("Yes",L5)))</formula>
    </cfRule>
  </conditionalFormatting>
  <conditionalFormatting sqref="Z5:Z84">
    <cfRule type="beginsWith" dxfId="1" priority="11" operator="beginsWith" text="OK">
      <formula>LEFT(Z5,2)="OK"</formula>
    </cfRule>
    <cfRule type="containsText" dxfId="2" priority="12" operator="containsText" text="Overdue">
      <formula>NOT(ISERROR(SEARCH("Overdue",Z5)))</formula>
    </cfRule>
    <cfRule type="containsText" dxfId="2" priority="13" operator="containsText" text="Late">
      <formula>NOT(ISERROR(SEARCH("Late",Z5)))</formula>
    </cfRule>
    <cfRule type="containsText" dxfId="2" priority="14" operator="containsText" text="Missing">
      <formula>NOT(ISERROR(SEARCH("Missing",Z5)))</formula>
    </cfRule>
    <cfRule type="containsText" dxfId="2" priority="15" operator="containsText" text="Conflict">
      <formula>NOT(ISERROR(SEARCH("Conflict",Z5)))</formula>
    </cfRule>
    <cfRule type="containsText" dxfId="2" priority="16" operator="containsText" text="Clash">
      <formula>NOT(ISERROR(SEARCH("Clash",Z5)))</formula>
    </cfRule>
    <cfRule type="containsText" dxfId="2" priority="17" operator="containsText" text="Expired">
      <formula>NOT(ISERROR(SEARCH("Expired",Z5)))</formula>
    </cfRule>
    <cfRule type="containsText" dxfId="2" priority="18" operator="containsText" text="Duplicate">
      <formula>NOT(ISERROR(SEARCH("Duplicate",Z5)))</formula>
    </cfRule>
    <cfRule type="containsText" dxfId="2" priority="19" operator="containsText" text="Unpaid">
      <formula>NOT(ISERROR(SEARCH("Unpaid",Z5)))</formula>
    </cfRule>
    <cfRule type="containsText" dxfId="2" priority="20" operator="containsText" text="Loss">
      <formula>NOT(ISERROR(SEARCH("Loss",Z5)))</formula>
    </cfRule>
    <cfRule type="containsText" dxfId="2" priority="21" operator="containsText" text="Below">
      <formula>NOT(ISERROR(SEARCH("Below",Z5)))</formula>
    </cfRule>
    <cfRule type="containsText" dxfId="0" priority="22" operator="containsText" text="Action">
      <formula>NOT(ISERROR(SEARCH("Action",Z5)))</formula>
    </cfRule>
    <cfRule type="containsText" dxfId="0" priority="23" operator="containsText" text="Due">
      <formula>NOT(ISERROR(SEARCH("Due",Z5)))</formula>
    </cfRule>
    <cfRule type="containsText" dxfId="0" priority="24" operator="containsText" text="Check">
      <formula>NOT(ISERROR(SEARCH("Check",Z5)))</formula>
    </cfRule>
    <cfRule type="containsText" dxfId="0" priority="25" operator="containsText" text="Chase">
      <formula>NOT(ISERROR(SEARCH("Chase",Z5)))</formula>
    </cfRule>
    <cfRule type="containsText" dxfId="0" priority="26" operator="containsText" text="Assign">
      <formula>NOT(ISERROR(SEARCH("Assign",Z5)))</formula>
    </cfRule>
    <cfRule type="containsText" dxfId="0" priority="27" operator="containsText" text="Confirm">
      <formula>NOT(ISERROR(SEARCH("Confirm",Z5)))</formula>
    </cfRule>
    <cfRule type="containsText" dxfId="0" priority="28" operator="containsText" text="Order">
      <formula>NOT(ISERROR(SEARCH("Order",Z5)))</formula>
    </cfRule>
    <cfRule type="containsText" dxfId="3" priority="29" operator="containsText" text="Today">
      <formula>NOT(ISERROR(SEARCH("Today",Z5)))</formula>
    </cfRule>
    <cfRule type="containsText" dxfId="3" priority="30" operator="containsText" text="Upcoming">
      <formula>NOT(ISERROR(SEARCH("Upcoming",Z5)))</formula>
    </cfRule>
    <cfRule type="containsText" dxfId="3" priority="31" operator="containsText" text="Tomorrow">
      <formula>NOT(ISERROR(SEARCH("Tomorrow",Z5)))</formula>
    </cfRule>
  </conditionalFormatting>
  <dataValidations count="10">
    <dataValidation type="list" allowBlank="1" showInputMessage="1" showErrorMessage="1" sqref="B5:B84">
      <formula1>PackTypeList</formula1>
    </dataValidation>
    <dataValidation type="decimal" allowBlank="1" showInputMessage="1" showErrorMessage="1" errorTitle="Check the value" error="Enter a number between 0 and 1000000." promptTitle="Units in a pack" prompt="500 stickers on a roll, 100 mailers in a box." sqref="D5:D84">
      <formula1>0</formula1>
      <formula2>1000000</formula2>
    </dataValidation>
    <dataValidation type="decimal" allowBlank="1" showInputMessage="1" showErrorMessage="1" errorTitle="Check the value" error="Enter a number between 0 and 100000." promptTitle="Pack price" prompt="Including delivery, as always." sqref="E5:E84">
      <formula1>0</formula1>
      <formula2>100000</formula2>
    </dataValidation>
    <dataValidation type="decimal" allowBlank="1" showInputMessage="1" showErrorMessage="1" errorTitle="Check the value" error="Enter a number between 0 and 10000." promptTitle="Used per order" prompt="Usually 1. Two sheets of tissue is 2." sqref="F5:F84">
      <formula1>0</formula1>
      <formula2>10000</formula2>
    </dataValidation>
    <dataValidation type="decimal" allowBlank="1" showInputMessage="1" showErrorMessage="1" errorTitle="Check the value" error="Enter a number between 0 and 100000." promptTitle="Weight each (g)" prompt="Packaging weight pushes orders into the next postage band more often than the product does." sqref="G5:G84">
      <formula1>0</formula1>
      <formula2>100000</formula2>
    </dataValidation>
    <dataValidation type="list" allowBlank="1" showInputMessage="1" showErrorMessage="1" sqref="H5:H84">
      <formula1>YesNoList</formula1>
    </dataValidation>
    <dataValidation type="list" allowBlank="1" showInputMessage="1" showErrorMessage="1" sqref="I5:I84">
      <formula1>YesNoList</formula1>
    </dataValidation>
    <dataValidation type="list" allowBlank="1" showInputMessage="1" showErrorMessage="1" sqref="J5:J84">
      <formula1>YesNoList</formula1>
    </dataValidation>
    <dataValidation type="list" allowBlank="1" showInputMessage="1" showErrorMessage="1" sqref="K5:K84">
      <formula1>YesNoList</formula1>
    </dataValidation>
    <dataValidation type="list" allowBlank="1" showInputMessage="1" showErrorMessage="1" promptTitle="Branded?" prompt="Branded packaging is marketing as well as cost - worth knowing how much of the spend it is." sqref="L5:L8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&amp;L&amp;"Calibri,Bold"&amp;12&amp;C&amp;"Calibri,Bold"&amp;11Packaging&amp;R&amp;"Calibri,Italic"&amp;9Handmade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B5704F"/>
    <pageSetUpPr fitToPage="1"/>
  </sheetPr>
  <dimension ref="A1:R6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style="15" customWidth="1"/>
    <col min="2" max="2" width="16.7109375" style="15" customWidth="1"/>
    <col min="3" max="3" width="11.7109375" style="21" customWidth="1"/>
    <col min="4" max="4" width="13.7109375" style="18" customWidth="1"/>
    <col min="5" max="5" width="12.7109375" style="18" customWidth="1"/>
    <col min="6" max="6" width="13.7109375" style="18" customWidth="1"/>
    <col min="7" max="7" width="20.7109375" style="15" customWidth="1"/>
    <col min="8" max="8" width="10.7109375" style="47" customWidth="1"/>
    <col min="9" max="9" width="8.7109375" style="16" customWidth="1"/>
    <col min="10" max="10" width="16.7109375" style="15" customWidth="1"/>
    <col min="11" max="11" width="24.7109375" style="40" customWidth="1"/>
    <col min="12" max="12" width="34.7109375" style="13" customWidth="1"/>
    <col min="13" max="13" width="11.7109375" style="20" customWidth="1"/>
    <col min="14" max="14" width="11.7109375" style="20" customWidth="1"/>
    <col min="15" max="15" width="11.7109375" style="20" customWidth="1"/>
    <col min="16" max="16" width="12.7109375" style="20" hidden="1" customWidth="1"/>
    <col min="17" max="17" width="12.7109375" style="32" customWidth="1"/>
    <col min="18" max="18" width="26.7109375" style="43" customWidth="1"/>
    <col min="1" max="1" width="15.7109375" customWidth="1"/>
    <col min="2" max="2" width="20.7109375" customWidth="1"/>
    <col min="3" max="3" width="18.7109375" customWidth="1"/>
    <col min="4" max="4" width="17.7109375" customWidth="1"/>
    <col min="5" max="5" width="20.7109375" customWidth="1"/>
    <col min="6" max="6" width="18.7109375" customWidth="1"/>
  </cols>
  <sheetData>
    <row r="1" spans="1:18" ht="34" customHeight="1">
      <c r="A1" s="2" t="s">
        <v>864</v>
      </c>
      <c r="B1" s="2"/>
      <c r="C1" s="2"/>
      <c r="D1" s="2"/>
      <c r="E1" s="2"/>
      <c r="F1" s="2"/>
      <c r="G1" s="2"/>
      <c r="H1" s="2"/>
      <c r="I1" s="2"/>
      <c r="J1" s="2"/>
      <c r="K1" s="2"/>
      <c r="L1" s="2"/>
      <c r="M1" s="2"/>
      <c r="N1" s="2"/>
      <c r="O1" s="2"/>
      <c r="P1" s="3" t="s">
        <v>1</v>
      </c>
      <c r="Q1" s="3"/>
      <c r="R1" s="3"/>
    </row>
    <row r="2" spans="1:18" ht="18" customHeight="1">
      <c r="A2" s="4" t="s">
        <v>865</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367</v>
      </c>
      <c r="L3" s="5"/>
      <c r="M3" s="5" t="s">
        <v>368</v>
      </c>
      <c r="N3" s="5"/>
      <c r="O3" s="5" t="s">
        <v>448</v>
      </c>
      <c r="P3" s="5"/>
      <c r="Q3" s="5" t="s">
        <v>449</v>
      </c>
      <c r="R3" s="5"/>
    </row>
    <row r="4" spans="1:18" ht="30" customHeight="1">
      <c r="A4" s="8" t="s">
        <v>866</v>
      </c>
      <c r="B4" s="8" t="s">
        <v>867</v>
      </c>
      <c r="C4" s="9" t="s">
        <v>868</v>
      </c>
      <c r="D4" s="9" t="s">
        <v>869</v>
      </c>
      <c r="E4" s="9" t="s">
        <v>870</v>
      </c>
      <c r="F4" s="9" t="s">
        <v>871</v>
      </c>
      <c r="G4" s="9" t="s">
        <v>872</v>
      </c>
      <c r="H4" s="9" t="s">
        <v>873</v>
      </c>
      <c r="I4" s="9" t="s">
        <v>874</v>
      </c>
      <c r="J4" s="9" t="s">
        <v>875</v>
      </c>
      <c r="K4" s="9" t="s">
        <v>466</v>
      </c>
      <c r="L4" s="9" t="s">
        <v>876</v>
      </c>
      <c r="M4" s="9" t="s">
        <v>877</v>
      </c>
      <c r="N4" s="9" t="s">
        <v>878</v>
      </c>
      <c r="O4" s="9" t="s">
        <v>879</v>
      </c>
      <c r="P4" s="9" t="s">
        <v>880</v>
      </c>
      <c r="Q4" s="9" t="s">
        <v>881</v>
      </c>
      <c r="R4" s="9" t="s">
        <v>729</v>
      </c>
    </row>
    <row r="5" spans="1:18">
      <c r="A5" s="15" t="s">
        <v>882</v>
      </c>
      <c r="B5" s="15" t="s">
        <v>883</v>
      </c>
      <c r="C5" s="21">
        <v>100</v>
      </c>
      <c r="D5" s="18">
        <v>4.25</v>
      </c>
      <c r="E5" s="18">
        <v>0</v>
      </c>
      <c r="F5" s="18">
        <v>4.95</v>
      </c>
      <c r="G5" s="15" t="s">
        <v>884</v>
      </c>
      <c r="H5" s="47" t="s">
        <v>281</v>
      </c>
      <c r="I5" s="16">
        <v>3</v>
      </c>
      <c r="J5" s="15" t="s">
        <v>885</v>
      </c>
      <c r="K5" s="40" t="s">
        <v>886</v>
      </c>
      <c r="L5" s="13">
        <f>IF(A5="","",A5&amp;" - "&amp;B5&amp;IF(C5="",""," to "&amp;TEXT(C5,"#,##0")&amp;"g"))</f>
        <v>0</v>
      </c>
      <c r="M5" s="20">
        <f>IF(A5="","",ROUND(IF(D5="",0,D5)+IF(E5="",0,E5),2))</f>
        <v>0</v>
      </c>
      <c r="N5" s="20">
        <f>IF(A5="","",ROUND(MAX(0,M5-IF(F5="",0,F5)),2))</f>
        <v>0</v>
      </c>
      <c r="O5" s="20">
        <f>IF(A5="","",ROUND(IF(F5="",0,F5)-M5,2))</f>
        <v>0</v>
      </c>
      <c r="P5" s="20">
        <f>IF(A5="","",IF(OR(C5="",C5=0),"",ROUND(M5/C5*100,3)))</f>
        <v>0</v>
      </c>
      <c r="Q5" s="32">
        <f>IF(A5="","",COUNTIFS(Products!$J$5:$J$304,L5))</f>
        <v>0</v>
      </c>
      <c r="R5" s="43">
        <f>IF(A5="","",IF(D5="","Add - what does the label cost?",IF(C5="","Add - what is the weight limit?",IF(AND(G5="Buyer pays",F5=""),"Add - what are you charging?",IF(O5&lt;-0.5,"Loss - postage is costing you",IF(AND(F5&gt;0,O5&gt;1),"Check - you are over charging postage","OK"))))))</f>
        <v>0</v>
      </c>
    </row>
    <row r="6" spans="1:18">
      <c r="A6" s="15" t="s">
        <v>882</v>
      </c>
      <c r="B6" s="15" t="s">
        <v>883</v>
      </c>
      <c r="C6" s="21">
        <v>250</v>
      </c>
      <c r="D6" s="18">
        <v>5.4</v>
      </c>
      <c r="E6" s="18">
        <v>0</v>
      </c>
      <c r="F6" s="18">
        <v>5.95</v>
      </c>
      <c r="G6" s="15" t="s">
        <v>884</v>
      </c>
      <c r="H6" s="47" t="s">
        <v>278</v>
      </c>
      <c r="I6" s="16">
        <v>3</v>
      </c>
      <c r="J6" s="15" t="s">
        <v>885</v>
      </c>
      <c r="L6" s="13">
        <f>IF(A6="","",A6&amp;" - "&amp;B6&amp;IF(C6="",""," to "&amp;TEXT(C6,"#,##0")&amp;"g"))</f>
        <v>0</v>
      </c>
      <c r="M6" s="20">
        <f>IF(A6="","",ROUND(IF(D6="",0,D6)+IF(E6="",0,E6),2))</f>
        <v>0</v>
      </c>
      <c r="N6" s="20">
        <f>IF(A6="","",ROUND(MAX(0,M6-IF(F6="",0,F6)),2))</f>
        <v>0</v>
      </c>
      <c r="O6" s="20">
        <f>IF(A6="","",ROUND(IF(F6="",0,F6)-M6,2))</f>
        <v>0</v>
      </c>
      <c r="P6" s="20">
        <f>IF(A6="","",IF(OR(C6="",C6=0),"",ROUND(M6/C6*100,3)))</f>
        <v>0</v>
      </c>
      <c r="Q6" s="32">
        <f>IF(A6="","",COUNTIFS(Products!$J$5:$J$304,L6))</f>
        <v>0</v>
      </c>
      <c r="R6" s="43">
        <f>IF(A6="","",IF(D6="","Add - what does the label cost?",IF(C6="","Add - what is the weight limit?",IF(AND(G6="Buyer pays",F6=""),"Add - what are you charging?",IF(O6&lt;-0.5,"Loss - postage is costing you",IF(AND(F6&gt;0,O6&gt;1),"Check - you are over charging postage","OK"))))))</f>
        <v>0</v>
      </c>
    </row>
    <row r="7" spans="1:18">
      <c r="A7" s="15" t="s">
        <v>882</v>
      </c>
      <c r="B7" s="15" t="s">
        <v>883</v>
      </c>
      <c r="C7" s="21">
        <v>500</v>
      </c>
      <c r="D7" s="18">
        <v>7.1</v>
      </c>
      <c r="E7" s="18">
        <v>0</v>
      </c>
      <c r="F7" s="18">
        <v>6.95</v>
      </c>
      <c r="G7" s="15" t="s">
        <v>884</v>
      </c>
      <c r="H7" s="47" t="s">
        <v>278</v>
      </c>
      <c r="I7" s="16">
        <v>3</v>
      </c>
      <c r="J7" s="15" t="s">
        <v>885</v>
      </c>
      <c r="K7" s="40" t="s">
        <v>887</v>
      </c>
      <c r="L7" s="13">
        <f>IF(A7="","",A7&amp;" - "&amp;B7&amp;IF(C7="",""," to "&amp;TEXT(C7,"#,##0")&amp;"g"))</f>
        <v>0</v>
      </c>
      <c r="M7" s="20">
        <f>IF(A7="","",ROUND(IF(D7="",0,D7)+IF(E7="",0,E7),2))</f>
        <v>0</v>
      </c>
      <c r="N7" s="20">
        <f>IF(A7="","",ROUND(MAX(0,M7-IF(F7="",0,F7)),2))</f>
        <v>0</v>
      </c>
      <c r="O7" s="20">
        <f>IF(A7="","",ROUND(IF(F7="",0,F7)-M7,2))</f>
        <v>0</v>
      </c>
      <c r="P7" s="20">
        <f>IF(A7="","",IF(OR(C7="",C7=0),"",ROUND(M7/C7*100,3)))</f>
        <v>0</v>
      </c>
      <c r="Q7" s="32">
        <f>IF(A7="","",COUNTIFS(Products!$J$5:$J$304,L7))</f>
        <v>0</v>
      </c>
      <c r="R7" s="43">
        <f>IF(A7="","",IF(D7="","Add - what does the label cost?",IF(C7="","Add - what is the weight limit?",IF(AND(G7="Buyer pays",F7=""),"Add - what are you charging?",IF(O7&lt;-0.5,"Loss - postage is costing you",IF(AND(F7&gt;0,O7&gt;1),"Check - you are over charging postage","OK"))))))</f>
        <v>0</v>
      </c>
    </row>
    <row r="8" spans="1:18">
      <c r="A8" s="15" t="s">
        <v>888</v>
      </c>
      <c r="B8" s="15" t="s">
        <v>883</v>
      </c>
      <c r="C8" s="21">
        <v>1000</v>
      </c>
      <c r="D8" s="18">
        <v>9.85</v>
      </c>
      <c r="E8" s="18">
        <v>0.35</v>
      </c>
      <c r="F8" s="18">
        <v>8.95</v>
      </c>
      <c r="G8" s="15" t="s">
        <v>884</v>
      </c>
      <c r="H8" s="47" t="s">
        <v>278</v>
      </c>
      <c r="I8" s="16">
        <v>2</v>
      </c>
      <c r="J8" s="15" t="s">
        <v>885</v>
      </c>
      <c r="K8" s="40" t="s">
        <v>889</v>
      </c>
      <c r="L8" s="13">
        <f>IF(A8="","",A8&amp;" - "&amp;B8&amp;IF(C8="",""," to "&amp;TEXT(C8,"#,##0")&amp;"g"))</f>
        <v>0</v>
      </c>
      <c r="M8" s="20">
        <f>IF(A8="","",ROUND(IF(D8="",0,D8)+IF(E8="",0,E8),2))</f>
        <v>0</v>
      </c>
      <c r="N8" s="20">
        <f>IF(A8="","",ROUND(MAX(0,M8-IF(F8="",0,F8)),2))</f>
        <v>0</v>
      </c>
      <c r="O8" s="20">
        <f>IF(A8="","",ROUND(IF(F8="",0,F8)-M8,2))</f>
        <v>0</v>
      </c>
      <c r="P8" s="20">
        <f>IF(A8="","",IF(OR(C8="",C8=0),"",ROUND(M8/C8*100,3)))</f>
        <v>0</v>
      </c>
      <c r="Q8" s="32">
        <f>IF(A8="","",COUNTIFS(Products!$J$5:$J$304,L8))</f>
        <v>0</v>
      </c>
      <c r="R8" s="43">
        <f>IF(A8="","",IF(D8="","Add - what does the label cost?",IF(C8="","Add - what is the weight limit?",IF(AND(G8="Buyer pays",F8=""),"Add - what are you charging?",IF(O8&lt;-0.5,"Loss - postage is costing you",IF(AND(F8&gt;0,O8&gt;1),"Check - you are over charging postage","OK"))))))</f>
        <v>0</v>
      </c>
    </row>
    <row r="9" spans="1:18">
      <c r="A9" s="15" t="s">
        <v>888</v>
      </c>
      <c r="B9" s="15" t="s">
        <v>883</v>
      </c>
      <c r="C9" s="21">
        <v>2000</v>
      </c>
      <c r="D9" s="18">
        <v>12.4</v>
      </c>
      <c r="E9" s="18">
        <v>0.35</v>
      </c>
      <c r="F9" s="18">
        <v>11.95</v>
      </c>
      <c r="G9" s="15" t="s">
        <v>884</v>
      </c>
      <c r="H9" s="47" t="s">
        <v>278</v>
      </c>
      <c r="I9" s="16">
        <v>2</v>
      </c>
      <c r="J9" s="15" t="s">
        <v>885</v>
      </c>
      <c r="L9" s="13">
        <f>IF(A9="","",A9&amp;" - "&amp;B9&amp;IF(C9="",""," to "&amp;TEXT(C9,"#,##0")&amp;"g"))</f>
        <v>0</v>
      </c>
      <c r="M9" s="20">
        <f>IF(A9="","",ROUND(IF(D9="",0,D9)+IF(E9="",0,E9),2))</f>
        <v>0</v>
      </c>
      <c r="N9" s="20">
        <f>IF(A9="","",ROUND(MAX(0,M9-IF(F9="",0,F9)),2))</f>
        <v>0</v>
      </c>
      <c r="O9" s="20">
        <f>IF(A9="","",ROUND(IF(F9="",0,F9)-M9,2))</f>
        <v>0</v>
      </c>
      <c r="P9" s="20">
        <f>IF(A9="","",IF(OR(C9="",C9=0),"",ROUND(M9/C9*100,3)))</f>
        <v>0</v>
      </c>
      <c r="Q9" s="32">
        <f>IF(A9="","",COUNTIFS(Products!$J$5:$J$304,L9))</f>
        <v>0</v>
      </c>
      <c r="R9" s="43">
        <f>IF(A9="","",IF(D9="","Add - what does the label cost?",IF(C9="","Add - what is the weight limit?",IF(AND(G9="Buyer pays",F9=""),"Add - what are you charging?",IF(O9&lt;-0.5,"Loss - postage is costing you",IF(AND(F9&gt;0,O9&gt;1),"Check - you are over charging postage","OK"))))))</f>
        <v>0</v>
      </c>
    </row>
    <row r="10" spans="1:18">
      <c r="A10" s="15" t="s">
        <v>890</v>
      </c>
      <c r="B10" s="15" t="s">
        <v>883</v>
      </c>
      <c r="C10" s="21">
        <v>5000</v>
      </c>
      <c r="D10" s="18">
        <v>18.6</v>
      </c>
      <c r="E10" s="18">
        <v>1.2</v>
      </c>
      <c r="F10" s="18">
        <v>16</v>
      </c>
      <c r="G10" s="15" t="s">
        <v>891</v>
      </c>
      <c r="H10" s="47" t="s">
        <v>278</v>
      </c>
      <c r="I10" s="16">
        <v>4</v>
      </c>
      <c r="J10" s="15" t="s">
        <v>892</v>
      </c>
      <c r="K10" s="40" t="s">
        <v>893</v>
      </c>
      <c r="L10" s="13">
        <f>IF(A10="","",A10&amp;" - "&amp;B10&amp;IF(C10="",""," to "&amp;TEXT(C10,"#,##0")&amp;"g"))</f>
        <v>0</v>
      </c>
      <c r="M10" s="20">
        <f>IF(A10="","",ROUND(IF(D10="",0,D10)+IF(E10="",0,E10),2))</f>
        <v>0</v>
      </c>
      <c r="N10" s="20">
        <f>IF(A10="","",ROUND(MAX(0,M10-IF(F10="",0,F10)),2))</f>
        <v>0</v>
      </c>
      <c r="O10" s="20">
        <f>IF(A10="","",ROUND(IF(F10="",0,F10)-M10,2))</f>
        <v>0</v>
      </c>
      <c r="P10" s="20">
        <f>IF(A10="","",IF(OR(C10="",C10=0),"",ROUND(M10/C10*100,3)))</f>
        <v>0</v>
      </c>
      <c r="Q10" s="32">
        <f>IF(A10="","",COUNTIFS(Products!$J$5:$J$304,L10))</f>
        <v>0</v>
      </c>
      <c r="R10" s="43">
        <f>IF(A10="","",IF(D10="","Add - what does the label cost?",IF(C10="","Add - what is the weight limit?",IF(AND(G10="Buyer pays",F10=""),"Add - what are you charging?",IF(O10&lt;-0.5,"Loss - postage is costing you",IF(AND(F10&gt;0,O10&gt;1),"Check - you are over charging postage","OK"))))))</f>
        <v>0</v>
      </c>
    </row>
    <row r="11" spans="1:18">
      <c r="A11" s="15" t="s">
        <v>894</v>
      </c>
      <c r="B11" s="15" t="s">
        <v>895</v>
      </c>
      <c r="C11" s="21">
        <v>500</v>
      </c>
      <c r="D11" s="18">
        <v>24.5</v>
      </c>
      <c r="E11" s="18">
        <v>0</v>
      </c>
      <c r="F11" s="18">
        <v>24.5</v>
      </c>
      <c r="G11" s="15" t="s">
        <v>884</v>
      </c>
      <c r="H11" s="47" t="s">
        <v>278</v>
      </c>
      <c r="I11" s="16">
        <v>12</v>
      </c>
      <c r="J11" s="15" t="s">
        <v>885</v>
      </c>
      <c r="K11" s="40" t="s">
        <v>896</v>
      </c>
      <c r="L11" s="13">
        <f>IF(A11="","",A11&amp;" - "&amp;B11&amp;IF(C11="",""," to "&amp;TEXT(C11,"#,##0")&amp;"g"))</f>
        <v>0</v>
      </c>
      <c r="M11" s="20">
        <f>IF(A11="","",ROUND(IF(D11="",0,D11)+IF(E11="",0,E11),2))</f>
        <v>0</v>
      </c>
      <c r="N11" s="20">
        <f>IF(A11="","",ROUND(MAX(0,M11-IF(F11="",0,F11)),2))</f>
        <v>0</v>
      </c>
      <c r="O11" s="20">
        <f>IF(A11="","",ROUND(IF(F11="",0,F11)-M11,2))</f>
        <v>0</v>
      </c>
      <c r="P11" s="20">
        <f>IF(A11="","",IF(OR(C11="",C11=0),"",ROUND(M11/C11*100,3)))</f>
        <v>0</v>
      </c>
      <c r="Q11" s="32">
        <f>IF(A11="","",COUNTIFS(Products!$J$5:$J$304,L11))</f>
        <v>0</v>
      </c>
      <c r="R11" s="43">
        <f>IF(A11="","",IF(D11="","Add - what does the label cost?",IF(C11="","Add - what is the weight limit?",IF(AND(G11="Buyer pays",F11=""),"Add - what are you charging?",IF(O11&lt;-0.5,"Loss - postage is costing you",IF(AND(F11&gt;0,O11&gt;1),"Check - you are over charging postage","OK"))))))</f>
        <v>0</v>
      </c>
    </row>
    <row r="12" spans="1:18">
      <c r="A12" s="15" t="s">
        <v>897</v>
      </c>
      <c r="B12" s="15" t="s">
        <v>898</v>
      </c>
      <c r="D12" s="18">
        <v>0</v>
      </c>
      <c r="F12" s="18">
        <v>0</v>
      </c>
      <c r="G12" s="15" t="s">
        <v>899</v>
      </c>
      <c r="H12" s="47" t="s">
        <v>281</v>
      </c>
      <c r="I12" s="16">
        <v>0</v>
      </c>
      <c r="J12" s="15" t="s">
        <v>900</v>
      </c>
      <c r="K12" s="40" t="s">
        <v>901</v>
      </c>
      <c r="L12" s="13">
        <f>IF(A12="","",A12&amp;" - "&amp;B12&amp;IF(C12="",""," to "&amp;TEXT(C12,"#,##0")&amp;"g"))</f>
        <v>0</v>
      </c>
      <c r="M12" s="20">
        <f>IF(A12="","",ROUND(IF(D12="",0,D12)+IF(E12="",0,E12),2))</f>
        <v>0</v>
      </c>
      <c r="N12" s="20">
        <f>IF(A12="","",ROUND(MAX(0,M12-IF(F12="",0,F12)),2))</f>
        <v>0</v>
      </c>
      <c r="O12" s="20">
        <f>IF(A12="","",ROUND(IF(F12="",0,F12)-M12,2))</f>
        <v>0</v>
      </c>
      <c r="P12" s="20">
        <f>IF(A12="","",IF(OR(C12="",C12=0),"",ROUND(M12/C12*100,3)))</f>
        <v>0</v>
      </c>
      <c r="Q12" s="32">
        <f>IF(A12="","",COUNTIFS(Products!$J$5:$J$304,L12))</f>
        <v>0</v>
      </c>
      <c r="R12" s="43">
        <f>IF(A12="","",IF(D12="","Add - what does the label cost?",IF(C12="","Add - what is the weight limit?",IF(AND(G12="Buyer pays",F12=""),"Add - what are you charging?",IF(O12&lt;-0.5,"Loss - postage is costing you",IF(AND(F12&gt;0,O12&gt;1),"Check - you are over charging postage","OK"))))))</f>
        <v>0</v>
      </c>
    </row>
    <row r="13" spans="1:18">
      <c r="L13" s="13">
        <f>IF(A13="","",A13&amp;" - "&amp;B13&amp;IF(C13="",""," to "&amp;TEXT(C13,"#,##0")&amp;"g"))</f>
        <v>0</v>
      </c>
      <c r="M13" s="20">
        <f>IF(A13="","",ROUND(IF(D13="",0,D13)+IF(E13="",0,E13),2))</f>
        <v>0</v>
      </c>
      <c r="N13" s="20">
        <f>IF(A13="","",ROUND(MAX(0,M13-IF(F13="",0,F13)),2))</f>
        <v>0</v>
      </c>
      <c r="O13" s="20">
        <f>IF(A13="","",ROUND(IF(F13="",0,F13)-M13,2))</f>
        <v>0</v>
      </c>
      <c r="P13" s="20">
        <f>IF(A13="","",IF(OR(C13="",C13=0),"",ROUND(M13/C13*100,3)))</f>
        <v>0</v>
      </c>
      <c r="Q13" s="32">
        <f>IF(A13="","",COUNTIFS(Products!$J$5:$J$304,L13))</f>
        <v>0</v>
      </c>
      <c r="R13" s="43">
        <f>IF(A13="","",IF(D13="","Add - what does the label cost?",IF(C13="","Add - what is the weight limit?",IF(AND(G13="Buyer pays",F13=""),"Add - what are you charging?",IF(O13&lt;-0.5,"Loss - postage is costing you",IF(AND(F13&gt;0,O13&gt;1),"Check - you are over charging postage","OK"))))))</f>
        <v>0</v>
      </c>
    </row>
    <row r="14" spans="1:18">
      <c r="L14" s="13">
        <f>IF(A14="","",A14&amp;" - "&amp;B14&amp;IF(C14="",""," to "&amp;TEXT(C14,"#,##0")&amp;"g"))</f>
        <v>0</v>
      </c>
      <c r="M14" s="20">
        <f>IF(A14="","",ROUND(IF(D14="",0,D14)+IF(E14="",0,E14),2))</f>
        <v>0</v>
      </c>
      <c r="N14" s="20">
        <f>IF(A14="","",ROUND(MAX(0,M14-IF(F14="",0,F14)),2))</f>
        <v>0</v>
      </c>
      <c r="O14" s="20">
        <f>IF(A14="","",ROUND(IF(F14="",0,F14)-M14,2))</f>
        <v>0</v>
      </c>
      <c r="P14" s="20">
        <f>IF(A14="","",IF(OR(C14="",C14=0),"",ROUND(M14/C14*100,3)))</f>
        <v>0</v>
      </c>
      <c r="Q14" s="32">
        <f>IF(A14="","",COUNTIFS(Products!$J$5:$J$304,L14))</f>
        <v>0</v>
      </c>
      <c r="R14" s="43">
        <f>IF(A14="","",IF(D14="","Add - what does the label cost?",IF(C14="","Add - what is the weight limit?",IF(AND(G14="Buyer pays",F14=""),"Add - what are you charging?",IF(O14&lt;-0.5,"Loss - postage is costing you",IF(AND(F14&gt;0,O14&gt;1),"Check - you are over charging postage","OK"))))))</f>
        <v>0</v>
      </c>
    </row>
    <row r="15" spans="1:18">
      <c r="L15" s="13">
        <f>IF(A15="","",A15&amp;" - "&amp;B15&amp;IF(C15="",""," to "&amp;TEXT(C15,"#,##0")&amp;"g"))</f>
        <v>0</v>
      </c>
      <c r="M15" s="20">
        <f>IF(A15="","",ROUND(IF(D15="",0,D15)+IF(E15="",0,E15),2))</f>
        <v>0</v>
      </c>
      <c r="N15" s="20">
        <f>IF(A15="","",ROUND(MAX(0,M15-IF(F15="",0,F15)),2))</f>
        <v>0</v>
      </c>
      <c r="O15" s="20">
        <f>IF(A15="","",ROUND(IF(F15="",0,F15)-M15,2))</f>
        <v>0</v>
      </c>
      <c r="P15" s="20">
        <f>IF(A15="","",IF(OR(C15="",C15=0),"",ROUND(M15/C15*100,3)))</f>
        <v>0</v>
      </c>
      <c r="Q15" s="32">
        <f>IF(A15="","",COUNTIFS(Products!$J$5:$J$304,L15))</f>
        <v>0</v>
      </c>
      <c r="R15" s="43">
        <f>IF(A15="","",IF(D15="","Add - what does the label cost?",IF(C15="","Add - what is the weight limit?",IF(AND(G15="Buyer pays",F15=""),"Add - what are you charging?",IF(O15&lt;-0.5,"Loss - postage is costing you",IF(AND(F15&gt;0,O15&gt;1),"Check - you are over charging postage","OK"))))))</f>
        <v>0</v>
      </c>
    </row>
    <row r="16" spans="1:18">
      <c r="L16" s="13">
        <f>IF(A16="","",A16&amp;" - "&amp;B16&amp;IF(C16="",""," to "&amp;TEXT(C16,"#,##0")&amp;"g"))</f>
        <v>0</v>
      </c>
      <c r="M16" s="20">
        <f>IF(A16="","",ROUND(IF(D16="",0,D16)+IF(E16="",0,E16),2))</f>
        <v>0</v>
      </c>
      <c r="N16" s="20">
        <f>IF(A16="","",ROUND(MAX(0,M16-IF(F16="",0,F16)),2))</f>
        <v>0</v>
      </c>
      <c r="O16" s="20">
        <f>IF(A16="","",ROUND(IF(F16="",0,F16)-M16,2))</f>
        <v>0</v>
      </c>
      <c r="P16" s="20">
        <f>IF(A16="","",IF(OR(C16="",C16=0),"",ROUND(M16/C16*100,3)))</f>
        <v>0</v>
      </c>
      <c r="Q16" s="32">
        <f>IF(A16="","",COUNTIFS(Products!$J$5:$J$304,L16))</f>
        <v>0</v>
      </c>
      <c r="R16" s="43">
        <f>IF(A16="","",IF(D16="","Add - what does the label cost?",IF(C16="","Add - what is the weight limit?",IF(AND(G16="Buyer pays",F16=""),"Add - what are you charging?",IF(O16&lt;-0.5,"Loss - postage is costing you",IF(AND(F16&gt;0,O16&gt;1),"Check - you are over charging postage","OK"))))))</f>
        <v>0</v>
      </c>
    </row>
    <row r="17" spans="12:18">
      <c r="L17" s="13">
        <f>IF(A17="","",A17&amp;" - "&amp;B17&amp;IF(C17="",""," to "&amp;TEXT(C17,"#,##0")&amp;"g"))</f>
        <v>0</v>
      </c>
      <c r="M17" s="20">
        <f>IF(A17="","",ROUND(IF(D17="",0,D17)+IF(E17="",0,E17),2))</f>
        <v>0</v>
      </c>
      <c r="N17" s="20">
        <f>IF(A17="","",ROUND(MAX(0,M17-IF(F17="",0,F17)),2))</f>
        <v>0</v>
      </c>
      <c r="O17" s="20">
        <f>IF(A17="","",ROUND(IF(F17="",0,F17)-M17,2))</f>
        <v>0</v>
      </c>
      <c r="P17" s="20">
        <f>IF(A17="","",IF(OR(C17="",C17=0),"",ROUND(M17/C17*100,3)))</f>
        <v>0</v>
      </c>
      <c r="Q17" s="32">
        <f>IF(A17="","",COUNTIFS(Products!$J$5:$J$304,L17))</f>
        <v>0</v>
      </c>
      <c r="R17" s="43">
        <f>IF(A17="","",IF(D17="","Add - what does the label cost?",IF(C17="","Add - what is the weight limit?",IF(AND(G17="Buyer pays",F17=""),"Add - what are you charging?",IF(O17&lt;-0.5,"Loss - postage is costing you",IF(AND(F17&gt;0,O17&gt;1),"Check - you are over charging postage","OK"))))))</f>
        <v>0</v>
      </c>
    </row>
    <row r="18" spans="12:18">
      <c r="L18" s="13">
        <f>IF(A18="","",A18&amp;" - "&amp;B18&amp;IF(C18="",""," to "&amp;TEXT(C18,"#,##0")&amp;"g"))</f>
        <v>0</v>
      </c>
      <c r="M18" s="20">
        <f>IF(A18="","",ROUND(IF(D18="",0,D18)+IF(E18="",0,E18),2))</f>
        <v>0</v>
      </c>
      <c r="N18" s="20">
        <f>IF(A18="","",ROUND(MAX(0,M18-IF(F18="",0,F18)),2))</f>
        <v>0</v>
      </c>
      <c r="O18" s="20">
        <f>IF(A18="","",ROUND(IF(F18="",0,F18)-M18,2))</f>
        <v>0</v>
      </c>
      <c r="P18" s="20">
        <f>IF(A18="","",IF(OR(C18="",C18=0),"",ROUND(M18/C18*100,3)))</f>
        <v>0</v>
      </c>
      <c r="Q18" s="32">
        <f>IF(A18="","",COUNTIFS(Products!$J$5:$J$304,L18))</f>
        <v>0</v>
      </c>
      <c r="R18" s="43">
        <f>IF(A18="","",IF(D18="","Add - what does the label cost?",IF(C18="","Add - what is the weight limit?",IF(AND(G18="Buyer pays",F18=""),"Add - what are you charging?",IF(O18&lt;-0.5,"Loss - postage is costing you",IF(AND(F18&gt;0,O18&gt;1),"Check - you are over charging postage","OK"))))))</f>
        <v>0</v>
      </c>
    </row>
    <row r="19" spans="12:18">
      <c r="L19" s="13">
        <f>IF(A19="","",A19&amp;" - "&amp;B19&amp;IF(C19="",""," to "&amp;TEXT(C19,"#,##0")&amp;"g"))</f>
        <v>0</v>
      </c>
      <c r="M19" s="20">
        <f>IF(A19="","",ROUND(IF(D19="",0,D19)+IF(E19="",0,E19),2))</f>
        <v>0</v>
      </c>
      <c r="N19" s="20">
        <f>IF(A19="","",ROUND(MAX(0,M19-IF(F19="",0,F19)),2))</f>
        <v>0</v>
      </c>
      <c r="O19" s="20">
        <f>IF(A19="","",ROUND(IF(F19="",0,F19)-M19,2))</f>
        <v>0</v>
      </c>
      <c r="P19" s="20">
        <f>IF(A19="","",IF(OR(C19="",C19=0),"",ROUND(M19/C19*100,3)))</f>
        <v>0</v>
      </c>
      <c r="Q19" s="32">
        <f>IF(A19="","",COUNTIFS(Products!$J$5:$J$304,L19))</f>
        <v>0</v>
      </c>
      <c r="R19" s="43">
        <f>IF(A19="","",IF(D19="","Add - what does the label cost?",IF(C19="","Add - what is the weight limit?",IF(AND(G19="Buyer pays",F19=""),"Add - what are you charging?",IF(O19&lt;-0.5,"Loss - postage is costing you",IF(AND(F19&gt;0,O19&gt;1),"Check - you are over charging postage","OK"))))))</f>
        <v>0</v>
      </c>
    </row>
    <row r="20" spans="12:18">
      <c r="L20" s="13">
        <f>IF(A20="","",A20&amp;" - "&amp;B20&amp;IF(C20="",""," to "&amp;TEXT(C20,"#,##0")&amp;"g"))</f>
        <v>0</v>
      </c>
      <c r="M20" s="20">
        <f>IF(A20="","",ROUND(IF(D20="",0,D20)+IF(E20="",0,E20),2))</f>
        <v>0</v>
      </c>
      <c r="N20" s="20">
        <f>IF(A20="","",ROUND(MAX(0,M20-IF(F20="",0,F20)),2))</f>
        <v>0</v>
      </c>
      <c r="O20" s="20">
        <f>IF(A20="","",ROUND(IF(F20="",0,F20)-M20,2))</f>
        <v>0</v>
      </c>
      <c r="P20" s="20">
        <f>IF(A20="","",IF(OR(C20="",C20=0),"",ROUND(M20/C20*100,3)))</f>
        <v>0</v>
      </c>
      <c r="Q20" s="32">
        <f>IF(A20="","",COUNTIFS(Products!$J$5:$J$304,L20))</f>
        <v>0</v>
      </c>
      <c r="R20" s="43">
        <f>IF(A20="","",IF(D20="","Add - what does the label cost?",IF(C20="","Add - what is the weight limit?",IF(AND(G20="Buyer pays",F20=""),"Add - what are you charging?",IF(O20&lt;-0.5,"Loss - postage is costing you",IF(AND(F20&gt;0,O20&gt;1),"Check - you are over charging postage","OK"))))))</f>
        <v>0</v>
      </c>
    </row>
    <row r="21" spans="12:18">
      <c r="L21" s="13">
        <f>IF(A21="","",A21&amp;" - "&amp;B21&amp;IF(C21="",""," to "&amp;TEXT(C21,"#,##0")&amp;"g"))</f>
        <v>0</v>
      </c>
      <c r="M21" s="20">
        <f>IF(A21="","",ROUND(IF(D21="",0,D21)+IF(E21="",0,E21),2))</f>
        <v>0</v>
      </c>
      <c r="N21" s="20">
        <f>IF(A21="","",ROUND(MAX(0,M21-IF(F21="",0,F21)),2))</f>
        <v>0</v>
      </c>
      <c r="O21" s="20">
        <f>IF(A21="","",ROUND(IF(F21="",0,F21)-M21,2))</f>
        <v>0</v>
      </c>
      <c r="P21" s="20">
        <f>IF(A21="","",IF(OR(C21="",C21=0),"",ROUND(M21/C21*100,3)))</f>
        <v>0</v>
      </c>
      <c r="Q21" s="32">
        <f>IF(A21="","",COUNTIFS(Products!$J$5:$J$304,L21))</f>
        <v>0</v>
      </c>
      <c r="R21" s="43">
        <f>IF(A21="","",IF(D21="","Add - what does the label cost?",IF(C21="","Add - what is the weight limit?",IF(AND(G21="Buyer pays",F21=""),"Add - what are you charging?",IF(O21&lt;-0.5,"Loss - postage is costing you",IF(AND(F21&gt;0,O21&gt;1),"Check - you are over charging postage","OK"))))))</f>
        <v>0</v>
      </c>
    </row>
    <row r="22" spans="12:18">
      <c r="L22" s="13">
        <f>IF(A22="","",A22&amp;" - "&amp;B22&amp;IF(C22="",""," to "&amp;TEXT(C22,"#,##0")&amp;"g"))</f>
        <v>0</v>
      </c>
      <c r="M22" s="20">
        <f>IF(A22="","",ROUND(IF(D22="",0,D22)+IF(E22="",0,E22),2))</f>
        <v>0</v>
      </c>
      <c r="N22" s="20">
        <f>IF(A22="","",ROUND(MAX(0,M22-IF(F22="",0,F22)),2))</f>
        <v>0</v>
      </c>
      <c r="O22" s="20">
        <f>IF(A22="","",ROUND(IF(F22="",0,F22)-M22,2))</f>
        <v>0</v>
      </c>
      <c r="P22" s="20">
        <f>IF(A22="","",IF(OR(C22="",C22=0),"",ROUND(M22/C22*100,3)))</f>
        <v>0</v>
      </c>
      <c r="Q22" s="32">
        <f>IF(A22="","",COUNTIFS(Products!$J$5:$J$304,L22))</f>
        <v>0</v>
      </c>
      <c r="R22" s="43">
        <f>IF(A22="","",IF(D22="","Add - what does the label cost?",IF(C22="","Add - what is the weight limit?",IF(AND(G22="Buyer pays",F22=""),"Add - what are you charging?",IF(O22&lt;-0.5,"Loss - postage is costing you",IF(AND(F22&gt;0,O22&gt;1),"Check - you are over charging postage","OK"))))))</f>
        <v>0</v>
      </c>
    </row>
    <row r="23" spans="12:18">
      <c r="L23" s="13">
        <f>IF(A23="","",A23&amp;" - "&amp;B23&amp;IF(C23="",""," to "&amp;TEXT(C23,"#,##0")&amp;"g"))</f>
        <v>0</v>
      </c>
      <c r="M23" s="20">
        <f>IF(A23="","",ROUND(IF(D23="",0,D23)+IF(E23="",0,E23),2))</f>
        <v>0</v>
      </c>
      <c r="N23" s="20">
        <f>IF(A23="","",ROUND(MAX(0,M23-IF(F23="",0,F23)),2))</f>
        <v>0</v>
      </c>
      <c r="O23" s="20">
        <f>IF(A23="","",ROUND(IF(F23="",0,F23)-M23,2))</f>
        <v>0</v>
      </c>
      <c r="P23" s="20">
        <f>IF(A23="","",IF(OR(C23="",C23=0),"",ROUND(M23/C23*100,3)))</f>
        <v>0</v>
      </c>
      <c r="Q23" s="32">
        <f>IF(A23="","",COUNTIFS(Products!$J$5:$J$304,L23))</f>
        <v>0</v>
      </c>
      <c r="R23" s="43">
        <f>IF(A23="","",IF(D23="","Add - what does the label cost?",IF(C23="","Add - what is the weight limit?",IF(AND(G23="Buyer pays",F23=""),"Add - what are you charging?",IF(O23&lt;-0.5,"Loss - postage is costing you",IF(AND(F23&gt;0,O23&gt;1),"Check - you are over charging postage","OK"))))))</f>
        <v>0</v>
      </c>
    </row>
    <row r="24" spans="12:18">
      <c r="L24" s="13">
        <f>IF(A24="","",A24&amp;" - "&amp;B24&amp;IF(C24="",""," to "&amp;TEXT(C24,"#,##0")&amp;"g"))</f>
        <v>0</v>
      </c>
      <c r="M24" s="20">
        <f>IF(A24="","",ROUND(IF(D24="",0,D24)+IF(E24="",0,E24),2))</f>
        <v>0</v>
      </c>
      <c r="N24" s="20">
        <f>IF(A24="","",ROUND(MAX(0,M24-IF(F24="",0,F24)),2))</f>
        <v>0</v>
      </c>
      <c r="O24" s="20">
        <f>IF(A24="","",ROUND(IF(F24="",0,F24)-M24,2))</f>
        <v>0</v>
      </c>
      <c r="P24" s="20">
        <f>IF(A24="","",IF(OR(C24="",C24=0),"",ROUND(M24/C24*100,3)))</f>
        <v>0</v>
      </c>
      <c r="Q24" s="32">
        <f>IF(A24="","",COUNTIFS(Products!$J$5:$J$304,L24))</f>
        <v>0</v>
      </c>
      <c r="R24" s="43">
        <f>IF(A24="","",IF(D24="","Add - what does the label cost?",IF(C24="","Add - what is the weight limit?",IF(AND(G24="Buyer pays",F24=""),"Add - what are you charging?",IF(O24&lt;-0.5,"Loss - postage is costing you",IF(AND(F24&gt;0,O24&gt;1),"Check - you are over charging postage","OK"))))))</f>
        <v>0</v>
      </c>
    </row>
    <row r="25" spans="12:18">
      <c r="L25" s="13">
        <f>IF(A25="","",A25&amp;" - "&amp;B25&amp;IF(C25="",""," to "&amp;TEXT(C25,"#,##0")&amp;"g"))</f>
        <v>0</v>
      </c>
      <c r="M25" s="20">
        <f>IF(A25="","",ROUND(IF(D25="",0,D25)+IF(E25="",0,E25),2))</f>
        <v>0</v>
      </c>
      <c r="N25" s="20">
        <f>IF(A25="","",ROUND(MAX(0,M25-IF(F25="",0,F25)),2))</f>
        <v>0</v>
      </c>
      <c r="O25" s="20">
        <f>IF(A25="","",ROUND(IF(F25="",0,F25)-M25,2))</f>
        <v>0</v>
      </c>
      <c r="P25" s="20">
        <f>IF(A25="","",IF(OR(C25="",C25=0),"",ROUND(M25/C25*100,3)))</f>
        <v>0</v>
      </c>
      <c r="Q25" s="32">
        <f>IF(A25="","",COUNTIFS(Products!$J$5:$J$304,L25))</f>
        <v>0</v>
      </c>
      <c r="R25" s="43">
        <f>IF(A25="","",IF(D25="","Add - what does the label cost?",IF(C25="","Add - what is the weight limit?",IF(AND(G25="Buyer pays",F25=""),"Add - what are you charging?",IF(O25&lt;-0.5,"Loss - postage is costing you",IF(AND(F25&gt;0,O25&gt;1),"Check - you are over charging postage","OK"))))))</f>
        <v>0</v>
      </c>
    </row>
    <row r="26" spans="12:18">
      <c r="L26" s="13">
        <f>IF(A26="","",A26&amp;" - "&amp;B26&amp;IF(C26="",""," to "&amp;TEXT(C26,"#,##0")&amp;"g"))</f>
        <v>0</v>
      </c>
      <c r="M26" s="20">
        <f>IF(A26="","",ROUND(IF(D26="",0,D26)+IF(E26="",0,E26),2))</f>
        <v>0</v>
      </c>
      <c r="N26" s="20">
        <f>IF(A26="","",ROUND(MAX(0,M26-IF(F26="",0,F26)),2))</f>
        <v>0</v>
      </c>
      <c r="O26" s="20">
        <f>IF(A26="","",ROUND(IF(F26="",0,F26)-M26,2))</f>
        <v>0</v>
      </c>
      <c r="P26" s="20">
        <f>IF(A26="","",IF(OR(C26="",C26=0),"",ROUND(M26/C26*100,3)))</f>
        <v>0</v>
      </c>
      <c r="Q26" s="32">
        <f>IF(A26="","",COUNTIFS(Products!$J$5:$J$304,L26))</f>
        <v>0</v>
      </c>
      <c r="R26" s="43">
        <f>IF(A26="","",IF(D26="","Add - what does the label cost?",IF(C26="","Add - what is the weight limit?",IF(AND(G26="Buyer pays",F26=""),"Add - what are you charging?",IF(O26&lt;-0.5,"Loss - postage is costing you",IF(AND(F26&gt;0,O26&gt;1),"Check - you are over charging postage","OK"))))))</f>
        <v>0</v>
      </c>
    </row>
    <row r="27" spans="12:18">
      <c r="L27" s="13">
        <f>IF(A27="","",A27&amp;" - "&amp;B27&amp;IF(C27="",""," to "&amp;TEXT(C27,"#,##0")&amp;"g"))</f>
        <v>0</v>
      </c>
      <c r="M27" s="20">
        <f>IF(A27="","",ROUND(IF(D27="",0,D27)+IF(E27="",0,E27),2))</f>
        <v>0</v>
      </c>
      <c r="N27" s="20">
        <f>IF(A27="","",ROUND(MAX(0,M27-IF(F27="",0,F27)),2))</f>
        <v>0</v>
      </c>
      <c r="O27" s="20">
        <f>IF(A27="","",ROUND(IF(F27="",0,F27)-M27,2))</f>
        <v>0</v>
      </c>
      <c r="P27" s="20">
        <f>IF(A27="","",IF(OR(C27="",C27=0),"",ROUND(M27/C27*100,3)))</f>
        <v>0</v>
      </c>
      <c r="Q27" s="32">
        <f>IF(A27="","",COUNTIFS(Products!$J$5:$J$304,L27))</f>
        <v>0</v>
      </c>
      <c r="R27" s="43">
        <f>IF(A27="","",IF(D27="","Add - what does the label cost?",IF(C27="","Add - what is the weight limit?",IF(AND(G27="Buyer pays",F27=""),"Add - what are you charging?",IF(O27&lt;-0.5,"Loss - postage is costing you",IF(AND(F27&gt;0,O27&gt;1),"Check - you are over charging postage","OK"))))))</f>
        <v>0</v>
      </c>
    </row>
    <row r="28" spans="12:18">
      <c r="L28" s="13">
        <f>IF(A28="","",A28&amp;" - "&amp;B28&amp;IF(C28="",""," to "&amp;TEXT(C28,"#,##0")&amp;"g"))</f>
        <v>0</v>
      </c>
      <c r="M28" s="20">
        <f>IF(A28="","",ROUND(IF(D28="",0,D28)+IF(E28="",0,E28),2))</f>
        <v>0</v>
      </c>
      <c r="N28" s="20">
        <f>IF(A28="","",ROUND(MAX(0,M28-IF(F28="",0,F28)),2))</f>
        <v>0</v>
      </c>
      <c r="O28" s="20">
        <f>IF(A28="","",ROUND(IF(F28="",0,F28)-M28,2))</f>
        <v>0</v>
      </c>
      <c r="P28" s="20">
        <f>IF(A28="","",IF(OR(C28="",C28=0),"",ROUND(M28/C28*100,3)))</f>
        <v>0</v>
      </c>
      <c r="Q28" s="32">
        <f>IF(A28="","",COUNTIFS(Products!$J$5:$J$304,L28))</f>
        <v>0</v>
      </c>
      <c r="R28" s="43">
        <f>IF(A28="","",IF(D28="","Add - what does the label cost?",IF(C28="","Add - what is the weight limit?",IF(AND(G28="Buyer pays",F28=""),"Add - what are you charging?",IF(O28&lt;-0.5,"Loss - postage is costing you",IF(AND(F28&gt;0,O28&gt;1),"Check - you are over charging postage","OK"))))))</f>
        <v>0</v>
      </c>
    </row>
    <row r="29" spans="12:18">
      <c r="L29" s="13">
        <f>IF(A29="","",A29&amp;" - "&amp;B29&amp;IF(C29="",""," to "&amp;TEXT(C29,"#,##0")&amp;"g"))</f>
        <v>0</v>
      </c>
      <c r="M29" s="20">
        <f>IF(A29="","",ROUND(IF(D29="",0,D29)+IF(E29="",0,E29),2))</f>
        <v>0</v>
      </c>
      <c r="N29" s="20">
        <f>IF(A29="","",ROUND(MAX(0,M29-IF(F29="",0,F29)),2))</f>
        <v>0</v>
      </c>
      <c r="O29" s="20">
        <f>IF(A29="","",ROUND(IF(F29="",0,F29)-M29,2))</f>
        <v>0</v>
      </c>
      <c r="P29" s="20">
        <f>IF(A29="","",IF(OR(C29="",C29=0),"",ROUND(M29/C29*100,3)))</f>
        <v>0</v>
      </c>
      <c r="Q29" s="32">
        <f>IF(A29="","",COUNTIFS(Products!$J$5:$J$304,L29))</f>
        <v>0</v>
      </c>
      <c r="R29" s="43">
        <f>IF(A29="","",IF(D29="","Add - what does the label cost?",IF(C29="","Add - what is the weight limit?",IF(AND(G29="Buyer pays",F29=""),"Add - what are you charging?",IF(O29&lt;-0.5,"Loss - postage is costing you",IF(AND(F29&gt;0,O29&gt;1),"Check - you are over charging postage","OK"))))))</f>
        <v>0</v>
      </c>
    </row>
    <row r="30" spans="12:18">
      <c r="L30" s="13">
        <f>IF(A30="","",A30&amp;" - "&amp;B30&amp;IF(C30="",""," to "&amp;TEXT(C30,"#,##0")&amp;"g"))</f>
        <v>0</v>
      </c>
      <c r="M30" s="20">
        <f>IF(A30="","",ROUND(IF(D30="",0,D30)+IF(E30="",0,E30),2))</f>
        <v>0</v>
      </c>
      <c r="N30" s="20">
        <f>IF(A30="","",ROUND(MAX(0,M30-IF(F30="",0,F30)),2))</f>
        <v>0</v>
      </c>
      <c r="O30" s="20">
        <f>IF(A30="","",ROUND(IF(F30="",0,F30)-M30,2))</f>
        <v>0</v>
      </c>
      <c r="P30" s="20">
        <f>IF(A30="","",IF(OR(C30="",C30=0),"",ROUND(M30/C30*100,3)))</f>
        <v>0</v>
      </c>
      <c r="Q30" s="32">
        <f>IF(A30="","",COUNTIFS(Products!$J$5:$J$304,L30))</f>
        <v>0</v>
      </c>
      <c r="R30" s="43">
        <f>IF(A30="","",IF(D30="","Add - what does the label cost?",IF(C30="","Add - what is the weight limit?",IF(AND(G30="Buyer pays",F30=""),"Add - what are you charging?",IF(O30&lt;-0.5,"Loss - postage is costing you",IF(AND(F30&gt;0,O30&gt;1),"Check - you are over charging postage","OK"))))))</f>
        <v>0</v>
      </c>
    </row>
    <row r="31" spans="12:18">
      <c r="L31" s="13">
        <f>IF(A31="","",A31&amp;" - "&amp;B31&amp;IF(C31="",""," to "&amp;TEXT(C31,"#,##0")&amp;"g"))</f>
        <v>0</v>
      </c>
      <c r="M31" s="20">
        <f>IF(A31="","",ROUND(IF(D31="",0,D31)+IF(E31="",0,E31),2))</f>
        <v>0</v>
      </c>
      <c r="N31" s="20">
        <f>IF(A31="","",ROUND(MAX(0,M31-IF(F31="",0,F31)),2))</f>
        <v>0</v>
      </c>
      <c r="O31" s="20">
        <f>IF(A31="","",ROUND(IF(F31="",0,F31)-M31,2))</f>
        <v>0</v>
      </c>
      <c r="P31" s="20">
        <f>IF(A31="","",IF(OR(C31="",C31=0),"",ROUND(M31/C31*100,3)))</f>
        <v>0</v>
      </c>
      <c r="Q31" s="32">
        <f>IF(A31="","",COUNTIFS(Products!$J$5:$J$304,L31))</f>
        <v>0</v>
      </c>
      <c r="R31" s="43">
        <f>IF(A31="","",IF(D31="","Add - what does the label cost?",IF(C31="","Add - what is the weight limit?",IF(AND(G31="Buyer pays",F31=""),"Add - what are you charging?",IF(O31&lt;-0.5,"Loss - postage is costing you",IF(AND(F31&gt;0,O31&gt;1),"Check - you are over charging postage","OK"))))))</f>
        <v>0</v>
      </c>
    </row>
    <row r="32" spans="12:18">
      <c r="L32" s="13">
        <f>IF(A32="","",A32&amp;" - "&amp;B32&amp;IF(C32="",""," to "&amp;TEXT(C32,"#,##0")&amp;"g"))</f>
        <v>0</v>
      </c>
      <c r="M32" s="20">
        <f>IF(A32="","",ROUND(IF(D32="",0,D32)+IF(E32="",0,E32),2))</f>
        <v>0</v>
      </c>
      <c r="N32" s="20">
        <f>IF(A32="","",ROUND(MAX(0,M32-IF(F32="",0,F32)),2))</f>
        <v>0</v>
      </c>
      <c r="O32" s="20">
        <f>IF(A32="","",ROUND(IF(F32="",0,F32)-M32,2))</f>
        <v>0</v>
      </c>
      <c r="P32" s="20">
        <f>IF(A32="","",IF(OR(C32="",C32=0),"",ROUND(M32/C32*100,3)))</f>
        <v>0</v>
      </c>
      <c r="Q32" s="32">
        <f>IF(A32="","",COUNTIFS(Products!$J$5:$J$304,L32))</f>
        <v>0</v>
      </c>
      <c r="R32" s="43">
        <f>IF(A32="","",IF(D32="","Add - what does the label cost?",IF(C32="","Add - what is the weight limit?",IF(AND(G32="Buyer pays",F32=""),"Add - what are you charging?",IF(O32&lt;-0.5,"Loss - postage is costing you",IF(AND(F32&gt;0,O32&gt;1),"Check - you are over charging postage","OK"))))))</f>
        <v>0</v>
      </c>
    </row>
    <row r="33" spans="12:18">
      <c r="L33" s="13">
        <f>IF(A33="","",A33&amp;" - "&amp;B33&amp;IF(C33="",""," to "&amp;TEXT(C33,"#,##0")&amp;"g"))</f>
        <v>0</v>
      </c>
      <c r="M33" s="20">
        <f>IF(A33="","",ROUND(IF(D33="",0,D33)+IF(E33="",0,E33),2))</f>
        <v>0</v>
      </c>
      <c r="N33" s="20">
        <f>IF(A33="","",ROUND(MAX(0,M33-IF(F33="",0,F33)),2))</f>
        <v>0</v>
      </c>
      <c r="O33" s="20">
        <f>IF(A33="","",ROUND(IF(F33="",0,F33)-M33,2))</f>
        <v>0</v>
      </c>
      <c r="P33" s="20">
        <f>IF(A33="","",IF(OR(C33="",C33=0),"",ROUND(M33/C33*100,3)))</f>
        <v>0</v>
      </c>
      <c r="Q33" s="32">
        <f>IF(A33="","",COUNTIFS(Products!$J$5:$J$304,L33))</f>
        <v>0</v>
      </c>
      <c r="R33" s="43">
        <f>IF(A33="","",IF(D33="","Add - what does the label cost?",IF(C33="","Add - what is the weight limit?",IF(AND(G33="Buyer pays",F33=""),"Add - what are you charging?",IF(O33&lt;-0.5,"Loss - postage is costing you",IF(AND(F33&gt;0,O33&gt;1),"Check - you are over charging postage","OK"))))))</f>
        <v>0</v>
      </c>
    </row>
    <row r="34" spans="12:18">
      <c r="L34" s="13">
        <f>IF(A34="","",A34&amp;" - "&amp;B34&amp;IF(C34="",""," to "&amp;TEXT(C34,"#,##0")&amp;"g"))</f>
        <v>0</v>
      </c>
      <c r="M34" s="20">
        <f>IF(A34="","",ROUND(IF(D34="",0,D34)+IF(E34="",0,E34),2))</f>
        <v>0</v>
      </c>
      <c r="N34" s="20">
        <f>IF(A34="","",ROUND(MAX(0,M34-IF(F34="",0,F34)),2))</f>
        <v>0</v>
      </c>
      <c r="O34" s="20">
        <f>IF(A34="","",ROUND(IF(F34="",0,F34)-M34,2))</f>
        <v>0</v>
      </c>
      <c r="P34" s="20">
        <f>IF(A34="","",IF(OR(C34="",C34=0),"",ROUND(M34/C34*100,3)))</f>
        <v>0</v>
      </c>
      <c r="Q34" s="32">
        <f>IF(A34="","",COUNTIFS(Products!$J$5:$J$304,L34))</f>
        <v>0</v>
      </c>
      <c r="R34" s="43">
        <f>IF(A34="","",IF(D34="","Add - what does the label cost?",IF(C34="","Add - what is the weight limit?",IF(AND(G34="Buyer pays",F34=""),"Add - what are you charging?",IF(O34&lt;-0.5,"Loss - postage is costing you",IF(AND(F34&gt;0,O34&gt;1),"Check - you are over charging postage","OK"))))))</f>
        <v>0</v>
      </c>
    </row>
    <row r="35" spans="12:18">
      <c r="L35" s="13">
        <f>IF(A35="","",A35&amp;" - "&amp;B35&amp;IF(C35="",""," to "&amp;TEXT(C35,"#,##0")&amp;"g"))</f>
        <v>0</v>
      </c>
      <c r="M35" s="20">
        <f>IF(A35="","",ROUND(IF(D35="",0,D35)+IF(E35="",0,E35),2))</f>
        <v>0</v>
      </c>
      <c r="N35" s="20">
        <f>IF(A35="","",ROUND(MAX(0,M35-IF(F35="",0,F35)),2))</f>
        <v>0</v>
      </c>
      <c r="O35" s="20">
        <f>IF(A35="","",ROUND(IF(F35="",0,F35)-M35,2))</f>
        <v>0</v>
      </c>
      <c r="P35" s="20">
        <f>IF(A35="","",IF(OR(C35="",C35=0),"",ROUND(M35/C35*100,3)))</f>
        <v>0</v>
      </c>
      <c r="Q35" s="32">
        <f>IF(A35="","",COUNTIFS(Products!$J$5:$J$304,L35))</f>
        <v>0</v>
      </c>
      <c r="R35" s="43">
        <f>IF(A35="","",IF(D35="","Add - what does the label cost?",IF(C35="","Add - what is the weight limit?",IF(AND(G35="Buyer pays",F35=""),"Add - what are you charging?",IF(O35&lt;-0.5,"Loss - postage is costing you",IF(AND(F35&gt;0,O35&gt;1),"Check - you are over charging postage","OK"))))))</f>
        <v>0</v>
      </c>
    </row>
    <row r="36" spans="12:18">
      <c r="L36" s="13">
        <f>IF(A36="","",A36&amp;" - "&amp;B36&amp;IF(C36="",""," to "&amp;TEXT(C36,"#,##0")&amp;"g"))</f>
        <v>0</v>
      </c>
      <c r="M36" s="20">
        <f>IF(A36="","",ROUND(IF(D36="",0,D36)+IF(E36="",0,E36),2))</f>
        <v>0</v>
      </c>
      <c r="N36" s="20">
        <f>IF(A36="","",ROUND(MAX(0,M36-IF(F36="",0,F36)),2))</f>
        <v>0</v>
      </c>
      <c r="O36" s="20">
        <f>IF(A36="","",ROUND(IF(F36="",0,F36)-M36,2))</f>
        <v>0</v>
      </c>
      <c r="P36" s="20">
        <f>IF(A36="","",IF(OR(C36="",C36=0),"",ROUND(M36/C36*100,3)))</f>
        <v>0</v>
      </c>
      <c r="Q36" s="32">
        <f>IF(A36="","",COUNTIFS(Products!$J$5:$J$304,L36))</f>
        <v>0</v>
      </c>
      <c r="R36" s="43">
        <f>IF(A36="","",IF(D36="","Add - what does the label cost?",IF(C36="","Add - what is the weight limit?",IF(AND(G36="Buyer pays",F36=""),"Add - what are you charging?",IF(O36&lt;-0.5,"Loss - postage is costing you",IF(AND(F36&gt;0,O36&gt;1),"Check - you are over charging postage","OK"))))))</f>
        <v>0</v>
      </c>
    </row>
    <row r="37" spans="12:18">
      <c r="L37" s="13">
        <f>IF(A37="","",A37&amp;" - "&amp;B37&amp;IF(C37="",""," to "&amp;TEXT(C37,"#,##0")&amp;"g"))</f>
        <v>0</v>
      </c>
      <c r="M37" s="20">
        <f>IF(A37="","",ROUND(IF(D37="",0,D37)+IF(E37="",0,E37),2))</f>
        <v>0</v>
      </c>
      <c r="N37" s="20">
        <f>IF(A37="","",ROUND(MAX(0,M37-IF(F37="",0,F37)),2))</f>
        <v>0</v>
      </c>
      <c r="O37" s="20">
        <f>IF(A37="","",ROUND(IF(F37="",0,F37)-M37,2))</f>
        <v>0</v>
      </c>
      <c r="P37" s="20">
        <f>IF(A37="","",IF(OR(C37="",C37=0),"",ROUND(M37/C37*100,3)))</f>
        <v>0</v>
      </c>
      <c r="Q37" s="32">
        <f>IF(A37="","",COUNTIFS(Products!$J$5:$J$304,L37))</f>
        <v>0</v>
      </c>
      <c r="R37" s="43">
        <f>IF(A37="","",IF(D37="","Add - what does the label cost?",IF(C37="","Add - what is the weight limit?",IF(AND(G37="Buyer pays",F37=""),"Add - what are you charging?",IF(O37&lt;-0.5,"Loss - postage is costing you",IF(AND(F37&gt;0,O37&gt;1),"Check - you are over charging postage","OK"))))))</f>
        <v>0</v>
      </c>
    </row>
    <row r="38" spans="12:18">
      <c r="L38" s="13">
        <f>IF(A38="","",A38&amp;" - "&amp;B38&amp;IF(C38="",""," to "&amp;TEXT(C38,"#,##0")&amp;"g"))</f>
        <v>0</v>
      </c>
      <c r="M38" s="20">
        <f>IF(A38="","",ROUND(IF(D38="",0,D38)+IF(E38="",0,E38),2))</f>
        <v>0</v>
      </c>
      <c r="N38" s="20">
        <f>IF(A38="","",ROUND(MAX(0,M38-IF(F38="",0,F38)),2))</f>
        <v>0</v>
      </c>
      <c r="O38" s="20">
        <f>IF(A38="","",ROUND(IF(F38="",0,F38)-M38,2))</f>
        <v>0</v>
      </c>
      <c r="P38" s="20">
        <f>IF(A38="","",IF(OR(C38="",C38=0),"",ROUND(M38/C38*100,3)))</f>
        <v>0</v>
      </c>
      <c r="Q38" s="32">
        <f>IF(A38="","",COUNTIFS(Products!$J$5:$J$304,L38))</f>
        <v>0</v>
      </c>
      <c r="R38" s="43">
        <f>IF(A38="","",IF(D38="","Add - what does the label cost?",IF(C38="","Add - what is the weight limit?",IF(AND(G38="Buyer pays",F38=""),"Add - what are you charging?",IF(O38&lt;-0.5,"Loss - postage is costing you",IF(AND(F38&gt;0,O38&gt;1),"Check - you are over charging postage","OK"))))))</f>
        <v>0</v>
      </c>
    </row>
    <row r="39" spans="12:18">
      <c r="L39" s="13">
        <f>IF(A39="","",A39&amp;" - "&amp;B39&amp;IF(C39="",""," to "&amp;TEXT(C39,"#,##0")&amp;"g"))</f>
        <v>0</v>
      </c>
      <c r="M39" s="20">
        <f>IF(A39="","",ROUND(IF(D39="",0,D39)+IF(E39="",0,E39),2))</f>
        <v>0</v>
      </c>
      <c r="N39" s="20">
        <f>IF(A39="","",ROUND(MAX(0,M39-IF(F39="",0,F39)),2))</f>
        <v>0</v>
      </c>
      <c r="O39" s="20">
        <f>IF(A39="","",ROUND(IF(F39="",0,F39)-M39,2))</f>
        <v>0</v>
      </c>
      <c r="P39" s="20">
        <f>IF(A39="","",IF(OR(C39="",C39=0),"",ROUND(M39/C39*100,3)))</f>
        <v>0</v>
      </c>
      <c r="Q39" s="32">
        <f>IF(A39="","",COUNTIFS(Products!$J$5:$J$304,L39))</f>
        <v>0</v>
      </c>
      <c r="R39" s="43">
        <f>IF(A39="","",IF(D39="","Add - what does the label cost?",IF(C39="","Add - what is the weight limit?",IF(AND(G39="Buyer pays",F39=""),"Add - what are you charging?",IF(O39&lt;-0.5,"Loss - postage is costing you",IF(AND(F39&gt;0,O39&gt;1),"Check - you are over charging postage","OK"))))))</f>
        <v>0</v>
      </c>
    </row>
    <row r="40" spans="12:18">
      <c r="L40" s="13">
        <f>IF(A40="","",A40&amp;" - "&amp;B40&amp;IF(C40="",""," to "&amp;TEXT(C40,"#,##0")&amp;"g"))</f>
        <v>0</v>
      </c>
      <c r="M40" s="20">
        <f>IF(A40="","",ROUND(IF(D40="",0,D40)+IF(E40="",0,E40),2))</f>
        <v>0</v>
      </c>
      <c r="N40" s="20">
        <f>IF(A40="","",ROUND(MAX(0,M40-IF(F40="",0,F40)),2))</f>
        <v>0</v>
      </c>
      <c r="O40" s="20">
        <f>IF(A40="","",ROUND(IF(F40="",0,F40)-M40,2))</f>
        <v>0</v>
      </c>
      <c r="P40" s="20">
        <f>IF(A40="","",IF(OR(C40="",C40=0),"",ROUND(M40/C40*100,3)))</f>
        <v>0</v>
      </c>
      <c r="Q40" s="32">
        <f>IF(A40="","",COUNTIFS(Products!$J$5:$J$304,L40))</f>
        <v>0</v>
      </c>
      <c r="R40" s="43">
        <f>IF(A40="","",IF(D40="","Add - what does the label cost?",IF(C40="","Add - what is the weight limit?",IF(AND(G40="Buyer pays",F40=""),"Add - what are you charging?",IF(O40&lt;-0.5,"Loss - postage is costing you",IF(AND(F40&gt;0,O40&gt;1),"Check - you are over charging postage","OK"))))))</f>
        <v>0</v>
      </c>
    </row>
    <row r="41" spans="12:18">
      <c r="L41" s="13">
        <f>IF(A41="","",A41&amp;" - "&amp;B41&amp;IF(C41="",""," to "&amp;TEXT(C41,"#,##0")&amp;"g"))</f>
        <v>0</v>
      </c>
      <c r="M41" s="20">
        <f>IF(A41="","",ROUND(IF(D41="",0,D41)+IF(E41="",0,E41),2))</f>
        <v>0</v>
      </c>
      <c r="N41" s="20">
        <f>IF(A41="","",ROUND(MAX(0,M41-IF(F41="",0,F41)),2))</f>
        <v>0</v>
      </c>
      <c r="O41" s="20">
        <f>IF(A41="","",ROUND(IF(F41="",0,F41)-M41,2))</f>
        <v>0</v>
      </c>
      <c r="P41" s="20">
        <f>IF(A41="","",IF(OR(C41="",C41=0),"",ROUND(M41/C41*100,3)))</f>
        <v>0</v>
      </c>
      <c r="Q41" s="32">
        <f>IF(A41="","",COUNTIFS(Products!$J$5:$J$304,L41))</f>
        <v>0</v>
      </c>
      <c r="R41" s="43">
        <f>IF(A41="","",IF(D41="","Add - what does the label cost?",IF(C41="","Add - what is the weight limit?",IF(AND(G41="Buyer pays",F41=""),"Add - what are you charging?",IF(O41&lt;-0.5,"Loss - postage is costing you",IF(AND(F41&gt;0,O41&gt;1),"Check - you are over charging postage","OK"))))))</f>
        <v>0</v>
      </c>
    </row>
    <row r="42" spans="12:18">
      <c r="L42" s="13">
        <f>IF(A42="","",A42&amp;" - "&amp;B42&amp;IF(C42="",""," to "&amp;TEXT(C42,"#,##0")&amp;"g"))</f>
        <v>0</v>
      </c>
      <c r="M42" s="20">
        <f>IF(A42="","",ROUND(IF(D42="",0,D42)+IF(E42="",0,E42),2))</f>
        <v>0</v>
      </c>
      <c r="N42" s="20">
        <f>IF(A42="","",ROUND(MAX(0,M42-IF(F42="",0,F42)),2))</f>
        <v>0</v>
      </c>
      <c r="O42" s="20">
        <f>IF(A42="","",ROUND(IF(F42="",0,F42)-M42,2))</f>
        <v>0</v>
      </c>
      <c r="P42" s="20">
        <f>IF(A42="","",IF(OR(C42="",C42=0),"",ROUND(M42/C42*100,3)))</f>
        <v>0</v>
      </c>
      <c r="Q42" s="32">
        <f>IF(A42="","",COUNTIFS(Products!$J$5:$J$304,L42))</f>
        <v>0</v>
      </c>
      <c r="R42" s="43">
        <f>IF(A42="","",IF(D42="","Add - what does the label cost?",IF(C42="","Add - what is the weight limit?",IF(AND(G42="Buyer pays",F42=""),"Add - what are you charging?",IF(O42&lt;-0.5,"Loss - postage is costing you",IF(AND(F42&gt;0,O42&gt;1),"Check - you are over charging postage","OK"))))))</f>
        <v>0</v>
      </c>
    </row>
    <row r="43" spans="12:18">
      <c r="L43" s="13">
        <f>IF(A43="","",A43&amp;" - "&amp;B43&amp;IF(C43="",""," to "&amp;TEXT(C43,"#,##0")&amp;"g"))</f>
        <v>0</v>
      </c>
      <c r="M43" s="20">
        <f>IF(A43="","",ROUND(IF(D43="",0,D43)+IF(E43="",0,E43),2))</f>
        <v>0</v>
      </c>
      <c r="N43" s="20">
        <f>IF(A43="","",ROUND(MAX(0,M43-IF(F43="",0,F43)),2))</f>
        <v>0</v>
      </c>
      <c r="O43" s="20">
        <f>IF(A43="","",ROUND(IF(F43="",0,F43)-M43,2))</f>
        <v>0</v>
      </c>
      <c r="P43" s="20">
        <f>IF(A43="","",IF(OR(C43="",C43=0),"",ROUND(M43/C43*100,3)))</f>
        <v>0</v>
      </c>
      <c r="Q43" s="32">
        <f>IF(A43="","",COUNTIFS(Products!$J$5:$J$304,L43))</f>
        <v>0</v>
      </c>
      <c r="R43" s="43">
        <f>IF(A43="","",IF(D43="","Add - what does the label cost?",IF(C43="","Add - what is the weight limit?",IF(AND(G43="Buyer pays",F43=""),"Add - what are you charging?",IF(O43&lt;-0.5,"Loss - postage is costing you",IF(AND(F43&gt;0,O43&gt;1),"Check - you are over charging postage","OK"))))))</f>
        <v>0</v>
      </c>
    </row>
    <row r="44" spans="12:18">
      <c r="L44" s="13">
        <f>IF(A44="","",A44&amp;" - "&amp;B44&amp;IF(C44="",""," to "&amp;TEXT(C44,"#,##0")&amp;"g"))</f>
        <v>0</v>
      </c>
      <c r="M44" s="20">
        <f>IF(A44="","",ROUND(IF(D44="",0,D44)+IF(E44="",0,E44),2))</f>
        <v>0</v>
      </c>
      <c r="N44" s="20">
        <f>IF(A44="","",ROUND(MAX(0,M44-IF(F44="",0,F44)),2))</f>
        <v>0</v>
      </c>
      <c r="O44" s="20">
        <f>IF(A44="","",ROUND(IF(F44="",0,F44)-M44,2))</f>
        <v>0</v>
      </c>
      <c r="P44" s="20">
        <f>IF(A44="","",IF(OR(C44="",C44=0),"",ROUND(M44/C44*100,3)))</f>
        <v>0</v>
      </c>
      <c r="Q44" s="32">
        <f>IF(A44="","",COUNTIFS(Products!$J$5:$J$304,L44))</f>
        <v>0</v>
      </c>
      <c r="R44" s="43">
        <f>IF(A44="","",IF(D44="","Add - what does the label cost?",IF(C44="","Add - what is the weight limit?",IF(AND(G44="Buyer pays",F44=""),"Add - what are you charging?",IF(O44&lt;-0.5,"Loss - postage is costing you",IF(AND(F44&gt;0,O44&gt;1),"Check - you are over charging postage","OK"))))))</f>
        <v>0</v>
      </c>
    </row>
    <row r="45" spans="12:18">
      <c r="L45" s="13">
        <f>IF(A45="","",A45&amp;" - "&amp;B45&amp;IF(C45="",""," to "&amp;TEXT(C45,"#,##0")&amp;"g"))</f>
        <v>0</v>
      </c>
      <c r="M45" s="20">
        <f>IF(A45="","",ROUND(IF(D45="",0,D45)+IF(E45="",0,E45),2))</f>
        <v>0</v>
      </c>
      <c r="N45" s="20">
        <f>IF(A45="","",ROUND(MAX(0,M45-IF(F45="",0,F45)),2))</f>
        <v>0</v>
      </c>
      <c r="O45" s="20">
        <f>IF(A45="","",ROUND(IF(F45="",0,F45)-M45,2))</f>
        <v>0</v>
      </c>
      <c r="P45" s="20">
        <f>IF(A45="","",IF(OR(C45="",C45=0),"",ROUND(M45/C45*100,3)))</f>
        <v>0</v>
      </c>
      <c r="Q45" s="32">
        <f>IF(A45="","",COUNTIFS(Products!$J$5:$J$304,L45))</f>
        <v>0</v>
      </c>
      <c r="R45" s="43">
        <f>IF(A45="","",IF(D45="","Add - what does the label cost?",IF(C45="","Add - what is the weight limit?",IF(AND(G45="Buyer pays",F45=""),"Add - what are you charging?",IF(O45&lt;-0.5,"Loss - postage is costing you",IF(AND(F45&gt;0,O45&gt;1),"Check - you are over charging postage","OK"))))))</f>
        <v>0</v>
      </c>
    </row>
    <row r="46" spans="12:18">
      <c r="L46" s="13">
        <f>IF(A46="","",A46&amp;" - "&amp;B46&amp;IF(C46="",""," to "&amp;TEXT(C46,"#,##0")&amp;"g"))</f>
        <v>0</v>
      </c>
      <c r="M46" s="20">
        <f>IF(A46="","",ROUND(IF(D46="",0,D46)+IF(E46="",0,E46),2))</f>
        <v>0</v>
      </c>
      <c r="N46" s="20">
        <f>IF(A46="","",ROUND(MAX(0,M46-IF(F46="",0,F46)),2))</f>
        <v>0</v>
      </c>
      <c r="O46" s="20">
        <f>IF(A46="","",ROUND(IF(F46="",0,F46)-M46,2))</f>
        <v>0</v>
      </c>
      <c r="P46" s="20">
        <f>IF(A46="","",IF(OR(C46="",C46=0),"",ROUND(M46/C46*100,3)))</f>
        <v>0</v>
      </c>
      <c r="Q46" s="32">
        <f>IF(A46="","",COUNTIFS(Products!$J$5:$J$304,L46))</f>
        <v>0</v>
      </c>
      <c r="R46" s="43">
        <f>IF(A46="","",IF(D46="","Add - what does the label cost?",IF(C46="","Add - what is the weight limit?",IF(AND(G46="Buyer pays",F46=""),"Add - what are you charging?",IF(O46&lt;-0.5,"Loss - postage is costing you",IF(AND(F46&gt;0,O46&gt;1),"Check - you are over charging postage","OK"))))))</f>
        <v>0</v>
      </c>
    </row>
    <row r="47" spans="12:18">
      <c r="L47" s="13">
        <f>IF(A47="","",A47&amp;" - "&amp;B47&amp;IF(C47="",""," to "&amp;TEXT(C47,"#,##0")&amp;"g"))</f>
        <v>0</v>
      </c>
      <c r="M47" s="20">
        <f>IF(A47="","",ROUND(IF(D47="",0,D47)+IF(E47="",0,E47),2))</f>
        <v>0</v>
      </c>
      <c r="N47" s="20">
        <f>IF(A47="","",ROUND(MAX(0,M47-IF(F47="",0,F47)),2))</f>
        <v>0</v>
      </c>
      <c r="O47" s="20">
        <f>IF(A47="","",ROUND(IF(F47="",0,F47)-M47,2))</f>
        <v>0</v>
      </c>
      <c r="P47" s="20">
        <f>IF(A47="","",IF(OR(C47="",C47=0),"",ROUND(M47/C47*100,3)))</f>
        <v>0</v>
      </c>
      <c r="Q47" s="32">
        <f>IF(A47="","",COUNTIFS(Products!$J$5:$J$304,L47))</f>
        <v>0</v>
      </c>
      <c r="R47" s="43">
        <f>IF(A47="","",IF(D47="","Add - what does the label cost?",IF(C47="","Add - what is the weight limit?",IF(AND(G47="Buyer pays",F47=""),"Add - what are you charging?",IF(O47&lt;-0.5,"Loss - postage is costing you",IF(AND(F47&gt;0,O47&gt;1),"Check - you are over charging postage","OK"))))))</f>
        <v>0</v>
      </c>
    </row>
    <row r="48" spans="12:18">
      <c r="L48" s="13">
        <f>IF(A48="","",A48&amp;" - "&amp;B48&amp;IF(C48="",""," to "&amp;TEXT(C48,"#,##0")&amp;"g"))</f>
        <v>0</v>
      </c>
      <c r="M48" s="20">
        <f>IF(A48="","",ROUND(IF(D48="",0,D48)+IF(E48="",0,E48),2))</f>
        <v>0</v>
      </c>
      <c r="N48" s="20">
        <f>IF(A48="","",ROUND(MAX(0,M48-IF(F48="",0,F48)),2))</f>
        <v>0</v>
      </c>
      <c r="O48" s="20">
        <f>IF(A48="","",ROUND(IF(F48="",0,F48)-M48,2))</f>
        <v>0</v>
      </c>
      <c r="P48" s="20">
        <f>IF(A48="","",IF(OR(C48="",C48=0),"",ROUND(M48/C48*100,3)))</f>
        <v>0</v>
      </c>
      <c r="Q48" s="32">
        <f>IF(A48="","",COUNTIFS(Products!$J$5:$J$304,L48))</f>
        <v>0</v>
      </c>
      <c r="R48" s="43">
        <f>IF(A48="","",IF(D48="","Add - what does the label cost?",IF(C48="","Add - what is the weight limit?",IF(AND(G48="Buyer pays",F48=""),"Add - what are you charging?",IF(O48&lt;-0.5,"Loss - postage is costing you",IF(AND(F48&gt;0,O48&gt;1),"Check - you are over charging postage","OK"))))))</f>
        <v>0</v>
      </c>
    </row>
    <row r="49" spans="12:18">
      <c r="L49" s="13">
        <f>IF(A49="","",A49&amp;" - "&amp;B49&amp;IF(C49="",""," to "&amp;TEXT(C49,"#,##0")&amp;"g"))</f>
        <v>0</v>
      </c>
      <c r="M49" s="20">
        <f>IF(A49="","",ROUND(IF(D49="",0,D49)+IF(E49="",0,E49),2))</f>
        <v>0</v>
      </c>
      <c r="N49" s="20">
        <f>IF(A49="","",ROUND(MAX(0,M49-IF(F49="",0,F49)),2))</f>
        <v>0</v>
      </c>
      <c r="O49" s="20">
        <f>IF(A49="","",ROUND(IF(F49="",0,F49)-M49,2))</f>
        <v>0</v>
      </c>
      <c r="P49" s="20">
        <f>IF(A49="","",IF(OR(C49="",C49=0),"",ROUND(M49/C49*100,3)))</f>
        <v>0</v>
      </c>
      <c r="Q49" s="32">
        <f>IF(A49="","",COUNTIFS(Products!$J$5:$J$304,L49))</f>
        <v>0</v>
      </c>
      <c r="R49" s="43">
        <f>IF(A49="","",IF(D49="","Add - what does the label cost?",IF(C49="","Add - what is the weight limit?",IF(AND(G49="Buyer pays",F49=""),"Add - what are you charging?",IF(O49&lt;-0.5,"Loss - postage is costing you",IF(AND(F49&gt;0,O49&gt;1),"Check - you are over charging postage","OK"))))))</f>
        <v>0</v>
      </c>
    </row>
    <row r="50" spans="12:18">
      <c r="L50" s="13">
        <f>IF(A50="","",A50&amp;" - "&amp;B50&amp;IF(C50="",""," to "&amp;TEXT(C50,"#,##0")&amp;"g"))</f>
        <v>0</v>
      </c>
      <c r="M50" s="20">
        <f>IF(A50="","",ROUND(IF(D50="",0,D50)+IF(E50="",0,E50),2))</f>
        <v>0</v>
      </c>
      <c r="N50" s="20">
        <f>IF(A50="","",ROUND(MAX(0,M50-IF(F50="",0,F50)),2))</f>
        <v>0</v>
      </c>
      <c r="O50" s="20">
        <f>IF(A50="","",ROUND(IF(F50="",0,F50)-M50,2))</f>
        <v>0</v>
      </c>
      <c r="P50" s="20">
        <f>IF(A50="","",IF(OR(C50="",C50=0),"",ROUND(M50/C50*100,3)))</f>
        <v>0</v>
      </c>
      <c r="Q50" s="32">
        <f>IF(A50="","",COUNTIFS(Products!$J$5:$J$304,L50))</f>
        <v>0</v>
      </c>
      <c r="R50" s="43">
        <f>IF(A50="","",IF(D50="","Add - what does the label cost?",IF(C50="","Add - what is the weight limit?",IF(AND(G50="Buyer pays",F50=""),"Add - what are you charging?",IF(O50&lt;-0.5,"Loss - postage is costing you",IF(AND(F50&gt;0,O50&gt;1),"Check - you are over charging postage","OK"))))))</f>
        <v>0</v>
      </c>
    </row>
    <row r="51" spans="12:18">
      <c r="L51" s="13">
        <f>IF(A51="","",A51&amp;" - "&amp;B51&amp;IF(C51="",""," to "&amp;TEXT(C51,"#,##0")&amp;"g"))</f>
        <v>0</v>
      </c>
      <c r="M51" s="20">
        <f>IF(A51="","",ROUND(IF(D51="",0,D51)+IF(E51="",0,E51),2))</f>
        <v>0</v>
      </c>
      <c r="N51" s="20">
        <f>IF(A51="","",ROUND(MAX(0,M51-IF(F51="",0,F51)),2))</f>
        <v>0</v>
      </c>
      <c r="O51" s="20">
        <f>IF(A51="","",ROUND(IF(F51="",0,F51)-M51,2))</f>
        <v>0</v>
      </c>
      <c r="P51" s="20">
        <f>IF(A51="","",IF(OR(C51="",C51=0),"",ROUND(M51/C51*100,3)))</f>
        <v>0</v>
      </c>
      <c r="Q51" s="32">
        <f>IF(A51="","",COUNTIFS(Products!$J$5:$J$304,L51))</f>
        <v>0</v>
      </c>
      <c r="R51" s="43">
        <f>IF(A51="","",IF(D51="","Add - what does the label cost?",IF(C51="","Add - what is the weight limit?",IF(AND(G51="Buyer pays",F51=""),"Add - what are you charging?",IF(O51&lt;-0.5,"Loss - postage is costing you",IF(AND(F51&gt;0,O51&gt;1),"Check - you are over charging postage","OK"))))))</f>
        <v>0</v>
      </c>
    </row>
    <row r="52" spans="12:18">
      <c r="L52" s="13">
        <f>IF(A52="","",A52&amp;" - "&amp;B52&amp;IF(C52="",""," to "&amp;TEXT(C52,"#,##0")&amp;"g"))</f>
        <v>0</v>
      </c>
      <c r="M52" s="20">
        <f>IF(A52="","",ROUND(IF(D52="",0,D52)+IF(E52="",0,E52),2))</f>
        <v>0</v>
      </c>
      <c r="N52" s="20">
        <f>IF(A52="","",ROUND(MAX(0,M52-IF(F52="",0,F52)),2))</f>
        <v>0</v>
      </c>
      <c r="O52" s="20">
        <f>IF(A52="","",ROUND(IF(F52="",0,F52)-M52,2))</f>
        <v>0</v>
      </c>
      <c r="P52" s="20">
        <f>IF(A52="","",IF(OR(C52="",C52=0),"",ROUND(M52/C52*100,3)))</f>
        <v>0</v>
      </c>
      <c r="Q52" s="32">
        <f>IF(A52="","",COUNTIFS(Products!$J$5:$J$304,L52))</f>
        <v>0</v>
      </c>
      <c r="R52" s="43">
        <f>IF(A52="","",IF(D52="","Add - what does the label cost?",IF(C52="","Add - what is the weight limit?",IF(AND(G52="Buyer pays",F52=""),"Add - what are you charging?",IF(O52&lt;-0.5,"Loss - postage is costing you",IF(AND(F52&gt;0,O52&gt;1),"Check - you are over charging postage","OK"))))))</f>
        <v>0</v>
      </c>
    </row>
    <row r="53" spans="12:18">
      <c r="L53" s="13">
        <f>IF(A53="","",A53&amp;" - "&amp;B53&amp;IF(C53="",""," to "&amp;TEXT(C53,"#,##0")&amp;"g"))</f>
        <v>0</v>
      </c>
      <c r="M53" s="20">
        <f>IF(A53="","",ROUND(IF(D53="",0,D53)+IF(E53="",0,E53),2))</f>
        <v>0</v>
      </c>
      <c r="N53" s="20">
        <f>IF(A53="","",ROUND(MAX(0,M53-IF(F53="",0,F53)),2))</f>
        <v>0</v>
      </c>
      <c r="O53" s="20">
        <f>IF(A53="","",ROUND(IF(F53="",0,F53)-M53,2))</f>
        <v>0</v>
      </c>
      <c r="P53" s="20">
        <f>IF(A53="","",IF(OR(C53="",C53=0),"",ROUND(M53/C53*100,3)))</f>
        <v>0</v>
      </c>
      <c r="Q53" s="32">
        <f>IF(A53="","",COUNTIFS(Products!$J$5:$J$304,L53))</f>
        <v>0</v>
      </c>
      <c r="R53" s="43">
        <f>IF(A53="","",IF(D53="","Add - what does the label cost?",IF(C53="","Add - what is the weight limit?",IF(AND(G53="Buyer pays",F53=""),"Add - what are you charging?",IF(O53&lt;-0.5,"Loss - postage is costing you",IF(AND(F53&gt;0,O53&gt;1),"Check - you are over charging postage","OK"))))))</f>
        <v>0</v>
      </c>
    </row>
    <row r="54" spans="12:18">
      <c r="L54" s="13">
        <f>IF(A54="","",A54&amp;" - "&amp;B54&amp;IF(C54="",""," to "&amp;TEXT(C54,"#,##0")&amp;"g"))</f>
        <v>0</v>
      </c>
      <c r="M54" s="20">
        <f>IF(A54="","",ROUND(IF(D54="",0,D54)+IF(E54="",0,E54),2))</f>
        <v>0</v>
      </c>
      <c r="N54" s="20">
        <f>IF(A54="","",ROUND(MAX(0,M54-IF(F54="",0,F54)),2))</f>
        <v>0</v>
      </c>
      <c r="O54" s="20">
        <f>IF(A54="","",ROUND(IF(F54="",0,F54)-M54,2))</f>
        <v>0</v>
      </c>
      <c r="P54" s="20">
        <f>IF(A54="","",IF(OR(C54="",C54=0),"",ROUND(M54/C54*100,3)))</f>
        <v>0</v>
      </c>
      <c r="Q54" s="32">
        <f>IF(A54="","",COUNTIFS(Products!$J$5:$J$304,L54))</f>
        <v>0</v>
      </c>
      <c r="R54" s="43">
        <f>IF(A54="","",IF(D54="","Add - what does the label cost?",IF(C54="","Add - what is the weight limit?",IF(AND(G54="Buyer pays",F54=""),"Add - what are you charging?",IF(O54&lt;-0.5,"Loss - postage is costing you",IF(AND(F54&gt;0,O54&gt;1),"Check - you are over charging postage","OK"))))))</f>
        <v>0</v>
      </c>
    </row>
    <row r="55" spans="12:18">
      <c r="L55" s="13">
        <f>IF(A55="","",A55&amp;" - "&amp;B55&amp;IF(C55="",""," to "&amp;TEXT(C55,"#,##0")&amp;"g"))</f>
        <v>0</v>
      </c>
      <c r="M55" s="20">
        <f>IF(A55="","",ROUND(IF(D55="",0,D55)+IF(E55="",0,E55),2))</f>
        <v>0</v>
      </c>
      <c r="N55" s="20">
        <f>IF(A55="","",ROUND(MAX(0,M55-IF(F55="",0,F55)),2))</f>
        <v>0</v>
      </c>
      <c r="O55" s="20">
        <f>IF(A55="","",ROUND(IF(F55="",0,F55)-M55,2))</f>
        <v>0</v>
      </c>
      <c r="P55" s="20">
        <f>IF(A55="","",IF(OR(C55="",C55=0),"",ROUND(M55/C55*100,3)))</f>
        <v>0</v>
      </c>
      <c r="Q55" s="32">
        <f>IF(A55="","",COUNTIFS(Products!$J$5:$J$304,L55))</f>
        <v>0</v>
      </c>
      <c r="R55" s="43">
        <f>IF(A55="","",IF(D55="","Add - what does the label cost?",IF(C55="","Add - what is the weight limit?",IF(AND(G55="Buyer pays",F55=""),"Add - what are you charging?",IF(O55&lt;-0.5,"Loss - postage is costing you",IF(AND(F55&gt;0,O55&gt;1),"Check - you are over charging postage","OK"))))))</f>
        <v>0</v>
      </c>
    </row>
    <row r="56" spans="12:18">
      <c r="L56" s="13">
        <f>IF(A56="","",A56&amp;" - "&amp;B56&amp;IF(C56="",""," to "&amp;TEXT(C56,"#,##0")&amp;"g"))</f>
        <v>0</v>
      </c>
      <c r="M56" s="20">
        <f>IF(A56="","",ROUND(IF(D56="",0,D56)+IF(E56="",0,E56),2))</f>
        <v>0</v>
      </c>
      <c r="N56" s="20">
        <f>IF(A56="","",ROUND(MAX(0,M56-IF(F56="",0,F56)),2))</f>
        <v>0</v>
      </c>
      <c r="O56" s="20">
        <f>IF(A56="","",ROUND(IF(F56="",0,F56)-M56,2))</f>
        <v>0</v>
      </c>
      <c r="P56" s="20">
        <f>IF(A56="","",IF(OR(C56="",C56=0),"",ROUND(M56/C56*100,3)))</f>
        <v>0</v>
      </c>
      <c r="Q56" s="32">
        <f>IF(A56="","",COUNTIFS(Products!$J$5:$J$304,L56))</f>
        <v>0</v>
      </c>
      <c r="R56" s="43">
        <f>IF(A56="","",IF(D56="","Add - what does the label cost?",IF(C56="","Add - what is the weight limit?",IF(AND(G56="Buyer pays",F56=""),"Add - what are you charging?",IF(O56&lt;-0.5,"Loss - postage is costing you",IF(AND(F56&gt;0,O56&gt;1),"Check - you are over charging postage","OK"))))))</f>
        <v>0</v>
      </c>
    </row>
    <row r="57" spans="12:18">
      <c r="L57" s="13">
        <f>IF(A57="","",A57&amp;" - "&amp;B57&amp;IF(C57="",""," to "&amp;TEXT(C57,"#,##0")&amp;"g"))</f>
        <v>0</v>
      </c>
      <c r="M57" s="20">
        <f>IF(A57="","",ROUND(IF(D57="",0,D57)+IF(E57="",0,E57),2))</f>
        <v>0</v>
      </c>
      <c r="N57" s="20">
        <f>IF(A57="","",ROUND(MAX(0,M57-IF(F57="",0,F57)),2))</f>
        <v>0</v>
      </c>
      <c r="O57" s="20">
        <f>IF(A57="","",ROUND(IF(F57="",0,F57)-M57,2))</f>
        <v>0</v>
      </c>
      <c r="P57" s="20">
        <f>IF(A57="","",IF(OR(C57="",C57=0),"",ROUND(M57/C57*100,3)))</f>
        <v>0</v>
      </c>
      <c r="Q57" s="32">
        <f>IF(A57="","",COUNTIFS(Products!$J$5:$J$304,L57))</f>
        <v>0</v>
      </c>
      <c r="R57" s="43">
        <f>IF(A57="","",IF(D57="","Add - what does the label cost?",IF(C57="","Add - what is the weight limit?",IF(AND(G57="Buyer pays",F57=""),"Add - what are you charging?",IF(O57&lt;-0.5,"Loss - postage is costing you",IF(AND(F57&gt;0,O57&gt;1),"Check - you are over charging postage","OK"))))))</f>
        <v>0</v>
      </c>
    </row>
    <row r="58" spans="12:18">
      <c r="L58" s="13">
        <f>IF(A58="","",A58&amp;" - "&amp;B58&amp;IF(C58="",""," to "&amp;TEXT(C58,"#,##0")&amp;"g"))</f>
        <v>0</v>
      </c>
      <c r="M58" s="20">
        <f>IF(A58="","",ROUND(IF(D58="",0,D58)+IF(E58="",0,E58),2))</f>
        <v>0</v>
      </c>
      <c r="N58" s="20">
        <f>IF(A58="","",ROUND(MAX(0,M58-IF(F58="",0,F58)),2))</f>
        <v>0</v>
      </c>
      <c r="O58" s="20">
        <f>IF(A58="","",ROUND(IF(F58="",0,F58)-M58,2))</f>
        <v>0</v>
      </c>
      <c r="P58" s="20">
        <f>IF(A58="","",IF(OR(C58="",C58=0),"",ROUND(M58/C58*100,3)))</f>
        <v>0</v>
      </c>
      <c r="Q58" s="32">
        <f>IF(A58="","",COUNTIFS(Products!$J$5:$J$304,L58))</f>
        <v>0</v>
      </c>
      <c r="R58" s="43">
        <f>IF(A58="","",IF(D58="","Add - what does the label cost?",IF(C58="","Add - what is the weight limit?",IF(AND(G58="Buyer pays",F58=""),"Add - what are you charging?",IF(O58&lt;-0.5,"Loss - postage is costing you",IF(AND(F58&gt;0,O58&gt;1),"Check - you are over charging postage","OK"))))))</f>
        <v>0</v>
      </c>
    </row>
    <row r="59" spans="12:18">
      <c r="L59" s="13">
        <f>IF(A59="","",A59&amp;" - "&amp;B59&amp;IF(C59="",""," to "&amp;TEXT(C59,"#,##0")&amp;"g"))</f>
        <v>0</v>
      </c>
      <c r="M59" s="20">
        <f>IF(A59="","",ROUND(IF(D59="",0,D59)+IF(E59="",0,E59),2))</f>
        <v>0</v>
      </c>
      <c r="N59" s="20">
        <f>IF(A59="","",ROUND(MAX(0,M59-IF(F59="",0,F59)),2))</f>
        <v>0</v>
      </c>
      <c r="O59" s="20">
        <f>IF(A59="","",ROUND(IF(F59="",0,F59)-M59,2))</f>
        <v>0</v>
      </c>
      <c r="P59" s="20">
        <f>IF(A59="","",IF(OR(C59="",C59=0),"",ROUND(M59/C59*100,3)))</f>
        <v>0</v>
      </c>
      <c r="Q59" s="32">
        <f>IF(A59="","",COUNTIFS(Products!$J$5:$J$304,L59))</f>
        <v>0</v>
      </c>
      <c r="R59" s="43">
        <f>IF(A59="","",IF(D59="","Add - what does the label cost?",IF(C59="","Add - what is the weight limit?",IF(AND(G59="Buyer pays",F59=""),"Add - what are you charging?",IF(O59&lt;-0.5,"Loss - postage is costing you",IF(AND(F59&gt;0,O59&gt;1),"Check - you are over charging postage","OK"))))))</f>
        <v>0</v>
      </c>
    </row>
    <row r="60" spans="12:18">
      <c r="L60" s="13">
        <f>IF(A60="","",A60&amp;" - "&amp;B60&amp;IF(C60="",""," to "&amp;TEXT(C60,"#,##0")&amp;"g"))</f>
        <v>0</v>
      </c>
      <c r="M60" s="20">
        <f>IF(A60="","",ROUND(IF(D60="",0,D60)+IF(E60="",0,E60),2))</f>
        <v>0</v>
      </c>
      <c r="N60" s="20">
        <f>IF(A60="","",ROUND(MAX(0,M60-IF(F60="",0,F60)),2))</f>
        <v>0</v>
      </c>
      <c r="O60" s="20">
        <f>IF(A60="","",ROUND(IF(F60="",0,F60)-M60,2))</f>
        <v>0</v>
      </c>
      <c r="P60" s="20">
        <f>IF(A60="","",IF(OR(C60="",C60=0),"",ROUND(M60/C60*100,3)))</f>
        <v>0</v>
      </c>
      <c r="Q60" s="32">
        <f>IF(A60="","",COUNTIFS(Products!$J$5:$J$304,L60))</f>
        <v>0</v>
      </c>
      <c r="R60" s="43">
        <f>IF(A60="","",IF(D60="","Add - what does the label cost?",IF(C60="","Add - what is the weight limit?",IF(AND(G60="Buyer pays",F60=""),"Add - what are you charging?",IF(O60&lt;-0.5,"Loss - postage is costing you",IF(AND(F60&gt;0,O60&gt;1),"Check - you are over charging postage","OK"))))))</f>
        <v>0</v>
      </c>
    </row>
    <row r="61" spans="12:18">
      <c r="L61" s="13">
        <f>IF(A61="","",A61&amp;" - "&amp;B61&amp;IF(C61="",""," to "&amp;TEXT(C61,"#,##0")&amp;"g"))</f>
        <v>0</v>
      </c>
      <c r="M61" s="20">
        <f>IF(A61="","",ROUND(IF(D61="",0,D61)+IF(E61="",0,E61),2))</f>
        <v>0</v>
      </c>
      <c r="N61" s="20">
        <f>IF(A61="","",ROUND(MAX(0,M61-IF(F61="",0,F61)),2))</f>
        <v>0</v>
      </c>
      <c r="O61" s="20">
        <f>IF(A61="","",ROUND(IF(F61="",0,F61)-M61,2))</f>
        <v>0</v>
      </c>
      <c r="P61" s="20">
        <f>IF(A61="","",IF(OR(C61="",C61=0),"",ROUND(M61/C61*100,3)))</f>
        <v>0</v>
      </c>
      <c r="Q61" s="32">
        <f>IF(A61="","",COUNTIFS(Products!$J$5:$J$304,L61))</f>
        <v>0</v>
      </c>
      <c r="R61" s="43">
        <f>IF(A61="","",IF(D61="","Add - what does the label cost?",IF(C61="","Add - what is the weight limit?",IF(AND(G61="Buyer pays",F61=""),"Add - what are you charging?",IF(O61&lt;-0.5,"Loss - postage is costing you",IF(AND(F61&gt;0,O61&gt;1),"Check - you are over charging postage","OK"))))))</f>
        <v>0</v>
      </c>
    </row>
    <row r="62" spans="12:18">
      <c r="L62" s="13">
        <f>IF(A62="","",A62&amp;" - "&amp;B62&amp;IF(C62="",""," to "&amp;TEXT(C62,"#,##0")&amp;"g"))</f>
        <v>0</v>
      </c>
      <c r="M62" s="20">
        <f>IF(A62="","",ROUND(IF(D62="",0,D62)+IF(E62="",0,E62),2))</f>
        <v>0</v>
      </c>
      <c r="N62" s="20">
        <f>IF(A62="","",ROUND(MAX(0,M62-IF(F62="",0,F62)),2))</f>
        <v>0</v>
      </c>
      <c r="O62" s="20">
        <f>IF(A62="","",ROUND(IF(F62="",0,F62)-M62,2))</f>
        <v>0</v>
      </c>
      <c r="P62" s="20">
        <f>IF(A62="","",IF(OR(C62="",C62=0),"",ROUND(M62/C62*100,3)))</f>
        <v>0</v>
      </c>
      <c r="Q62" s="32">
        <f>IF(A62="","",COUNTIFS(Products!$J$5:$J$304,L62))</f>
        <v>0</v>
      </c>
      <c r="R62" s="43">
        <f>IF(A62="","",IF(D62="","Add - what does the label cost?",IF(C62="","Add - what is the weight limit?",IF(AND(G62="Buyer pays",F62=""),"Add - what are you charging?",IF(O62&lt;-0.5,"Loss - postage is costing you",IF(AND(F62&gt;0,O62&gt;1),"Check - you are over charging postage","OK"))))))</f>
        <v>0</v>
      </c>
    </row>
    <row r="63" spans="12:18">
      <c r="L63" s="13">
        <f>IF(A63="","",A63&amp;" - "&amp;B63&amp;IF(C63="",""," to "&amp;TEXT(C63,"#,##0")&amp;"g"))</f>
        <v>0</v>
      </c>
      <c r="M63" s="20">
        <f>IF(A63="","",ROUND(IF(D63="",0,D63)+IF(E63="",0,E63),2))</f>
        <v>0</v>
      </c>
      <c r="N63" s="20">
        <f>IF(A63="","",ROUND(MAX(0,M63-IF(F63="",0,F63)),2))</f>
        <v>0</v>
      </c>
      <c r="O63" s="20">
        <f>IF(A63="","",ROUND(IF(F63="",0,F63)-M63,2))</f>
        <v>0</v>
      </c>
      <c r="P63" s="20">
        <f>IF(A63="","",IF(OR(C63="",C63=0),"",ROUND(M63/C63*100,3)))</f>
        <v>0</v>
      </c>
      <c r="Q63" s="32">
        <f>IF(A63="","",COUNTIFS(Products!$J$5:$J$304,L63))</f>
        <v>0</v>
      </c>
      <c r="R63" s="43">
        <f>IF(A63="","",IF(D63="","Add - what does the label cost?",IF(C63="","Add - what is the weight limit?",IF(AND(G63="Buyer pays",F63=""),"Add - what are you charging?",IF(O63&lt;-0.5,"Loss - postage is costing you",IF(AND(F63&gt;0,O63&gt;1),"Check - you are over charging postage","OK"))))))</f>
        <v>0</v>
      </c>
    </row>
    <row r="64" spans="12:18">
      <c r="L64" s="13">
        <f>IF(A64="","",A64&amp;" - "&amp;B64&amp;IF(C64="",""," to "&amp;TEXT(C64,"#,##0")&amp;"g"))</f>
        <v>0</v>
      </c>
      <c r="M64" s="20">
        <f>IF(A64="","",ROUND(IF(D64="",0,D64)+IF(E64="",0,E64),2))</f>
        <v>0</v>
      </c>
      <c r="N64" s="20">
        <f>IF(A64="","",ROUND(MAX(0,M64-IF(F64="",0,F64)),2))</f>
        <v>0</v>
      </c>
      <c r="O64" s="20">
        <f>IF(A64="","",ROUND(IF(F64="",0,F64)-M64,2))</f>
        <v>0</v>
      </c>
      <c r="P64" s="20">
        <f>IF(A64="","",IF(OR(C64="",C64=0),"",ROUND(M64/C64*100,3)))</f>
        <v>0</v>
      </c>
      <c r="Q64" s="32">
        <f>IF(A64="","",COUNTIFS(Products!$J$5:$J$304,L64))</f>
        <v>0</v>
      </c>
      <c r="R64" s="43">
        <f>IF(A64="","",IF(D64="","Add - what does the label cost?",IF(C64="","Add - what is the weight limit?",IF(AND(G64="Buyer pays",F64=""),"Add - what are you charging?",IF(O64&lt;-0.5,"Loss - postage is costing you",IF(AND(F64&gt;0,O64&gt;1),"Check - you are over charging postage","OK"))))))</f>
        <v>0</v>
      </c>
    </row>
    <row r="66" spans="1:18" ht="20" customHeight="1">
      <c r="A66" s="7" t="s">
        <v>902</v>
      </c>
      <c r="B66" s="7"/>
      <c r="C66" s="7"/>
      <c r="D66" s="7"/>
      <c r="E66" s="7"/>
      <c r="F66" s="7"/>
      <c r="G66" s="7"/>
      <c r="H66" s="7"/>
      <c r="I66" s="7"/>
      <c r="J66" s="7"/>
      <c r="K66" s="7"/>
      <c r="L66" s="7"/>
      <c r="M66" s="7"/>
      <c r="N66" s="7"/>
      <c r="O66" s="7"/>
      <c r="P66" s="7"/>
      <c r="Q66" s="7"/>
      <c r="R66" s="7"/>
    </row>
    <row r="67" spans="1:18" ht="26" customHeight="1">
      <c r="A67" s="8" t="s">
        <v>903</v>
      </c>
      <c r="B67" s="9" t="s">
        <v>904</v>
      </c>
      <c r="C67" s="9" t="s">
        <v>905</v>
      </c>
      <c r="D67" s="9" t="s">
        <v>906</v>
      </c>
      <c r="E67" s="9" t="s">
        <v>907</v>
      </c>
      <c r="F67" s="9" t="s">
        <v>908</v>
      </c>
    </row>
    <row r="68" spans="1:18">
      <c r="A68" s="32">
        <f>COUNTIF(Shipping!$A$5:$A$64,"&lt;&gt;")</f>
        <v>0</v>
      </c>
      <c r="B68" s="32">
        <f>COUNTIFS(Shipping!$G$5:$G$64,"Free shipping (I absorb it)")</f>
        <v>0</v>
      </c>
      <c r="C68" s="20">
        <f>IFERROR(ROUND(AVERAGE(Shipping!$M$5:$M$64),2),"")</f>
        <v>0</v>
      </c>
      <c r="D68" s="20">
        <f>IFERROR(ROUND(AVERAGE(Shipping!$N$5:$N$64),2),"")</f>
        <v>0</v>
      </c>
      <c r="E68" s="32">
        <f>COUNTIFS(Shipping!$O$5:$O$64,"&lt;-0.5")</f>
        <v>0</v>
      </c>
      <c r="F68" s="20">
        <f>IF(COUNTIFS(Shipping!$B$5:$B$64,"Domestic")=0,"",ROUND(SUMPRODUCT(MIN(((Shipping!$B$5:$B$64="Domestic")*(IFERROR(Shipping!$M$5:$M$64*1,0)&gt;0))*IFERROR(Shipping!$M$5:$M$64*1,0)+(1-((Shipping!$B$5:$B$64="Domestic")*(IFERROR(Shipping!$M$5:$M$64*1,0)&gt;0)))*999999)),2))</f>
        <v>0</v>
      </c>
    </row>
  </sheetData>
  <sheetProtection password="EC7C" sheet="1" objects="1" scenarios="1" formatCells="0" formatColumns="0" formatRows="0" insertRows="0" insertHyperlinks="0" deleteRows="0" autoFilter="0"/>
  <autoFilter ref="A4:R64"/>
  <mergeCells count="13">
    <mergeCell ref="A1:O1"/>
    <mergeCell ref="P1:R1"/>
    <mergeCell ref="A2:R2"/>
    <mergeCell ref="A3:B3"/>
    <mergeCell ref="C3:D3"/>
    <mergeCell ref="E3:F3"/>
    <mergeCell ref="G3:H3"/>
    <mergeCell ref="I3:J3"/>
    <mergeCell ref="K3:L3"/>
    <mergeCell ref="M3:N3"/>
    <mergeCell ref="O3:P3"/>
    <mergeCell ref="Q3:R3"/>
    <mergeCell ref="A66:R66"/>
  </mergeCells>
  <conditionalFormatting sqref="H5:H64">
    <cfRule type="containsText" dxfId="0" priority="1" operator="containsText" text="No">
      <formula>NOT(ISERROR(SEARCH("No",H5)))</formula>
    </cfRule>
    <cfRule type="containsText" dxfId="1" priority="2" operator="containsText" text="Yes">
      <formula>NOT(ISERROR(SEARCH("Yes",H5)))</formula>
    </cfRule>
  </conditionalFormatting>
  <conditionalFormatting sqref="O5:O64">
    <cfRule type="cellIs" dxfId="5" priority="3" operator="lessThan">
      <formula>0</formula>
    </cfRule>
    <cfRule type="cellIs" dxfId="1" priority="4" operator="greaterThan">
      <formula>0</formula>
    </cfRule>
  </conditionalFormatting>
  <conditionalFormatting sqref="R5:R64">
    <cfRule type="beginsWith" dxfId="1" priority="5" operator="beginsWith" text="OK">
      <formula>LEFT(R5,2)="OK"</formula>
    </cfRule>
    <cfRule type="containsText" dxfId="2" priority="6" operator="containsText" text="Overdue">
      <formula>NOT(ISERROR(SEARCH("Overdue",R5)))</formula>
    </cfRule>
    <cfRule type="containsText" dxfId="2" priority="7" operator="containsText" text="Late">
      <formula>NOT(ISERROR(SEARCH("Late",R5)))</formula>
    </cfRule>
    <cfRule type="containsText" dxfId="2" priority="8" operator="containsText" text="Missing">
      <formula>NOT(ISERROR(SEARCH("Missing",R5)))</formula>
    </cfRule>
    <cfRule type="containsText" dxfId="2" priority="9" operator="containsText" text="Conflict">
      <formula>NOT(ISERROR(SEARCH("Conflict",R5)))</formula>
    </cfRule>
    <cfRule type="containsText" dxfId="2" priority="10" operator="containsText" text="Clash">
      <formula>NOT(ISERROR(SEARCH("Clash",R5)))</formula>
    </cfRule>
    <cfRule type="containsText" dxfId="2" priority="11" operator="containsText" text="Expired">
      <formula>NOT(ISERROR(SEARCH("Expired",R5)))</formula>
    </cfRule>
    <cfRule type="containsText" dxfId="2" priority="12" operator="containsText" text="Duplicate">
      <formula>NOT(ISERROR(SEARCH("Duplicate",R5)))</formula>
    </cfRule>
    <cfRule type="containsText" dxfId="2" priority="13" operator="containsText" text="Unpaid">
      <formula>NOT(ISERROR(SEARCH("Unpaid",R5)))</formula>
    </cfRule>
    <cfRule type="containsText" dxfId="2" priority="14" operator="containsText" text="Loss">
      <formula>NOT(ISERROR(SEARCH("Loss",R5)))</formula>
    </cfRule>
    <cfRule type="containsText" dxfId="2" priority="15" operator="containsText" text="Below">
      <formula>NOT(ISERROR(SEARCH("Below",R5)))</formula>
    </cfRule>
    <cfRule type="containsText" dxfId="0" priority="16" operator="containsText" text="Action">
      <formula>NOT(ISERROR(SEARCH("Action",R5)))</formula>
    </cfRule>
    <cfRule type="containsText" dxfId="0" priority="17" operator="containsText" text="Due">
      <formula>NOT(ISERROR(SEARCH("Due",R5)))</formula>
    </cfRule>
    <cfRule type="containsText" dxfId="0" priority="18" operator="containsText" text="Check">
      <formula>NOT(ISERROR(SEARCH("Check",R5)))</formula>
    </cfRule>
    <cfRule type="containsText" dxfId="0" priority="19" operator="containsText" text="Chase">
      <formula>NOT(ISERROR(SEARCH("Chase",R5)))</formula>
    </cfRule>
    <cfRule type="containsText" dxfId="0" priority="20" operator="containsText" text="Assign">
      <formula>NOT(ISERROR(SEARCH("Assign",R5)))</formula>
    </cfRule>
    <cfRule type="containsText" dxfId="0" priority="21" operator="containsText" text="Confirm">
      <formula>NOT(ISERROR(SEARCH("Confirm",R5)))</formula>
    </cfRule>
    <cfRule type="containsText" dxfId="0" priority="22" operator="containsText" text="Order">
      <formula>NOT(ISERROR(SEARCH("Order",R5)))</formula>
    </cfRule>
    <cfRule type="containsText" dxfId="3" priority="23" operator="containsText" text="Today">
      <formula>NOT(ISERROR(SEARCH("Today",R5)))</formula>
    </cfRule>
    <cfRule type="containsText" dxfId="3" priority="24" operator="containsText" text="Upcoming">
      <formula>NOT(ISERROR(SEARCH("Upcoming",R5)))</formula>
    </cfRule>
    <cfRule type="containsText" dxfId="3" priority="25" operator="containsText" text="Tomorrow">
      <formula>NOT(ISERROR(SEARCH("Tomorrow",R5)))</formula>
    </cfRule>
  </conditionalFormatting>
  <dataValidations count="9">
    <dataValidation type="list" allowBlank="1" showInputMessage="1" showErrorMessage="1" promptTitle="Service" prompt="The postage product you actually buy." sqref="A5:A64">
      <formula1>ShipServiceList</formula1>
    </dataValidation>
    <dataValidation type="list" allowBlank="1" showInputMessage="1" showErrorMessage="1" sqref="B5:B64">
      <formula1>ShipZoneList</formula1>
    </dataValidation>
    <dataValidation type="decimal" allowBlank="1" showInputMessage="1" showErrorMessage="1" errorTitle="Check the value" error="Enter a number between 0 and 1000000." promptTitle="Up to (g)" prompt="The weight limit of this band. Product weight plus packaging weight has to fit under it." sqref="C5:C64">
      <formula1>0</formula1>
      <formula2>1000000</formula2>
    </dataValidation>
    <dataValidation type="decimal" allowBlank="1" showInputMessage="1" showErrorMessage="1" errorTitle="Check the value" error="Enter a number between 0 and 10000." promptTitle="Postage costs you" prompt="What the label costs, including any fuel or handling surcharge." sqref="D5:D64">
      <formula1>0</formula1>
      <formula2>10000</formula2>
    </dataValidation>
    <dataValidation type="decimal" allowBlank="1" showInputMessage="1" showErrorMessage="1" errorTitle="Check the value" error="Enter a number between 0 and 10000." promptTitle="Extra packaging" prompt="Anything this service needs that the profile does not include - a box for fragile items, a tracked label." sqref="E5:E64">
      <formula1>0</formula1>
      <formula2>10000</formula2>
    </dataValidation>
    <dataValidation type="decimal" allowBlank="1" showInputMessage="1" showErrorMessage="1" errorTitle="Check the value" error="Enter a number between 0 and 10000." promptTitle="Buyer is charged" prompt="0 for free shipping. Whatever you put here, the workbook never pretends it covers more than it does." sqref="F5:F64">
      <formula1>0</formula1>
      <formula2>10000</formula2>
    </dataValidation>
    <dataValidation type="list" allowBlank="1" showInputMessage="1" showErrorMessage="1" promptTitle="Who pays" prompt="'Free shipping (I absorb it)' moves the whole cost into the product price - which is exactly why free shipping needs a higher price, not a thinner margin." sqref="G5:G64">
      <formula1>ShipPayerList</formula1>
    </dataValidation>
    <dataValidation type="list" allowBlank="1" showInputMessage="1" showErrorMessage="1" sqref="H5:H64">
      <formula1>YesNoList</formula1>
    </dataValidation>
    <dataValidation type="whole" allowBlank="1" showInputMessage="1" showErrorMessage="1" errorTitle="Check the value" error="Enter a number between 0 and 365." sqref="I5:I64">
      <formula1>0</formula1>
      <formula2>365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&amp;L&amp;"Calibri,Bold"&amp;12&amp;C&amp;"Calibri,Bold"&amp;11Shipping&amp;R&amp;"Calibri,Italic"&amp;9Handmade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B5704F"/>
    <pageSetUpPr fitToPage="1"/>
  </sheetPr>
  <dimension ref="A1:R4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38" customWidth="1"/>
    <col min="2" max="2" width="26.7109375" style="15" customWidth="1"/>
    <col min="3" max="3" width="20.7109375" style="15" customWidth="1"/>
    <col min="4" max="4" width="18.7109375" style="15" customWidth="1"/>
    <col min="5" max="5" width="11.7109375" style="18" customWidth="1"/>
    <col min="6" max="6" width="14.7109375" style="15" customWidth="1"/>
    <col min="7" max="7" width="11.7109375" style="22" customWidth="1"/>
    <col min="8" max="8" width="11.7109375" style="22" customWidth="1"/>
    <col min="9" max="9" width="11.7109375" style="47" customWidth="1"/>
    <col min="10" max="10" width="26.7109375" style="40" customWidth="1"/>
    <col min="11" max="11" width="8.7109375" style="42" hidden="1" customWidth="1"/>
    <col min="12" max="12" width="11.7109375" style="20" customWidth="1"/>
    <col min="13" max="13" width="11.7109375" style="20" customWidth="1"/>
    <col min="14" max="14" width="12.7109375" style="33" customWidth="1"/>
    <col min="15" max="15" width="12.7109375" style="20" customWidth="1"/>
    <col min="16" max="16" width="11.7109375" style="20" customWidth="1"/>
    <col min="17" max="17" width="13.7109375" style="32" customWidth="1"/>
    <col min="18" max="18" width="24.7109375" style="43" customWidth="1"/>
    <col min="1" max="1" width="13.7109375" customWidth="1"/>
    <col min="2" max="2" width="15.7109375" customWidth="1"/>
    <col min="3" max="3" width="15.7109375" customWidth="1"/>
    <col min="4" max="4" width="16.7109375" customWidth="1"/>
    <col min="5" max="5" width="15.7109375" customWidth="1"/>
    <col min="6" max="6" width="14.7109375" customWidth="1"/>
    <col min="7" max="7" width="19.7109375" customWidth="1"/>
  </cols>
  <sheetData>
    <row r="1" spans="1:18" ht="34" customHeight="1">
      <c r="A1" s="2" t="s">
        <v>909</v>
      </c>
      <c r="B1" s="2"/>
      <c r="C1" s="2"/>
      <c r="D1" s="2"/>
      <c r="E1" s="2"/>
      <c r="F1" s="2"/>
      <c r="G1" s="2"/>
      <c r="H1" s="2"/>
      <c r="I1" s="2"/>
      <c r="J1" s="2"/>
      <c r="K1" s="2"/>
      <c r="L1" s="2"/>
      <c r="M1" s="2"/>
      <c r="N1" s="2"/>
      <c r="O1" s="2"/>
      <c r="P1" s="3" t="s">
        <v>1</v>
      </c>
      <c r="Q1" s="3"/>
      <c r="R1" s="3"/>
    </row>
    <row r="2" spans="1:18" ht="18" customHeight="1">
      <c r="A2" s="4" t="s">
        <v>910</v>
      </c>
      <c r="B2" s="4"/>
      <c r="C2" s="4"/>
      <c r="D2" s="4"/>
      <c r="E2" s="4"/>
      <c r="F2" s="4"/>
      <c r="G2" s="4"/>
      <c r="H2" s="4"/>
      <c r="I2" s="4"/>
      <c r="J2" s="4"/>
      <c r="K2" s="4"/>
      <c r="L2" s="4"/>
      <c r="M2" s="4"/>
      <c r="N2" s="4"/>
      <c r="O2" s="4"/>
      <c r="P2" s="4"/>
      <c r="Q2" s="4"/>
      <c r="R2" s="4"/>
    </row>
    <row r="3" spans="1:18" ht="16" customHeight="1">
      <c r="A3" s="5" t="s">
        <v>3</v>
      </c>
      <c r="B3" s="5"/>
      <c r="C3" s="5" t="s">
        <v>4</v>
      </c>
      <c r="D3" s="5"/>
      <c r="E3" s="5" t="s">
        <v>5</v>
      </c>
      <c r="F3" s="5"/>
      <c r="G3" s="5" t="s">
        <v>6</v>
      </c>
      <c r="H3" s="5"/>
      <c r="I3" s="5" t="s">
        <v>7</v>
      </c>
      <c r="J3" s="5"/>
      <c r="K3" s="5" t="s">
        <v>367</v>
      </c>
      <c r="L3" s="5"/>
      <c r="M3" s="5" t="s">
        <v>368</v>
      </c>
      <c r="N3" s="5"/>
      <c r="O3" s="5" t="s">
        <v>448</v>
      </c>
      <c r="P3" s="5"/>
      <c r="Q3" s="5" t="s">
        <v>449</v>
      </c>
      <c r="R3" s="5"/>
    </row>
    <row r="4" spans="1:18" ht="30" customHeight="1">
      <c r="A4" s="8" t="s">
        <v>451</v>
      </c>
      <c r="B4" s="8" t="s">
        <v>33</v>
      </c>
      <c r="C4" s="9" t="s">
        <v>569</v>
      </c>
      <c r="D4" s="9" t="s">
        <v>911</v>
      </c>
      <c r="E4" s="9" t="s">
        <v>912</v>
      </c>
      <c r="F4" s="9" t="s">
        <v>913</v>
      </c>
      <c r="G4" s="9" t="s">
        <v>914</v>
      </c>
      <c r="H4" s="9" t="s">
        <v>915</v>
      </c>
      <c r="I4" s="9" t="s">
        <v>916</v>
      </c>
      <c r="J4" s="9" t="s">
        <v>466</v>
      </c>
      <c r="K4" s="9" t="s">
        <v>513</v>
      </c>
      <c r="L4" s="9" t="s">
        <v>917</v>
      </c>
      <c r="M4" s="9" t="s">
        <v>918</v>
      </c>
      <c r="N4" s="9" t="s">
        <v>919</v>
      </c>
      <c r="O4" s="9" t="s">
        <v>255</v>
      </c>
      <c r="P4" s="9" t="s">
        <v>920</v>
      </c>
      <c r="Q4" s="9" t="s">
        <v>921</v>
      </c>
      <c r="R4" s="9" t="s">
        <v>729</v>
      </c>
    </row>
    <row r="5" spans="1:18">
      <c r="A5" s="38">
        <f>IF(B5="","","OH-"&amp;TEXT(ROW()-4,"000"))</f>
        <v>0</v>
      </c>
      <c r="B5" s="15" t="s">
        <v>922</v>
      </c>
      <c r="C5" s="15" t="s">
        <v>922</v>
      </c>
      <c r="D5" s="15" t="s">
        <v>923</v>
      </c>
      <c r="E5" s="18">
        <v>260</v>
      </c>
      <c r="F5" s="15" t="s">
        <v>111</v>
      </c>
      <c r="G5" s="22">
        <v>45617</v>
      </c>
      <c r="I5" s="47" t="s">
        <v>278</v>
      </c>
      <c r="J5" s="40" t="s">
        <v>924</v>
      </c>
      <c r="K5" s="42">
        <f>IF(B5="","",IF(AND(H5&lt;&gt;"",H5&lt;TodayDate),"No","Yes"))</f>
        <v>0</v>
      </c>
      <c r="L5" s="20">
        <f>IF(B5="","",IF(OR(E5="",K5="No"),0,ROUND(E5*IF(F5="Monthly",1,IF(F5="Quarterly",1/3,IF(F5="Twice a year",1/6,IF(F5="Yearly",1/12,IF(F5="One-off",1/12,0))))),2)))</f>
        <v>0</v>
      </c>
      <c r="M5" s="20">
        <f>IF(B5="","",ROUND(L5*12,2))</f>
        <v>0</v>
      </c>
      <c r="N5" s="33">
        <f>IF(B5="","",IF(OverheadMonthly=0,"",L5/OverheadMonthly))</f>
        <v>0</v>
      </c>
      <c r="O5" s="20">
        <f>IF(B5="","",IF(ProductiveHours&lt;=0,"",ROUND(L5/ProductiveHours,2)))</f>
        <v>0</v>
      </c>
      <c r="P5" s="20">
        <f>IF(B5="","",IF(UnitsPerMonth&lt;=0,"",ROUND(L5/UnitsPerMonth,2)))</f>
        <v>0</v>
      </c>
      <c r="Q5" s="32">
        <f>IF(B5="","",IF(OR(OverheadMonthly=0,L5=0),"",ROUNDUP(L5/MAX(0.01,IFERROR(AVERAGE(Products!$AV$5:$AV$304),0.01)),0)))</f>
        <v>0</v>
      </c>
      <c r="R5" s="43">
        <f>IF(B5="","",IF(E5="","Add - how much is it?",IF(F5="","Add - how often?",IF(K5="No","Ended - no longer counted",IF(AND(I5="No",L5&gt;OverheadMonthly*0.15),"Check - a big bill you called optional","OK")))))</f>
        <v>0</v>
      </c>
    </row>
    <row r="6" spans="1:18">
      <c r="A6" s="38">
        <f>IF(B6="","","OH-"&amp;TEXT(ROW()-4,"000"))</f>
        <v>0</v>
      </c>
      <c r="B6" s="15" t="s">
        <v>925</v>
      </c>
      <c r="C6" s="15" t="s">
        <v>926</v>
      </c>
      <c r="D6" s="15" t="s">
        <v>927</v>
      </c>
      <c r="E6" s="18">
        <v>48</v>
      </c>
      <c r="F6" s="15" t="s">
        <v>111</v>
      </c>
      <c r="G6" s="22">
        <v>45617</v>
      </c>
      <c r="I6" s="47" t="s">
        <v>278</v>
      </c>
      <c r="J6" s="40" t="s">
        <v>928</v>
      </c>
      <c r="K6" s="42">
        <f>IF(B6="","",IF(AND(H6&lt;&gt;"",H6&lt;TodayDate),"No","Yes"))</f>
        <v>0</v>
      </c>
      <c r="L6" s="20">
        <f>IF(B6="","",IF(OR(E6="",K6="No"),0,ROUND(E6*IF(F6="Monthly",1,IF(F6="Quarterly",1/3,IF(F6="Twice a year",1/6,IF(F6="Yearly",1/12,IF(F6="One-off",1/12,0))))),2)))</f>
        <v>0</v>
      </c>
      <c r="M6" s="20">
        <f>IF(B6="","",ROUND(L6*12,2))</f>
        <v>0</v>
      </c>
      <c r="N6" s="33">
        <f>IF(B6="","",IF(OverheadMonthly=0,"",L6/OverheadMonthly))</f>
        <v>0</v>
      </c>
      <c r="O6" s="20">
        <f>IF(B6="","",IF(ProductiveHours&lt;=0,"",ROUND(L6/ProductiveHours,2)))</f>
        <v>0</v>
      </c>
      <c r="P6" s="20">
        <f>IF(B6="","",IF(UnitsPerMonth&lt;=0,"",ROUND(L6/UnitsPerMonth,2)))</f>
        <v>0</v>
      </c>
      <c r="Q6" s="32">
        <f>IF(B6="","",IF(OR(OverheadMonthly=0,L6=0),"",ROUNDUP(L6/MAX(0.01,IFERROR(AVERAGE(Products!$AV$5:$AV$304),0.01)),0)))</f>
        <v>0</v>
      </c>
      <c r="R6" s="43">
        <f>IF(B6="","",IF(E6="","Add - how much is it?",IF(F6="","Add - how often?",IF(K6="No","Ended - no longer counted",IF(AND(I6="No",L6&gt;OverheadMonthly*0.15),"Check - a big bill you called optional","OK")))))</f>
        <v>0</v>
      </c>
    </row>
    <row r="7" spans="1:18">
      <c r="A7" s="38">
        <f>IF(B7="","","OH-"&amp;TEXT(ROW()-4,"000"))</f>
        <v>0</v>
      </c>
      <c r="B7" s="15" t="s">
        <v>929</v>
      </c>
      <c r="C7" s="15" t="s">
        <v>930</v>
      </c>
      <c r="D7" s="15" t="s">
        <v>931</v>
      </c>
      <c r="E7" s="18">
        <v>288</v>
      </c>
      <c r="F7" s="15" t="s">
        <v>932</v>
      </c>
      <c r="G7" s="22">
        <v>46117</v>
      </c>
      <c r="I7" s="47" t="s">
        <v>278</v>
      </c>
      <c r="J7" s="40" t="s">
        <v>933</v>
      </c>
      <c r="K7" s="42">
        <f>IF(B7="","",IF(AND(H7&lt;&gt;"",H7&lt;TodayDate),"No","Yes"))</f>
        <v>0</v>
      </c>
      <c r="L7" s="20">
        <f>IF(B7="","",IF(OR(E7="",K7="No"),0,ROUND(E7*IF(F7="Monthly",1,IF(F7="Quarterly",1/3,IF(F7="Twice a year",1/6,IF(F7="Yearly",1/12,IF(F7="One-off",1/12,0))))),2)))</f>
        <v>0</v>
      </c>
      <c r="M7" s="20">
        <f>IF(B7="","",ROUND(L7*12,2))</f>
        <v>0</v>
      </c>
      <c r="N7" s="33">
        <f>IF(B7="","",IF(OverheadMonthly=0,"",L7/OverheadMonthly))</f>
        <v>0</v>
      </c>
      <c r="O7" s="20">
        <f>IF(B7="","",IF(ProductiveHours&lt;=0,"",ROUND(L7/ProductiveHours,2)))</f>
        <v>0</v>
      </c>
      <c r="P7" s="20">
        <f>IF(B7="","",IF(UnitsPerMonth&lt;=0,"",ROUND(L7/UnitsPerMonth,2)))</f>
        <v>0</v>
      </c>
      <c r="Q7" s="32">
        <f>IF(B7="","",IF(OR(OverheadMonthly=0,L7=0),"",ROUNDUP(L7/MAX(0.01,IFERROR(AVERAGE(Products!$AV$5:$AV$304),0.01)),0)))</f>
        <v>0</v>
      </c>
      <c r="R7" s="43">
        <f>IF(B7="","",IF(E7="","Add - how much is it?",IF(F7="","Add - how often?",IF(K7="No","Ended - no longer counted",IF(AND(I7="No",L7&gt;OverheadMonthly*0.15),"Check - a big bill you called optional","OK")))))</f>
        <v>0</v>
      </c>
    </row>
    <row r="8" spans="1:18">
      <c r="A8" s="38">
        <f>IF(B8="","","OH-"&amp;TEXT(ROW()-4,"000"))</f>
        <v>0</v>
      </c>
      <c r="B8" s="15" t="s">
        <v>934</v>
      </c>
      <c r="C8" s="15" t="s">
        <v>935</v>
      </c>
      <c r="D8" s="15" t="s">
        <v>287</v>
      </c>
      <c r="E8" s="18">
        <v>10</v>
      </c>
      <c r="F8" s="15" t="s">
        <v>111</v>
      </c>
      <c r="G8" s="22">
        <v>45917</v>
      </c>
      <c r="I8" s="47" t="s">
        <v>281</v>
      </c>
      <c r="K8" s="42">
        <f>IF(B8="","",IF(AND(H8&lt;&gt;"",H8&lt;TodayDate),"No","Yes"))</f>
        <v>0</v>
      </c>
      <c r="L8" s="20">
        <f>IF(B8="","",IF(OR(E8="",K8="No"),0,ROUND(E8*IF(F8="Monthly",1,IF(F8="Quarterly",1/3,IF(F8="Twice a year",1/6,IF(F8="Yearly",1/12,IF(F8="One-off",1/12,0))))),2)))</f>
        <v>0</v>
      </c>
      <c r="M8" s="20">
        <f>IF(B8="","",ROUND(L8*12,2))</f>
        <v>0</v>
      </c>
      <c r="N8" s="33">
        <f>IF(B8="","",IF(OverheadMonthly=0,"",L8/OverheadMonthly))</f>
        <v>0</v>
      </c>
      <c r="O8" s="20">
        <f>IF(B8="","",IF(ProductiveHours&lt;=0,"",ROUND(L8/ProductiveHours,2)))</f>
        <v>0</v>
      </c>
      <c r="P8" s="20">
        <f>IF(B8="","",IF(UnitsPerMonth&lt;=0,"",ROUND(L8/UnitsPerMonth,2)))</f>
        <v>0</v>
      </c>
      <c r="Q8" s="32">
        <f>IF(B8="","",IF(OR(OverheadMonthly=0,L8=0),"",ROUNDUP(L8/MAX(0.01,IFERROR(AVERAGE(Products!$AV$5:$AV$304),0.01)),0)))</f>
        <v>0</v>
      </c>
      <c r="R8" s="43">
        <f>IF(B8="","",IF(E8="","Add - how much is it?",IF(F8="","Add - how often?",IF(K8="No","Ended - no longer counted",IF(AND(I8="No",L8&gt;OverheadMonthly*0.15),"Check - a big bill you called optional","OK")))))</f>
        <v>0</v>
      </c>
    </row>
    <row r="9" spans="1:18">
      <c r="A9" s="38">
        <f>IF(B9="","","OH-"&amp;TEXT(ROW()-4,"000"))</f>
        <v>0</v>
      </c>
      <c r="B9" s="15" t="s">
        <v>936</v>
      </c>
      <c r="C9" s="15" t="s">
        <v>936</v>
      </c>
      <c r="D9" s="15" t="s">
        <v>937</v>
      </c>
      <c r="E9" s="18">
        <v>192</v>
      </c>
      <c r="F9" s="15" t="s">
        <v>932</v>
      </c>
      <c r="G9" s="22">
        <v>46017</v>
      </c>
      <c r="I9" s="47" t="s">
        <v>278</v>
      </c>
      <c r="K9" s="42">
        <f>IF(B9="","",IF(AND(H9&lt;&gt;"",H9&lt;TodayDate),"No","Yes"))</f>
        <v>0</v>
      </c>
      <c r="L9" s="20">
        <f>IF(B9="","",IF(OR(E9="",K9="No"),0,ROUND(E9*IF(F9="Monthly",1,IF(F9="Quarterly",1/3,IF(F9="Twice a year",1/6,IF(F9="Yearly",1/12,IF(F9="One-off",1/12,0))))),2)))</f>
        <v>0</v>
      </c>
      <c r="M9" s="20">
        <f>IF(B9="","",ROUND(L9*12,2))</f>
        <v>0</v>
      </c>
      <c r="N9" s="33">
        <f>IF(B9="","",IF(OverheadMonthly=0,"",L9/OverheadMonthly))</f>
        <v>0</v>
      </c>
      <c r="O9" s="20">
        <f>IF(B9="","",IF(ProductiveHours&lt;=0,"",ROUND(L9/ProductiveHours,2)))</f>
        <v>0</v>
      </c>
      <c r="P9" s="20">
        <f>IF(B9="","",IF(UnitsPerMonth&lt;=0,"",ROUND(L9/UnitsPerMonth,2)))</f>
        <v>0</v>
      </c>
      <c r="Q9" s="32">
        <f>IF(B9="","",IF(OR(OverheadMonthly=0,L9=0),"",ROUNDUP(L9/MAX(0.01,IFERROR(AVERAGE(Products!$AV$5:$AV$304),0.01)),0)))</f>
        <v>0</v>
      </c>
      <c r="R9" s="43">
        <f>IF(B9="","",IF(E9="","Add - how much is it?",IF(F9="","Add - how often?",IF(K9="No","Ended - no longer counted",IF(AND(I9="No",L9&gt;OverheadMonthly*0.15),"Check - a big bill you called optional","OK")))))</f>
        <v>0</v>
      </c>
    </row>
    <row r="10" spans="1:18">
      <c r="A10" s="38">
        <f>IF(B10="","","OH-"&amp;TEXT(ROW()-4,"000"))</f>
        <v>0</v>
      </c>
      <c r="B10" s="15" t="s">
        <v>938</v>
      </c>
      <c r="C10" s="15" t="s">
        <v>939</v>
      </c>
      <c r="D10" s="15" t="s">
        <v>940</v>
      </c>
      <c r="E10" s="18">
        <v>14.99</v>
      </c>
      <c r="F10" s="15" t="s">
        <v>111</v>
      </c>
      <c r="G10" s="22">
        <v>45817</v>
      </c>
      <c r="I10" s="47" t="s">
        <v>281</v>
      </c>
      <c r="J10" s="40" t="s">
        <v>941</v>
      </c>
      <c r="K10" s="42">
        <f>IF(B10="","",IF(AND(H10&lt;&gt;"",H10&lt;TodayDate),"No","Yes"))</f>
        <v>0</v>
      </c>
      <c r="L10" s="20">
        <f>IF(B10="","",IF(OR(E10="",K10="No"),0,ROUND(E10*IF(F10="Monthly",1,IF(F10="Quarterly",1/3,IF(F10="Twice a year",1/6,IF(F10="Yearly",1/12,IF(F10="One-off",1/12,0))))),2)))</f>
        <v>0</v>
      </c>
      <c r="M10" s="20">
        <f>IF(B10="","",ROUND(L10*12,2))</f>
        <v>0</v>
      </c>
      <c r="N10" s="33">
        <f>IF(B10="","",IF(OverheadMonthly=0,"",L10/OverheadMonthly))</f>
        <v>0</v>
      </c>
      <c r="O10" s="20">
        <f>IF(B10="","",IF(ProductiveHours&lt;=0,"",ROUND(L10/ProductiveHours,2)))</f>
        <v>0</v>
      </c>
      <c r="P10" s="20">
        <f>IF(B10="","",IF(UnitsPerMonth&lt;=0,"",ROUND(L10/UnitsPerMonth,2)))</f>
        <v>0</v>
      </c>
      <c r="Q10" s="32">
        <f>IF(B10="","",IF(OR(OverheadMonthly=0,L10=0),"",ROUNDUP(L10/MAX(0.01,IFERROR(AVERAGE(Products!$AV$5:$AV$304),0.01)),0)))</f>
        <v>0</v>
      </c>
      <c r="R10" s="43">
        <f>IF(B10="","",IF(E10="","Add - how much is it?",IF(F10="","Add - how often?",IF(K10="No","Ended - no longer counted",IF(AND(I10="No",L10&gt;OverheadMonthly*0.15),"Check - a big bill you called optional","OK")))))</f>
        <v>0</v>
      </c>
    </row>
    <row r="11" spans="1:18">
      <c r="A11" s="38">
        <f>IF(B11="","","OH-"&amp;TEXT(ROW()-4,"000"))</f>
        <v>0</v>
      </c>
      <c r="B11" s="15" t="s">
        <v>942</v>
      </c>
      <c r="C11" s="15" t="s">
        <v>943</v>
      </c>
      <c r="D11" s="15" t="s">
        <v>944</v>
      </c>
      <c r="E11" s="18">
        <v>240</v>
      </c>
      <c r="F11" s="15" t="s">
        <v>932</v>
      </c>
      <c r="G11" s="22">
        <v>46017</v>
      </c>
      <c r="I11" s="47" t="s">
        <v>278</v>
      </c>
      <c r="K11" s="42">
        <f>IF(B11="","",IF(AND(H11&lt;&gt;"",H11&lt;TodayDate),"No","Yes"))</f>
        <v>0</v>
      </c>
      <c r="L11" s="20">
        <f>IF(B11="","",IF(OR(E11="",K11="No"),0,ROUND(E11*IF(F11="Monthly",1,IF(F11="Quarterly",1/3,IF(F11="Twice a year",1/6,IF(F11="Yearly",1/12,IF(F11="One-off",1/12,0))))),2)))</f>
        <v>0</v>
      </c>
      <c r="M11" s="20">
        <f>IF(B11="","",ROUND(L11*12,2))</f>
        <v>0</v>
      </c>
      <c r="N11" s="33">
        <f>IF(B11="","",IF(OverheadMonthly=0,"",L11/OverheadMonthly))</f>
        <v>0</v>
      </c>
      <c r="O11" s="20">
        <f>IF(B11="","",IF(ProductiveHours&lt;=0,"",ROUND(L11/ProductiveHours,2)))</f>
        <v>0</v>
      </c>
      <c r="P11" s="20">
        <f>IF(B11="","",IF(UnitsPerMonth&lt;=0,"",ROUND(L11/UnitsPerMonth,2)))</f>
        <v>0</v>
      </c>
      <c r="Q11" s="32">
        <f>IF(B11="","",IF(OR(OverheadMonthly=0,L11=0),"",ROUNDUP(L11/MAX(0.01,IFERROR(AVERAGE(Products!$AV$5:$AV$304),0.01)),0)))</f>
        <v>0</v>
      </c>
      <c r="R11" s="43">
        <f>IF(B11="","",IF(E11="","Add - how much is it?",IF(F11="","Add - how often?",IF(K11="No","Ended - no longer counted",IF(AND(I11="No",L11&gt;OverheadMonthly*0.15),"Check - a big bill you called optional","OK")))))</f>
        <v>0</v>
      </c>
    </row>
    <row r="12" spans="1:18">
      <c r="A12" s="38">
        <f>IF(B12="","","OH-"&amp;TEXT(ROW()-4,"000"))</f>
        <v>0</v>
      </c>
      <c r="B12" s="15" t="s">
        <v>945</v>
      </c>
      <c r="C12" s="15" t="s">
        <v>946</v>
      </c>
      <c r="D12" s="15" t="s">
        <v>947</v>
      </c>
      <c r="E12" s="18">
        <v>35</v>
      </c>
      <c r="F12" s="15" t="s">
        <v>111</v>
      </c>
      <c r="G12" s="22">
        <v>45617</v>
      </c>
      <c r="I12" s="47" t="s">
        <v>278</v>
      </c>
      <c r="J12" s="40" t="s">
        <v>948</v>
      </c>
      <c r="K12" s="42">
        <f>IF(B12="","",IF(AND(H12&lt;&gt;"",H12&lt;TodayDate),"No","Yes"))</f>
        <v>0</v>
      </c>
      <c r="L12" s="20">
        <f>IF(B12="","",IF(OR(E12="",K12="No"),0,ROUND(E12*IF(F12="Monthly",1,IF(F12="Quarterly",1/3,IF(F12="Twice a year",1/6,IF(F12="Yearly",1/12,IF(F12="One-off",1/12,0))))),2)))</f>
        <v>0</v>
      </c>
      <c r="M12" s="20">
        <f>IF(B12="","",ROUND(L12*12,2))</f>
        <v>0</v>
      </c>
      <c r="N12" s="33">
        <f>IF(B12="","",IF(OverheadMonthly=0,"",L12/OverheadMonthly))</f>
        <v>0</v>
      </c>
      <c r="O12" s="20">
        <f>IF(B12="","",IF(ProductiveHours&lt;=0,"",ROUND(L12/ProductiveHours,2)))</f>
        <v>0</v>
      </c>
      <c r="P12" s="20">
        <f>IF(B12="","",IF(UnitsPerMonth&lt;=0,"",ROUND(L12/UnitsPerMonth,2)))</f>
        <v>0</v>
      </c>
      <c r="Q12" s="32">
        <f>IF(B12="","",IF(OR(OverheadMonthly=0,L12=0),"",ROUNDUP(L12/MAX(0.01,IFERROR(AVERAGE(Products!$AV$5:$AV$304),0.01)),0)))</f>
        <v>0</v>
      </c>
      <c r="R12" s="43">
        <f>IF(B12="","",IF(E12="","Add - how much is it?",IF(F12="","Add - how often?",IF(K12="No","Ended - no longer counted",IF(AND(I12="No",L12&gt;OverheadMonthly*0.15),"Check - a big bill you called optional","OK")))))</f>
        <v>0</v>
      </c>
    </row>
    <row r="13" spans="1:18">
      <c r="A13" s="38">
        <f>IF(B13="","","OH-"&amp;TEXT(ROW()-4,"000"))</f>
        <v>0</v>
      </c>
      <c r="B13" s="15" t="s">
        <v>949</v>
      </c>
      <c r="C13" s="15" t="s">
        <v>950</v>
      </c>
      <c r="D13" s="15" t="s">
        <v>951</v>
      </c>
      <c r="E13" s="18">
        <v>360</v>
      </c>
      <c r="F13" s="15" t="s">
        <v>932</v>
      </c>
      <c r="G13" s="22">
        <v>45952</v>
      </c>
      <c r="I13" s="47" t="s">
        <v>278</v>
      </c>
      <c r="J13" s="40" t="s">
        <v>952</v>
      </c>
      <c r="K13" s="42">
        <f>IF(B13="","",IF(AND(H13&lt;&gt;"",H13&lt;TodayDate),"No","Yes"))</f>
        <v>0</v>
      </c>
      <c r="L13" s="20">
        <f>IF(B13="","",IF(OR(E13="",K13="No"),0,ROUND(E13*IF(F13="Monthly",1,IF(F13="Quarterly",1/3,IF(F13="Twice a year",1/6,IF(F13="Yearly",1/12,IF(F13="One-off",1/12,0))))),2)))</f>
        <v>0</v>
      </c>
      <c r="M13" s="20">
        <f>IF(B13="","",ROUND(L13*12,2))</f>
        <v>0</v>
      </c>
      <c r="N13" s="33">
        <f>IF(B13="","",IF(OverheadMonthly=0,"",L13/OverheadMonthly))</f>
        <v>0</v>
      </c>
      <c r="O13" s="20">
        <f>IF(B13="","",IF(ProductiveHours&lt;=0,"",ROUND(L13/ProductiveHours,2)))</f>
        <v>0</v>
      </c>
      <c r="P13" s="20">
        <f>IF(B13="","",IF(UnitsPerMonth&lt;=0,"",ROUND(L13/UnitsPerMonth,2)))</f>
        <v>0</v>
      </c>
      <c r="Q13" s="32">
        <f>IF(B13="","",IF(OR(OverheadMonthly=0,L13=0),"",ROUNDUP(L13/MAX(0.01,IFERROR(AVERAGE(Products!$AV$5:$AV$304),0.01)),0)))</f>
        <v>0</v>
      </c>
      <c r="R13" s="43">
        <f>IF(B13="","",IF(E13="","Add - how much is it?",IF(F13="","Add - how often?",IF(K13="No","Ended - no longer counted",IF(AND(I13="No",L13&gt;OverheadMonthly*0.15),"Check - a big bill you called optional","OK")))))</f>
        <v>0</v>
      </c>
    </row>
    <row r="14" spans="1:18">
      <c r="A14" s="38">
        <f>IF(B14="","","OH-"&amp;TEXT(ROW()-4,"000"))</f>
        <v>0</v>
      </c>
      <c r="B14" s="15" t="s">
        <v>953</v>
      </c>
      <c r="C14" s="15" t="s">
        <v>954</v>
      </c>
      <c r="D14" s="15" t="s">
        <v>955</v>
      </c>
      <c r="E14" s="18">
        <v>120</v>
      </c>
      <c r="F14" s="15" t="s">
        <v>932</v>
      </c>
      <c r="G14" s="22">
        <v>46117</v>
      </c>
      <c r="I14" s="47" t="s">
        <v>281</v>
      </c>
      <c r="K14" s="42">
        <f>IF(B14="","",IF(AND(H14&lt;&gt;"",H14&lt;TodayDate),"No","Yes"))</f>
        <v>0</v>
      </c>
      <c r="L14" s="20">
        <f>IF(B14="","",IF(OR(E14="",K14="No"),0,ROUND(E14*IF(F14="Monthly",1,IF(F14="Quarterly",1/3,IF(F14="Twice a year",1/6,IF(F14="Yearly",1/12,IF(F14="One-off",1/12,0))))),2)))</f>
        <v>0</v>
      </c>
      <c r="M14" s="20">
        <f>IF(B14="","",ROUND(L14*12,2))</f>
        <v>0</v>
      </c>
      <c r="N14" s="33">
        <f>IF(B14="","",IF(OverheadMonthly=0,"",L14/OverheadMonthly))</f>
        <v>0</v>
      </c>
      <c r="O14" s="20">
        <f>IF(B14="","",IF(ProductiveHours&lt;=0,"",ROUND(L14/ProductiveHours,2)))</f>
        <v>0</v>
      </c>
      <c r="P14" s="20">
        <f>IF(B14="","",IF(UnitsPerMonth&lt;=0,"",ROUND(L14/UnitsPerMonth,2)))</f>
        <v>0</v>
      </c>
      <c r="Q14" s="32">
        <f>IF(B14="","",IF(OR(OverheadMonthly=0,L14=0),"",ROUNDUP(L14/MAX(0.01,IFERROR(AVERAGE(Products!$AV$5:$AV$304),0.01)),0)))</f>
        <v>0</v>
      </c>
      <c r="R14" s="43">
        <f>IF(B14="","",IF(E14="","Add - how much is it?",IF(F14="","Add - how often?",IF(K14="No","Ended - no longer counted",IF(AND(I14="No",L14&gt;OverheadMonthly*0.15),"Check - a big bill you called optional","OK")))))</f>
        <v>0</v>
      </c>
    </row>
    <row r="15" spans="1:18">
      <c r="A15" s="38">
        <f>IF(B15="","","OH-"&amp;TEXT(ROW()-4,"000"))</f>
        <v>0</v>
      </c>
      <c r="B15" s="15" t="s">
        <v>956</v>
      </c>
      <c r="C15" s="15" t="s">
        <v>957</v>
      </c>
      <c r="D15" s="15" t="s">
        <v>958</v>
      </c>
      <c r="E15" s="18">
        <v>60</v>
      </c>
      <c r="F15" s="15" t="s">
        <v>932</v>
      </c>
      <c r="G15" s="22">
        <v>46067</v>
      </c>
      <c r="I15" s="47" t="s">
        <v>281</v>
      </c>
      <c r="J15" s="40" t="s">
        <v>959</v>
      </c>
      <c r="K15" s="42">
        <f>IF(B15="","",IF(AND(H15&lt;&gt;"",H15&lt;TodayDate),"No","Yes"))</f>
        <v>0</v>
      </c>
      <c r="L15" s="20">
        <f>IF(B15="","",IF(OR(E15="",K15="No"),0,ROUND(E15*IF(F15="Monthly",1,IF(F15="Quarterly",1/3,IF(F15="Twice a year",1/6,IF(F15="Yearly",1/12,IF(F15="One-off",1/12,0))))),2)))</f>
        <v>0</v>
      </c>
      <c r="M15" s="20">
        <f>IF(B15="","",ROUND(L15*12,2))</f>
        <v>0</v>
      </c>
      <c r="N15" s="33">
        <f>IF(B15="","",IF(OverheadMonthly=0,"",L15/OverheadMonthly))</f>
        <v>0</v>
      </c>
      <c r="O15" s="20">
        <f>IF(B15="","",IF(ProductiveHours&lt;=0,"",ROUND(L15/ProductiveHours,2)))</f>
        <v>0</v>
      </c>
      <c r="P15" s="20">
        <f>IF(B15="","",IF(UnitsPerMonth&lt;=0,"",ROUND(L15/UnitsPerMonth,2)))</f>
        <v>0</v>
      </c>
      <c r="Q15" s="32">
        <f>IF(B15="","",IF(OR(OverheadMonthly=0,L15=0),"",ROUNDUP(L15/MAX(0.01,IFERROR(AVERAGE(Products!$AV$5:$AV$304),0.01)),0)))</f>
        <v>0</v>
      </c>
      <c r="R15" s="43">
        <f>IF(B15="","",IF(E15="","Add - how much is it?",IF(F15="","Add - how often?",IF(K15="No","Ended - no longer counted",IF(AND(I15="No",L15&gt;OverheadMonthly*0.15),"Check - a big bill you called optional","OK")))))</f>
        <v>0</v>
      </c>
    </row>
    <row r="16" spans="1:18">
      <c r="A16" s="38">
        <f>IF(B16="","","OH-"&amp;TEXT(ROW()-4,"000"))</f>
        <v>0</v>
      </c>
      <c r="K16" s="42">
        <f>IF(B16="","",IF(AND(H16&lt;&gt;"",H16&lt;TodayDate),"No","Yes"))</f>
        <v>0</v>
      </c>
      <c r="L16" s="20">
        <f>IF(B16="","",IF(OR(E16="",K16="No"),0,ROUND(E16*IF(F16="Monthly",1,IF(F16="Quarterly",1/3,IF(F16="Twice a year",1/6,IF(F16="Yearly",1/12,IF(F16="One-off",1/12,0))))),2)))</f>
        <v>0</v>
      </c>
      <c r="M16" s="20">
        <f>IF(B16="","",ROUND(L16*12,2))</f>
        <v>0</v>
      </c>
      <c r="N16" s="33">
        <f>IF(B16="","",IF(OverheadMonthly=0,"",L16/OverheadMonthly))</f>
        <v>0</v>
      </c>
      <c r="O16" s="20">
        <f>IF(B16="","",IF(ProductiveHours&lt;=0,"",ROUND(L16/ProductiveHours,2)))</f>
        <v>0</v>
      </c>
      <c r="P16" s="20">
        <f>IF(B16="","",IF(UnitsPerMonth&lt;=0,"",ROUND(L16/UnitsPerMonth,2)))</f>
        <v>0</v>
      </c>
      <c r="Q16" s="32">
        <f>IF(B16="","",IF(OR(OverheadMonthly=0,L16=0),"",ROUNDUP(L16/MAX(0.01,IFERROR(AVERAGE(Products!$AV$5:$AV$304),0.01)),0)))</f>
        <v>0</v>
      </c>
      <c r="R16" s="43">
        <f>IF(B16="","",IF(E16="","Add - how much is it?",IF(F16="","Add - how often?",IF(K16="No","Ended - no longer counted",IF(AND(I16="No",L16&gt;OverheadMonthly*0.15),"Check - a big bill you called optional","OK")))))</f>
        <v>0</v>
      </c>
    </row>
    <row r="17" spans="1:18">
      <c r="A17" s="38">
        <f>IF(B17="","","OH-"&amp;TEXT(ROW()-4,"000"))</f>
        <v>0</v>
      </c>
      <c r="K17" s="42">
        <f>IF(B17="","",IF(AND(H17&lt;&gt;"",H17&lt;TodayDate),"No","Yes"))</f>
        <v>0</v>
      </c>
      <c r="L17" s="20">
        <f>IF(B17="","",IF(OR(E17="",K17="No"),0,ROUND(E17*IF(F17="Monthly",1,IF(F17="Quarterly",1/3,IF(F17="Twice a year",1/6,IF(F17="Yearly",1/12,IF(F17="One-off",1/12,0))))),2)))</f>
        <v>0</v>
      </c>
      <c r="M17" s="20">
        <f>IF(B17="","",ROUND(L17*12,2))</f>
        <v>0</v>
      </c>
      <c r="N17" s="33">
        <f>IF(B17="","",IF(OverheadMonthly=0,"",L17/OverheadMonthly))</f>
        <v>0</v>
      </c>
      <c r="O17" s="20">
        <f>IF(B17="","",IF(ProductiveHours&lt;=0,"",ROUND(L17/ProductiveHours,2)))</f>
        <v>0</v>
      </c>
      <c r="P17" s="20">
        <f>IF(B17="","",IF(UnitsPerMonth&lt;=0,"",ROUND(L17/UnitsPerMonth,2)))</f>
        <v>0</v>
      </c>
      <c r="Q17" s="32">
        <f>IF(B17="","",IF(OR(OverheadMonthly=0,L17=0),"",ROUNDUP(L17/MAX(0.01,IFERROR(AVERAGE(Products!$AV$5:$AV$304),0.01)),0)))</f>
        <v>0</v>
      </c>
      <c r="R17" s="43">
        <f>IF(B17="","",IF(E17="","Add - how much is it?",IF(F17="","Add - how often?",IF(K17="No","Ended - no longer counted",IF(AND(I17="No",L17&gt;OverheadMonthly*0.15),"Check - a big bill you called optional","OK")))))</f>
        <v>0</v>
      </c>
    </row>
    <row r="18" spans="1:18">
      <c r="A18" s="38">
        <f>IF(B18="","","OH-"&amp;TEXT(ROW()-4,"000"))</f>
        <v>0</v>
      </c>
      <c r="K18" s="42">
        <f>IF(B18="","",IF(AND(H18&lt;&gt;"",H18&lt;TodayDate),"No","Yes"))</f>
        <v>0</v>
      </c>
      <c r="L18" s="20">
        <f>IF(B18="","",IF(OR(E18="",K18="No"),0,ROUND(E18*IF(F18="Monthly",1,IF(F18="Quarterly",1/3,IF(F18="Twice a year",1/6,IF(F18="Yearly",1/12,IF(F18="One-off",1/12,0))))),2)))</f>
        <v>0</v>
      </c>
      <c r="M18" s="20">
        <f>IF(B18="","",ROUND(L18*12,2))</f>
        <v>0</v>
      </c>
      <c r="N18" s="33">
        <f>IF(B18="","",IF(OverheadMonthly=0,"",L18/OverheadMonthly))</f>
        <v>0</v>
      </c>
      <c r="O18" s="20">
        <f>IF(B18="","",IF(ProductiveHours&lt;=0,"",ROUND(L18/ProductiveHours,2)))</f>
        <v>0</v>
      </c>
      <c r="P18" s="20">
        <f>IF(B18="","",IF(UnitsPerMonth&lt;=0,"",ROUND(L18/UnitsPerMonth,2)))</f>
        <v>0</v>
      </c>
      <c r="Q18" s="32">
        <f>IF(B18="","",IF(OR(OverheadMonthly=0,L18=0),"",ROUNDUP(L18/MAX(0.01,IFERROR(AVERAGE(Products!$AV$5:$AV$304),0.01)),0)))</f>
        <v>0</v>
      </c>
      <c r="R18" s="43">
        <f>IF(B18="","",IF(E18="","Add - how much is it?",IF(F18="","Add - how often?",IF(K18="No","Ended - no longer counted",IF(AND(I18="No",L18&gt;OverheadMonthly*0.15),"Check - a big bill you called optional","OK")))))</f>
        <v>0</v>
      </c>
    </row>
    <row r="19" spans="1:18">
      <c r="A19" s="38">
        <f>IF(B19="","","OH-"&amp;TEXT(ROW()-4,"000"))</f>
        <v>0</v>
      </c>
      <c r="K19" s="42">
        <f>IF(B19="","",IF(AND(H19&lt;&gt;"",H19&lt;TodayDate),"No","Yes"))</f>
        <v>0</v>
      </c>
      <c r="L19" s="20">
        <f>IF(B19="","",IF(OR(E19="",K19="No"),0,ROUND(E19*IF(F19="Monthly",1,IF(F19="Quarterly",1/3,IF(F19="Twice a year",1/6,IF(F19="Yearly",1/12,IF(F19="One-off",1/12,0))))),2)))</f>
        <v>0</v>
      </c>
      <c r="M19" s="20">
        <f>IF(B19="","",ROUND(L19*12,2))</f>
        <v>0</v>
      </c>
      <c r="N19" s="33">
        <f>IF(B19="","",IF(OverheadMonthly=0,"",L19/OverheadMonthly))</f>
        <v>0</v>
      </c>
      <c r="O19" s="20">
        <f>IF(B19="","",IF(ProductiveHours&lt;=0,"",ROUND(L19/ProductiveHours,2)))</f>
        <v>0</v>
      </c>
      <c r="P19" s="20">
        <f>IF(B19="","",IF(UnitsPerMonth&lt;=0,"",ROUND(L19/UnitsPerMonth,2)))</f>
        <v>0</v>
      </c>
      <c r="Q19" s="32">
        <f>IF(B19="","",IF(OR(OverheadMonthly=0,L19=0),"",ROUNDUP(L19/MAX(0.01,IFERROR(AVERAGE(Products!$AV$5:$AV$304),0.01)),0)))</f>
        <v>0</v>
      </c>
      <c r="R19" s="43">
        <f>IF(B19="","",IF(E19="","Add - how much is it?",IF(F19="","Add - how often?",IF(K19="No","Ended - no longer counted",IF(AND(I19="No",L19&gt;OverheadMonthly*0.15),"Check - a big bill you called optional","OK")))))</f>
        <v>0</v>
      </c>
    </row>
    <row r="20" spans="1:18">
      <c r="A20" s="38">
        <f>IF(B20="","","OH-"&amp;TEXT(ROW()-4,"000"))</f>
        <v>0</v>
      </c>
      <c r="K20" s="42">
        <f>IF(B20="","",IF(AND(H20&lt;&gt;"",H20&lt;TodayDate),"No","Yes"))</f>
        <v>0</v>
      </c>
      <c r="L20" s="20">
        <f>IF(B20="","",IF(OR(E20="",K20="No"),0,ROUND(E20*IF(F20="Monthly",1,IF(F20="Quarterly",1/3,IF(F20="Twice a year",1/6,IF(F20="Yearly",1/12,IF(F20="One-off",1/12,0))))),2)))</f>
        <v>0</v>
      </c>
      <c r="M20" s="20">
        <f>IF(B20="","",ROUND(L20*12,2))</f>
        <v>0</v>
      </c>
      <c r="N20" s="33">
        <f>IF(B20="","",IF(OverheadMonthly=0,"",L20/OverheadMonthly))</f>
        <v>0</v>
      </c>
      <c r="O20" s="20">
        <f>IF(B20="","",IF(ProductiveHours&lt;=0,"",ROUND(L20/ProductiveHours,2)))</f>
        <v>0</v>
      </c>
      <c r="P20" s="20">
        <f>IF(B20="","",IF(UnitsPerMonth&lt;=0,"",ROUND(L20/UnitsPerMonth,2)))</f>
        <v>0</v>
      </c>
      <c r="Q20" s="32">
        <f>IF(B20="","",IF(OR(OverheadMonthly=0,L20=0),"",ROUNDUP(L20/MAX(0.01,IFERROR(AVERAGE(Products!$AV$5:$AV$304),0.01)),0)))</f>
        <v>0</v>
      </c>
      <c r="R20" s="43">
        <f>IF(B20="","",IF(E20="","Add - how much is it?",IF(F20="","Add - how often?",IF(K20="No","Ended - no longer counted",IF(AND(I20="No",L20&gt;OverheadMonthly*0.15),"Check - a big bill you called optional","OK")))))</f>
        <v>0</v>
      </c>
    </row>
    <row r="21" spans="1:18">
      <c r="A21" s="38">
        <f>IF(B21="","","OH-"&amp;TEXT(ROW()-4,"000"))</f>
        <v>0</v>
      </c>
      <c r="K21" s="42">
        <f>IF(B21="","",IF(AND(H21&lt;&gt;"",H21&lt;TodayDate),"No","Yes"))</f>
        <v>0</v>
      </c>
      <c r="L21" s="20">
        <f>IF(B21="","",IF(OR(E21="",K21="No"),0,ROUND(E21*IF(F21="Monthly",1,IF(F21="Quarterly",1/3,IF(F21="Twice a year",1/6,IF(F21="Yearly",1/12,IF(F21="One-off",1/12,0))))),2)))</f>
        <v>0</v>
      </c>
      <c r="M21" s="20">
        <f>IF(B21="","",ROUND(L21*12,2))</f>
        <v>0</v>
      </c>
      <c r="N21" s="33">
        <f>IF(B21="","",IF(OverheadMonthly=0,"",L21/OverheadMonthly))</f>
        <v>0</v>
      </c>
      <c r="O21" s="20">
        <f>IF(B21="","",IF(ProductiveHours&lt;=0,"",ROUND(L21/ProductiveHours,2)))</f>
        <v>0</v>
      </c>
      <c r="P21" s="20">
        <f>IF(B21="","",IF(UnitsPerMonth&lt;=0,"",ROUND(L21/UnitsPerMonth,2)))</f>
        <v>0</v>
      </c>
      <c r="Q21" s="32">
        <f>IF(B21="","",IF(OR(OverheadMonthly=0,L21=0),"",ROUNDUP(L21/MAX(0.01,IFERROR(AVERAGE(Products!$AV$5:$AV$304),0.01)),0)))</f>
        <v>0</v>
      </c>
      <c r="R21" s="43">
        <f>IF(B21="","",IF(E21="","Add - how much is it?",IF(F21="","Add - how often?",IF(K21="No","Ended - no longer counted",IF(AND(I21="No",L21&gt;OverheadMonthly*0.15),"Check - a big bill you called optional","OK")))))</f>
        <v>0</v>
      </c>
    </row>
    <row r="22" spans="1:18">
      <c r="A22" s="38">
        <f>IF(B22="","","OH-"&amp;TEXT(ROW()-4,"000"))</f>
        <v>0</v>
      </c>
      <c r="K22" s="42">
        <f>IF(B22="","",IF(AND(H22&lt;&gt;"",H22&lt;TodayDate),"No","Yes"))</f>
        <v>0</v>
      </c>
      <c r="L22" s="20">
        <f>IF(B22="","",IF(OR(E22="",K22="No"),0,ROUND(E22*IF(F22="Monthly",1,IF(F22="Quarterly",1/3,IF(F22="Twice a year",1/6,IF(F22="Yearly",1/12,IF(F22="One-off",1/12,0))))),2)))</f>
        <v>0</v>
      </c>
      <c r="M22" s="20">
        <f>IF(B22="","",ROUND(L22*12,2))</f>
        <v>0</v>
      </c>
      <c r="N22" s="33">
        <f>IF(B22="","",IF(OverheadMonthly=0,"",L22/OverheadMonthly))</f>
        <v>0</v>
      </c>
      <c r="O22" s="20">
        <f>IF(B22="","",IF(ProductiveHours&lt;=0,"",ROUND(L22/ProductiveHours,2)))</f>
        <v>0</v>
      </c>
      <c r="P22" s="20">
        <f>IF(B22="","",IF(UnitsPerMonth&lt;=0,"",ROUND(L22/UnitsPerMonth,2)))</f>
        <v>0</v>
      </c>
      <c r="Q22" s="32">
        <f>IF(B22="","",IF(OR(OverheadMonthly=0,L22=0),"",ROUNDUP(L22/MAX(0.01,IFERROR(AVERAGE(Products!$AV$5:$AV$304),0.01)),0)))</f>
        <v>0</v>
      </c>
      <c r="R22" s="43">
        <f>IF(B22="","",IF(E22="","Add - how much is it?",IF(F22="","Add - how often?",IF(K22="No","Ended - no longer counted",IF(AND(I22="No",L22&gt;OverheadMonthly*0.15),"Check - a big bill you called optional","OK")))))</f>
        <v>0</v>
      </c>
    </row>
    <row r="23" spans="1:18">
      <c r="A23" s="38">
        <f>IF(B23="","","OH-"&amp;TEXT(ROW()-4,"000"))</f>
        <v>0</v>
      </c>
      <c r="K23" s="42">
        <f>IF(B23="","",IF(AND(H23&lt;&gt;"",H23&lt;TodayDate),"No","Yes"))</f>
        <v>0</v>
      </c>
      <c r="L23" s="20">
        <f>IF(B23="","",IF(OR(E23="",K23="No"),0,ROUND(E23*IF(F23="Monthly",1,IF(F23="Quarterly",1/3,IF(F23="Twice a year",1/6,IF(F23="Yearly",1/12,IF(F23="One-off",1/12,0))))),2)))</f>
        <v>0</v>
      </c>
      <c r="M23" s="20">
        <f>IF(B23="","",ROUND(L23*12,2))</f>
        <v>0</v>
      </c>
      <c r="N23" s="33">
        <f>IF(B23="","",IF(OverheadMonthly=0,"",L23/OverheadMonthly))</f>
        <v>0</v>
      </c>
      <c r="O23" s="20">
        <f>IF(B23="","",IF(ProductiveHours&lt;=0,"",ROUND(L23/ProductiveHours,2)))</f>
        <v>0</v>
      </c>
      <c r="P23" s="20">
        <f>IF(B23="","",IF(UnitsPerMonth&lt;=0,"",ROUND(L23/UnitsPerMonth,2)))</f>
        <v>0</v>
      </c>
      <c r="Q23" s="32">
        <f>IF(B23="","",IF(OR(OverheadMonthly=0,L23=0),"",ROUNDUP(L23/MAX(0.01,IFERROR(AVERAGE(Products!$AV$5:$AV$304),0.01)),0)))</f>
        <v>0</v>
      </c>
      <c r="R23" s="43">
        <f>IF(B23="","",IF(E23="","Add - how much is it?",IF(F23="","Add - how often?",IF(K23="No","Ended - no longer counted",IF(AND(I23="No",L23&gt;OverheadMonthly*0.15),"Check - a big bill you called optional","OK")))))</f>
        <v>0</v>
      </c>
    </row>
    <row r="24" spans="1:18">
      <c r="A24" s="38">
        <f>IF(B24="","","OH-"&amp;TEXT(ROW()-4,"000"))</f>
        <v>0</v>
      </c>
      <c r="K24" s="42">
        <f>IF(B24="","",IF(AND(H24&lt;&gt;"",H24&lt;TodayDate),"No","Yes"))</f>
        <v>0</v>
      </c>
      <c r="L24" s="20">
        <f>IF(B24="","",IF(OR(E24="",K24="No"),0,ROUND(E24*IF(F24="Monthly",1,IF(F24="Quarterly",1/3,IF(F24="Twice a year",1/6,IF(F24="Yearly",1/12,IF(F24="One-off",1/12,0))))),2)))</f>
        <v>0</v>
      </c>
      <c r="M24" s="20">
        <f>IF(B24="","",ROUND(L24*12,2))</f>
        <v>0</v>
      </c>
      <c r="N24" s="33">
        <f>IF(B24="","",IF(OverheadMonthly=0,"",L24/OverheadMonthly))</f>
        <v>0</v>
      </c>
      <c r="O24" s="20">
        <f>IF(B24="","",IF(ProductiveHours&lt;=0,"",ROUND(L24/ProductiveHours,2)))</f>
        <v>0</v>
      </c>
      <c r="P24" s="20">
        <f>IF(B24="","",IF(UnitsPerMonth&lt;=0,"",ROUND(L24/UnitsPerMonth,2)))</f>
        <v>0</v>
      </c>
      <c r="Q24" s="32">
        <f>IF(B24="","",IF(OR(OverheadMonthly=0,L24=0),"",ROUNDUP(L24/MAX(0.01,IFERROR(AVERAGE(Products!$AV$5:$AV$304),0.01)),0)))</f>
        <v>0</v>
      </c>
      <c r="R24" s="43">
        <f>IF(B24="","",IF(E24="","Add - how much is it?",IF(F24="","Add - how often?",IF(K24="No","Ended - no longer counted",IF(AND(I24="No",L24&gt;OverheadMonthly*0.15),"Check - a big bill you called optional","OK")))))</f>
        <v>0</v>
      </c>
    </row>
    <row r="25" spans="1:18">
      <c r="A25" s="38">
        <f>IF(B25="","","OH-"&amp;TEXT(ROW()-4,"000"))</f>
        <v>0</v>
      </c>
      <c r="K25" s="42">
        <f>IF(B25="","",IF(AND(H25&lt;&gt;"",H25&lt;TodayDate),"No","Yes"))</f>
        <v>0</v>
      </c>
      <c r="L25" s="20">
        <f>IF(B25="","",IF(OR(E25="",K25="No"),0,ROUND(E25*IF(F25="Monthly",1,IF(F25="Quarterly",1/3,IF(F25="Twice a year",1/6,IF(F25="Yearly",1/12,IF(F25="One-off",1/12,0))))),2)))</f>
        <v>0</v>
      </c>
      <c r="M25" s="20">
        <f>IF(B25="","",ROUND(L25*12,2))</f>
        <v>0</v>
      </c>
      <c r="N25" s="33">
        <f>IF(B25="","",IF(OverheadMonthly=0,"",L25/OverheadMonthly))</f>
        <v>0</v>
      </c>
      <c r="O25" s="20">
        <f>IF(B25="","",IF(ProductiveHours&lt;=0,"",ROUND(L25/ProductiveHours,2)))</f>
        <v>0</v>
      </c>
      <c r="P25" s="20">
        <f>IF(B25="","",IF(UnitsPerMonth&lt;=0,"",ROUND(L25/UnitsPerMonth,2)))</f>
        <v>0</v>
      </c>
      <c r="Q25" s="32">
        <f>IF(B25="","",IF(OR(OverheadMonthly=0,L25=0),"",ROUNDUP(L25/MAX(0.01,IFERROR(AVERAGE(Products!$AV$5:$AV$304),0.01)),0)))</f>
        <v>0</v>
      </c>
      <c r="R25" s="43">
        <f>IF(B25="","",IF(E25="","Add - how much is it?",IF(F25="","Add - how often?",IF(K25="No","Ended - no longer counted",IF(AND(I25="No",L25&gt;OverheadMonthly*0.15),"Check - a big bill you called optional","OK")))))</f>
        <v>0</v>
      </c>
    </row>
    <row r="26" spans="1:18">
      <c r="A26" s="38">
        <f>IF(B26="","","OH-"&amp;TEXT(ROW()-4,"000"))</f>
        <v>0</v>
      </c>
      <c r="K26" s="42">
        <f>IF(B26="","",IF(AND(H26&lt;&gt;"",H26&lt;TodayDate),"No","Yes"))</f>
        <v>0</v>
      </c>
      <c r="L26" s="20">
        <f>IF(B26="","",IF(OR(E26="",K26="No"),0,ROUND(E26*IF(F26="Monthly",1,IF(F26="Quarterly",1/3,IF(F26="Twice a year",1/6,IF(F26="Yearly",1/12,IF(F26="One-off",1/12,0))))),2)))</f>
        <v>0</v>
      </c>
      <c r="M26" s="20">
        <f>IF(B26="","",ROUND(L26*12,2))</f>
        <v>0</v>
      </c>
      <c r="N26" s="33">
        <f>IF(B26="","",IF(OverheadMonthly=0,"",L26/OverheadMonthly))</f>
        <v>0</v>
      </c>
      <c r="O26" s="20">
        <f>IF(B26="","",IF(ProductiveHours&lt;=0,"",ROUND(L26/ProductiveHours,2)))</f>
        <v>0</v>
      </c>
      <c r="P26" s="20">
        <f>IF(B26="","",IF(UnitsPerMonth&lt;=0,"",ROUND(L26/UnitsPerMonth,2)))</f>
        <v>0</v>
      </c>
      <c r="Q26" s="32">
        <f>IF(B26="","",IF(OR(OverheadMonthly=0,L26=0),"",ROUNDUP(L26/MAX(0.01,IFERROR(AVERAGE(Products!$AV$5:$AV$304),0.01)),0)))</f>
        <v>0</v>
      </c>
      <c r="R26" s="43">
        <f>IF(B26="","",IF(E26="","Add - how much is it?",IF(F26="","Add - how often?",IF(K26="No","Ended - no longer counted",IF(AND(I26="No",L26&gt;OverheadMonthly*0.15),"Check - a big bill you called optional","OK")))))</f>
        <v>0</v>
      </c>
    </row>
    <row r="27" spans="1:18">
      <c r="A27" s="38">
        <f>IF(B27="","","OH-"&amp;TEXT(ROW()-4,"000"))</f>
        <v>0</v>
      </c>
      <c r="K27" s="42">
        <f>IF(B27="","",IF(AND(H27&lt;&gt;"",H27&lt;TodayDate),"No","Yes"))</f>
        <v>0</v>
      </c>
      <c r="L27" s="20">
        <f>IF(B27="","",IF(OR(E27="",K27="No"),0,ROUND(E27*IF(F27="Monthly",1,IF(F27="Quarterly",1/3,IF(F27="Twice a year",1/6,IF(F27="Yearly",1/12,IF(F27="One-off",1/12,0))))),2)))</f>
        <v>0</v>
      </c>
      <c r="M27" s="20">
        <f>IF(B27="","",ROUND(L27*12,2))</f>
        <v>0</v>
      </c>
      <c r="N27" s="33">
        <f>IF(B27="","",IF(OverheadMonthly=0,"",L27/OverheadMonthly))</f>
        <v>0</v>
      </c>
      <c r="O27" s="20">
        <f>IF(B27="","",IF(ProductiveHours&lt;=0,"",ROUND(L27/ProductiveHours,2)))</f>
        <v>0</v>
      </c>
      <c r="P27" s="20">
        <f>IF(B27="","",IF(UnitsPerMonth&lt;=0,"",ROUND(L27/UnitsPerMonth,2)))</f>
        <v>0</v>
      </c>
      <c r="Q27" s="32">
        <f>IF(B27="","",IF(OR(OverheadMonthly=0,L27=0),"",ROUNDUP(L27/MAX(0.01,IFERROR(AVERAGE(Products!$AV$5:$AV$304),0.01)),0)))</f>
        <v>0</v>
      </c>
      <c r="R27" s="43">
        <f>IF(B27="","",IF(E27="","Add - how much is it?",IF(F27="","Add - how often?",IF(K27="No","Ended - no longer counted",IF(AND(I27="No",L27&gt;OverheadMonthly*0.15),"Check - a big bill you called optional","OK")))))</f>
        <v>0</v>
      </c>
    </row>
    <row r="28" spans="1:18">
      <c r="A28" s="38">
        <f>IF(B28="","","OH-"&amp;TEXT(ROW()-4,"000"))</f>
        <v>0</v>
      </c>
      <c r="K28" s="42">
        <f>IF(B28="","",IF(AND(H28&lt;&gt;"",H28&lt;TodayDate),"No","Yes"))</f>
        <v>0</v>
      </c>
      <c r="L28" s="20">
        <f>IF(B28="","",IF(OR(E28="",K28="No"),0,ROUND(E28*IF(F28="Monthly",1,IF(F28="Quarterly",1/3,IF(F28="Twice a year",1/6,IF(F28="Yearly",1/12,IF(F28="One-off",1/12,0))))),2)))</f>
        <v>0</v>
      </c>
      <c r="M28" s="20">
        <f>IF(B28="","",ROUND(L28*12,2))</f>
        <v>0</v>
      </c>
      <c r="N28" s="33">
        <f>IF(B28="","",IF(OverheadMonthly=0,"",L28/OverheadMonthly))</f>
        <v>0</v>
      </c>
      <c r="O28" s="20">
        <f>IF(B28="","",IF(ProductiveHours&lt;=0,"",ROUND(L28/ProductiveHours,2)))</f>
        <v>0</v>
      </c>
      <c r="P28" s="20">
        <f>IF(B28="","",IF(UnitsPerMonth&lt;=0,"",ROUND(L28/UnitsPerMonth,2)))</f>
        <v>0</v>
      </c>
      <c r="Q28" s="32">
        <f>IF(B28="","",IF(OR(OverheadMonthly=0,L28=0),"",ROUNDUP(L28/MAX(0.01,IFERROR(AVERAGE(Products!$AV$5:$AV$304),0.01)),0)))</f>
        <v>0</v>
      </c>
      <c r="R28" s="43">
        <f>IF(B28="","",IF(E28="","Add - how much is it?",IF(F28="","Add - how often?",IF(K28="No","Ended - no longer counted",IF(AND(I28="No",L28&gt;OverheadMonthly*0.15),"Check - a big bill you called optional","OK")))))</f>
        <v>0</v>
      </c>
    </row>
    <row r="29" spans="1:18">
      <c r="A29" s="38">
        <f>IF(B29="","","OH-"&amp;TEXT(ROW()-4,"000"))</f>
        <v>0</v>
      </c>
      <c r="K29" s="42">
        <f>IF(B29="","",IF(AND(H29&lt;&gt;"",H29&lt;TodayDate),"No","Yes"))</f>
        <v>0</v>
      </c>
      <c r="L29" s="20">
        <f>IF(B29="","",IF(OR(E29="",K29="No"),0,ROUND(E29*IF(F29="Monthly",1,IF(F29="Quarterly",1/3,IF(F29="Twice a year",1/6,IF(F29="Yearly",1/12,IF(F29="One-off",1/12,0))))),2)))</f>
        <v>0</v>
      </c>
      <c r="M29" s="20">
        <f>IF(B29="","",ROUND(L29*12,2))</f>
        <v>0</v>
      </c>
      <c r="N29" s="33">
        <f>IF(B29="","",IF(OverheadMonthly=0,"",L29/OverheadMonthly))</f>
        <v>0</v>
      </c>
      <c r="O29" s="20">
        <f>IF(B29="","",IF(ProductiveHours&lt;=0,"",ROUND(L29/ProductiveHours,2)))</f>
        <v>0</v>
      </c>
      <c r="P29" s="20">
        <f>IF(B29="","",IF(UnitsPerMonth&lt;=0,"",ROUND(L29/UnitsPerMonth,2)))</f>
        <v>0</v>
      </c>
      <c r="Q29" s="32">
        <f>IF(B29="","",IF(OR(OverheadMonthly=0,L29=0),"",ROUNDUP(L29/MAX(0.01,IFERROR(AVERAGE(Products!$AV$5:$AV$304),0.01)),0)))</f>
        <v>0</v>
      </c>
      <c r="R29" s="43">
        <f>IF(B29="","",IF(E29="","Add - how much is it?",IF(F29="","Add - how often?",IF(K29="No","Ended - no longer counted",IF(AND(I29="No",L29&gt;OverheadMonthly*0.15),"Check - a big bill you called optional","OK")))))</f>
        <v>0</v>
      </c>
    </row>
    <row r="30" spans="1:18">
      <c r="A30" s="38">
        <f>IF(B30="","","OH-"&amp;TEXT(ROW()-4,"000"))</f>
        <v>0</v>
      </c>
      <c r="K30" s="42">
        <f>IF(B30="","",IF(AND(H30&lt;&gt;"",H30&lt;TodayDate),"No","Yes"))</f>
        <v>0</v>
      </c>
      <c r="L30" s="20">
        <f>IF(B30="","",IF(OR(E30="",K30="No"),0,ROUND(E30*IF(F30="Monthly",1,IF(F30="Quarterly",1/3,IF(F30="Twice a year",1/6,IF(F30="Yearly",1/12,IF(F30="One-off",1/12,0))))),2)))</f>
        <v>0</v>
      </c>
      <c r="M30" s="20">
        <f>IF(B30="","",ROUND(L30*12,2))</f>
        <v>0</v>
      </c>
      <c r="N30" s="33">
        <f>IF(B30="","",IF(OverheadMonthly=0,"",L30/OverheadMonthly))</f>
        <v>0</v>
      </c>
      <c r="O30" s="20">
        <f>IF(B30="","",IF(ProductiveHours&lt;=0,"",ROUND(L30/ProductiveHours,2)))</f>
        <v>0</v>
      </c>
      <c r="P30" s="20">
        <f>IF(B30="","",IF(UnitsPerMonth&lt;=0,"",ROUND(L30/UnitsPerMonth,2)))</f>
        <v>0</v>
      </c>
      <c r="Q30" s="32">
        <f>IF(B30="","",IF(OR(OverheadMonthly=0,L30=0),"",ROUNDUP(L30/MAX(0.01,IFERROR(AVERAGE(Products!$AV$5:$AV$304),0.01)),0)))</f>
        <v>0</v>
      </c>
      <c r="R30" s="43">
        <f>IF(B30="","",IF(E30="","Add - how much is it?",IF(F30="","Add - how often?",IF(K30="No","Ended - no longer counted",IF(AND(I30="No",L30&gt;OverheadMonthly*0.15),"Check - a big bill you called optional","OK")))))</f>
        <v>0</v>
      </c>
    </row>
    <row r="31" spans="1:18">
      <c r="A31" s="38">
        <f>IF(B31="","","OH-"&amp;TEXT(ROW()-4,"000"))</f>
        <v>0</v>
      </c>
      <c r="K31" s="42">
        <f>IF(B31="","",IF(AND(H31&lt;&gt;"",H31&lt;TodayDate),"No","Yes"))</f>
        <v>0</v>
      </c>
      <c r="L31" s="20">
        <f>IF(B31="","",IF(OR(E31="",K31="No"),0,ROUND(E31*IF(F31="Monthly",1,IF(F31="Quarterly",1/3,IF(F31="Twice a year",1/6,IF(F31="Yearly",1/12,IF(F31="One-off",1/12,0))))),2)))</f>
        <v>0</v>
      </c>
      <c r="M31" s="20">
        <f>IF(B31="","",ROUND(L31*12,2))</f>
        <v>0</v>
      </c>
      <c r="N31" s="33">
        <f>IF(B31="","",IF(OverheadMonthly=0,"",L31/OverheadMonthly))</f>
        <v>0</v>
      </c>
      <c r="O31" s="20">
        <f>IF(B31="","",IF(ProductiveHours&lt;=0,"",ROUND(L31/ProductiveHours,2)))</f>
        <v>0</v>
      </c>
      <c r="P31" s="20">
        <f>IF(B31="","",IF(UnitsPerMonth&lt;=0,"",ROUND(L31/UnitsPerMonth,2)))</f>
        <v>0</v>
      </c>
      <c r="Q31" s="32">
        <f>IF(B31="","",IF(OR(OverheadMonthly=0,L31=0),"",ROUNDUP(L31/MAX(0.01,IFERROR(AVERAGE(Products!$AV$5:$AV$304),0.01)),0)))</f>
        <v>0</v>
      </c>
      <c r="R31" s="43">
        <f>IF(B31="","",IF(E31="","Add - how much is it?",IF(F31="","Add - how often?",IF(K31="No","Ended - no longer counted",IF(AND(I31="No",L31&gt;OverheadMonthly*0.15),"Check - a big bill you called optional","OK")))))</f>
        <v>0</v>
      </c>
    </row>
    <row r="32" spans="1:18">
      <c r="A32" s="38">
        <f>IF(B32="","","OH-"&amp;TEXT(ROW()-4,"000"))</f>
        <v>0</v>
      </c>
      <c r="K32" s="42">
        <f>IF(B32="","",IF(AND(H32&lt;&gt;"",H32&lt;TodayDate),"No","Yes"))</f>
        <v>0</v>
      </c>
      <c r="L32" s="20">
        <f>IF(B32="","",IF(OR(E32="",K32="No"),0,ROUND(E32*IF(F32="Monthly",1,IF(F32="Quarterly",1/3,IF(F32="Twice a year",1/6,IF(F32="Yearly",1/12,IF(F32="One-off",1/12,0))))),2)))</f>
        <v>0</v>
      </c>
      <c r="M32" s="20">
        <f>IF(B32="","",ROUND(L32*12,2))</f>
        <v>0</v>
      </c>
      <c r="N32" s="33">
        <f>IF(B32="","",IF(OverheadMonthly=0,"",L32/OverheadMonthly))</f>
        <v>0</v>
      </c>
      <c r="O32" s="20">
        <f>IF(B32="","",IF(ProductiveHours&lt;=0,"",ROUND(L32/ProductiveHours,2)))</f>
        <v>0</v>
      </c>
      <c r="P32" s="20">
        <f>IF(B32="","",IF(UnitsPerMonth&lt;=0,"",ROUND(L32/UnitsPerMonth,2)))</f>
        <v>0</v>
      </c>
      <c r="Q32" s="32">
        <f>IF(B32="","",IF(OR(OverheadMonthly=0,L32=0),"",ROUNDUP(L32/MAX(0.01,IFERROR(AVERAGE(Products!$AV$5:$AV$304),0.01)),0)))</f>
        <v>0</v>
      </c>
      <c r="R32" s="43">
        <f>IF(B32="","",IF(E32="","Add - how much is it?",IF(F32="","Add - how often?",IF(K32="No","Ended - no longer counted",IF(AND(I32="No",L32&gt;OverheadMonthly*0.15),"Check - a big bill you called optional","OK")))))</f>
        <v>0</v>
      </c>
    </row>
    <row r="33" spans="1:18">
      <c r="A33" s="38">
        <f>IF(B33="","","OH-"&amp;TEXT(ROW()-4,"000"))</f>
        <v>0</v>
      </c>
      <c r="K33" s="42">
        <f>IF(B33="","",IF(AND(H33&lt;&gt;"",H33&lt;TodayDate),"No","Yes"))</f>
        <v>0</v>
      </c>
      <c r="L33" s="20">
        <f>IF(B33="","",IF(OR(E33="",K33="No"),0,ROUND(E33*IF(F33="Monthly",1,IF(F33="Quarterly",1/3,IF(F33="Twice a year",1/6,IF(F33="Yearly",1/12,IF(F33="One-off",1/12,0))))),2)))</f>
        <v>0</v>
      </c>
      <c r="M33" s="20">
        <f>IF(B33="","",ROUND(L33*12,2))</f>
        <v>0</v>
      </c>
      <c r="N33" s="33">
        <f>IF(B33="","",IF(OverheadMonthly=0,"",L33/OverheadMonthly))</f>
        <v>0</v>
      </c>
      <c r="O33" s="20">
        <f>IF(B33="","",IF(ProductiveHours&lt;=0,"",ROUND(L33/ProductiveHours,2)))</f>
        <v>0</v>
      </c>
      <c r="P33" s="20">
        <f>IF(B33="","",IF(UnitsPerMonth&lt;=0,"",ROUND(L33/UnitsPerMonth,2)))</f>
        <v>0</v>
      </c>
      <c r="Q33" s="32">
        <f>IF(B33="","",IF(OR(OverheadMonthly=0,L33=0),"",ROUNDUP(L33/MAX(0.01,IFERROR(AVERAGE(Products!$AV$5:$AV$304),0.01)),0)))</f>
        <v>0</v>
      </c>
      <c r="R33" s="43">
        <f>IF(B33="","",IF(E33="","Add - how much is it?",IF(F33="","Add - how often?",IF(K33="No","Ended - no longer counted",IF(AND(I33="No",L33&gt;OverheadMonthly*0.15),"Check - a big bill you called optional","OK")))))</f>
        <v>0</v>
      </c>
    </row>
    <row r="34" spans="1:18">
      <c r="A34" s="38">
        <f>IF(B34="","","OH-"&amp;TEXT(ROW()-4,"000"))</f>
        <v>0</v>
      </c>
      <c r="K34" s="42">
        <f>IF(B34="","",IF(AND(H34&lt;&gt;"",H34&lt;TodayDate),"No","Yes"))</f>
        <v>0</v>
      </c>
      <c r="L34" s="20">
        <f>IF(B34="","",IF(OR(E34="",K34="No"),0,ROUND(E34*IF(F34="Monthly",1,IF(F34="Quarterly",1/3,IF(F34="Twice a year",1/6,IF(F34="Yearly",1/12,IF(F34="One-off",1/12,0))))),2)))</f>
        <v>0</v>
      </c>
      <c r="M34" s="20">
        <f>IF(B34="","",ROUND(L34*12,2))</f>
        <v>0</v>
      </c>
      <c r="N34" s="33">
        <f>IF(B34="","",IF(OverheadMonthly=0,"",L34/OverheadMonthly))</f>
        <v>0</v>
      </c>
      <c r="O34" s="20">
        <f>IF(B34="","",IF(ProductiveHours&lt;=0,"",ROUND(L34/ProductiveHours,2)))</f>
        <v>0</v>
      </c>
      <c r="P34" s="20">
        <f>IF(B34="","",IF(UnitsPerMonth&lt;=0,"",ROUND(L34/UnitsPerMonth,2)))</f>
        <v>0</v>
      </c>
      <c r="Q34" s="32">
        <f>IF(B34="","",IF(OR(OverheadMonthly=0,L34=0),"",ROUNDUP(L34/MAX(0.01,IFERROR(AVERAGE(Products!$AV$5:$AV$304),0.01)),0)))</f>
        <v>0</v>
      </c>
      <c r="R34" s="43">
        <f>IF(B34="","",IF(E34="","Add - how much is it?",IF(F34="","Add - how often?",IF(K34="No","Ended - no longer counted",IF(AND(I34="No",L34&gt;OverheadMonthly*0.15),"Check - a big bill you called optional","OK")))))</f>
        <v>0</v>
      </c>
    </row>
    <row r="35" spans="1:18">
      <c r="A35" s="38">
        <f>IF(B35="","","OH-"&amp;TEXT(ROW()-4,"000"))</f>
        <v>0</v>
      </c>
      <c r="K35" s="42">
        <f>IF(B35="","",IF(AND(H35&lt;&gt;"",H35&lt;TodayDate),"No","Yes"))</f>
        <v>0</v>
      </c>
      <c r="L35" s="20">
        <f>IF(B35="","",IF(OR(E35="",K35="No"),0,ROUND(E35*IF(F35="Monthly",1,IF(F35="Quarterly",1/3,IF(F35="Twice a year",1/6,IF(F35="Yearly",1/12,IF(F35="One-off",1/12,0))))),2)))</f>
        <v>0</v>
      </c>
      <c r="M35" s="20">
        <f>IF(B35="","",ROUND(L35*12,2))</f>
        <v>0</v>
      </c>
      <c r="N35" s="33">
        <f>IF(B35="","",IF(OverheadMonthly=0,"",L35/OverheadMonthly))</f>
        <v>0</v>
      </c>
      <c r="O35" s="20">
        <f>IF(B35="","",IF(ProductiveHours&lt;=0,"",ROUND(L35/ProductiveHours,2)))</f>
        <v>0</v>
      </c>
      <c r="P35" s="20">
        <f>IF(B35="","",IF(UnitsPerMonth&lt;=0,"",ROUND(L35/UnitsPerMonth,2)))</f>
        <v>0</v>
      </c>
      <c r="Q35" s="32">
        <f>IF(B35="","",IF(OR(OverheadMonthly=0,L35=0),"",ROUNDUP(L35/MAX(0.01,IFERROR(AVERAGE(Products!$AV$5:$AV$304),0.01)),0)))</f>
        <v>0</v>
      </c>
      <c r="R35" s="43">
        <f>IF(B35="","",IF(E35="","Add - how much is it?",IF(F35="","Add - how often?",IF(K35="No","Ended - no longer counted",IF(AND(I35="No",L35&gt;OverheadMonthly*0.15),"Check - a big bill you called optional","OK")))))</f>
        <v>0</v>
      </c>
    </row>
    <row r="36" spans="1:18">
      <c r="A36" s="38">
        <f>IF(B36="","","OH-"&amp;TEXT(ROW()-4,"000"))</f>
        <v>0</v>
      </c>
      <c r="K36" s="42">
        <f>IF(B36="","",IF(AND(H36&lt;&gt;"",H36&lt;TodayDate),"No","Yes"))</f>
        <v>0</v>
      </c>
      <c r="L36" s="20">
        <f>IF(B36="","",IF(OR(E36="",K36="No"),0,ROUND(E36*IF(F36="Monthly",1,IF(F36="Quarterly",1/3,IF(F36="Twice a year",1/6,IF(F36="Yearly",1/12,IF(F36="One-off",1/12,0))))),2)))</f>
        <v>0</v>
      </c>
      <c r="M36" s="20">
        <f>IF(B36="","",ROUND(L36*12,2))</f>
        <v>0</v>
      </c>
      <c r="N36" s="33">
        <f>IF(B36="","",IF(OverheadMonthly=0,"",L36/OverheadMonthly))</f>
        <v>0</v>
      </c>
      <c r="O36" s="20">
        <f>IF(B36="","",IF(ProductiveHours&lt;=0,"",ROUND(L36/ProductiveHours,2)))</f>
        <v>0</v>
      </c>
      <c r="P36" s="20">
        <f>IF(B36="","",IF(UnitsPerMonth&lt;=0,"",ROUND(L36/UnitsPerMonth,2)))</f>
        <v>0</v>
      </c>
      <c r="Q36" s="32">
        <f>IF(B36="","",IF(OR(OverheadMonthly=0,L36=0),"",ROUNDUP(L36/MAX(0.01,IFERROR(AVERAGE(Products!$AV$5:$AV$304),0.01)),0)))</f>
        <v>0</v>
      </c>
      <c r="R36" s="43">
        <f>IF(B36="","",IF(E36="","Add - how much is it?",IF(F36="","Add - how often?",IF(K36="No","Ended - no longer counted",IF(AND(I36="No",L36&gt;OverheadMonthly*0.15),"Check - a big bill you called optional","OK")))))</f>
        <v>0</v>
      </c>
    </row>
    <row r="37" spans="1:18">
      <c r="A37" s="38">
        <f>IF(B37="","","OH-"&amp;TEXT(ROW()-4,"000"))</f>
        <v>0</v>
      </c>
      <c r="K37" s="42">
        <f>IF(B37="","",IF(AND(H37&lt;&gt;"",H37&lt;TodayDate),"No","Yes"))</f>
        <v>0</v>
      </c>
      <c r="L37" s="20">
        <f>IF(B37="","",IF(OR(E37="",K37="No"),0,ROUND(E37*IF(F37="Monthly",1,IF(F37="Quarterly",1/3,IF(F37="Twice a year",1/6,IF(F37="Yearly",1/12,IF(F37="One-off",1/12,0))))),2)))</f>
        <v>0</v>
      </c>
      <c r="M37" s="20">
        <f>IF(B37="","",ROUND(L37*12,2))</f>
        <v>0</v>
      </c>
      <c r="N37" s="33">
        <f>IF(B37="","",IF(OverheadMonthly=0,"",L37/OverheadMonthly))</f>
        <v>0</v>
      </c>
      <c r="O37" s="20">
        <f>IF(B37="","",IF(ProductiveHours&lt;=0,"",ROUND(L37/ProductiveHours,2)))</f>
        <v>0</v>
      </c>
      <c r="P37" s="20">
        <f>IF(B37="","",IF(UnitsPerMonth&lt;=0,"",ROUND(L37/UnitsPerMonth,2)))</f>
        <v>0</v>
      </c>
      <c r="Q37" s="32">
        <f>IF(B37="","",IF(OR(OverheadMonthly=0,L37=0),"",ROUNDUP(L37/MAX(0.01,IFERROR(AVERAGE(Products!$AV$5:$AV$304),0.01)),0)))</f>
        <v>0</v>
      </c>
      <c r="R37" s="43">
        <f>IF(B37="","",IF(E37="","Add - how much is it?",IF(F37="","Add - how often?",IF(K37="No","Ended - no longer counted",IF(AND(I37="No",L37&gt;OverheadMonthly*0.15),"Check - a big bill you called optional","OK")))))</f>
        <v>0</v>
      </c>
    </row>
    <row r="38" spans="1:18">
      <c r="A38" s="38">
        <f>IF(B38="","","OH-"&amp;TEXT(ROW()-4,"000"))</f>
        <v>0</v>
      </c>
      <c r="K38" s="42">
        <f>IF(B38="","",IF(AND(H38&lt;&gt;"",H38&lt;TodayDate),"No","Yes"))</f>
        <v>0</v>
      </c>
      <c r="L38" s="20">
        <f>IF(B38="","",IF(OR(E38="",K38="No"),0,ROUND(E38*IF(F38="Monthly",1,IF(F38="Quarterly",1/3,IF(F38="Twice a year",1/6,IF(F38="Yearly",1/12,IF(F38="One-off",1/12,0))))),2)))</f>
        <v>0</v>
      </c>
      <c r="M38" s="20">
        <f>IF(B38="","",ROUND(L38*12,2))</f>
        <v>0</v>
      </c>
      <c r="N38" s="33">
        <f>IF(B38="","",IF(OverheadMonthly=0,"",L38/OverheadMonthly))</f>
        <v>0</v>
      </c>
      <c r="O38" s="20">
        <f>IF(B38="","",IF(ProductiveHours&lt;=0,"",ROUND(L38/ProductiveHours,2)))</f>
        <v>0</v>
      </c>
      <c r="P38" s="20">
        <f>IF(B38="","",IF(UnitsPerMonth&lt;=0,"",ROUND(L38/UnitsPerMonth,2)))</f>
        <v>0</v>
      </c>
      <c r="Q38" s="32">
        <f>IF(B38="","",IF(OR(OverheadMonthly=0,L38=0),"",ROUNDUP(L38/MAX(0.01,IFERROR(AVERAGE(Products!$AV$5:$AV$304),0.01)),0)))</f>
        <v>0</v>
      </c>
      <c r="R38" s="43">
        <f>IF(B38="","",IF(E38="","Add - how much is it?",IF(F38="","Add - how often?",IF(K38="No","Ended - no longer counted",IF(AND(I38="No",L38&gt;OverheadMonthly*0.15),"Check - a big bill you called optional","OK")))))</f>
        <v>0</v>
      </c>
    </row>
    <row r="39" spans="1:18">
      <c r="A39" s="38">
        <f>IF(B39="","","OH-"&amp;TEXT(ROW()-4,"000"))</f>
        <v>0</v>
      </c>
      <c r="K39" s="42">
        <f>IF(B39="","",IF(AND(H39&lt;&gt;"",H39&lt;TodayDate),"No","Yes"))</f>
        <v>0</v>
      </c>
      <c r="L39" s="20">
        <f>IF(B39="","",IF(OR(E39="",K39="No"),0,ROUND(E39*IF(F39="Monthly",1,IF(F39="Quarterly",1/3,IF(F39="Twice a year",1/6,IF(F39="Yearly",1/12,IF(F39="One-off",1/12,0))))),2)))</f>
        <v>0</v>
      </c>
      <c r="M39" s="20">
        <f>IF(B39="","",ROUND(L39*12,2))</f>
        <v>0</v>
      </c>
      <c r="N39" s="33">
        <f>IF(B39="","",IF(OverheadMonthly=0,"",L39/OverheadMonthly))</f>
        <v>0</v>
      </c>
      <c r="O39" s="20">
        <f>IF(B39="","",IF(ProductiveHours&lt;=0,"",ROUND(L39/ProductiveHours,2)))</f>
        <v>0</v>
      </c>
      <c r="P39" s="20">
        <f>IF(B39="","",IF(UnitsPerMonth&lt;=0,"",ROUND(L39/UnitsPerMonth,2)))</f>
        <v>0</v>
      </c>
      <c r="Q39" s="32">
        <f>IF(B39="","",IF(OR(OverheadMonthly=0,L39=0),"",ROUNDUP(L39/MAX(0.01,IFERROR(AVERAGE(Products!$AV$5:$AV$304),0.01)),0)))</f>
        <v>0</v>
      </c>
      <c r="R39" s="43">
        <f>IF(B39="","",IF(E39="","Add - how much is it?",IF(F39="","Add - how often?",IF(K39="No","Ended - no longer counted",IF(AND(I39="No",L39&gt;OverheadMonthly*0.15),"Check - a big bill you called optional","OK")))))</f>
        <v>0</v>
      </c>
    </row>
    <row r="40" spans="1:18">
      <c r="A40" s="38">
        <f>IF(B40="","","OH-"&amp;TEXT(ROW()-4,"000"))</f>
        <v>0</v>
      </c>
      <c r="K40" s="42">
        <f>IF(B40="","",IF(AND(H40&lt;&gt;"",H40&lt;TodayDate),"No","Yes"))</f>
        <v>0</v>
      </c>
      <c r="L40" s="20">
        <f>IF(B40="","",IF(OR(E40="",K40="No"),0,ROUND(E40*IF(F40="Monthly",1,IF(F40="Quarterly",1/3,IF(F40="Twice a year",1/6,IF(F40="Yearly",1/12,IF(F40="One-off",1/12,0))))),2)))</f>
        <v>0</v>
      </c>
      <c r="M40" s="20">
        <f>IF(B40="","",ROUND(L40*12,2))</f>
        <v>0</v>
      </c>
      <c r="N40" s="33">
        <f>IF(B40="","",IF(OverheadMonthly=0,"",L40/OverheadMonthly))</f>
        <v>0</v>
      </c>
      <c r="O40" s="20">
        <f>IF(B40="","",IF(ProductiveHours&lt;=0,"",ROUND(L40/ProductiveHours,2)))</f>
        <v>0</v>
      </c>
      <c r="P40" s="20">
        <f>IF(B40="","",IF(UnitsPerMonth&lt;=0,"",ROUND(L40/UnitsPerMonth,2)))</f>
        <v>0</v>
      </c>
      <c r="Q40" s="32">
        <f>IF(B40="","",IF(OR(OverheadMonthly=0,L40=0),"",ROUNDUP(L40/MAX(0.01,IFERROR(AVERAGE(Products!$AV$5:$AV$304),0.01)),0)))</f>
        <v>0</v>
      </c>
      <c r="R40" s="43">
        <f>IF(B40="","",IF(E40="","Add - how much is it?",IF(F40="","Add - how often?",IF(K40="No","Ended - no longer counted",IF(AND(I40="No",L40&gt;OverheadMonthly*0.15),"Check - a big bill you called optional","OK")))))</f>
        <v>0</v>
      </c>
    </row>
    <row r="41" spans="1:18">
      <c r="A41" s="38">
        <f>IF(B41="","","OH-"&amp;TEXT(ROW()-4,"000"))</f>
        <v>0</v>
      </c>
      <c r="K41" s="42">
        <f>IF(B41="","",IF(AND(H41&lt;&gt;"",H41&lt;TodayDate),"No","Yes"))</f>
        <v>0</v>
      </c>
      <c r="L41" s="20">
        <f>IF(B41="","",IF(OR(E41="",K41="No"),0,ROUND(E41*IF(F41="Monthly",1,IF(F41="Quarterly",1/3,IF(F41="Twice a year",1/6,IF(F41="Yearly",1/12,IF(F41="One-off",1/12,0))))),2)))</f>
        <v>0</v>
      </c>
      <c r="M41" s="20">
        <f>IF(B41="","",ROUND(L41*12,2))</f>
        <v>0</v>
      </c>
      <c r="N41" s="33">
        <f>IF(B41="","",IF(OverheadMonthly=0,"",L41/OverheadMonthly))</f>
        <v>0</v>
      </c>
      <c r="O41" s="20">
        <f>IF(B41="","",IF(ProductiveHours&lt;=0,"",ROUND(L41/ProductiveHours,2)))</f>
        <v>0</v>
      </c>
      <c r="P41" s="20">
        <f>IF(B41="","",IF(UnitsPerMonth&lt;=0,"",ROUND(L41/UnitsPerMonth,2)))</f>
        <v>0</v>
      </c>
      <c r="Q41" s="32">
        <f>IF(B41="","",IF(OR(OverheadMonthly=0,L41=0),"",ROUNDUP(L41/MAX(0.01,IFERROR(AVERAGE(Products!$AV$5:$AV$304),0.01)),0)))</f>
        <v>0</v>
      </c>
      <c r="R41" s="43">
        <f>IF(B41="","",IF(E41="","Add - how much is it?",IF(F41="","Add - how often?",IF(K41="No","Ended - no longer counted",IF(AND(I41="No",L41&gt;OverheadMonthly*0.15),"Check - a big bill you called optional","OK")))))</f>
        <v>0</v>
      </c>
    </row>
    <row r="42" spans="1:18">
      <c r="A42" s="38">
        <f>IF(B42="","","OH-"&amp;TEXT(ROW()-4,"000"))</f>
        <v>0</v>
      </c>
      <c r="K42" s="42">
        <f>IF(B42="","",IF(AND(H42&lt;&gt;"",H42&lt;TodayDate),"No","Yes"))</f>
        <v>0</v>
      </c>
      <c r="L42" s="20">
        <f>IF(B42="","",IF(OR(E42="",K42="No"),0,ROUND(E42*IF(F42="Monthly",1,IF(F42="Quarterly",1/3,IF(F42="Twice a year",1/6,IF(F42="Yearly",1/12,IF(F42="One-off",1/12,0))))),2)))</f>
        <v>0</v>
      </c>
      <c r="M42" s="20">
        <f>IF(B42="","",ROUND(L42*12,2))</f>
        <v>0</v>
      </c>
      <c r="N42" s="33">
        <f>IF(B42="","",IF(OverheadMonthly=0,"",L42/OverheadMonthly))</f>
        <v>0</v>
      </c>
      <c r="O42" s="20">
        <f>IF(B42="","",IF(ProductiveHours&lt;=0,"",ROUND(L42/ProductiveHours,2)))</f>
        <v>0</v>
      </c>
      <c r="P42" s="20">
        <f>IF(B42="","",IF(UnitsPerMonth&lt;=0,"",ROUND(L42/UnitsPerMonth,2)))</f>
        <v>0</v>
      </c>
      <c r="Q42" s="32">
        <f>IF(B42="","",IF(OR(OverheadMonthly=0,L42=0),"",ROUNDUP(L42/MAX(0.01,IFERROR(AVERAGE(Products!$AV$5:$AV$304),0.01)),0)))</f>
        <v>0</v>
      </c>
      <c r="R42" s="43">
        <f>IF(B42="","",IF(E42="","Add - how much is it?",IF(F42="","Add - how often?",IF(K42="No","Ended - no longer counted",IF(AND(I42="No",L42&gt;OverheadMonthly*0.15),"Check - a big bill you called optional","OK")))))</f>
        <v>0</v>
      </c>
    </row>
    <row r="43" spans="1:18">
      <c r="A43" s="38">
        <f>IF(B43="","","OH-"&amp;TEXT(ROW()-4,"000"))</f>
        <v>0</v>
      </c>
      <c r="K43" s="42">
        <f>IF(B43="","",IF(AND(H43&lt;&gt;"",H43&lt;TodayDate),"No","Yes"))</f>
        <v>0</v>
      </c>
      <c r="L43" s="20">
        <f>IF(B43="","",IF(OR(E43="",K43="No"),0,ROUND(E43*IF(F43="Monthly",1,IF(F43="Quarterly",1/3,IF(F43="Twice a year",1/6,IF(F43="Yearly",1/12,IF(F43="One-off",1/12,0))))),2)))</f>
        <v>0</v>
      </c>
      <c r="M43" s="20">
        <f>IF(B43="","",ROUND(L43*12,2))</f>
        <v>0</v>
      </c>
      <c r="N43" s="33">
        <f>IF(B43="","",IF(OverheadMonthly=0,"",L43/OverheadMonthly))</f>
        <v>0</v>
      </c>
      <c r="O43" s="20">
        <f>IF(B43="","",IF(ProductiveHours&lt;=0,"",ROUND(L43/ProductiveHours,2)))</f>
        <v>0</v>
      </c>
      <c r="P43" s="20">
        <f>IF(B43="","",IF(UnitsPerMonth&lt;=0,"",ROUND(L43/UnitsPerMonth,2)))</f>
        <v>0</v>
      </c>
      <c r="Q43" s="32">
        <f>IF(B43="","",IF(OR(OverheadMonthly=0,L43=0),"",ROUNDUP(L43/MAX(0.01,IFERROR(AVERAGE(Products!$AV$5:$AV$304),0.01)),0)))</f>
        <v>0</v>
      </c>
      <c r="R43" s="43">
        <f>IF(B43="","",IF(E43="","Add - how much is it?",IF(F43="","Add - how often?",IF(K43="No","Ended - no longer counted",IF(AND(I43="No",L43&gt;OverheadMonthly*0.15),"Check - a big bill you called optional","OK")))))</f>
        <v>0</v>
      </c>
    </row>
    <row r="44" spans="1:18">
      <c r="A44" s="38">
        <f>IF(B44="","","OH-"&amp;TEXT(ROW()-4,"000"))</f>
        <v>0</v>
      </c>
      <c r="K44" s="42">
        <f>IF(B44="","",IF(AND(H44&lt;&gt;"",H44&lt;TodayDate),"No","Yes"))</f>
        <v>0</v>
      </c>
      <c r="L44" s="20">
        <f>IF(B44="","",IF(OR(E44="",K44="No"),0,ROUND(E44*IF(F44="Monthly",1,IF(F44="Quarterly",1/3,IF(F44="Twice a year",1/6,IF(F44="Yearly",1/12,IF(F44="One-off",1/12,0))))),2)))</f>
        <v>0</v>
      </c>
      <c r="M44" s="20">
        <f>IF(B44="","",ROUND(L44*12,2))</f>
        <v>0</v>
      </c>
      <c r="N44" s="33">
        <f>IF(B44="","",IF(OverheadMonthly=0,"",L44/OverheadMonthly))</f>
        <v>0</v>
      </c>
      <c r="O44" s="20">
        <f>IF(B44="","",IF(ProductiveHours&lt;=0,"",ROUND(L44/ProductiveHours,2)))</f>
        <v>0</v>
      </c>
      <c r="P44" s="20">
        <f>IF(B44="","",IF(UnitsPerMonth&lt;=0,"",ROUND(L44/UnitsPerMonth,2)))</f>
        <v>0</v>
      </c>
      <c r="Q44" s="32">
        <f>IF(B44="","",IF(OR(OverheadMonthly=0,L44=0),"",ROUNDUP(L44/MAX(0.01,IFERROR(AVERAGE(Products!$AV$5:$AV$304),0.01)),0)))</f>
        <v>0</v>
      </c>
      <c r="R44" s="43">
        <f>IF(B44="","",IF(E44="","Add - how much is it?",IF(F44="","Add - how often?",IF(K44="No","Ended - no longer counted",IF(AND(I44="No",L44&gt;OverheadMonthly*0.15),"Check - a big bill you called optional","OK")))))</f>
        <v>0</v>
      </c>
    </row>
    <row r="46" spans="1:18" ht="20" customHeight="1">
      <c r="A46" s="7" t="s">
        <v>960</v>
      </c>
      <c r="B46" s="7"/>
      <c r="C46" s="7"/>
      <c r="D46" s="7"/>
      <c r="E46" s="7"/>
      <c r="F46" s="7"/>
      <c r="G46" s="7"/>
      <c r="H46" s="7"/>
      <c r="I46" s="7"/>
      <c r="J46" s="7"/>
      <c r="K46" s="7"/>
      <c r="L46" s="7"/>
      <c r="M46" s="7"/>
      <c r="N46" s="7"/>
      <c r="O46" s="7"/>
      <c r="P46" s="7"/>
      <c r="Q46" s="7"/>
      <c r="R46" s="7"/>
    </row>
    <row r="47" spans="1:18" ht="26" customHeight="1">
      <c r="A47" s="8" t="s">
        <v>961</v>
      </c>
      <c r="B47" s="9" t="s">
        <v>962</v>
      </c>
      <c r="C47" s="9" t="s">
        <v>963</v>
      </c>
      <c r="D47" s="9" t="s">
        <v>255</v>
      </c>
      <c r="E47" s="9" t="s">
        <v>920</v>
      </c>
      <c r="F47" s="9" t="s">
        <v>964</v>
      </c>
      <c r="G47" s="9" t="s">
        <v>965</v>
      </c>
    </row>
    <row r="48" spans="1:18">
      <c r="A48" s="32">
        <f>COUNTIF(Overhead!$B$5:$B$44,"&lt;&gt;")</f>
        <v>0</v>
      </c>
      <c r="B48" s="20">
        <f>ROUND(SUM(Overhead!$L$5:$L$44),2)</f>
        <v>0</v>
      </c>
      <c r="C48" s="20">
        <f>ROUND(SUM(Overhead!$M$5:$M$44),2)</f>
        <v>0</v>
      </c>
      <c r="D48" s="20">
        <f>OverheadPerHour</f>
        <v>0</v>
      </c>
      <c r="E48" s="20">
        <f>OverheadPerUnit</f>
        <v>0</v>
      </c>
      <c r="F48" s="20">
        <f>ROUND(SUMIFS(Overhead!$L$5:$L$44,Overhead!$I$5:$I$44,"No"),2)</f>
        <v>0</v>
      </c>
      <c r="G48" s="32">
        <f>IFERROR(ROUNDUP(OverheadMonthly/MAX(0.01,AVERAGE(Products!$AV$5:$AV$304)),0),"")</f>
        <v>0</v>
      </c>
    </row>
  </sheetData>
  <sheetProtection password="EC7C" sheet="1" objects="1" scenarios="1" formatCells="0" formatColumns="0" formatRows="0" insertRows="0" insertHyperlinks="0" deleteRows="0" autoFilter="0"/>
  <autoFilter ref="A4:R44"/>
  <mergeCells count="13">
    <mergeCell ref="A1:O1"/>
    <mergeCell ref="P1:R1"/>
    <mergeCell ref="A2:R2"/>
    <mergeCell ref="A3:B3"/>
    <mergeCell ref="C3:D3"/>
    <mergeCell ref="E3:F3"/>
    <mergeCell ref="G3:H3"/>
    <mergeCell ref="I3:J3"/>
    <mergeCell ref="K3:L3"/>
    <mergeCell ref="M3:N3"/>
    <mergeCell ref="O3:P3"/>
    <mergeCell ref="Q3:R3"/>
    <mergeCell ref="A46:R46"/>
  </mergeCells>
  <conditionalFormatting sqref="L5:L44">
    <cfRule type="dataBar" priority="1">
      <dataBar>
        <cfvo type="min" val="0"/>
        <cfvo type="max" val="0"/>
        <color rgb="FFB5704F"/>
      </dataBar>
    </cfRule>
  </conditionalFormatting>
  <conditionalFormatting sqref="N5:N44">
    <cfRule type="dataBar" priority="2">
      <dataBar>
        <cfvo type="min" val="0"/>
        <cfvo type="max" val="0"/>
        <color rgb="FFB5704F"/>
      </dataBar>
    </cfRule>
  </conditionalFormatting>
  <conditionalFormatting sqref="R5:R44">
    <cfRule type="beginsWith" dxfId="1" priority="3" operator="beginsWith" text="OK">
      <formula>LEFT(R5,2)="OK"</formula>
    </cfRule>
    <cfRule type="containsText" dxfId="2" priority="4" operator="containsText" text="Overdue">
      <formula>NOT(ISERROR(SEARCH("Overdue",R5)))</formula>
    </cfRule>
    <cfRule type="containsText" dxfId="2" priority="5" operator="containsText" text="Late">
      <formula>NOT(ISERROR(SEARCH("Late",R5)))</formula>
    </cfRule>
    <cfRule type="containsText" dxfId="2" priority="6" operator="containsText" text="Missing">
      <formula>NOT(ISERROR(SEARCH("Missing",R5)))</formula>
    </cfRule>
    <cfRule type="containsText" dxfId="2" priority="7" operator="containsText" text="Conflict">
      <formula>NOT(ISERROR(SEARCH("Conflict",R5)))</formula>
    </cfRule>
    <cfRule type="containsText" dxfId="2" priority="8" operator="containsText" text="Clash">
      <formula>NOT(ISERROR(SEARCH("Clash",R5)))</formula>
    </cfRule>
    <cfRule type="containsText" dxfId="2" priority="9" operator="containsText" text="Expired">
      <formula>NOT(ISERROR(SEARCH("Expired",R5)))</formula>
    </cfRule>
    <cfRule type="containsText" dxfId="2" priority="10" operator="containsText" text="Duplicate">
      <formula>NOT(ISERROR(SEARCH("Duplicate",R5)))</formula>
    </cfRule>
    <cfRule type="containsText" dxfId="2" priority="11" operator="containsText" text="Unpaid">
      <formula>NOT(ISERROR(SEARCH("Unpaid",R5)))</formula>
    </cfRule>
    <cfRule type="containsText" dxfId="2" priority="12" operator="containsText" text="Loss">
      <formula>NOT(ISERROR(SEARCH("Loss",R5)))</formula>
    </cfRule>
    <cfRule type="containsText" dxfId="2" priority="13" operator="containsText" text="Below">
      <formula>NOT(ISERROR(SEARCH("Below",R5)))</formula>
    </cfRule>
    <cfRule type="containsText" dxfId="0" priority="14" operator="containsText" text="Action">
      <formula>NOT(ISERROR(SEARCH("Action",R5)))</formula>
    </cfRule>
    <cfRule type="containsText" dxfId="0" priority="15" operator="containsText" text="Due">
      <formula>NOT(ISERROR(SEARCH("Due",R5)))</formula>
    </cfRule>
    <cfRule type="containsText" dxfId="0" priority="16" operator="containsText" text="Check">
      <formula>NOT(ISERROR(SEARCH("Check",R5)))</formula>
    </cfRule>
    <cfRule type="containsText" dxfId="0" priority="17" operator="containsText" text="Chase">
      <formula>NOT(ISERROR(SEARCH("Chase",R5)))</formula>
    </cfRule>
    <cfRule type="containsText" dxfId="0" priority="18" operator="containsText" text="Assign">
      <formula>NOT(ISERROR(SEARCH("Assign",R5)))</formula>
    </cfRule>
    <cfRule type="containsText" dxfId="0" priority="19" operator="containsText" text="Confirm">
      <formula>NOT(ISERROR(SEARCH("Confirm",R5)))</formula>
    </cfRule>
    <cfRule type="containsText" dxfId="0" priority="20" operator="containsText" text="Order">
      <formula>NOT(ISERROR(SEARCH("Order",R5)))</formula>
    </cfRule>
    <cfRule type="containsText" dxfId="3" priority="21" operator="containsText" text="Today">
      <formula>NOT(ISERROR(SEARCH("Today",R5)))</formula>
    </cfRule>
    <cfRule type="containsText" dxfId="3" priority="22" operator="containsText" text="Upcoming">
      <formula>NOT(ISERROR(SEARCH("Upcoming",R5)))</formula>
    </cfRule>
    <cfRule type="containsText" dxfId="3" priority="23" operator="containsText" text="Tomorrow">
      <formula>NOT(ISERROR(SEARCH("Tomorrow",R5)))</formula>
    </cfRule>
  </conditionalFormatting>
  <dataValidations count="6">
    <dataValidation type="list" allowBlank="1" showInputMessage="1" showErrorMessage="1" sqref="C5:C44">
      <formula1>OverheadTypeList</formula1>
    </dataValidation>
    <dataValidation type="decimal" allowBlank="1" showInputMessage="1" showErrorMessage="1" errorTitle="Check the value" error="Enter a number between 0 and 1000000." sqref="E5:E44">
      <formula1>0</formula1>
      <formula2>1000000</formula2>
    </dataValidation>
    <dataValidation type="list" allowBlank="1" showInputMessage="1" showErrorMessage="1" promptTitle="How often" prompt="One-off costs are spread over twelve months, which is the honest way to carry a kiln or a camera." sqref="F5:F44">
      <formula1>FrequencyList</formula1>
    </dataValidation>
    <dataValidation type="date" allowBlank="1" showInputMessage="1" showErrorMessage="1" errorTitle="Check the date" error="Enter a real date between 2000 and 2100." sqref="G5:G44">
      <formula1>36526</formula1>
      <formula2>73415</formula2>
    </dataValidation>
    <dataValidation type="date" allowBlank="1" showInputMessage="1" showErrorMessage="1" errorTitle="Check the date" error="Enter a real date between 2000 and 2100." promptTitle="Ends" prompt="Leave blank for an ongoing cost. A finished cost stops counting against your products." sqref="H5:H44">
      <formula1>36526</formula1>
      <formula2>73415</formula2>
    </dataValidation>
    <dataValidation type="list" allowBlank="1" showInputMessage="1" showErrorMessage="1" promptTitle="Essential?" prompt="Be honest. The reports total what you could stop paying tomorrow." sqref="I5:I4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&amp;L&amp;"Calibri,Bold"&amp;12&amp;C&amp;"Calibri,Bold"&amp;11Overhead&amp;R&amp;"Calibri,Italic"&amp;9Handmade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B5704F"/>
    <pageSetUpPr fitToPage="1"/>
  </sheetPr>
  <dimension ref="A1:AC2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style="15" customWidth="1"/>
    <col min="2" max="2" width="18.7109375" style="15" customWidth="1"/>
    <col min="3" max="3" width="11.7109375" style="18" customWidth="1"/>
    <col min="4" max="4" width="13.7109375" style="21" customWidth="1"/>
    <col min="5" max="5" width="12.7109375" style="19" customWidth="1"/>
    <col min="6" max="6" width="12.7109375" style="19" customWidth="1"/>
    <col min="7" max="7" width="13.7109375" style="18" customWidth="1"/>
    <col min="8" max="8" width="12.7109375" style="19" customWidth="1"/>
    <col min="9" max="9" width="12.7109375" style="19" customWidth="1"/>
    <col min="10" max="10" width="11.7109375" style="19" customWidth="1"/>
    <col min="11" max="11" width="11.7109375" style="19" customWidth="1"/>
    <col min="12" max="12" width="10.7109375" style="19" customWidth="1"/>
    <col min="13" max="13" width="11.7109375" style="18" customWidth="1"/>
    <col min="14" max="14" width="14.7109375" style="18" customWidth="1"/>
    <col min="15" max="15" width="13.7109375" style="47" customWidth="1"/>
    <col min="16" max="16" width="11.7109375" style="22" customWidth="1"/>
    <col min="17" max="17" width="26.7109375" style="15" customWidth="1"/>
    <col min="18" max="18" width="24.7109375" style="40" customWidth="1"/>
    <col min="19" max="19" width="12.7109375" style="33" customWidth="1"/>
    <col min="20" max="20" width="11.7109375" style="20" customWidth="1"/>
    <col min="21" max="21" width="12.7109375" style="20" customWidth="1"/>
    <col min="22" max="22" width="11.7109375" style="20" customWidth="1"/>
    <col min="23" max="23" width="11.7109375" style="33" customWidth="1"/>
    <col min="24" max="24" width="11.7109375" style="32" customWidth="1"/>
    <col min="25" max="25" width="11.7109375" style="32" customWidth="1"/>
    <col min="26" max="26" width="12.7109375" style="20" customWidth="1"/>
    <col min="27" max="27" width="13.7109375" style="20" customWidth="1"/>
    <col min="28" max="28" width="11.7109375" style="33" customWidth="1"/>
    <col min="29" max="29" width="26.7109375" style="43" customWidth="1"/>
    <col min="1" max="1" width="16.7109375" customWidth="1"/>
    <col min="2" max="2" width="22.7109375" customWidth="1"/>
    <col min="3" max="3" width="22.7109375" customWidth="1"/>
    <col min="4" max="4" width="15.7109375" customWidth="1"/>
    <col min="5" max="5" width="19.7109375" customWidth="1"/>
    <col min="6" max="6" width="21.7109375" customWidth="1"/>
  </cols>
  <sheetData>
    <row r="1" spans="1:29" ht="34" customHeight="1">
      <c r="A1" s="2" t="s">
        <v>966</v>
      </c>
      <c r="B1" s="2"/>
      <c r="C1" s="2"/>
      <c r="D1" s="2"/>
      <c r="E1" s="2"/>
      <c r="F1" s="2"/>
      <c r="G1" s="2"/>
      <c r="H1" s="2"/>
      <c r="I1" s="2"/>
      <c r="J1" s="2"/>
      <c r="K1" s="2"/>
      <c r="L1" s="2"/>
      <c r="M1" s="2"/>
      <c r="N1" s="2"/>
      <c r="O1" s="2"/>
      <c r="P1" s="2"/>
      <c r="Q1" s="2"/>
      <c r="R1" s="2"/>
      <c r="S1" s="2"/>
      <c r="T1" s="2"/>
      <c r="U1" s="2"/>
      <c r="V1" s="2"/>
      <c r="W1" s="2"/>
      <c r="X1" s="2"/>
      <c r="Y1" s="2"/>
      <c r="Z1" s="2"/>
      <c r="AA1" s="3" t="s">
        <v>1</v>
      </c>
      <c r="AB1" s="3"/>
      <c r="AC1" s="3"/>
    </row>
    <row r="2" spans="1:29" ht="18" customHeight="1">
      <c r="A2" s="4" t="s">
        <v>967</v>
      </c>
      <c r="B2" s="4"/>
      <c r="C2" s="4"/>
      <c r="D2" s="4"/>
      <c r="E2" s="4"/>
      <c r="F2" s="4"/>
      <c r="G2" s="4"/>
      <c r="H2" s="4"/>
      <c r="I2" s="4"/>
      <c r="J2" s="4"/>
      <c r="K2" s="4"/>
      <c r="L2" s="4"/>
      <c r="M2" s="4"/>
      <c r="N2" s="4"/>
      <c r="O2" s="4"/>
      <c r="P2" s="4"/>
      <c r="Q2" s="4"/>
      <c r="R2" s="4"/>
      <c r="S2" s="4"/>
      <c r="T2" s="4"/>
      <c r="U2" s="4"/>
      <c r="V2" s="4"/>
      <c r="W2" s="4"/>
      <c r="X2" s="4"/>
      <c r="Y2" s="4"/>
      <c r="Z2" s="4"/>
      <c r="AA2" s="4"/>
      <c r="AB2" s="4"/>
      <c r="AC2" s="4"/>
    </row>
    <row r="3" spans="1:29"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968</v>
      </c>
      <c r="T3" s="44"/>
      <c r="U3" s="44"/>
      <c r="V3" s="44"/>
      <c r="W3" s="44"/>
      <c r="X3" s="44"/>
      <c r="Y3" s="44"/>
      <c r="Z3" s="44"/>
      <c r="AA3" s="44"/>
      <c r="AB3" s="44"/>
      <c r="AC3" s="44"/>
    </row>
    <row r="4" spans="1:29" ht="30" customHeight="1">
      <c r="A4" s="8" t="s">
        <v>441</v>
      </c>
      <c r="B4" s="8" t="s">
        <v>969</v>
      </c>
      <c r="C4" s="9" t="s">
        <v>970</v>
      </c>
      <c r="D4" s="9" t="s">
        <v>971</v>
      </c>
      <c r="E4" s="9" t="s">
        <v>264</v>
      </c>
      <c r="F4" s="9" t="s">
        <v>972</v>
      </c>
      <c r="G4" s="9" t="s">
        <v>973</v>
      </c>
      <c r="H4" s="9" t="s">
        <v>269</v>
      </c>
      <c r="I4" s="9" t="s">
        <v>974</v>
      </c>
      <c r="J4" s="9" t="s">
        <v>975</v>
      </c>
      <c r="K4" s="9" t="s">
        <v>976</v>
      </c>
      <c r="L4" s="9" t="s">
        <v>977</v>
      </c>
      <c r="M4" s="9" t="s">
        <v>978</v>
      </c>
      <c r="N4" s="9" t="s">
        <v>979</v>
      </c>
      <c r="O4" s="9" t="s">
        <v>480</v>
      </c>
      <c r="P4" s="9" t="s">
        <v>980</v>
      </c>
      <c r="Q4" s="9" t="s">
        <v>981</v>
      </c>
      <c r="R4" s="9" t="s">
        <v>466</v>
      </c>
      <c r="S4" s="9" t="s">
        <v>982</v>
      </c>
      <c r="T4" s="9" t="s">
        <v>481</v>
      </c>
      <c r="U4" s="9" t="s">
        <v>983</v>
      </c>
      <c r="V4" s="9" t="s">
        <v>879</v>
      </c>
      <c r="W4" s="9" t="s">
        <v>984</v>
      </c>
      <c r="X4" s="9" t="s">
        <v>985</v>
      </c>
      <c r="Y4" s="9" t="s">
        <v>986</v>
      </c>
      <c r="Z4" s="9" t="s">
        <v>987</v>
      </c>
      <c r="AA4" s="9" t="s">
        <v>988</v>
      </c>
      <c r="AB4" s="9" t="s">
        <v>989</v>
      </c>
      <c r="AC4" s="9" t="s">
        <v>729</v>
      </c>
    </row>
    <row r="5" spans="1:29">
      <c r="A5" s="15" t="s">
        <v>287</v>
      </c>
      <c r="B5" s="15" t="s">
        <v>990</v>
      </c>
      <c r="C5" s="18">
        <v>0.2</v>
      </c>
      <c r="D5" s="21">
        <v>2</v>
      </c>
      <c r="E5" s="19">
        <v>0.065</v>
      </c>
      <c r="F5" s="19">
        <v>0.03</v>
      </c>
      <c r="G5" s="18">
        <v>0.25</v>
      </c>
      <c r="H5" s="19">
        <v>0.15</v>
      </c>
      <c r="I5" s="19">
        <v>0.2</v>
      </c>
      <c r="J5" s="19">
        <v>0.004</v>
      </c>
      <c r="K5" s="19">
        <v>0</v>
      </c>
      <c r="L5" s="19">
        <v>0</v>
      </c>
      <c r="M5" s="18">
        <v>0</v>
      </c>
      <c r="N5" s="18">
        <v>10</v>
      </c>
      <c r="O5" s="47" t="s">
        <v>278</v>
      </c>
      <c r="P5" s="22">
        <v>46279</v>
      </c>
      <c r="Q5" s="15" t="s">
        <v>991</v>
      </c>
      <c r="R5" s="40" t="s">
        <v>992</v>
      </c>
      <c r="S5" s="33">
        <f>IF(A5="","",IF(E5="",0,E5)+IF(F5="",0,F5)+IF(J5="",0,J5)+IF(K5="",0,K5)+IF(L5="",0,L5)+IF(H5="",0,H5)*IF(I5="",0,I5))</f>
        <v>0</v>
      </c>
      <c r="T5" s="20">
        <f>IF(A5="","",ROUND(IF(G5="",0,G5)+IF(M5="",0,M5)+IF(OR(C5="",D5="",D5=0),0,C5/D5),4))</f>
        <v>0</v>
      </c>
      <c r="U5" s="20">
        <f>IF(A5="","",ROUND(20*S5+T5,2))</f>
        <v>0</v>
      </c>
      <c r="V5" s="20">
        <f>IF(A5="","",ROUND(20-U5,2))</f>
        <v>0</v>
      </c>
      <c r="W5" s="33">
        <f>IF(A5="","",U5/20)</f>
        <v>0</v>
      </c>
      <c r="X5" s="32">
        <f>IF(A5="","",COUNTIFS(Products!$H$5:$H$304,A5))</f>
        <v>0</v>
      </c>
      <c r="Y5" s="32">
        <f>IF(A5="","",COUNTIFS(Sales!$E$5:$E$804,A5))</f>
        <v>0</v>
      </c>
      <c r="Z5" s="20">
        <f>IF(A5="","",ROUND(SUMIFS(Sales!$V$5:$V$804,Sales!$E$5:$E$804,A5),2))</f>
        <v>0</v>
      </c>
      <c r="AA5" s="20">
        <f>IF(A5="","",ROUND(SUMIFS(Sales!$AE$5:$AE$804,Sales!$E$5:$E$804,A5),2))</f>
        <v>0</v>
      </c>
      <c r="AB5" s="33">
        <f>IF(A5="","",IF(OR(Z5="",Z5=0),"",AA5/Z5))</f>
        <v>0</v>
      </c>
      <c r="AC5" s="43">
        <f>IF(A5="","",IF(P5="","Check - fees never verified",IF(TodayDate-P5&gt;FeeReviewDays,"Check - verify the fee schedule",IF(S5=0,"Check - no fees entered",IF(AND(AB5&lt;&gt;"",AB5&gt;W5+0.02),"Check - real fees are higher than these settings",IF(N5&gt;0,"Note - put the subscription in Overhead too","OK"))))))</f>
        <v>0</v>
      </c>
    </row>
    <row r="6" spans="1:29">
      <c r="A6" s="15" t="s">
        <v>545</v>
      </c>
      <c r="B6" s="15" t="s">
        <v>990</v>
      </c>
      <c r="C6" s="18">
        <v>0</v>
      </c>
      <c r="D6" s="21">
        <v>1</v>
      </c>
      <c r="E6" s="19">
        <v>0</v>
      </c>
      <c r="F6" s="19">
        <v>0.029</v>
      </c>
      <c r="G6" s="18">
        <v>0.3</v>
      </c>
      <c r="H6" s="19">
        <v>0</v>
      </c>
      <c r="I6" s="19">
        <v>0</v>
      </c>
      <c r="J6" s="19">
        <v>0</v>
      </c>
      <c r="K6" s="19">
        <v>0</v>
      </c>
      <c r="L6" s="19">
        <v>0</v>
      </c>
      <c r="M6" s="18">
        <v>0</v>
      </c>
      <c r="N6" s="18">
        <v>16</v>
      </c>
      <c r="O6" s="47" t="s">
        <v>278</v>
      </c>
      <c r="P6" s="22">
        <v>46279</v>
      </c>
      <c r="Q6" s="15" t="s">
        <v>993</v>
      </c>
      <c r="R6" s="40" t="s">
        <v>994</v>
      </c>
      <c r="S6" s="33">
        <f>IF(A6="","",IF(E6="",0,E6)+IF(F6="",0,F6)+IF(J6="",0,J6)+IF(K6="",0,K6)+IF(L6="",0,L6)+IF(H6="",0,H6)*IF(I6="",0,I6))</f>
        <v>0</v>
      </c>
      <c r="T6" s="20">
        <f>IF(A6="","",ROUND(IF(G6="",0,G6)+IF(M6="",0,M6)+IF(OR(C6="",D6="",D6=0),0,C6/D6),4))</f>
        <v>0</v>
      </c>
      <c r="U6" s="20">
        <f>IF(A6="","",ROUND(20*S6+T6,2))</f>
        <v>0</v>
      </c>
      <c r="V6" s="20">
        <f>IF(A6="","",ROUND(20-U6,2))</f>
        <v>0</v>
      </c>
      <c r="W6" s="33">
        <f>IF(A6="","",U6/20)</f>
        <v>0</v>
      </c>
      <c r="X6" s="32">
        <f>IF(A6="","",COUNTIFS(Products!$H$5:$H$304,A6))</f>
        <v>0</v>
      </c>
      <c r="Y6" s="32">
        <f>IF(A6="","",COUNTIFS(Sales!$E$5:$E$804,A6))</f>
        <v>0</v>
      </c>
      <c r="Z6" s="20">
        <f>IF(A6="","",ROUND(SUMIFS(Sales!$V$5:$V$804,Sales!$E$5:$E$804,A6),2))</f>
        <v>0</v>
      </c>
      <c r="AA6" s="20">
        <f>IF(A6="","",ROUND(SUMIFS(Sales!$AE$5:$AE$804,Sales!$E$5:$E$804,A6),2))</f>
        <v>0</v>
      </c>
      <c r="AB6" s="33">
        <f>IF(A6="","",IF(OR(Z6="",Z6=0),"",AA6/Z6))</f>
        <v>0</v>
      </c>
      <c r="AC6" s="43">
        <f>IF(A6="","",IF(P6="","Check - fees never verified",IF(TodayDate-P6&gt;FeeReviewDays,"Check - verify the fee schedule",IF(S6=0,"Check - no fees entered",IF(AND(AB6&lt;&gt;"",AB6&gt;W6+0.02),"Check - real fees are higher than these settings",IF(N6&gt;0,"Note - put the subscription in Overhead too","OK"))))))</f>
        <v>0</v>
      </c>
    </row>
    <row r="7" spans="1:29">
      <c r="A7" s="15" t="s">
        <v>995</v>
      </c>
      <c r="B7" s="15" t="s">
        <v>990</v>
      </c>
      <c r="C7" s="18">
        <v>0</v>
      </c>
      <c r="D7" s="21">
        <v>1</v>
      </c>
      <c r="E7" s="19">
        <v>0</v>
      </c>
      <c r="F7" s="19">
        <v>0.026</v>
      </c>
      <c r="G7" s="18">
        <v>0.1</v>
      </c>
      <c r="H7" s="19">
        <v>0</v>
      </c>
      <c r="I7" s="19">
        <v>0</v>
      </c>
      <c r="J7" s="19">
        <v>0</v>
      </c>
      <c r="K7" s="19">
        <v>0</v>
      </c>
      <c r="L7" s="19">
        <v>0</v>
      </c>
      <c r="M7" s="18">
        <v>0</v>
      </c>
      <c r="N7" s="18">
        <v>0</v>
      </c>
      <c r="O7" s="47" t="s">
        <v>281</v>
      </c>
      <c r="P7" s="22">
        <v>46279</v>
      </c>
      <c r="Q7" s="15" t="s">
        <v>996</v>
      </c>
      <c r="R7" s="40" t="s">
        <v>997</v>
      </c>
      <c r="S7" s="33">
        <f>IF(A7="","",IF(E7="",0,E7)+IF(F7="",0,F7)+IF(J7="",0,J7)+IF(K7="",0,K7)+IF(L7="",0,L7)+IF(H7="",0,H7)*IF(I7="",0,I7))</f>
        <v>0</v>
      </c>
      <c r="T7" s="20">
        <f>IF(A7="","",ROUND(IF(G7="",0,G7)+IF(M7="",0,M7)+IF(OR(C7="",D7="",D7=0),0,C7/D7),4))</f>
        <v>0</v>
      </c>
      <c r="U7" s="20">
        <f>IF(A7="","",ROUND(20*S7+T7,2))</f>
        <v>0</v>
      </c>
      <c r="V7" s="20">
        <f>IF(A7="","",ROUND(20-U7,2))</f>
        <v>0</v>
      </c>
      <c r="W7" s="33">
        <f>IF(A7="","",U7/20)</f>
        <v>0</v>
      </c>
      <c r="X7" s="32">
        <f>IF(A7="","",COUNTIFS(Products!$H$5:$H$304,A7))</f>
        <v>0</v>
      </c>
      <c r="Y7" s="32">
        <f>IF(A7="","",COUNTIFS(Sales!$E$5:$E$804,A7))</f>
        <v>0</v>
      </c>
      <c r="Z7" s="20">
        <f>IF(A7="","",ROUND(SUMIFS(Sales!$V$5:$V$804,Sales!$E$5:$E$804,A7),2))</f>
        <v>0</v>
      </c>
      <c r="AA7" s="20">
        <f>IF(A7="","",ROUND(SUMIFS(Sales!$AE$5:$AE$804,Sales!$E$5:$E$804,A7),2))</f>
        <v>0</v>
      </c>
      <c r="AB7" s="33">
        <f>IF(A7="","",IF(OR(Z7="",Z7=0),"",AA7/Z7))</f>
        <v>0</v>
      </c>
      <c r="AC7" s="43">
        <f>IF(A7="","",IF(P7="","Check - fees never verified",IF(TodayDate-P7&gt;FeeReviewDays,"Check - verify the fee schedule",IF(S7=0,"Check - no fees entered",IF(AND(AB7&lt;&gt;"",AB7&gt;W7+0.02),"Check - real fees are higher than these settings",IF(N7&gt;0,"Note - put the subscription in Overhead too","OK"))))))</f>
        <v>0</v>
      </c>
    </row>
    <row r="8" spans="1:29">
      <c r="A8" s="15" t="s">
        <v>998</v>
      </c>
      <c r="B8" s="15" t="s">
        <v>999</v>
      </c>
      <c r="C8" s="18">
        <v>0</v>
      </c>
      <c r="D8" s="21">
        <v>1</v>
      </c>
      <c r="E8" s="19">
        <v>0</v>
      </c>
      <c r="F8" s="19">
        <v>0</v>
      </c>
      <c r="G8" s="18">
        <v>0</v>
      </c>
      <c r="H8" s="19">
        <v>0</v>
      </c>
      <c r="I8" s="19">
        <v>0</v>
      </c>
      <c r="J8" s="19">
        <v>0</v>
      </c>
      <c r="K8" s="19">
        <v>0</v>
      </c>
      <c r="L8" s="19">
        <v>0</v>
      </c>
      <c r="M8" s="18">
        <v>0</v>
      </c>
      <c r="N8" s="18">
        <v>0</v>
      </c>
      <c r="O8" s="47" t="s">
        <v>281</v>
      </c>
      <c r="P8" s="22">
        <v>46279</v>
      </c>
      <c r="R8" s="40" t="s">
        <v>1000</v>
      </c>
      <c r="S8" s="33">
        <f>IF(A8="","",IF(E8="",0,E8)+IF(F8="",0,F8)+IF(J8="",0,J8)+IF(K8="",0,K8)+IF(L8="",0,L8)+IF(H8="",0,H8)*IF(I8="",0,I8))</f>
        <v>0</v>
      </c>
      <c r="T8" s="20">
        <f>IF(A8="","",ROUND(IF(G8="",0,G8)+IF(M8="",0,M8)+IF(OR(C8="",D8="",D8=0),0,C8/D8),4))</f>
        <v>0</v>
      </c>
      <c r="U8" s="20">
        <f>IF(A8="","",ROUND(20*S8+T8,2))</f>
        <v>0</v>
      </c>
      <c r="V8" s="20">
        <f>IF(A8="","",ROUND(20-U8,2))</f>
        <v>0</v>
      </c>
      <c r="W8" s="33">
        <f>IF(A8="","",U8/20)</f>
        <v>0</v>
      </c>
      <c r="X8" s="32">
        <f>IF(A8="","",COUNTIFS(Products!$H$5:$H$304,A8))</f>
        <v>0</v>
      </c>
      <c r="Y8" s="32">
        <f>IF(A8="","",COUNTIFS(Sales!$E$5:$E$804,A8))</f>
        <v>0</v>
      </c>
      <c r="Z8" s="20">
        <f>IF(A8="","",ROUND(SUMIFS(Sales!$V$5:$V$804,Sales!$E$5:$E$804,A8),2))</f>
        <v>0</v>
      </c>
      <c r="AA8" s="20">
        <f>IF(A8="","",ROUND(SUMIFS(Sales!$AE$5:$AE$804,Sales!$E$5:$E$804,A8),2))</f>
        <v>0</v>
      </c>
      <c r="AB8" s="33">
        <f>IF(A8="","",IF(OR(Z8="",Z8=0),"",AA8/Z8))</f>
        <v>0</v>
      </c>
      <c r="AC8" s="43">
        <f>IF(A8="","",IF(P8="","Check - fees never verified",IF(TodayDate-P8&gt;FeeReviewDays,"Check - verify the fee schedule",IF(S8=0,"Check - no fees entered",IF(AND(AB8&lt;&gt;"",AB8&gt;W8+0.02),"Check - real fees are higher than these settings",IF(N8&gt;0,"Note - put the subscription in Overhead too","OK"))))))</f>
        <v>0</v>
      </c>
    </row>
    <row r="9" spans="1:29">
      <c r="A9" s="15" t="s">
        <v>1001</v>
      </c>
      <c r="B9" s="15" t="s">
        <v>990</v>
      </c>
      <c r="C9" s="18">
        <v>0</v>
      </c>
      <c r="D9" s="21">
        <v>1</v>
      </c>
      <c r="E9" s="19">
        <v>0</v>
      </c>
      <c r="F9" s="19">
        <v>0.029</v>
      </c>
      <c r="G9" s="18">
        <v>0.3</v>
      </c>
      <c r="H9" s="19">
        <v>0</v>
      </c>
      <c r="I9" s="19">
        <v>0</v>
      </c>
      <c r="J9" s="19">
        <v>0</v>
      </c>
      <c r="K9" s="19">
        <v>0</v>
      </c>
      <c r="L9" s="19">
        <v>0</v>
      </c>
      <c r="M9" s="18">
        <v>0</v>
      </c>
      <c r="N9" s="18">
        <v>0</v>
      </c>
      <c r="O9" s="47" t="s">
        <v>278</v>
      </c>
      <c r="P9" s="22">
        <v>46279</v>
      </c>
      <c r="R9" s="40" t="s">
        <v>1002</v>
      </c>
      <c r="S9" s="33">
        <f>IF(A9="","",IF(E9="",0,E9)+IF(F9="",0,F9)+IF(J9="",0,J9)+IF(K9="",0,K9)+IF(L9="",0,L9)+IF(H9="",0,H9)*IF(I9="",0,I9))</f>
        <v>0</v>
      </c>
      <c r="T9" s="20">
        <f>IF(A9="","",ROUND(IF(G9="",0,G9)+IF(M9="",0,M9)+IF(OR(C9="",D9="",D9=0),0,C9/D9),4))</f>
        <v>0</v>
      </c>
      <c r="U9" s="20">
        <f>IF(A9="","",ROUND(20*S9+T9,2))</f>
        <v>0</v>
      </c>
      <c r="V9" s="20">
        <f>IF(A9="","",ROUND(20-U9,2))</f>
        <v>0</v>
      </c>
      <c r="W9" s="33">
        <f>IF(A9="","",U9/20)</f>
        <v>0</v>
      </c>
      <c r="X9" s="32">
        <f>IF(A9="","",COUNTIFS(Products!$H$5:$H$304,A9))</f>
        <v>0</v>
      </c>
      <c r="Y9" s="32">
        <f>IF(A9="","",COUNTIFS(Sales!$E$5:$E$804,A9))</f>
        <v>0</v>
      </c>
      <c r="Z9" s="20">
        <f>IF(A9="","",ROUND(SUMIFS(Sales!$V$5:$V$804,Sales!$E$5:$E$804,A9),2))</f>
        <v>0</v>
      </c>
      <c r="AA9" s="20">
        <f>IF(A9="","",ROUND(SUMIFS(Sales!$AE$5:$AE$804,Sales!$E$5:$E$804,A9),2))</f>
        <v>0</v>
      </c>
      <c r="AB9" s="33">
        <f>IF(A9="","",IF(OR(Z9="",Z9=0),"",AA9/Z9))</f>
        <v>0</v>
      </c>
      <c r="AC9" s="43">
        <f>IF(A9="","",IF(P9="","Check - fees never verified",IF(TodayDate-P9&gt;FeeReviewDays,"Check - verify the fee schedule",IF(S9=0,"Check - no fees entered",IF(AND(AB9&lt;&gt;"",AB9&gt;W9+0.02),"Check - real fees are higher than these settings",IF(N9&gt;0,"Note - put the subscription in Overhead too","OK"))))))</f>
        <v>0</v>
      </c>
    </row>
    <row r="10" spans="1:29">
      <c r="A10" s="15" t="s">
        <v>1003</v>
      </c>
      <c r="B10" s="15" t="s">
        <v>1004</v>
      </c>
      <c r="C10" s="18">
        <v>0</v>
      </c>
      <c r="D10" s="21">
        <v>1</v>
      </c>
      <c r="E10" s="19">
        <v>0.15</v>
      </c>
      <c r="F10" s="19">
        <v>0</v>
      </c>
      <c r="G10" s="18">
        <v>0</v>
      </c>
      <c r="H10" s="19">
        <v>0</v>
      </c>
      <c r="I10" s="19">
        <v>0</v>
      </c>
      <c r="J10" s="19">
        <v>0</v>
      </c>
      <c r="K10" s="19">
        <v>0</v>
      </c>
      <c r="L10" s="19">
        <v>0</v>
      </c>
      <c r="M10" s="18">
        <v>0</v>
      </c>
      <c r="N10" s="18">
        <v>0</v>
      </c>
      <c r="O10" s="47" t="s">
        <v>278</v>
      </c>
      <c r="P10" s="22">
        <v>46279</v>
      </c>
      <c r="Q10" s="15" t="s">
        <v>1005</v>
      </c>
      <c r="R10" s="40" t="s">
        <v>1006</v>
      </c>
      <c r="S10" s="33">
        <f>IF(A10="","",IF(E10="",0,E10)+IF(F10="",0,F10)+IF(J10="",0,J10)+IF(K10="",0,K10)+IF(L10="",0,L10)+IF(H10="",0,H10)*IF(I10="",0,I10))</f>
        <v>0</v>
      </c>
      <c r="T10" s="20">
        <f>IF(A10="","",ROUND(IF(G10="",0,G10)+IF(M10="",0,M10)+IF(OR(C10="",D10="",D10=0),0,C10/D10),4))</f>
        <v>0</v>
      </c>
      <c r="U10" s="20">
        <f>IF(A10="","",ROUND(20*S10+T10,2))</f>
        <v>0</v>
      </c>
      <c r="V10" s="20">
        <f>IF(A10="","",ROUND(20-U10,2))</f>
        <v>0</v>
      </c>
      <c r="W10" s="33">
        <f>IF(A10="","",U10/20)</f>
        <v>0</v>
      </c>
      <c r="X10" s="32">
        <f>IF(A10="","",COUNTIFS(Products!$H$5:$H$304,A10))</f>
        <v>0</v>
      </c>
      <c r="Y10" s="32">
        <f>IF(A10="","",COUNTIFS(Sales!$E$5:$E$804,A10))</f>
        <v>0</v>
      </c>
      <c r="Z10" s="20">
        <f>IF(A10="","",ROUND(SUMIFS(Sales!$V$5:$V$804,Sales!$E$5:$E$804,A10),2))</f>
        <v>0</v>
      </c>
      <c r="AA10" s="20">
        <f>IF(A10="","",ROUND(SUMIFS(Sales!$AE$5:$AE$804,Sales!$E$5:$E$804,A10),2))</f>
        <v>0</v>
      </c>
      <c r="AB10" s="33">
        <f>IF(A10="","",IF(OR(Z10="",Z10=0),"",AA10/Z10))</f>
        <v>0</v>
      </c>
      <c r="AC10" s="43">
        <f>IF(A10="","",IF(P10="","Check - fees never verified",IF(TodayDate-P10&gt;FeeReviewDays,"Check - verify the fee schedule",IF(S10=0,"Check - no fees entered",IF(AND(AB10&lt;&gt;"",AB10&gt;W10+0.02),"Check - real fees are higher than these settings",IF(N10&gt;0,"Note - put the subscription in Overhead too","OK"))))))</f>
        <v>0</v>
      </c>
    </row>
    <row r="11" spans="1:29">
      <c r="A11" s="15" t="s">
        <v>1007</v>
      </c>
      <c r="B11" s="15" t="s">
        <v>999</v>
      </c>
      <c r="C11" s="18">
        <v>0</v>
      </c>
      <c r="D11" s="21">
        <v>1</v>
      </c>
      <c r="E11" s="19">
        <v>0</v>
      </c>
      <c r="F11" s="19">
        <v>0</v>
      </c>
      <c r="G11" s="18">
        <v>0</v>
      </c>
      <c r="N11" s="18">
        <v>0</v>
      </c>
      <c r="O11" s="47" t="s">
        <v>281</v>
      </c>
      <c r="P11" s="22">
        <v>46279</v>
      </c>
      <c r="R11" s="40" t="s">
        <v>1008</v>
      </c>
      <c r="S11" s="33">
        <f>IF(A11="","",IF(E11="",0,E11)+IF(F11="",0,F11)+IF(J11="",0,J11)+IF(K11="",0,K11)+IF(L11="",0,L11)+IF(H11="",0,H11)*IF(I11="",0,I11))</f>
        <v>0</v>
      </c>
      <c r="T11" s="20">
        <f>IF(A11="","",ROUND(IF(G11="",0,G11)+IF(M11="",0,M11)+IF(OR(C11="",D11="",D11=0),0,C11/D11),4))</f>
        <v>0</v>
      </c>
      <c r="U11" s="20">
        <f>IF(A11="","",ROUND(20*S11+T11,2))</f>
        <v>0</v>
      </c>
      <c r="V11" s="20">
        <f>IF(A11="","",ROUND(20-U11,2))</f>
        <v>0</v>
      </c>
      <c r="W11" s="33">
        <f>IF(A11="","",U11/20)</f>
        <v>0</v>
      </c>
      <c r="X11" s="32">
        <f>IF(A11="","",COUNTIFS(Products!$H$5:$H$304,A11))</f>
        <v>0</v>
      </c>
      <c r="Y11" s="32">
        <f>IF(A11="","",COUNTIFS(Sales!$E$5:$E$804,A11))</f>
        <v>0</v>
      </c>
      <c r="Z11" s="20">
        <f>IF(A11="","",ROUND(SUMIFS(Sales!$V$5:$V$804,Sales!$E$5:$E$804,A11),2))</f>
        <v>0</v>
      </c>
      <c r="AA11" s="20">
        <f>IF(A11="","",ROUND(SUMIFS(Sales!$AE$5:$AE$804,Sales!$E$5:$E$804,A11),2))</f>
        <v>0</v>
      </c>
      <c r="AB11" s="33">
        <f>IF(A11="","",IF(OR(Z11="",Z11=0),"",AA11/Z11))</f>
        <v>0</v>
      </c>
      <c r="AC11" s="43">
        <f>IF(A11="","",IF(P11="","Check - fees never verified",IF(TodayDate-P11&gt;FeeReviewDays,"Check - verify the fee schedule",IF(S11=0,"Check - no fees entered",IF(AND(AB11&lt;&gt;"",AB11&gt;W11+0.02),"Check - real fees are higher than these settings",IF(N11&gt;0,"Note - put the subscription in Overhead too","OK"))))))</f>
        <v>0</v>
      </c>
    </row>
    <row r="12" spans="1:29">
      <c r="S12" s="33">
        <f>IF(A12="","",IF(E12="",0,E12)+IF(F12="",0,F12)+IF(J12="",0,J12)+IF(K12="",0,K12)+IF(L12="",0,L12)+IF(H12="",0,H12)*IF(I12="",0,I12))</f>
        <v>0</v>
      </c>
      <c r="T12" s="20">
        <f>IF(A12="","",ROUND(IF(G12="",0,G12)+IF(M12="",0,M12)+IF(OR(C12="",D12="",D12=0),0,C12/D12),4))</f>
        <v>0</v>
      </c>
      <c r="U12" s="20">
        <f>IF(A12="","",ROUND(20*S12+T12,2))</f>
        <v>0</v>
      </c>
      <c r="V12" s="20">
        <f>IF(A12="","",ROUND(20-U12,2))</f>
        <v>0</v>
      </c>
      <c r="W12" s="33">
        <f>IF(A12="","",U12/20)</f>
        <v>0</v>
      </c>
      <c r="X12" s="32">
        <f>IF(A12="","",COUNTIFS(Products!$H$5:$H$304,A12))</f>
        <v>0</v>
      </c>
      <c r="Y12" s="32">
        <f>IF(A12="","",COUNTIFS(Sales!$E$5:$E$804,A12))</f>
        <v>0</v>
      </c>
      <c r="Z12" s="20">
        <f>IF(A12="","",ROUND(SUMIFS(Sales!$V$5:$V$804,Sales!$E$5:$E$804,A12),2))</f>
        <v>0</v>
      </c>
      <c r="AA12" s="20">
        <f>IF(A12="","",ROUND(SUMIFS(Sales!$AE$5:$AE$804,Sales!$E$5:$E$804,A12),2))</f>
        <v>0</v>
      </c>
      <c r="AB12" s="33">
        <f>IF(A12="","",IF(OR(Z12="",Z12=0),"",AA12/Z12))</f>
        <v>0</v>
      </c>
      <c r="AC12" s="43">
        <f>IF(A12="","",IF(P12="","Check - fees never verified",IF(TodayDate-P12&gt;FeeReviewDays,"Check - verify the fee schedule",IF(S12=0,"Check - no fees entered",IF(AND(AB12&lt;&gt;"",AB12&gt;W12+0.02),"Check - real fees are higher than these settings",IF(N12&gt;0,"Note - put the subscription in Overhead too","OK"))))))</f>
        <v>0</v>
      </c>
    </row>
    <row r="13" spans="1:29">
      <c r="S13" s="33">
        <f>IF(A13="","",IF(E13="",0,E13)+IF(F13="",0,F13)+IF(J13="",0,J13)+IF(K13="",0,K13)+IF(L13="",0,L13)+IF(H13="",0,H13)*IF(I13="",0,I13))</f>
        <v>0</v>
      </c>
      <c r="T13" s="20">
        <f>IF(A13="","",ROUND(IF(G13="",0,G13)+IF(M13="",0,M13)+IF(OR(C13="",D13="",D13=0),0,C13/D13),4))</f>
        <v>0</v>
      </c>
      <c r="U13" s="20">
        <f>IF(A13="","",ROUND(20*S13+T13,2))</f>
        <v>0</v>
      </c>
      <c r="V13" s="20">
        <f>IF(A13="","",ROUND(20-U13,2))</f>
        <v>0</v>
      </c>
      <c r="W13" s="33">
        <f>IF(A13="","",U13/20)</f>
        <v>0</v>
      </c>
      <c r="X13" s="32">
        <f>IF(A13="","",COUNTIFS(Products!$H$5:$H$304,A13))</f>
        <v>0</v>
      </c>
      <c r="Y13" s="32">
        <f>IF(A13="","",COUNTIFS(Sales!$E$5:$E$804,A13))</f>
        <v>0</v>
      </c>
      <c r="Z13" s="20">
        <f>IF(A13="","",ROUND(SUMIFS(Sales!$V$5:$V$804,Sales!$E$5:$E$804,A13),2))</f>
        <v>0</v>
      </c>
      <c r="AA13" s="20">
        <f>IF(A13="","",ROUND(SUMIFS(Sales!$AE$5:$AE$804,Sales!$E$5:$E$804,A13),2))</f>
        <v>0</v>
      </c>
      <c r="AB13" s="33">
        <f>IF(A13="","",IF(OR(Z13="",Z13=0),"",AA13/Z13))</f>
        <v>0</v>
      </c>
      <c r="AC13" s="43">
        <f>IF(A13="","",IF(P13="","Check - fees never verified",IF(TodayDate-P13&gt;FeeReviewDays,"Check - verify the fee schedule",IF(S13=0,"Check - no fees entered",IF(AND(AB13&lt;&gt;"",AB13&gt;W13+0.02),"Check - real fees are higher than these settings",IF(N13&gt;0,"Note - put the subscription in Overhead too","OK"))))))</f>
        <v>0</v>
      </c>
    </row>
    <row r="14" spans="1:29">
      <c r="S14" s="33">
        <f>IF(A14="","",IF(E14="",0,E14)+IF(F14="",0,F14)+IF(J14="",0,J14)+IF(K14="",0,K14)+IF(L14="",0,L14)+IF(H14="",0,H14)*IF(I14="",0,I14))</f>
        <v>0</v>
      </c>
      <c r="T14" s="20">
        <f>IF(A14="","",ROUND(IF(G14="",0,G14)+IF(M14="",0,M14)+IF(OR(C14="",D14="",D14=0),0,C14/D14),4))</f>
        <v>0</v>
      </c>
      <c r="U14" s="20">
        <f>IF(A14="","",ROUND(20*S14+T14,2))</f>
        <v>0</v>
      </c>
      <c r="V14" s="20">
        <f>IF(A14="","",ROUND(20-U14,2))</f>
        <v>0</v>
      </c>
      <c r="W14" s="33">
        <f>IF(A14="","",U14/20)</f>
        <v>0</v>
      </c>
      <c r="X14" s="32">
        <f>IF(A14="","",COUNTIFS(Products!$H$5:$H$304,A14))</f>
        <v>0</v>
      </c>
      <c r="Y14" s="32">
        <f>IF(A14="","",COUNTIFS(Sales!$E$5:$E$804,A14))</f>
        <v>0</v>
      </c>
      <c r="Z14" s="20">
        <f>IF(A14="","",ROUND(SUMIFS(Sales!$V$5:$V$804,Sales!$E$5:$E$804,A14),2))</f>
        <v>0</v>
      </c>
      <c r="AA14" s="20">
        <f>IF(A14="","",ROUND(SUMIFS(Sales!$AE$5:$AE$804,Sales!$E$5:$E$804,A14),2))</f>
        <v>0</v>
      </c>
      <c r="AB14" s="33">
        <f>IF(A14="","",IF(OR(Z14="",Z14=0),"",AA14/Z14))</f>
        <v>0</v>
      </c>
      <c r="AC14" s="43">
        <f>IF(A14="","",IF(P14="","Check - fees never verified",IF(TodayDate-P14&gt;FeeReviewDays,"Check - verify the fee schedule",IF(S14=0,"Check - no fees entered",IF(AND(AB14&lt;&gt;"",AB14&gt;W14+0.02),"Check - real fees are higher than these settings",IF(N14&gt;0,"Note - put the subscription in Overhead too","OK"))))))</f>
        <v>0</v>
      </c>
    </row>
    <row r="15" spans="1:29">
      <c r="S15" s="33">
        <f>IF(A15="","",IF(E15="",0,E15)+IF(F15="",0,F15)+IF(J15="",0,J15)+IF(K15="",0,K15)+IF(L15="",0,L15)+IF(H15="",0,H15)*IF(I15="",0,I15))</f>
        <v>0</v>
      </c>
      <c r="T15" s="20">
        <f>IF(A15="","",ROUND(IF(G15="",0,G15)+IF(M15="",0,M15)+IF(OR(C15="",D15="",D15=0),0,C15/D15),4))</f>
        <v>0</v>
      </c>
      <c r="U15" s="20">
        <f>IF(A15="","",ROUND(20*S15+T15,2))</f>
        <v>0</v>
      </c>
      <c r="V15" s="20">
        <f>IF(A15="","",ROUND(20-U15,2))</f>
        <v>0</v>
      </c>
      <c r="W15" s="33">
        <f>IF(A15="","",U15/20)</f>
        <v>0</v>
      </c>
      <c r="X15" s="32">
        <f>IF(A15="","",COUNTIFS(Products!$H$5:$H$304,A15))</f>
        <v>0</v>
      </c>
      <c r="Y15" s="32">
        <f>IF(A15="","",COUNTIFS(Sales!$E$5:$E$804,A15))</f>
        <v>0</v>
      </c>
      <c r="Z15" s="20">
        <f>IF(A15="","",ROUND(SUMIFS(Sales!$V$5:$V$804,Sales!$E$5:$E$804,A15),2))</f>
        <v>0</v>
      </c>
      <c r="AA15" s="20">
        <f>IF(A15="","",ROUND(SUMIFS(Sales!$AE$5:$AE$804,Sales!$E$5:$E$804,A15),2))</f>
        <v>0</v>
      </c>
      <c r="AB15" s="33">
        <f>IF(A15="","",IF(OR(Z15="",Z15=0),"",AA15/Z15))</f>
        <v>0</v>
      </c>
      <c r="AC15" s="43">
        <f>IF(A15="","",IF(P15="","Check - fees never verified",IF(TodayDate-P15&gt;FeeReviewDays,"Check - verify the fee schedule",IF(S15=0,"Check - no fees entered",IF(AND(AB15&lt;&gt;"",AB15&gt;W15+0.02),"Check - real fees are higher than these settings",IF(N15&gt;0,"Note - put the subscription in Overhead too","OK"))))))</f>
        <v>0</v>
      </c>
    </row>
    <row r="16" spans="1:29">
      <c r="S16" s="33">
        <f>IF(A16="","",IF(E16="",0,E16)+IF(F16="",0,F16)+IF(J16="",0,J16)+IF(K16="",0,K16)+IF(L16="",0,L16)+IF(H16="",0,H16)*IF(I16="",0,I16))</f>
        <v>0</v>
      </c>
      <c r="T16" s="20">
        <f>IF(A16="","",ROUND(IF(G16="",0,G16)+IF(M16="",0,M16)+IF(OR(C16="",D16="",D16=0),0,C16/D16),4))</f>
        <v>0</v>
      </c>
      <c r="U16" s="20">
        <f>IF(A16="","",ROUND(20*S16+T16,2))</f>
        <v>0</v>
      </c>
      <c r="V16" s="20">
        <f>IF(A16="","",ROUND(20-U16,2))</f>
        <v>0</v>
      </c>
      <c r="W16" s="33">
        <f>IF(A16="","",U16/20)</f>
        <v>0</v>
      </c>
      <c r="X16" s="32">
        <f>IF(A16="","",COUNTIFS(Products!$H$5:$H$304,A16))</f>
        <v>0</v>
      </c>
      <c r="Y16" s="32">
        <f>IF(A16="","",COUNTIFS(Sales!$E$5:$E$804,A16))</f>
        <v>0</v>
      </c>
      <c r="Z16" s="20">
        <f>IF(A16="","",ROUND(SUMIFS(Sales!$V$5:$V$804,Sales!$E$5:$E$804,A16),2))</f>
        <v>0</v>
      </c>
      <c r="AA16" s="20">
        <f>IF(A16="","",ROUND(SUMIFS(Sales!$AE$5:$AE$804,Sales!$E$5:$E$804,A16),2))</f>
        <v>0</v>
      </c>
      <c r="AB16" s="33">
        <f>IF(A16="","",IF(OR(Z16="",Z16=0),"",AA16/Z16))</f>
        <v>0</v>
      </c>
      <c r="AC16" s="43">
        <f>IF(A16="","",IF(P16="","Check - fees never verified",IF(TodayDate-P16&gt;FeeReviewDays,"Check - verify the fee schedule",IF(S16=0,"Check - no fees entered",IF(AND(AB16&lt;&gt;"",AB16&gt;W16+0.02),"Check - real fees are higher than these settings",IF(N16&gt;0,"Note - put the subscription in Overhead too","OK"))))))</f>
        <v>0</v>
      </c>
    </row>
    <row r="17" spans="1:29">
      <c r="S17" s="33">
        <f>IF(A17="","",IF(E17="",0,E17)+IF(F17="",0,F17)+IF(J17="",0,J17)+IF(K17="",0,K17)+IF(L17="",0,L17)+IF(H17="",0,H17)*IF(I17="",0,I17))</f>
        <v>0</v>
      </c>
      <c r="T17" s="20">
        <f>IF(A17="","",ROUND(IF(G17="",0,G17)+IF(M17="",0,M17)+IF(OR(C17="",D17="",D17=0),0,C17/D17),4))</f>
        <v>0</v>
      </c>
      <c r="U17" s="20">
        <f>IF(A17="","",ROUND(20*S17+T17,2))</f>
        <v>0</v>
      </c>
      <c r="V17" s="20">
        <f>IF(A17="","",ROUND(20-U17,2))</f>
        <v>0</v>
      </c>
      <c r="W17" s="33">
        <f>IF(A17="","",U17/20)</f>
        <v>0</v>
      </c>
      <c r="X17" s="32">
        <f>IF(A17="","",COUNTIFS(Products!$H$5:$H$304,A17))</f>
        <v>0</v>
      </c>
      <c r="Y17" s="32">
        <f>IF(A17="","",COUNTIFS(Sales!$E$5:$E$804,A17))</f>
        <v>0</v>
      </c>
      <c r="Z17" s="20">
        <f>IF(A17="","",ROUND(SUMIFS(Sales!$V$5:$V$804,Sales!$E$5:$E$804,A17),2))</f>
        <v>0</v>
      </c>
      <c r="AA17" s="20">
        <f>IF(A17="","",ROUND(SUMIFS(Sales!$AE$5:$AE$804,Sales!$E$5:$E$804,A17),2))</f>
        <v>0</v>
      </c>
      <c r="AB17" s="33">
        <f>IF(A17="","",IF(OR(Z17="",Z17=0),"",AA17/Z17))</f>
        <v>0</v>
      </c>
      <c r="AC17" s="43">
        <f>IF(A17="","",IF(P17="","Check - fees never verified",IF(TodayDate-P17&gt;FeeReviewDays,"Check - verify the fee schedule",IF(S17=0,"Check - no fees entered",IF(AND(AB17&lt;&gt;"",AB17&gt;W17+0.02),"Check - real fees are higher than these settings",IF(N17&gt;0,"Note - put the subscription in Overhead too","OK"))))))</f>
        <v>0</v>
      </c>
    </row>
    <row r="18" spans="1:29">
      <c r="S18" s="33">
        <f>IF(A18="","",IF(E18="",0,E18)+IF(F18="",0,F18)+IF(J18="",0,J18)+IF(K18="",0,K18)+IF(L18="",0,L18)+IF(H18="",0,H18)*IF(I18="",0,I18))</f>
        <v>0</v>
      </c>
      <c r="T18" s="20">
        <f>IF(A18="","",ROUND(IF(G18="",0,G18)+IF(M18="",0,M18)+IF(OR(C18="",D18="",D18=0),0,C18/D18),4))</f>
        <v>0</v>
      </c>
      <c r="U18" s="20">
        <f>IF(A18="","",ROUND(20*S18+T18,2))</f>
        <v>0</v>
      </c>
      <c r="V18" s="20">
        <f>IF(A18="","",ROUND(20-U18,2))</f>
        <v>0</v>
      </c>
      <c r="W18" s="33">
        <f>IF(A18="","",U18/20)</f>
        <v>0</v>
      </c>
      <c r="X18" s="32">
        <f>IF(A18="","",COUNTIFS(Products!$H$5:$H$304,A18))</f>
        <v>0</v>
      </c>
      <c r="Y18" s="32">
        <f>IF(A18="","",COUNTIFS(Sales!$E$5:$E$804,A18))</f>
        <v>0</v>
      </c>
      <c r="Z18" s="20">
        <f>IF(A18="","",ROUND(SUMIFS(Sales!$V$5:$V$804,Sales!$E$5:$E$804,A18),2))</f>
        <v>0</v>
      </c>
      <c r="AA18" s="20">
        <f>IF(A18="","",ROUND(SUMIFS(Sales!$AE$5:$AE$804,Sales!$E$5:$E$804,A18),2))</f>
        <v>0</v>
      </c>
      <c r="AB18" s="33">
        <f>IF(A18="","",IF(OR(Z18="",Z18=0),"",AA18/Z18))</f>
        <v>0</v>
      </c>
      <c r="AC18" s="43">
        <f>IF(A18="","",IF(P18="","Check - fees never verified",IF(TodayDate-P18&gt;FeeReviewDays,"Check - verify the fee schedule",IF(S18=0,"Check - no fees entered",IF(AND(AB18&lt;&gt;"",AB18&gt;W18+0.02),"Check - real fees are higher than these settings",IF(N18&gt;0,"Note - put the subscription in Overhead too","OK"))))))</f>
        <v>0</v>
      </c>
    </row>
    <row r="20" spans="1:29" ht="20" customHeight="1">
      <c r="A20" s="7" t="s">
        <v>1009</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ht="26" customHeight="1">
      <c r="A21" s="8" t="s">
        <v>1010</v>
      </c>
      <c r="B21" s="9" t="s">
        <v>1011</v>
      </c>
      <c r="C21" s="9" t="s">
        <v>1012</v>
      </c>
      <c r="D21" s="9" t="s">
        <v>1013</v>
      </c>
      <c r="E21" s="9" t="s">
        <v>1014</v>
      </c>
      <c r="F21" s="9" t="s">
        <v>1015</v>
      </c>
    </row>
    <row r="22" spans="1:29">
      <c r="A22" s="32">
        <f>COUNTIF(Channels!$A$5:$A$18,"&lt;&gt;")</f>
        <v>0</v>
      </c>
      <c r="B22" s="13">
        <f>IFERROR(INDEX(Channels!$A$5:$A$18,MATCH(MIN(Channels!$W$5:$W$18),Channels!$W$5:$W$18,0)),"")</f>
        <v>0</v>
      </c>
      <c r="C22" s="13">
        <f>IFERROR(INDEX(Channels!$A$5:$A$18,MATCH(MAX(Channels!$W$5:$W$18),Channels!$W$5:$W$18,0)),"")</f>
        <v>0</v>
      </c>
      <c r="D22" s="33">
        <f>IFERROR(AVERAGE(Channels!$W$5:$W$18),"")</f>
        <v>0</v>
      </c>
      <c r="E22" s="20">
        <f>ROUND(SUM(Channels!$AA$5:$AA$18),2)</f>
        <v>0</v>
      </c>
      <c r="F22" s="32">
        <f>COUNTIFS(Channels!$AC$5:$AC$18,"Check*")</f>
        <v>0</v>
      </c>
    </row>
  </sheetData>
  <sheetProtection password="EC7C" sheet="1" objects="1" scenarios="1" formatCells="0" formatColumns="0" formatRows="0" insertRows="0" insertHyperlinks="0" deleteRows="0" autoFilter="0"/>
  <autoFilter ref="A4:AC18"/>
  <mergeCells count="14">
    <mergeCell ref="A1:Z1"/>
    <mergeCell ref="AA1:AC1"/>
    <mergeCell ref="A2:AC2"/>
    <mergeCell ref="A3:B3"/>
    <mergeCell ref="C3:D3"/>
    <mergeCell ref="E3:F3"/>
    <mergeCell ref="G3:H3"/>
    <mergeCell ref="I3:J3"/>
    <mergeCell ref="K3:L3"/>
    <mergeCell ref="M3:N3"/>
    <mergeCell ref="O3:P3"/>
    <mergeCell ref="Q3:R3"/>
    <mergeCell ref="S3:AC3"/>
    <mergeCell ref="A20:AC20"/>
  </mergeCells>
  <conditionalFormatting sqref="AC5:AC18">
    <cfRule type="beginsWith" dxfId="1" priority="5" operator="beginsWith" text="OK">
      <formula>LEFT(AC5,2)="OK"</formula>
    </cfRule>
    <cfRule type="containsText" dxfId="2" priority="6" operator="containsText" text="Overdue">
      <formula>NOT(ISERROR(SEARCH("Overdue",AC5)))</formula>
    </cfRule>
    <cfRule type="containsText" dxfId="2" priority="7" operator="containsText" text="Late">
      <formula>NOT(ISERROR(SEARCH("Late",AC5)))</formula>
    </cfRule>
    <cfRule type="containsText" dxfId="2" priority="8" operator="containsText" text="Missing">
      <formula>NOT(ISERROR(SEARCH("Missing",AC5)))</formula>
    </cfRule>
    <cfRule type="containsText" dxfId="2" priority="9" operator="containsText" text="Conflict">
      <formula>NOT(ISERROR(SEARCH("Conflict",AC5)))</formula>
    </cfRule>
    <cfRule type="containsText" dxfId="2" priority="10" operator="containsText" text="Clash">
      <formula>NOT(ISERROR(SEARCH("Clash",AC5)))</formula>
    </cfRule>
    <cfRule type="containsText" dxfId="2" priority="11" operator="containsText" text="Expired">
      <formula>NOT(ISERROR(SEARCH("Expired",AC5)))</formula>
    </cfRule>
    <cfRule type="containsText" dxfId="2" priority="12" operator="containsText" text="Duplicate">
      <formula>NOT(ISERROR(SEARCH("Duplicate",AC5)))</formula>
    </cfRule>
    <cfRule type="containsText" dxfId="2" priority="13" operator="containsText" text="Unpaid">
      <formula>NOT(ISERROR(SEARCH("Unpaid",AC5)))</formula>
    </cfRule>
    <cfRule type="containsText" dxfId="2" priority="14" operator="containsText" text="Loss">
      <formula>NOT(ISERROR(SEARCH("Loss",AC5)))</formula>
    </cfRule>
    <cfRule type="containsText" dxfId="2" priority="15" operator="containsText" text="Below">
      <formula>NOT(ISERROR(SEARCH("Below",AC5)))</formula>
    </cfRule>
    <cfRule type="containsText" dxfId="0" priority="16" operator="containsText" text="Action">
      <formula>NOT(ISERROR(SEARCH("Action",AC5)))</formula>
    </cfRule>
    <cfRule type="containsText" dxfId="0" priority="17" operator="containsText" text="Due">
      <formula>NOT(ISERROR(SEARCH("Due",AC5)))</formula>
    </cfRule>
    <cfRule type="containsText" dxfId="0" priority="18" operator="containsText" text="Check">
      <formula>NOT(ISERROR(SEARCH("Check",AC5)))</formula>
    </cfRule>
    <cfRule type="containsText" dxfId="0" priority="19" operator="containsText" text="Chase">
      <formula>NOT(ISERROR(SEARCH("Chase",AC5)))</formula>
    </cfRule>
    <cfRule type="containsText" dxfId="0" priority="20" operator="containsText" text="Assign">
      <formula>NOT(ISERROR(SEARCH("Assign",AC5)))</formula>
    </cfRule>
    <cfRule type="containsText" dxfId="0" priority="21" operator="containsText" text="Confirm">
      <formula>NOT(ISERROR(SEARCH("Confirm",AC5)))</formula>
    </cfRule>
    <cfRule type="containsText" dxfId="0" priority="22" operator="containsText" text="Order">
      <formula>NOT(ISERROR(SEARCH("Order",AC5)))</formula>
    </cfRule>
    <cfRule type="containsText" dxfId="3" priority="23" operator="containsText" text="Today">
      <formula>NOT(ISERROR(SEARCH("Today",AC5)))</formula>
    </cfRule>
    <cfRule type="containsText" dxfId="3" priority="24" operator="containsText" text="Upcoming">
      <formula>NOT(ISERROR(SEARCH("Upcoming",AC5)))</formula>
    </cfRule>
    <cfRule type="containsText" dxfId="3" priority="25" operator="containsText" text="Tomorrow">
      <formula>NOT(ISERROR(SEARCH("Tomorrow",AC5)))</formula>
    </cfRule>
  </conditionalFormatting>
  <conditionalFormatting sqref="O5:O18">
    <cfRule type="containsText" dxfId="0" priority="1" operator="containsText" text="No">
      <formula>NOT(ISERROR(SEARCH("No",O5)))</formula>
    </cfRule>
    <cfRule type="containsText" dxfId="1" priority="2" operator="containsText" text="Yes">
      <formula>NOT(ISERROR(SEARCH("Yes",O5)))</formula>
    </cfRule>
  </conditionalFormatting>
  <conditionalFormatting sqref="W5:W18">
    <cfRule type="cellIs" dxfId="2" priority="3" operator="greaterThan">
      <formula>0.15</formula>
    </cfRule>
    <cfRule type="cellIs" dxfId="1" priority="4" operator="lessThan">
      <formula>0.06</formula>
    </cfRule>
  </conditionalFormatting>
  <dataValidations count="15">
    <dataValidation type="list" allowBlank="1" showInputMessage="1" showErrorMessage="1" promptTitle="Fee shape" prompt="Documentation only - the individual fees below are what the maths uses." sqref="B5:B18">
      <formula1>FeeTypeList</formula1>
    </dataValidation>
    <dataValidation type="decimal" allowBlank="1" showInputMessage="1" showErrorMessage="1" errorTitle="Check the value" error="Enter a number between 0 and 1000." promptTitle="Listing fee" prompt="Charged per listing, and again each time it renews. Spread over the items a listing sells." sqref="C5:C18">
      <formula1>0</formula1>
      <formula2>1000</formula2>
    </dataValidation>
    <dataValidation type="decimal" allowBlank="1" showInputMessage="1" showErrorMessage="1" errorTitle="Check the value" error="Enter a number between 0 and 100000." promptTitle="Sales per listing" prompt="How many items one listing sells before it renews. 2 means each sale carries half a listing fee." sqref="D5:D18">
      <formula1>0</formula1>
      <formula2>100000</formula2>
    </dataValidation>
    <dataValidation type="decimal" allowBlank="1" showInputMessage="1" showErrorMessage="1" errorTitle="Check the value" error="Enter a number between 0 and 1." sqref="E5:E18">
      <formula1>0</formula1>
      <formula2>1</formula2>
    </dataValidation>
    <dataValidation type="decimal" allowBlank="1" showInputMessage="1" showErrorMessage="1" errorTitle="Check the value" error="Enter a number between 0 and 1." sqref="F5:F18">
      <formula1>0</formula1>
      <formula2>1</formula2>
    </dataValidation>
    <dataValidation type="decimal" allowBlank="1" showInputMessage="1" showErrorMessage="1" errorTitle="Check the value" error="Enter a number between 0 and 100." promptTitle="Processing fixed" prompt="The flat part of the payment fee. On a $6 order this hurts far more than the percentage." sqref="G5:G18">
      <formula1>0</formula1>
      <formula2>100</formula2>
    </dataValidation>
    <dataValidation type="decimal" allowBlank="1" showInputMessage="1" showErrorMessage="1" errorTitle="Check the value" error="Enter a number between 0 and 1." sqref="H5:H18">
      <formula1>0</formula1>
      <formula2>1</formula2>
    </dataValidation>
    <dataValidation type="decimal" allowBlank="1" showInputMessage="1" showErrorMessage="1" errorTitle="Check the value" error="Enter a number between 0 and 1." promptTitle="Orders from ads" prompt="What share of your orders arrive through the marketplace's own advertising. Your statements will tell you." sqref="I5:I18">
      <formula1>0</formula1>
      <formula2>1</formula2>
    </dataValidation>
    <dataValidation type="decimal" allowBlank="1" showInputMessage="1" showErrorMessage="1" errorTitle="Check the value" error="Enter a number between 0 and 1." sqref="J5:J18">
      <formula1>0</formula1>
      <formula2>1</formula2>
    </dataValidation>
    <dataValidation type="decimal" allowBlank="1" showInputMessage="1" showErrorMessage="1" errorTitle="Check the value" error="Enter a number between 0 and 1." sqref="K5:K18">
      <formula1>0</formula1>
      <formula2>1</formula2>
    </dataValidation>
    <dataValidation type="decimal" allowBlank="1" showInputMessage="1" showErrorMessage="1" errorTitle="Check the value" error="Enter a number between 0 and 1." promptTitle="Other %" prompt="Anything else that scales with the order - a gallery commission, an affiliate cut." sqref="L5:L18">
      <formula1>0</formula1>
      <formula2>1</formula2>
    </dataValidation>
    <dataValidation type="decimal" allowBlank="1" showInputMessage="1" showErrorMessage="1" errorTitle="Check the value" error="Enter a number between 0 and 10000." promptTitle="Other fixed" prompt="Stall fee per item, packing surcharge, a per-order charge." sqref="M5:M18">
      <formula1>0</formula1>
      <formula2>10000</formula2>
    </dataValidation>
    <dataValidation type="decimal" allowBlank="1" showInputMessage="1" showErrorMessage="1" errorTitle="Check the value" error="Enter a number between 0 and 100000." promptTitle="Monthly subscription" prompt="A shop plan or a pitch rent. Not charged per order - it belongs in your overhead, and the reminder column says so." sqref="N5:N18">
      <formula1>0</formula1>
      <formula2>100000</formula2>
    </dataValidation>
    <dataValidation type="list" allowBlank="1" showInputMessage="1" showErrorMessage="1" promptTitle="Fees on postage?" prompt="Most marketplaces charge their percentage on the postage the buyer paid as well as the item." sqref="O5:O18">
      <formula1>YesNoList</formula1>
    </dataValidation>
    <dataValidation type="date" allowBlank="1" showInputMessage="1" showErrorMessage="1" errorTitle="Check the date" error="Enter a real date between 2000 and 2100." promptTitle="Fees checked" prompt="The date you last read the official fee page. Put today's date in when you do." sqref="P5:P18">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&amp;L&amp;"Calibri,Bold"&amp;12&amp;C&amp;"Calibri,Bold"&amp;11Channels&amp;R&amp;"Calibri,Italic"&amp;9Handmade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8C4A32"/>
    <pageSetUpPr fitToPage="1"/>
  </sheetPr>
  <dimension ref="A1:L94"/>
  <sheetViews>
    <sheetView showGridLines="0" workbookViewId="0">
      <pane ySplit="4" topLeftCell="A5" activePane="bottomLeft" state="frozen"/>
      <selection pane="bottomLeft"/>
    </sheetView>
  </sheetViews>
  <sheetFormatPr defaultRowHeight="15"/>
  <cols>
    <col min="1" max="1" width="3.2109375" customWidth="1"/>
    <col min="2" max="2" width="30.7109375" style="11" customWidth="1"/>
    <col min="3" max="3" width="11.7109375" style="11" customWidth="1"/>
    <col min="4" max="4" width="15.7109375" customWidth="1"/>
    <col min="5" max="5" width="15.7109375" customWidth="1"/>
    <col min="6" max="6" width="15.7109375" customWidth="1"/>
    <col min="7" max="12" width="14.7109375" style="12" customWidth="1"/>
    <col min="2" max="2" width="30.7109375" customWidth="1"/>
    <col min="3" max="3" width="16.7109375" customWidth="1"/>
    <col min="4" max="4" width="15.7109375" customWidth="1"/>
    <col min="5" max="5" width="15.7109375" customWidth="1"/>
    <col min="6" max="6" width="44.7109375" customWidth="1"/>
    <col min="2" max="2" width="30.7109375" customWidth="1"/>
    <col min="3" max="3" width="15.7109375" customWidth="1"/>
    <col min="4" max="4" width="60.7109375" customWidth="1"/>
    <col min="2" max="2" width="16.7109375" customWidth="1"/>
    <col min="3" max="3" width="14.7109375" customWidth="1"/>
    <col min="4" max="4" width="12.7109375" customWidth="1"/>
    <col min="5" max="5" width="13.7109375" customWidth="1"/>
    <col min="6" max="6" width="17.7109375" customWidth="1"/>
    <col min="7" max="7" width="12.7109375" customWidth="1"/>
    <col min="2" max="2" width="14.7109375" customWidth="1"/>
    <col min="3" max="3" width="14.7109375" customWidth="1"/>
    <col min="4" max="4" width="12.7109375" customWidth="1"/>
    <col min="5" max="5" width="12.7109375" customWidth="1"/>
    <col min="6" max="6" width="10.7109375" customWidth="1"/>
    <col min="7" max="7" width="10.7109375" customWidth="1"/>
    <col min="8" max="8" width="16.7109375" customWidth="1"/>
    <col min="9" max="9" width="26.7109375" customWidth="1"/>
  </cols>
  <sheetData>
    <row r="1" spans="1:12" ht="34" customHeight="1">
      <c r="A1" s="2" t="s">
        <v>1016</v>
      </c>
      <c r="B1" s="2"/>
      <c r="C1" s="2"/>
      <c r="D1" s="2"/>
      <c r="E1" s="2"/>
      <c r="F1" s="2"/>
      <c r="G1" s="2"/>
      <c r="H1" s="2"/>
      <c r="I1" s="2"/>
      <c r="J1" s="3" t="s">
        <v>1</v>
      </c>
      <c r="K1" s="3"/>
      <c r="L1" s="3"/>
    </row>
    <row r="2" spans="1:12" ht="18" customHeight="1">
      <c r="A2" s="4" t="s">
        <v>1017</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1018</v>
      </c>
      <c r="B5" s="7"/>
      <c r="C5" s="7"/>
      <c r="D5" s="7"/>
      <c r="E5" s="7"/>
      <c r="F5" s="7"/>
      <c r="G5" s="7"/>
      <c r="H5" s="7"/>
      <c r="I5" s="7"/>
      <c r="J5" s="7"/>
      <c r="K5" s="7"/>
      <c r="L5" s="7"/>
    </row>
    <row r="6" spans="1:12" ht="26" customHeight="1">
      <c r="B6" s="6" t="s">
        <v>1019</v>
      </c>
      <c r="C6" s="6"/>
      <c r="D6" s="6"/>
      <c r="E6" s="6"/>
      <c r="F6" s="6"/>
      <c r="G6" s="6"/>
      <c r="H6" s="6"/>
      <c r="I6" s="6"/>
      <c r="J6" s="6"/>
      <c r="K6" s="6"/>
      <c r="L6" s="6"/>
    </row>
    <row r="7" spans="1:12">
      <c r="B7" s="10" t="s">
        <v>354</v>
      </c>
      <c r="C7" s="10"/>
      <c r="D7" s="15" t="s">
        <v>511</v>
      </c>
      <c r="E7" s="15"/>
      <c r="F7" s="15"/>
      <c r="G7" s="12" t="s">
        <v>1020</v>
      </c>
      <c r="H7" s="12"/>
      <c r="I7" s="12"/>
      <c r="J7" s="12"/>
    </row>
    <row r="8" spans="1:12">
      <c r="B8" s="10" t="s">
        <v>1021</v>
      </c>
      <c r="C8" s="10"/>
      <c r="D8" s="15" t="s">
        <v>287</v>
      </c>
      <c r="E8" s="15"/>
      <c r="F8" s="15"/>
      <c r="G8" s="12" t="s">
        <v>1022</v>
      </c>
      <c r="H8" s="12"/>
      <c r="I8" s="12"/>
      <c r="J8" s="12"/>
    </row>
    <row r="9" spans="1:12">
      <c r="B9" s="10" t="s">
        <v>462</v>
      </c>
      <c r="C9" s="10"/>
      <c r="D9" s="19">
        <f>TargetRetailMargin</f>
        <v>0</v>
      </c>
      <c r="E9" s="12" t="s">
        <v>1023</v>
      </c>
      <c r="F9" s="12"/>
      <c r="G9" s="12"/>
      <c r="H9" s="12"/>
    </row>
    <row r="10" spans="1:12">
      <c r="B10" s="10" t="s">
        <v>1024</v>
      </c>
      <c r="C10" s="10"/>
      <c r="D10" s="16">
        <v>1</v>
      </c>
      <c r="E10" s="12" t="s">
        <v>1025</v>
      </c>
      <c r="F10" s="12"/>
      <c r="G10" s="12"/>
      <c r="H10" s="12"/>
    </row>
    <row r="12" spans="1:12" ht="20" customHeight="1">
      <c r="A12" s="7" t="s">
        <v>1026</v>
      </c>
      <c r="B12" s="7"/>
      <c r="C12" s="7"/>
      <c r="D12" s="7"/>
      <c r="E12" s="7"/>
      <c r="F12" s="7"/>
      <c r="G12" s="7"/>
      <c r="H12" s="7"/>
      <c r="I12" s="7"/>
      <c r="J12" s="7"/>
      <c r="K12" s="7"/>
      <c r="L12" s="7"/>
    </row>
    <row r="13" spans="1:12" ht="26" customHeight="1">
      <c r="B13" s="6" t="s">
        <v>1027</v>
      </c>
      <c r="C13" s="6"/>
      <c r="D13" s="6"/>
      <c r="E13" s="6"/>
      <c r="F13" s="6"/>
      <c r="G13" s="6"/>
      <c r="H13" s="6"/>
      <c r="I13" s="6"/>
      <c r="J13" s="6"/>
      <c r="K13" s="6"/>
      <c r="L13" s="6"/>
    </row>
    <row r="14" spans="1:12" ht="26" customHeight="1">
      <c r="B14" s="8" t="s">
        <v>33</v>
      </c>
      <c r="C14" s="9" t="s">
        <v>1028</v>
      </c>
      <c r="D14" s="9" t="s">
        <v>1029</v>
      </c>
      <c r="E14" s="9" t="s">
        <v>1030</v>
      </c>
      <c r="F14" s="9" t="s">
        <v>1031</v>
      </c>
    </row>
    <row r="15" spans="1:12">
      <c r="B15" s="10" t="s">
        <v>17</v>
      </c>
      <c r="C15" s="20">
        <f>IFERROR(INDEX(Products!$T$5:$T$304,MATCH(RcProduct,Products!$B$5:$B$304,0)),0)</f>
        <v>0</v>
      </c>
      <c r="D15" s="18"/>
      <c r="E15" s="20">
        <f>IF(D15&lt;&gt;"",D15,C15)</f>
        <v>0</v>
      </c>
      <c r="F15" s="12" t="s">
        <v>1032</v>
      </c>
      <c r="G15" s="12"/>
      <c r="H15" s="12"/>
      <c r="I15" s="12"/>
      <c r="J15" s="12"/>
      <c r="K15" s="12"/>
      <c r="L15" s="12"/>
    </row>
    <row r="16" spans="1:12">
      <c r="B16" s="10" t="s">
        <v>36</v>
      </c>
      <c r="C16" s="20">
        <f>IFERROR(INDEX(Products!$Z$5:$Z$304,MATCH(RcProduct,Products!$B$5:$B$304,0)),0)</f>
        <v>0</v>
      </c>
      <c r="D16" s="18"/>
      <c r="E16" s="20">
        <f>IF(D16&lt;&gt;"",D16,C16)</f>
        <v>0</v>
      </c>
      <c r="F16" s="12" t="s">
        <v>1033</v>
      </c>
      <c r="G16" s="12"/>
      <c r="H16" s="12"/>
      <c r="I16" s="12"/>
      <c r="J16" s="12"/>
      <c r="K16" s="12"/>
      <c r="L16" s="12"/>
    </row>
    <row r="17" spans="1:12">
      <c r="B17" s="10" t="s">
        <v>473</v>
      </c>
      <c r="C17" s="20">
        <f>IFERROR(INDEX(Products!$AA$5:$AA$304,MATCH(RcProduct,Products!$B$5:$B$304,0)),0)</f>
        <v>0</v>
      </c>
      <c r="D17" s="18"/>
      <c r="E17" s="20">
        <f>IF(D17&lt;&gt;"",D17,C17)</f>
        <v>0</v>
      </c>
      <c r="F17" s="12" t="s">
        <v>1034</v>
      </c>
      <c r="G17" s="12"/>
      <c r="H17" s="12"/>
      <c r="I17" s="12"/>
      <c r="J17" s="12"/>
      <c r="K17" s="12"/>
      <c r="L17" s="12"/>
    </row>
    <row r="18" spans="1:12">
      <c r="B18" s="10" t="s">
        <v>457</v>
      </c>
      <c r="C18" s="20">
        <f>IFERROR(INDEX(Products!$AB$5:$AB$304,MATCH(RcProduct,Products!$B$5:$B$304,0)),0)</f>
        <v>0</v>
      </c>
      <c r="D18" s="18"/>
      <c r="E18" s="20">
        <f>IF(D18&lt;&gt;"",D18,C18)</f>
        <v>0</v>
      </c>
      <c r="F18" s="12" t="s">
        <v>1035</v>
      </c>
      <c r="G18" s="12"/>
      <c r="H18" s="12"/>
      <c r="I18" s="12"/>
      <c r="J18" s="12"/>
      <c r="K18" s="12"/>
      <c r="L18" s="12"/>
    </row>
    <row r="19" spans="1:12">
      <c r="B19" s="10" t="s">
        <v>478</v>
      </c>
      <c r="C19" s="20">
        <f>IFERROR(INDEX(Products!$AG$5:$AG$304,MATCH(RcProduct,Products!$B$5:$B$304,0)),0)</f>
        <v>0</v>
      </c>
      <c r="D19" s="18"/>
      <c r="E19" s="20">
        <f>IF(D19&lt;&gt;"",D19,C19)</f>
        <v>0</v>
      </c>
      <c r="F19" s="12" t="s">
        <v>1036</v>
      </c>
      <c r="G19" s="12"/>
      <c r="H19" s="12"/>
      <c r="I19" s="12"/>
      <c r="J19" s="12"/>
      <c r="K19" s="12"/>
      <c r="L19" s="12"/>
    </row>
    <row r="20" spans="1:12">
      <c r="B20" s="10" t="s">
        <v>1037</v>
      </c>
      <c r="C20" s="20">
        <f>0</f>
        <v>0</v>
      </c>
      <c r="D20" s="18"/>
      <c r="E20" s="20">
        <f>IF(D20&lt;&gt;"",D20,C20)</f>
        <v>0</v>
      </c>
      <c r="F20" s="12" t="s">
        <v>1038</v>
      </c>
      <c r="G20" s="12"/>
      <c r="H20" s="12"/>
      <c r="I20" s="12"/>
      <c r="J20" s="12"/>
      <c r="K20" s="12"/>
      <c r="L20" s="12"/>
    </row>
    <row r="21" spans="1:12">
      <c r="B21" s="48" t="s">
        <v>1039</v>
      </c>
      <c r="E21" s="49">
        <f>ROUND(SUM(E15:E20),2)</f>
        <v>0</v>
      </c>
      <c r="F21" s="12" t="s">
        <v>1040</v>
      </c>
      <c r="G21" s="12"/>
      <c r="H21" s="12"/>
      <c r="I21" s="12"/>
      <c r="J21" s="12"/>
      <c r="K21" s="12"/>
      <c r="L21" s="12"/>
    </row>
    <row r="23" spans="1:12" ht="20" customHeight="1">
      <c r="A23" s="7" t="s">
        <v>1041</v>
      </c>
      <c r="B23" s="7"/>
      <c r="C23" s="7"/>
      <c r="D23" s="7"/>
      <c r="E23" s="7"/>
      <c r="F23" s="7"/>
      <c r="G23" s="7"/>
      <c r="H23" s="7"/>
      <c r="I23" s="7"/>
      <c r="J23" s="7"/>
      <c r="K23" s="7"/>
      <c r="L23" s="7"/>
    </row>
    <row r="24" spans="1:12" ht="26" customHeight="1">
      <c r="B24" s="6" t="s">
        <v>1042</v>
      </c>
      <c r="C24" s="6"/>
      <c r="D24" s="6"/>
      <c r="E24" s="6"/>
      <c r="F24" s="6"/>
      <c r="G24" s="6"/>
      <c r="H24" s="6"/>
      <c r="I24" s="6"/>
      <c r="J24" s="6"/>
      <c r="K24" s="6"/>
      <c r="L24" s="6"/>
    </row>
    <row r="25" spans="1:12">
      <c r="B25" s="10" t="s">
        <v>1043</v>
      </c>
      <c r="C25" s="10"/>
      <c r="D25" s="13">
        <f>OverheadMethod</f>
        <v>0</v>
      </c>
      <c r="E25" s="13"/>
      <c r="F25" s="13"/>
      <c r="G25" s="12" t="s">
        <v>1044</v>
      </c>
      <c r="H25" s="12"/>
      <c r="I25" s="12"/>
      <c r="J25" s="12"/>
    </row>
    <row r="26" spans="1:12">
      <c r="B26" s="10" t="s">
        <v>1045</v>
      </c>
      <c r="C26" s="10"/>
      <c r="D26" s="20">
        <f>IF(OverheadMethod="Per hour worked",ROUND(OverheadPerHour*IFERROR(INDEX(Products!$Y$5:$Y$304,MATCH(RcProduct,Products!$B$5:$B$304,0)),0),2),IF(OR(OverheadMethod="Per unit made",OverheadMethod="Per order"),OverheadPerUnit,0))</f>
        <v>0</v>
      </c>
      <c r="E26" s="20"/>
      <c r="F26" s="20"/>
      <c r="G26" s="12" t="s">
        <v>1046</v>
      </c>
      <c r="H26" s="12"/>
      <c r="I26" s="12"/>
      <c r="J26" s="12"/>
    </row>
    <row r="27" spans="1:12">
      <c r="B27" s="10" t="s">
        <v>489</v>
      </c>
      <c r="C27" s="10"/>
      <c r="D27" s="20">
        <f>ROUND(RcDirect+RcOverhead,2)</f>
        <v>0</v>
      </c>
      <c r="E27" s="20"/>
      <c r="F27" s="20"/>
      <c r="G27" s="12" t="s">
        <v>1047</v>
      </c>
      <c r="H27" s="12"/>
      <c r="I27" s="12"/>
      <c r="J27" s="12"/>
    </row>
    <row r="29" spans="1:12" ht="20" customHeight="1">
      <c r="A29" s="7" t="s">
        <v>1048</v>
      </c>
      <c r="B29" s="7"/>
      <c r="C29" s="7"/>
      <c r="D29" s="7"/>
      <c r="E29" s="7"/>
      <c r="F29" s="7"/>
      <c r="G29" s="7"/>
      <c r="H29" s="7"/>
      <c r="I29" s="7"/>
      <c r="J29" s="7"/>
      <c r="K29" s="7"/>
      <c r="L29" s="7"/>
    </row>
    <row r="30" spans="1:12" ht="30" customHeight="1">
      <c r="B30" s="6" t="s">
        <v>1049</v>
      </c>
      <c r="C30" s="6"/>
      <c r="D30" s="6"/>
      <c r="E30" s="6"/>
      <c r="F30" s="6"/>
      <c r="G30" s="6"/>
      <c r="H30" s="6"/>
      <c r="I30" s="6"/>
      <c r="J30" s="6"/>
      <c r="K30" s="6"/>
      <c r="L30" s="6"/>
    </row>
    <row r="31" spans="1:12">
      <c r="B31" s="10" t="s">
        <v>982</v>
      </c>
      <c r="C31" s="10"/>
      <c r="D31" s="33">
        <f>IFERROR(INDEX(Channels!$S$5:$S$18,MATCH(RcChannel,Channels!$A$5:$A$18,0)),0)</f>
        <v>0</v>
      </c>
      <c r="E31" s="33"/>
      <c r="F31" s="33"/>
      <c r="G31" s="12" t="s">
        <v>1050</v>
      </c>
      <c r="H31" s="12"/>
      <c r="I31" s="12"/>
      <c r="J31" s="12"/>
    </row>
    <row r="32" spans="1:12">
      <c r="B32" s="10" t="s">
        <v>481</v>
      </c>
      <c r="C32" s="10"/>
      <c r="D32" s="20">
        <f>IFERROR(INDEX(Channels!$T$5:$T$18,MATCH(RcChannel,Channels!$A$5:$A$18,0)),0)</f>
        <v>0</v>
      </c>
      <c r="E32" s="20"/>
      <c r="F32" s="20"/>
      <c r="G32" s="12" t="s">
        <v>1051</v>
      </c>
      <c r="H32" s="12"/>
      <c r="I32" s="12"/>
      <c r="J32" s="12"/>
    </row>
    <row r="33" spans="1:12">
      <c r="B33" s="10" t="s">
        <v>1052</v>
      </c>
      <c r="C33" s="10"/>
      <c r="D33" s="33">
        <f>IF(OverheadMethod="Share of revenue",IF(RevenueTargetMonth&lt;=0,0,OverheadMonthly/RevenueTargetMonth),0)</f>
        <v>0</v>
      </c>
      <c r="E33" s="33"/>
      <c r="F33" s="33"/>
      <c r="G33" s="12" t="s">
        <v>1053</v>
      </c>
      <c r="H33" s="12"/>
      <c r="I33" s="12"/>
      <c r="J33" s="12"/>
    </row>
    <row r="35" spans="1:12" ht="20" customHeight="1">
      <c r="A35" s="7" t="s">
        <v>1054</v>
      </c>
      <c r="B35" s="7"/>
      <c r="C35" s="7"/>
      <c r="D35" s="7"/>
      <c r="E35" s="7"/>
      <c r="F35" s="7"/>
      <c r="G35" s="7"/>
      <c r="H35" s="7"/>
      <c r="I35" s="7"/>
      <c r="J35" s="7"/>
      <c r="K35" s="7"/>
      <c r="L35" s="7"/>
    </row>
    <row r="36" spans="1:12">
      <c r="B36" s="10" t="s">
        <v>1055</v>
      </c>
      <c r="D36" s="41">
        <f>1-RcTarget-RcFeePct-RcOhRate</f>
        <v>0</v>
      </c>
      <c r="E36" s="12" t="s">
        <v>1056</v>
      </c>
      <c r="F36" s="12"/>
      <c r="G36" s="12"/>
      <c r="H36" s="12"/>
      <c r="I36" s="12"/>
      <c r="J36" s="12"/>
      <c r="K36" s="12"/>
      <c r="L36" s="12"/>
    </row>
    <row r="37" spans="1:12">
      <c r="B37" s="10" t="s">
        <v>487</v>
      </c>
      <c r="D37" s="20">
        <f>IF(RcDenom&lt;=0,"No price works",ROUND((RcCost+RcFeeFixed)/RcDenom,2))</f>
        <v>0</v>
      </c>
      <c r="E37" s="12" t="s">
        <v>1057</v>
      </c>
      <c r="F37" s="12"/>
      <c r="G37" s="12"/>
      <c r="H37" s="12"/>
      <c r="I37" s="12"/>
      <c r="J37" s="12"/>
      <c r="K37" s="12"/>
      <c r="L37" s="12"/>
    </row>
    <row r="38" spans="1:12">
      <c r="B38" s="10" t="s">
        <v>1058</v>
      </c>
      <c r="D38" s="20">
        <f>IF(ISNUMBER(RcRaw),ROUND(IF(RoundingRule="None",RcRaw,IF(RoundingRule="Nearest 0.99",MAX(0.99,CEILING(RcRaw,1)-0.01),IF(RoundingRule="Nearest 0.95",MAX(0.95,CEILING(RcRaw,1)-0.05),IF(RoundingRule="Nearest 0.50",CEILING(RcRaw,0.5),IF(RoundingRule="Nearest 1",CEILING(RcRaw,1),IF(RoundingRule="Nearest 5",CEILING(RcRaw,5),IF(RoundingRule="Up to whole 1",CEILING(RcRaw,1),IF(RoundingRule="Up to whole 5",CEILING(RcRaw,5),ROUND(RcRaw,2))))))))),2),"")</f>
        <v>0</v>
      </c>
      <c r="E38" s="12" t="s">
        <v>1059</v>
      </c>
      <c r="F38" s="12"/>
      <c r="G38" s="12"/>
      <c r="H38" s="12"/>
      <c r="I38" s="12"/>
      <c r="J38" s="12"/>
      <c r="K38" s="12"/>
      <c r="L38" s="12"/>
    </row>
    <row r="40" spans="1:12">
      <c r="B40" s="24" t="s">
        <v>39</v>
      </c>
      <c r="C40" s="24"/>
      <c r="D40" s="24" t="s">
        <v>1061</v>
      </c>
      <c r="E40" s="24"/>
      <c r="F40" s="24" t="s">
        <v>421</v>
      </c>
      <c r="G40" s="24"/>
      <c r="H40" s="24" t="s">
        <v>42</v>
      </c>
      <c r="I40" s="24"/>
    </row>
    <row r="41" spans="1:12" ht="26" customHeight="1">
      <c r="B41" s="27">
        <f>IF(RcPrice="","",RcPrice)</f>
        <v>0</v>
      </c>
      <c r="C41" s="27"/>
      <c r="D41" s="27">
        <f>IF(RcPrice="","",ROUND(RcPrice*RcFeePct+RcFeeFixed,2))</f>
        <v>0</v>
      </c>
      <c r="E41" s="27"/>
      <c r="F41" s="27">
        <f>IF(RcPrice="","",ROUND(RcPrice-RcCost-(RcPrice*RcFeePct+RcFeeFixed),2))</f>
        <v>0</v>
      </c>
      <c r="G41" s="27"/>
      <c r="H41" s="26">
        <f>IF(OR(RcPrice="",RcPrice=0),"",(RcPrice-RcCost-(RcPrice*RcFeePct+RcFeeFixed))/RcPrice)</f>
        <v>0</v>
      </c>
      <c r="I41" s="26"/>
    </row>
    <row r="42" spans="1:12">
      <c r="B42" s="28" t="s">
        <v>1060</v>
      </c>
      <c r="C42" s="28"/>
      <c r="D42" s="28" t="s">
        <v>1062</v>
      </c>
      <c r="E42" s="28"/>
      <c r="F42" s="28" t="s">
        <v>1063</v>
      </c>
      <c r="G42" s="28"/>
      <c r="H42" s="28" t="s">
        <v>1064</v>
      </c>
      <c r="I42" s="28"/>
    </row>
    <row r="43" spans="1:12">
      <c r="B43" s="24" t="s">
        <v>45</v>
      </c>
      <c r="C43" s="24"/>
      <c r="D43" s="24" t="s">
        <v>1066</v>
      </c>
      <c r="E43" s="24"/>
      <c r="F43" s="24" t="s">
        <v>492</v>
      </c>
      <c r="G43" s="24"/>
      <c r="H43" s="24" t="s">
        <v>1069</v>
      </c>
      <c r="I43" s="24"/>
    </row>
    <row r="44" spans="1:12" ht="26" customHeight="1">
      <c r="B44" s="26">
        <f>IF(OR(RcPrice="",RcCost=0),"",(RcPrice-RcCost-(RcPrice*RcFeePct+RcFeeFixed))/RcCost)</f>
        <v>0</v>
      </c>
      <c r="C44" s="26"/>
      <c r="D44" s="50">
        <f>IFERROR(INDEX(Products!$Y$5:$Y$304,MATCH(RcProduct,Products!$B$5:$B$304,0)),0)</f>
        <v>0</v>
      </c>
      <c r="E44" s="50"/>
      <c r="F44" s="27">
        <f>IF(OR(IFERROR(INDEX(Products!$Y$5:$Y$304,MATCH(RcProduct,Products!$B$5:$B$304,0)),0)=0,RcPrice=""),"",ROUND((RcPrice-RcCost-(RcPrice*RcFeePct+RcFeeFixed)+RcLabUsed)/IFERROR(INDEX(Products!$Y$5:$Y$304,MATCH(RcProduct,Products!$B$5:$B$304,0)),1),2))</f>
        <v>0</v>
      </c>
      <c r="G44" s="27"/>
      <c r="H44" s="27">
        <f>IF(RcPrice="","",ROUND(RcPrice*(1-WholesaleDiscount),2))</f>
        <v>0</v>
      </c>
      <c r="I44" s="27"/>
    </row>
    <row r="45" spans="1:12">
      <c r="B45" s="28" t="s">
        <v>1065</v>
      </c>
      <c r="C45" s="28"/>
      <c r="D45" s="28" t="s">
        <v>1067</v>
      </c>
      <c r="E45" s="28"/>
      <c r="F45" s="28" t="s">
        <v>1068</v>
      </c>
      <c r="G45" s="28"/>
      <c r="H45" s="28" t="s">
        <v>1070</v>
      </c>
      <c r="I45" s="28"/>
    </row>
    <row r="47" spans="1:12" ht="20" customHeight="1">
      <c r="A47" s="7" t="s">
        <v>1071</v>
      </c>
      <c r="B47" s="7"/>
      <c r="C47" s="7"/>
      <c r="D47" s="7"/>
      <c r="E47" s="7"/>
      <c r="F47" s="7"/>
      <c r="G47" s="7"/>
      <c r="H47" s="7"/>
      <c r="I47" s="7"/>
      <c r="J47" s="7"/>
      <c r="K47" s="7"/>
      <c r="L47" s="7"/>
    </row>
    <row r="48" spans="1:12" ht="26" customHeight="1">
      <c r="B48" s="8" t="s">
        <v>10</v>
      </c>
      <c r="C48" s="9" t="s">
        <v>1072</v>
      </c>
      <c r="D48" s="9" t="s">
        <v>1073</v>
      </c>
    </row>
    <row r="49" spans="1:12">
      <c r="B49" s="10" t="s">
        <v>1074</v>
      </c>
      <c r="C49" s="20">
        <f>RcDirect</f>
        <v>0</v>
      </c>
      <c r="D49" s="12" t="s">
        <v>1075</v>
      </c>
      <c r="E49" s="12"/>
      <c r="F49" s="12"/>
      <c r="G49" s="12"/>
      <c r="H49" s="12"/>
      <c r="I49" s="12"/>
      <c r="J49" s="12"/>
      <c r="K49" s="12"/>
      <c r="L49" s="12"/>
    </row>
    <row r="50" spans="1:12">
      <c r="B50" s="10" t="s">
        <v>72</v>
      </c>
      <c r="C50" s="20">
        <f>RcOverhead</f>
        <v>0</v>
      </c>
      <c r="D50" s="12" t="s">
        <v>1076</v>
      </c>
      <c r="E50" s="12"/>
      <c r="F50" s="12"/>
      <c r="G50" s="12"/>
      <c r="H50" s="12"/>
      <c r="I50" s="12"/>
      <c r="J50" s="12"/>
      <c r="K50" s="12"/>
      <c r="L50" s="12"/>
    </row>
    <row r="51" spans="1:12">
      <c r="B51" s="10" t="s">
        <v>1077</v>
      </c>
      <c r="C51" s="20">
        <f>RcCost</f>
        <v>0</v>
      </c>
      <c r="D51" s="12" t="s">
        <v>1078</v>
      </c>
      <c r="E51" s="12"/>
      <c r="F51" s="12"/>
      <c r="G51" s="12"/>
      <c r="H51" s="12"/>
      <c r="I51" s="12"/>
      <c r="J51" s="12"/>
      <c r="K51" s="12"/>
      <c r="L51" s="12"/>
    </row>
    <row r="52" spans="1:12">
      <c r="B52" s="10" t="s">
        <v>1079</v>
      </c>
      <c r="C52" s="20">
        <f>RcFeeFixed</f>
        <v>0</v>
      </c>
      <c r="D52" s="12" t="s">
        <v>1080</v>
      </c>
      <c r="E52" s="12"/>
      <c r="F52" s="12"/>
      <c r="G52" s="12"/>
      <c r="H52" s="12"/>
      <c r="I52" s="12"/>
      <c r="J52" s="12"/>
      <c r="K52" s="12"/>
      <c r="L52" s="12"/>
    </row>
    <row r="53" spans="1:12">
      <c r="B53" s="10" t="s">
        <v>1081</v>
      </c>
      <c r="C53" s="33">
        <f>RcTarget</f>
        <v>0</v>
      </c>
      <c r="D53" s="12" t="s">
        <v>1082</v>
      </c>
      <c r="E53" s="12"/>
      <c r="F53" s="12"/>
      <c r="G53" s="12"/>
      <c r="H53" s="12"/>
      <c r="I53" s="12"/>
      <c r="J53" s="12"/>
      <c r="K53" s="12"/>
      <c r="L53" s="12"/>
    </row>
    <row r="54" spans="1:12">
      <c r="B54" s="10" t="s">
        <v>1083</v>
      </c>
      <c r="C54" s="33">
        <f>RcFeePct</f>
        <v>0</v>
      </c>
      <c r="D54" s="12" t="s">
        <v>1084</v>
      </c>
      <c r="E54" s="12"/>
      <c r="F54" s="12"/>
      <c r="G54" s="12"/>
      <c r="H54" s="12"/>
      <c r="I54" s="12"/>
      <c r="J54" s="12"/>
      <c r="K54" s="12"/>
      <c r="L54" s="12"/>
    </row>
    <row r="55" spans="1:12">
      <c r="B55" s="10" t="s">
        <v>1085</v>
      </c>
      <c r="C55" s="41">
        <f>RcDenom</f>
        <v>0</v>
      </c>
      <c r="D55" s="12" t="s">
        <v>1086</v>
      </c>
      <c r="E55" s="12"/>
      <c r="F55" s="12"/>
      <c r="G55" s="12"/>
      <c r="H55" s="12"/>
      <c r="I55" s="12"/>
      <c r="J55" s="12"/>
      <c r="K55" s="12"/>
      <c r="L55" s="12"/>
    </row>
    <row r="56" spans="1:12">
      <c r="B56" s="10" t="s">
        <v>1087</v>
      </c>
      <c r="C56" s="20">
        <f>RcRaw</f>
        <v>0</v>
      </c>
      <c r="D56" s="12" t="s">
        <v>1088</v>
      </c>
      <c r="E56" s="12"/>
      <c r="F56" s="12"/>
      <c r="G56" s="12"/>
      <c r="H56" s="12"/>
      <c r="I56" s="12"/>
      <c r="J56" s="12"/>
      <c r="K56" s="12"/>
      <c r="L56" s="12"/>
    </row>
    <row r="57" spans="1:12">
      <c r="B57" s="10" t="s">
        <v>1089</v>
      </c>
      <c r="C57" s="20">
        <f>RcPrice</f>
        <v>0</v>
      </c>
      <c r="D57" s="12" t="s">
        <v>1090</v>
      </c>
      <c r="E57" s="12"/>
      <c r="F57" s="12"/>
      <c r="G57" s="12"/>
      <c r="H57" s="12"/>
      <c r="I57" s="12"/>
      <c r="J57" s="12"/>
      <c r="K57" s="12"/>
      <c r="L57" s="12"/>
    </row>
    <row r="59" spans="1:12" ht="20" customHeight="1">
      <c r="A59" s="7" t="s">
        <v>1091</v>
      </c>
      <c r="B59" s="7"/>
      <c r="C59" s="7"/>
      <c r="D59" s="7"/>
      <c r="E59" s="7"/>
      <c r="F59" s="7"/>
      <c r="G59" s="7"/>
      <c r="H59" s="7"/>
      <c r="I59" s="7"/>
      <c r="J59" s="7"/>
      <c r="K59" s="7"/>
      <c r="L59" s="7"/>
    </row>
    <row r="60" spans="1:12" ht="26" customHeight="1">
      <c r="B60" s="6" t="s">
        <v>1092</v>
      </c>
      <c r="C60" s="6"/>
      <c r="D60" s="6"/>
      <c r="E60" s="6"/>
      <c r="F60" s="6"/>
      <c r="G60" s="6"/>
      <c r="H60" s="6"/>
      <c r="I60" s="6"/>
      <c r="J60" s="6"/>
      <c r="K60" s="6"/>
      <c r="L60" s="6"/>
    </row>
    <row r="61" spans="1:12" ht="26" customHeight="1">
      <c r="B61" s="8" t="s">
        <v>462</v>
      </c>
      <c r="C61" s="9" t="s">
        <v>39</v>
      </c>
      <c r="D61" s="9" t="s">
        <v>436</v>
      </c>
      <c r="E61" s="9" t="s">
        <v>421</v>
      </c>
      <c r="F61" s="9" t="s">
        <v>492</v>
      </c>
      <c r="G61" s="9" t="s">
        <v>45</v>
      </c>
    </row>
    <row r="62" spans="1:12">
      <c r="B62" s="33">
        <v>0.25</v>
      </c>
      <c r="C62" s="20">
        <f>IF((1-0.25-RcFeePct-RcOhRate)&lt;=0,"",ROUND((RcCost+RcFeeFixed)/(1-0.25-RcFeePct-RcOhRate),2))</f>
        <v>0</v>
      </c>
      <c r="D62" s="20">
        <f>IF(C62="","",ROUND(C62*RcFeePct+RcFeeFixed,2))</f>
        <v>0</v>
      </c>
      <c r="E62" s="20">
        <f>IF(C62="","",ROUND(C62-RcCost-D62,2))</f>
        <v>0</v>
      </c>
      <c r="F62" s="20">
        <f>IF(OR(C62="",IFERROR(INDEX(Products!$Y$5:$Y$304,MATCH(RcProduct,Products!$B$5:$B$304,0)),0)=0),"",ROUND((E62+RcLabUsed)/IFERROR(INDEX(Products!$Y$5:$Y$304,MATCH(RcProduct,Products!$B$5:$B$304,0)),0),2))</f>
        <v>0</v>
      </c>
      <c r="G62" s="33">
        <f>IF(OR(C62="",RcCost=0),"",E62/RcCost)</f>
        <v>0</v>
      </c>
    </row>
    <row r="63" spans="1:12">
      <c r="B63" s="33">
        <v>0.3</v>
      </c>
      <c r="C63" s="20">
        <f>IF((1-0.3-RcFeePct-RcOhRate)&lt;=0,"",ROUND((RcCost+RcFeeFixed)/(1-0.3-RcFeePct-RcOhRate),2))</f>
        <v>0</v>
      </c>
      <c r="D63" s="20">
        <f>IF(C63="","",ROUND(C63*RcFeePct+RcFeeFixed,2))</f>
        <v>0</v>
      </c>
      <c r="E63" s="20">
        <f>IF(C63="","",ROUND(C63-RcCost-D63,2))</f>
        <v>0</v>
      </c>
      <c r="F63" s="20">
        <f>IF(OR(C63="",IFERROR(INDEX(Products!$Y$5:$Y$304,MATCH(RcProduct,Products!$B$5:$B$304,0)),0)=0),"",ROUND((E63+RcLabUsed)/IFERROR(INDEX(Products!$Y$5:$Y$304,MATCH(RcProduct,Products!$B$5:$B$304,0)),0),2))</f>
        <v>0</v>
      </c>
      <c r="G63" s="33">
        <f>IF(OR(C63="",RcCost=0),"",E63/RcCost)</f>
        <v>0</v>
      </c>
    </row>
    <row r="64" spans="1:12">
      <c r="B64" s="33">
        <v>0.35</v>
      </c>
      <c r="C64" s="20">
        <f>IF((1-0.35-RcFeePct-RcOhRate)&lt;=0,"",ROUND((RcCost+RcFeeFixed)/(1-0.35-RcFeePct-RcOhRate),2))</f>
        <v>0</v>
      </c>
      <c r="D64" s="20">
        <f>IF(C64="","",ROUND(C64*RcFeePct+RcFeeFixed,2))</f>
        <v>0</v>
      </c>
      <c r="E64" s="20">
        <f>IF(C64="","",ROUND(C64-RcCost-D64,2))</f>
        <v>0</v>
      </c>
      <c r="F64" s="20">
        <f>IF(OR(C64="",IFERROR(INDEX(Products!$Y$5:$Y$304,MATCH(RcProduct,Products!$B$5:$B$304,0)),0)=0),"",ROUND((E64+RcLabUsed)/IFERROR(INDEX(Products!$Y$5:$Y$304,MATCH(RcProduct,Products!$B$5:$B$304,0)),0),2))</f>
        <v>0</v>
      </c>
      <c r="G64" s="33">
        <f>IF(OR(C64="",RcCost=0),"",E64/RcCost)</f>
        <v>0</v>
      </c>
    </row>
    <row r="65" spans="1:12">
      <c r="B65" s="33">
        <v>0.4</v>
      </c>
      <c r="C65" s="20">
        <f>IF((1-0.4-RcFeePct-RcOhRate)&lt;=0,"",ROUND((RcCost+RcFeeFixed)/(1-0.4-RcFeePct-RcOhRate),2))</f>
        <v>0</v>
      </c>
      <c r="D65" s="20">
        <f>IF(C65="","",ROUND(C65*RcFeePct+RcFeeFixed,2))</f>
        <v>0</v>
      </c>
      <c r="E65" s="20">
        <f>IF(C65="","",ROUND(C65-RcCost-D65,2))</f>
        <v>0</v>
      </c>
      <c r="F65" s="20">
        <f>IF(OR(C65="",IFERROR(INDEX(Products!$Y$5:$Y$304,MATCH(RcProduct,Products!$B$5:$B$304,0)),0)=0),"",ROUND((E65+RcLabUsed)/IFERROR(INDEX(Products!$Y$5:$Y$304,MATCH(RcProduct,Products!$B$5:$B$304,0)),0),2))</f>
        <v>0</v>
      </c>
      <c r="G65" s="33">
        <f>IF(OR(C65="",RcCost=0),"",E65/RcCost)</f>
        <v>0</v>
      </c>
    </row>
    <row r="66" spans="1:12">
      <c r="B66" s="33">
        <v>0.45</v>
      </c>
      <c r="C66" s="20">
        <f>IF((1-0.45-RcFeePct-RcOhRate)&lt;=0,"",ROUND((RcCost+RcFeeFixed)/(1-0.45-RcFeePct-RcOhRate),2))</f>
        <v>0</v>
      </c>
      <c r="D66" s="20">
        <f>IF(C66="","",ROUND(C66*RcFeePct+RcFeeFixed,2))</f>
        <v>0</v>
      </c>
      <c r="E66" s="20">
        <f>IF(C66="","",ROUND(C66-RcCost-D66,2))</f>
        <v>0</v>
      </c>
      <c r="F66" s="20">
        <f>IF(OR(C66="",IFERROR(INDEX(Products!$Y$5:$Y$304,MATCH(RcProduct,Products!$B$5:$B$304,0)),0)=0),"",ROUND((E66+RcLabUsed)/IFERROR(INDEX(Products!$Y$5:$Y$304,MATCH(RcProduct,Products!$B$5:$B$304,0)),0),2))</f>
        <v>0</v>
      </c>
      <c r="G66" s="33">
        <f>IF(OR(C66="",RcCost=0),"",E66/RcCost)</f>
        <v>0</v>
      </c>
    </row>
    <row r="67" spans="1:12">
      <c r="B67" s="33">
        <v>0.5</v>
      </c>
      <c r="C67" s="20">
        <f>IF((1-0.5-RcFeePct-RcOhRate)&lt;=0,"",ROUND((RcCost+RcFeeFixed)/(1-0.5-RcFeePct-RcOhRate),2))</f>
        <v>0</v>
      </c>
      <c r="D67" s="20">
        <f>IF(C67="","",ROUND(C67*RcFeePct+RcFeeFixed,2))</f>
        <v>0</v>
      </c>
      <c r="E67" s="20">
        <f>IF(C67="","",ROUND(C67-RcCost-D67,2))</f>
        <v>0</v>
      </c>
      <c r="F67" s="20">
        <f>IF(OR(C67="",IFERROR(INDEX(Products!$Y$5:$Y$304,MATCH(RcProduct,Products!$B$5:$B$304,0)),0)=0),"",ROUND((E67+RcLabUsed)/IFERROR(INDEX(Products!$Y$5:$Y$304,MATCH(RcProduct,Products!$B$5:$B$304,0)),0),2))</f>
        <v>0</v>
      </c>
      <c r="G67" s="33">
        <f>IF(OR(C67="",RcCost=0),"",E67/RcCost)</f>
        <v>0</v>
      </c>
    </row>
    <row r="68" spans="1:12">
      <c r="B68" s="33">
        <v>0.55</v>
      </c>
      <c r="C68" s="20">
        <f>IF((1-0.55-RcFeePct-RcOhRate)&lt;=0,"",ROUND((RcCost+RcFeeFixed)/(1-0.55-RcFeePct-RcOhRate),2))</f>
        <v>0</v>
      </c>
      <c r="D68" s="20">
        <f>IF(C68="","",ROUND(C68*RcFeePct+RcFeeFixed,2))</f>
        <v>0</v>
      </c>
      <c r="E68" s="20">
        <f>IF(C68="","",ROUND(C68-RcCost-D68,2))</f>
        <v>0</v>
      </c>
      <c r="F68" s="20">
        <f>IF(OR(C68="",IFERROR(INDEX(Products!$Y$5:$Y$304,MATCH(RcProduct,Products!$B$5:$B$304,0)),0)=0),"",ROUND((E68+RcLabUsed)/IFERROR(INDEX(Products!$Y$5:$Y$304,MATCH(RcProduct,Products!$B$5:$B$304,0)),0),2))</f>
        <v>0</v>
      </c>
      <c r="G68" s="33">
        <f>IF(OR(C68="",RcCost=0),"",E68/RcCost)</f>
        <v>0</v>
      </c>
    </row>
    <row r="69" spans="1:12">
      <c r="B69" s="33">
        <v>0.6</v>
      </c>
      <c r="C69" s="20">
        <f>IF((1-0.6-RcFeePct-RcOhRate)&lt;=0,"",ROUND((RcCost+RcFeeFixed)/(1-0.6-RcFeePct-RcOhRate),2))</f>
        <v>0</v>
      </c>
      <c r="D69" s="20">
        <f>IF(C69="","",ROUND(C69*RcFeePct+RcFeeFixed,2))</f>
        <v>0</v>
      </c>
      <c r="E69" s="20">
        <f>IF(C69="","",ROUND(C69-RcCost-D69,2))</f>
        <v>0</v>
      </c>
      <c r="F69" s="20">
        <f>IF(OR(C69="",IFERROR(INDEX(Products!$Y$5:$Y$304,MATCH(RcProduct,Products!$B$5:$B$304,0)),0)=0),"",ROUND((E69+RcLabUsed)/IFERROR(INDEX(Products!$Y$5:$Y$304,MATCH(RcProduct,Products!$B$5:$B$304,0)),0),2))</f>
        <v>0</v>
      </c>
      <c r="G69" s="33">
        <f>IF(OR(C69="",RcCost=0),"",E69/RcCost)</f>
        <v>0</v>
      </c>
    </row>
    <row r="70" spans="1:12">
      <c r="B70" s="33">
        <v>0.65</v>
      </c>
      <c r="C70" s="20">
        <f>IF((1-0.65-RcFeePct-RcOhRate)&lt;=0,"",ROUND((RcCost+RcFeeFixed)/(1-0.65-RcFeePct-RcOhRate),2))</f>
        <v>0</v>
      </c>
      <c r="D70" s="20">
        <f>IF(C70="","",ROUND(C70*RcFeePct+RcFeeFixed,2))</f>
        <v>0</v>
      </c>
      <c r="E70" s="20">
        <f>IF(C70="","",ROUND(C70-RcCost-D70,2))</f>
        <v>0</v>
      </c>
      <c r="F70" s="20">
        <f>IF(OR(C70="",IFERROR(INDEX(Products!$Y$5:$Y$304,MATCH(RcProduct,Products!$B$5:$B$304,0)),0)=0),"",ROUND((E70+RcLabUsed)/IFERROR(INDEX(Products!$Y$5:$Y$304,MATCH(RcProduct,Products!$B$5:$B$304,0)),0),2))</f>
        <v>0</v>
      </c>
      <c r="G70" s="33">
        <f>IF(OR(C70="",RcCost=0),"",E70/RcCost)</f>
        <v>0</v>
      </c>
    </row>
    <row r="71" spans="1:12">
      <c r="B71" s="33">
        <v>0.7</v>
      </c>
      <c r="C71" s="20">
        <f>IF((1-0.7-RcFeePct-RcOhRate)&lt;=0,"",ROUND((RcCost+RcFeeFixed)/(1-0.7-RcFeePct-RcOhRate),2))</f>
        <v>0</v>
      </c>
      <c r="D71" s="20">
        <f>IF(C71="","",ROUND(C71*RcFeePct+RcFeeFixed,2))</f>
        <v>0</v>
      </c>
      <c r="E71" s="20">
        <f>IF(C71="","",ROUND(C71-RcCost-D71,2))</f>
        <v>0</v>
      </c>
      <c r="F71" s="20">
        <f>IF(OR(C71="",IFERROR(INDEX(Products!$Y$5:$Y$304,MATCH(RcProduct,Products!$B$5:$B$304,0)),0)=0),"",ROUND((E71+RcLabUsed)/IFERROR(INDEX(Products!$Y$5:$Y$304,MATCH(RcProduct,Products!$B$5:$B$304,0)),0),2))</f>
        <v>0</v>
      </c>
      <c r="G71" s="33">
        <f>IF(OR(C71="",RcCost=0),"",E71/RcCost)</f>
        <v>0</v>
      </c>
    </row>
    <row r="73" spans="1:12" ht="20" customHeight="1">
      <c r="A73" s="7" t="s">
        <v>1093</v>
      </c>
      <c r="B73" s="7"/>
      <c r="C73" s="7"/>
      <c r="D73" s="7"/>
      <c r="E73" s="7"/>
      <c r="F73" s="7"/>
      <c r="G73" s="7"/>
      <c r="H73" s="7"/>
      <c r="I73" s="7"/>
      <c r="J73" s="7"/>
      <c r="K73" s="7"/>
      <c r="L73" s="7"/>
    </row>
    <row r="74" spans="1:12" ht="26" customHeight="1">
      <c r="B74" s="6" t="s">
        <v>1094</v>
      </c>
      <c r="C74" s="6"/>
      <c r="D74" s="6"/>
      <c r="E74" s="6"/>
      <c r="F74" s="6"/>
      <c r="G74" s="6"/>
      <c r="H74" s="6"/>
      <c r="I74" s="6"/>
      <c r="J74" s="6"/>
      <c r="K74" s="6"/>
      <c r="L74" s="6"/>
    </row>
    <row r="75" spans="1:12" ht="26" customHeight="1">
      <c r="B75" s="8" t="s">
        <v>39</v>
      </c>
      <c r="C75" s="9" t="s">
        <v>1095</v>
      </c>
      <c r="D75" s="9" t="s">
        <v>436</v>
      </c>
      <c r="E75" s="9" t="s">
        <v>421</v>
      </c>
      <c r="F75" s="9" t="s">
        <v>42</v>
      </c>
      <c r="G75" s="9" t="s">
        <v>45</v>
      </c>
      <c r="H75" s="9" t="s">
        <v>492</v>
      </c>
      <c r="I75" s="9" t="s">
        <v>1096</v>
      </c>
    </row>
    <row r="76" spans="1:12">
      <c r="B76" s="20">
        <f>IF(ISNUMBER(RcRaw),ROUND(RcRaw*0.7,2),"")</f>
        <v>0</v>
      </c>
      <c r="C76" s="37">
        <v>-0.3</v>
      </c>
      <c r="D76" s="20">
        <f>IF(B76="","",ROUND(B76*RcFeePct+RcFeeFixed,2))</f>
        <v>0</v>
      </c>
      <c r="E76" s="20">
        <f>IF(B76="","",ROUND(B76-RcCost-D76,2))</f>
        <v>0</v>
      </c>
      <c r="F76" s="33">
        <f>IF(OR(B76="",B76=0),"",E76/B76)</f>
        <v>0</v>
      </c>
      <c r="G76" s="33">
        <f>IF(OR(B76="",RcCost=0),"",E76/RcCost)</f>
        <v>0</v>
      </c>
      <c r="H76" s="20">
        <f>IF(OR(B76="",IFERROR(INDEX(Products!$Y$5:$Y$304,MATCH(RcProduct,Products!$B$5:$B$304,0)),0)=0),"",ROUND((E76+RcLabUsed)/IFERROR(INDEX(Products!$Y$5:$Y$304,MATCH(RcProduct,Products!$B$5:$B$304,0)),0),2))</f>
        <v>0</v>
      </c>
      <c r="I76" s="13">
        <f>IF(B76="","",IF(E76&lt;0,"Loss - below cost",IF(F76&lt;MarginWarning,"Too thin",IF(F76&lt;RcTarget,"Under your target",IF(F76&gt;RcTarget+0.1,"Above target - test it","On target")))))</f>
        <v>0</v>
      </c>
    </row>
    <row r="77" spans="1:12">
      <c r="B77" s="20">
        <f>IF(ISNUMBER(RcRaw),ROUND(RcRaw*0.8,2),"")</f>
        <v>0</v>
      </c>
      <c r="C77" s="37">
        <v>-0.2</v>
      </c>
      <c r="D77" s="20">
        <f>IF(B77="","",ROUND(B77*RcFeePct+RcFeeFixed,2))</f>
        <v>0</v>
      </c>
      <c r="E77" s="20">
        <f>IF(B77="","",ROUND(B77-RcCost-D77,2))</f>
        <v>0</v>
      </c>
      <c r="F77" s="33">
        <f>IF(OR(B77="",B77=0),"",E77/B77)</f>
        <v>0</v>
      </c>
      <c r="G77" s="33">
        <f>IF(OR(B77="",RcCost=0),"",E77/RcCost)</f>
        <v>0</v>
      </c>
      <c r="H77" s="20">
        <f>IF(OR(B77="",IFERROR(INDEX(Products!$Y$5:$Y$304,MATCH(RcProduct,Products!$B$5:$B$304,0)),0)=0),"",ROUND((E77+RcLabUsed)/IFERROR(INDEX(Products!$Y$5:$Y$304,MATCH(RcProduct,Products!$B$5:$B$304,0)),0),2))</f>
        <v>0</v>
      </c>
      <c r="I77" s="13">
        <f>IF(B77="","",IF(E77&lt;0,"Loss - below cost",IF(F77&lt;MarginWarning,"Too thin",IF(F77&lt;RcTarget,"Under your target",IF(F77&gt;RcTarget+0.1,"Above target - test it","On target")))))</f>
        <v>0</v>
      </c>
    </row>
    <row r="78" spans="1:12">
      <c r="B78" s="20">
        <f>IF(ISNUMBER(RcRaw),ROUND(RcRaw*0.9,2),"")</f>
        <v>0</v>
      </c>
      <c r="C78" s="37">
        <v>-0.1</v>
      </c>
      <c r="D78" s="20">
        <f>IF(B78="","",ROUND(B78*RcFeePct+RcFeeFixed,2))</f>
        <v>0</v>
      </c>
      <c r="E78" s="20">
        <f>IF(B78="","",ROUND(B78-RcCost-D78,2))</f>
        <v>0</v>
      </c>
      <c r="F78" s="33">
        <f>IF(OR(B78="",B78=0),"",E78/B78)</f>
        <v>0</v>
      </c>
      <c r="G78" s="33">
        <f>IF(OR(B78="",RcCost=0),"",E78/RcCost)</f>
        <v>0</v>
      </c>
      <c r="H78" s="20">
        <f>IF(OR(B78="",IFERROR(INDEX(Products!$Y$5:$Y$304,MATCH(RcProduct,Products!$B$5:$B$304,0)),0)=0),"",ROUND((E78+RcLabUsed)/IFERROR(INDEX(Products!$Y$5:$Y$304,MATCH(RcProduct,Products!$B$5:$B$304,0)),0),2))</f>
        <v>0</v>
      </c>
      <c r="I78" s="13">
        <f>IF(B78="","",IF(E78&lt;0,"Loss - below cost",IF(F78&lt;MarginWarning,"Too thin",IF(F78&lt;RcTarget,"Under your target",IF(F78&gt;RcTarget+0.1,"Above target - test it","On target")))))</f>
        <v>0</v>
      </c>
    </row>
    <row r="79" spans="1:12">
      <c r="B79" s="20">
        <f>IF(ISNUMBER(RcRaw),ROUND(RcRaw*0.95,2),"")</f>
        <v>0</v>
      </c>
      <c r="C79" s="37">
        <v>-0.05</v>
      </c>
      <c r="D79" s="20">
        <f>IF(B79="","",ROUND(B79*RcFeePct+RcFeeFixed,2))</f>
        <v>0</v>
      </c>
      <c r="E79" s="20">
        <f>IF(B79="","",ROUND(B79-RcCost-D79,2))</f>
        <v>0</v>
      </c>
      <c r="F79" s="33">
        <f>IF(OR(B79="",B79=0),"",E79/B79)</f>
        <v>0</v>
      </c>
      <c r="G79" s="33">
        <f>IF(OR(B79="",RcCost=0),"",E79/RcCost)</f>
        <v>0</v>
      </c>
      <c r="H79" s="20">
        <f>IF(OR(B79="",IFERROR(INDEX(Products!$Y$5:$Y$304,MATCH(RcProduct,Products!$B$5:$B$304,0)),0)=0),"",ROUND((E79+RcLabUsed)/IFERROR(INDEX(Products!$Y$5:$Y$304,MATCH(RcProduct,Products!$B$5:$B$304,0)),0),2))</f>
        <v>0</v>
      </c>
      <c r="I79" s="13">
        <f>IF(B79="","",IF(E79&lt;0,"Loss - below cost",IF(F79&lt;MarginWarning,"Too thin",IF(F79&lt;RcTarget,"Under your target",IF(F79&gt;RcTarget+0.1,"Above target - test it","On target")))))</f>
        <v>0</v>
      </c>
    </row>
    <row r="80" spans="1:12">
      <c r="B80" s="20">
        <f>IF(ISNUMBER(RcRaw),ROUND(RcRaw*1.0,2),"")</f>
        <v>0</v>
      </c>
      <c r="C80" s="37">
        <v>0</v>
      </c>
      <c r="D80" s="20">
        <f>IF(B80="","",ROUND(B80*RcFeePct+RcFeeFixed,2))</f>
        <v>0</v>
      </c>
      <c r="E80" s="20">
        <f>IF(B80="","",ROUND(B80-RcCost-D80,2))</f>
        <v>0</v>
      </c>
      <c r="F80" s="33">
        <f>IF(OR(B80="",B80=0),"",E80/B80)</f>
        <v>0</v>
      </c>
      <c r="G80" s="33">
        <f>IF(OR(B80="",RcCost=0),"",E80/RcCost)</f>
        <v>0</v>
      </c>
      <c r="H80" s="20">
        <f>IF(OR(B80="",IFERROR(INDEX(Products!$Y$5:$Y$304,MATCH(RcProduct,Products!$B$5:$B$304,0)),0)=0),"",ROUND((E80+RcLabUsed)/IFERROR(INDEX(Products!$Y$5:$Y$304,MATCH(RcProduct,Products!$B$5:$B$304,0)),0),2))</f>
        <v>0</v>
      </c>
      <c r="I80" s="13">
        <f>IF(B80="","",IF(E80&lt;0,"Loss - below cost",IF(F80&lt;MarginWarning,"Too thin",IF(F80&lt;RcTarget,"Under your target",IF(F80&gt;RcTarget+0.1,"Above target - test it","On target")))))</f>
        <v>0</v>
      </c>
    </row>
    <row r="81" spans="1:12">
      <c r="B81" s="20">
        <f>IF(ISNUMBER(RcRaw),ROUND(RcRaw*1.05,2),"")</f>
        <v>0</v>
      </c>
      <c r="C81" s="37">
        <v>0.05</v>
      </c>
      <c r="D81" s="20">
        <f>IF(B81="","",ROUND(B81*RcFeePct+RcFeeFixed,2))</f>
        <v>0</v>
      </c>
      <c r="E81" s="20">
        <f>IF(B81="","",ROUND(B81-RcCost-D81,2))</f>
        <v>0</v>
      </c>
      <c r="F81" s="33">
        <f>IF(OR(B81="",B81=0),"",E81/B81)</f>
        <v>0</v>
      </c>
      <c r="G81" s="33">
        <f>IF(OR(B81="",RcCost=0),"",E81/RcCost)</f>
        <v>0</v>
      </c>
      <c r="H81" s="20">
        <f>IF(OR(B81="",IFERROR(INDEX(Products!$Y$5:$Y$304,MATCH(RcProduct,Products!$B$5:$B$304,0)),0)=0),"",ROUND((E81+RcLabUsed)/IFERROR(INDEX(Products!$Y$5:$Y$304,MATCH(RcProduct,Products!$B$5:$B$304,0)),0),2))</f>
        <v>0</v>
      </c>
      <c r="I81" s="13">
        <f>IF(B81="","",IF(E81&lt;0,"Loss - below cost",IF(F81&lt;MarginWarning,"Too thin",IF(F81&lt;RcTarget,"Under your target",IF(F81&gt;RcTarget+0.1,"Above target - test it","On target")))))</f>
        <v>0</v>
      </c>
    </row>
    <row r="82" spans="1:12">
      <c r="B82" s="20">
        <f>IF(ISNUMBER(RcRaw),ROUND(RcRaw*1.1,2),"")</f>
        <v>0</v>
      </c>
      <c r="C82" s="37">
        <v>0.1</v>
      </c>
      <c r="D82" s="20">
        <f>IF(B82="","",ROUND(B82*RcFeePct+RcFeeFixed,2))</f>
        <v>0</v>
      </c>
      <c r="E82" s="20">
        <f>IF(B82="","",ROUND(B82-RcCost-D82,2))</f>
        <v>0</v>
      </c>
      <c r="F82" s="33">
        <f>IF(OR(B82="",B82=0),"",E82/B82)</f>
        <v>0</v>
      </c>
      <c r="G82" s="33">
        <f>IF(OR(B82="",RcCost=0),"",E82/RcCost)</f>
        <v>0</v>
      </c>
      <c r="H82" s="20">
        <f>IF(OR(B82="",IFERROR(INDEX(Products!$Y$5:$Y$304,MATCH(RcProduct,Products!$B$5:$B$304,0)),0)=0),"",ROUND((E82+RcLabUsed)/IFERROR(INDEX(Products!$Y$5:$Y$304,MATCH(RcProduct,Products!$B$5:$B$304,0)),0),2))</f>
        <v>0</v>
      </c>
      <c r="I82" s="13">
        <f>IF(B82="","",IF(E82&lt;0,"Loss - below cost",IF(F82&lt;MarginWarning,"Too thin",IF(F82&lt;RcTarget,"Under your target",IF(F82&gt;RcTarget+0.1,"Above target - test it","On target")))))</f>
        <v>0</v>
      </c>
    </row>
    <row r="83" spans="1:12">
      <c r="B83" s="20">
        <f>IF(ISNUMBER(RcRaw),ROUND(RcRaw*1.2,2),"")</f>
        <v>0</v>
      </c>
      <c r="C83" s="37">
        <v>0.2</v>
      </c>
      <c r="D83" s="20">
        <f>IF(B83="","",ROUND(B83*RcFeePct+RcFeeFixed,2))</f>
        <v>0</v>
      </c>
      <c r="E83" s="20">
        <f>IF(B83="","",ROUND(B83-RcCost-D83,2))</f>
        <v>0</v>
      </c>
      <c r="F83" s="33">
        <f>IF(OR(B83="",B83=0),"",E83/B83)</f>
        <v>0</v>
      </c>
      <c r="G83" s="33">
        <f>IF(OR(B83="",RcCost=0),"",E83/RcCost)</f>
        <v>0</v>
      </c>
      <c r="H83" s="20">
        <f>IF(OR(B83="",IFERROR(INDEX(Products!$Y$5:$Y$304,MATCH(RcProduct,Products!$B$5:$B$304,0)),0)=0),"",ROUND((E83+RcLabUsed)/IFERROR(INDEX(Products!$Y$5:$Y$304,MATCH(RcProduct,Products!$B$5:$B$304,0)),0),2))</f>
        <v>0</v>
      </c>
      <c r="I83" s="13">
        <f>IF(B83="","",IF(E83&lt;0,"Loss - below cost",IF(F83&lt;MarginWarning,"Too thin",IF(F83&lt;RcTarget,"Under your target",IF(F83&gt;RcTarget+0.1,"Above target - test it","On target")))))</f>
        <v>0</v>
      </c>
    </row>
    <row r="84" spans="1:12">
      <c r="B84" s="20">
        <f>IF(ISNUMBER(RcRaw),ROUND(RcRaw*1.3,2),"")</f>
        <v>0</v>
      </c>
      <c r="C84" s="37">
        <v>0.3</v>
      </c>
      <c r="D84" s="20">
        <f>IF(B84="","",ROUND(B84*RcFeePct+RcFeeFixed,2))</f>
        <v>0</v>
      </c>
      <c r="E84" s="20">
        <f>IF(B84="","",ROUND(B84-RcCost-D84,2))</f>
        <v>0</v>
      </c>
      <c r="F84" s="33">
        <f>IF(OR(B84="",B84=0),"",E84/B84)</f>
        <v>0</v>
      </c>
      <c r="G84" s="33">
        <f>IF(OR(B84="",RcCost=0),"",E84/RcCost)</f>
        <v>0</v>
      </c>
      <c r="H84" s="20">
        <f>IF(OR(B84="",IFERROR(INDEX(Products!$Y$5:$Y$304,MATCH(RcProduct,Products!$B$5:$B$304,0)),0)=0),"",ROUND((E84+RcLabUsed)/IFERROR(INDEX(Products!$Y$5:$Y$304,MATCH(RcProduct,Products!$B$5:$B$304,0)),0),2))</f>
        <v>0</v>
      </c>
      <c r="I84" s="13">
        <f>IF(B84="","",IF(E84&lt;0,"Loss - below cost",IF(F84&lt;MarginWarning,"Too thin",IF(F84&lt;RcTarget,"Under your target",IF(F84&gt;RcTarget+0.1,"Above target - test it","On target")))))</f>
        <v>0</v>
      </c>
    </row>
    <row r="85" spans="1:12">
      <c r="B85" s="20">
        <f>IF(ISNUMBER(RcRaw),ROUND(RcRaw*1.5,2),"")</f>
        <v>0</v>
      </c>
      <c r="C85" s="37">
        <v>0.5</v>
      </c>
      <c r="D85" s="20">
        <f>IF(B85="","",ROUND(B85*RcFeePct+RcFeeFixed,2))</f>
        <v>0</v>
      </c>
      <c r="E85" s="20">
        <f>IF(B85="","",ROUND(B85-RcCost-D85,2))</f>
        <v>0</v>
      </c>
      <c r="F85" s="33">
        <f>IF(OR(B85="",B85=0),"",E85/B85)</f>
        <v>0</v>
      </c>
      <c r="G85" s="33">
        <f>IF(OR(B85="",RcCost=0),"",E85/RcCost)</f>
        <v>0</v>
      </c>
      <c r="H85" s="20">
        <f>IF(OR(B85="",IFERROR(INDEX(Products!$Y$5:$Y$304,MATCH(RcProduct,Products!$B$5:$B$304,0)),0)=0),"",ROUND((E85+RcLabUsed)/IFERROR(INDEX(Products!$Y$5:$Y$304,MATCH(RcProduct,Products!$B$5:$B$304,0)),0),2))</f>
        <v>0</v>
      </c>
      <c r="I85" s="13">
        <f>IF(B85="","",IF(E85&lt;0,"Loss - below cost",IF(F85&lt;MarginWarning,"Too thin",IF(F85&lt;RcTarget,"Under your target",IF(F85&gt;RcTarget+0.1,"Above target - test it","On target")))))</f>
        <v>0</v>
      </c>
    </row>
    <row r="87" spans="1:12" ht="20" customHeight="1">
      <c r="A87" s="7" t="s">
        <v>1097</v>
      </c>
      <c r="B87" s="7"/>
      <c r="C87" s="7"/>
      <c r="D87" s="7"/>
      <c r="E87" s="7"/>
      <c r="F87" s="7"/>
      <c r="G87" s="7"/>
      <c r="H87" s="7"/>
      <c r="I87" s="7"/>
      <c r="J87" s="7"/>
      <c r="K87" s="7"/>
      <c r="L87" s="7"/>
    </row>
    <row r="88" spans="1:12">
      <c r="B88" s="10" t="s">
        <v>1098</v>
      </c>
      <c r="C88" s="13">
        <f>IF(RcPrice="","Pick a product or type the costs",IF(RcPrice&gt;RcCost+RcPrice*RcFeePct+RcFeeFixed,"Yes - there is profit in it","No - this price loses money"))</f>
        <v>0</v>
      </c>
      <c r="D88" s="13"/>
      <c r="E88" s="13"/>
      <c r="F88" s="13"/>
      <c r="G88" s="13"/>
      <c r="H88" s="13"/>
      <c r="I88" s="13"/>
      <c r="J88" s="13"/>
      <c r="K88" s="13"/>
      <c r="L88" s="13"/>
    </row>
    <row r="89" spans="1:12">
      <c r="B89" s="10" t="s">
        <v>1099</v>
      </c>
      <c r="C89" s="13">
        <f>IF(OR(RcPrice="",IFERROR(INDEX(Products!$Y$5:$Y$304,MATCH(RcProduct,Products!$B$5:$B$304,0)),0)=0),"Add the labour minutes on the Labor tab",IF((RcPrice-RcCost-(RcPrice*RcFeePct+RcFeeFixed)+RcLabUsed)/IFERROR(INDEX(Products!$Y$5:$Y$304,MATCH(RcProduct,Products!$B$5:$B$304,0)),1)&gt;=MinimumWage,"Yes - above minimum wage","No - you are paying to work"))</f>
        <v>0</v>
      </c>
      <c r="D89" s="13"/>
      <c r="E89" s="13"/>
      <c r="F89" s="13"/>
      <c r="G89" s="13"/>
      <c r="H89" s="13"/>
      <c r="I89" s="13"/>
      <c r="J89" s="13"/>
      <c r="K89" s="13"/>
      <c r="L89" s="13"/>
    </row>
    <row r="90" spans="1:12">
      <c r="B90" s="10" t="s">
        <v>1100</v>
      </c>
      <c r="C90" s="13">
        <f>IF(RcPrice="","-",IF(RcPrice*(1-WholesaleDiscount)&gt;RcCost,"Yes - there is room for a stockist","No - wholesale would sell below cost"))</f>
        <v>0</v>
      </c>
      <c r="D90" s="13"/>
      <c r="E90" s="13"/>
      <c r="F90" s="13"/>
      <c r="G90" s="13"/>
      <c r="H90" s="13"/>
      <c r="I90" s="13"/>
      <c r="J90" s="13"/>
      <c r="K90" s="13"/>
      <c r="L90" s="13"/>
    </row>
    <row r="91" spans="1:12">
      <c r="B91" s="10" t="s">
        <v>1101</v>
      </c>
      <c r="C91" s="13">
        <f>IF(OR(RcPrice="",IFERROR(INDEX(Products!$BF$5:$BF$304,MATCH(RcProduct,Products!$B$5:$B$304,0)),"")=""),"No competitor research for this product yet","The shops you logged average "&amp;TEXT(IFERROR(INDEX(Products!$BF$5:$BF$304,MATCH(RcProduct,Products!$B$5:$B$304,0)),0),"0.00")&amp;" - you would be "&amp;TEXT(ABS(RcPrice-IFERROR(INDEX(Products!$BF$5:$BF$304,MATCH(RcProduct,Products!$B$5:$B$304,0)),0)),"0.00")&amp;IF(RcPrice&gt;IFERROR(INDEX(Products!$BF$5:$BF$304,MATCH(RcProduct,Products!$B$5:$B$304,0)),0)," dearer"," cheaper"))</f>
        <v>0</v>
      </c>
      <c r="D91" s="13"/>
      <c r="E91" s="13"/>
      <c r="F91" s="13"/>
      <c r="G91" s="13"/>
      <c r="H91" s="13"/>
      <c r="I91" s="13"/>
      <c r="J91" s="13"/>
      <c r="K91" s="13"/>
      <c r="L91" s="13"/>
    </row>
    <row r="92" spans="1:12">
      <c r="B92" s="10" t="s">
        <v>1102</v>
      </c>
      <c r="C92" s="13">
        <f>IF(FeesStale="Yes","Check - your fee rates were last reviewed "&amp;TEXT(FeesReviewed,"d mmm yyyy")&amp;". Marketplace fees change; verify the current official fee schedule.","Fee rates reviewed "&amp;TEXT(FeesReviewed,"d mmm yyyy"))</f>
        <v>0</v>
      </c>
      <c r="D92" s="13"/>
      <c r="E92" s="13"/>
      <c r="F92" s="13"/>
      <c r="G92" s="13"/>
      <c r="H92" s="13"/>
      <c r="I92" s="13"/>
      <c r="J92" s="13"/>
      <c r="K92" s="13"/>
      <c r="L92" s="13"/>
    </row>
    <row r="94" spans="1:12" ht="30" customHeight="1">
      <c r="B94" s="6" t="s">
        <v>1103</v>
      </c>
      <c r="C94" s="6"/>
      <c r="D94" s="6"/>
      <c r="E94" s="6"/>
      <c r="F94" s="6"/>
      <c r="G94" s="6"/>
      <c r="H94" s="6"/>
      <c r="I94" s="6"/>
      <c r="J94" s="6"/>
      <c r="K94" s="6"/>
      <c r="L94" s="6"/>
    </row>
  </sheetData>
  <sheetProtection password="EC7C" sheet="1" objects="1" scenarios="1" formatCells="0" formatColumns="0" formatRows="0" insertRows="0" insertHyperlinks="0" deleteRows="0" autoFilter="0"/>
  <mergeCells count="101">
    <mergeCell ref="A1:I1"/>
    <mergeCell ref="J1:L1"/>
    <mergeCell ref="A2:L2"/>
    <mergeCell ref="A3:B3"/>
    <mergeCell ref="C3:D3"/>
    <mergeCell ref="E3:F3"/>
    <mergeCell ref="G3:H3"/>
    <mergeCell ref="I3:J3"/>
    <mergeCell ref="K3:L3"/>
    <mergeCell ref="A5:L5"/>
    <mergeCell ref="B6:L6"/>
    <mergeCell ref="B7:C7"/>
    <mergeCell ref="D7:F7"/>
    <mergeCell ref="G7:J7"/>
    <mergeCell ref="B8:C8"/>
    <mergeCell ref="D8:F8"/>
    <mergeCell ref="G8:J8"/>
    <mergeCell ref="B9:C9"/>
    <mergeCell ref="E9:H9"/>
    <mergeCell ref="B10:C10"/>
    <mergeCell ref="E10:H10"/>
    <mergeCell ref="A12:L12"/>
    <mergeCell ref="B13:L13"/>
    <mergeCell ref="F15:L15"/>
    <mergeCell ref="F16:L16"/>
    <mergeCell ref="F17:L17"/>
    <mergeCell ref="F18:L18"/>
    <mergeCell ref="F19:L19"/>
    <mergeCell ref="F20:L20"/>
    <mergeCell ref="F21:L21"/>
    <mergeCell ref="A23:L23"/>
    <mergeCell ref="B24:L24"/>
    <mergeCell ref="B25:C25"/>
    <mergeCell ref="D25:F25"/>
    <mergeCell ref="G25:J25"/>
    <mergeCell ref="B26:C26"/>
    <mergeCell ref="D26:F26"/>
    <mergeCell ref="G26:J26"/>
    <mergeCell ref="B27:C27"/>
    <mergeCell ref="D27:F27"/>
    <mergeCell ref="G27:J27"/>
    <mergeCell ref="A29:L29"/>
    <mergeCell ref="B30:L30"/>
    <mergeCell ref="B31:C31"/>
    <mergeCell ref="D31:F31"/>
    <mergeCell ref="G31:J31"/>
    <mergeCell ref="B32:C32"/>
    <mergeCell ref="D32:F32"/>
    <mergeCell ref="G32:J32"/>
    <mergeCell ref="B33:C33"/>
    <mergeCell ref="D33:F33"/>
    <mergeCell ref="G33:J33"/>
    <mergeCell ref="A35:L35"/>
    <mergeCell ref="E36:L36"/>
    <mergeCell ref="E37:L37"/>
    <mergeCell ref="E38:L38"/>
    <mergeCell ref="B40:C40"/>
    <mergeCell ref="B41:C41"/>
    <mergeCell ref="B42:C42"/>
    <mergeCell ref="D40:E40"/>
    <mergeCell ref="D41:E41"/>
    <mergeCell ref="D42:E42"/>
    <mergeCell ref="F40:G40"/>
    <mergeCell ref="F41:G41"/>
    <mergeCell ref="F42:G42"/>
    <mergeCell ref="H40:I40"/>
    <mergeCell ref="H41:I41"/>
    <mergeCell ref="H42:I42"/>
    <mergeCell ref="B43:C43"/>
    <mergeCell ref="B44:C44"/>
    <mergeCell ref="B45:C45"/>
    <mergeCell ref="D43:E43"/>
    <mergeCell ref="D44:E44"/>
    <mergeCell ref="D45:E45"/>
    <mergeCell ref="F43:G43"/>
    <mergeCell ref="F44:G44"/>
    <mergeCell ref="F45:G45"/>
    <mergeCell ref="H43:I43"/>
    <mergeCell ref="H44:I44"/>
    <mergeCell ref="H45:I45"/>
    <mergeCell ref="A47:L47"/>
    <mergeCell ref="D49:L49"/>
    <mergeCell ref="D50:L50"/>
    <mergeCell ref="D51:L51"/>
    <mergeCell ref="D52:L52"/>
    <mergeCell ref="D53:L53"/>
    <mergeCell ref="D54:L54"/>
    <mergeCell ref="D55:L55"/>
    <mergeCell ref="D56:L56"/>
    <mergeCell ref="D57:L57"/>
    <mergeCell ref="A59:L59"/>
    <mergeCell ref="B60:L60"/>
    <mergeCell ref="A73:L73"/>
    <mergeCell ref="B74:L74"/>
    <mergeCell ref="A87:L87"/>
    <mergeCell ref="C88:L88"/>
    <mergeCell ref="C89:L89"/>
    <mergeCell ref="C90:L90"/>
    <mergeCell ref="C91:L91"/>
    <mergeCell ref="C92:L92"/>
    <mergeCell ref="B94:L94"/>
  </mergeCells>
  <conditionalFormatting sqref="C62:C71">
    <cfRule type="dataBar" priority="1">
      <dataBar>
        <cfvo type="min" val="0"/>
        <cfvo type="max" val="0"/>
        <color rgb="FFB5704F"/>
      </dataBar>
    </cfRule>
  </conditionalFormatting>
  <conditionalFormatting sqref="C88:C92">
    <cfRule type="containsText" dxfId="2" priority="7" operator="containsText" text="No -">
      <formula>NOT(ISERROR(SEARCH("No -",C88)))</formula>
    </cfRule>
    <cfRule type="containsText" dxfId="1" priority="8" operator="containsText" text="Yes -">
      <formula>NOT(ISERROR(SEARCH("Yes -",C88)))</formula>
    </cfRule>
    <cfRule type="containsText" dxfId="0" priority="9" operator="containsText" text="Check">
      <formula>NOT(ISERROR(SEARCH("Check",C88)))</formula>
    </cfRule>
  </conditionalFormatting>
  <conditionalFormatting sqref="E76:E85">
    <cfRule type="cellIs" dxfId="2" priority="4" operator="lessThan">
      <formula>0</formula>
    </cfRule>
  </conditionalFormatting>
  <conditionalFormatting sqref="F62:F71">
    <cfRule type="cellIs" dxfId="2" priority="2" operator="lessThan">
      <formula>MinimumWage</formula>
    </cfRule>
    <cfRule type="cellIs" dxfId="1" priority="3" operator="greaterThanOrEqual">
      <formula>TargetHourly</formula>
    </cfRule>
  </conditionalFormatting>
  <conditionalFormatting sqref="I76:I85">
    <cfRule type="containsText" dxfId="2" priority="5" operator="containsText" text="Loss">
      <formula>NOT(ISERROR(SEARCH("Loss",I76)))</formula>
    </cfRule>
    <cfRule type="containsText" dxfId="1" priority="6" operator="containsText" text="On target">
      <formula>NOT(ISERROR(SEARCH("On target",I76)))</formula>
    </cfRule>
  </conditionalFormatting>
  <dataValidations count="10">
    <dataValidation type="list" allowBlank="1" showInputMessage="1" showErrorMessage="1" sqref="D7">
      <formula1>ProductNames</formula1>
    </dataValidation>
    <dataValidation type="list" allowBlank="1" showInputMessage="1" showErrorMessage="1" sqref="D8">
      <formula1>ChannelList</formula1>
    </dataValidation>
    <dataValidation type="decimal" allowBlank="1" showInputMessage="1" showErrorMessage="1" errorTitle="Check the value" error="Enter a number between 0 and 0.95." sqref="D9">
      <formula1>0</formula1>
      <formula2>0.95</formula2>
    </dataValidation>
    <dataValidation type="whole" allowBlank="1" showInputMessage="1" showErrorMessage="1" errorTitle="Check the value" error="Enter a number between 1 and 10000." sqref="D10">
      <formula1>1</formula1>
      <formula2>10000</formula2>
    </dataValidation>
    <dataValidation type="decimal" allowBlank="1" showInputMessage="1" showErrorMessage="1" errorTitle="Check the value" error="Enter a number between 0 and 1000000." sqref="D15">
      <formula1>0</formula1>
      <formula2>1000000</formula2>
    </dataValidation>
    <dataValidation type="decimal" allowBlank="1" showInputMessage="1" showErrorMessage="1" errorTitle="Check the value" error="Enter a number between 0 and 1000000." sqref="D16">
      <formula1>0</formula1>
      <formula2>1000000</formula2>
    </dataValidation>
    <dataValidation type="decimal" allowBlank="1" showInputMessage="1" showErrorMessage="1" errorTitle="Check the value" error="Enter a number between 0 and 1000000." sqref="D17">
      <formula1>0</formula1>
      <formula2>1000000</formula2>
    </dataValidation>
    <dataValidation type="decimal" allowBlank="1" showInputMessage="1" showErrorMessage="1" errorTitle="Check the value" error="Enter a number between 0 and 1000000." sqref="D18">
      <formula1>0</formula1>
      <formula2>1000000</formula2>
    </dataValidation>
    <dataValidation type="decimal" allowBlank="1" showInputMessage="1" showErrorMessage="1" errorTitle="Check the value" error="Enter a number between 0 and 1000000." sqref="D19">
      <formula1>0</formula1>
      <formula2>1000000</formula2>
    </dataValidation>
    <dataValidation type="decimal" allowBlank="1" showInputMessage="1" showErrorMessage="1" errorTitle="Check the value" error="Enter a number between 0 and 1000000." sqref="D20">
      <formula1>0</formula1>
      <formula2>1000000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&amp;L&amp;"Calibri,Bold"&amp;12&amp;C&amp;"Calibri,Bold"&amp;11Retail Calculator&amp;R&amp;"Calibri,Italic"&amp;9Handmade Product Pricing &amp; Profit Calculator</oddHeader>
    <oddFooter>&amp;L&amp;"Calibri,Italic"&amp;8Novality Store - v1.0.0&amp;C&amp;"Calibri,Italic"&amp;8Page &amp;P of &amp;N&amp;R&amp;"Calibri,Italic"&amp;8&amp;D</oddFooter>
  </headerFooter>
</worksheet>
</file>

<file path=xl/worksheets/sheet13.xml><?xml version="1.0" encoding="utf-8"?>
<worksheet xmlns="http://schemas.openxmlformats.org/spreadsheetml/2006/main" xmlns:r="http://schemas.openxmlformats.org/officeDocument/2006/relationships">
  <sheetPr>
    <tabColor rgb="FF8C4A32"/>
    <pageSetUpPr fitToPage="1"/>
  </sheetPr>
  <dimension ref="A1:L59"/>
  <sheetViews>
    <sheetView showGridLines="0" workbookViewId="0">
      <pane ySplit="4" topLeftCell="A5" activePane="bottomLeft" state="frozen"/>
      <selection pane="bottomLeft"/>
    </sheetView>
  </sheetViews>
  <sheetFormatPr defaultRowHeight="15"/>
  <cols>
    <col min="1" max="1" width="3.2109375" customWidth="1"/>
    <col min="2" max="2" width="32.7109375" style="11" customWidth="1"/>
    <col min="3" max="3" width="11.7109375" style="11" customWidth="1"/>
    <col min="4" max="4" width="15.7109375" customWidth="1"/>
    <col min="5" max="5" width="15.7109375" customWidth="1"/>
    <col min="6" max="6" width="15.7109375" customWidth="1"/>
    <col min="7" max="12" width="14.7109375" style="12" customWidth="1"/>
    <col min="2" max="2" width="32.7109375" customWidth="1"/>
    <col min="3" max="3" width="16.7109375" customWidth="1"/>
    <col min="4" max="4" width="15.7109375" customWidth="1"/>
    <col min="5" max="5" width="15.7109375" customWidth="1"/>
    <col min="6" max="6" width="42.7109375" customWidth="1"/>
    <col min="2" max="2" width="10.7109375" customWidth="1"/>
    <col min="3" max="3" width="14.7109375" customWidth="1"/>
    <col min="4" max="4" width="14.7109375" customWidth="1"/>
    <col min="5" max="5" width="11.7109375" customWidth="1"/>
    <col min="6" max="6" width="12.7109375" customWidth="1"/>
    <col min="7" max="7" width="10.7109375" customWidth="1"/>
    <col min="8" max="8" width="14.7109375" customWidth="1"/>
    <col min="9" max="9" width="14.7109375" customWidth="1"/>
    <col min="2" max="2" width="11.7109375" customWidth="1"/>
    <col min="3" max="3" width="16.7109375" customWidth="1"/>
    <col min="4" max="4" width="14.7109375" customWidth="1"/>
    <col min="5" max="5" width="10.7109375" customWidth="1"/>
    <col min="6" max="6" width="16.7109375" customWidth="1"/>
    <col min="7" max="7" width="15.7109375" customWidth="1"/>
    <col min="8" max="8" width="26.7109375" customWidth="1"/>
  </cols>
  <sheetData>
    <row r="1" spans="1:12" ht="34" customHeight="1">
      <c r="A1" s="2" t="s">
        <v>1104</v>
      </c>
      <c r="B1" s="2"/>
      <c r="C1" s="2"/>
      <c r="D1" s="2"/>
      <c r="E1" s="2"/>
      <c r="F1" s="2"/>
      <c r="G1" s="2"/>
      <c r="H1" s="2"/>
      <c r="I1" s="2"/>
      <c r="J1" s="3" t="s">
        <v>1</v>
      </c>
      <c r="K1" s="3"/>
      <c r="L1" s="3"/>
    </row>
    <row r="2" spans="1:12" ht="18" customHeight="1">
      <c r="A2" s="4" t="s">
        <v>1105</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1106</v>
      </c>
      <c r="B5" s="7"/>
      <c r="C5" s="7"/>
      <c r="D5" s="7"/>
      <c r="E5" s="7"/>
      <c r="F5" s="7"/>
      <c r="G5" s="7"/>
      <c r="H5" s="7"/>
      <c r="I5" s="7"/>
      <c r="J5" s="7"/>
      <c r="K5" s="7"/>
      <c r="L5" s="7"/>
    </row>
    <row r="6" spans="1:12">
      <c r="B6" s="10" t="s">
        <v>354</v>
      </c>
      <c r="C6" s="10"/>
      <c r="D6" s="15" t="s">
        <v>511</v>
      </c>
      <c r="E6" s="15"/>
      <c r="F6" s="15"/>
      <c r="G6" s="12" t="s">
        <v>1107</v>
      </c>
      <c r="H6" s="12"/>
      <c r="I6" s="12"/>
      <c r="J6" s="12"/>
    </row>
    <row r="7" spans="1:12">
      <c r="B7" s="10" t="s">
        <v>1108</v>
      </c>
      <c r="C7" s="10"/>
      <c r="D7" s="19">
        <f>WholesaleDiscount</f>
        <v>0</v>
      </c>
      <c r="E7" s="12" t="s">
        <v>1109</v>
      </c>
      <c r="F7" s="12"/>
      <c r="G7" s="12"/>
      <c r="H7" s="12"/>
    </row>
    <row r="8" spans="1:12">
      <c r="B8" s="10" t="s">
        <v>1110</v>
      </c>
      <c r="C8" s="10"/>
      <c r="D8" s="16">
        <v>24</v>
      </c>
      <c r="E8" s="12" t="s">
        <v>1111</v>
      </c>
      <c r="F8" s="12"/>
      <c r="G8" s="12"/>
      <c r="H8" s="12"/>
    </row>
    <row r="9" spans="1:12">
      <c r="B9" s="10" t="s">
        <v>1112</v>
      </c>
      <c r="C9" s="10"/>
      <c r="D9" s="18">
        <v>0</v>
      </c>
      <c r="E9" s="12" t="s">
        <v>1113</v>
      </c>
      <c r="F9" s="12"/>
      <c r="G9" s="12"/>
      <c r="H9" s="12"/>
    </row>
    <row r="10" spans="1:12">
      <c r="B10" s="10" t="s">
        <v>292</v>
      </c>
      <c r="C10" s="10"/>
      <c r="D10" s="19">
        <f>TargetWholesaleMargin</f>
        <v>0</v>
      </c>
      <c r="E10" s="12" t="s">
        <v>1114</v>
      </c>
      <c r="F10" s="12"/>
      <c r="G10" s="12"/>
      <c r="H10" s="12"/>
    </row>
    <row r="12" spans="1:12" ht="20" customHeight="1">
      <c r="A12" s="7" t="s">
        <v>1115</v>
      </c>
      <c r="B12" s="7"/>
      <c r="C12" s="7"/>
      <c r="D12" s="7"/>
      <c r="E12" s="7"/>
      <c r="F12" s="7"/>
      <c r="G12" s="7"/>
      <c r="H12" s="7"/>
      <c r="I12" s="7"/>
      <c r="J12" s="7"/>
      <c r="K12" s="7"/>
      <c r="L12" s="7"/>
    </row>
    <row r="13" spans="1:12" ht="26" customHeight="1">
      <c r="B13" s="6" t="s">
        <v>1116</v>
      </c>
      <c r="C13" s="6"/>
      <c r="D13" s="6"/>
      <c r="E13" s="6"/>
      <c r="F13" s="6"/>
      <c r="G13" s="6"/>
      <c r="H13" s="6"/>
      <c r="I13" s="6"/>
      <c r="J13" s="6"/>
      <c r="K13" s="6"/>
      <c r="L13" s="6"/>
    </row>
    <row r="14" spans="1:12" ht="26" customHeight="1">
      <c r="B14" s="8" t="s">
        <v>33</v>
      </c>
      <c r="C14" s="9" t="s">
        <v>1028</v>
      </c>
      <c r="D14" s="9" t="s">
        <v>1029</v>
      </c>
      <c r="E14" s="9" t="s">
        <v>1030</v>
      </c>
      <c r="F14" s="9" t="s">
        <v>1117</v>
      </c>
    </row>
    <row r="15" spans="1:12">
      <c r="B15" s="10" t="s">
        <v>17</v>
      </c>
      <c r="C15" s="20">
        <f>IFERROR(INDEX(Products!$T$5:$T$304,MATCH(WcProduct,Products!$B$5:$B$304,0)),0)</f>
        <v>0</v>
      </c>
      <c r="D15" s="18"/>
      <c r="E15" s="20">
        <f>IF(D15&lt;&gt;"",D15,C15)</f>
        <v>0</v>
      </c>
      <c r="F15" s="12" t="s">
        <v>1118</v>
      </c>
      <c r="G15" s="12"/>
      <c r="H15" s="12"/>
      <c r="I15" s="12"/>
      <c r="J15" s="12"/>
      <c r="K15" s="12"/>
      <c r="L15" s="12"/>
    </row>
    <row r="16" spans="1:12">
      <c r="B16" s="10" t="s">
        <v>36</v>
      </c>
      <c r="C16" s="20">
        <f>IFERROR(INDEX(Products!$Z$5:$Z$304,MATCH(WcProduct,Products!$B$5:$B$304,0)),0)</f>
        <v>0</v>
      </c>
      <c r="D16" s="18"/>
      <c r="E16" s="20">
        <f>IF(D16&lt;&gt;"",D16,C16)</f>
        <v>0</v>
      </c>
      <c r="F16" s="12" t="s">
        <v>1119</v>
      </c>
      <c r="G16" s="12"/>
      <c r="H16" s="12"/>
      <c r="I16" s="12"/>
      <c r="J16" s="12"/>
      <c r="K16" s="12"/>
      <c r="L16" s="12"/>
    </row>
    <row r="17" spans="1:12">
      <c r="B17" s="10" t="s">
        <v>473</v>
      </c>
      <c r="C17" s="20">
        <f>IFERROR(INDEX(Products!$AA$5:$AA$304,MATCH(WcProduct,Products!$B$5:$B$304,0)),0)</f>
        <v>0</v>
      </c>
      <c r="D17" s="18"/>
      <c r="E17" s="20">
        <f>IF(D17&lt;&gt;"",D17,C17)</f>
        <v>0</v>
      </c>
      <c r="F17" s="12" t="s">
        <v>1120</v>
      </c>
      <c r="G17" s="12"/>
      <c r="H17" s="12"/>
      <c r="I17" s="12"/>
      <c r="J17" s="12"/>
      <c r="K17" s="12"/>
      <c r="L17" s="12"/>
    </row>
    <row r="18" spans="1:12">
      <c r="B18" s="10" t="s">
        <v>1121</v>
      </c>
      <c r="C18" s="20">
        <f>0.35</f>
        <v>0</v>
      </c>
      <c r="D18" s="18"/>
      <c r="E18" s="20">
        <f>IF(D18&lt;&gt;"",D18,C18)</f>
        <v>0</v>
      </c>
      <c r="F18" s="12" t="s">
        <v>1122</v>
      </c>
      <c r="G18" s="12"/>
      <c r="H18" s="12"/>
      <c r="I18" s="12"/>
      <c r="J18" s="12"/>
      <c r="K18" s="12"/>
      <c r="L18" s="12"/>
    </row>
    <row r="19" spans="1:12">
      <c r="B19" s="10" t="s">
        <v>72</v>
      </c>
      <c r="C19" s="20">
        <f>IFERROR(INDEX(Products!$AS$5:$AS$304,MATCH(WcProduct,Products!$B$5:$B$304,0)),0)</f>
        <v>0</v>
      </c>
      <c r="D19" s="18"/>
      <c r="E19" s="20">
        <f>IF(D19&lt;&gt;"",D19,C19)</f>
        <v>0</v>
      </c>
      <c r="F19" s="12" t="s">
        <v>1123</v>
      </c>
      <c r="G19" s="12"/>
      <c r="H19" s="12"/>
      <c r="I19" s="12"/>
      <c r="J19" s="12"/>
      <c r="K19" s="12"/>
      <c r="L19" s="12"/>
    </row>
    <row r="20" spans="1:12">
      <c r="B20" s="48" t="s">
        <v>584</v>
      </c>
      <c r="E20" s="49">
        <f>ROUND(SUM(E15:E19),2)</f>
        <v>0</v>
      </c>
    </row>
    <row r="22" spans="1:12" ht="20" customHeight="1">
      <c r="A22" s="7" t="s">
        <v>1124</v>
      </c>
      <c r="B22" s="7"/>
      <c r="C22" s="7"/>
      <c r="D22" s="7"/>
      <c r="E22" s="7"/>
      <c r="F22" s="7"/>
      <c r="G22" s="7"/>
      <c r="H22" s="7"/>
      <c r="I22" s="7"/>
      <c r="J22" s="7"/>
      <c r="K22" s="7"/>
      <c r="L22" s="7"/>
    </row>
    <row r="23" spans="1:12" ht="17" customHeight="1">
      <c r="B23" s="51" t="s">
        <v>1125</v>
      </c>
      <c r="C23" s="51"/>
      <c r="D23" s="51"/>
      <c r="E23" s="51"/>
      <c r="F23" s="51"/>
      <c r="G23" s="51"/>
      <c r="H23" s="51"/>
      <c r="I23" s="51"/>
      <c r="J23" s="51"/>
      <c r="K23" s="51"/>
      <c r="L23" s="51"/>
    </row>
    <row r="24" spans="1:12">
      <c r="B24" s="10" t="s">
        <v>1126</v>
      </c>
      <c r="D24" s="20">
        <f>IFERROR(INDEX(Products!$AR$5:$AR$304,MATCH(WcProduct,Products!$B$5:$B$304,0)),"")</f>
        <v>0</v>
      </c>
      <c r="E24" s="12" t="s">
        <v>1127</v>
      </c>
      <c r="F24" s="12"/>
      <c r="G24" s="12"/>
      <c r="H24" s="12"/>
      <c r="I24" s="12"/>
      <c r="J24" s="12"/>
      <c r="K24" s="12"/>
      <c r="L24" s="12"/>
    </row>
    <row r="25" spans="1:12">
      <c r="B25" s="10" t="s">
        <v>495</v>
      </c>
      <c r="D25" s="20">
        <f>IF(WcRetail="","",ROUND(WcRetail*(1-WcDiscount),2))</f>
        <v>0</v>
      </c>
      <c r="E25" s="12" t="s">
        <v>1128</v>
      </c>
      <c r="F25" s="12"/>
      <c r="G25" s="12"/>
      <c r="H25" s="12"/>
      <c r="I25" s="12"/>
      <c r="J25" s="12"/>
      <c r="K25" s="12"/>
      <c r="L25" s="12"/>
    </row>
    <row r="26" spans="1:12">
      <c r="B26" s="10" t="s">
        <v>1129</v>
      </c>
      <c r="D26" s="20">
        <f>IF(WcPrice="","",ROUND(WcPrice-WcCost-WcCarriage/MAX(1,WcQty),2))</f>
        <v>0</v>
      </c>
      <c r="E26" s="12" t="s">
        <v>1130</v>
      </c>
      <c r="F26" s="12"/>
      <c r="G26" s="12"/>
      <c r="H26" s="12"/>
      <c r="I26" s="12"/>
      <c r="J26" s="12"/>
      <c r="K26" s="12"/>
      <c r="L26" s="12"/>
    </row>
    <row r="27" spans="1:12">
      <c r="B27" s="10" t="s">
        <v>497</v>
      </c>
      <c r="D27" s="33">
        <f>IF(OR(WcPrice="",WcPrice=0),"",WcProfit/WcPrice)</f>
        <v>0</v>
      </c>
      <c r="E27" s="12" t="s">
        <v>1131</v>
      </c>
      <c r="F27" s="12"/>
      <c r="G27" s="12"/>
      <c r="H27" s="12"/>
      <c r="I27" s="12"/>
      <c r="J27" s="12"/>
      <c r="K27" s="12"/>
      <c r="L27" s="12"/>
    </row>
    <row r="28" spans="1:12">
      <c r="B28" s="10" t="s">
        <v>492</v>
      </c>
      <c r="D28" s="20">
        <f>IF(OR(WcPrice="",IFERROR(INDEX(Products!$Y$5:$Y$304,MATCH(WcProduct,Products!$B$5:$B$304,0)),0)=0),"",ROUND((WcProfit+WcLabUsed)/IFERROR(INDEX(Products!$Y$5:$Y$304,MATCH(WcProduct,Products!$B$5:$B$304,0)),1),2))</f>
        <v>0</v>
      </c>
      <c r="E28" s="12" t="s">
        <v>1132</v>
      </c>
      <c r="F28" s="12"/>
      <c r="G28" s="12"/>
      <c r="H28" s="12"/>
      <c r="I28" s="12"/>
      <c r="J28" s="12"/>
      <c r="K28" s="12"/>
      <c r="L28" s="12"/>
    </row>
    <row r="30" spans="1:12" ht="17" customHeight="1">
      <c r="B30" s="51" t="s">
        <v>1133</v>
      </c>
      <c r="C30" s="51"/>
      <c r="D30" s="51"/>
      <c r="E30" s="51"/>
      <c r="F30" s="51"/>
      <c r="G30" s="51"/>
      <c r="H30" s="51"/>
      <c r="I30" s="51"/>
      <c r="J30" s="51"/>
      <c r="K30" s="51"/>
      <c r="L30" s="51"/>
    </row>
    <row r="31" spans="1:12">
      <c r="B31" s="10" t="s">
        <v>1134</v>
      </c>
      <c r="D31" s="20">
        <f>IF(WcTarget&gt;=1,"",ROUND((WcCost+WcCarriage/MAX(1,WcQty))/(1-WcTarget),2))</f>
        <v>0</v>
      </c>
      <c r="E31" s="12" t="s">
        <v>1135</v>
      </c>
      <c r="F31" s="12"/>
      <c r="G31" s="12"/>
      <c r="H31" s="12"/>
      <c r="I31" s="12"/>
      <c r="J31" s="12"/>
      <c r="K31" s="12"/>
      <c r="L31" s="12"/>
    </row>
    <row r="32" spans="1:12">
      <c r="B32" s="10" t="s">
        <v>1136</v>
      </c>
      <c r="D32" s="20">
        <f>IF(OR(WcNeedWholesale="",WcDiscount&gt;=1),"",ROUND(IF(RoundingRule="None",(WcNeedWholesale/(1-WcDiscount)),IF(RoundingRule="Nearest 0.99",MAX(0.99,CEILING((WcNeedWholesale/(1-WcDiscount)),1)-0.01),IF(RoundingRule="Nearest 0.95",MAX(0.95,CEILING((WcNeedWholesale/(1-WcDiscount)),1)-0.05),IF(RoundingRule="Nearest 0.50",CEILING((WcNeedWholesale/(1-WcDiscount)),0.5),IF(RoundingRule="Nearest 1",CEILING((WcNeedWholesale/(1-WcDiscount)),1),IF(RoundingRule="Nearest 5",CEILING((WcNeedWholesale/(1-WcDiscount)),5),IF(RoundingRule="Up to whole 1",CEILING((WcNeedWholesale/(1-WcDiscount)),1),IF(RoundingRule="Up to whole 5",CEILING((WcNeedWholesale/(1-WcDiscount)),5),ROUND((WcNeedWholesale/(1-WcDiscount)),2))))))))),2))</f>
        <v>0</v>
      </c>
      <c r="E32" s="12" t="s">
        <v>1137</v>
      </c>
      <c r="F32" s="12"/>
      <c r="G32" s="12"/>
      <c r="H32" s="12"/>
      <c r="I32" s="12"/>
      <c r="J32" s="12"/>
      <c r="K32" s="12"/>
      <c r="L32" s="12"/>
    </row>
    <row r="33" spans="1:12">
      <c r="B33" s="10" t="s">
        <v>1138</v>
      </c>
      <c r="D33" s="20">
        <f>IF(OR(WcRetail="",WcNeedRetail=""),"",ROUND(WcNeedRetail-WcRetail,2))</f>
        <v>0</v>
      </c>
      <c r="E33" s="12" t="s">
        <v>1139</v>
      </c>
      <c r="F33" s="12"/>
      <c r="G33" s="12"/>
      <c r="H33" s="12"/>
      <c r="I33" s="12"/>
      <c r="J33" s="12"/>
      <c r="K33" s="12"/>
      <c r="L33" s="12"/>
    </row>
    <row r="34" spans="1:12">
      <c r="B34" s="10" t="s">
        <v>1140</v>
      </c>
      <c r="D34" s="20">
        <f>ROUND(WcCost*4,2)</f>
        <v>0</v>
      </c>
      <c r="E34" s="12" t="s">
        <v>1141</v>
      </c>
      <c r="F34" s="12"/>
      <c r="G34" s="12"/>
      <c r="H34" s="12"/>
      <c r="I34" s="12"/>
      <c r="J34" s="12"/>
      <c r="K34" s="12"/>
      <c r="L34" s="12"/>
    </row>
    <row r="36" spans="1:12" ht="20" customHeight="1">
      <c r="A36" s="7" t="s">
        <v>1142</v>
      </c>
      <c r="B36" s="7"/>
      <c r="C36" s="7"/>
      <c r="D36" s="7"/>
      <c r="E36" s="7"/>
      <c r="F36" s="7"/>
      <c r="G36" s="7"/>
      <c r="H36" s="7"/>
      <c r="I36" s="7"/>
      <c r="J36" s="7"/>
      <c r="K36" s="7"/>
      <c r="L36" s="7"/>
    </row>
    <row r="37" spans="1:12" ht="26" customHeight="1">
      <c r="B37" s="8" t="s">
        <v>1143</v>
      </c>
      <c r="C37" s="9" t="s">
        <v>1144</v>
      </c>
      <c r="D37" s="9" t="s">
        <v>1145</v>
      </c>
      <c r="E37" s="9" t="s">
        <v>1146</v>
      </c>
      <c r="F37" s="9" t="s">
        <v>421</v>
      </c>
      <c r="G37" s="9" t="s">
        <v>42</v>
      </c>
      <c r="H37" s="9" t="s">
        <v>1147</v>
      </c>
      <c r="I37" s="9" t="s">
        <v>491</v>
      </c>
    </row>
    <row r="38" spans="1:12">
      <c r="B38" s="32">
        <f>WcQty</f>
        <v>0</v>
      </c>
      <c r="C38" s="20">
        <f>IF(WcPrice="","",ROUND(WcQty*WcPrice,2))</f>
        <v>0</v>
      </c>
      <c r="D38" s="20">
        <f>ROUND(WcQty*WcCost,2)</f>
        <v>0</v>
      </c>
      <c r="E38" s="20">
        <f>WcCarriage</f>
        <v>0</v>
      </c>
      <c r="F38" s="20">
        <f>IF(C38="","",ROUND(C38-D38-E38,2))</f>
        <v>0</v>
      </c>
      <c r="G38" s="33">
        <f>IF(OR(C38="",C38=0),"",F38/C38)</f>
        <v>0</v>
      </c>
      <c r="H38" s="36">
        <f>ROUND(WcQty*IFERROR(INDEX(Products!$Y$5:$Y$304,MATCH(WcProduct,Products!$B$5:$B$304,0)),0),1)</f>
        <v>0</v>
      </c>
      <c r="I38" s="20">
        <f>IF(OR(H38=0,F38=""),"",ROUND(F38/H38,2))</f>
        <v>0</v>
      </c>
    </row>
    <row r="39" spans="1:12">
      <c r="B39" s="12" t="s">
        <v>1148</v>
      </c>
      <c r="C39" s="12"/>
      <c r="D39" s="12"/>
      <c r="E39" s="12"/>
      <c r="F39" s="12"/>
      <c r="G39" s="12"/>
      <c r="H39" s="12"/>
      <c r="I39" s="12"/>
      <c r="J39" s="12"/>
      <c r="K39" s="12"/>
      <c r="L39" s="12"/>
    </row>
    <row r="41" spans="1:12" ht="20" customHeight="1">
      <c r="A41" s="7" t="s">
        <v>1149</v>
      </c>
      <c r="B41" s="7"/>
      <c r="C41" s="7"/>
      <c r="D41" s="7"/>
      <c r="E41" s="7"/>
      <c r="F41" s="7"/>
      <c r="G41" s="7"/>
      <c r="H41" s="7"/>
      <c r="I41" s="7"/>
      <c r="J41" s="7"/>
      <c r="K41" s="7"/>
      <c r="L41" s="7"/>
    </row>
    <row r="42" spans="1:12" ht="26" customHeight="1">
      <c r="B42" s="6" t="s">
        <v>1150</v>
      </c>
      <c r="C42" s="6"/>
      <c r="D42" s="6"/>
      <c r="E42" s="6"/>
      <c r="F42" s="6"/>
      <c r="G42" s="6"/>
      <c r="H42" s="6"/>
      <c r="I42" s="6"/>
      <c r="J42" s="6"/>
      <c r="K42" s="6"/>
      <c r="L42" s="6"/>
    </row>
    <row r="43" spans="1:12" ht="26" customHeight="1">
      <c r="B43" s="8" t="s">
        <v>1151</v>
      </c>
      <c r="C43" s="9" t="s">
        <v>495</v>
      </c>
      <c r="D43" s="9" t="s">
        <v>1129</v>
      </c>
      <c r="E43" s="9" t="s">
        <v>42</v>
      </c>
      <c r="F43" s="9" t="s">
        <v>492</v>
      </c>
      <c r="G43" s="9" t="s">
        <v>1152</v>
      </c>
      <c r="H43" s="9" t="s">
        <v>1096</v>
      </c>
    </row>
    <row r="44" spans="1:12">
      <c r="B44" s="37">
        <v>0.3</v>
      </c>
      <c r="C44" s="20">
        <f>IF(WcRetail="","",ROUND(WcRetail*0.7,2))</f>
        <v>0</v>
      </c>
      <c r="D44" s="20">
        <f>IF(C44="","",ROUND(C44-WcCost-WcCarriage/MAX(1,WcQty),2))</f>
        <v>0</v>
      </c>
      <c r="E44" s="33">
        <f>IF(OR(C44="",C44=0),"",D44/C44)</f>
        <v>0</v>
      </c>
      <c r="F44" s="20">
        <f>IF(OR(C44="",IFERROR(INDEX(Products!$Y$5:$Y$304,MATCH(WcProduct,Products!$B$5:$B$304,0)),0)=0),"",ROUND((D44+WcLabUsed)/IFERROR(INDEX(Products!$Y$5:$Y$304,MATCH(WcProduct,Products!$B$5:$B$304,0)),0),2))</f>
        <v>0</v>
      </c>
      <c r="G44" s="20">
        <f>IF(D44="","",ROUND(D44*WcQty,2))</f>
        <v>0</v>
      </c>
      <c r="H44" s="13">
        <f>IF(C44="","",IF(D44&lt;0,"No - below cost",IF(E44&lt;0.1,"No - nothing left in it",IF(E44&lt;WcTarget,"Thin - only for a big order","Workable"))))</f>
        <v>0</v>
      </c>
    </row>
    <row r="45" spans="1:12">
      <c r="B45" s="37">
        <v>0.35</v>
      </c>
      <c r="C45" s="20">
        <f>IF(WcRetail="","",ROUND(WcRetail*0.65,2))</f>
        <v>0</v>
      </c>
      <c r="D45" s="20">
        <f>IF(C45="","",ROUND(C45-WcCost-WcCarriage/MAX(1,WcQty),2))</f>
        <v>0</v>
      </c>
      <c r="E45" s="33">
        <f>IF(OR(C45="",C45=0),"",D45/C45)</f>
        <v>0</v>
      </c>
      <c r="F45" s="20">
        <f>IF(OR(C45="",IFERROR(INDEX(Products!$Y$5:$Y$304,MATCH(WcProduct,Products!$B$5:$B$304,0)),0)=0),"",ROUND((D45+WcLabUsed)/IFERROR(INDEX(Products!$Y$5:$Y$304,MATCH(WcProduct,Products!$B$5:$B$304,0)),0),2))</f>
        <v>0</v>
      </c>
      <c r="G45" s="20">
        <f>IF(D45="","",ROUND(D45*WcQty,2))</f>
        <v>0</v>
      </c>
      <c r="H45" s="13">
        <f>IF(C45="","",IF(D45&lt;0,"No - below cost",IF(E45&lt;0.1,"No - nothing left in it",IF(E45&lt;WcTarget,"Thin - only for a big order","Workable"))))</f>
        <v>0</v>
      </c>
    </row>
    <row r="46" spans="1:12">
      <c r="B46" s="37">
        <v>0.4</v>
      </c>
      <c r="C46" s="20">
        <f>IF(WcRetail="","",ROUND(WcRetail*0.6,2))</f>
        <v>0</v>
      </c>
      <c r="D46" s="20">
        <f>IF(C46="","",ROUND(C46-WcCost-WcCarriage/MAX(1,WcQty),2))</f>
        <v>0</v>
      </c>
      <c r="E46" s="33">
        <f>IF(OR(C46="",C46=0),"",D46/C46)</f>
        <v>0</v>
      </c>
      <c r="F46" s="20">
        <f>IF(OR(C46="",IFERROR(INDEX(Products!$Y$5:$Y$304,MATCH(WcProduct,Products!$B$5:$B$304,0)),0)=0),"",ROUND((D46+WcLabUsed)/IFERROR(INDEX(Products!$Y$5:$Y$304,MATCH(WcProduct,Products!$B$5:$B$304,0)),0),2))</f>
        <v>0</v>
      </c>
      <c r="G46" s="20">
        <f>IF(D46="","",ROUND(D46*WcQty,2))</f>
        <v>0</v>
      </c>
      <c r="H46" s="13">
        <f>IF(C46="","",IF(D46&lt;0,"No - below cost",IF(E46&lt;0.1,"No - nothing left in it",IF(E46&lt;WcTarget,"Thin - only for a big order","Workable"))))</f>
        <v>0</v>
      </c>
    </row>
    <row r="47" spans="1:12">
      <c r="B47" s="37">
        <v>0.45</v>
      </c>
      <c r="C47" s="20">
        <f>IF(WcRetail="","",ROUND(WcRetail*0.55,2))</f>
        <v>0</v>
      </c>
      <c r="D47" s="20">
        <f>IF(C47="","",ROUND(C47-WcCost-WcCarriage/MAX(1,WcQty),2))</f>
        <v>0</v>
      </c>
      <c r="E47" s="33">
        <f>IF(OR(C47="",C47=0),"",D47/C47)</f>
        <v>0</v>
      </c>
      <c r="F47" s="20">
        <f>IF(OR(C47="",IFERROR(INDEX(Products!$Y$5:$Y$304,MATCH(WcProduct,Products!$B$5:$B$304,0)),0)=0),"",ROUND((D47+WcLabUsed)/IFERROR(INDEX(Products!$Y$5:$Y$304,MATCH(WcProduct,Products!$B$5:$B$304,0)),0),2))</f>
        <v>0</v>
      </c>
      <c r="G47" s="20">
        <f>IF(D47="","",ROUND(D47*WcQty,2))</f>
        <v>0</v>
      </c>
      <c r="H47" s="13">
        <f>IF(C47="","",IF(D47&lt;0,"No - below cost",IF(E47&lt;0.1,"No - nothing left in it",IF(E47&lt;WcTarget,"Thin - only for a big order","Workable"))))</f>
        <v>0</v>
      </c>
    </row>
    <row r="48" spans="1:12">
      <c r="B48" s="37">
        <v>0.5</v>
      </c>
      <c r="C48" s="20">
        <f>IF(WcRetail="","",ROUND(WcRetail*0.5,2))</f>
        <v>0</v>
      </c>
      <c r="D48" s="20">
        <f>IF(C48="","",ROUND(C48-WcCost-WcCarriage/MAX(1,WcQty),2))</f>
        <v>0</v>
      </c>
      <c r="E48" s="33">
        <f>IF(OR(C48="",C48=0),"",D48/C48)</f>
        <v>0</v>
      </c>
      <c r="F48" s="20">
        <f>IF(OR(C48="",IFERROR(INDEX(Products!$Y$5:$Y$304,MATCH(WcProduct,Products!$B$5:$B$304,0)),0)=0),"",ROUND((D48+WcLabUsed)/IFERROR(INDEX(Products!$Y$5:$Y$304,MATCH(WcProduct,Products!$B$5:$B$304,0)),0),2))</f>
        <v>0</v>
      </c>
      <c r="G48" s="20">
        <f>IF(D48="","",ROUND(D48*WcQty,2))</f>
        <v>0</v>
      </c>
      <c r="H48" s="13">
        <f>IF(C48="","",IF(D48&lt;0,"No - below cost",IF(E48&lt;0.1,"No - nothing left in it",IF(E48&lt;WcTarget,"Thin - only for a big order","Workable"))))</f>
        <v>0</v>
      </c>
    </row>
    <row r="49" spans="1:12">
      <c r="B49" s="37">
        <v>0.55</v>
      </c>
      <c r="C49" s="20">
        <f>IF(WcRetail="","",ROUND(WcRetail*0.44999999999999996,2))</f>
        <v>0</v>
      </c>
      <c r="D49" s="20">
        <f>IF(C49="","",ROUND(C49-WcCost-WcCarriage/MAX(1,WcQty),2))</f>
        <v>0</v>
      </c>
      <c r="E49" s="33">
        <f>IF(OR(C49="",C49=0),"",D49/C49)</f>
        <v>0</v>
      </c>
      <c r="F49" s="20">
        <f>IF(OR(C49="",IFERROR(INDEX(Products!$Y$5:$Y$304,MATCH(WcProduct,Products!$B$5:$B$304,0)),0)=0),"",ROUND((D49+WcLabUsed)/IFERROR(INDEX(Products!$Y$5:$Y$304,MATCH(WcProduct,Products!$B$5:$B$304,0)),0),2))</f>
        <v>0</v>
      </c>
      <c r="G49" s="20">
        <f>IF(D49="","",ROUND(D49*WcQty,2))</f>
        <v>0</v>
      </c>
      <c r="H49" s="13">
        <f>IF(C49="","",IF(D49&lt;0,"No - below cost",IF(E49&lt;0.1,"No - nothing left in it",IF(E49&lt;WcTarget,"Thin - only for a big order","Workable"))))</f>
        <v>0</v>
      </c>
    </row>
    <row r="50" spans="1:12">
      <c r="B50" s="37">
        <v>0.6</v>
      </c>
      <c r="C50" s="20">
        <f>IF(WcRetail="","",ROUND(WcRetail*0.4,2))</f>
        <v>0</v>
      </c>
      <c r="D50" s="20">
        <f>IF(C50="","",ROUND(C50-WcCost-WcCarriage/MAX(1,WcQty),2))</f>
        <v>0</v>
      </c>
      <c r="E50" s="33">
        <f>IF(OR(C50="",C50=0),"",D50/C50)</f>
        <v>0</v>
      </c>
      <c r="F50" s="20">
        <f>IF(OR(C50="",IFERROR(INDEX(Products!$Y$5:$Y$304,MATCH(WcProduct,Products!$B$5:$B$304,0)),0)=0),"",ROUND((D50+WcLabUsed)/IFERROR(INDEX(Products!$Y$5:$Y$304,MATCH(WcProduct,Products!$B$5:$B$304,0)),0),2))</f>
        <v>0</v>
      </c>
      <c r="G50" s="20">
        <f>IF(D50="","",ROUND(D50*WcQty,2))</f>
        <v>0</v>
      </c>
      <c r="H50" s="13">
        <f>IF(C50="","",IF(D50&lt;0,"No - below cost",IF(E50&lt;0.1,"No - nothing left in it",IF(E50&lt;WcTarget,"Thin - only for a big order","Workable"))))</f>
        <v>0</v>
      </c>
    </row>
    <row r="52" spans="1:12" ht="20" customHeight="1">
      <c r="A52" s="7" t="s">
        <v>1153</v>
      </c>
      <c r="B52" s="7"/>
      <c r="C52" s="7"/>
      <c r="D52" s="7"/>
      <c r="E52" s="7"/>
      <c r="F52" s="7"/>
      <c r="G52" s="7"/>
      <c r="H52" s="7"/>
      <c r="I52" s="7"/>
      <c r="J52" s="7"/>
      <c r="K52" s="7"/>
      <c r="L52" s="7"/>
    </row>
    <row r="53" spans="1:12">
      <c r="B53" s="10" t="s">
        <v>1154</v>
      </c>
      <c r="C53" s="13">
        <f>IF(WcPrice="","Pick a product first",IF(WcProfit&gt;0,"Yes - there is profit in every piece","No - every piece loses money at this discount"))</f>
        <v>0</v>
      </c>
      <c r="D53" s="13"/>
      <c r="E53" s="13"/>
      <c r="F53" s="13"/>
      <c r="G53" s="13"/>
      <c r="H53" s="13"/>
      <c r="I53" s="13"/>
      <c r="J53" s="13"/>
      <c r="K53" s="13"/>
      <c r="L53" s="13"/>
    </row>
    <row r="54" spans="1:12">
      <c r="B54" s="10" t="s">
        <v>1155</v>
      </c>
      <c r="C54" s="13">
        <f>IF(OR(WcWage="",WcWage=0),"Add the labour minutes first",IF(WcWage&gt;=MinimumWage,"Yes - above minimum wage","No - you would be paying to make them"))</f>
        <v>0</v>
      </c>
      <c r="D54" s="13"/>
      <c r="E54" s="13"/>
      <c r="F54" s="13"/>
      <c r="G54" s="13"/>
      <c r="H54" s="13"/>
      <c r="I54" s="13"/>
      <c r="J54" s="13"/>
      <c r="K54" s="13"/>
      <c r="L54" s="13"/>
    </row>
    <row r="55" spans="1:12">
      <c r="B55" s="10" t="s">
        <v>1156</v>
      </c>
      <c r="C55" s="13">
        <f>IF(WcGap="","-",IF(WcGap&lt;=0,"Yes - your retail price has room in it","No - retail needs to be "&amp;TEXT(WcNeedRetail,"0.00")&amp;" for this to work"))</f>
        <v>0</v>
      </c>
      <c r="D55" s="13"/>
      <c r="E55" s="13"/>
      <c r="F55" s="13"/>
      <c r="G55" s="13"/>
      <c r="H55" s="13"/>
      <c r="I55" s="13"/>
      <c r="J55" s="13"/>
      <c r="K55" s="13"/>
      <c r="L55" s="13"/>
    </row>
    <row r="56" spans="1:12">
      <c r="B56" s="10" t="s">
        <v>1157</v>
      </c>
      <c r="C56" s="13">
        <f>IF(WcPrice="","-",IF(AND(WcQty*WcPrice&gt;=MinOrderValue,WcQty&gt;=MinOrderQty),"Yes - above your minimum order","Check - below the minimum on your Settings tab"))</f>
        <v>0</v>
      </c>
      <c r="D56" s="13"/>
      <c r="E56" s="13"/>
      <c r="F56" s="13"/>
      <c r="G56" s="13"/>
      <c r="H56" s="13"/>
      <c r="I56" s="13"/>
      <c r="J56" s="13"/>
      <c r="K56" s="13"/>
      <c r="L56" s="13"/>
    </row>
    <row r="57" spans="1:12">
      <c r="B57" s="10" t="s">
        <v>1158</v>
      </c>
      <c r="C57" s="13">
        <f>IF(IFERROR(INDEX(Products!$Y$5:$Y$304,MATCH(WcProduct,Products!$B$5:$B$304,0)),0)=0,"Add the labour minutes to find out","It is "&amp;TEXT(WcQty*IFERROR(INDEX(Products!$Y$5:$Y$304,MATCH(WcProduct,Products!$B$5:$B$304,0)),0),"0.0")&amp;" hours of making - about "&amp;TEXT(ROUNDUP(WcQty*IFERROR(INDEX(Products!$Y$5:$Y$304,MATCH(WcProduct,Products!$B$5:$B$304,0)),0)/8,0),"0")&amp;" full days")</f>
        <v>0</v>
      </c>
      <c r="D57" s="13"/>
      <c r="E57" s="13"/>
      <c r="F57" s="13"/>
      <c r="G57" s="13"/>
      <c r="H57" s="13"/>
      <c r="I57" s="13"/>
      <c r="J57" s="13"/>
      <c r="K57" s="13"/>
      <c r="L57" s="13"/>
    </row>
    <row r="59" spans="1:12" ht="30" customHeight="1">
      <c r="B59" s="6" t="s">
        <v>1159</v>
      </c>
      <c r="C59" s="6"/>
      <c r="D59" s="6"/>
      <c r="E59" s="6"/>
      <c r="F59" s="6"/>
      <c r="G59" s="6"/>
      <c r="H59" s="6"/>
      <c r="I59" s="6"/>
      <c r="J59" s="6"/>
      <c r="K59" s="6"/>
      <c r="L59" s="6"/>
    </row>
  </sheetData>
  <sheetProtection password="EC7C" sheet="1" objects="1" scenarios="1" formatCells="0" formatColumns="0" formatRows="0" insertRows="0" insertHyperlinks="0" deleteRows="0" autoFilter="0"/>
  <mergeCells count="51">
    <mergeCell ref="A1:I1"/>
    <mergeCell ref="J1:L1"/>
    <mergeCell ref="A2:L2"/>
    <mergeCell ref="A3:B3"/>
    <mergeCell ref="C3:D3"/>
    <mergeCell ref="E3:F3"/>
    <mergeCell ref="G3:H3"/>
    <mergeCell ref="I3:J3"/>
    <mergeCell ref="K3:L3"/>
    <mergeCell ref="A5:L5"/>
    <mergeCell ref="B6:C6"/>
    <mergeCell ref="D6:F6"/>
    <mergeCell ref="G6:J6"/>
    <mergeCell ref="B7:C7"/>
    <mergeCell ref="E7:H7"/>
    <mergeCell ref="B8:C8"/>
    <mergeCell ref="E8:H8"/>
    <mergeCell ref="B9:C9"/>
    <mergeCell ref="E9:H9"/>
    <mergeCell ref="B10:C10"/>
    <mergeCell ref="E10:H10"/>
    <mergeCell ref="A12:L12"/>
    <mergeCell ref="B13:L13"/>
    <mergeCell ref="F15:L15"/>
    <mergeCell ref="F16:L16"/>
    <mergeCell ref="F17:L17"/>
    <mergeCell ref="F18:L18"/>
    <mergeCell ref="F19:L19"/>
    <mergeCell ref="A22:L22"/>
    <mergeCell ref="B23:L23"/>
    <mergeCell ref="E24:L24"/>
    <mergeCell ref="E25:L25"/>
    <mergeCell ref="E26:L26"/>
    <mergeCell ref="E27:L27"/>
    <mergeCell ref="E28:L28"/>
    <mergeCell ref="B30:L30"/>
    <mergeCell ref="E31:L31"/>
    <mergeCell ref="E32:L32"/>
    <mergeCell ref="E33:L33"/>
    <mergeCell ref="E34:L34"/>
    <mergeCell ref="A36:L36"/>
    <mergeCell ref="B39:L39"/>
    <mergeCell ref="A41:L41"/>
    <mergeCell ref="B42:L42"/>
    <mergeCell ref="A52:L52"/>
    <mergeCell ref="C53:L53"/>
    <mergeCell ref="C54:L54"/>
    <mergeCell ref="C55:L55"/>
    <mergeCell ref="C56:L56"/>
    <mergeCell ref="C57:L57"/>
    <mergeCell ref="B59:L59"/>
  </mergeCells>
  <conditionalFormatting sqref="C53:C57">
    <cfRule type="containsText" dxfId="2" priority="8" operator="containsText" text="No -">
      <formula>NOT(ISERROR(SEARCH("No -",C53)))</formula>
    </cfRule>
    <cfRule type="containsText" dxfId="1" priority="9" operator="containsText" text="Yes -">
      <formula>NOT(ISERROR(SEARCH("Yes -",C53)))</formula>
    </cfRule>
    <cfRule type="containsText" dxfId="0" priority="10" operator="containsText" text="Check">
      <formula>NOT(ISERROR(SEARCH("Check",C53)))</formula>
    </cfRule>
  </conditionalFormatting>
  <conditionalFormatting sqref="D27">
    <cfRule type="cellIs" dxfId="0" priority="1" operator="lessThan">
      <formula>WcTarget</formula>
    </cfRule>
    <cfRule type="cellIs" dxfId="2" priority="2" operator="lessThan">
      <formula>0</formula>
    </cfRule>
  </conditionalFormatting>
  <conditionalFormatting sqref="D44:D50">
    <cfRule type="cellIs" dxfId="2" priority="5" operator="lessThan">
      <formula>0</formula>
    </cfRule>
  </conditionalFormatting>
  <conditionalFormatting sqref="F38">
    <cfRule type="cellIs" dxfId="2" priority="3" operator="lessThan">
      <formula>0</formula>
    </cfRule>
  </conditionalFormatting>
  <conditionalFormatting sqref="H44:H50">
    <cfRule type="containsText" dxfId="2" priority="6" operator="containsText" text="No -">
      <formula>NOT(ISERROR(SEARCH("No -",H44)))</formula>
    </cfRule>
    <cfRule type="containsText" dxfId="1" priority="7" operator="containsText" text="Workable">
      <formula>NOT(ISERROR(SEARCH("Workable",H44)))</formula>
    </cfRule>
  </conditionalFormatting>
  <conditionalFormatting sqref="I38">
    <cfRule type="cellIs" dxfId="2" priority="4" operator="lessThan">
      <formula>MinimumWage</formula>
    </cfRule>
  </conditionalFormatting>
  <dataValidations count="10">
    <dataValidation type="list" allowBlank="1" showInputMessage="1" showErrorMessage="1" sqref="D6">
      <formula1>ProductNames</formula1>
    </dataValidation>
    <dataValidation type="decimal" allowBlank="1" showInputMessage="1" showErrorMessage="1" errorTitle="Check the value" error="Enter a number between 0 and 0.9." sqref="D7">
      <formula1>0</formula1>
      <formula2>0.9</formula2>
    </dataValidation>
    <dataValidation type="whole" allowBlank="1" showInputMessage="1" showErrorMessage="1" errorTitle="Check the value" error="Enter a number between 1 and 100000." sqref="D8">
      <formula1>1</formula1>
      <formula2>100000</formula2>
    </dataValidation>
    <dataValidation type="decimal" allowBlank="1" showInputMessage="1" showErrorMessage="1" errorTitle="Check the value" error="Enter a number between 0 and 100000." sqref="D9">
      <formula1>0</formula1>
      <formula2>100000</formula2>
    </dataValidation>
    <dataValidation type="decimal" allowBlank="1" showInputMessage="1" showErrorMessage="1" errorTitle="Check the value" error="Enter a number between 0 and 0.95." sqref="D10">
      <formula1>0</formula1>
      <formula2>0.95</formula2>
    </dataValidation>
    <dataValidation type="decimal" allowBlank="1" showInputMessage="1" showErrorMessage="1" errorTitle="Check the value" error="Enter a number between 0 and 1000000." sqref="D15">
      <formula1>0</formula1>
      <formula2>1000000</formula2>
    </dataValidation>
    <dataValidation type="decimal" allowBlank="1" showInputMessage="1" showErrorMessage="1" errorTitle="Check the value" error="Enter a number between 0 and 1000000." sqref="D16">
      <formula1>0</formula1>
      <formula2>1000000</formula2>
    </dataValidation>
    <dataValidation type="decimal" allowBlank="1" showInputMessage="1" showErrorMessage="1" errorTitle="Check the value" error="Enter a number between 0 and 1000000." sqref="D17">
      <formula1>0</formula1>
      <formula2>1000000</formula2>
    </dataValidation>
    <dataValidation type="decimal" allowBlank="1" showInputMessage="1" showErrorMessage="1" errorTitle="Check the value" error="Enter a number between 0 and 1000000." sqref="D18">
      <formula1>0</formula1>
      <formula2>1000000</formula2>
    </dataValidation>
    <dataValidation type="decimal" allowBlank="1" showInputMessage="1" showErrorMessage="1" errorTitle="Check the value" error="Enter a number between 0 and 1000000." sqref="D19">
      <formula1>0</formula1>
      <formula2>1000000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&amp;L&amp;"Calibri,Bold"&amp;12&amp;C&amp;"Calibri,Bold"&amp;11Wholesale Calculator&amp;R&amp;"Calibri,Italic"&amp;9Handmade Product Pricing &amp; Profit Calculator</oddHeader>
    <oddFooter>&amp;L&amp;"Calibri,Italic"&amp;8Novality Store - v1.0.0&amp;C&amp;"Calibri,Italic"&amp;8Page &amp;P of &amp;N&amp;R&amp;"Calibri,Italic"&amp;8&amp;D</oddFooter>
  </headerFooter>
</worksheet>
</file>

<file path=xl/worksheets/sheet14.xml><?xml version="1.0" encoding="utf-8"?>
<worksheet xmlns="http://schemas.openxmlformats.org/spreadsheetml/2006/main" xmlns:r="http://schemas.openxmlformats.org/officeDocument/2006/relationships">
  <sheetPr>
    <tabColor rgb="FF8C4A32"/>
    <pageSetUpPr fitToPage="1"/>
  </sheetPr>
  <dimension ref="A1:L85"/>
  <sheetViews>
    <sheetView showGridLines="0" workbookViewId="0">
      <pane ySplit="4" topLeftCell="A5" activePane="bottomLeft" state="frozen"/>
      <selection pane="bottomLeft"/>
    </sheetView>
  </sheetViews>
  <sheetFormatPr defaultRowHeight="15"/>
  <cols>
    <col min="1" max="1" width="3.2109375" customWidth="1"/>
    <col min="2" max="2" width="32.7109375" style="11" customWidth="1"/>
    <col min="3" max="3" width="12.7109375" style="11" customWidth="1"/>
    <col min="4" max="4" width="15.7109375" customWidth="1"/>
    <col min="5" max="5" width="15.7109375" customWidth="1"/>
    <col min="6" max="6" width="15.7109375" customWidth="1"/>
    <col min="7" max="12" width="14.7109375" style="12" customWidth="1"/>
    <col min="2" max="2" width="32.7109375" customWidth="1"/>
    <col min="3" max="3" width="15.7109375" customWidth="1"/>
    <col min="4" max="4" width="58.7109375" customWidth="1"/>
    <col min="2" max="2" width="32.7109375" customWidth="1"/>
    <col min="3" max="3" width="15.7109375" customWidth="1"/>
    <col min="4" max="4" width="58.7109375" customWidth="1"/>
    <col min="2" max="2" width="24.7109375" customWidth="1"/>
    <col min="3" max="3" width="16.7109375" customWidth="1"/>
    <col min="4" max="4" width="22.7109375" customWidth="1"/>
    <col min="5" max="5" width="24.7109375" customWidth="1"/>
    <col min="2" max="2" width="13.7109375" customWidth="1"/>
    <col min="3" max="3" width="10.7109375" customWidth="1"/>
    <col min="4" max="4" width="14.7109375" customWidth="1"/>
    <col min="5" max="5" width="10.7109375" customWidth="1"/>
    <col min="6" max="6" width="17.7109375" customWidth="1"/>
    <col min="7" max="7" width="18.7109375" customWidth="1"/>
    <col min="8" max="8" width="24.7109375" customWidth="1"/>
    <col min="2" max="2" width="30.7109375" customWidth="1"/>
    <col min="3" max="3" width="11.7109375" customWidth="1"/>
    <col min="4" max="4" width="11.7109375" customWidth="1"/>
    <col min="5" max="5" width="11.7109375" customWidth="1"/>
    <col min="6" max="6" width="13.7109375" customWidth="1"/>
    <col min="7" max="7" width="10.7109375" customWidth="1"/>
    <col min="8" max="8" width="20.7109375" customWidth="1"/>
    <col min="9" max="9" width="15.7109375" customWidth="1"/>
    <col min="2" max="2" width="30.7109375" customWidth="1"/>
    <col min="3" max="3" width="15.7109375" customWidth="1"/>
    <col min="4" max="4" width="58.7109375" customWidth="1"/>
  </cols>
  <sheetData>
    <row r="1" spans="1:12" ht="34" customHeight="1">
      <c r="A1" s="2" t="s">
        <v>1160</v>
      </c>
      <c r="B1" s="2"/>
      <c r="C1" s="2"/>
      <c r="D1" s="2"/>
      <c r="E1" s="2"/>
      <c r="F1" s="2"/>
      <c r="G1" s="2"/>
      <c r="H1" s="2"/>
      <c r="I1" s="2"/>
      <c r="J1" s="3" t="s">
        <v>1</v>
      </c>
      <c r="K1" s="3"/>
      <c r="L1" s="3"/>
    </row>
    <row r="2" spans="1:12" ht="18" customHeight="1">
      <c r="A2" s="4" t="s">
        <v>1161</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1162</v>
      </c>
      <c r="B5" s="7"/>
      <c r="C5" s="7"/>
      <c r="D5" s="7"/>
      <c r="E5" s="7"/>
      <c r="F5" s="7"/>
      <c r="G5" s="7"/>
      <c r="H5" s="7"/>
      <c r="I5" s="7"/>
      <c r="J5" s="7"/>
      <c r="K5" s="7"/>
      <c r="L5" s="7"/>
    </row>
    <row r="6" spans="1:12">
      <c r="B6" s="10" t="s">
        <v>354</v>
      </c>
      <c r="C6" s="10"/>
      <c r="D6" s="15" t="s">
        <v>511</v>
      </c>
      <c r="E6" s="15"/>
      <c r="F6" s="15"/>
      <c r="G6" s="12" t="s">
        <v>1163</v>
      </c>
      <c r="H6" s="12"/>
      <c r="I6" s="12"/>
      <c r="J6" s="12"/>
    </row>
    <row r="7" spans="1:12">
      <c r="B7" s="10" t="s">
        <v>1164</v>
      </c>
      <c r="C7" s="10"/>
      <c r="D7" s="18">
        <f>ROUND(OverheadMonthly,2)</f>
        <v>0</v>
      </c>
      <c r="E7" s="12" t="s">
        <v>1165</v>
      </c>
      <c r="F7" s="12"/>
      <c r="G7" s="12"/>
      <c r="H7" s="12"/>
    </row>
    <row r="8" spans="1:12">
      <c r="B8" s="10" t="s">
        <v>1166</v>
      </c>
      <c r="C8" s="10"/>
      <c r="D8" s="18">
        <v>0</v>
      </c>
      <c r="E8" s="12" t="s">
        <v>1167</v>
      </c>
      <c r="F8" s="12"/>
      <c r="G8" s="12"/>
      <c r="H8" s="12"/>
    </row>
    <row r="9" spans="1:12">
      <c r="B9" s="10" t="s">
        <v>39</v>
      </c>
      <c r="C9" s="10"/>
      <c r="D9" s="18">
        <f>IFERROR(INDEX(Products!$AR$5:$AR$304,MATCH(BeProduct,Products!$B$5:$B$304,0)),"")</f>
        <v>0</v>
      </c>
      <c r="E9" s="12" t="s">
        <v>1168</v>
      </c>
      <c r="F9" s="12"/>
      <c r="G9" s="12"/>
      <c r="H9" s="12"/>
    </row>
    <row r="10" spans="1:12">
      <c r="B10" s="10" t="s">
        <v>1169</v>
      </c>
      <c r="C10" s="10"/>
      <c r="D10" s="18">
        <f>IFERROR(INDEX(Products!$AH$5:$AH$304,MATCH(BeProduct,Products!$B$5:$B$304,0)),0)</f>
        <v>0</v>
      </c>
      <c r="E10" s="12" t="s">
        <v>1170</v>
      </c>
      <c r="F10" s="12"/>
      <c r="G10" s="12"/>
      <c r="H10" s="12"/>
    </row>
    <row r="11" spans="1:12">
      <c r="B11" s="10" t="s">
        <v>982</v>
      </c>
      <c r="C11" s="10"/>
      <c r="D11" s="33">
        <f>IFERROR(INDEX(Products!$AI$5:$AI$304,MATCH(BeProduct,Products!$B$5:$B$304,0)),0)</f>
        <v>0</v>
      </c>
      <c r="E11" s="12" t="s">
        <v>1171</v>
      </c>
      <c r="F11" s="12"/>
      <c r="G11" s="12"/>
      <c r="H11" s="12"/>
    </row>
    <row r="12" spans="1:12">
      <c r="B12" s="10" t="s">
        <v>1172</v>
      </c>
      <c r="C12" s="10"/>
      <c r="D12" s="20">
        <f>IFERROR(INDEX(Products!$AK$5:$AK$304,MATCH(BeProduct,Products!$B$5:$B$304,0)),0)</f>
        <v>0</v>
      </c>
    </row>
    <row r="14" spans="1:12" ht="20" customHeight="1">
      <c r="A14" s="7" t="s">
        <v>1173</v>
      </c>
      <c r="B14" s="7"/>
      <c r="C14" s="7"/>
      <c r="D14" s="7"/>
      <c r="E14" s="7"/>
      <c r="F14" s="7"/>
      <c r="G14" s="7"/>
      <c r="H14" s="7"/>
      <c r="I14" s="7"/>
      <c r="J14" s="7"/>
      <c r="K14" s="7"/>
      <c r="L14" s="7"/>
    </row>
    <row r="15" spans="1:12" ht="26" customHeight="1">
      <c r="B15" s="8" t="s">
        <v>10</v>
      </c>
      <c r="C15" s="9" t="s">
        <v>1072</v>
      </c>
      <c r="D15" s="9" t="s">
        <v>399</v>
      </c>
    </row>
    <row r="16" spans="1:12">
      <c r="B16" s="10" t="s">
        <v>1164</v>
      </c>
      <c r="C16" s="20">
        <f>ROUND(BeFixed+BeWage,2)</f>
        <v>0</v>
      </c>
      <c r="D16" s="12" t="s">
        <v>1174</v>
      </c>
      <c r="E16" s="12"/>
      <c r="F16" s="12"/>
      <c r="G16" s="12"/>
      <c r="H16" s="12"/>
      <c r="I16" s="12"/>
      <c r="J16" s="12"/>
      <c r="K16" s="12"/>
      <c r="L16" s="12"/>
    </row>
    <row r="17" spans="1:12">
      <c r="B17" s="10" t="s">
        <v>39</v>
      </c>
      <c r="C17" s="20">
        <f>IF(BePrice="",0,BePrice)</f>
        <v>0</v>
      </c>
      <c r="D17" s="12" t="s">
        <v>1175</v>
      </c>
      <c r="E17" s="12"/>
      <c r="F17" s="12"/>
      <c r="G17" s="12"/>
      <c r="H17" s="12"/>
      <c r="I17" s="12"/>
      <c r="J17" s="12"/>
      <c r="K17" s="12"/>
      <c r="L17" s="12"/>
    </row>
    <row r="18" spans="1:12">
      <c r="B18" s="10" t="s">
        <v>1061</v>
      </c>
      <c r="C18" s="20">
        <f>ROUND(BeP*BeFeePct+BeFeeFixed,2)</f>
        <v>0</v>
      </c>
      <c r="D18" s="12" t="s">
        <v>1176</v>
      </c>
      <c r="E18" s="12"/>
      <c r="F18" s="12"/>
      <c r="G18" s="12"/>
      <c r="H18" s="12"/>
      <c r="I18" s="12"/>
      <c r="J18" s="12"/>
      <c r="K18" s="12"/>
      <c r="L18" s="12"/>
    </row>
    <row r="19" spans="1:12">
      <c r="B19" s="10" t="s">
        <v>1177</v>
      </c>
      <c r="C19" s="20">
        <f>IF(BeVariable="",0,BeVariable)</f>
        <v>0</v>
      </c>
      <c r="D19" s="12" t="s">
        <v>1178</v>
      </c>
      <c r="E19" s="12"/>
      <c r="F19" s="12"/>
      <c r="G19" s="12"/>
      <c r="H19" s="12"/>
      <c r="I19" s="12"/>
      <c r="J19" s="12"/>
      <c r="K19" s="12"/>
      <c r="L19" s="12"/>
    </row>
    <row r="20" spans="1:12">
      <c r="B20" s="10" t="s">
        <v>1179</v>
      </c>
      <c r="C20" s="20">
        <f>ROUND(BeP-BeFees-BeVar,2)</f>
        <v>0</v>
      </c>
      <c r="D20" s="12" t="s">
        <v>1180</v>
      </c>
      <c r="E20" s="12"/>
      <c r="F20" s="12"/>
      <c r="G20" s="12"/>
      <c r="H20" s="12"/>
      <c r="I20" s="12"/>
      <c r="J20" s="12"/>
      <c r="K20" s="12"/>
      <c r="L20" s="12"/>
    </row>
    <row r="21" spans="1:12">
      <c r="B21" s="10" t="s">
        <v>1181</v>
      </c>
      <c r="C21" s="33">
        <f>IF(BeP=0,"",BeContribution/BeP)</f>
        <v>0</v>
      </c>
      <c r="D21" s="12" t="s">
        <v>1182</v>
      </c>
      <c r="E21" s="12"/>
      <c r="F21" s="12"/>
      <c r="G21" s="12"/>
      <c r="H21" s="12"/>
      <c r="I21" s="12"/>
      <c r="J21" s="12"/>
      <c r="K21" s="12"/>
      <c r="L21" s="12"/>
    </row>
    <row r="23" spans="1:12">
      <c r="B23" s="24" t="s">
        <v>1183</v>
      </c>
      <c r="C23" s="24"/>
      <c r="D23" s="24" t="s">
        <v>1185</v>
      </c>
      <c r="E23" s="24"/>
      <c r="F23" s="24" t="s">
        <v>1187</v>
      </c>
      <c r="G23" s="24"/>
      <c r="H23" s="24" t="s">
        <v>1189</v>
      </c>
      <c r="I23" s="24"/>
    </row>
    <row r="24" spans="1:12" ht="26" customHeight="1">
      <c r="B24" s="25">
        <f>IF(BeContribution&lt;=0,"",ROUNDUP(BeFixedTotal/BeContribution,0))</f>
        <v>0</v>
      </c>
      <c r="C24" s="25"/>
      <c r="D24" s="29">
        <f>IF(BeContribution&lt;=0,"",ROUNDUP(BeFixedTotal/BeContribution,0)*BeP)</f>
        <v>0</v>
      </c>
      <c r="E24" s="29"/>
      <c r="F24" s="25">
        <f>IF(BeContribution&lt;=0,"",ROUNDUP(BeFixedTotal/BeContribution/4.33,0))</f>
        <v>0</v>
      </c>
      <c r="G24" s="25"/>
      <c r="H24" s="31">
        <f>IF(BeContribution&lt;=0,"",ROUND(ROUNDUP(BeFixedTotal/BeContribution,0)*IFERROR(INDEX(Products!$Y$5:$Y$304,MATCH(BeProduct,Products!$B$5:$B$304,0)),0),1))</f>
        <v>0</v>
      </c>
      <c r="I24" s="31"/>
    </row>
    <row r="25" spans="1:12">
      <c r="B25" s="28" t="s">
        <v>1184</v>
      </c>
      <c r="C25" s="28"/>
      <c r="D25" s="28" t="s">
        <v>1186</v>
      </c>
      <c r="E25" s="28"/>
      <c r="F25" s="28" t="s">
        <v>1188</v>
      </c>
      <c r="G25" s="28"/>
      <c r="H25" s="28" t="s">
        <v>1190</v>
      </c>
      <c r="I25" s="28"/>
    </row>
    <row r="27" spans="1:12" ht="30" customHeight="1">
      <c r="B27" s="13">
        <f>IF(BeContribution&gt;0,"Every sale puts "&amp;TEXT(BeContribution,"0.00")&amp;" towards the "&amp;TEXT(BeFixedTotal,"0")&amp;" of fixed costs - "&amp;TEXT(ROUNDUP(BeFixedTotal/BeContribution,0),"0")&amp;" sales a month and the studio pays for itself.","Warning: this product contributes nothing. At this price the fees and the variable costs are more than the price, so no number of sales will ever break even. Raise the price or cut the cost.")</f>
        <v>0</v>
      </c>
      <c r="C27" s="13"/>
      <c r="D27" s="13"/>
      <c r="E27" s="13"/>
      <c r="F27" s="13"/>
      <c r="G27" s="13"/>
      <c r="H27" s="13"/>
      <c r="I27" s="13"/>
      <c r="J27" s="13"/>
      <c r="K27" s="13"/>
      <c r="L27" s="13"/>
    </row>
    <row r="29" spans="1:12" ht="20" customHeight="1">
      <c r="A29" s="7" t="s">
        <v>1191</v>
      </c>
      <c r="B29" s="7"/>
      <c r="C29" s="7"/>
      <c r="D29" s="7"/>
      <c r="E29" s="7"/>
      <c r="F29" s="7"/>
      <c r="G29" s="7"/>
      <c r="H29" s="7"/>
      <c r="I29" s="7"/>
      <c r="J29" s="7"/>
      <c r="K29" s="7"/>
      <c r="L29" s="7"/>
    </row>
    <row r="30" spans="1:12" ht="26" customHeight="1">
      <c r="B30" s="6" t="s">
        <v>1192</v>
      </c>
      <c r="C30" s="6"/>
      <c r="D30" s="6"/>
      <c r="E30" s="6"/>
      <c r="F30" s="6"/>
      <c r="G30" s="6"/>
      <c r="H30" s="6"/>
      <c r="I30" s="6"/>
      <c r="J30" s="6"/>
      <c r="K30" s="6"/>
      <c r="L30" s="6"/>
    </row>
    <row r="31" spans="1:12" ht="26" customHeight="1">
      <c r="B31" s="8" t="s">
        <v>1193</v>
      </c>
      <c r="C31" s="9" t="s">
        <v>1072</v>
      </c>
      <c r="D31" s="9" t="s">
        <v>1194</v>
      </c>
    </row>
    <row r="32" spans="1:12">
      <c r="B32" s="10" t="s">
        <v>1129</v>
      </c>
      <c r="C32" s="20">
        <f>ROUND(BeContribution,2)</f>
        <v>0</v>
      </c>
      <c r="D32" s="12" t="s">
        <v>1195</v>
      </c>
      <c r="E32" s="12"/>
      <c r="F32" s="12"/>
      <c r="G32" s="12"/>
      <c r="H32" s="12"/>
      <c r="I32" s="12"/>
      <c r="J32" s="12"/>
      <c r="K32" s="12"/>
      <c r="L32" s="12"/>
    </row>
    <row r="33" spans="2:12">
      <c r="B33" s="10" t="s">
        <v>42</v>
      </c>
      <c r="C33" s="33">
        <f>IF(BeP=0,"",BeContribution/BeP)</f>
        <v>0</v>
      </c>
      <c r="D33" s="12" t="s">
        <v>1196</v>
      </c>
      <c r="E33" s="12"/>
      <c r="F33" s="12"/>
      <c r="G33" s="12"/>
      <c r="H33" s="12"/>
      <c r="I33" s="12"/>
      <c r="J33" s="12"/>
      <c r="K33" s="12"/>
      <c r="L33" s="12"/>
    </row>
    <row r="34" spans="2:12">
      <c r="B34" s="10" t="s">
        <v>45</v>
      </c>
      <c r="C34" s="33">
        <f>IF(BeVar=0,"",BeContribution/BeVar)</f>
        <v>0</v>
      </c>
      <c r="D34" s="12" t="s">
        <v>1197</v>
      </c>
      <c r="E34" s="12"/>
      <c r="F34" s="12"/>
      <c r="G34" s="12"/>
      <c r="H34" s="12"/>
      <c r="I34" s="12"/>
      <c r="J34" s="12"/>
      <c r="K34" s="12"/>
      <c r="L34" s="12"/>
    </row>
    <row r="35" spans="2:12">
      <c r="B35" s="10" t="s">
        <v>1198</v>
      </c>
      <c r="C35" s="41">
        <f>IF(BeVar=0,"",BeP/BeVar)</f>
        <v>0</v>
      </c>
      <c r="D35" s="12" t="s">
        <v>1199</v>
      </c>
      <c r="E35" s="12"/>
      <c r="F35" s="12"/>
      <c r="G35" s="12"/>
      <c r="H35" s="12"/>
      <c r="I35" s="12"/>
      <c r="J35" s="12"/>
      <c r="K35" s="12"/>
      <c r="L35" s="12"/>
    </row>
    <row r="37" spans="2:12" ht="26" customHeight="1">
      <c r="B37" s="8" t="s">
        <v>1200</v>
      </c>
      <c r="C37" s="9" t="s">
        <v>1201</v>
      </c>
      <c r="D37" s="9" t="s">
        <v>1202</v>
      </c>
      <c r="E37" s="9" t="s">
        <v>1203</v>
      </c>
    </row>
    <row r="38" spans="2:12">
      <c r="B38" s="37">
        <v>0.2</v>
      </c>
      <c r="C38" s="33">
        <f>0.2/(1-0.2)</f>
        <v>0</v>
      </c>
      <c r="D38" s="41">
        <f>1/(1-0.2)</f>
        <v>0</v>
      </c>
      <c r="E38" s="20">
        <f>ROUND(10/(1-0.2),2)</f>
        <v>0</v>
      </c>
    </row>
    <row r="39" spans="2:12">
      <c r="B39" s="37">
        <v>0.3</v>
      </c>
      <c r="C39" s="33">
        <f>0.3/(1-0.3)</f>
        <v>0</v>
      </c>
      <c r="D39" s="41">
        <f>1/(1-0.3)</f>
        <v>0</v>
      </c>
      <c r="E39" s="20">
        <f>ROUND(10/(1-0.3),2)</f>
        <v>0</v>
      </c>
    </row>
    <row r="40" spans="2:12">
      <c r="B40" s="37">
        <v>0.35</v>
      </c>
      <c r="C40" s="33">
        <f>0.35/(1-0.35)</f>
        <v>0</v>
      </c>
      <c r="D40" s="41">
        <f>1/(1-0.35)</f>
        <v>0</v>
      </c>
      <c r="E40" s="20">
        <f>ROUND(10/(1-0.35),2)</f>
        <v>0</v>
      </c>
    </row>
    <row r="41" spans="2:12">
      <c r="B41" s="37">
        <v>0.4</v>
      </c>
      <c r="C41" s="33">
        <f>0.4/(1-0.4)</f>
        <v>0</v>
      </c>
      <c r="D41" s="41">
        <f>1/(1-0.4)</f>
        <v>0</v>
      </c>
      <c r="E41" s="20">
        <f>ROUND(10/(1-0.4),2)</f>
        <v>0</v>
      </c>
    </row>
    <row r="42" spans="2:12">
      <c r="B42" s="37">
        <v>0.45</v>
      </c>
      <c r="C42" s="33">
        <f>0.45/(1-0.45)</f>
        <v>0</v>
      </c>
      <c r="D42" s="41">
        <f>1/(1-0.45)</f>
        <v>0</v>
      </c>
      <c r="E42" s="20">
        <f>ROUND(10/(1-0.45),2)</f>
        <v>0</v>
      </c>
    </row>
    <row r="43" spans="2:12">
      <c r="B43" s="37">
        <v>0.5</v>
      </c>
      <c r="C43" s="33">
        <f>0.5/(1-0.5)</f>
        <v>0</v>
      </c>
      <c r="D43" s="41">
        <f>1/(1-0.5)</f>
        <v>0</v>
      </c>
      <c r="E43" s="20">
        <f>ROUND(10/(1-0.5),2)</f>
        <v>0</v>
      </c>
    </row>
    <row r="44" spans="2:12">
      <c r="B44" s="37">
        <v>0.55</v>
      </c>
      <c r="C44" s="33">
        <f>0.55/(1-0.55)</f>
        <v>0</v>
      </c>
      <c r="D44" s="41">
        <f>1/(1-0.55)</f>
        <v>0</v>
      </c>
      <c r="E44" s="20">
        <f>ROUND(10/(1-0.55),2)</f>
        <v>0</v>
      </c>
    </row>
    <row r="45" spans="2:12">
      <c r="B45" s="37">
        <v>0.6</v>
      </c>
      <c r="C45" s="33">
        <f>0.6/(1-0.6)</f>
        <v>0</v>
      </c>
      <c r="D45" s="41">
        <f>1/(1-0.6)</f>
        <v>0</v>
      </c>
      <c r="E45" s="20">
        <f>ROUND(10/(1-0.6),2)</f>
        <v>0</v>
      </c>
    </row>
    <row r="46" spans="2:12">
      <c r="B46" s="37">
        <v>0.65</v>
      </c>
      <c r="C46" s="33">
        <f>0.65/(1-0.65)</f>
        <v>0</v>
      </c>
      <c r="D46" s="41">
        <f>1/(1-0.65)</f>
        <v>0</v>
      </c>
      <c r="E46" s="20">
        <f>ROUND(10/(1-0.65),2)</f>
        <v>0</v>
      </c>
    </row>
    <row r="47" spans="2:12">
      <c r="B47" s="37">
        <v>0.7</v>
      </c>
      <c r="C47" s="33">
        <f>0.7/(1-0.7)</f>
        <v>0</v>
      </c>
      <c r="D47" s="41">
        <f>1/(1-0.7)</f>
        <v>0</v>
      </c>
      <c r="E47" s="20">
        <f>ROUND(10/(1-0.7),2)</f>
        <v>0</v>
      </c>
    </row>
    <row r="49" spans="1:12" ht="20" customHeight="1">
      <c r="A49" s="7" t="s">
        <v>1204</v>
      </c>
      <c r="B49" s="7"/>
      <c r="C49" s="7"/>
      <c r="D49" s="7"/>
      <c r="E49" s="7"/>
      <c r="F49" s="7"/>
      <c r="G49" s="7"/>
      <c r="H49" s="7"/>
      <c r="I49" s="7"/>
      <c r="J49" s="7"/>
      <c r="K49" s="7"/>
      <c r="L49" s="7"/>
    </row>
    <row r="50" spans="1:12" ht="26" customHeight="1">
      <c r="B50" s="8" t="s">
        <v>39</v>
      </c>
      <c r="C50" s="9" t="s">
        <v>1205</v>
      </c>
      <c r="D50" s="9" t="s">
        <v>1206</v>
      </c>
      <c r="E50" s="9" t="s">
        <v>42</v>
      </c>
      <c r="F50" s="9" t="s">
        <v>1207</v>
      </c>
      <c r="G50" s="9" t="s">
        <v>1185</v>
      </c>
      <c r="H50" s="9" t="s">
        <v>1096</v>
      </c>
    </row>
    <row r="51" spans="1:12">
      <c r="B51" s="20">
        <f>ROUND(BeP*0.8,2)</f>
        <v>0</v>
      </c>
      <c r="C51" s="37">
        <v>-0.2</v>
      </c>
      <c r="D51" s="20">
        <f>ROUND(ROUND(BeP*0.8,2)-(ROUND(BeP*0.8,2)*BeFeePct+BeFeeFixed)-BeVar,2)</f>
        <v>0</v>
      </c>
      <c r="E51" s="33">
        <f>IF(B51=0,"",D51/B51)</f>
        <v>0</v>
      </c>
      <c r="F51" s="32">
        <f>IF(D51&lt;=0,"Never",ROUNDUP(BeFixedTotal/D51,0))</f>
        <v>0</v>
      </c>
      <c r="G51" s="34">
        <f>IF(D51&lt;=0,"",ROUNDUP(BeFixedTotal/D51,0)*B51)</f>
        <v>0</v>
      </c>
      <c r="H51" s="13">
        <f>IF(D51&lt;=0,"Loses money on every sale",IF(E51&lt;MarginWarning,"Too thin to live on",IF(F51&lt;=UnitsPerMonth,"Reachable at your volume","More than you currently make")))</f>
        <v>0</v>
      </c>
    </row>
    <row r="52" spans="1:12">
      <c r="B52" s="20">
        <f>ROUND(BeP*0.9,2)</f>
        <v>0</v>
      </c>
      <c r="C52" s="37">
        <v>-0.1</v>
      </c>
      <c r="D52" s="20">
        <f>ROUND(ROUND(BeP*0.9,2)-(ROUND(BeP*0.9,2)*BeFeePct+BeFeeFixed)-BeVar,2)</f>
        <v>0</v>
      </c>
      <c r="E52" s="33">
        <f>IF(B52=0,"",D52/B52)</f>
        <v>0</v>
      </c>
      <c r="F52" s="32">
        <f>IF(D52&lt;=0,"Never",ROUNDUP(BeFixedTotal/D52,0))</f>
        <v>0</v>
      </c>
      <c r="G52" s="34">
        <f>IF(D52&lt;=0,"",ROUNDUP(BeFixedTotal/D52,0)*B52)</f>
        <v>0</v>
      </c>
      <c r="H52" s="13">
        <f>IF(D52&lt;=0,"Loses money on every sale",IF(E52&lt;MarginWarning,"Too thin to live on",IF(F52&lt;=UnitsPerMonth,"Reachable at your volume","More than you currently make")))</f>
        <v>0</v>
      </c>
    </row>
    <row r="53" spans="1:12">
      <c r="B53" s="20">
        <f>ROUND(BeP*1.0,2)</f>
        <v>0</v>
      </c>
      <c r="C53" s="37">
        <v>0</v>
      </c>
      <c r="D53" s="20">
        <f>ROUND(ROUND(BeP*1.0,2)-(ROUND(BeP*1.0,2)*BeFeePct+BeFeeFixed)-BeVar,2)</f>
        <v>0</v>
      </c>
      <c r="E53" s="33">
        <f>IF(B53=0,"",D53/B53)</f>
        <v>0</v>
      </c>
      <c r="F53" s="32">
        <f>IF(D53&lt;=0,"Never",ROUNDUP(BeFixedTotal/D53,0))</f>
        <v>0</v>
      </c>
      <c r="G53" s="34">
        <f>IF(D53&lt;=0,"",ROUNDUP(BeFixedTotal/D53,0)*B53)</f>
        <v>0</v>
      </c>
      <c r="H53" s="13">
        <f>IF(D53&lt;=0,"Loses money on every sale",IF(E53&lt;MarginWarning,"Too thin to live on",IF(F53&lt;=UnitsPerMonth,"Reachable at your volume","More than you currently make")))</f>
        <v>0</v>
      </c>
    </row>
    <row r="54" spans="1:12">
      <c r="B54" s="20">
        <f>ROUND(BeP*1.1,2)</f>
        <v>0</v>
      </c>
      <c r="C54" s="37">
        <v>0.1</v>
      </c>
      <c r="D54" s="20">
        <f>ROUND(ROUND(BeP*1.1,2)-(ROUND(BeP*1.1,2)*BeFeePct+BeFeeFixed)-BeVar,2)</f>
        <v>0</v>
      </c>
      <c r="E54" s="33">
        <f>IF(B54=0,"",D54/B54)</f>
        <v>0</v>
      </c>
      <c r="F54" s="32">
        <f>IF(D54&lt;=0,"Never",ROUNDUP(BeFixedTotal/D54,0))</f>
        <v>0</v>
      </c>
      <c r="G54" s="34">
        <f>IF(D54&lt;=0,"",ROUNDUP(BeFixedTotal/D54,0)*B54)</f>
        <v>0</v>
      </c>
      <c r="H54" s="13">
        <f>IF(D54&lt;=0,"Loses money on every sale",IF(E54&lt;MarginWarning,"Too thin to live on",IF(F54&lt;=UnitsPerMonth,"Reachable at your volume","More than you currently make")))</f>
        <v>0</v>
      </c>
    </row>
    <row r="55" spans="1:12">
      <c r="B55" s="20">
        <f>ROUND(BeP*1.2,2)</f>
        <v>0</v>
      </c>
      <c r="C55" s="37">
        <v>0.2</v>
      </c>
      <c r="D55" s="20">
        <f>ROUND(ROUND(BeP*1.2,2)-(ROUND(BeP*1.2,2)*BeFeePct+BeFeeFixed)-BeVar,2)</f>
        <v>0</v>
      </c>
      <c r="E55" s="33">
        <f>IF(B55=0,"",D55/B55)</f>
        <v>0</v>
      </c>
      <c r="F55" s="32">
        <f>IF(D55&lt;=0,"Never",ROUNDUP(BeFixedTotal/D55,0))</f>
        <v>0</v>
      </c>
      <c r="G55" s="34">
        <f>IF(D55&lt;=0,"",ROUNDUP(BeFixedTotal/D55,0)*B55)</f>
        <v>0</v>
      </c>
      <c r="H55" s="13">
        <f>IF(D55&lt;=0,"Loses money on every sale",IF(E55&lt;MarginWarning,"Too thin to live on",IF(F55&lt;=UnitsPerMonth,"Reachable at your volume","More than you currently make")))</f>
        <v>0</v>
      </c>
    </row>
    <row r="56" spans="1:12">
      <c r="B56" s="20">
        <f>ROUND(BeP*1.3,2)</f>
        <v>0</v>
      </c>
      <c r="C56" s="37">
        <v>0.3</v>
      </c>
      <c r="D56" s="20">
        <f>ROUND(ROUND(BeP*1.3,2)-(ROUND(BeP*1.3,2)*BeFeePct+BeFeeFixed)-BeVar,2)</f>
        <v>0</v>
      </c>
      <c r="E56" s="33">
        <f>IF(B56=0,"",D56/B56)</f>
        <v>0</v>
      </c>
      <c r="F56" s="32">
        <f>IF(D56&lt;=0,"Never",ROUNDUP(BeFixedTotal/D56,0))</f>
        <v>0</v>
      </c>
      <c r="G56" s="34">
        <f>IF(D56&lt;=0,"",ROUNDUP(BeFixedTotal/D56,0)*B56)</f>
        <v>0</v>
      </c>
      <c r="H56" s="13">
        <f>IF(D56&lt;=0,"Loses money on every sale",IF(E56&lt;MarginWarning,"Too thin to live on",IF(F56&lt;=UnitsPerMonth,"Reachable at your volume","More than you currently make")))</f>
        <v>0</v>
      </c>
    </row>
    <row r="58" spans="1:12" ht="20" customHeight="1">
      <c r="A58" s="7" t="s">
        <v>1208</v>
      </c>
      <c r="B58" s="7"/>
      <c r="C58" s="7"/>
      <c r="D58" s="7"/>
      <c r="E58" s="7"/>
      <c r="F58" s="7"/>
      <c r="G58" s="7"/>
      <c r="H58" s="7"/>
      <c r="I58" s="7"/>
      <c r="J58" s="7"/>
      <c r="K58" s="7"/>
      <c r="L58" s="7"/>
    </row>
    <row r="59" spans="1:12" ht="26" customHeight="1">
      <c r="B59" s="6" t="s">
        <v>1209</v>
      </c>
      <c r="C59" s="6"/>
      <c r="D59" s="6"/>
      <c r="E59" s="6"/>
      <c r="F59" s="6"/>
      <c r="G59" s="6"/>
      <c r="H59" s="6"/>
      <c r="I59" s="6"/>
      <c r="J59" s="6"/>
      <c r="K59" s="6"/>
      <c r="L59" s="6"/>
    </row>
    <row r="60" spans="1:12" ht="26" customHeight="1">
      <c r="B60" s="8" t="s">
        <v>354</v>
      </c>
      <c r="C60" s="9" t="s">
        <v>39</v>
      </c>
      <c r="D60" s="9" t="s">
        <v>33</v>
      </c>
      <c r="E60" s="9" t="s">
        <v>436</v>
      </c>
      <c r="F60" s="9" t="s">
        <v>1206</v>
      </c>
      <c r="G60" s="9" t="s">
        <v>42</v>
      </c>
      <c r="H60" s="9" t="s">
        <v>1210</v>
      </c>
      <c r="I60" s="9" t="s">
        <v>1211</v>
      </c>
    </row>
    <row r="61" spans="1:12">
      <c r="B61" s="13">
        <f>IFERROR(INDEX(Products!$B$5:$B$304,1)&amp;"","")</f>
        <v>0</v>
      </c>
      <c r="C61" s="20">
        <f>IF(IFERROR(INDEX(Products!$B$5:$B$304,1)&amp;"","")="","",IFERROR(INDEX(Products!$AR$5:$AR$304,1),""))</f>
        <v>0</v>
      </c>
      <c r="D61" s="20">
        <f>IF(IFERROR(INDEX(Products!$B$5:$B$304,1)&amp;"","")="","",IFERROR(INDEX(Products!$AH$5:$AH$304,1),""))</f>
        <v>0</v>
      </c>
      <c r="E61" s="20">
        <f>IF(IFERROR(INDEX(Products!$B$5:$B$304,1)&amp;"","")="","",IFERROR(INDEX(Products!$AU$5:$AU$304,1),""))</f>
        <v>0</v>
      </c>
      <c r="F61" s="20">
        <f>IF(C61="","",ROUND(C61-D61-E61,2))</f>
        <v>0</v>
      </c>
      <c r="G61" s="33">
        <f>IF(OR(C61="",C61=0),"",F61/C61)</f>
        <v>0</v>
      </c>
      <c r="H61" s="32">
        <f>IF(C61="","",IF(F61&lt;=0,"Never",ROUNDUP(BeFixedTotal/F61,0)))</f>
        <v>0</v>
      </c>
      <c r="I61" s="32">
        <f>IF(OR(C61="",F61&lt;=0),"",ROUND(H61*IFERROR(INDEX(Products!$Y$5:$Y$304,1),0),0))</f>
        <v>0</v>
      </c>
    </row>
    <row r="62" spans="1:12">
      <c r="B62" s="13">
        <f>IFERROR(INDEX(Products!$B$5:$B$304,2)&amp;"","")</f>
        <v>0</v>
      </c>
      <c r="C62" s="20">
        <f>IF(IFERROR(INDEX(Products!$B$5:$B$304,2)&amp;"","")="","",IFERROR(INDEX(Products!$AR$5:$AR$304,2),""))</f>
        <v>0</v>
      </c>
      <c r="D62" s="20">
        <f>IF(IFERROR(INDEX(Products!$B$5:$B$304,2)&amp;"","")="","",IFERROR(INDEX(Products!$AH$5:$AH$304,2),""))</f>
        <v>0</v>
      </c>
      <c r="E62" s="20">
        <f>IF(IFERROR(INDEX(Products!$B$5:$B$304,2)&amp;"","")="","",IFERROR(INDEX(Products!$AU$5:$AU$304,2),""))</f>
        <v>0</v>
      </c>
      <c r="F62" s="20">
        <f>IF(C62="","",ROUND(C62-D62-E62,2))</f>
        <v>0</v>
      </c>
      <c r="G62" s="33">
        <f>IF(OR(C62="",C62=0),"",F62/C62)</f>
        <v>0</v>
      </c>
      <c r="H62" s="32">
        <f>IF(C62="","",IF(F62&lt;=0,"Never",ROUNDUP(BeFixedTotal/F62,0)))</f>
        <v>0</v>
      </c>
      <c r="I62" s="32">
        <f>IF(OR(C62="",F62&lt;=0),"",ROUND(H62*IFERROR(INDEX(Products!$Y$5:$Y$304,2),0),0))</f>
        <v>0</v>
      </c>
    </row>
    <row r="63" spans="1:12">
      <c r="B63" s="13">
        <f>IFERROR(INDEX(Products!$B$5:$B$304,3)&amp;"","")</f>
        <v>0</v>
      </c>
      <c r="C63" s="20">
        <f>IF(IFERROR(INDEX(Products!$B$5:$B$304,3)&amp;"","")="","",IFERROR(INDEX(Products!$AR$5:$AR$304,3),""))</f>
        <v>0</v>
      </c>
      <c r="D63" s="20">
        <f>IF(IFERROR(INDEX(Products!$B$5:$B$304,3)&amp;"","")="","",IFERROR(INDEX(Products!$AH$5:$AH$304,3),""))</f>
        <v>0</v>
      </c>
      <c r="E63" s="20">
        <f>IF(IFERROR(INDEX(Products!$B$5:$B$304,3)&amp;"","")="","",IFERROR(INDEX(Products!$AU$5:$AU$304,3),""))</f>
        <v>0</v>
      </c>
      <c r="F63" s="20">
        <f>IF(C63="","",ROUND(C63-D63-E63,2))</f>
        <v>0</v>
      </c>
      <c r="G63" s="33">
        <f>IF(OR(C63="",C63=0),"",F63/C63)</f>
        <v>0</v>
      </c>
      <c r="H63" s="32">
        <f>IF(C63="","",IF(F63&lt;=0,"Never",ROUNDUP(BeFixedTotal/F63,0)))</f>
        <v>0</v>
      </c>
      <c r="I63" s="32">
        <f>IF(OR(C63="",F63&lt;=0),"",ROUND(H63*IFERROR(INDEX(Products!$Y$5:$Y$304,3),0),0))</f>
        <v>0</v>
      </c>
    </row>
    <row r="64" spans="1:12">
      <c r="B64" s="13">
        <f>IFERROR(INDEX(Products!$B$5:$B$304,4)&amp;"","")</f>
        <v>0</v>
      </c>
      <c r="C64" s="20">
        <f>IF(IFERROR(INDEX(Products!$B$5:$B$304,4)&amp;"","")="","",IFERROR(INDEX(Products!$AR$5:$AR$304,4),""))</f>
        <v>0</v>
      </c>
      <c r="D64" s="20">
        <f>IF(IFERROR(INDEX(Products!$B$5:$B$304,4)&amp;"","")="","",IFERROR(INDEX(Products!$AH$5:$AH$304,4),""))</f>
        <v>0</v>
      </c>
      <c r="E64" s="20">
        <f>IF(IFERROR(INDEX(Products!$B$5:$B$304,4)&amp;"","")="","",IFERROR(INDEX(Products!$AU$5:$AU$304,4),""))</f>
        <v>0</v>
      </c>
      <c r="F64" s="20">
        <f>IF(C64="","",ROUND(C64-D64-E64,2))</f>
        <v>0</v>
      </c>
      <c r="G64" s="33">
        <f>IF(OR(C64="",C64=0),"",F64/C64)</f>
        <v>0</v>
      </c>
      <c r="H64" s="32">
        <f>IF(C64="","",IF(F64&lt;=0,"Never",ROUNDUP(BeFixedTotal/F64,0)))</f>
        <v>0</v>
      </c>
      <c r="I64" s="32">
        <f>IF(OR(C64="",F64&lt;=0),"",ROUND(H64*IFERROR(INDEX(Products!$Y$5:$Y$304,4),0),0))</f>
        <v>0</v>
      </c>
    </row>
    <row r="65" spans="1:12">
      <c r="B65" s="13">
        <f>IFERROR(INDEX(Products!$B$5:$B$304,5)&amp;"","")</f>
        <v>0</v>
      </c>
      <c r="C65" s="20">
        <f>IF(IFERROR(INDEX(Products!$B$5:$B$304,5)&amp;"","")="","",IFERROR(INDEX(Products!$AR$5:$AR$304,5),""))</f>
        <v>0</v>
      </c>
      <c r="D65" s="20">
        <f>IF(IFERROR(INDEX(Products!$B$5:$B$304,5)&amp;"","")="","",IFERROR(INDEX(Products!$AH$5:$AH$304,5),""))</f>
        <v>0</v>
      </c>
      <c r="E65" s="20">
        <f>IF(IFERROR(INDEX(Products!$B$5:$B$304,5)&amp;"","")="","",IFERROR(INDEX(Products!$AU$5:$AU$304,5),""))</f>
        <v>0</v>
      </c>
      <c r="F65" s="20">
        <f>IF(C65="","",ROUND(C65-D65-E65,2))</f>
        <v>0</v>
      </c>
      <c r="G65" s="33">
        <f>IF(OR(C65="",C65=0),"",F65/C65)</f>
        <v>0</v>
      </c>
      <c r="H65" s="32">
        <f>IF(C65="","",IF(F65&lt;=0,"Never",ROUNDUP(BeFixedTotal/F65,0)))</f>
        <v>0</v>
      </c>
      <c r="I65" s="32">
        <f>IF(OR(C65="",F65&lt;=0),"",ROUND(H65*IFERROR(INDEX(Products!$Y$5:$Y$304,5),0),0))</f>
        <v>0</v>
      </c>
    </row>
    <row r="66" spans="1:12">
      <c r="B66" s="13">
        <f>IFERROR(INDEX(Products!$B$5:$B$304,6)&amp;"","")</f>
        <v>0</v>
      </c>
      <c r="C66" s="20">
        <f>IF(IFERROR(INDEX(Products!$B$5:$B$304,6)&amp;"","")="","",IFERROR(INDEX(Products!$AR$5:$AR$304,6),""))</f>
        <v>0</v>
      </c>
      <c r="D66" s="20">
        <f>IF(IFERROR(INDEX(Products!$B$5:$B$304,6)&amp;"","")="","",IFERROR(INDEX(Products!$AH$5:$AH$304,6),""))</f>
        <v>0</v>
      </c>
      <c r="E66" s="20">
        <f>IF(IFERROR(INDEX(Products!$B$5:$B$304,6)&amp;"","")="","",IFERROR(INDEX(Products!$AU$5:$AU$304,6),""))</f>
        <v>0</v>
      </c>
      <c r="F66" s="20">
        <f>IF(C66="","",ROUND(C66-D66-E66,2))</f>
        <v>0</v>
      </c>
      <c r="G66" s="33">
        <f>IF(OR(C66="",C66=0),"",F66/C66)</f>
        <v>0</v>
      </c>
      <c r="H66" s="32">
        <f>IF(C66="","",IF(F66&lt;=0,"Never",ROUNDUP(BeFixedTotal/F66,0)))</f>
        <v>0</v>
      </c>
      <c r="I66" s="32">
        <f>IF(OR(C66="",F66&lt;=0),"",ROUND(H66*IFERROR(INDEX(Products!$Y$5:$Y$304,6),0),0))</f>
        <v>0</v>
      </c>
    </row>
    <row r="67" spans="1:12">
      <c r="B67" s="13">
        <f>IFERROR(INDEX(Products!$B$5:$B$304,7)&amp;"","")</f>
        <v>0</v>
      </c>
      <c r="C67" s="20">
        <f>IF(IFERROR(INDEX(Products!$B$5:$B$304,7)&amp;"","")="","",IFERROR(INDEX(Products!$AR$5:$AR$304,7),""))</f>
        <v>0</v>
      </c>
      <c r="D67" s="20">
        <f>IF(IFERROR(INDEX(Products!$B$5:$B$304,7)&amp;"","")="","",IFERROR(INDEX(Products!$AH$5:$AH$304,7),""))</f>
        <v>0</v>
      </c>
      <c r="E67" s="20">
        <f>IF(IFERROR(INDEX(Products!$B$5:$B$304,7)&amp;"","")="","",IFERROR(INDEX(Products!$AU$5:$AU$304,7),""))</f>
        <v>0</v>
      </c>
      <c r="F67" s="20">
        <f>IF(C67="","",ROUND(C67-D67-E67,2))</f>
        <v>0</v>
      </c>
      <c r="G67" s="33">
        <f>IF(OR(C67="",C67=0),"",F67/C67)</f>
        <v>0</v>
      </c>
      <c r="H67" s="32">
        <f>IF(C67="","",IF(F67&lt;=0,"Never",ROUNDUP(BeFixedTotal/F67,0)))</f>
        <v>0</v>
      </c>
      <c r="I67" s="32">
        <f>IF(OR(C67="",F67&lt;=0),"",ROUND(H67*IFERROR(INDEX(Products!$Y$5:$Y$304,7),0),0))</f>
        <v>0</v>
      </c>
    </row>
    <row r="68" spans="1:12">
      <c r="B68" s="13">
        <f>IFERROR(INDEX(Products!$B$5:$B$304,8)&amp;"","")</f>
        <v>0</v>
      </c>
      <c r="C68" s="20">
        <f>IF(IFERROR(INDEX(Products!$B$5:$B$304,8)&amp;"","")="","",IFERROR(INDEX(Products!$AR$5:$AR$304,8),""))</f>
        <v>0</v>
      </c>
      <c r="D68" s="20">
        <f>IF(IFERROR(INDEX(Products!$B$5:$B$304,8)&amp;"","")="","",IFERROR(INDEX(Products!$AH$5:$AH$304,8),""))</f>
        <v>0</v>
      </c>
      <c r="E68" s="20">
        <f>IF(IFERROR(INDEX(Products!$B$5:$B$304,8)&amp;"","")="","",IFERROR(INDEX(Products!$AU$5:$AU$304,8),""))</f>
        <v>0</v>
      </c>
      <c r="F68" s="20">
        <f>IF(C68="","",ROUND(C68-D68-E68,2))</f>
        <v>0</v>
      </c>
      <c r="G68" s="33">
        <f>IF(OR(C68="",C68=0),"",F68/C68)</f>
        <v>0</v>
      </c>
      <c r="H68" s="32">
        <f>IF(C68="","",IF(F68&lt;=0,"Never",ROUNDUP(BeFixedTotal/F68,0)))</f>
        <v>0</v>
      </c>
      <c r="I68" s="32">
        <f>IF(OR(C68="",F68&lt;=0),"",ROUND(H68*IFERROR(INDEX(Products!$Y$5:$Y$304,8),0),0))</f>
        <v>0</v>
      </c>
    </row>
    <row r="69" spans="1:12">
      <c r="B69" s="13">
        <f>IFERROR(INDEX(Products!$B$5:$B$304,9)&amp;"","")</f>
        <v>0</v>
      </c>
      <c r="C69" s="20">
        <f>IF(IFERROR(INDEX(Products!$B$5:$B$304,9)&amp;"","")="","",IFERROR(INDEX(Products!$AR$5:$AR$304,9),""))</f>
        <v>0</v>
      </c>
      <c r="D69" s="20">
        <f>IF(IFERROR(INDEX(Products!$B$5:$B$304,9)&amp;"","")="","",IFERROR(INDEX(Products!$AH$5:$AH$304,9),""))</f>
        <v>0</v>
      </c>
      <c r="E69" s="20">
        <f>IF(IFERROR(INDEX(Products!$B$5:$B$304,9)&amp;"","")="","",IFERROR(INDEX(Products!$AU$5:$AU$304,9),""))</f>
        <v>0</v>
      </c>
      <c r="F69" s="20">
        <f>IF(C69="","",ROUND(C69-D69-E69,2))</f>
        <v>0</v>
      </c>
      <c r="G69" s="33">
        <f>IF(OR(C69="",C69=0),"",F69/C69)</f>
        <v>0</v>
      </c>
      <c r="H69" s="32">
        <f>IF(C69="","",IF(F69&lt;=0,"Never",ROUNDUP(BeFixedTotal/F69,0)))</f>
        <v>0</v>
      </c>
      <c r="I69" s="32">
        <f>IF(OR(C69="",F69&lt;=0),"",ROUND(H69*IFERROR(INDEX(Products!$Y$5:$Y$304,9),0),0))</f>
        <v>0</v>
      </c>
    </row>
    <row r="70" spans="1:12">
      <c r="B70" s="13">
        <f>IFERROR(INDEX(Products!$B$5:$B$304,10)&amp;"","")</f>
        <v>0</v>
      </c>
      <c r="C70" s="20">
        <f>IF(IFERROR(INDEX(Products!$B$5:$B$304,10)&amp;"","")="","",IFERROR(INDEX(Products!$AR$5:$AR$304,10),""))</f>
        <v>0</v>
      </c>
      <c r="D70" s="20">
        <f>IF(IFERROR(INDEX(Products!$B$5:$B$304,10)&amp;"","")="","",IFERROR(INDEX(Products!$AH$5:$AH$304,10),""))</f>
        <v>0</v>
      </c>
      <c r="E70" s="20">
        <f>IF(IFERROR(INDEX(Products!$B$5:$B$304,10)&amp;"","")="","",IFERROR(INDEX(Products!$AU$5:$AU$304,10),""))</f>
        <v>0</v>
      </c>
      <c r="F70" s="20">
        <f>IF(C70="","",ROUND(C70-D70-E70,2))</f>
        <v>0</v>
      </c>
      <c r="G70" s="33">
        <f>IF(OR(C70="",C70=0),"",F70/C70)</f>
        <v>0</v>
      </c>
      <c r="H70" s="32">
        <f>IF(C70="","",IF(F70&lt;=0,"Never",ROUNDUP(BeFixedTotal/F70,0)))</f>
        <v>0</v>
      </c>
      <c r="I70" s="32">
        <f>IF(OR(C70="",F70&lt;=0),"",ROUND(H70*IFERROR(INDEX(Products!$Y$5:$Y$304,10),0),0))</f>
        <v>0</v>
      </c>
    </row>
    <row r="71" spans="1:12">
      <c r="B71" s="13">
        <f>IFERROR(INDEX(Products!$B$5:$B$304,11)&amp;"","")</f>
        <v>0</v>
      </c>
      <c r="C71" s="20">
        <f>IF(IFERROR(INDEX(Products!$B$5:$B$304,11)&amp;"","")="","",IFERROR(INDEX(Products!$AR$5:$AR$304,11),""))</f>
        <v>0</v>
      </c>
      <c r="D71" s="20">
        <f>IF(IFERROR(INDEX(Products!$B$5:$B$304,11)&amp;"","")="","",IFERROR(INDEX(Products!$AH$5:$AH$304,11),""))</f>
        <v>0</v>
      </c>
      <c r="E71" s="20">
        <f>IF(IFERROR(INDEX(Products!$B$5:$B$304,11)&amp;"","")="","",IFERROR(INDEX(Products!$AU$5:$AU$304,11),""))</f>
        <v>0</v>
      </c>
      <c r="F71" s="20">
        <f>IF(C71="","",ROUND(C71-D71-E71,2))</f>
        <v>0</v>
      </c>
      <c r="G71" s="33">
        <f>IF(OR(C71="",C71=0),"",F71/C71)</f>
        <v>0</v>
      </c>
      <c r="H71" s="32">
        <f>IF(C71="","",IF(F71&lt;=0,"Never",ROUNDUP(BeFixedTotal/F71,0)))</f>
        <v>0</v>
      </c>
      <c r="I71" s="32">
        <f>IF(OR(C71="",F71&lt;=0),"",ROUND(H71*IFERROR(INDEX(Products!$Y$5:$Y$304,11),0),0))</f>
        <v>0</v>
      </c>
    </row>
    <row r="72" spans="1:12">
      <c r="B72" s="13">
        <f>IFERROR(INDEX(Products!$B$5:$B$304,12)&amp;"","")</f>
        <v>0</v>
      </c>
      <c r="C72" s="20">
        <f>IF(IFERROR(INDEX(Products!$B$5:$B$304,12)&amp;"","")="","",IFERROR(INDEX(Products!$AR$5:$AR$304,12),""))</f>
        <v>0</v>
      </c>
      <c r="D72" s="20">
        <f>IF(IFERROR(INDEX(Products!$B$5:$B$304,12)&amp;"","")="","",IFERROR(INDEX(Products!$AH$5:$AH$304,12),""))</f>
        <v>0</v>
      </c>
      <c r="E72" s="20">
        <f>IF(IFERROR(INDEX(Products!$B$5:$B$304,12)&amp;"","")="","",IFERROR(INDEX(Products!$AU$5:$AU$304,12),""))</f>
        <v>0</v>
      </c>
      <c r="F72" s="20">
        <f>IF(C72="","",ROUND(C72-D72-E72,2))</f>
        <v>0</v>
      </c>
      <c r="G72" s="33">
        <f>IF(OR(C72="",C72=0),"",F72/C72)</f>
        <v>0</v>
      </c>
      <c r="H72" s="32">
        <f>IF(C72="","",IF(F72&lt;=0,"Never",ROUNDUP(BeFixedTotal/F72,0)))</f>
        <v>0</v>
      </c>
      <c r="I72" s="32">
        <f>IF(OR(C72="",F72&lt;=0),"",ROUND(H72*IFERROR(INDEX(Products!$Y$5:$Y$304,12),0),0))</f>
        <v>0</v>
      </c>
    </row>
    <row r="73" spans="1:12">
      <c r="B73" s="13">
        <f>IFERROR(INDEX(Products!$B$5:$B$304,13)&amp;"","")</f>
        <v>0</v>
      </c>
      <c r="C73" s="20">
        <f>IF(IFERROR(INDEX(Products!$B$5:$B$304,13)&amp;"","")="","",IFERROR(INDEX(Products!$AR$5:$AR$304,13),""))</f>
        <v>0</v>
      </c>
      <c r="D73" s="20">
        <f>IF(IFERROR(INDEX(Products!$B$5:$B$304,13)&amp;"","")="","",IFERROR(INDEX(Products!$AH$5:$AH$304,13),""))</f>
        <v>0</v>
      </c>
      <c r="E73" s="20">
        <f>IF(IFERROR(INDEX(Products!$B$5:$B$304,13)&amp;"","")="","",IFERROR(INDEX(Products!$AU$5:$AU$304,13),""))</f>
        <v>0</v>
      </c>
      <c r="F73" s="20">
        <f>IF(C73="","",ROUND(C73-D73-E73,2))</f>
        <v>0</v>
      </c>
      <c r="G73" s="33">
        <f>IF(OR(C73="",C73=0),"",F73/C73)</f>
        <v>0</v>
      </c>
      <c r="H73" s="32">
        <f>IF(C73="","",IF(F73&lt;=0,"Never",ROUNDUP(BeFixedTotal/F73,0)))</f>
        <v>0</v>
      </c>
      <c r="I73" s="32">
        <f>IF(OR(C73="",F73&lt;=0),"",ROUND(H73*IFERROR(INDEX(Products!$Y$5:$Y$304,13),0),0))</f>
        <v>0</v>
      </c>
    </row>
    <row r="74" spans="1:12">
      <c r="B74" s="13">
        <f>IFERROR(INDEX(Products!$B$5:$B$304,14)&amp;"","")</f>
        <v>0</v>
      </c>
      <c r="C74" s="20">
        <f>IF(IFERROR(INDEX(Products!$B$5:$B$304,14)&amp;"","")="","",IFERROR(INDEX(Products!$AR$5:$AR$304,14),""))</f>
        <v>0</v>
      </c>
      <c r="D74" s="20">
        <f>IF(IFERROR(INDEX(Products!$B$5:$B$304,14)&amp;"","")="","",IFERROR(INDEX(Products!$AH$5:$AH$304,14),""))</f>
        <v>0</v>
      </c>
      <c r="E74" s="20">
        <f>IF(IFERROR(INDEX(Products!$B$5:$B$304,14)&amp;"","")="","",IFERROR(INDEX(Products!$AU$5:$AU$304,14),""))</f>
        <v>0</v>
      </c>
      <c r="F74" s="20">
        <f>IF(C74="","",ROUND(C74-D74-E74,2))</f>
        <v>0</v>
      </c>
      <c r="G74" s="33">
        <f>IF(OR(C74="",C74=0),"",F74/C74)</f>
        <v>0</v>
      </c>
      <c r="H74" s="32">
        <f>IF(C74="","",IF(F74&lt;=0,"Never",ROUNDUP(BeFixedTotal/F74,0)))</f>
        <v>0</v>
      </c>
      <c r="I74" s="32">
        <f>IF(OR(C74="",F74&lt;=0),"",ROUND(H74*IFERROR(INDEX(Products!$Y$5:$Y$304,14),0),0))</f>
        <v>0</v>
      </c>
    </row>
    <row r="75" spans="1:12">
      <c r="B75" s="13">
        <f>IFERROR(INDEX(Products!$B$5:$B$304,15)&amp;"","")</f>
        <v>0</v>
      </c>
      <c r="C75" s="20">
        <f>IF(IFERROR(INDEX(Products!$B$5:$B$304,15)&amp;"","")="","",IFERROR(INDEX(Products!$AR$5:$AR$304,15),""))</f>
        <v>0</v>
      </c>
      <c r="D75" s="20">
        <f>IF(IFERROR(INDEX(Products!$B$5:$B$304,15)&amp;"","")="","",IFERROR(INDEX(Products!$AH$5:$AH$304,15),""))</f>
        <v>0</v>
      </c>
      <c r="E75" s="20">
        <f>IF(IFERROR(INDEX(Products!$B$5:$B$304,15)&amp;"","")="","",IFERROR(INDEX(Products!$AU$5:$AU$304,15),""))</f>
        <v>0</v>
      </c>
      <c r="F75" s="20">
        <f>IF(C75="","",ROUND(C75-D75-E75,2))</f>
        <v>0</v>
      </c>
      <c r="G75" s="33">
        <f>IF(OR(C75="",C75=0),"",F75/C75)</f>
        <v>0</v>
      </c>
      <c r="H75" s="32">
        <f>IF(C75="","",IF(F75&lt;=0,"Never",ROUNDUP(BeFixedTotal/F75,0)))</f>
        <v>0</v>
      </c>
      <c r="I75" s="32">
        <f>IF(OR(C75="",F75&lt;=0),"",ROUND(H75*IFERROR(INDEX(Products!$Y$5:$Y$304,15),0),0))</f>
        <v>0</v>
      </c>
    </row>
    <row r="77" spans="1:12" ht="20" customHeight="1">
      <c r="A77" s="7" t="s">
        <v>1212</v>
      </c>
      <c r="B77" s="7"/>
      <c r="C77" s="7"/>
      <c r="D77" s="7"/>
      <c r="E77" s="7"/>
      <c r="F77" s="7"/>
      <c r="G77" s="7"/>
      <c r="H77" s="7"/>
      <c r="I77" s="7"/>
      <c r="J77" s="7"/>
      <c r="K77" s="7"/>
      <c r="L77" s="7"/>
    </row>
    <row r="78" spans="1:12" ht="26" customHeight="1">
      <c r="B78" s="8" t="s">
        <v>1213</v>
      </c>
      <c r="C78" s="9" t="s">
        <v>1072</v>
      </c>
      <c r="D78" s="9" t="s">
        <v>1214</v>
      </c>
    </row>
    <row r="79" spans="1:12">
      <c r="B79" s="10" t="s">
        <v>1215</v>
      </c>
      <c r="C79" s="20">
        <f>ROUND(SUMIFS(Sales!$V$5:$V$804,Sales!$B$5:$B$804,"&gt;="&amp;MonthStart,Sales!$B$5:$B$804,"&lt;="&amp;MonthEnd),2)</f>
        <v>0</v>
      </c>
      <c r="D79" s="12" t="s">
        <v>1216</v>
      </c>
      <c r="E79" s="12"/>
      <c r="F79" s="12"/>
      <c r="G79" s="12"/>
      <c r="H79" s="12"/>
      <c r="I79" s="12"/>
      <c r="J79" s="12"/>
      <c r="K79" s="12"/>
      <c r="L79" s="12"/>
    </row>
    <row r="80" spans="1:12">
      <c r="B80" s="10" t="s">
        <v>1217</v>
      </c>
      <c r="C80" s="20">
        <f>ROUND(SUMIFS(Sales!$AG$5:$AG$804,Sales!$B$5:$B$804,"&gt;="&amp;MonthStart,Sales!$B$5:$B$804,"&lt;="&amp;MonthEnd),2)</f>
        <v>0</v>
      </c>
      <c r="D80" s="12" t="s">
        <v>1218</v>
      </c>
      <c r="E80" s="12"/>
      <c r="F80" s="12"/>
      <c r="G80" s="12"/>
      <c r="H80" s="12"/>
      <c r="I80" s="12"/>
      <c r="J80" s="12"/>
      <c r="K80" s="12"/>
      <c r="L80" s="12"/>
    </row>
    <row r="81" spans="2:12">
      <c r="B81" s="10" t="s">
        <v>1219</v>
      </c>
      <c r="C81" s="20">
        <f>ROUND(BeFixed+BeWage,2)</f>
        <v>0</v>
      </c>
      <c r="D81" s="12" t="s">
        <v>1220</v>
      </c>
      <c r="E81" s="12"/>
      <c r="F81" s="12"/>
      <c r="G81" s="12"/>
      <c r="H81" s="12"/>
      <c r="I81" s="12"/>
      <c r="J81" s="12"/>
      <c r="K81" s="12"/>
      <c r="L81" s="12"/>
    </row>
    <row r="82" spans="2:12">
      <c r="B82" s="10" t="s">
        <v>1221</v>
      </c>
      <c r="C82" s="20">
        <f>ROUND(MAX(0,BeFixed+BeWage-SUMIFS(Sales!$AG$5:$AG$804,Sales!$B$5:$B$804,"&gt;="&amp;MonthStart,Sales!$B$5:$B$804,"&lt;="&amp;MonthEnd)),2)</f>
        <v>0</v>
      </c>
      <c r="D82" s="12" t="s">
        <v>1222</v>
      </c>
      <c r="E82" s="12"/>
      <c r="F82" s="12"/>
      <c r="G82" s="12"/>
      <c r="H82" s="12"/>
      <c r="I82" s="12"/>
      <c r="J82" s="12"/>
      <c r="K82" s="12"/>
      <c r="L82" s="12"/>
    </row>
    <row r="83" spans="2:12">
      <c r="B83" s="10" t="s">
        <v>1223</v>
      </c>
      <c r="C83" s="32">
        <f>MAX(0,MonthEnd-TodayDate)</f>
        <v>0</v>
      </c>
      <c r="D83" s="12" t="s">
        <v>1224</v>
      </c>
      <c r="E83" s="12"/>
      <c r="F83" s="12"/>
      <c r="G83" s="12"/>
      <c r="H83" s="12"/>
      <c r="I83" s="12"/>
      <c r="J83" s="12"/>
      <c r="K83" s="12"/>
      <c r="L83" s="12"/>
    </row>
    <row r="85" spans="2:12" ht="30" customHeight="1">
      <c r="B85" s="6" t="s">
        <v>1225</v>
      </c>
      <c r="C85" s="6"/>
      <c r="D85" s="6"/>
      <c r="E85" s="6"/>
      <c r="F85" s="6"/>
      <c r="G85" s="6"/>
      <c r="H85" s="6"/>
      <c r="I85" s="6"/>
      <c r="J85" s="6"/>
      <c r="K85" s="6"/>
      <c r="L85" s="6"/>
    </row>
  </sheetData>
  <sheetProtection password="EC7C" sheet="1" objects="1" scenarios="1" formatCells="0" formatColumns="0" formatRows="0" insertRows="0" insertHyperlinks="0" deleteRows="0" autoFilter="0"/>
  <mergeCells count="60">
    <mergeCell ref="A1:I1"/>
    <mergeCell ref="J1:L1"/>
    <mergeCell ref="A2:L2"/>
    <mergeCell ref="A3:B3"/>
    <mergeCell ref="C3:D3"/>
    <mergeCell ref="E3:F3"/>
    <mergeCell ref="G3:H3"/>
    <mergeCell ref="I3:J3"/>
    <mergeCell ref="K3:L3"/>
    <mergeCell ref="A5:L5"/>
    <mergeCell ref="B6:C6"/>
    <mergeCell ref="D6:F6"/>
    <mergeCell ref="G6:J6"/>
    <mergeCell ref="B7:C7"/>
    <mergeCell ref="E7:H7"/>
    <mergeCell ref="B8:C8"/>
    <mergeCell ref="E8:H8"/>
    <mergeCell ref="B9:C9"/>
    <mergeCell ref="E9:H9"/>
    <mergeCell ref="B10:C10"/>
    <mergeCell ref="E10:H10"/>
    <mergeCell ref="B11:C11"/>
    <mergeCell ref="E11:H11"/>
    <mergeCell ref="B12:C12"/>
    <mergeCell ref="A14:L14"/>
    <mergeCell ref="D16:L16"/>
    <mergeCell ref="D17:L17"/>
    <mergeCell ref="D18:L18"/>
    <mergeCell ref="D19:L19"/>
    <mergeCell ref="D20:L20"/>
    <mergeCell ref="D21:L21"/>
    <mergeCell ref="B23:C23"/>
    <mergeCell ref="B24:C24"/>
    <mergeCell ref="B25:C25"/>
    <mergeCell ref="D23:E23"/>
    <mergeCell ref="D24:E24"/>
    <mergeCell ref="D25:E25"/>
    <mergeCell ref="F23:G23"/>
    <mergeCell ref="F24:G24"/>
    <mergeCell ref="F25:G25"/>
    <mergeCell ref="H23:I23"/>
    <mergeCell ref="H24:I24"/>
    <mergeCell ref="H25:I25"/>
    <mergeCell ref="B27:L27"/>
    <mergeCell ref="A29:L29"/>
    <mergeCell ref="B30:L30"/>
    <mergeCell ref="D32:L32"/>
    <mergeCell ref="D33:L33"/>
    <mergeCell ref="D34:L34"/>
    <mergeCell ref="D35:L35"/>
    <mergeCell ref="A49:L49"/>
    <mergeCell ref="A58:L58"/>
    <mergeCell ref="B59:L59"/>
    <mergeCell ref="A77:L77"/>
    <mergeCell ref="D79:L79"/>
    <mergeCell ref="D80:L80"/>
    <mergeCell ref="D81:L81"/>
    <mergeCell ref="D82:L82"/>
    <mergeCell ref="D83:L83"/>
    <mergeCell ref="B85:L85"/>
  </mergeCells>
  <conditionalFormatting sqref="B27">
    <cfRule type="containsText" dxfId="2" priority="2" operator="containsText" text="Warning">
      <formula>NOT(ISERROR(SEARCH("Warning",B27)))</formula>
    </cfRule>
  </conditionalFormatting>
  <conditionalFormatting sqref="C20">
    <cfRule type="cellIs" dxfId="2" priority="1" operator="lessThanOrEqual">
      <formula>0</formula>
    </cfRule>
  </conditionalFormatting>
  <conditionalFormatting sqref="D38:D47">
    <cfRule type="dataBar" priority="3">
      <dataBar>
        <cfvo type="min" val="0"/>
        <cfvo type="max" val="0"/>
        <color rgb="FF8C9E6E"/>
      </dataBar>
    </cfRule>
  </conditionalFormatting>
  <conditionalFormatting sqref="G61:G75">
    <cfRule type="cellIs" dxfId="0" priority="7" operator="lessThan">
      <formula>MarginWarning</formula>
    </cfRule>
  </conditionalFormatting>
  <conditionalFormatting sqref="H51:H56">
    <cfRule type="containsText" dxfId="1" priority="4" operator="containsText" text="Reachable">
      <formula>NOT(ISERROR(SEARCH("Reachable",H51)))</formula>
    </cfRule>
    <cfRule type="containsText" dxfId="2" priority="5" operator="containsText" text="Loses">
      <formula>NOT(ISERROR(SEARCH("Loses",H51)))</formula>
    </cfRule>
    <cfRule type="containsText" dxfId="0" priority="6" operator="containsText" text="More than">
      <formula>NOT(ISERROR(SEARCH("More than",H51)))</formula>
    </cfRule>
  </conditionalFormatting>
  <conditionalFormatting sqref="H61:H75">
    <cfRule type="dataBar" priority="8">
      <dataBar>
        <cfvo type="min" val="0"/>
        <cfvo type="max" val="0"/>
        <color rgb="FFB5704F"/>
      </dataBar>
    </cfRule>
  </conditionalFormatting>
  <dataValidations count="5">
    <dataValidation type="list" allowBlank="1" showInputMessage="1" showErrorMessage="1" sqref="D6">
      <formula1>ProductNames</formula1>
    </dataValidation>
    <dataValidation type="decimal" allowBlank="1" showInputMessage="1" showErrorMessage="1" errorTitle="Check the value" error="Enter a number between 0 and 10000000." sqref="D7">
      <formula1>0</formula1>
      <formula2>10000000</formula2>
    </dataValidation>
    <dataValidation type="decimal" allowBlank="1" showInputMessage="1" showErrorMessage="1" errorTitle="Check the value" error="Enter a number between 0 and 10000000." sqref="D8">
      <formula1>0</formula1>
      <formula2>10000000</formula2>
    </dataValidation>
    <dataValidation type="decimal" allowBlank="1" showInputMessage="1" showErrorMessage="1" errorTitle="Check the value" error="Enter a number between 0 and 1000000." sqref="D9">
      <formula1>0</formula1>
      <formula2>1000000</formula2>
    </dataValidation>
    <dataValidation type="decimal" allowBlank="1" showInputMessage="1" showErrorMessage="1" errorTitle="Check the value" error="Enter a number between 0 and 1000000." sqref="D10">
      <formula1>0</formula1>
      <formula2>1000000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&amp;L&amp;"Calibri,Bold"&amp;12&amp;C&amp;"Calibri,Bold"&amp;11Profit &amp; Break-Even&amp;R&amp;"Calibri,Italic"&amp;9Handmade Product Pricing &amp; Profit Calculator</oddHeader>
    <oddFooter>&amp;L&amp;"Calibri,Italic"&amp;8Novality Store - v1.0.0&amp;C&amp;"Calibri,Italic"&amp;8Page &amp;P of &amp;N&amp;R&amp;"Calibri,Italic"&amp;8&amp;D</oddFooter>
  </headerFooter>
</worksheet>
</file>

<file path=xl/worksheets/sheet15.xml><?xml version="1.0" encoding="utf-8"?>
<worksheet xmlns="http://schemas.openxmlformats.org/spreadsheetml/2006/main" xmlns:r="http://schemas.openxmlformats.org/officeDocument/2006/relationships">
  <sheetPr>
    <tabColor rgb="FF5E7B5A"/>
    <pageSetUpPr fitToPage="1"/>
  </sheetPr>
  <dimension ref="A1:AU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22.7109375" style="15" customWidth="1"/>
    <col min="4" max="4" width="14.7109375" style="15" customWidth="1"/>
    <col min="5" max="5" width="16.7109375" style="15" customWidth="1"/>
    <col min="6" max="6" width="10.7109375" style="15" customWidth="1"/>
    <col min="7" max="7" width="12.7109375" style="46" customWidth="1"/>
    <col min="8" max="8" width="11.7109375" style="21" customWidth="1"/>
    <col min="9" max="9" width="12.7109375" style="46" customWidth="1"/>
    <col min="10" max="10" width="11.7109375" style="21" customWidth="1"/>
    <col min="11" max="11" width="10.7109375" style="19" customWidth="1"/>
    <col min="12" max="12" width="13.7109375" style="18" customWidth="1"/>
    <col min="13" max="13" width="12.7109375" style="18" customWidth="1"/>
    <col min="14" max="14" width="11.7109375" style="18" customWidth="1"/>
    <col min="15" max="15" width="11.7109375" style="16" customWidth="1"/>
    <col min="16" max="16" width="11.7109375" style="52" customWidth="1"/>
    <col min="17" max="17" width="13.7109375" style="16" customWidth="1"/>
    <col min="18" max="18" width="11.7109375" style="18" customWidth="1"/>
    <col min="19" max="19" width="11.7109375" style="18" customWidth="1"/>
    <col min="20" max="20" width="24.7109375" style="40" customWidth="1"/>
    <col min="21" max="21" width="9.7109375" style="41" hidden="1" customWidth="1"/>
    <col min="22" max="22" width="9.7109375" style="41" hidden="1" customWidth="1"/>
    <col min="23" max="23" width="9.7109375" style="33" hidden="1" customWidth="1"/>
    <col min="24" max="24" width="12.7109375" style="36" customWidth="1"/>
    <col min="25" max="25" width="12.7109375" style="20" customWidth="1"/>
    <col min="26" max="26" width="12.7109375" style="20" customWidth="1"/>
    <col min="27" max="27" width="11.7109375" style="36" customWidth="1"/>
    <col min="28" max="28" width="12.7109375" style="36" hidden="1" customWidth="1"/>
    <col min="29" max="29" width="12.7109375" style="20" hidden="1" customWidth="1"/>
    <col min="30" max="30" width="11.7109375" style="20" customWidth="1"/>
    <col min="31" max="31" width="10.7109375" style="36" customWidth="1"/>
    <col min="32" max="32" width="11.7109375" style="20" hidden="1" customWidth="1"/>
    <col min="33" max="33" width="11.7109375" style="20" customWidth="1"/>
    <col min="34" max="34" width="10.7109375" style="20" hidden="1" customWidth="1"/>
    <col min="35" max="35" width="11.7109375" style="45" hidden="1" customWidth="1"/>
    <col min="36" max="36" width="12.7109375" style="20" customWidth="1"/>
    <col min="37" max="37" width="9.7109375" style="33" hidden="1" customWidth="1"/>
    <col min="38" max="38" width="9.7109375" style="20" hidden="1" customWidth="1"/>
    <col min="39" max="39" width="9.7109375" style="41" hidden="1" customWidth="1"/>
    <col min="40" max="40" width="10.7109375" style="20" hidden="1" customWidth="1"/>
    <col min="41" max="41" width="13.7109375" style="20" customWidth="1"/>
    <col min="42" max="42" width="11.7109375" style="20" customWidth="1"/>
    <col min="43" max="43" width="11.7109375" style="20" customWidth="1"/>
    <col min="44" max="44" width="9.7109375" style="33" customWidth="1"/>
    <col min="45" max="45" width="9.7109375" style="41" hidden="1" customWidth="1"/>
    <col min="46" max="46" width="12.7109375" style="20" customWidth="1"/>
    <col min="47" max="47" width="30.7109375" style="43" customWidth="1"/>
  </cols>
  <sheetData>
    <row r="1" spans="1:47" ht="34" customHeight="1">
      <c r="A1" s="2" t="s">
        <v>1226</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3" t="s">
        <v>1</v>
      </c>
      <c r="AT1" s="3"/>
      <c r="AU1" s="3"/>
    </row>
    <row r="2" spans="1:47" ht="18" customHeight="1">
      <c r="A2" s="4" t="s">
        <v>1227</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spans="1:47"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1228</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row>
    <row r="4" spans="1:47" ht="30" customHeight="1">
      <c r="A4" s="8" t="s">
        <v>1229</v>
      </c>
      <c r="B4" s="8" t="s">
        <v>1230</v>
      </c>
      <c r="C4" s="9" t="s">
        <v>1231</v>
      </c>
      <c r="D4" s="9" t="s">
        <v>1232</v>
      </c>
      <c r="E4" s="9" t="s">
        <v>1233</v>
      </c>
      <c r="F4" s="9" t="s">
        <v>1234</v>
      </c>
      <c r="G4" s="9" t="s">
        <v>1235</v>
      </c>
      <c r="H4" s="9" t="s">
        <v>1236</v>
      </c>
      <c r="I4" s="9" t="s">
        <v>1237</v>
      </c>
      <c r="J4" s="9" t="s">
        <v>1236</v>
      </c>
      <c r="K4" s="9" t="s">
        <v>1238</v>
      </c>
      <c r="L4" s="9" t="s">
        <v>1239</v>
      </c>
      <c r="M4" s="9" t="s">
        <v>1240</v>
      </c>
      <c r="N4" s="9" t="s">
        <v>1241</v>
      </c>
      <c r="O4" s="9" t="s">
        <v>1242</v>
      </c>
      <c r="P4" s="9" t="s">
        <v>1243</v>
      </c>
      <c r="Q4" s="9" t="s">
        <v>1244</v>
      </c>
      <c r="R4" s="9" t="s">
        <v>767</v>
      </c>
      <c r="S4" s="9" t="s">
        <v>461</v>
      </c>
      <c r="T4" s="9" t="s">
        <v>466</v>
      </c>
      <c r="U4" s="9" t="s">
        <v>1245</v>
      </c>
      <c r="V4" s="9" t="s">
        <v>1246</v>
      </c>
      <c r="W4" s="9" t="s">
        <v>588</v>
      </c>
      <c r="X4" s="9" t="s">
        <v>1247</v>
      </c>
      <c r="Y4" s="9" t="s">
        <v>1248</v>
      </c>
      <c r="Z4" s="9" t="s">
        <v>1249</v>
      </c>
      <c r="AA4" s="9" t="s">
        <v>1250</v>
      </c>
      <c r="AB4" s="9" t="s">
        <v>1251</v>
      </c>
      <c r="AC4" s="9" t="s">
        <v>1252</v>
      </c>
      <c r="AD4" s="9" t="s">
        <v>17</v>
      </c>
      <c r="AE4" s="9" t="s">
        <v>470</v>
      </c>
      <c r="AF4" s="9" t="s">
        <v>771</v>
      </c>
      <c r="AG4" s="9" t="s">
        <v>36</v>
      </c>
      <c r="AH4" s="9" t="s">
        <v>1253</v>
      </c>
      <c r="AI4" s="9" t="s">
        <v>1254</v>
      </c>
      <c r="AJ4" s="9" t="s">
        <v>1145</v>
      </c>
      <c r="AK4" s="9" t="s">
        <v>443</v>
      </c>
      <c r="AL4" s="9" t="s">
        <v>481</v>
      </c>
      <c r="AM4" s="9" t="s">
        <v>1055</v>
      </c>
      <c r="AN4" s="9" t="s">
        <v>1255</v>
      </c>
      <c r="AO4" s="9" t="s">
        <v>487</v>
      </c>
      <c r="AP4" s="9" t="s">
        <v>488</v>
      </c>
      <c r="AQ4" s="9" t="s">
        <v>421</v>
      </c>
      <c r="AR4" s="9" t="s">
        <v>42</v>
      </c>
      <c r="AS4" s="9" t="s">
        <v>471</v>
      </c>
      <c r="AT4" s="9" t="s">
        <v>492</v>
      </c>
      <c r="AU4" s="9" t="s">
        <v>729</v>
      </c>
    </row>
    <row r="5" spans="1:47">
      <c r="A5" s="46" t="s">
        <v>1256</v>
      </c>
      <c r="B5" s="15" t="s">
        <v>511</v>
      </c>
      <c r="C5" s="15" t="s">
        <v>1257</v>
      </c>
      <c r="D5" s="15" t="s">
        <v>516</v>
      </c>
      <c r="E5" s="15" t="s">
        <v>1258</v>
      </c>
      <c r="F5" s="15" t="s">
        <v>1259</v>
      </c>
      <c r="G5" s="46" t="s">
        <v>1260</v>
      </c>
      <c r="H5" s="21">
        <v>95</v>
      </c>
      <c r="K5" s="19">
        <v>0.05</v>
      </c>
      <c r="L5" s="18">
        <v>0.25</v>
      </c>
      <c r="M5" s="18">
        <v>0</v>
      </c>
      <c r="N5" s="18">
        <v>0</v>
      </c>
      <c r="P5" s="52">
        <v>1.25</v>
      </c>
      <c r="Q5" s="16">
        <v>10</v>
      </c>
      <c r="S5" s="18">
        <v>78</v>
      </c>
      <c r="T5" s="40" t="s">
        <v>1261</v>
      </c>
      <c r="U5" s="41">
        <f>IF(B5="","",IFERROR(INDEX(SizeMaterialFactors,MATCH(D5,SizeNames,0)),1))</f>
        <v>0</v>
      </c>
      <c r="V5" s="41">
        <f>IF(B5="","",IFERROR(INDEX(SizeTimeFactors,MATCH(D5,SizeNames,0)),1))</f>
        <v>0</v>
      </c>
      <c r="W5" s="33">
        <f>IF(B5="","",IF(K5="",DefaultWaste,K5))</f>
        <v>0</v>
      </c>
      <c r="X5" s="36">
        <f>IF(B5="","",ROUND((IF(H5="",0,H5)+IF(J5="",0,J5))*U5*(1+W5),1))</f>
        <v>0</v>
      </c>
      <c r="Y5" s="20">
        <f>IF(B5="","",ROUND(IF(H5="",0,H5)*U5*(1+W5)*IFERROR(INDEX(Materials!$V$5:$V$254,MATCH(G5,Materials!$A$5:$A$254,0)),0),2))</f>
        <v>0</v>
      </c>
      <c r="Z5" s="20">
        <f>IF(B5="","",ROUND(IF(J5="",0,J5)*U5*(1+W5)*IFERROR(INDEX(Materials!$V$5:$V$254,MATCH(I5,Materials!$A$5:$A$254,0)),0),2))</f>
        <v>0</v>
      </c>
      <c r="AA5" s="36">
        <f>IF(B5="","",IF(IFERROR(INDEX(Materials!$G$5:$G$254,MATCH(G5,Materials!$A$5:$A$254,0)),0)=0,"",ROUNDUP(IF(H5="",0,H5)*U5*(1+W5)/(IFERROR(INDEX(Materials!$G$5:$G$254,MATCH(G5,Materials!$A$5:$A$254,0)),0)*IFERROR(INDEX(Materials!$U$5:$U$254,MATCH(G5,Materials!$A$5:$A$254,0)),1)),0)))</f>
        <v>0</v>
      </c>
      <c r="AB5" s="36">
        <f>IF(B5="","",IF(AA5="","",ROUND(AA5*IFERROR(INDEX(Materials!$G$5:$G$254,MATCH(G5,Materials!$A$5:$A$254,0)),0)*IFERROR(INDEX(Materials!$U$5:$U$254,MATCH(G5,Materials!$A$5:$A$254,0)),1)-IF(H5="",0,H5)*U5*(1+W5),1)))</f>
        <v>0</v>
      </c>
      <c r="AC5" s="20">
        <f>IF(B5="","",IF(N5="",0,ROUND(N5/MAX(1,IF(O5="",1,O5)),2)))</f>
        <v>0</v>
      </c>
      <c r="AD5" s="20">
        <f>IF(B5="","",ROUND(Y5+Z5+IF(L5="",0,L5)+IF(M5="",0,M5)+AC5,2))</f>
        <v>0</v>
      </c>
      <c r="AE5" s="36">
        <f>IF(B5="","",ROUND((IF(P5="",0,P5)*60+IF(Q5="",0,Q5))*V5,1))</f>
        <v>0</v>
      </c>
      <c r="AF5" s="20">
        <f>IF(B5="","",IF(R5&lt;&gt;"",R5,LaborCostHour))</f>
        <v>0</v>
      </c>
      <c r="AG5" s="20">
        <f>IF(B5="","",ROUND(AE5/60*AF5,2))</f>
        <v>0</v>
      </c>
      <c r="AH5" s="20">
        <f>IF(B5="","",ROUND(AE5/60*SuppliesPerHour,2))</f>
        <v>0</v>
      </c>
      <c r="AI5" s="45">
        <f>IF(B5="","",IF(OR(X5="",X5=0),"",ROUND(AD5/X5,4)))</f>
        <v>0</v>
      </c>
      <c r="AJ5" s="20">
        <f>IF(B5="","",ROUND(AD5+AG5+AH5,2))</f>
        <v>0</v>
      </c>
      <c r="AK5" s="33">
        <f>IF(B5="","",IFERROR(INDEX(Channels!$S$5:$S$18,MATCH(DefaultChannel,Channels!$A$5:$A$18,0)),0))</f>
        <v>0</v>
      </c>
      <c r="AL5" s="20">
        <f>IF(B5="","",IFERROR(INDEX(Channels!$T$5:$T$18,MATCH(DefaultChannel,Channels!$A$5:$A$18,0)),0))</f>
        <v>0</v>
      </c>
      <c r="AM5" s="41">
        <f>IF(B5="","",1-TargetRetailMargin-AK5)</f>
        <v>0</v>
      </c>
      <c r="AN5" s="20">
        <f>IF(B5="","",IF(AM5&lt;=0,"",(AJ5+AL5)/AM5))</f>
        <v>0</v>
      </c>
      <c r="AO5" s="20">
        <f>IF(B5="","",IF(AN5="","Check the settings",ROUND(IF(RoundingRule="None",AN5,IF(RoundingRule="Nearest 0.99",MAX(0.99,CEILING(AN5,1)-0.01),IF(RoundingRule="Nearest 0.95",MAX(0.95,CEILING(AN5,1)-0.05),IF(RoundingRule="Nearest 0.50",CEILING(AN5,0.5),IF(RoundingRule="Nearest 1",CEILING(AN5,1),IF(RoundingRule="Nearest 5",CEILING(AN5,5),IF(RoundingRule="Up to whole 1",CEILING(AN5,1),IF(RoundingRule="Up to whole 5",CEILING(AN5,5),ROUND(AN5,2))))))))),2)))</f>
        <v>0</v>
      </c>
      <c r="AP5" s="20">
        <f>IF(B5="","",IF(S5&lt;&gt;"",S5,IF(ISNUMBER(AO5),AO5,"")))</f>
        <v>0</v>
      </c>
      <c r="AQ5" s="20">
        <f>IF(B5="","",IF(AP5="","",ROUND(AP5-AJ5-(AP5*AK5+AL5),2)))</f>
        <v>0</v>
      </c>
      <c r="AR5" s="33">
        <f>IF(B5="","",IF(OR(AP5="",AP5=0),"",AQ5/AP5))</f>
        <v>0</v>
      </c>
      <c r="AS5" s="41">
        <f>IF(B5="","",ROUND(AE5/60,3))</f>
        <v>0</v>
      </c>
      <c r="AT5" s="20">
        <f>IF(B5="","",IF(OR(AS5=0,AS5="",AQ5=""),"",ROUND((AQ5+AG5)/AS5,2)))</f>
        <v>0</v>
      </c>
      <c r="AU5" s="43">
        <f>IF(B5="","",IF(AND(A5&lt;&gt;"",ISERROR(MATCH(A5,Products!$A$5:$A$304,0))),"Check - no such product ID",IF(AD5=0,"Add - no material cost yet",IF(AE5=0,"Add - how long does it take?",IF(AND(A5&lt;&gt;"",COUNTIFS('Material Usage'!$A$5:$A$904,A5)&gt;0),"Check - this product also has a bill of materials",IF(AND(A5&lt;&gt;"",COUNTIFS(Labor!$A$5:$A$304,A5)&gt;0),"Check - this product also has labour lines",IF(AT5&lt;MinimumWage,"Below - pays under minimum wage","OK")))))) )</f>
        <v>0</v>
      </c>
    </row>
    <row r="6" spans="1:47">
      <c r="B6" s="15" t="s">
        <v>1262</v>
      </c>
      <c r="C6" s="15" t="s">
        <v>1263</v>
      </c>
      <c r="D6" s="15" t="s">
        <v>516</v>
      </c>
      <c r="E6" s="15" t="s">
        <v>1264</v>
      </c>
      <c r="F6" s="15" t="s">
        <v>1265</v>
      </c>
      <c r="G6" s="46" t="s">
        <v>1266</v>
      </c>
      <c r="H6" s="21">
        <v>150</v>
      </c>
      <c r="K6" s="19">
        <v>0.05</v>
      </c>
      <c r="L6" s="18">
        <v>0.25</v>
      </c>
      <c r="P6" s="52">
        <v>1.8</v>
      </c>
      <c r="Q6" s="16">
        <v>12</v>
      </c>
      <c r="S6" s="18">
        <v>78</v>
      </c>
      <c r="T6" s="40" t="s">
        <v>1267</v>
      </c>
      <c r="U6" s="41">
        <f>IF(B6="","",IFERROR(INDEX(SizeMaterialFactors,MATCH(D6,SizeNames,0)),1))</f>
        <v>0</v>
      </c>
      <c r="V6" s="41">
        <f>IF(B6="","",IFERROR(INDEX(SizeTimeFactors,MATCH(D6,SizeNames,0)),1))</f>
        <v>0</v>
      </c>
      <c r="W6" s="33">
        <f>IF(B6="","",IF(K6="",DefaultWaste,K6))</f>
        <v>0</v>
      </c>
      <c r="X6" s="36">
        <f>IF(B6="","",ROUND((IF(H6="",0,H6)+IF(J6="",0,J6))*U6*(1+W6),1))</f>
        <v>0</v>
      </c>
      <c r="Y6" s="20">
        <f>IF(B6="","",ROUND(IF(H6="",0,H6)*U6*(1+W6)*IFERROR(INDEX(Materials!$V$5:$V$254,MATCH(G6,Materials!$A$5:$A$254,0)),0),2))</f>
        <v>0</v>
      </c>
      <c r="Z6" s="20">
        <f>IF(B6="","",ROUND(IF(J6="",0,J6)*U6*(1+W6)*IFERROR(INDEX(Materials!$V$5:$V$254,MATCH(I6,Materials!$A$5:$A$254,0)),0),2))</f>
        <v>0</v>
      </c>
      <c r="AA6" s="36">
        <f>IF(B6="","",IF(IFERROR(INDEX(Materials!$G$5:$G$254,MATCH(G6,Materials!$A$5:$A$254,0)),0)=0,"",ROUNDUP(IF(H6="",0,H6)*U6*(1+W6)/(IFERROR(INDEX(Materials!$G$5:$G$254,MATCH(G6,Materials!$A$5:$A$254,0)),0)*IFERROR(INDEX(Materials!$U$5:$U$254,MATCH(G6,Materials!$A$5:$A$254,0)),1)),0)))</f>
        <v>0</v>
      </c>
      <c r="AB6" s="36">
        <f>IF(B6="","",IF(AA6="","",ROUND(AA6*IFERROR(INDEX(Materials!$G$5:$G$254,MATCH(G6,Materials!$A$5:$A$254,0)),0)*IFERROR(INDEX(Materials!$U$5:$U$254,MATCH(G6,Materials!$A$5:$A$254,0)),1)-IF(H6="",0,H6)*U6*(1+W6),1)))</f>
        <v>0</v>
      </c>
      <c r="AC6" s="20">
        <f>IF(B6="","",IF(N6="",0,ROUND(N6/MAX(1,IF(O6="",1,O6)),2)))</f>
        <v>0</v>
      </c>
      <c r="AD6" s="20">
        <f>IF(B6="","",ROUND(Y6+Z6+IF(L6="",0,L6)+IF(M6="",0,M6)+AC6,2))</f>
        <v>0</v>
      </c>
      <c r="AE6" s="36">
        <f>IF(B6="","",ROUND((IF(P6="",0,P6)*60+IF(Q6="",0,Q6))*V6,1))</f>
        <v>0</v>
      </c>
      <c r="AF6" s="20">
        <f>IF(B6="","",IF(R6&lt;&gt;"",R6,LaborCostHour))</f>
        <v>0</v>
      </c>
      <c r="AG6" s="20">
        <f>IF(B6="","",ROUND(AE6/60*AF6,2))</f>
        <v>0</v>
      </c>
      <c r="AH6" s="20">
        <f>IF(B6="","",ROUND(AE6/60*SuppliesPerHour,2))</f>
        <v>0</v>
      </c>
      <c r="AI6" s="45">
        <f>IF(B6="","",IF(OR(X6="",X6=0),"",ROUND(AD6/X6,4)))</f>
        <v>0</v>
      </c>
      <c r="AJ6" s="20">
        <f>IF(B6="","",ROUND(AD6+AG6+AH6,2))</f>
        <v>0</v>
      </c>
      <c r="AK6" s="33">
        <f>IF(B6="","",IFERROR(INDEX(Channels!$S$5:$S$18,MATCH(DefaultChannel,Channels!$A$5:$A$18,0)),0))</f>
        <v>0</v>
      </c>
      <c r="AL6" s="20">
        <f>IF(B6="","",IFERROR(INDEX(Channels!$T$5:$T$18,MATCH(DefaultChannel,Channels!$A$5:$A$18,0)),0))</f>
        <v>0</v>
      </c>
      <c r="AM6" s="41">
        <f>IF(B6="","",1-TargetRetailMargin-AK6)</f>
        <v>0</v>
      </c>
      <c r="AN6" s="20">
        <f>IF(B6="","",IF(AM6&lt;=0,"",(AJ6+AL6)/AM6))</f>
        <v>0</v>
      </c>
      <c r="AO6" s="20">
        <f>IF(B6="","",IF(AN6="","Check the settings",ROUND(IF(RoundingRule="None",AN6,IF(RoundingRule="Nearest 0.99",MAX(0.99,CEILING(AN6,1)-0.01),IF(RoundingRule="Nearest 0.95",MAX(0.95,CEILING(AN6,1)-0.05),IF(RoundingRule="Nearest 0.50",CEILING(AN6,0.5),IF(RoundingRule="Nearest 1",CEILING(AN6,1),IF(RoundingRule="Nearest 5",CEILING(AN6,5),IF(RoundingRule="Up to whole 1",CEILING(AN6,1),IF(RoundingRule="Up to whole 5",CEILING(AN6,5),ROUND(AN6,2))))))))),2)))</f>
        <v>0</v>
      </c>
      <c r="AP6" s="20">
        <f>IF(B6="","",IF(S6&lt;&gt;"",S6,IF(ISNUMBER(AO6),AO6,"")))</f>
        <v>0</v>
      </c>
      <c r="AQ6" s="20">
        <f>IF(B6="","",IF(AP6="","",ROUND(AP6-AJ6-(AP6*AK6+AL6),2)))</f>
        <v>0</v>
      </c>
      <c r="AR6" s="33">
        <f>IF(B6="","",IF(OR(AP6="",AP6=0),"",AQ6/AP6))</f>
        <v>0</v>
      </c>
      <c r="AS6" s="41">
        <f>IF(B6="","",ROUND(AE6/60,3))</f>
        <v>0</v>
      </c>
      <c r="AT6" s="20">
        <f>IF(B6="","",IF(OR(AS6=0,AS6="",AQ6=""),"",ROUND((AQ6+AG6)/AS6,2)))</f>
        <v>0</v>
      </c>
      <c r="AU6" s="43">
        <f>IF(B6="","",IF(AND(A6&lt;&gt;"",ISERROR(MATCH(A6,Products!$A$5:$A$304,0))),"Check - no such product ID",IF(AD6=0,"Add - no material cost yet",IF(AE6=0,"Add - how long does it take?",IF(AND(A6&lt;&gt;"",COUNTIFS('Material Usage'!$A$5:$A$904,A6)&gt;0),"Check - this product also has a bill of materials",IF(AND(A6&lt;&gt;"",COUNTIFS(Labor!$A$5:$A$304,A6)&gt;0),"Check - this product also has labour lines",IF(AT6&lt;MinimumWage,"Below - pays under minimum wage","OK")))))) )</f>
        <v>0</v>
      </c>
    </row>
    <row r="7" spans="1:47">
      <c r="B7" s="15" t="s">
        <v>1268</v>
      </c>
      <c r="C7" s="15" t="s">
        <v>1269</v>
      </c>
      <c r="D7" s="15" t="s">
        <v>1270</v>
      </c>
      <c r="E7" s="15" t="s">
        <v>1271</v>
      </c>
      <c r="F7" s="15" t="s">
        <v>1272</v>
      </c>
      <c r="G7" s="46" t="s">
        <v>736</v>
      </c>
      <c r="H7" s="21">
        <v>480</v>
      </c>
      <c r="K7" s="19">
        <v>0.06</v>
      </c>
      <c r="L7" s="18">
        <v>0.25</v>
      </c>
      <c r="P7" s="52">
        <v>9.5</v>
      </c>
      <c r="Q7" s="16">
        <v>35</v>
      </c>
      <c r="S7" s="18">
        <v>215</v>
      </c>
      <c r="T7" s="40" t="s">
        <v>1273</v>
      </c>
      <c r="U7" s="41">
        <f>IF(B7="","",IFERROR(INDEX(SizeMaterialFactors,MATCH(D7,SizeNames,0)),1))</f>
        <v>0</v>
      </c>
      <c r="V7" s="41">
        <f>IF(B7="","",IFERROR(INDEX(SizeTimeFactors,MATCH(D7,SizeNames,0)),1))</f>
        <v>0</v>
      </c>
      <c r="W7" s="33">
        <f>IF(B7="","",IF(K7="",DefaultWaste,K7))</f>
        <v>0</v>
      </c>
      <c r="X7" s="36">
        <f>IF(B7="","",ROUND((IF(H7="",0,H7)+IF(J7="",0,J7))*U7*(1+W7),1))</f>
        <v>0</v>
      </c>
      <c r="Y7" s="20">
        <f>IF(B7="","",ROUND(IF(H7="",0,H7)*U7*(1+W7)*IFERROR(INDEX(Materials!$V$5:$V$254,MATCH(G7,Materials!$A$5:$A$254,0)),0),2))</f>
        <v>0</v>
      </c>
      <c r="Z7" s="20">
        <f>IF(B7="","",ROUND(IF(J7="",0,J7)*U7*(1+W7)*IFERROR(INDEX(Materials!$V$5:$V$254,MATCH(I7,Materials!$A$5:$A$254,0)),0),2))</f>
        <v>0</v>
      </c>
      <c r="AA7" s="36">
        <f>IF(B7="","",IF(IFERROR(INDEX(Materials!$G$5:$G$254,MATCH(G7,Materials!$A$5:$A$254,0)),0)=0,"",ROUNDUP(IF(H7="",0,H7)*U7*(1+W7)/(IFERROR(INDEX(Materials!$G$5:$G$254,MATCH(G7,Materials!$A$5:$A$254,0)),0)*IFERROR(INDEX(Materials!$U$5:$U$254,MATCH(G7,Materials!$A$5:$A$254,0)),1)),0)))</f>
        <v>0</v>
      </c>
      <c r="AB7" s="36">
        <f>IF(B7="","",IF(AA7="","",ROUND(AA7*IFERROR(INDEX(Materials!$G$5:$G$254,MATCH(G7,Materials!$A$5:$A$254,0)),0)*IFERROR(INDEX(Materials!$U$5:$U$254,MATCH(G7,Materials!$A$5:$A$254,0)),1)-IF(H7="",0,H7)*U7*(1+W7),1)))</f>
        <v>0</v>
      </c>
      <c r="AC7" s="20">
        <f>IF(B7="","",IF(N7="",0,ROUND(N7/MAX(1,IF(O7="",1,O7)),2)))</f>
        <v>0</v>
      </c>
      <c r="AD7" s="20">
        <f>IF(B7="","",ROUND(Y7+Z7+IF(L7="",0,L7)+IF(M7="",0,M7)+AC7,2))</f>
        <v>0</v>
      </c>
      <c r="AE7" s="36">
        <f>IF(B7="","",ROUND((IF(P7="",0,P7)*60+IF(Q7="",0,Q7))*V7,1))</f>
        <v>0</v>
      </c>
      <c r="AF7" s="20">
        <f>IF(B7="","",IF(R7&lt;&gt;"",R7,LaborCostHour))</f>
        <v>0</v>
      </c>
      <c r="AG7" s="20">
        <f>IF(B7="","",ROUND(AE7/60*AF7,2))</f>
        <v>0</v>
      </c>
      <c r="AH7" s="20">
        <f>IF(B7="","",ROUND(AE7/60*SuppliesPerHour,2))</f>
        <v>0</v>
      </c>
      <c r="AI7" s="45">
        <f>IF(B7="","",IF(OR(X7="",X7=0),"",ROUND(AD7/X7,4)))</f>
        <v>0</v>
      </c>
      <c r="AJ7" s="20">
        <f>IF(B7="","",ROUND(AD7+AG7+AH7,2))</f>
        <v>0</v>
      </c>
      <c r="AK7" s="33">
        <f>IF(B7="","",IFERROR(INDEX(Channels!$S$5:$S$18,MATCH(DefaultChannel,Channels!$A$5:$A$18,0)),0))</f>
        <v>0</v>
      </c>
      <c r="AL7" s="20">
        <f>IF(B7="","",IFERROR(INDEX(Channels!$T$5:$T$18,MATCH(DefaultChannel,Channels!$A$5:$A$18,0)),0))</f>
        <v>0</v>
      </c>
      <c r="AM7" s="41">
        <f>IF(B7="","",1-TargetRetailMargin-AK7)</f>
        <v>0</v>
      </c>
      <c r="AN7" s="20">
        <f>IF(B7="","",IF(AM7&lt;=0,"",(AJ7+AL7)/AM7))</f>
        <v>0</v>
      </c>
      <c r="AO7" s="20">
        <f>IF(B7="","",IF(AN7="","Check the settings",ROUND(IF(RoundingRule="None",AN7,IF(RoundingRule="Nearest 0.99",MAX(0.99,CEILING(AN7,1)-0.01),IF(RoundingRule="Nearest 0.95",MAX(0.95,CEILING(AN7,1)-0.05),IF(RoundingRule="Nearest 0.50",CEILING(AN7,0.5),IF(RoundingRule="Nearest 1",CEILING(AN7,1),IF(RoundingRule="Nearest 5",CEILING(AN7,5),IF(RoundingRule="Up to whole 1",CEILING(AN7,1),IF(RoundingRule="Up to whole 5",CEILING(AN7,5),ROUND(AN7,2))))))))),2)))</f>
        <v>0</v>
      </c>
      <c r="AP7" s="20">
        <f>IF(B7="","",IF(S7&lt;&gt;"",S7,IF(ISNUMBER(AO7),AO7,"")))</f>
        <v>0</v>
      </c>
      <c r="AQ7" s="20">
        <f>IF(B7="","",IF(AP7="","",ROUND(AP7-AJ7-(AP7*AK7+AL7),2)))</f>
        <v>0</v>
      </c>
      <c r="AR7" s="33">
        <f>IF(B7="","",IF(OR(AP7="",AP7=0),"",AQ7/AP7))</f>
        <v>0</v>
      </c>
      <c r="AS7" s="41">
        <f>IF(B7="","",ROUND(AE7/60,3))</f>
        <v>0</v>
      </c>
      <c r="AT7" s="20">
        <f>IF(B7="","",IF(OR(AS7=0,AS7="",AQ7=""),"",ROUND((AQ7+AG7)/AS7,2)))</f>
        <v>0</v>
      </c>
      <c r="AU7" s="43">
        <f>IF(B7="","",IF(AND(A7&lt;&gt;"",ISERROR(MATCH(A7,Products!$A$5:$A$304,0))),"Check - no such product ID",IF(AD7=0,"Add - no material cost yet",IF(AE7=0,"Add - how long does it take?",IF(AND(A7&lt;&gt;"",COUNTIFS('Material Usage'!$A$5:$A$904,A7)&gt;0),"Check - this product also has a bill of materials",IF(AND(A7&lt;&gt;"",COUNTIFS(Labor!$A$5:$A$304,A7)&gt;0),"Check - this product also has labour lines",IF(AT7&lt;MinimumWage,"Below - pays under minimum wage","OK")))))) )</f>
        <v>0</v>
      </c>
    </row>
    <row r="8" spans="1:47">
      <c r="U8" s="41">
        <f>IF(B8="","",IFERROR(INDEX(SizeMaterialFactors,MATCH(D8,SizeNames,0)),1))</f>
        <v>0</v>
      </c>
      <c r="V8" s="41">
        <f>IF(B8="","",IFERROR(INDEX(SizeTimeFactors,MATCH(D8,SizeNames,0)),1))</f>
        <v>0</v>
      </c>
      <c r="W8" s="33">
        <f>IF(B8="","",IF(K8="",DefaultWaste,K8))</f>
        <v>0</v>
      </c>
      <c r="X8" s="36">
        <f>IF(B8="","",ROUND((IF(H8="",0,H8)+IF(J8="",0,J8))*U8*(1+W8),1))</f>
        <v>0</v>
      </c>
      <c r="Y8" s="20">
        <f>IF(B8="","",ROUND(IF(H8="",0,H8)*U8*(1+W8)*IFERROR(INDEX(Materials!$V$5:$V$254,MATCH(G8,Materials!$A$5:$A$254,0)),0),2))</f>
        <v>0</v>
      </c>
      <c r="Z8" s="20">
        <f>IF(B8="","",ROUND(IF(J8="",0,J8)*U8*(1+W8)*IFERROR(INDEX(Materials!$V$5:$V$254,MATCH(I8,Materials!$A$5:$A$254,0)),0),2))</f>
        <v>0</v>
      </c>
      <c r="AA8" s="36">
        <f>IF(B8="","",IF(IFERROR(INDEX(Materials!$G$5:$G$254,MATCH(G8,Materials!$A$5:$A$254,0)),0)=0,"",ROUNDUP(IF(H8="",0,H8)*U8*(1+W8)/(IFERROR(INDEX(Materials!$G$5:$G$254,MATCH(G8,Materials!$A$5:$A$254,0)),0)*IFERROR(INDEX(Materials!$U$5:$U$254,MATCH(G8,Materials!$A$5:$A$254,0)),1)),0)))</f>
        <v>0</v>
      </c>
      <c r="AB8" s="36">
        <f>IF(B8="","",IF(AA8="","",ROUND(AA8*IFERROR(INDEX(Materials!$G$5:$G$254,MATCH(G8,Materials!$A$5:$A$254,0)),0)*IFERROR(INDEX(Materials!$U$5:$U$254,MATCH(G8,Materials!$A$5:$A$254,0)),1)-IF(H8="",0,H8)*U8*(1+W8),1)))</f>
        <v>0</v>
      </c>
      <c r="AC8" s="20">
        <f>IF(B8="","",IF(N8="",0,ROUND(N8/MAX(1,IF(O8="",1,O8)),2)))</f>
        <v>0</v>
      </c>
      <c r="AD8" s="20">
        <f>IF(B8="","",ROUND(Y8+Z8+IF(L8="",0,L8)+IF(M8="",0,M8)+AC8,2))</f>
        <v>0</v>
      </c>
      <c r="AE8" s="36">
        <f>IF(B8="","",ROUND((IF(P8="",0,P8)*60+IF(Q8="",0,Q8))*V8,1))</f>
        <v>0</v>
      </c>
      <c r="AF8" s="20">
        <f>IF(B8="","",IF(R8&lt;&gt;"",R8,LaborCostHour))</f>
        <v>0</v>
      </c>
      <c r="AG8" s="20">
        <f>IF(B8="","",ROUND(AE8/60*AF8,2))</f>
        <v>0</v>
      </c>
      <c r="AH8" s="20">
        <f>IF(B8="","",ROUND(AE8/60*SuppliesPerHour,2))</f>
        <v>0</v>
      </c>
      <c r="AI8" s="45">
        <f>IF(B8="","",IF(OR(X8="",X8=0),"",ROUND(AD8/X8,4)))</f>
        <v>0</v>
      </c>
      <c r="AJ8" s="20">
        <f>IF(B8="","",ROUND(AD8+AG8+AH8,2))</f>
        <v>0</v>
      </c>
      <c r="AK8" s="33">
        <f>IF(B8="","",IFERROR(INDEX(Channels!$S$5:$S$18,MATCH(DefaultChannel,Channels!$A$5:$A$18,0)),0))</f>
        <v>0</v>
      </c>
      <c r="AL8" s="20">
        <f>IF(B8="","",IFERROR(INDEX(Channels!$T$5:$T$18,MATCH(DefaultChannel,Channels!$A$5:$A$18,0)),0))</f>
        <v>0</v>
      </c>
      <c r="AM8" s="41">
        <f>IF(B8="","",1-TargetRetailMargin-AK8)</f>
        <v>0</v>
      </c>
      <c r="AN8" s="20">
        <f>IF(B8="","",IF(AM8&lt;=0,"",(AJ8+AL8)/AM8))</f>
        <v>0</v>
      </c>
      <c r="AO8" s="20">
        <f>IF(B8="","",IF(AN8="","Check the settings",ROUND(IF(RoundingRule="None",AN8,IF(RoundingRule="Nearest 0.99",MAX(0.99,CEILING(AN8,1)-0.01),IF(RoundingRule="Nearest 0.95",MAX(0.95,CEILING(AN8,1)-0.05),IF(RoundingRule="Nearest 0.50",CEILING(AN8,0.5),IF(RoundingRule="Nearest 1",CEILING(AN8,1),IF(RoundingRule="Nearest 5",CEILING(AN8,5),IF(RoundingRule="Up to whole 1",CEILING(AN8,1),IF(RoundingRule="Up to whole 5",CEILING(AN8,5),ROUND(AN8,2))))))))),2)))</f>
        <v>0</v>
      </c>
      <c r="AP8" s="20">
        <f>IF(B8="","",IF(S8&lt;&gt;"",S8,IF(ISNUMBER(AO8),AO8,"")))</f>
        <v>0</v>
      </c>
      <c r="AQ8" s="20">
        <f>IF(B8="","",IF(AP8="","",ROUND(AP8-AJ8-(AP8*AK8+AL8),2)))</f>
        <v>0</v>
      </c>
      <c r="AR8" s="33">
        <f>IF(B8="","",IF(OR(AP8="",AP8=0),"",AQ8/AP8))</f>
        <v>0</v>
      </c>
      <c r="AS8" s="41">
        <f>IF(B8="","",ROUND(AE8/60,3))</f>
        <v>0</v>
      </c>
      <c r="AT8" s="20">
        <f>IF(B8="","",IF(OR(AS8=0,AS8="",AQ8=""),"",ROUND((AQ8+AG8)/AS8,2)))</f>
        <v>0</v>
      </c>
      <c r="AU8" s="43">
        <f>IF(B8="","",IF(AND(A8&lt;&gt;"",ISERROR(MATCH(A8,Products!$A$5:$A$304,0))),"Check - no such product ID",IF(AD8=0,"Add - no material cost yet",IF(AE8=0,"Add - how long does it take?",IF(AND(A8&lt;&gt;"",COUNTIFS('Material Usage'!$A$5:$A$904,A8)&gt;0),"Check - this product also has a bill of materials",IF(AND(A8&lt;&gt;"",COUNTIFS(Labor!$A$5:$A$304,A8)&gt;0),"Check - this product also has labour lines",IF(AT8&lt;MinimumWage,"Below - pays under minimum wage","OK")))))) )</f>
        <v>0</v>
      </c>
    </row>
    <row r="9" spans="1:47">
      <c r="U9" s="41">
        <f>IF(B9="","",IFERROR(INDEX(SizeMaterialFactors,MATCH(D9,SizeNames,0)),1))</f>
        <v>0</v>
      </c>
      <c r="V9" s="41">
        <f>IF(B9="","",IFERROR(INDEX(SizeTimeFactors,MATCH(D9,SizeNames,0)),1))</f>
        <v>0</v>
      </c>
      <c r="W9" s="33">
        <f>IF(B9="","",IF(K9="",DefaultWaste,K9))</f>
        <v>0</v>
      </c>
      <c r="X9" s="36">
        <f>IF(B9="","",ROUND((IF(H9="",0,H9)+IF(J9="",0,J9))*U9*(1+W9),1))</f>
        <v>0</v>
      </c>
      <c r="Y9" s="20">
        <f>IF(B9="","",ROUND(IF(H9="",0,H9)*U9*(1+W9)*IFERROR(INDEX(Materials!$V$5:$V$254,MATCH(G9,Materials!$A$5:$A$254,0)),0),2))</f>
        <v>0</v>
      </c>
      <c r="Z9" s="20">
        <f>IF(B9="","",ROUND(IF(J9="",0,J9)*U9*(1+W9)*IFERROR(INDEX(Materials!$V$5:$V$254,MATCH(I9,Materials!$A$5:$A$254,0)),0),2))</f>
        <v>0</v>
      </c>
      <c r="AA9" s="36">
        <f>IF(B9="","",IF(IFERROR(INDEX(Materials!$G$5:$G$254,MATCH(G9,Materials!$A$5:$A$254,0)),0)=0,"",ROUNDUP(IF(H9="",0,H9)*U9*(1+W9)/(IFERROR(INDEX(Materials!$G$5:$G$254,MATCH(G9,Materials!$A$5:$A$254,0)),0)*IFERROR(INDEX(Materials!$U$5:$U$254,MATCH(G9,Materials!$A$5:$A$254,0)),1)),0)))</f>
        <v>0</v>
      </c>
      <c r="AB9" s="36">
        <f>IF(B9="","",IF(AA9="","",ROUND(AA9*IFERROR(INDEX(Materials!$G$5:$G$254,MATCH(G9,Materials!$A$5:$A$254,0)),0)*IFERROR(INDEX(Materials!$U$5:$U$254,MATCH(G9,Materials!$A$5:$A$254,0)),1)-IF(H9="",0,H9)*U9*(1+W9),1)))</f>
        <v>0</v>
      </c>
      <c r="AC9" s="20">
        <f>IF(B9="","",IF(N9="",0,ROUND(N9/MAX(1,IF(O9="",1,O9)),2)))</f>
        <v>0</v>
      </c>
      <c r="AD9" s="20">
        <f>IF(B9="","",ROUND(Y9+Z9+IF(L9="",0,L9)+IF(M9="",0,M9)+AC9,2))</f>
        <v>0</v>
      </c>
      <c r="AE9" s="36">
        <f>IF(B9="","",ROUND((IF(P9="",0,P9)*60+IF(Q9="",0,Q9))*V9,1))</f>
        <v>0</v>
      </c>
      <c r="AF9" s="20">
        <f>IF(B9="","",IF(R9&lt;&gt;"",R9,LaborCostHour))</f>
        <v>0</v>
      </c>
      <c r="AG9" s="20">
        <f>IF(B9="","",ROUND(AE9/60*AF9,2))</f>
        <v>0</v>
      </c>
      <c r="AH9" s="20">
        <f>IF(B9="","",ROUND(AE9/60*SuppliesPerHour,2))</f>
        <v>0</v>
      </c>
      <c r="AI9" s="45">
        <f>IF(B9="","",IF(OR(X9="",X9=0),"",ROUND(AD9/X9,4)))</f>
        <v>0</v>
      </c>
      <c r="AJ9" s="20">
        <f>IF(B9="","",ROUND(AD9+AG9+AH9,2))</f>
        <v>0</v>
      </c>
      <c r="AK9" s="33">
        <f>IF(B9="","",IFERROR(INDEX(Channels!$S$5:$S$18,MATCH(DefaultChannel,Channels!$A$5:$A$18,0)),0))</f>
        <v>0</v>
      </c>
      <c r="AL9" s="20">
        <f>IF(B9="","",IFERROR(INDEX(Channels!$T$5:$T$18,MATCH(DefaultChannel,Channels!$A$5:$A$18,0)),0))</f>
        <v>0</v>
      </c>
      <c r="AM9" s="41">
        <f>IF(B9="","",1-TargetRetailMargin-AK9)</f>
        <v>0</v>
      </c>
      <c r="AN9" s="20">
        <f>IF(B9="","",IF(AM9&lt;=0,"",(AJ9+AL9)/AM9))</f>
        <v>0</v>
      </c>
      <c r="AO9" s="20">
        <f>IF(B9="","",IF(AN9="","Check the settings",ROUND(IF(RoundingRule="None",AN9,IF(RoundingRule="Nearest 0.99",MAX(0.99,CEILING(AN9,1)-0.01),IF(RoundingRule="Nearest 0.95",MAX(0.95,CEILING(AN9,1)-0.05),IF(RoundingRule="Nearest 0.50",CEILING(AN9,0.5),IF(RoundingRule="Nearest 1",CEILING(AN9,1),IF(RoundingRule="Nearest 5",CEILING(AN9,5),IF(RoundingRule="Up to whole 1",CEILING(AN9,1),IF(RoundingRule="Up to whole 5",CEILING(AN9,5),ROUND(AN9,2))))))))),2)))</f>
        <v>0</v>
      </c>
      <c r="AP9" s="20">
        <f>IF(B9="","",IF(S9&lt;&gt;"",S9,IF(ISNUMBER(AO9),AO9,"")))</f>
        <v>0</v>
      </c>
      <c r="AQ9" s="20">
        <f>IF(B9="","",IF(AP9="","",ROUND(AP9-AJ9-(AP9*AK9+AL9),2)))</f>
        <v>0</v>
      </c>
      <c r="AR9" s="33">
        <f>IF(B9="","",IF(OR(AP9="",AP9=0),"",AQ9/AP9))</f>
        <v>0</v>
      </c>
      <c r="AS9" s="41">
        <f>IF(B9="","",ROUND(AE9/60,3))</f>
        <v>0</v>
      </c>
      <c r="AT9" s="20">
        <f>IF(B9="","",IF(OR(AS9=0,AS9="",AQ9=""),"",ROUND((AQ9+AG9)/AS9,2)))</f>
        <v>0</v>
      </c>
      <c r="AU9" s="43">
        <f>IF(B9="","",IF(AND(A9&lt;&gt;"",ISERROR(MATCH(A9,Products!$A$5:$A$304,0))),"Check - no such product ID",IF(AD9=0,"Add - no material cost yet",IF(AE9=0,"Add - how long does it take?",IF(AND(A9&lt;&gt;"",COUNTIFS('Material Usage'!$A$5:$A$904,A9)&gt;0),"Check - this product also has a bill of materials",IF(AND(A9&lt;&gt;"",COUNTIFS(Labor!$A$5:$A$304,A9)&gt;0),"Check - this product also has labour lines",IF(AT9&lt;MinimumWage,"Below - pays under minimum wage","OK")))))) )</f>
        <v>0</v>
      </c>
    </row>
    <row r="10" spans="1:47">
      <c r="U10" s="41">
        <f>IF(B10="","",IFERROR(INDEX(SizeMaterialFactors,MATCH(D10,SizeNames,0)),1))</f>
        <v>0</v>
      </c>
      <c r="V10" s="41">
        <f>IF(B10="","",IFERROR(INDEX(SizeTimeFactors,MATCH(D10,SizeNames,0)),1))</f>
        <v>0</v>
      </c>
      <c r="W10" s="33">
        <f>IF(B10="","",IF(K10="",DefaultWaste,K10))</f>
        <v>0</v>
      </c>
      <c r="X10" s="36">
        <f>IF(B10="","",ROUND((IF(H10="",0,H10)+IF(J10="",0,J10))*U10*(1+W10),1))</f>
        <v>0</v>
      </c>
      <c r="Y10" s="20">
        <f>IF(B10="","",ROUND(IF(H10="",0,H10)*U10*(1+W10)*IFERROR(INDEX(Materials!$V$5:$V$254,MATCH(G10,Materials!$A$5:$A$254,0)),0),2))</f>
        <v>0</v>
      </c>
      <c r="Z10" s="20">
        <f>IF(B10="","",ROUND(IF(J10="",0,J10)*U10*(1+W10)*IFERROR(INDEX(Materials!$V$5:$V$254,MATCH(I10,Materials!$A$5:$A$254,0)),0),2))</f>
        <v>0</v>
      </c>
      <c r="AA10" s="36">
        <f>IF(B10="","",IF(IFERROR(INDEX(Materials!$G$5:$G$254,MATCH(G10,Materials!$A$5:$A$254,0)),0)=0,"",ROUNDUP(IF(H10="",0,H10)*U10*(1+W10)/(IFERROR(INDEX(Materials!$G$5:$G$254,MATCH(G10,Materials!$A$5:$A$254,0)),0)*IFERROR(INDEX(Materials!$U$5:$U$254,MATCH(G10,Materials!$A$5:$A$254,0)),1)),0)))</f>
        <v>0</v>
      </c>
      <c r="AB10" s="36">
        <f>IF(B10="","",IF(AA10="","",ROUND(AA10*IFERROR(INDEX(Materials!$G$5:$G$254,MATCH(G10,Materials!$A$5:$A$254,0)),0)*IFERROR(INDEX(Materials!$U$5:$U$254,MATCH(G10,Materials!$A$5:$A$254,0)),1)-IF(H10="",0,H10)*U10*(1+W10),1)))</f>
        <v>0</v>
      </c>
      <c r="AC10" s="20">
        <f>IF(B10="","",IF(N10="",0,ROUND(N10/MAX(1,IF(O10="",1,O10)),2)))</f>
        <v>0</v>
      </c>
      <c r="AD10" s="20">
        <f>IF(B10="","",ROUND(Y10+Z10+IF(L10="",0,L10)+IF(M10="",0,M10)+AC10,2))</f>
        <v>0</v>
      </c>
      <c r="AE10" s="36">
        <f>IF(B10="","",ROUND((IF(P10="",0,P10)*60+IF(Q10="",0,Q10))*V10,1))</f>
        <v>0</v>
      </c>
      <c r="AF10" s="20">
        <f>IF(B10="","",IF(R10&lt;&gt;"",R10,LaborCostHour))</f>
        <v>0</v>
      </c>
      <c r="AG10" s="20">
        <f>IF(B10="","",ROUND(AE10/60*AF10,2))</f>
        <v>0</v>
      </c>
      <c r="AH10" s="20">
        <f>IF(B10="","",ROUND(AE10/60*SuppliesPerHour,2))</f>
        <v>0</v>
      </c>
      <c r="AI10" s="45">
        <f>IF(B10="","",IF(OR(X10="",X10=0),"",ROUND(AD10/X10,4)))</f>
        <v>0</v>
      </c>
      <c r="AJ10" s="20">
        <f>IF(B10="","",ROUND(AD10+AG10+AH10,2))</f>
        <v>0</v>
      </c>
      <c r="AK10" s="33">
        <f>IF(B10="","",IFERROR(INDEX(Channels!$S$5:$S$18,MATCH(DefaultChannel,Channels!$A$5:$A$18,0)),0))</f>
        <v>0</v>
      </c>
      <c r="AL10" s="20">
        <f>IF(B10="","",IFERROR(INDEX(Channels!$T$5:$T$18,MATCH(DefaultChannel,Channels!$A$5:$A$18,0)),0))</f>
        <v>0</v>
      </c>
      <c r="AM10" s="41">
        <f>IF(B10="","",1-TargetRetailMargin-AK10)</f>
        <v>0</v>
      </c>
      <c r="AN10" s="20">
        <f>IF(B10="","",IF(AM10&lt;=0,"",(AJ10+AL10)/AM10))</f>
        <v>0</v>
      </c>
      <c r="AO10" s="20">
        <f>IF(B10="","",IF(AN10="","Check the settings",ROUND(IF(RoundingRule="None",AN10,IF(RoundingRule="Nearest 0.99",MAX(0.99,CEILING(AN10,1)-0.01),IF(RoundingRule="Nearest 0.95",MAX(0.95,CEILING(AN10,1)-0.05),IF(RoundingRule="Nearest 0.50",CEILING(AN10,0.5),IF(RoundingRule="Nearest 1",CEILING(AN10,1),IF(RoundingRule="Nearest 5",CEILING(AN10,5),IF(RoundingRule="Up to whole 1",CEILING(AN10,1),IF(RoundingRule="Up to whole 5",CEILING(AN10,5),ROUND(AN10,2))))))))),2)))</f>
        <v>0</v>
      </c>
      <c r="AP10" s="20">
        <f>IF(B10="","",IF(S10&lt;&gt;"",S10,IF(ISNUMBER(AO10),AO10,"")))</f>
        <v>0</v>
      </c>
      <c r="AQ10" s="20">
        <f>IF(B10="","",IF(AP10="","",ROUND(AP10-AJ10-(AP10*AK10+AL10),2)))</f>
        <v>0</v>
      </c>
      <c r="AR10" s="33">
        <f>IF(B10="","",IF(OR(AP10="",AP10=0),"",AQ10/AP10))</f>
        <v>0</v>
      </c>
      <c r="AS10" s="41">
        <f>IF(B10="","",ROUND(AE10/60,3))</f>
        <v>0</v>
      </c>
      <c r="AT10" s="20">
        <f>IF(B10="","",IF(OR(AS10=0,AS10="",AQ10=""),"",ROUND((AQ10+AG10)/AS10,2)))</f>
        <v>0</v>
      </c>
      <c r="AU10" s="43">
        <f>IF(B10="","",IF(AND(A10&lt;&gt;"",ISERROR(MATCH(A10,Products!$A$5:$A$304,0))),"Check - no such product ID",IF(AD10=0,"Add - no material cost yet",IF(AE10=0,"Add - how long does it take?",IF(AND(A10&lt;&gt;"",COUNTIFS('Material Usage'!$A$5:$A$904,A10)&gt;0),"Check - this product also has a bill of materials",IF(AND(A10&lt;&gt;"",COUNTIFS(Labor!$A$5:$A$304,A10)&gt;0),"Check - this product also has labour lines",IF(AT10&lt;MinimumWage,"Below - pays under minimum wage","OK")))))) )</f>
        <v>0</v>
      </c>
    </row>
    <row r="11" spans="1:47">
      <c r="U11" s="41">
        <f>IF(B11="","",IFERROR(INDEX(SizeMaterialFactors,MATCH(D11,SizeNames,0)),1))</f>
        <v>0</v>
      </c>
      <c r="V11" s="41">
        <f>IF(B11="","",IFERROR(INDEX(SizeTimeFactors,MATCH(D11,SizeNames,0)),1))</f>
        <v>0</v>
      </c>
      <c r="W11" s="33">
        <f>IF(B11="","",IF(K11="",DefaultWaste,K11))</f>
        <v>0</v>
      </c>
      <c r="X11" s="36">
        <f>IF(B11="","",ROUND((IF(H11="",0,H11)+IF(J11="",0,J11))*U11*(1+W11),1))</f>
        <v>0</v>
      </c>
      <c r="Y11" s="20">
        <f>IF(B11="","",ROUND(IF(H11="",0,H11)*U11*(1+W11)*IFERROR(INDEX(Materials!$V$5:$V$254,MATCH(G11,Materials!$A$5:$A$254,0)),0),2))</f>
        <v>0</v>
      </c>
      <c r="Z11" s="20">
        <f>IF(B11="","",ROUND(IF(J11="",0,J11)*U11*(1+W11)*IFERROR(INDEX(Materials!$V$5:$V$254,MATCH(I11,Materials!$A$5:$A$254,0)),0),2))</f>
        <v>0</v>
      </c>
      <c r="AA11" s="36">
        <f>IF(B11="","",IF(IFERROR(INDEX(Materials!$G$5:$G$254,MATCH(G11,Materials!$A$5:$A$254,0)),0)=0,"",ROUNDUP(IF(H11="",0,H11)*U11*(1+W11)/(IFERROR(INDEX(Materials!$G$5:$G$254,MATCH(G11,Materials!$A$5:$A$254,0)),0)*IFERROR(INDEX(Materials!$U$5:$U$254,MATCH(G11,Materials!$A$5:$A$254,0)),1)),0)))</f>
        <v>0</v>
      </c>
      <c r="AB11" s="36">
        <f>IF(B11="","",IF(AA11="","",ROUND(AA11*IFERROR(INDEX(Materials!$G$5:$G$254,MATCH(G11,Materials!$A$5:$A$254,0)),0)*IFERROR(INDEX(Materials!$U$5:$U$254,MATCH(G11,Materials!$A$5:$A$254,0)),1)-IF(H11="",0,H11)*U11*(1+W11),1)))</f>
        <v>0</v>
      </c>
      <c r="AC11" s="20">
        <f>IF(B11="","",IF(N11="",0,ROUND(N11/MAX(1,IF(O11="",1,O11)),2)))</f>
        <v>0</v>
      </c>
      <c r="AD11" s="20">
        <f>IF(B11="","",ROUND(Y11+Z11+IF(L11="",0,L11)+IF(M11="",0,M11)+AC11,2))</f>
        <v>0</v>
      </c>
      <c r="AE11" s="36">
        <f>IF(B11="","",ROUND((IF(P11="",0,P11)*60+IF(Q11="",0,Q11))*V11,1))</f>
        <v>0</v>
      </c>
      <c r="AF11" s="20">
        <f>IF(B11="","",IF(R11&lt;&gt;"",R11,LaborCostHour))</f>
        <v>0</v>
      </c>
      <c r="AG11" s="20">
        <f>IF(B11="","",ROUND(AE11/60*AF11,2))</f>
        <v>0</v>
      </c>
      <c r="AH11" s="20">
        <f>IF(B11="","",ROUND(AE11/60*SuppliesPerHour,2))</f>
        <v>0</v>
      </c>
      <c r="AI11" s="45">
        <f>IF(B11="","",IF(OR(X11="",X11=0),"",ROUND(AD11/X11,4)))</f>
        <v>0</v>
      </c>
      <c r="AJ11" s="20">
        <f>IF(B11="","",ROUND(AD11+AG11+AH11,2))</f>
        <v>0</v>
      </c>
      <c r="AK11" s="33">
        <f>IF(B11="","",IFERROR(INDEX(Channels!$S$5:$S$18,MATCH(DefaultChannel,Channels!$A$5:$A$18,0)),0))</f>
        <v>0</v>
      </c>
      <c r="AL11" s="20">
        <f>IF(B11="","",IFERROR(INDEX(Channels!$T$5:$T$18,MATCH(DefaultChannel,Channels!$A$5:$A$18,0)),0))</f>
        <v>0</v>
      </c>
      <c r="AM11" s="41">
        <f>IF(B11="","",1-TargetRetailMargin-AK11)</f>
        <v>0</v>
      </c>
      <c r="AN11" s="20">
        <f>IF(B11="","",IF(AM11&lt;=0,"",(AJ11+AL11)/AM11))</f>
        <v>0</v>
      </c>
      <c r="AO11" s="20">
        <f>IF(B11="","",IF(AN11="","Check the settings",ROUND(IF(RoundingRule="None",AN11,IF(RoundingRule="Nearest 0.99",MAX(0.99,CEILING(AN11,1)-0.01),IF(RoundingRule="Nearest 0.95",MAX(0.95,CEILING(AN11,1)-0.05),IF(RoundingRule="Nearest 0.50",CEILING(AN11,0.5),IF(RoundingRule="Nearest 1",CEILING(AN11,1),IF(RoundingRule="Nearest 5",CEILING(AN11,5),IF(RoundingRule="Up to whole 1",CEILING(AN11,1),IF(RoundingRule="Up to whole 5",CEILING(AN11,5),ROUND(AN11,2))))))))),2)))</f>
        <v>0</v>
      </c>
      <c r="AP11" s="20">
        <f>IF(B11="","",IF(S11&lt;&gt;"",S11,IF(ISNUMBER(AO11),AO11,"")))</f>
        <v>0</v>
      </c>
      <c r="AQ11" s="20">
        <f>IF(B11="","",IF(AP11="","",ROUND(AP11-AJ11-(AP11*AK11+AL11),2)))</f>
        <v>0</v>
      </c>
      <c r="AR11" s="33">
        <f>IF(B11="","",IF(OR(AP11="",AP11=0),"",AQ11/AP11))</f>
        <v>0</v>
      </c>
      <c r="AS11" s="41">
        <f>IF(B11="","",ROUND(AE11/60,3))</f>
        <v>0</v>
      </c>
      <c r="AT11" s="20">
        <f>IF(B11="","",IF(OR(AS11=0,AS11="",AQ11=""),"",ROUND((AQ11+AG11)/AS11,2)))</f>
        <v>0</v>
      </c>
      <c r="AU11" s="43">
        <f>IF(B11="","",IF(AND(A11&lt;&gt;"",ISERROR(MATCH(A11,Products!$A$5:$A$304,0))),"Check - no such product ID",IF(AD11=0,"Add - no material cost yet",IF(AE11=0,"Add - how long does it take?",IF(AND(A11&lt;&gt;"",COUNTIFS('Material Usage'!$A$5:$A$904,A11)&gt;0),"Check - this product also has a bill of materials",IF(AND(A11&lt;&gt;"",COUNTIFS(Labor!$A$5:$A$304,A11)&gt;0),"Check - this product also has labour lines",IF(AT11&lt;MinimumWage,"Below - pays under minimum wage","OK")))))) )</f>
        <v>0</v>
      </c>
    </row>
    <row r="12" spans="1:47">
      <c r="U12" s="41">
        <f>IF(B12="","",IFERROR(INDEX(SizeMaterialFactors,MATCH(D12,SizeNames,0)),1))</f>
        <v>0</v>
      </c>
      <c r="V12" s="41">
        <f>IF(B12="","",IFERROR(INDEX(SizeTimeFactors,MATCH(D12,SizeNames,0)),1))</f>
        <v>0</v>
      </c>
      <c r="W12" s="33">
        <f>IF(B12="","",IF(K12="",DefaultWaste,K12))</f>
        <v>0</v>
      </c>
      <c r="X12" s="36">
        <f>IF(B12="","",ROUND((IF(H12="",0,H12)+IF(J12="",0,J12))*U12*(1+W12),1))</f>
        <v>0</v>
      </c>
      <c r="Y12" s="20">
        <f>IF(B12="","",ROUND(IF(H12="",0,H12)*U12*(1+W12)*IFERROR(INDEX(Materials!$V$5:$V$254,MATCH(G12,Materials!$A$5:$A$254,0)),0),2))</f>
        <v>0</v>
      </c>
      <c r="Z12" s="20">
        <f>IF(B12="","",ROUND(IF(J12="",0,J12)*U12*(1+W12)*IFERROR(INDEX(Materials!$V$5:$V$254,MATCH(I12,Materials!$A$5:$A$254,0)),0),2))</f>
        <v>0</v>
      </c>
      <c r="AA12" s="36">
        <f>IF(B12="","",IF(IFERROR(INDEX(Materials!$G$5:$G$254,MATCH(G12,Materials!$A$5:$A$254,0)),0)=0,"",ROUNDUP(IF(H12="",0,H12)*U12*(1+W12)/(IFERROR(INDEX(Materials!$G$5:$G$254,MATCH(G12,Materials!$A$5:$A$254,0)),0)*IFERROR(INDEX(Materials!$U$5:$U$254,MATCH(G12,Materials!$A$5:$A$254,0)),1)),0)))</f>
        <v>0</v>
      </c>
      <c r="AB12" s="36">
        <f>IF(B12="","",IF(AA12="","",ROUND(AA12*IFERROR(INDEX(Materials!$G$5:$G$254,MATCH(G12,Materials!$A$5:$A$254,0)),0)*IFERROR(INDEX(Materials!$U$5:$U$254,MATCH(G12,Materials!$A$5:$A$254,0)),1)-IF(H12="",0,H12)*U12*(1+W12),1)))</f>
        <v>0</v>
      </c>
      <c r="AC12" s="20">
        <f>IF(B12="","",IF(N12="",0,ROUND(N12/MAX(1,IF(O12="",1,O12)),2)))</f>
        <v>0</v>
      </c>
      <c r="AD12" s="20">
        <f>IF(B12="","",ROUND(Y12+Z12+IF(L12="",0,L12)+IF(M12="",0,M12)+AC12,2))</f>
        <v>0</v>
      </c>
      <c r="AE12" s="36">
        <f>IF(B12="","",ROUND((IF(P12="",0,P12)*60+IF(Q12="",0,Q12))*V12,1))</f>
        <v>0</v>
      </c>
      <c r="AF12" s="20">
        <f>IF(B12="","",IF(R12&lt;&gt;"",R12,LaborCostHour))</f>
        <v>0</v>
      </c>
      <c r="AG12" s="20">
        <f>IF(B12="","",ROUND(AE12/60*AF12,2))</f>
        <v>0</v>
      </c>
      <c r="AH12" s="20">
        <f>IF(B12="","",ROUND(AE12/60*SuppliesPerHour,2))</f>
        <v>0</v>
      </c>
      <c r="AI12" s="45">
        <f>IF(B12="","",IF(OR(X12="",X12=0),"",ROUND(AD12/X12,4)))</f>
        <v>0</v>
      </c>
      <c r="AJ12" s="20">
        <f>IF(B12="","",ROUND(AD12+AG12+AH12,2))</f>
        <v>0</v>
      </c>
      <c r="AK12" s="33">
        <f>IF(B12="","",IFERROR(INDEX(Channels!$S$5:$S$18,MATCH(DefaultChannel,Channels!$A$5:$A$18,0)),0))</f>
        <v>0</v>
      </c>
      <c r="AL12" s="20">
        <f>IF(B12="","",IFERROR(INDEX(Channels!$T$5:$T$18,MATCH(DefaultChannel,Channels!$A$5:$A$18,0)),0))</f>
        <v>0</v>
      </c>
      <c r="AM12" s="41">
        <f>IF(B12="","",1-TargetRetailMargin-AK12)</f>
        <v>0</v>
      </c>
      <c r="AN12" s="20">
        <f>IF(B12="","",IF(AM12&lt;=0,"",(AJ12+AL12)/AM12))</f>
        <v>0</v>
      </c>
      <c r="AO12" s="20">
        <f>IF(B12="","",IF(AN12="","Check the settings",ROUND(IF(RoundingRule="None",AN12,IF(RoundingRule="Nearest 0.99",MAX(0.99,CEILING(AN12,1)-0.01),IF(RoundingRule="Nearest 0.95",MAX(0.95,CEILING(AN12,1)-0.05),IF(RoundingRule="Nearest 0.50",CEILING(AN12,0.5),IF(RoundingRule="Nearest 1",CEILING(AN12,1),IF(RoundingRule="Nearest 5",CEILING(AN12,5),IF(RoundingRule="Up to whole 1",CEILING(AN12,1),IF(RoundingRule="Up to whole 5",CEILING(AN12,5),ROUND(AN12,2))))))))),2)))</f>
        <v>0</v>
      </c>
      <c r="AP12" s="20">
        <f>IF(B12="","",IF(S12&lt;&gt;"",S12,IF(ISNUMBER(AO12),AO12,"")))</f>
        <v>0</v>
      </c>
      <c r="AQ12" s="20">
        <f>IF(B12="","",IF(AP12="","",ROUND(AP12-AJ12-(AP12*AK12+AL12),2)))</f>
        <v>0</v>
      </c>
      <c r="AR12" s="33">
        <f>IF(B12="","",IF(OR(AP12="",AP12=0),"",AQ12/AP12))</f>
        <v>0</v>
      </c>
      <c r="AS12" s="41">
        <f>IF(B12="","",ROUND(AE12/60,3))</f>
        <v>0</v>
      </c>
      <c r="AT12" s="20">
        <f>IF(B12="","",IF(OR(AS12=0,AS12="",AQ12=""),"",ROUND((AQ12+AG12)/AS12,2)))</f>
        <v>0</v>
      </c>
      <c r="AU12" s="43">
        <f>IF(B12="","",IF(AND(A12&lt;&gt;"",ISERROR(MATCH(A12,Products!$A$5:$A$304,0))),"Check - no such product ID",IF(AD12=0,"Add - no material cost yet",IF(AE12=0,"Add - how long does it take?",IF(AND(A12&lt;&gt;"",COUNTIFS('Material Usage'!$A$5:$A$904,A12)&gt;0),"Check - this product also has a bill of materials",IF(AND(A12&lt;&gt;"",COUNTIFS(Labor!$A$5:$A$304,A12)&gt;0),"Check - this product also has labour lines",IF(AT12&lt;MinimumWage,"Below - pays under minimum wage","OK")))))) )</f>
        <v>0</v>
      </c>
    </row>
    <row r="13" spans="1:47">
      <c r="U13" s="41">
        <f>IF(B13="","",IFERROR(INDEX(SizeMaterialFactors,MATCH(D13,SizeNames,0)),1))</f>
        <v>0</v>
      </c>
      <c r="V13" s="41">
        <f>IF(B13="","",IFERROR(INDEX(SizeTimeFactors,MATCH(D13,SizeNames,0)),1))</f>
        <v>0</v>
      </c>
      <c r="W13" s="33">
        <f>IF(B13="","",IF(K13="",DefaultWaste,K13))</f>
        <v>0</v>
      </c>
      <c r="X13" s="36">
        <f>IF(B13="","",ROUND((IF(H13="",0,H13)+IF(J13="",0,J13))*U13*(1+W13),1))</f>
        <v>0</v>
      </c>
      <c r="Y13" s="20">
        <f>IF(B13="","",ROUND(IF(H13="",0,H13)*U13*(1+W13)*IFERROR(INDEX(Materials!$V$5:$V$254,MATCH(G13,Materials!$A$5:$A$254,0)),0),2))</f>
        <v>0</v>
      </c>
      <c r="Z13" s="20">
        <f>IF(B13="","",ROUND(IF(J13="",0,J13)*U13*(1+W13)*IFERROR(INDEX(Materials!$V$5:$V$254,MATCH(I13,Materials!$A$5:$A$254,0)),0),2))</f>
        <v>0</v>
      </c>
      <c r="AA13" s="36">
        <f>IF(B13="","",IF(IFERROR(INDEX(Materials!$G$5:$G$254,MATCH(G13,Materials!$A$5:$A$254,0)),0)=0,"",ROUNDUP(IF(H13="",0,H13)*U13*(1+W13)/(IFERROR(INDEX(Materials!$G$5:$G$254,MATCH(G13,Materials!$A$5:$A$254,0)),0)*IFERROR(INDEX(Materials!$U$5:$U$254,MATCH(G13,Materials!$A$5:$A$254,0)),1)),0)))</f>
        <v>0</v>
      </c>
      <c r="AB13" s="36">
        <f>IF(B13="","",IF(AA13="","",ROUND(AA13*IFERROR(INDEX(Materials!$G$5:$G$254,MATCH(G13,Materials!$A$5:$A$254,0)),0)*IFERROR(INDEX(Materials!$U$5:$U$254,MATCH(G13,Materials!$A$5:$A$254,0)),1)-IF(H13="",0,H13)*U13*(1+W13),1)))</f>
        <v>0</v>
      </c>
      <c r="AC13" s="20">
        <f>IF(B13="","",IF(N13="",0,ROUND(N13/MAX(1,IF(O13="",1,O13)),2)))</f>
        <v>0</v>
      </c>
      <c r="AD13" s="20">
        <f>IF(B13="","",ROUND(Y13+Z13+IF(L13="",0,L13)+IF(M13="",0,M13)+AC13,2))</f>
        <v>0</v>
      </c>
      <c r="AE13" s="36">
        <f>IF(B13="","",ROUND((IF(P13="",0,P13)*60+IF(Q13="",0,Q13))*V13,1))</f>
        <v>0</v>
      </c>
      <c r="AF13" s="20">
        <f>IF(B13="","",IF(R13&lt;&gt;"",R13,LaborCostHour))</f>
        <v>0</v>
      </c>
      <c r="AG13" s="20">
        <f>IF(B13="","",ROUND(AE13/60*AF13,2))</f>
        <v>0</v>
      </c>
      <c r="AH13" s="20">
        <f>IF(B13="","",ROUND(AE13/60*SuppliesPerHour,2))</f>
        <v>0</v>
      </c>
      <c r="AI13" s="45">
        <f>IF(B13="","",IF(OR(X13="",X13=0),"",ROUND(AD13/X13,4)))</f>
        <v>0</v>
      </c>
      <c r="AJ13" s="20">
        <f>IF(B13="","",ROUND(AD13+AG13+AH13,2))</f>
        <v>0</v>
      </c>
      <c r="AK13" s="33">
        <f>IF(B13="","",IFERROR(INDEX(Channels!$S$5:$S$18,MATCH(DefaultChannel,Channels!$A$5:$A$18,0)),0))</f>
        <v>0</v>
      </c>
      <c r="AL13" s="20">
        <f>IF(B13="","",IFERROR(INDEX(Channels!$T$5:$T$18,MATCH(DefaultChannel,Channels!$A$5:$A$18,0)),0))</f>
        <v>0</v>
      </c>
      <c r="AM13" s="41">
        <f>IF(B13="","",1-TargetRetailMargin-AK13)</f>
        <v>0</v>
      </c>
      <c r="AN13" s="20">
        <f>IF(B13="","",IF(AM13&lt;=0,"",(AJ13+AL13)/AM13))</f>
        <v>0</v>
      </c>
      <c r="AO13" s="20">
        <f>IF(B13="","",IF(AN13="","Check the settings",ROUND(IF(RoundingRule="None",AN13,IF(RoundingRule="Nearest 0.99",MAX(0.99,CEILING(AN13,1)-0.01),IF(RoundingRule="Nearest 0.95",MAX(0.95,CEILING(AN13,1)-0.05),IF(RoundingRule="Nearest 0.50",CEILING(AN13,0.5),IF(RoundingRule="Nearest 1",CEILING(AN13,1),IF(RoundingRule="Nearest 5",CEILING(AN13,5),IF(RoundingRule="Up to whole 1",CEILING(AN13,1),IF(RoundingRule="Up to whole 5",CEILING(AN13,5),ROUND(AN13,2))))))))),2)))</f>
        <v>0</v>
      </c>
      <c r="AP13" s="20">
        <f>IF(B13="","",IF(S13&lt;&gt;"",S13,IF(ISNUMBER(AO13),AO13,"")))</f>
        <v>0</v>
      </c>
      <c r="AQ13" s="20">
        <f>IF(B13="","",IF(AP13="","",ROUND(AP13-AJ13-(AP13*AK13+AL13),2)))</f>
        <v>0</v>
      </c>
      <c r="AR13" s="33">
        <f>IF(B13="","",IF(OR(AP13="",AP13=0),"",AQ13/AP13))</f>
        <v>0</v>
      </c>
      <c r="AS13" s="41">
        <f>IF(B13="","",ROUND(AE13/60,3))</f>
        <v>0</v>
      </c>
      <c r="AT13" s="20">
        <f>IF(B13="","",IF(OR(AS13=0,AS13="",AQ13=""),"",ROUND((AQ13+AG13)/AS13,2)))</f>
        <v>0</v>
      </c>
      <c r="AU13" s="43">
        <f>IF(B13="","",IF(AND(A13&lt;&gt;"",ISERROR(MATCH(A13,Products!$A$5:$A$304,0))),"Check - no such product ID",IF(AD13=0,"Add - no material cost yet",IF(AE13=0,"Add - how long does it take?",IF(AND(A13&lt;&gt;"",COUNTIFS('Material Usage'!$A$5:$A$904,A13)&gt;0),"Check - this product also has a bill of materials",IF(AND(A13&lt;&gt;"",COUNTIFS(Labor!$A$5:$A$304,A13)&gt;0),"Check - this product also has labour lines",IF(AT13&lt;MinimumWage,"Below - pays under minimum wage","OK")))))) )</f>
        <v>0</v>
      </c>
    </row>
    <row r="14" spans="1:47">
      <c r="U14" s="41">
        <f>IF(B14="","",IFERROR(INDEX(SizeMaterialFactors,MATCH(D14,SizeNames,0)),1))</f>
        <v>0</v>
      </c>
      <c r="V14" s="41">
        <f>IF(B14="","",IFERROR(INDEX(SizeTimeFactors,MATCH(D14,SizeNames,0)),1))</f>
        <v>0</v>
      </c>
      <c r="W14" s="33">
        <f>IF(B14="","",IF(K14="",DefaultWaste,K14))</f>
        <v>0</v>
      </c>
      <c r="X14" s="36">
        <f>IF(B14="","",ROUND((IF(H14="",0,H14)+IF(J14="",0,J14))*U14*(1+W14),1))</f>
        <v>0</v>
      </c>
      <c r="Y14" s="20">
        <f>IF(B14="","",ROUND(IF(H14="",0,H14)*U14*(1+W14)*IFERROR(INDEX(Materials!$V$5:$V$254,MATCH(G14,Materials!$A$5:$A$254,0)),0),2))</f>
        <v>0</v>
      </c>
      <c r="Z14" s="20">
        <f>IF(B14="","",ROUND(IF(J14="",0,J14)*U14*(1+W14)*IFERROR(INDEX(Materials!$V$5:$V$254,MATCH(I14,Materials!$A$5:$A$254,0)),0),2))</f>
        <v>0</v>
      </c>
      <c r="AA14" s="36">
        <f>IF(B14="","",IF(IFERROR(INDEX(Materials!$G$5:$G$254,MATCH(G14,Materials!$A$5:$A$254,0)),0)=0,"",ROUNDUP(IF(H14="",0,H14)*U14*(1+W14)/(IFERROR(INDEX(Materials!$G$5:$G$254,MATCH(G14,Materials!$A$5:$A$254,0)),0)*IFERROR(INDEX(Materials!$U$5:$U$254,MATCH(G14,Materials!$A$5:$A$254,0)),1)),0)))</f>
        <v>0</v>
      </c>
      <c r="AB14" s="36">
        <f>IF(B14="","",IF(AA14="","",ROUND(AA14*IFERROR(INDEX(Materials!$G$5:$G$254,MATCH(G14,Materials!$A$5:$A$254,0)),0)*IFERROR(INDEX(Materials!$U$5:$U$254,MATCH(G14,Materials!$A$5:$A$254,0)),1)-IF(H14="",0,H14)*U14*(1+W14),1)))</f>
        <v>0</v>
      </c>
      <c r="AC14" s="20">
        <f>IF(B14="","",IF(N14="",0,ROUND(N14/MAX(1,IF(O14="",1,O14)),2)))</f>
        <v>0</v>
      </c>
      <c r="AD14" s="20">
        <f>IF(B14="","",ROUND(Y14+Z14+IF(L14="",0,L14)+IF(M14="",0,M14)+AC14,2))</f>
        <v>0</v>
      </c>
      <c r="AE14" s="36">
        <f>IF(B14="","",ROUND((IF(P14="",0,P14)*60+IF(Q14="",0,Q14))*V14,1))</f>
        <v>0</v>
      </c>
      <c r="AF14" s="20">
        <f>IF(B14="","",IF(R14&lt;&gt;"",R14,LaborCostHour))</f>
        <v>0</v>
      </c>
      <c r="AG14" s="20">
        <f>IF(B14="","",ROUND(AE14/60*AF14,2))</f>
        <v>0</v>
      </c>
      <c r="AH14" s="20">
        <f>IF(B14="","",ROUND(AE14/60*SuppliesPerHour,2))</f>
        <v>0</v>
      </c>
      <c r="AI14" s="45">
        <f>IF(B14="","",IF(OR(X14="",X14=0),"",ROUND(AD14/X14,4)))</f>
        <v>0</v>
      </c>
      <c r="AJ14" s="20">
        <f>IF(B14="","",ROUND(AD14+AG14+AH14,2))</f>
        <v>0</v>
      </c>
      <c r="AK14" s="33">
        <f>IF(B14="","",IFERROR(INDEX(Channels!$S$5:$S$18,MATCH(DefaultChannel,Channels!$A$5:$A$18,0)),0))</f>
        <v>0</v>
      </c>
      <c r="AL14" s="20">
        <f>IF(B14="","",IFERROR(INDEX(Channels!$T$5:$T$18,MATCH(DefaultChannel,Channels!$A$5:$A$18,0)),0))</f>
        <v>0</v>
      </c>
      <c r="AM14" s="41">
        <f>IF(B14="","",1-TargetRetailMargin-AK14)</f>
        <v>0</v>
      </c>
      <c r="AN14" s="20">
        <f>IF(B14="","",IF(AM14&lt;=0,"",(AJ14+AL14)/AM14))</f>
        <v>0</v>
      </c>
      <c r="AO14" s="20">
        <f>IF(B14="","",IF(AN14="","Check the settings",ROUND(IF(RoundingRule="None",AN14,IF(RoundingRule="Nearest 0.99",MAX(0.99,CEILING(AN14,1)-0.01),IF(RoundingRule="Nearest 0.95",MAX(0.95,CEILING(AN14,1)-0.05),IF(RoundingRule="Nearest 0.50",CEILING(AN14,0.5),IF(RoundingRule="Nearest 1",CEILING(AN14,1),IF(RoundingRule="Nearest 5",CEILING(AN14,5),IF(RoundingRule="Up to whole 1",CEILING(AN14,1),IF(RoundingRule="Up to whole 5",CEILING(AN14,5),ROUND(AN14,2))))))))),2)))</f>
        <v>0</v>
      </c>
      <c r="AP14" s="20">
        <f>IF(B14="","",IF(S14&lt;&gt;"",S14,IF(ISNUMBER(AO14),AO14,"")))</f>
        <v>0</v>
      </c>
      <c r="AQ14" s="20">
        <f>IF(B14="","",IF(AP14="","",ROUND(AP14-AJ14-(AP14*AK14+AL14),2)))</f>
        <v>0</v>
      </c>
      <c r="AR14" s="33">
        <f>IF(B14="","",IF(OR(AP14="",AP14=0),"",AQ14/AP14))</f>
        <v>0</v>
      </c>
      <c r="AS14" s="41">
        <f>IF(B14="","",ROUND(AE14/60,3))</f>
        <v>0</v>
      </c>
      <c r="AT14" s="20">
        <f>IF(B14="","",IF(OR(AS14=0,AS14="",AQ14=""),"",ROUND((AQ14+AG14)/AS14,2)))</f>
        <v>0</v>
      </c>
      <c r="AU14" s="43">
        <f>IF(B14="","",IF(AND(A14&lt;&gt;"",ISERROR(MATCH(A14,Products!$A$5:$A$304,0))),"Check - no such product ID",IF(AD14=0,"Add - no material cost yet",IF(AE14=0,"Add - how long does it take?",IF(AND(A14&lt;&gt;"",COUNTIFS('Material Usage'!$A$5:$A$904,A14)&gt;0),"Check - this product also has a bill of materials",IF(AND(A14&lt;&gt;"",COUNTIFS(Labor!$A$5:$A$304,A14)&gt;0),"Check - this product also has labour lines",IF(AT14&lt;MinimumWage,"Below - pays under minimum wage","OK")))))) )</f>
        <v>0</v>
      </c>
    </row>
    <row r="15" spans="1:47">
      <c r="U15" s="41">
        <f>IF(B15="","",IFERROR(INDEX(SizeMaterialFactors,MATCH(D15,SizeNames,0)),1))</f>
        <v>0</v>
      </c>
      <c r="V15" s="41">
        <f>IF(B15="","",IFERROR(INDEX(SizeTimeFactors,MATCH(D15,SizeNames,0)),1))</f>
        <v>0</v>
      </c>
      <c r="W15" s="33">
        <f>IF(B15="","",IF(K15="",DefaultWaste,K15))</f>
        <v>0</v>
      </c>
      <c r="X15" s="36">
        <f>IF(B15="","",ROUND((IF(H15="",0,H15)+IF(J15="",0,J15))*U15*(1+W15),1))</f>
        <v>0</v>
      </c>
      <c r="Y15" s="20">
        <f>IF(B15="","",ROUND(IF(H15="",0,H15)*U15*(1+W15)*IFERROR(INDEX(Materials!$V$5:$V$254,MATCH(G15,Materials!$A$5:$A$254,0)),0),2))</f>
        <v>0</v>
      </c>
      <c r="Z15" s="20">
        <f>IF(B15="","",ROUND(IF(J15="",0,J15)*U15*(1+W15)*IFERROR(INDEX(Materials!$V$5:$V$254,MATCH(I15,Materials!$A$5:$A$254,0)),0),2))</f>
        <v>0</v>
      </c>
      <c r="AA15" s="36">
        <f>IF(B15="","",IF(IFERROR(INDEX(Materials!$G$5:$G$254,MATCH(G15,Materials!$A$5:$A$254,0)),0)=0,"",ROUNDUP(IF(H15="",0,H15)*U15*(1+W15)/(IFERROR(INDEX(Materials!$G$5:$G$254,MATCH(G15,Materials!$A$5:$A$254,0)),0)*IFERROR(INDEX(Materials!$U$5:$U$254,MATCH(G15,Materials!$A$5:$A$254,0)),1)),0)))</f>
        <v>0</v>
      </c>
      <c r="AB15" s="36">
        <f>IF(B15="","",IF(AA15="","",ROUND(AA15*IFERROR(INDEX(Materials!$G$5:$G$254,MATCH(G15,Materials!$A$5:$A$254,0)),0)*IFERROR(INDEX(Materials!$U$5:$U$254,MATCH(G15,Materials!$A$5:$A$254,0)),1)-IF(H15="",0,H15)*U15*(1+W15),1)))</f>
        <v>0</v>
      </c>
      <c r="AC15" s="20">
        <f>IF(B15="","",IF(N15="",0,ROUND(N15/MAX(1,IF(O15="",1,O15)),2)))</f>
        <v>0</v>
      </c>
      <c r="AD15" s="20">
        <f>IF(B15="","",ROUND(Y15+Z15+IF(L15="",0,L15)+IF(M15="",0,M15)+AC15,2))</f>
        <v>0</v>
      </c>
      <c r="AE15" s="36">
        <f>IF(B15="","",ROUND((IF(P15="",0,P15)*60+IF(Q15="",0,Q15))*V15,1))</f>
        <v>0</v>
      </c>
      <c r="AF15" s="20">
        <f>IF(B15="","",IF(R15&lt;&gt;"",R15,LaborCostHour))</f>
        <v>0</v>
      </c>
      <c r="AG15" s="20">
        <f>IF(B15="","",ROUND(AE15/60*AF15,2))</f>
        <v>0</v>
      </c>
      <c r="AH15" s="20">
        <f>IF(B15="","",ROUND(AE15/60*SuppliesPerHour,2))</f>
        <v>0</v>
      </c>
      <c r="AI15" s="45">
        <f>IF(B15="","",IF(OR(X15="",X15=0),"",ROUND(AD15/X15,4)))</f>
        <v>0</v>
      </c>
      <c r="AJ15" s="20">
        <f>IF(B15="","",ROUND(AD15+AG15+AH15,2))</f>
        <v>0</v>
      </c>
      <c r="AK15" s="33">
        <f>IF(B15="","",IFERROR(INDEX(Channels!$S$5:$S$18,MATCH(DefaultChannel,Channels!$A$5:$A$18,0)),0))</f>
        <v>0</v>
      </c>
      <c r="AL15" s="20">
        <f>IF(B15="","",IFERROR(INDEX(Channels!$T$5:$T$18,MATCH(DefaultChannel,Channels!$A$5:$A$18,0)),0))</f>
        <v>0</v>
      </c>
      <c r="AM15" s="41">
        <f>IF(B15="","",1-TargetRetailMargin-AK15)</f>
        <v>0</v>
      </c>
      <c r="AN15" s="20">
        <f>IF(B15="","",IF(AM15&lt;=0,"",(AJ15+AL15)/AM15))</f>
        <v>0</v>
      </c>
      <c r="AO15" s="20">
        <f>IF(B15="","",IF(AN15="","Check the settings",ROUND(IF(RoundingRule="None",AN15,IF(RoundingRule="Nearest 0.99",MAX(0.99,CEILING(AN15,1)-0.01),IF(RoundingRule="Nearest 0.95",MAX(0.95,CEILING(AN15,1)-0.05),IF(RoundingRule="Nearest 0.50",CEILING(AN15,0.5),IF(RoundingRule="Nearest 1",CEILING(AN15,1),IF(RoundingRule="Nearest 5",CEILING(AN15,5),IF(RoundingRule="Up to whole 1",CEILING(AN15,1),IF(RoundingRule="Up to whole 5",CEILING(AN15,5),ROUND(AN15,2))))))))),2)))</f>
        <v>0</v>
      </c>
      <c r="AP15" s="20">
        <f>IF(B15="","",IF(S15&lt;&gt;"",S15,IF(ISNUMBER(AO15),AO15,"")))</f>
        <v>0</v>
      </c>
      <c r="AQ15" s="20">
        <f>IF(B15="","",IF(AP15="","",ROUND(AP15-AJ15-(AP15*AK15+AL15),2)))</f>
        <v>0</v>
      </c>
      <c r="AR15" s="33">
        <f>IF(B15="","",IF(OR(AP15="",AP15=0),"",AQ15/AP15))</f>
        <v>0</v>
      </c>
      <c r="AS15" s="41">
        <f>IF(B15="","",ROUND(AE15/60,3))</f>
        <v>0</v>
      </c>
      <c r="AT15" s="20">
        <f>IF(B15="","",IF(OR(AS15=0,AS15="",AQ15=""),"",ROUND((AQ15+AG15)/AS15,2)))</f>
        <v>0</v>
      </c>
      <c r="AU15" s="43">
        <f>IF(B15="","",IF(AND(A15&lt;&gt;"",ISERROR(MATCH(A15,Products!$A$5:$A$304,0))),"Check - no such product ID",IF(AD15=0,"Add - no material cost yet",IF(AE15=0,"Add - how long does it take?",IF(AND(A15&lt;&gt;"",COUNTIFS('Material Usage'!$A$5:$A$904,A15)&gt;0),"Check - this product also has a bill of materials",IF(AND(A15&lt;&gt;"",COUNTIFS(Labor!$A$5:$A$304,A15)&gt;0),"Check - this product also has labour lines",IF(AT15&lt;MinimumWage,"Below - pays under minimum wage","OK")))))) )</f>
        <v>0</v>
      </c>
    </row>
    <row r="16" spans="1:47">
      <c r="U16" s="41">
        <f>IF(B16="","",IFERROR(INDEX(SizeMaterialFactors,MATCH(D16,SizeNames,0)),1))</f>
        <v>0</v>
      </c>
      <c r="V16" s="41">
        <f>IF(B16="","",IFERROR(INDEX(SizeTimeFactors,MATCH(D16,SizeNames,0)),1))</f>
        <v>0</v>
      </c>
      <c r="W16" s="33">
        <f>IF(B16="","",IF(K16="",DefaultWaste,K16))</f>
        <v>0</v>
      </c>
      <c r="X16" s="36">
        <f>IF(B16="","",ROUND((IF(H16="",0,H16)+IF(J16="",0,J16))*U16*(1+W16),1))</f>
        <v>0</v>
      </c>
      <c r="Y16" s="20">
        <f>IF(B16="","",ROUND(IF(H16="",0,H16)*U16*(1+W16)*IFERROR(INDEX(Materials!$V$5:$V$254,MATCH(G16,Materials!$A$5:$A$254,0)),0),2))</f>
        <v>0</v>
      </c>
      <c r="Z16" s="20">
        <f>IF(B16="","",ROUND(IF(J16="",0,J16)*U16*(1+W16)*IFERROR(INDEX(Materials!$V$5:$V$254,MATCH(I16,Materials!$A$5:$A$254,0)),0),2))</f>
        <v>0</v>
      </c>
      <c r="AA16" s="36">
        <f>IF(B16="","",IF(IFERROR(INDEX(Materials!$G$5:$G$254,MATCH(G16,Materials!$A$5:$A$254,0)),0)=0,"",ROUNDUP(IF(H16="",0,H16)*U16*(1+W16)/(IFERROR(INDEX(Materials!$G$5:$G$254,MATCH(G16,Materials!$A$5:$A$254,0)),0)*IFERROR(INDEX(Materials!$U$5:$U$254,MATCH(G16,Materials!$A$5:$A$254,0)),1)),0)))</f>
        <v>0</v>
      </c>
      <c r="AB16" s="36">
        <f>IF(B16="","",IF(AA16="","",ROUND(AA16*IFERROR(INDEX(Materials!$G$5:$G$254,MATCH(G16,Materials!$A$5:$A$254,0)),0)*IFERROR(INDEX(Materials!$U$5:$U$254,MATCH(G16,Materials!$A$5:$A$254,0)),1)-IF(H16="",0,H16)*U16*(1+W16),1)))</f>
        <v>0</v>
      </c>
      <c r="AC16" s="20">
        <f>IF(B16="","",IF(N16="",0,ROUND(N16/MAX(1,IF(O16="",1,O16)),2)))</f>
        <v>0</v>
      </c>
      <c r="AD16" s="20">
        <f>IF(B16="","",ROUND(Y16+Z16+IF(L16="",0,L16)+IF(M16="",0,M16)+AC16,2))</f>
        <v>0</v>
      </c>
      <c r="AE16" s="36">
        <f>IF(B16="","",ROUND((IF(P16="",0,P16)*60+IF(Q16="",0,Q16))*V16,1))</f>
        <v>0</v>
      </c>
      <c r="AF16" s="20">
        <f>IF(B16="","",IF(R16&lt;&gt;"",R16,LaborCostHour))</f>
        <v>0</v>
      </c>
      <c r="AG16" s="20">
        <f>IF(B16="","",ROUND(AE16/60*AF16,2))</f>
        <v>0</v>
      </c>
      <c r="AH16" s="20">
        <f>IF(B16="","",ROUND(AE16/60*SuppliesPerHour,2))</f>
        <v>0</v>
      </c>
      <c r="AI16" s="45">
        <f>IF(B16="","",IF(OR(X16="",X16=0),"",ROUND(AD16/X16,4)))</f>
        <v>0</v>
      </c>
      <c r="AJ16" s="20">
        <f>IF(B16="","",ROUND(AD16+AG16+AH16,2))</f>
        <v>0</v>
      </c>
      <c r="AK16" s="33">
        <f>IF(B16="","",IFERROR(INDEX(Channels!$S$5:$S$18,MATCH(DefaultChannel,Channels!$A$5:$A$18,0)),0))</f>
        <v>0</v>
      </c>
      <c r="AL16" s="20">
        <f>IF(B16="","",IFERROR(INDEX(Channels!$T$5:$T$18,MATCH(DefaultChannel,Channels!$A$5:$A$18,0)),0))</f>
        <v>0</v>
      </c>
      <c r="AM16" s="41">
        <f>IF(B16="","",1-TargetRetailMargin-AK16)</f>
        <v>0</v>
      </c>
      <c r="AN16" s="20">
        <f>IF(B16="","",IF(AM16&lt;=0,"",(AJ16+AL16)/AM16))</f>
        <v>0</v>
      </c>
      <c r="AO16" s="20">
        <f>IF(B16="","",IF(AN16="","Check the settings",ROUND(IF(RoundingRule="None",AN16,IF(RoundingRule="Nearest 0.99",MAX(0.99,CEILING(AN16,1)-0.01),IF(RoundingRule="Nearest 0.95",MAX(0.95,CEILING(AN16,1)-0.05),IF(RoundingRule="Nearest 0.50",CEILING(AN16,0.5),IF(RoundingRule="Nearest 1",CEILING(AN16,1),IF(RoundingRule="Nearest 5",CEILING(AN16,5),IF(RoundingRule="Up to whole 1",CEILING(AN16,1),IF(RoundingRule="Up to whole 5",CEILING(AN16,5),ROUND(AN16,2))))))))),2)))</f>
        <v>0</v>
      </c>
      <c r="AP16" s="20">
        <f>IF(B16="","",IF(S16&lt;&gt;"",S16,IF(ISNUMBER(AO16),AO16,"")))</f>
        <v>0</v>
      </c>
      <c r="AQ16" s="20">
        <f>IF(B16="","",IF(AP16="","",ROUND(AP16-AJ16-(AP16*AK16+AL16),2)))</f>
        <v>0</v>
      </c>
      <c r="AR16" s="33">
        <f>IF(B16="","",IF(OR(AP16="",AP16=0),"",AQ16/AP16))</f>
        <v>0</v>
      </c>
      <c r="AS16" s="41">
        <f>IF(B16="","",ROUND(AE16/60,3))</f>
        <v>0</v>
      </c>
      <c r="AT16" s="20">
        <f>IF(B16="","",IF(OR(AS16=0,AS16="",AQ16=""),"",ROUND((AQ16+AG16)/AS16,2)))</f>
        <v>0</v>
      </c>
      <c r="AU16" s="43">
        <f>IF(B16="","",IF(AND(A16&lt;&gt;"",ISERROR(MATCH(A16,Products!$A$5:$A$304,0))),"Check - no such product ID",IF(AD16=0,"Add - no material cost yet",IF(AE16=0,"Add - how long does it take?",IF(AND(A16&lt;&gt;"",COUNTIFS('Material Usage'!$A$5:$A$904,A16)&gt;0),"Check - this product also has a bill of materials",IF(AND(A16&lt;&gt;"",COUNTIFS(Labor!$A$5:$A$304,A16)&gt;0),"Check - this product also has labour lines",IF(AT16&lt;MinimumWage,"Below - pays under minimum wage","OK")))))) )</f>
        <v>0</v>
      </c>
    </row>
    <row r="17" spans="21:47">
      <c r="U17" s="41">
        <f>IF(B17="","",IFERROR(INDEX(SizeMaterialFactors,MATCH(D17,SizeNames,0)),1))</f>
        <v>0</v>
      </c>
      <c r="V17" s="41">
        <f>IF(B17="","",IFERROR(INDEX(SizeTimeFactors,MATCH(D17,SizeNames,0)),1))</f>
        <v>0</v>
      </c>
      <c r="W17" s="33">
        <f>IF(B17="","",IF(K17="",DefaultWaste,K17))</f>
        <v>0</v>
      </c>
      <c r="X17" s="36">
        <f>IF(B17="","",ROUND((IF(H17="",0,H17)+IF(J17="",0,J17))*U17*(1+W17),1))</f>
        <v>0</v>
      </c>
      <c r="Y17" s="20">
        <f>IF(B17="","",ROUND(IF(H17="",0,H17)*U17*(1+W17)*IFERROR(INDEX(Materials!$V$5:$V$254,MATCH(G17,Materials!$A$5:$A$254,0)),0),2))</f>
        <v>0</v>
      </c>
      <c r="Z17" s="20">
        <f>IF(B17="","",ROUND(IF(J17="",0,J17)*U17*(1+W17)*IFERROR(INDEX(Materials!$V$5:$V$254,MATCH(I17,Materials!$A$5:$A$254,0)),0),2))</f>
        <v>0</v>
      </c>
      <c r="AA17" s="36">
        <f>IF(B17="","",IF(IFERROR(INDEX(Materials!$G$5:$G$254,MATCH(G17,Materials!$A$5:$A$254,0)),0)=0,"",ROUNDUP(IF(H17="",0,H17)*U17*(1+W17)/(IFERROR(INDEX(Materials!$G$5:$G$254,MATCH(G17,Materials!$A$5:$A$254,0)),0)*IFERROR(INDEX(Materials!$U$5:$U$254,MATCH(G17,Materials!$A$5:$A$254,0)),1)),0)))</f>
        <v>0</v>
      </c>
      <c r="AB17" s="36">
        <f>IF(B17="","",IF(AA17="","",ROUND(AA17*IFERROR(INDEX(Materials!$G$5:$G$254,MATCH(G17,Materials!$A$5:$A$254,0)),0)*IFERROR(INDEX(Materials!$U$5:$U$254,MATCH(G17,Materials!$A$5:$A$254,0)),1)-IF(H17="",0,H17)*U17*(1+W17),1)))</f>
        <v>0</v>
      </c>
      <c r="AC17" s="20">
        <f>IF(B17="","",IF(N17="",0,ROUND(N17/MAX(1,IF(O17="",1,O17)),2)))</f>
        <v>0</v>
      </c>
      <c r="AD17" s="20">
        <f>IF(B17="","",ROUND(Y17+Z17+IF(L17="",0,L17)+IF(M17="",0,M17)+AC17,2))</f>
        <v>0</v>
      </c>
      <c r="AE17" s="36">
        <f>IF(B17="","",ROUND((IF(P17="",0,P17)*60+IF(Q17="",0,Q17))*V17,1))</f>
        <v>0</v>
      </c>
      <c r="AF17" s="20">
        <f>IF(B17="","",IF(R17&lt;&gt;"",R17,LaborCostHour))</f>
        <v>0</v>
      </c>
      <c r="AG17" s="20">
        <f>IF(B17="","",ROUND(AE17/60*AF17,2))</f>
        <v>0</v>
      </c>
      <c r="AH17" s="20">
        <f>IF(B17="","",ROUND(AE17/60*SuppliesPerHour,2))</f>
        <v>0</v>
      </c>
      <c r="AI17" s="45">
        <f>IF(B17="","",IF(OR(X17="",X17=0),"",ROUND(AD17/X17,4)))</f>
        <v>0</v>
      </c>
      <c r="AJ17" s="20">
        <f>IF(B17="","",ROUND(AD17+AG17+AH17,2))</f>
        <v>0</v>
      </c>
      <c r="AK17" s="33">
        <f>IF(B17="","",IFERROR(INDEX(Channels!$S$5:$S$18,MATCH(DefaultChannel,Channels!$A$5:$A$18,0)),0))</f>
        <v>0</v>
      </c>
      <c r="AL17" s="20">
        <f>IF(B17="","",IFERROR(INDEX(Channels!$T$5:$T$18,MATCH(DefaultChannel,Channels!$A$5:$A$18,0)),0))</f>
        <v>0</v>
      </c>
      <c r="AM17" s="41">
        <f>IF(B17="","",1-TargetRetailMargin-AK17)</f>
        <v>0</v>
      </c>
      <c r="AN17" s="20">
        <f>IF(B17="","",IF(AM17&lt;=0,"",(AJ17+AL17)/AM17))</f>
        <v>0</v>
      </c>
      <c r="AO17" s="20">
        <f>IF(B17="","",IF(AN17="","Check the settings",ROUND(IF(RoundingRule="None",AN17,IF(RoundingRule="Nearest 0.99",MAX(0.99,CEILING(AN17,1)-0.01),IF(RoundingRule="Nearest 0.95",MAX(0.95,CEILING(AN17,1)-0.05),IF(RoundingRule="Nearest 0.50",CEILING(AN17,0.5),IF(RoundingRule="Nearest 1",CEILING(AN17,1),IF(RoundingRule="Nearest 5",CEILING(AN17,5),IF(RoundingRule="Up to whole 1",CEILING(AN17,1),IF(RoundingRule="Up to whole 5",CEILING(AN17,5),ROUND(AN17,2))))))))),2)))</f>
        <v>0</v>
      </c>
      <c r="AP17" s="20">
        <f>IF(B17="","",IF(S17&lt;&gt;"",S17,IF(ISNUMBER(AO17),AO17,"")))</f>
        <v>0</v>
      </c>
      <c r="AQ17" s="20">
        <f>IF(B17="","",IF(AP17="","",ROUND(AP17-AJ17-(AP17*AK17+AL17),2)))</f>
        <v>0</v>
      </c>
      <c r="AR17" s="33">
        <f>IF(B17="","",IF(OR(AP17="",AP17=0),"",AQ17/AP17))</f>
        <v>0</v>
      </c>
      <c r="AS17" s="41">
        <f>IF(B17="","",ROUND(AE17/60,3))</f>
        <v>0</v>
      </c>
      <c r="AT17" s="20">
        <f>IF(B17="","",IF(OR(AS17=0,AS17="",AQ17=""),"",ROUND((AQ17+AG17)/AS17,2)))</f>
        <v>0</v>
      </c>
      <c r="AU17" s="43">
        <f>IF(B17="","",IF(AND(A17&lt;&gt;"",ISERROR(MATCH(A17,Products!$A$5:$A$304,0))),"Check - no such product ID",IF(AD17=0,"Add - no material cost yet",IF(AE17=0,"Add - how long does it take?",IF(AND(A17&lt;&gt;"",COUNTIFS('Material Usage'!$A$5:$A$904,A17)&gt;0),"Check - this product also has a bill of materials",IF(AND(A17&lt;&gt;"",COUNTIFS(Labor!$A$5:$A$304,A17)&gt;0),"Check - this product also has labour lines",IF(AT17&lt;MinimumWage,"Below - pays under minimum wage","OK")))))) )</f>
        <v>0</v>
      </c>
    </row>
    <row r="18" spans="21:47">
      <c r="U18" s="41">
        <f>IF(B18="","",IFERROR(INDEX(SizeMaterialFactors,MATCH(D18,SizeNames,0)),1))</f>
        <v>0</v>
      </c>
      <c r="V18" s="41">
        <f>IF(B18="","",IFERROR(INDEX(SizeTimeFactors,MATCH(D18,SizeNames,0)),1))</f>
        <v>0</v>
      </c>
      <c r="W18" s="33">
        <f>IF(B18="","",IF(K18="",DefaultWaste,K18))</f>
        <v>0</v>
      </c>
      <c r="X18" s="36">
        <f>IF(B18="","",ROUND((IF(H18="",0,H18)+IF(J18="",0,J18))*U18*(1+W18),1))</f>
        <v>0</v>
      </c>
      <c r="Y18" s="20">
        <f>IF(B18="","",ROUND(IF(H18="",0,H18)*U18*(1+W18)*IFERROR(INDEX(Materials!$V$5:$V$254,MATCH(G18,Materials!$A$5:$A$254,0)),0),2))</f>
        <v>0</v>
      </c>
      <c r="Z18" s="20">
        <f>IF(B18="","",ROUND(IF(J18="",0,J18)*U18*(1+W18)*IFERROR(INDEX(Materials!$V$5:$V$254,MATCH(I18,Materials!$A$5:$A$254,0)),0),2))</f>
        <v>0</v>
      </c>
      <c r="AA18" s="36">
        <f>IF(B18="","",IF(IFERROR(INDEX(Materials!$G$5:$G$254,MATCH(G18,Materials!$A$5:$A$254,0)),0)=0,"",ROUNDUP(IF(H18="",0,H18)*U18*(1+W18)/(IFERROR(INDEX(Materials!$G$5:$G$254,MATCH(G18,Materials!$A$5:$A$254,0)),0)*IFERROR(INDEX(Materials!$U$5:$U$254,MATCH(G18,Materials!$A$5:$A$254,0)),1)),0)))</f>
        <v>0</v>
      </c>
      <c r="AB18" s="36">
        <f>IF(B18="","",IF(AA18="","",ROUND(AA18*IFERROR(INDEX(Materials!$G$5:$G$254,MATCH(G18,Materials!$A$5:$A$254,0)),0)*IFERROR(INDEX(Materials!$U$5:$U$254,MATCH(G18,Materials!$A$5:$A$254,0)),1)-IF(H18="",0,H18)*U18*(1+W18),1)))</f>
        <v>0</v>
      </c>
      <c r="AC18" s="20">
        <f>IF(B18="","",IF(N18="",0,ROUND(N18/MAX(1,IF(O18="",1,O18)),2)))</f>
        <v>0</v>
      </c>
      <c r="AD18" s="20">
        <f>IF(B18="","",ROUND(Y18+Z18+IF(L18="",0,L18)+IF(M18="",0,M18)+AC18,2))</f>
        <v>0</v>
      </c>
      <c r="AE18" s="36">
        <f>IF(B18="","",ROUND((IF(P18="",0,P18)*60+IF(Q18="",0,Q18))*V18,1))</f>
        <v>0</v>
      </c>
      <c r="AF18" s="20">
        <f>IF(B18="","",IF(R18&lt;&gt;"",R18,LaborCostHour))</f>
        <v>0</v>
      </c>
      <c r="AG18" s="20">
        <f>IF(B18="","",ROUND(AE18/60*AF18,2))</f>
        <v>0</v>
      </c>
      <c r="AH18" s="20">
        <f>IF(B18="","",ROUND(AE18/60*SuppliesPerHour,2))</f>
        <v>0</v>
      </c>
      <c r="AI18" s="45">
        <f>IF(B18="","",IF(OR(X18="",X18=0),"",ROUND(AD18/X18,4)))</f>
        <v>0</v>
      </c>
      <c r="AJ18" s="20">
        <f>IF(B18="","",ROUND(AD18+AG18+AH18,2))</f>
        <v>0</v>
      </c>
      <c r="AK18" s="33">
        <f>IF(B18="","",IFERROR(INDEX(Channels!$S$5:$S$18,MATCH(DefaultChannel,Channels!$A$5:$A$18,0)),0))</f>
        <v>0</v>
      </c>
      <c r="AL18" s="20">
        <f>IF(B18="","",IFERROR(INDEX(Channels!$T$5:$T$18,MATCH(DefaultChannel,Channels!$A$5:$A$18,0)),0))</f>
        <v>0</v>
      </c>
      <c r="AM18" s="41">
        <f>IF(B18="","",1-TargetRetailMargin-AK18)</f>
        <v>0</v>
      </c>
      <c r="AN18" s="20">
        <f>IF(B18="","",IF(AM18&lt;=0,"",(AJ18+AL18)/AM18))</f>
        <v>0</v>
      </c>
      <c r="AO18" s="20">
        <f>IF(B18="","",IF(AN18="","Check the settings",ROUND(IF(RoundingRule="None",AN18,IF(RoundingRule="Nearest 0.99",MAX(0.99,CEILING(AN18,1)-0.01),IF(RoundingRule="Nearest 0.95",MAX(0.95,CEILING(AN18,1)-0.05),IF(RoundingRule="Nearest 0.50",CEILING(AN18,0.5),IF(RoundingRule="Nearest 1",CEILING(AN18,1),IF(RoundingRule="Nearest 5",CEILING(AN18,5),IF(RoundingRule="Up to whole 1",CEILING(AN18,1),IF(RoundingRule="Up to whole 5",CEILING(AN18,5),ROUND(AN18,2))))))))),2)))</f>
        <v>0</v>
      </c>
      <c r="AP18" s="20">
        <f>IF(B18="","",IF(S18&lt;&gt;"",S18,IF(ISNUMBER(AO18),AO18,"")))</f>
        <v>0</v>
      </c>
      <c r="AQ18" s="20">
        <f>IF(B18="","",IF(AP18="","",ROUND(AP18-AJ18-(AP18*AK18+AL18),2)))</f>
        <v>0</v>
      </c>
      <c r="AR18" s="33">
        <f>IF(B18="","",IF(OR(AP18="",AP18=0),"",AQ18/AP18))</f>
        <v>0</v>
      </c>
      <c r="AS18" s="41">
        <f>IF(B18="","",ROUND(AE18/60,3))</f>
        <v>0</v>
      </c>
      <c r="AT18" s="20">
        <f>IF(B18="","",IF(OR(AS18=0,AS18="",AQ18=""),"",ROUND((AQ18+AG18)/AS18,2)))</f>
        <v>0</v>
      </c>
      <c r="AU18" s="43">
        <f>IF(B18="","",IF(AND(A18&lt;&gt;"",ISERROR(MATCH(A18,Products!$A$5:$A$304,0))),"Check - no such product ID",IF(AD18=0,"Add - no material cost yet",IF(AE18=0,"Add - how long does it take?",IF(AND(A18&lt;&gt;"",COUNTIFS('Material Usage'!$A$5:$A$904,A18)&gt;0),"Check - this product also has a bill of materials",IF(AND(A18&lt;&gt;"",COUNTIFS(Labor!$A$5:$A$304,A18)&gt;0),"Check - this product also has labour lines",IF(AT18&lt;MinimumWage,"Below - pays under minimum wage","OK")))))) )</f>
        <v>0</v>
      </c>
    </row>
    <row r="19" spans="21:47">
      <c r="U19" s="41">
        <f>IF(B19="","",IFERROR(INDEX(SizeMaterialFactors,MATCH(D19,SizeNames,0)),1))</f>
        <v>0</v>
      </c>
      <c r="V19" s="41">
        <f>IF(B19="","",IFERROR(INDEX(SizeTimeFactors,MATCH(D19,SizeNames,0)),1))</f>
        <v>0</v>
      </c>
      <c r="W19" s="33">
        <f>IF(B19="","",IF(K19="",DefaultWaste,K19))</f>
        <v>0</v>
      </c>
      <c r="X19" s="36">
        <f>IF(B19="","",ROUND((IF(H19="",0,H19)+IF(J19="",0,J19))*U19*(1+W19),1))</f>
        <v>0</v>
      </c>
      <c r="Y19" s="20">
        <f>IF(B19="","",ROUND(IF(H19="",0,H19)*U19*(1+W19)*IFERROR(INDEX(Materials!$V$5:$V$254,MATCH(G19,Materials!$A$5:$A$254,0)),0),2))</f>
        <v>0</v>
      </c>
      <c r="Z19" s="20">
        <f>IF(B19="","",ROUND(IF(J19="",0,J19)*U19*(1+W19)*IFERROR(INDEX(Materials!$V$5:$V$254,MATCH(I19,Materials!$A$5:$A$254,0)),0),2))</f>
        <v>0</v>
      </c>
      <c r="AA19" s="36">
        <f>IF(B19="","",IF(IFERROR(INDEX(Materials!$G$5:$G$254,MATCH(G19,Materials!$A$5:$A$254,0)),0)=0,"",ROUNDUP(IF(H19="",0,H19)*U19*(1+W19)/(IFERROR(INDEX(Materials!$G$5:$G$254,MATCH(G19,Materials!$A$5:$A$254,0)),0)*IFERROR(INDEX(Materials!$U$5:$U$254,MATCH(G19,Materials!$A$5:$A$254,0)),1)),0)))</f>
        <v>0</v>
      </c>
      <c r="AB19" s="36">
        <f>IF(B19="","",IF(AA19="","",ROUND(AA19*IFERROR(INDEX(Materials!$G$5:$G$254,MATCH(G19,Materials!$A$5:$A$254,0)),0)*IFERROR(INDEX(Materials!$U$5:$U$254,MATCH(G19,Materials!$A$5:$A$254,0)),1)-IF(H19="",0,H19)*U19*(1+W19),1)))</f>
        <v>0</v>
      </c>
      <c r="AC19" s="20">
        <f>IF(B19="","",IF(N19="",0,ROUND(N19/MAX(1,IF(O19="",1,O19)),2)))</f>
        <v>0</v>
      </c>
      <c r="AD19" s="20">
        <f>IF(B19="","",ROUND(Y19+Z19+IF(L19="",0,L19)+IF(M19="",0,M19)+AC19,2))</f>
        <v>0</v>
      </c>
      <c r="AE19" s="36">
        <f>IF(B19="","",ROUND((IF(P19="",0,P19)*60+IF(Q19="",0,Q19))*V19,1))</f>
        <v>0</v>
      </c>
      <c r="AF19" s="20">
        <f>IF(B19="","",IF(R19&lt;&gt;"",R19,LaborCostHour))</f>
        <v>0</v>
      </c>
      <c r="AG19" s="20">
        <f>IF(B19="","",ROUND(AE19/60*AF19,2))</f>
        <v>0</v>
      </c>
      <c r="AH19" s="20">
        <f>IF(B19="","",ROUND(AE19/60*SuppliesPerHour,2))</f>
        <v>0</v>
      </c>
      <c r="AI19" s="45">
        <f>IF(B19="","",IF(OR(X19="",X19=0),"",ROUND(AD19/X19,4)))</f>
        <v>0</v>
      </c>
      <c r="AJ19" s="20">
        <f>IF(B19="","",ROUND(AD19+AG19+AH19,2))</f>
        <v>0</v>
      </c>
      <c r="AK19" s="33">
        <f>IF(B19="","",IFERROR(INDEX(Channels!$S$5:$S$18,MATCH(DefaultChannel,Channels!$A$5:$A$18,0)),0))</f>
        <v>0</v>
      </c>
      <c r="AL19" s="20">
        <f>IF(B19="","",IFERROR(INDEX(Channels!$T$5:$T$18,MATCH(DefaultChannel,Channels!$A$5:$A$18,0)),0))</f>
        <v>0</v>
      </c>
      <c r="AM19" s="41">
        <f>IF(B19="","",1-TargetRetailMargin-AK19)</f>
        <v>0</v>
      </c>
      <c r="AN19" s="20">
        <f>IF(B19="","",IF(AM19&lt;=0,"",(AJ19+AL19)/AM19))</f>
        <v>0</v>
      </c>
      <c r="AO19" s="20">
        <f>IF(B19="","",IF(AN19="","Check the settings",ROUND(IF(RoundingRule="None",AN19,IF(RoundingRule="Nearest 0.99",MAX(0.99,CEILING(AN19,1)-0.01),IF(RoundingRule="Nearest 0.95",MAX(0.95,CEILING(AN19,1)-0.05),IF(RoundingRule="Nearest 0.50",CEILING(AN19,0.5),IF(RoundingRule="Nearest 1",CEILING(AN19,1),IF(RoundingRule="Nearest 5",CEILING(AN19,5),IF(RoundingRule="Up to whole 1",CEILING(AN19,1),IF(RoundingRule="Up to whole 5",CEILING(AN19,5),ROUND(AN19,2))))))))),2)))</f>
        <v>0</v>
      </c>
      <c r="AP19" s="20">
        <f>IF(B19="","",IF(S19&lt;&gt;"",S19,IF(ISNUMBER(AO19),AO19,"")))</f>
        <v>0</v>
      </c>
      <c r="AQ19" s="20">
        <f>IF(B19="","",IF(AP19="","",ROUND(AP19-AJ19-(AP19*AK19+AL19),2)))</f>
        <v>0</v>
      </c>
      <c r="AR19" s="33">
        <f>IF(B19="","",IF(OR(AP19="",AP19=0),"",AQ19/AP19))</f>
        <v>0</v>
      </c>
      <c r="AS19" s="41">
        <f>IF(B19="","",ROUND(AE19/60,3))</f>
        <v>0</v>
      </c>
      <c r="AT19" s="20">
        <f>IF(B19="","",IF(OR(AS19=0,AS19="",AQ19=""),"",ROUND((AQ19+AG19)/AS19,2)))</f>
        <v>0</v>
      </c>
      <c r="AU19" s="43">
        <f>IF(B19="","",IF(AND(A19&lt;&gt;"",ISERROR(MATCH(A19,Products!$A$5:$A$304,0))),"Check - no such product ID",IF(AD19=0,"Add - no material cost yet",IF(AE19=0,"Add - how long does it take?",IF(AND(A19&lt;&gt;"",COUNTIFS('Material Usage'!$A$5:$A$904,A19)&gt;0),"Check - this product also has a bill of materials",IF(AND(A19&lt;&gt;"",COUNTIFS(Labor!$A$5:$A$304,A19)&gt;0),"Check - this product also has labour lines",IF(AT19&lt;MinimumWage,"Below - pays under minimum wage","OK")))))) )</f>
        <v>0</v>
      </c>
    </row>
    <row r="20" spans="21:47">
      <c r="U20" s="41">
        <f>IF(B20="","",IFERROR(INDEX(SizeMaterialFactors,MATCH(D20,SizeNames,0)),1))</f>
        <v>0</v>
      </c>
      <c r="V20" s="41">
        <f>IF(B20="","",IFERROR(INDEX(SizeTimeFactors,MATCH(D20,SizeNames,0)),1))</f>
        <v>0</v>
      </c>
      <c r="W20" s="33">
        <f>IF(B20="","",IF(K20="",DefaultWaste,K20))</f>
        <v>0</v>
      </c>
      <c r="X20" s="36">
        <f>IF(B20="","",ROUND((IF(H20="",0,H20)+IF(J20="",0,J20))*U20*(1+W20),1))</f>
        <v>0</v>
      </c>
      <c r="Y20" s="20">
        <f>IF(B20="","",ROUND(IF(H20="",0,H20)*U20*(1+W20)*IFERROR(INDEX(Materials!$V$5:$V$254,MATCH(G20,Materials!$A$5:$A$254,0)),0),2))</f>
        <v>0</v>
      </c>
      <c r="Z20" s="20">
        <f>IF(B20="","",ROUND(IF(J20="",0,J20)*U20*(1+W20)*IFERROR(INDEX(Materials!$V$5:$V$254,MATCH(I20,Materials!$A$5:$A$254,0)),0),2))</f>
        <v>0</v>
      </c>
      <c r="AA20" s="36">
        <f>IF(B20="","",IF(IFERROR(INDEX(Materials!$G$5:$G$254,MATCH(G20,Materials!$A$5:$A$254,0)),0)=0,"",ROUNDUP(IF(H20="",0,H20)*U20*(1+W20)/(IFERROR(INDEX(Materials!$G$5:$G$254,MATCH(G20,Materials!$A$5:$A$254,0)),0)*IFERROR(INDEX(Materials!$U$5:$U$254,MATCH(G20,Materials!$A$5:$A$254,0)),1)),0)))</f>
        <v>0</v>
      </c>
      <c r="AB20" s="36">
        <f>IF(B20="","",IF(AA20="","",ROUND(AA20*IFERROR(INDEX(Materials!$G$5:$G$254,MATCH(G20,Materials!$A$5:$A$254,0)),0)*IFERROR(INDEX(Materials!$U$5:$U$254,MATCH(G20,Materials!$A$5:$A$254,0)),1)-IF(H20="",0,H20)*U20*(1+W20),1)))</f>
        <v>0</v>
      </c>
      <c r="AC20" s="20">
        <f>IF(B20="","",IF(N20="",0,ROUND(N20/MAX(1,IF(O20="",1,O20)),2)))</f>
        <v>0</v>
      </c>
      <c r="AD20" s="20">
        <f>IF(B20="","",ROUND(Y20+Z20+IF(L20="",0,L20)+IF(M20="",0,M20)+AC20,2))</f>
        <v>0</v>
      </c>
      <c r="AE20" s="36">
        <f>IF(B20="","",ROUND((IF(P20="",0,P20)*60+IF(Q20="",0,Q20))*V20,1))</f>
        <v>0</v>
      </c>
      <c r="AF20" s="20">
        <f>IF(B20="","",IF(R20&lt;&gt;"",R20,LaborCostHour))</f>
        <v>0</v>
      </c>
      <c r="AG20" s="20">
        <f>IF(B20="","",ROUND(AE20/60*AF20,2))</f>
        <v>0</v>
      </c>
      <c r="AH20" s="20">
        <f>IF(B20="","",ROUND(AE20/60*SuppliesPerHour,2))</f>
        <v>0</v>
      </c>
      <c r="AI20" s="45">
        <f>IF(B20="","",IF(OR(X20="",X20=0),"",ROUND(AD20/X20,4)))</f>
        <v>0</v>
      </c>
      <c r="AJ20" s="20">
        <f>IF(B20="","",ROUND(AD20+AG20+AH20,2))</f>
        <v>0</v>
      </c>
      <c r="AK20" s="33">
        <f>IF(B20="","",IFERROR(INDEX(Channels!$S$5:$S$18,MATCH(DefaultChannel,Channels!$A$5:$A$18,0)),0))</f>
        <v>0</v>
      </c>
      <c r="AL20" s="20">
        <f>IF(B20="","",IFERROR(INDEX(Channels!$T$5:$T$18,MATCH(DefaultChannel,Channels!$A$5:$A$18,0)),0))</f>
        <v>0</v>
      </c>
      <c r="AM20" s="41">
        <f>IF(B20="","",1-TargetRetailMargin-AK20)</f>
        <v>0</v>
      </c>
      <c r="AN20" s="20">
        <f>IF(B20="","",IF(AM20&lt;=0,"",(AJ20+AL20)/AM20))</f>
        <v>0</v>
      </c>
      <c r="AO20" s="20">
        <f>IF(B20="","",IF(AN20="","Check the settings",ROUND(IF(RoundingRule="None",AN20,IF(RoundingRule="Nearest 0.99",MAX(0.99,CEILING(AN20,1)-0.01),IF(RoundingRule="Nearest 0.95",MAX(0.95,CEILING(AN20,1)-0.05),IF(RoundingRule="Nearest 0.50",CEILING(AN20,0.5),IF(RoundingRule="Nearest 1",CEILING(AN20,1),IF(RoundingRule="Nearest 5",CEILING(AN20,5),IF(RoundingRule="Up to whole 1",CEILING(AN20,1),IF(RoundingRule="Up to whole 5",CEILING(AN20,5),ROUND(AN20,2))))))))),2)))</f>
        <v>0</v>
      </c>
      <c r="AP20" s="20">
        <f>IF(B20="","",IF(S20&lt;&gt;"",S20,IF(ISNUMBER(AO20),AO20,"")))</f>
        <v>0</v>
      </c>
      <c r="AQ20" s="20">
        <f>IF(B20="","",IF(AP20="","",ROUND(AP20-AJ20-(AP20*AK20+AL20),2)))</f>
        <v>0</v>
      </c>
      <c r="AR20" s="33">
        <f>IF(B20="","",IF(OR(AP20="",AP20=0),"",AQ20/AP20))</f>
        <v>0</v>
      </c>
      <c r="AS20" s="41">
        <f>IF(B20="","",ROUND(AE20/60,3))</f>
        <v>0</v>
      </c>
      <c r="AT20" s="20">
        <f>IF(B20="","",IF(OR(AS20=0,AS20="",AQ20=""),"",ROUND((AQ20+AG20)/AS20,2)))</f>
        <v>0</v>
      </c>
      <c r="AU20" s="43">
        <f>IF(B20="","",IF(AND(A20&lt;&gt;"",ISERROR(MATCH(A20,Products!$A$5:$A$304,0))),"Check - no such product ID",IF(AD20=0,"Add - no material cost yet",IF(AE20=0,"Add - how long does it take?",IF(AND(A20&lt;&gt;"",COUNTIFS('Material Usage'!$A$5:$A$904,A20)&gt;0),"Check - this product also has a bill of materials",IF(AND(A20&lt;&gt;"",COUNTIFS(Labor!$A$5:$A$304,A20)&gt;0),"Check - this product also has labour lines",IF(AT20&lt;MinimumWage,"Below - pays under minimum wage","OK")))))) )</f>
        <v>0</v>
      </c>
    </row>
    <row r="21" spans="21:47">
      <c r="U21" s="41">
        <f>IF(B21="","",IFERROR(INDEX(SizeMaterialFactors,MATCH(D21,SizeNames,0)),1))</f>
        <v>0</v>
      </c>
      <c r="V21" s="41">
        <f>IF(B21="","",IFERROR(INDEX(SizeTimeFactors,MATCH(D21,SizeNames,0)),1))</f>
        <v>0</v>
      </c>
      <c r="W21" s="33">
        <f>IF(B21="","",IF(K21="",DefaultWaste,K21))</f>
        <v>0</v>
      </c>
      <c r="X21" s="36">
        <f>IF(B21="","",ROUND((IF(H21="",0,H21)+IF(J21="",0,J21))*U21*(1+W21),1))</f>
        <v>0</v>
      </c>
      <c r="Y21" s="20">
        <f>IF(B21="","",ROUND(IF(H21="",0,H21)*U21*(1+W21)*IFERROR(INDEX(Materials!$V$5:$V$254,MATCH(G21,Materials!$A$5:$A$254,0)),0),2))</f>
        <v>0</v>
      </c>
      <c r="Z21" s="20">
        <f>IF(B21="","",ROUND(IF(J21="",0,J21)*U21*(1+W21)*IFERROR(INDEX(Materials!$V$5:$V$254,MATCH(I21,Materials!$A$5:$A$254,0)),0),2))</f>
        <v>0</v>
      </c>
      <c r="AA21" s="36">
        <f>IF(B21="","",IF(IFERROR(INDEX(Materials!$G$5:$G$254,MATCH(G21,Materials!$A$5:$A$254,0)),0)=0,"",ROUNDUP(IF(H21="",0,H21)*U21*(1+W21)/(IFERROR(INDEX(Materials!$G$5:$G$254,MATCH(G21,Materials!$A$5:$A$254,0)),0)*IFERROR(INDEX(Materials!$U$5:$U$254,MATCH(G21,Materials!$A$5:$A$254,0)),1)),0)))</f>
        <v>0</v>
      </c>
      <c r="AB21" s="36">
        <f>IF(B21="","",IF(AA21="","",ROUND(AA21*IFERROR(INDEX(Materials!$G$5:$G$254,MATCH(G21,Materials!$A$5:$A$254,0)),0)*IFERROR(INDEX(Materials!$U$5:$U$254,MATCH(G21,Materials!$A$5:$A$254,0)),1)-IF(H21="",0,H21)*U21*(1+W21),1)))</f>
        <v>0</v>
      </c>
      <c r="AC21" s="20">
        <f>IF(B21="","",IF(N21="",0,ROUND(N21/MAX(1,IF(O21="",1,O21)),2)))</f>
        <v>0</v>
      </c>
      <c r="AD21" s="20">
        <f>IF(B21="","",ROUND(Y21+Z21+IF(L21="",0,L21)+IF(M21="",0,M21)+AC21,2))</f>
        <v>0</v>
      </c>
      <c r="AE21" s="36">
        <f>IF(B21="","",ROUND((IF(P21="",0,P21)*60+IF(Q21="",0,Q21))*V21,1))</f>
        <v>0</v>
      </c>
      <c r="AF21" s="20">
        <f>IF(B21="","",IF(R21&lt;&gt;"",R21,LaborCostHour))</f>
        <v>0</v>
      </c>
      <c r="AG21" s="20">
        <f>IF(B21="","",ROUND(AE21/60*AF21,2))</f>
        <v>0</v>
      </c>
      <c r="AH21" s="20">
        <f>IF(B21="","",ROUND(AE21/60*SuppliesPerHour,2))</f>
        <v>0</v>
      </c>
      <c r="AI21" s="45">
        <f>IF(B21="","",IF(OR(X21="",X21=0),"",ROUND(AD21/X21,4)))</f>
        <v>0</v>
      </c>
      <c r="AJ21" s="20">
        <f>IF(B21="","",ROUND(AD21+AG21+AH21,2))</f>
        <v>0</v>
      </c>
      <c r="AK21" s="33">
        <f>IF(B21="","",IFERROR(INDEX(Channels!$S$5:$S$18,MATCH(DefaultChannel,Channels!$A$5:$A$18,0)),0))</f>
        <v>0</v>
      </c>
      <c r="AL21" s="20">
        <f>IF(B21="","",IFERROR(INDEX(Channels!$T$5:$T$18,MATCH(DefaultChannel,Channels!$A$5:$A$18,0)),0))</f>
        <v>0</v>
      </c>
      <c r="AM21" s="41">
        <f>IF(B21="","",1-TargetRetailMargin-AK21)</f>
        <v>0</v>
      </c>
      <c r="AN21" s="20">
        <f>IF(B21="","",IF(AM21&lt;=0,"",(AJ21+AL21)/AM21))</f>
        <v>0</v>
      </c>
      <c r="AO21" s="20">
        <f>IF(B21="","",IF(AN21="","Check the settings",ROUND(IF(RoundingRule="None",AN21,IF(RoundingRule="Nearest 0.99",MAX(0.99,CEILING(AN21,1)-0.01),IF(RoundingRule="Nearest 0.95",MAX(0.95,CEILING(AN21,1)-0.05),IF(RoundingRule="Nearest 0.50",CEILING(AN21,0.5),IF(RoundingRule="Nearest 1",CEILING(AN21,1),IF(RoundingRule="Nearest 5",CEILING(AN21,5),IF(RoundingRule="Up to whole 1",CEILING(AN21,1),IF(RoundingRule="Up to whole 5",CEILING(AN21,5),ROUND(AN21,2))))))))),2)))</f>
        <v>0</v>
      </c>
      <c r="AP21" s="20">
        <f>IF(B21="","",IF(S21&lt;&gt;"",S21,IF(ISNUMBER(AO21),AO21,"")))</f>
        <v>0</v>
      </c>
      <c r="AQ21" s="20">
        <f>IF(B21="","",IF(AP21="","",ROUND(AP21-AJ21-(AP21*AK21+AL21),2)))</f>
        <v>0</v>
      </c>
      <c r="AR21" s="33">
        <f>IF(B21="","",IF(OR(AP21="",AP21=0),"",AQ21/AP21))</f>
        <v>0</v>
      </c>
      <c r="AS21" s="41">
        <f>IF(B21="","",ROUND(AE21/60,3))</f>
        <v>0</v>
      </c>
      <c r="AT21" s="20">
        <f>IF(B21="","",IF(OR(AS21=0,AS21="",AQ21=""),"",ROUND((AQ21+AG21)/AS21,2)))</f>
        <v>0</v>
      </c>
      <c r="AU21" s="43">
        <f>IF(B21="","",IF(AND(A21&lt;&gt;"",ISERROR(MATCH(A21,Products!$A$5:$A$304,0))),"Check - no such product ID",IF(AD21=0,"Add - no material cost yet",IF(AE21=0,"Add - how long does it take?",IF(AND(A21&lt;&gt;"",COUNTIFS('Material Usage'!$A$5:$A$904,A21)&gt;0),"Check - this product also has a bill of materials",IF(AND(A21&lt;&gt;"",COUNTIFS(Labor!$A$5:$A$304,A21)&gt;0),"Check - this product also has labour lines",IF(AT21&lt;MinimumWage,"Below - pays under minimum wage","OK")))))) )</f>
        <v>0</v>
      </c>
    </row>
    <row r="22" spans="21:47">
      <c r="U22" s="41">
        <f>IF(B22="","",IFERROR(INDEX(SizeMaterialFactors,MATCH(D22,SizeNames,0)),1))</f>
        <v>0</v>
      </c>
      <c r="V22" s="41">
        <f>IF(B22="","",IFERROR(INDEX(SizeTimeFactors,MATCH(D22,SizeNames,0)),1))</f>
        <v>0</v>
      </c>
      <c r="W22" s="33">
        <f>IF(B22="","",IF(K22="",DefaultWaste,K22))</f>
        <v>0</v>
      </c>
      <c r="X22" s="36">
        <f>IF(B22="","",ROUND((IF(H22="",0,H22)+IF(J22="",0,J22))*U22*(1+W22),1))</f>
        <v>0</v>
      </c>
      <c r="Y22" s="20">
        <f>IF(B22="","",ROUND(IF(H22="",0,H22)*U22*(1+W22)*IFERROR(INDEX(Materials!$V$5:$V$254,MATCH(G22,Materials!$A$5:$A$254,0)),0),2))</f>
        <v>0</v>
      </c>
      <c r="Z22" s="20">
        <f>IF(B22="","",ROUND(IF(J22="",0,J22)*U22*(1+W22)*IFERROR(INDEX(Materials!$V$5:$V$254,MATCH(I22,Materials!$A$5:$A$254,0)),0),2))</f>
        <v>0</v>
      </c>
      <c r="AA22" s="36">
        <f>IF(B22="","",IF(IFERROR(INDEX(Materials!$G$5:$G$254,MATCH(G22,Materials!$A$5:$A$254,0)),0)=0,"",ROUNDUP(IF(H22="",0,H22)*U22*(1+W22)/(IFERROR(INDEX(Materials!$G$5:$G$254,MATCH(G22,Materials!$A$5:$A$254,0)),0)*IFERROR(INDEX(Materials!$U$5:$U$254,MATCH(G22,Materials!$A$5:$A$254,0)),1)),0)))</f>
        <v>0</v>
      </c>
      <c r="AB22" s="36">
        <f>IF(B22="","",IF(AA22="","",ROUND(AA22*IFERROR(INDEX(Materials!$G$5:$G$254,MATCH(G22,Materials!$A$5:$A$254,0)),0)*IFERROR(INDEX(Materials!$U$5:$U$254,MATCH(G22,Materials!$A$5:$A$254,0)),1)-IF(H22="",0,H22)*U22*(1+W22),1)))</f>
        <v>0</v>
      </c>
      <c r="AC22" s="20">
        <f>IF(B22="","",IF(N22="",0,ROUND(N22/MAX(1,IF(O22="",1,O22)),2)))</f>
        <v>0</v>
      </c>
      <c r="AD22" s="20">
        <f>IF(B22="","",ROUND(Y22+Z22+IF(L22="",0,L22)+IF(M22="",0,M22)+AC22,2))</f>
        <v>0</v>
      </c>
      <c r="AE22" s="36">
        <f>IF(B22="","",ROUND((IF(P22="",0,P22)*60+IF(Q22="",0,Q22))*V22,1))</f>
        <v>0</v>
      </c>
      <c r="AF22" s="20">
        <f>IF(B22="","",IF(R22&lt;&gt;"",R22,LaborCostHour))</f>
        <v>0</v>
      </c>
      <c r="AG22" s="20">
        <f>IF(B22="","",ROUND(AE22/60*AF22,2))</f>
        <v>0</v>
      </c>
      <c r="AH22" s="20">
        <f>IF(B22="","",ROUND(AE22/60*SuppliesPerHour,2))</f>
        <v>0</v>
      </c>
      <c r="AI22" s="45">
        <f>IF(B22="","",IF(OR(X22="",X22=0),"",ROUND(AD22/X22,4)))</f>
        <v>0</v>
      </c>
      <c r="AJ22" s="20">
        <f>IF(B22="","",ROUND(AD22+AG22+AH22,2))</f>
        <v>0</v>
      </c>
      <c r="AK22" s="33">
        <f>IF(B22="","",IFERROR(INDEX(Channels!$S$5:$S$18,MATCH(DefaultChannel,Channels!$A$5:$A$18,0)),0))</f>
        <v>0</v>
      </c>
      <c r="AL22" s="20">
        <f>IF(B22="","",IFERROR(INDEX(Channels!$T$5:$T$18,MATCH(DefaultChannel,Channels!$A$5:$A$18,0)),0))</f>
        <v>0</v>
      </c>
      <c r="AM22" s="41">
        <f>IF(B22="","",1-TargetRetailMargin-AK22)</f>
        <v>0</v>
      </c>
      <c r="AN22" s="20">
        <f>IF(B22="","",IF(AM22&lt;=0,"",(AJ22+AL22)/AM22))</f>
        <v>0</v>
      </c>
      <c r="AO22" s="20">
        <f>IF(B22="","",IF(AN22="","Check the settings",ROUND(IF(RoundingRule="None",AN22,IF(RoundingRule="Nearest 0.99",MAX(0.99,CEILING(AN22,1)-0.01),IF(RoundingRule="Nearest 0.95",MAX(0.95,CEILING(AN22,1)-0.05),IF(RoundingRule="Nearest 0.50",CEILING(AN22,0.5),IF(RoundingRule="Nearest 1",CEILING(AN22,1),IF(RoundingRule="Nearest 5",CEILING(AN22,5),IF(RoundingRule="Up to whole 1",CEILING(AN22,1),IF(RoundingRule="Up to whole 5",CEILING(AN22,5),ROUND(AN22,2))))))))),2)))</f>
        <v>0</v>
      </c>
      <c r="AP22" s="20">
        <f>IF(B22="","",IF(S22&lt;&gt;"",S22,IF(ISNUMBER(AO22),AO22,"")))</f>
        <v>0</v>
      </c>
      <c r="AQ22" s="20">
        <f>IF(B22="","",IF(AP22="","",ROUND(AP22-AJ22-(AP22*AK22+AL22),2)))</f>
        <v>0</v>
      </c>
      <c r="AR22" s="33">
        <f>IF(B22="","",IF(OR(AP22="",AP22=0),"",AQ22/AP22))</f>
        <v>0</v>
      </c>
      <c r="AS22" s="41">
        <f>IF(B22="","",ROUND(AE22/60,3))</f>
        <v>0</v>
      </c>
      <c r="AT22" s="20">
        <f>IF(B22="","",IF(OR(AS22=0,AS22="",AQ22=""),"",ROUND((AQ22+AG22)/AS22,2)))</f>
        <v>0</v>
      </c>
      <c r="AU22" s="43">
        <f>IF(B22="","",IF(AND(A22&lt;&gt;"",ISERROR(MATCH(A22,Products!$A$5:$A$304,0))),"Check - no such product ID",IF(AD22=0,"Add - no material cost yet",IF(AE22=0,"Add - how long does it take?",IF(AND(A22&lt;&gt;"",COUNTIFS('Material Usage'!$A$5:$A$904,A22)&gt;0),"Check - this product also has a bill of materials",IF(AND(A22&lt;&gt;"",COUNTIFS(Labor!$A$5:$A$304,A22)&gt;0),"Check - this product also has labour lines",IF(AT22&lt;MinimumWage,"Below - pays under minimum wage","OK")))))) )</f>
        <v>0</v>
      </c>
    </row>
    <row r="23" spans="21:47">
      <c r="U23" s="41">
        <f>IF(B23="","",IFERROR(INDEX(SizeMaterialFactors,MATCH(D23,SizeNames,0)),1))</f>
        <v>0</v>
      </c>
      <c r="V23" s="41">
        <f>IF(B23="","",IFERROR(INDEX(SizeTimeFactors,MATCH(D23,SizeNames,0)),1))</f>
        <v>0</v>
      </c>
      <c r="W23" s="33">
        <f>IF(B23="","",IF(K23="",DefaultWaste,K23))</f>
        <v>0</v>
      </c>
      <c r="X23" s="36">
        <f>IF(B23="","",ROUND((IF(H23="",0,H23)+IF(J23="",0,J23))*U23*(1+W23),1))</f>
        <v>0</v>
      </c>
      <c r="Y23" s="20">
        <f>IF(B23="","",ROUND(IF(H23="",0,H23)*U23*(1+W23)*IFERROR(INDEX(Materials!$V$5:$V$254,MATCH(G23,Materials!$A$5:$A$254,0)),0),2))</f>
        <v>0</v>
      </c>
      <c r="Z23" s="20">
        <f>IF(B23="","",ROUND(IF(J23="",0,J23)*U23*(1+W23)*IFERROR(INDEX(Materials!$V$5:$V$254,MATCH(I23,Materials!$A$5:$A$254,0)),0),2))</f>
        <v>0</v>
      </c>
      <c r="AA23" s="36">
        <f>IF(B23="","",IF(IFERROR(INDEX(Materials!$G$5:$G$254,MATCH(G23,Materials!$A$5:$A$254,0)),0)=0,"",ROUNDUP(IF(H23="",0,H23)*U23*(1+W23)/(IFERROR(INDEX(Materials!$G$5:$G$254,MATCH(G23,Materials!$A$5:$A$254,0)),0)*IFERROR(INDEX(Materials!$U$5:$U$254,MATCH(G23,Materials!$A$5:$A$254,0)),1)),0)))</f>
        <v>0</v>
      </c>
      <c r="AB23" s="36">
        <f>IF(B23="","",IF(AA23="","",ROUND(AA23*IFERROR(INDEX(Materials!$G$5:$G$254,MATCH(G23,Materials!$A$5:$A$254,0)),0)*IFERROR(INDEX(Materials!$U$5:$U$254,MATCH(G23,Materials!$A$5:$A$254,0)),1)-IF(H23="",0,H23)*U23*(1+W23),1)))</f>
        <v>0</v>
      </c>
      <c r="AC23" s="20">
        <f>IF(B23="","",IF(N23="",0,ROUND(N23/MAX(1,IF(O23="",1,O23)),2)))</f>
        <v>0</v>
      </c>
      <c r="AD23" s="20">
        <f>IF(B23="","",ROUND(Y23+Z23+IF(L23="",0,L23)+IF(M23="",0,M23)+AC23,2))</f>
        <v>0</v>
      </c>
      <c r="AE23" s="36">
        <f>IF(B23="","",ROUND((IF(P23="",0,P23)*60+IF(Q23="",0,Q23))*V23,1))</f>
        <v>0</v>
      </c>
      <c r="AF23" s="20">
        <f>IF(B23="","",IF(R23&lt;&gt;"",R23,LaborCostHour))</f>
        <v>0</v>
      </c>
      <c r="AG23" s="20">
        <f>IF(B23="","",ROUND(AE23/60*AF23,2))</f>
        <v>0</v>
      </c>
      <c r="AH23" s="20">
        <f>IF(B23="","",ROUND(AE23/60*SuppliesPerHour,2))</f>
        <v>0</v>
      </c>
      <c r="AI23" s="45">
        <f>IF(B23="","",IF(OR(X23="",X23=0),"",ROUND(AD23/X23,4)))</f>
        <v>0</v>
      </c>
      <c r="AJ23" s="20">
        <f>IF(B23="","",ROUND(AD23+AG23+AH23,2))</f>
        <v>0</v>
      </c>
      <c r="AK23" s="33">
        <f>IF(B23="","",IFERROR(INDEX(Channels!$S$5:$S$18,MATCH(DefaultChannel,Channels!$A$5:$A$18,0)),0))</f>
        <v>0</v>
      </c>
      <c r="AL23" s="20">
        <f>IF(B23="","",IFERROR(INDEX(Channels!$T$5:$T$18,MATCH(DefaultChannel,Channels!$A$5:$A$18,0)),0))</f>
        <v>0</v>
      </c>
      <c r="AM23" s="41">
        <f>IF(B23="","",1-TargetRetailMargin-AK23)</f>
        <v>0</v>
      </c>
      <c r="AN23" s="20">
        <f>IF(B23="","",IF(AM23&lt;=0,"",(AJ23+AL23)/AM23))</f>
        <v>0</v>
      </c>
      <c r="AO23" s="20">
        <f>IF(B23="","",IF(AN23="","Check the settings",ROUND(IF(RoundingRule="None",AN23,IF(RoundingRule="Nearest 0.99",MAX(0.99,CEILING(AN23,1)-0.01),IF(RoundingRule="Nearest 0.95",MAX(0.95,CEILING(AN23,1)-0.05),IF(RoundingRule="Nearest 0.50",CEILING(AN23,0.5),IF(RoundingRule="Nearest 1",CEILING(AN23,1),IF(RoundingRule="Nearest 5",CEILING(AN23,5),IF(RoundingRule="Up to whole 1",CEILING(AN23,1),IF(RoundingRule="Up to whole 5",CEILING(AN23,5),ROUND(AN23,2))))))))),2)))</f>
        <v>0</v>
      </c>
      <c r="AP23" s="20">
        <f>IF(B23="","",IF(S23&lt;&gt;"",S23,IF(ISNUMBER(AO23),AO23,"")))</f>
        <v>0</v>
      </c>
      <c r="AQ23" s="20">
        <f>IF(B23="","",IF(AP23="","",ROUND(AP23-AJ23-(AP23*AK23+AL23),2)))</f>
        <v>0</v>
      </c>
      <c r="AR23" s="33">
        <f>IF(B23="","",IF(OR(AP23="",AP23=0),"",AQ23/AP23))</f>
        <v>0</v>
      </c>
      <c r="AS23" s="41">
        <f>IF(B23="","",ROUND(AE23/60,3))</f>
        <v>0</v>
      </c>
      <c r="AT23" s="20">
        <f>IF(B23="","",IF(OR(AS23=0,AS23="",AQ23=""),"",ROUND((AQ23+AG23)/AS23,2)))</f>
        <v>0</v>
      </c>
      <c r="AU23" s="43">
        <f>IF(B23="","",IF(AND(A23&lt;&gt;"",ISERROR(MATCH(A23,Products!$A$5:$A$304,0))),"Check - no such product ID",IF(AD23=0,"Add - no material cost yet",IF(AE23=0,"Add - how long does it take?",IF(AND(A23&lt;&gt;"",COUNTIFS('Material Usage'!$A$5:$A$904,A23)&gt;0),"Check - this product also has a bill of materials",IF(AND(A23&lt;&gt;"",COUNTIFS(Labor!$A$5:$A$304,A23)&gt;0),"Check - this product also has labour lines",IF(AT23&lt;MinimumWage,"Below - pays under minimum wage","OK")))))) )</f>
        <v>0</v>
      </c>
    </row>
    <row r="24" spans="21:47">
      <c r="U24" s="41">
        <f>IF(B24="","",IFERROR(INDEX(SizeMaterialFactors,MATCH(D24,SizeNames,0)),1))</f>
        <v>0</v>
      </c>
      <c r="V24" s="41">
        <f>IF(B24="","",IFERROR(INDEX(SizeTimeFactors,MATCH(D24,SizeNames,0)),1))</f>
        <v>0</v>
      </c>
      <c r="W24" s="33">
        <f>IF(B24="","",IF(K24="",DefaultWaste,K24))</f>
        <v>0</v>
      </c>
      <c r="X24" s="36">
        <f>IF(B24="","",ROUND((IF(H24="",0,H24)+IF(J24="",0,J24))*U24*(1+W24),1))</f>
        <v>0</v>
      </c>
      <c r="Y24" s="20">
        <f>IF(B24="","",ROUND(IF(H24="",0,H24)*U24*(1+W24)*IFERROR(INDEX(Materials!$V$5:$V$254,MATCH(G24,Materials!$A$5:$A$254,0)),0),2))</f>
        <v>0</v>
      </c>
      <c r="Z24" s="20">
        <f>IF(B24="","",ROUND(IF(J24="",0,J24)*U24*(1+W24)*IFERROR(INDEX(Materials!$V$5:$V$254,MATCH(I24,Materials!$A$5:$A$254,0)),0),2))</f>
        <v>0</v>
      </c>
      <c r="AA24" s="36">
        <f>IF(B24="","",IF(IFERROR(INDEX(Materials!$G$5:$G$254,MATCH(G24,Materials!$A$5:$A$254,0)),0)=0,"",ROUNDUP(IF(H24="",0,H24)*U24*(1+W24)/(IFERROR(INDEX(Materials!$G$5:$G$254,MATCH(G24,Materials!$A$5:$A$254,0)),0)*IFERROR(INDEX(Materials!$U$5:$U$254,MATCH(G24,Materials!$A$5:$A$254,0)),1)),0)))</f>
        <v>0</v>
      </c>
      <c r="AB24" s="36">
        <f>IF(B24="","",IF(AA24="","",ROUND(AA24*IFERROR(INDEX(Materials!$G$5:$G$254,MATCH(G24,Materials!$A$5:$A$254,0)),0)*IFERROR(INDEX(Materials!$U$5:$U$254,MATCH(G24,Materials!$A$5:$A$254,0)),1)-IF(H24="",0,H24)*U24*(1+W24),1)))</f>
        <v>0</v>
      </c>
      <c r="AC24" s="20">
        <f>IF(B24="","",IF(N24="",0,ROUND(N24/MAX(1,IF(O24="",1,O24)),2)))</f>
        <v>0</v>
      </c>
      <c r="AD24" s="20">
        <f>IF(B24="","",ROUND(Y24+Z24+IF(L24="",0,L24)+IF(M24="",0,M24)+AC24,2))</f>
        <v>0</v>
      </c>
      <c r="AE24" s="36">
        <f>IF(B24="","",ROUND((IF(P24="",0,P24)*60+IF(Q24="",0,Q24))*V24,1))</f>
        <v>0</v>
      </c>
      <c r="AF24" s="20">
        <f>IF(B24="","",IF(R24&lt;&gt;"",R24,LaborCostHour))</f>
        <v>0</v>
      </c>
      <c r="AG24" s="20">
        <f>IF(B24="","",ROUND(AE24/60*AF24,2))</f>
        <v>0</v>
      </c>
      <c r="AH24" s="20">
        <f>IF(B24="","",ROUND(AE24/60*SuppliesPerHour,2))</f>
        <v>0</v>
      </c>
      <c r="AI24" s="45">
        <f>IF(B24="","",IF(OR(X24="",X24=0),"",ROUND(AD24/X24,4)))</f>
        <v>0</v>
      </c>
      <c r="AJ24" s="20">
        <f>IF(B24="","",ROUND(AD24+AG24+AH24,2))</f>
        <v>0</v>
      </c>
      <c r="AK24" s="33">
        <f>IF(B24="","",IFERROR(INDEX(Channels!$S$5:$S$18,MATCH(DefaultChannel,Channels!$A$5:$A$18,0)),0))</f>
        <v>0</v>
      </c>
      <c r="AL24" s="20">
        <f>IF(B24="","",IFERROR(INDEX(Channels!$T$5:$T$18,MATCH(DefaultChannel,Channels!$A$5:$A$18,0)),0))</f>
        <v>0</v>
      </c>
      <c r="AM24" s="41">
        <f>IF(B24="","",1-TargetRetailMargin-AK24)</f>
        <v>0</v>
      </c>
      <c r="AN24" s="20">
        <f>IF(B24="","",IF(AM24&lt;=0,"",(AJ24+AL24)/AM24))</f>
        <v>0</v>
      </c>
      <c r="AO24" s="20">
        <f>IF(B24="","",IF(AN24="","Check the settings",ROUND(IF(RoundingRule="None",AN24,IF(RoundingRule="Nearest 0.99",MAX(0.99,CEILING(AN24,1)-0.01),IF(RoundingRule="Nearest 0.95",MAX(0.95,CEILING(AN24,1)-0.05),IF(RoundingRule="Nearest 0.50",CEILING(AN24,0.5),IF(RoundingRule="Nearest 1",CEILING(AN24,1),IF(RoundingRule="Nearest 5",CEILING(AN24,5),IF(RoundingRule="Up to whole 1",CEILING(AN24,1),IF(RoundingRule="Up to whole 5",CEILING(AN24,5),ROUND(AN24,2))))))))),2)))</f>
        <v>0</v>
      </c>
      <c r="AP24" s="20">
        <f>IF(B24="","",IF(S24&lt;&gt;"",S24,IF(ISNUMBER(AO24),AO24,"")))</f>
        <v>0</v>
      </c>
      <c r="AQ24" s="20">
        <f>IF(B24="","",IF(AP24="","",ROUND(AP24-AJ24-(AP24*AK24+AL24),2)))</f>
        <v>0</v>
      </c>
      <c r="AR24" s="33">
        <f>IF(B24="","",IF(OR(AP24="",AP24=0),"",AQ24/AP24))</f>
        <v>0</v>
      </c>
      <c r="AS24" s="41">
        <f>IF(B24="","",ROUND(AE24/60,3))</f>
        <v>0</v>
      </c>
      <c r="AT24" s="20">
        <f>IF(B24="","",IF(OR(AS24=0,AS24="",AQ24=""),"",ROUND((AQ24+AG24)/AS24,2)))</f>
        <v>0</v>
      </c>
      <c r="AU24" s="43">
        <f>IF(B24="","",IF(AND(A24&lt;&gt;"",ISERROR(MATCH(A24,Products!$A$5:$A$304,0))),"Check - no such product ID",IF(AD24=0,"Add - no material cost yet",IF(AE24=0,"Add - how long does it take?",IF(AND(A24&lt;&gt;"",COUNTIFS('Material Usage'!$A$5:$A$904,A24)&gt;0),"Check - this product also has a bill of materials",IF(AND(A24&lt;&gt;"",COUNTIFS(Labor!$A$5:$A$304,A24)&gt;0),"Check - this product also has labour lines",IF(AT24&lt;MinimumWage,"Below - pays under minimum wage","OK")))))) )</f>
        <v>0</v>
      </c>
    </row>
    <row r="25" spans="21:47">
      <c r="U25" s="41">
        <f>IF(B25="","",IFERROR(INDEX(SizeMaterialFactors,MATCH(D25,SizeNames,0)),1))</f>
        <v>0</v>
      </c>
      <c r="V25" s="41">
        <f>IF(B25="","",IFERROR(INDEX(SizeTimeFactors,MATCH(D25,SizeNames,0)),1))</f>
        <v>0</v>
      </c>
      <c r="W25" s="33">
        <f>IF(B25="","",IF(K25="",DefaultWaste,K25))</f>
        <v>0</v>
      </c>
      <c r="X25" s="36">
        <f>IF(B25="","",ROUND((IF(H25="",0,H25)+IF(J25="",0,J25))*U25*(1+W25),1))</f>
        <v>0</v>
      </c>
      <c r="Y25" s="20">
        <f>IF(B25="","",ROUND(IF(H25="",0,H25)*U25*(1+W25)*IFERROR(INDEX(Materials!$V$5:$V$254,MATCH(G25,Materials!$A$5:$A$254,0)),0),2))</f>
        <v>0</v>
      </c>
      <c r="Z25" s="20">
        <f>IF(B25="","",ROUND(IF(J25="",0,J25)*U25*(1+W25)*IFERROR(INDEX(Materials!$V$5:$V$254,MATCH(I25,Materials!$A$5:$A$254,0)),0),2))</f>
        <v>0</v>
      </c>
      <c r="AA25" s="36">
        <f>IF(B25="","",IF(IFERROR(INDEX(Materials!$G$5:$G$254,MATCH(G25,Materials!$A$5:$A$254,0)),0)=0,"",ROUNDUP(IF(H25="",0,H25)*U25*(1+W25)/(IFERROR(INDEX(Materials!$G$5:$G$254,MATCH(G25,Materials!$A$5:$A$254,0)),0)*IFERROR(INDEX(Materials!$U$5:$U$254,MATCH(G25,Materials!$A$5:$A$254,0)),1)),0)))</f>
        <v>0</v>
      </c>
      <c r="AB25" s="36">
        <f>IF(B25="","",IF(AA25="","",ROUND(AA25*IFERROR(INDEX(Materials!$G$5:$G$254,MATCH(G25,Materials!$A$5:$A$254,0)),0)*IFERROR(INDEX(Materials!$U$5:$U$254,MATCH(G25,Materials!$A$5:$A$254,0)),1)-IF(H25="",0,H25)*U25*(1+W25),1)))</f>
        <v>0</v>
      </c>
      <c r="AC25" s="20">
        <f>IF(B25="","",IF(N25="",0,ROUND(N25/MAX(1,IF(O25="",1,O25)),2)))</f>
        <v>0</v>
      </c>
      <c r="AD25" s="20">
        <f>IF(B25="","",ROUND(Y25+Z25+IF(L25="",0,L25)+IF(M25="",0,M25)+AC25,2))</f>
        <v>0</v>
      </c>
      <c r="AE25" s="36">
        <f>IF(B25="","",ROUND((IF(P25="",0,P25)*60+IF(Q25="",0,Q25))*V25,1))</f>
        <v>0</v>
      </c>
      <c r="AF25" s="20">
        <f>IF(B25="","",IF(R25&lt;&gt;"",R25,LaborCostHour))</f>
        <v>0</v>
      </c>
      <c r="AG25" s="20">
        <f>IF(B25="","",ROUND(AE25/60*AF25,2))</f>
        <v>0</v>
      </c>
      <c r="AH25" s="20">
        <f>IF(B25="","",ROUND(AE25/60*SuppliesPerHour,2))</f>
        <v>0</v>
      </c>
      <c r="AI25" s="45">
        <f>IF(B25="","",IF(OR(X25="",X25=0),"",ROUND(AD25/X25,4)))</f>
        <v>0</v>
      </c>
      <c r="AJ25" s="20">
        <f>IF(B25="","",ROUND(AD25+AG25+AH25,2))</f>
        <v>0</v>
      </c>
      <c r="AK25" s="33">
        <f>IF(B25="","",IFERROR(INDEX(Channels!$S$5:$S$18,MATCH(DefaultChannel,Channels!$A$5:$A$18,0)),0))</f>
        <v>0</v>
      </c>
      <c r="AL25" s="20">
        <f>IF(B25="","",IFERROR(INDEX(Channels!$T$5:$T$18,MATCH(DefaultChannel,Channels!$A$5:$A$18,0)),0))</f>
        <v>0</v>
      </c>
      <c r="AM25" s="41">
        <f>IF(B25="","",1-TargetRetailMargin-AK25)</f>
        <v>0</v>
      </c>
      <c r="AN25" s="20">
        <f>IF(B25="","",IF(AM25&lt;=0,"",(AJ25+AL25)/AM25))</f>
        <v>0</v>
      </c>
      <c r="AO25" s="20">
        <f>IF(B25="","",IF(AN25="","Check the settings",ROUND(IF(RoundingRule="None",AN25,IF(RoundingRule="Nearest 0.99",MAX(0.99,CEILING(AN25,1)-0.01),IF(RoundingRule="Nearest 0.95",MAX(0.95,CEILING(AN25,1)-0.05),IF(RoundingRule="Nearest 0.50",CEILING(AN25,0.5),IF(RoundingRule="Nearest 1",CEILING(AN25,1),IF(RoundingRule="Nearest 5",CEILING(AN25,5),IF(RoundingRule="Up to whole 1",CEILING(AN25,1),IF(RoundingRule="Up to whole 5",CEILING(AN25,5),ROUND(AN25,2))))))))),2)))</f>
        <v>0</v>
      </c>
      <c r="AP25" s="20">
        <f>IF(B25="","",IF(S25&lt;&gt;"",S25,IF(ISNUMBER(AO25),AO25,"")))</f>
        <v>0</v>
      </c>
      <c r="AQ25" s="20">
        <f>IF(B25="","",IF(AP25="","",ROUND(AP25-AJ25-(AP25*AK25+AL25),2)))</f>
        <v>0</v>
      </c>
      <c r="AR25" s="33">
        <f>IF(B25="","",IF(OR(AP25="",AP25=0),"",AQ25/AP25))</f>
        <v>0</v>
      </c>
      <c r="AS25" s="41">
        <f>IF(B25="","",ROUND(AE25/60,3))</f>
        <v>0</v>
      </c>
      <c r="AT25" s="20">
        <f>IF(B25="","",IF(OR(AS25=0,AS25="",AQ25=""),"",ROUND((AQ25+AG25)/AS25,2)))</f>
        <v>0</v>
      </c>
      <c r="AU25" s="43">
        <f>IF(B25="","",IF(AND(A25&lt;&gt;"",ISERROR(MATCH(A25,Products!$A$5:$A$304,0))),"Check - no such product ID",IF(AD25=0,"Add - no material cost yet",IF(AE25=0,"Add - how long does it take?",IF(AND(A25&lt;&gt;"",COUNTIFS('Material Usage'!$A$5:$A$904,A25)&gt;0),"Check - this product also has a bill of materials",IF(AND(A25&lt;&gt;"",COUNTIFS(Labor!$A$5:$A$304,A25)&gt;0),"Check - this product also has labour lines",IF(AT25&lt;MinimumWage,"Below - pays under minimum wage","OK")))))) )</f>
        <v>0</v>
      </c>
    </row>
    <row r="26" spans="21:47">
      <c r="U26" s="41">
        <f>IF(B26="","",IFERROR(INDEX(SizeMaterialFactors,MATCH(D26,SizeNames,0)),1))</f>
        <v>0</v>
      </c>
      <c r="V26" s="41">
        <f>IF(B26="","",IFERROR(INDEX(SizeTimeFactors,MATCH(D26,SizeNames,0)),1))</f>
        <v>0</v>
      </c>
      <c r="W26" s="33">
        <f>IF(B26="","",IF(K26="",DefaultWaste,K26))</f>
        <v>0</v>
      </c>
      <c r="X26" s="36">
        <f>IF(B26="","",ROUND((IF(H26="",0,H26)+IF(J26="",0,J26))*U26*(1+W26),1))</f>
        <v>0</v>
      </c>
      <c r="Y26" s="20">
        <f>IF(B26="","",ROUND(IF(H26="",0,H26)*U26*(1+W26)*IFERROR(INDEX(Materials!$V$5:$V$254,MATCH(G26,Materials!$A$5:$A$254,0)),0),2))</f>
        <v>0</v>
      </c>
      <c r="Z26" s="20">
        <f>IF(B26="","",ROUND(IF(J26="",0,J26)*U26*(1+W26)*IFERROR(INDEX(Materials!$V$5:$V$254,MATCH(I26,Materials!$A$5:$A$254,0)),0),2))</f>
        <v>0</v>
      </c>
      <c r="AA26" s="36">
        <f>IF(B26="","",IF(IFERROR(INDEX(Materials!$G$5:$G$254,MATCH(G26,Materials!$A$5:$A$254,0)),0)=0,"",ROUNDUP(IF(H26="",0,H26)*U26*(1+W26)/(IFERROR(INDEX(Materials!$G$5:$G$254,MATCH(G26,Materials!$A$5:$A$254,0)),0)*IFERROR(INDEX(Materials!$U$5:$U$254,MATCH(G26,Materials!$A$5:$A$254,0)),1)),0)))</f>
        <v>0</v>
      </c>
      <c r="AB26" s="36">
        <f>IF(B26="","",IF(AA26="","",ROUND(AA26*IFERROR(INDEX(Materials!$G$5:$G$254,MATCH(G26,Materials!$A$5:$A$254,0)),0)*IFERROR(INDEX(Materials!$U$5:$U$254,MATCH(G26,Materials!$A$5:$A$254,0)),1)-IF(H26="",0,H26)*U26*(1+W26),1)))</f>
        <v>0</v>
      </c>
      <c r="AC26" s="20">
        <f>IF(B26="","",IF(N26="",0,ROUND(N26/MAX(1,IF(O26="",1,O26)),2)))</f>
        <v>0</v>
      </c>
      <c r="AD26" s="20">
        <f>IF(B26="","",ROUND(Y26+Z26+IF(L26="",0,L26)+IF(M26="",0,M26)+AC26,2))</f>
        <v>0</v>
      </c>
      <c r="AE26" s="36">
        <f>IF(B26="","",ROUND((IF(P26="",0,P26)*60+IF(Q26="",0,Q26))*V26,1))</f>
        <v>0</v>
      </c>
      <c r="AF26" s="20">
        <f>IF(B26="","",IF(R26&lt;&gt;"",R26,LaborCostHour))</f>
        <v>0</v>
      </c>
      <c r="AG26" s="20">
        <f>IF(B26="","",ROUND(AE26/60*AF26,2))</f>
        <v>0</v>
      </c>
      <c r="AH26" s="20">
        <f>IF(B26="","",ROUND(AE26/60*SuppliesPerHour,2))</f>
        <v>0</v>
      </c>
      <c r="AI26" s="45">
        <f>IF(B26="","",IF(OR(X26="",X26=0),"",ROUND(AD26/X26,4)))</f>
        <v>0</v>
      </c>
      <c r="AJ26" s="20">
        <f>IF(B26="","",ROUND(AD26+AG26+AH26,2))</f>
        <v>0</v>
      </c>
      <c r="AK26" s="33">
        <f>IF(B26="","",IFERROR(INDEX(Channels!$S$5:$S$18,MATCH(DefaultChannel,Channels!$A$5:$A$18,0)),0))</f>
        <v>0</v>
      </c>
      <c r="AL26" s="20">
        <f>IF(B26="","",IFERROR(INDEX(Channels!$T$5:$T$18,MATCH(DefaultChannel,Channels!$A$5:$A$18,0)),0))</f>
        <v>0</v>
      </c>
      <c r="AM26" s="41">
        <f>IF(B26="","",1-TargetRetailMargin-AK26)</f>
        <v>0</v>
      </c>
      <c r="AN26" s="20">
        <f>IF(B26="","",IF(AM26&lt;=0,"",(AJ26+AL26)/AM26))</f>
        <v>0</v>
      </c>
      <c r="AO26" s="20">
        <f>IF(B26="","",IF(AN26="","Check the settings",ROUND(IF(RoundingRule="None",AN26,IF(RoundingRule="Nearest 0.99",MAX(0.99,CEILING(AN26,1)-0.01),IF(RoundingRule="Nearest 0.95",MAX(0.95,CEILING(AN26,1)-0.05),IF(RoundingRule="Nearest 0.50",CEILING(AN26,0.5),IF(RoundingRule="Nearest 1",CEILING(AN26,1),IF(RoundingRule="Nearest 5",CEILING(AN26,5),IF(RoundingRule="Up to whole 1",CEILING(AN26,1),IF(RoundingRule="Up to whole 5",CEILING(AN26,5),ROUND(AN26,2))))))))),2)))</f>
        <v>0</v>
      </c>
      <c r="AP26" s="20">
        <f>IF(B26="","",IF(S26&lt;&gt;"",S26,IF(ISNUMBER(AO26),AO26,"")))</f>
        <v>0</v>
      </c>
      <c r="AQ26" s="20">
        <f>IF(B26="","",IF(AP26="","",ROUND(AP26-AJ26-(AP26*AK26+AL26),2)))</f>
        <v>0</v>
      </c>
      <c r="AR26" s="33">
        <f>IF(B26="","",IF(OR(AP26="",AP26=0),"",AQ26/AP26))</f>
        <v>0</v>
      </c>
      <c r="AS26" s="41">
        <f>IF(B26="","",ROUND(AE26/60,3))</f>
        <v>0</v>
      </c>
      <c r="AT26" s="20">
        <f>IF(B26="","",IF(OR(AS26=0,AS26="",AQ26=""),"",ROUND((AQ26+AG26)/AS26,2)))</f>
        <v>0</v>
      </c>
      <c r="AU26" s="43">
        <f>IF(B26="","",IF(AND(A26&lt;&gt;"",ISERROR(MATCH(A26,Products!$A$5:$A$304,0))),"Check - no such product ID",IF(AD26=0,"Add - no material cost yet",IF(AE26=0,"Add - how long does it take?",IF(AND(A26&lt;&gt;"",COUNTIFS('Material Usage'!$A$5:$A$904,A26)&gt;0),"Check - this product also has a bill of materials",IF(AND(A26&lt;&gt;"",COUNTIFS(Labor!$A$5:$A$304,A26)&gt;0),"Check - this product also has labour lines",IF(AT26&lt;MinimumWage,"Below - pays under minimum wage","OK")))))) )</f>
        <v>0</v>
      </c>
    </row>
    <row r="27" spans="21:47">
      <c r="U27" s="41">
        <f>IF(B27="","",IFERROR(INDEX(SizeMaterialFactors,MATCH(D27,SizeNames,0)),1))</f>
        <v>0</v>
      </c>
      <c r="V27" s="41">
        <f>IF(B27="","",IFERROR(INDEX(SizeTimeFactors,MATCH(D27,SizeNames,0)),1))</f>
        <v>0</v>
      </c>
      <c r="W27" s="33">
        <f>IF(B27="","",IF(K27="",DefaultWaste,K27))</f>
        <v>0</v>
      </c>
      <c r="X27" s="36">
        <f>IF(B27="","",ROUND((IF(H27="",0,H27)+IF(J27="",0,J27))*U27*(1+W27),1))</f>
        <v>0</v>
      </c>
      <c r="Y27" s="20">
        <f>IF(B27="","",ROUND(IF(H27="",0,H27)*U27*(1+W27)*IFERROR(INDEX(Materials!$V$5:$V$254,MATCH(G27,Materials!$A$5:$A$254,0)),0),2))</f>
        <v>0</v>
      </c>
      <c r="Z27" s="20">
        <f>IF(B27="","",ROUND(IF(J27="",0,J27)*U27*(1+W27)*IFERROR(INDEX(Materials!$V$5:$V$254,MATCH(I27,Materials!$A$5:$A$254,0)),0),2))</f>
        <v>0</v>
      </c>
      <c r="AA27" s="36">
        <f>IF(B27="","",IF(IFERROR(INDEX(Materials!$G$5:$G$254,MATCH(G27,Materials!$A$5:$A$254,0)),0)=0,"",ROUNDUP(IF(H27="",0,H27)*U27*(1+W27)/(IFERROR(INDEX(Materials!$G$5:$G$254,MATCH(G27,Materials!$A$5:$A$254,0)),0)*IFERROR(INDEX(Materials!$U$5:$U$254,MATCH(G27,Materials!$A$5:$A$254,0)),1)),0)))</f>
        <v>0</v>
      </c>
      <c r="AB27" s="36">
        <f>IF(B27="","",IF(AA27="","",ROUND(AA27*IFERROR(INDEX(Materials!$G$5:$G$254,MATCH(G27,Materials!$A$5:$A$254,0)),0)*IFERROR(INDEX(Materials!$U$5:$U$254,MATCH(G27,Materials!$A$5:$A$254,0)),1)-IF(H27="",0,H27)*U27*(1+W27),1)))</f>
        <v>0</v>
      </c>
      <c r="AC27" s="20">
        <f>IF(B27="","",IF(N27="",0,ROUND(N27/MAX(1,IF(O27="",1,O27)),2)))</f>
        <v>0</v>
      </c>
      <c r="AD27" s="20">
        <f>IF(B27="","",ROUND(Y27+Z27+IF(L27="",0,L27)+IF(M27="",0,M27)+AC27,2))</f>
        <v>0</v>
      </c>
      <c r="AE27" s="36">
        <f>IF(B27="","",ROUND((IF(P27="",0,P27)*60+IF(Q27="",0,Q27))*V27,1))</f>
        <v>0</v>
      </c>
      <c r="AF27" s="20">
        <f>IF(B27="","",IF(R27&lt;&gt;"",R27,LaborCostHour))</f>
        <v>0</v>
      </c>
      <c r="AG27" s="20">
        <f>IF(B27="","",ROUND(AE27/60*AF27,2))</f>
        <v>0</v>
      </c>
      <c r="AH27" s="20">
        <f>IF(B27="","",ROUND(AE27/60*SuppliesPerHour,2))</f>
        <v>0</v>
      </c>
      <c r="AI27" s="45">
        <f>IF(B27="","",IF(OR(X27="",X27=0),"",ROUND(AD27/X27,4)))</f>
        <v>0</v>
      </c>
      <c r="AJ27" s="20">
        <f>IF(B27="","",ROUND(AD27+AG27+AH27,2))</f>
        <v>0</v>
      </c>
      <c r="AK27" s="33">
        <f>IF(B27="","",IFERROR(INDEX(Channels!$S$5:$S$18,MATCH(DefaultChannel,Channels!$A$5:$A$18,0)),0))</f>
        <v>0</v>
      </c>
      <c r="AL27" s="20">
        <f>IF(B27="","",IFERROR(INDEX(Channels!$T$5:$T$18,MATCH(DefaultChannel,Channels!$A$5:$A$18,0)),0))</f>
        <v>0</v>
      </c>
      <c r="AM27" s="41">
        <f>IF(B27="","",1-TargetRetailMargin-AK27)</f>
        <v>0</v>
      </c>
      <c r="AN27" s="20">
        <f>IF(B27="","",IF(AM27&lt;=0,"",(AJ27+AL27)/AM27))</f>
        <v>0</v>
      </c>
      <c r="AO27" s="20">
        <f>IF(B27="","",IF(AN27="","Check the settings",ROUND(IF(RoundingRule="None",AN27,IF(RoundingRule="Nearest 0.99",MAX(0.99,CEILING(AN27,1)-0.01),IF(RoundingRule="Nearest 0.95",MAX(0.95,CEILING(AN27,1)-0.05),IF(RoundingRule="Nearest 0.50",CEILING(AN27,0.5),IF(RoundingRule="Nearest 1",CEILING(AN27,1),IF(RoundingRule="Nearest 5",CEILING(AN27,5),IF(RoundingRule="Up to whole 1",CEILING(AN27,1),IF(RoundingRule="Up to whole 5",CEILING(AN27,5),ROUND(AN27,2))))))))),2)))</f>
        <v>0</v>
      </c>
      <c r="AP27" s="20">
        <f>IF(B27="","",IF(S27&lt;&gt;"",S27,IF(ISNUMBER(AO27),AO27,"")))</f>
        <v>0</v>
      </c>
      <c r="AQ27" s="20">
        <f>IF(B27="","",IF(AP27="","",ROUND(AP27-AJ27-(AP27*AK27+AL27),2)))</f>
        <v>0</v>
      </c>
      <c r="AR27" s="33">
        <f>IF(B27="","",IF(OR(AP27="",AP27=0),"",AQ27/AP27))</f>
        <v>0</v>
      </c>
      <c r="AS27" s="41">
        <f>IF(B27="","",ROUND(AE27/60,3))</f>
        <v>0</v>
      </c>
      <c r="AT27" s="20">
        <f>IF(B27="","",IF(OR(AS27=0,AS27="",AQ27=""),"",ROUND((AQ27+AG27)/AS27,2)))</f>
        <v>0</v>
      </c>
      <c r="AU27" s="43">
        <f>IF(B27="","",IF(AND(A27&lt;&gt;"",ISERROR(MATCH(A27,Products!$A$5:$A$304,0))),"Check - no such product ID",IF(AD27=0,"Add - no material cost yet",IF(AE27=0,"Add - how long does it take?",IF(AND(A27&lt;&gt;"",COUNTIFS('Material Usage'!$A$5:$A$904,A27)&gt;0),"Check - this product also has a bill of materials",IF(AND(A27&lt;&gt;"",COUNTIFS(Labor!$A$5:$A$304,A27)&gt;0),"Check - this product also has labour lines",IF(AT27&lt;MinimumWage,"Below - pays under minimum wage","OK")))))) )</f>
        <v>0</v>
      </c>
    </row>
    <row r="28" spans="21:47">
      <c r="U28" s="41">
        <f>IF(B28="","",IFERROR(INDEX(SizeMaterialFactors,MATCH(D28,SizeNames,0)),1))</f>
        <v>0</v>
      </c>
      <c r="V28" s="41">
        <f>IF(B28="","",IFERROR(INDEX(SizeTimeFactors,MATCH(D28,SizeNames,0)),1))</f>
        <v>0</v>
      </c>
      <c r="W28" s="33">
        <f>IF(B28="","",IF(K28="",DefaultWaste,K28))</f>
        <v>0</v>
      </c>
      <c r="X28" s="36">
        <f>IF(B28="","",ROUND((IF(H28="",0,H28)+IF(J28="",0,J28))*U28*(1+W28),1))</f>
        <v>0</v>
      </c>
      <c r="Y28" s="20">
        <f>IF(B28="","",ROUND(IF(H28="",0,H28)*U28*(1+W28)*IFERROR(INDEX(Materials!$V$5:$V$254,MATCH(G28,Materials!$A$5:$A$254,0)),0),2))</f>
        <v>0</v>
      </c>
      <c r="Z28" s="20">
        <f>IF(B28="","",ROUND(IF(J28="",0,J28)*U28*(1+W28)*IFERROR(INDEX(Materials!$V$5:$V$254,MATCH(I28,Materials!$A$5:$A$254,0)),0),2))</f>
        <v>0</v>
      </c>
      <c r="AA28" s="36">
        <f>IF(B28="","",IF(IFERROR(INDEX(Materials!$G$5:$G$254,MATCH(G28,Materials!$A$5:$A$254,0)),0)=0,"",ROUNDUP(IF(H28="",0,H28)*U28*(1+W28)/(IFERROR(INDEX(Materials!$G$5:$G$254,MATCH(G28,Materials!$A$5:$A$254,0)),0)*IFERROR(INDEX(Materials!$U$5:$U$254,MATCH(G28,Materials!$A$5:$A$254,0)),1)),0)))</f>
        <v>0</v>
      </c>
      <c r="AB28" s="36">
        <f>IF(B28="","",IF(AA28="","",ROUND(AA28*IFERROR(INDEX(Materials!$G$5:$G$254,MATCH(G28,Materials!$A$5:$A$254,0)),0)*IFERROR(INDEX(Materials!$U$5:$U$254,MATCH(G28,Materials!$A$5:$A$254,0)),1)-IF(H28="",0,H28)*U28*(1+W28),1)))</f>
        <v>0</v>
      </c>
      <c r="AC28" s="20">
        <f>IF(B28="","",IF(N28="",0,ROUND(N28/MAX(1,IF(O28="",1,O28)),2)))</f>
        <v>0</v>
      </c>
      <c r="AD28" s="20">
        <f>IF(B28="","",ROUND(Y28+Z28+IF(L28="",0,L28)+IF(M28="",0,M28)+AC28,2))</f>
        <v>0</v>
      </c>
      <c r="AE28" s="36">
        <f>IF(B28="","",ROUND((IF(P28="",0,P28)*60+IF(Q28="",0,Q28))*V28,1))</f>
        <v>0</v>
      </c>
      <c r="AF28" s="20">
        <f>IF(B28="","",IF(R28&lt;&gt;"",R28,LaborCostHour))</f>
        <v>0</v>
      </c>
      <c r="AG28" s="20">
        <f>IF(B28="","",ROUND(AE28/60*AF28,2))</f>
        <v>0</v>
      </c>
      <c r="AH28" s="20">
        <f>IF(B28="","",ROUND(AE28/60*SuppliesPerHour,2))</f>
        <v>0</v>
      </c>
      <c r="AI28" s="45">
        <f>IF(B28="","",IF(OR(X28="",X28=0),"",ROUND(AD28/X28,4)))</f>
        <v>0</v>
      </c>
      <c r="AJ28" s="20">
        <f>IF(B28="","",ROUND(AD28+AG28+AH28,2))</f>
        <v>0</v>
      </c>
      <c r="AK28" s="33">
        <f>IF(B28="","",IFERROR(INDEX(Channels!$S$5:$S$18,MATCH(DefaultChannel,Channels!$A$5:$A$18,0)),0))</f>
        <v>0</v>
      </c>
      <c r="AL28" s="20">
        <f>IF(B28="","",IFERROR(INDEX(Channels!$T$5:$T$18,MATCH(DefaultChannel,Channels!$A$5:$A$18,0)),0))</f>
        <v>0</v>
      </c>
      <c r="AM28" s="41">
        <f>IF(B28="","",1-TargetRetailMargin-AK28)</f>
        <v>0</v>
      </c>
      <c r="AN28" s="20">
        <f>IF(B28="","",IF(AM28&lt;=0,"",(AJ28+AL28)/AM28))</f>
        <v>0</v>
      </c>
      <c r="AO28" s="20">
        <f>IF(B28="","",IF(AN28="","Check the settings",ROUND(IF(RoundingRule="None",AN28,IF(RoundingRule="Nearest 0.99",MAX(0.99,CEILING(AN28,1)-0.01),IF(RoundingRule="Nearest 0.95",MAX(0.95,CEILING(AN28,1)-0.05),IF(RoundingRule="Nearest 0.50",CEILING(AN28,0.5),IF(RoundingRule="Nearest 1",CEILING(AN28,1),IF(RoundingRule="Nearest 5",CEILING(AN28,5),IF(RoundingRule="Up to whole 1",CEILING(AN28,1),IF(RoundingRule="Up to whole 5",CEILING(AN28,5),ROUND(AN28,2))))))))),2)))</f>
        <v>0</v>
      </c>
      <c r="AP28" s="20">
        <f>IF(B28="","",IF(S28&lt;&gt;"",S28,IF(ISNUMBER(AO28),AO28,"")))</f>
        <v>0</v>
      </c>
      <c r="AQ28" s="20">
        <f>IF(B28="","",IF(AP28="","",ROUND(AP28-AJ28-(AP28*AK28+AL28),2)))</f>
        <v>0</v>
      </c>
      <c r="AR28" s="33">
        <f>IF(B28="","",IF(OR(AP28="",AP28=0),"",AQ28/AP28))</f>
        <v>0</v>
      </c>
      <c r="AS28" s="41">
        <f>IF(B28="","",ROUND(AE28/60,3))</f>
        <v>0</v>
      </c>
      <c r="AT28" s="20">
        <f>IF(B28="","",IF(OR(AS28=0,AS28="",AQ28=""),"",ROUND((AQ28+AG28)/AS28,2)))</f>
        <v>0</v>
      </c>
      <c r="AU28" s="43">
        <f>IF(B28="","",IF(AND(A28&lt;&gt;"",ISERROR(MATCH(A28,Products!$A$5:$A$304,0))),"Check - no such product ID",IF(AD28=0,"Add - no material cost yet",IF(AE28=0,"Add - how long does it take?",IF(AND(A28&lt;&gt;"",COUNTIFS('Material Usage'!$A$5:$A$904,A28)&gt;0),"Check - this product also has a bill of materials",IF(AND(A28&lt;&gt;"",COUNTIFS(Labor!$A$5:$A$304,A28)&gt;0),"Check - this product also has labour lines",IF(AT28&lt;MinimumWage,"Below - pays under minimum wage","OK")))))) )</f>
        <v>0</v>
      </c>
    </row>
    <row r="29" spans="21:47">
      <c r="U29" s="41">
        <f>IF(B29="","",IFERROR(INDEX(SizeMaterialFactors,MATCH(D29,SizeNames,0)),1))</f>
        <v>0</v>
      </c>
      <c r="V29" s="41">
        <f>IF(B29="","",IFERROR(INDEX(SizeTimeFactors,MATCH(D29,SizeNames,0)),1))</f>
        <v>0</v>
      </c>
      <c r="W29" s="33">
        <f>IF(B29="","",IF(K29="",DefaultWaste,K29))</f>
        <v>0</v>
      </c>
      <c r="X29" s="36">
        <f>IF(B29="","",ROUND((IF(H29="",0,H29)+IF(J29="",0,J29))*U29*(1+W29),1))</f>
        <v>0</v>
      </c>
      <c r="Y29" s="20">
        <f>IF(B29="","",ROUND(IF(H29="",0,H29)*U29*(1+W29)*IFERROR(INDEX(Materials!$V$5:$V$254,MATCH(G29,Materials!$A$5:$A$254,0)),0),2))</f>
        <v>0</v>
      </c>
      <c r="Z29" s="20">
        <f>IF(B29="","",ROUND(IF(J29="",0,J29)*U29*(1+W29)*IFERROR(INDEX(Materials!$V$5:$V$254,MATCH(I29,Materials!$A$5:$A$254,0)),0),2))</f>
        <v>0</v>
      </c>
      <c r="AA29" s="36">
        <f>IF(B29="","",IF(IFERROR(INDEX(Materials!$G$5:$G$254,MATCH(G29,Materials!$A$5:$A$254,0)),0)=0,"",ROUNDUP(IF(H29="",0,H29)*U29*(1+W29)/(IFERROR(INDEX(Materials!$G$5:$G$254,MATCH(G29,Materials!$A$5:$A$254,0)),0)*IFERROR(INDEX(Materials!$U$5:$U$254,MATCH(G29,Materials!$A$5:$A$254,0)),1)),0)))</f>
        <v>0</v>
      </c>
      <c r="AB29" s="36">
        <f>IF(B29="","",IF(AA29="","",ROUND(AA29*IFERROR(INDEX(Materials!$G$5:$G$254,MATCH(G29,Materials!$A$5:$A$254,0)),0)*IFERROR(INDEX(Materials!$U$5:$U$254,MATCH(G29,Materials!$A$5:$A$254,0)),1)-IF(H29="",0,H29)*U29*(1+W29),1)))</f>
        <v>0</v>
      </c>
      <c r="AC29" s="20">
        <f>IF(B29="","",IF(N29="",0,ROUND(N29/MAX(1,IF(O29="",1,O29)),2)))</f>
        <v>0</v>
      </c>
      <c r="AD29" s="20">
        <f>IF(B29="","",ROUND(Y29+Z29+IF(L29="",0,L29)+IF(M29="",0,M29)+AC29,2))</f>
        <v>0</v>
      </c>
      <c r="AE29" s="36">
        <f>IF(B29="","",ROUND((IF(P29="",0,P29)*60+IF(Q29="",0,Q29))*V29,1))</f>
        <v>0</v>
      </c>
      <c r="AF29" s="20">
        <f>IF(B29="","",IF(R29&lt;&gt;"",R29,LaborCostHour))</f>
        <v>0</v>
      </c>
      <c r="AG29" s="20">
        <f>IF(B29="","",ROUND(AE29/60*AF29,2))</f>
        <v>0</v>
      </c>
      <c r="AH29" s="20">
        <f>IF(B29="","",ROUND(AE29/60*SuppliesPerHour,2))</f>
        <v>0</v>
      </c>
      <c r="AI29" s="45">
        <f>IF(B29="","",IF(OR(X29="",X29=0),"",ROUND(AD29/X29,4)))</f>
        <v>0</v>
      </c>
      <c r="AJ29" s="20">
        <f>IF(B29="","",ROUND(AD29+AG29+AH29,2))</f>
        <v>0</v>
      </c>
      <c r="AK29" s="33">
        <f>IF(B29="","",IFERROR(INDEX(Channels!$S$5:$S$18,MATCH(DefaultChannel,Channels!$A$5:$A$18,0)),0))</f>
        <v>0</v>
      </c>
      <c r="AL29" s="20">
        <f>IF(B29="","",IFERROR(INDEX(Channels!$T$5:$T$18,MATCH(DefaultChannel,Channels!$A$5:$A$18,0)),0))</f>
        <v>0</v>
      </c>
      <c r="AM29" s="41">
        <f>IF(B29="","",1-TargetRetailMargin-AK29)</f>
        <v>0</v>
      </c>
      <c r="AN29" s="20">
        <f>IF(B29="","",IF(AM29&lt;=0,"",(AJ29+AL29)/AM29))</f>
        <v>0</v>
      </c>
      <c r="AO29" s="20">
        <f>IF(B29="","",IF(AN29="","Check the settings",ROUND(IF(RoundingRule="None",AN29,IF(RoundingRule="Nearest 0.99",MAX(0.99,CEILING(AN29,1)-0.01),IF(RoundingRule="Nearest 0.95",MAX(0.95,CEILING(AN29,1)-0.05),IF(RoundingRule="Nearest 0.50",CEILING(AN29,0.5),IF(RoundingRule="Nearest 1",CEILING(AN29,1),IF(RoundingRule="Nearest 5",CEILING(AN29,5),IF(RoundingRule="Up to whole 1",CEILING(AN29,1),IF(RoundingRule="Up to whole 5",CEILING(AN29,5),ROUND(AN29,2))))))))),2)))</f>
        <v>0</v>
      </c>
      <c r="AP29" s="20">
        <f>IF(B29="","",IF(S29&lt;&gt;"",S29,IF(ISNUMBER(AO29),AO29,"")))</f>
        <v>0</v>
      </c>
      <c r="AQ29" s="20">
        <f>IF(B29="","",IF(AP29="","",ROUND(AP29-AJ29-(AP29*AK29+AL29),2)))</f>
        <v>0</v>
      </c>
      <c r="AR29" s="33">
        <f>IF(B29="","",IF(OR(AP29="",AP29=0),"",AQ29/AP29))</f>
        <v>0</v>
      </c>
      <c r="AS29" s="41">
        <f>IF(B29="","",ROUND(AE29/60,3))</f>
        <v>0</v>
      </c>
      <c r="AT29" s="20">
        <f>IF(B29="","",IF(OR(AS29=0,AS29="",AQ29=""),"",ROUND((AQ29+AG29)/AS29,2)))</f>
        <v>0</v>
      </c>
      <c r="AU29" s="43">
        <f>IF(B29="","",IF(AND(A29&lt;&gt;"",ISERROR(MATCH(A29,Products!$A$5:$A$304,0))),"Check - no such product ID",IF(AD29=0,"Add - no material cost yet",IF(AE29=0,"Add - how long does it take?",IF(AND(A29&lt;&gt;"",COUNTIFS('Material Usage'!$A$5:$A$904,A29)&gt;0),"Check - this product also has a bill of materials",IF(AND(A29&lt;&gt;"",COUNTIFS(Labor!$A$5:$A$304,A29)&gt;0),"Check - this product also has labour lines",IF(AT29&lt;MinimumWage,"Below - pays under minimum wage","OK")))))) )</f>
        <v>0</v>
      </c>
    </row>
    <row r="30" spans="21:47">
      <c r="U30" s="41">
        <f>IF(B30="","",IFERROR(INDEX(SizeMaterialFactors,MATCH(D30,SizeNames,0)),1))</f>
        <v>0</v>
      </c>
      <c r="V30" s="41">
        <f>IF(B30="","",IFERROR(INDEX(SizeTimeFactors,MATCH(D30,SizeNames,0)),1))</f>
        <v>0</v>
      </c>
      <c r="W30" s="33">
        <f>IF(B30="","",IF(K30="",DefaultWaste,K30))</f>
        <v>0</v>
      </c>
      <c r="X30" s="36">
        <f>IF(B30="","",ROUND((IF(H30="",0,H30)+IF(J30="",0,J30))*U30*(1+W30),1))</f>
        <v>0</v>
      </c>
      <c r="Y30" s="20">
        <f>IF(B30="","",ROUND(IF(H30="",0,H30)*U30*(1+W30)*IFERROR(INDEX(Materials!$V$5:$V$254,MATCH(G30,Materials!$A$5:$A$254,0)),0),2))</f>
        <v>0</v>
      </c>
      <c r="Z30" s="20">
        <f>IF(B30="","",ROUND(IF(J30="",0,J30)*U30*(1+W30)*IFERROR(INDEX(Materials!$V$5:$V$254,MATCH(I30,Materials!$A$5:$A$254,0)),0),2))</f>
        <v>0</v>
      </c>
      <c r="AA30" s="36">
        <f>IF(B30="","",IF(IFERROR(INDEX(Materials!$G$5:$G$254,MATCH(G30,Materials!$A$5:$A$254,0)),0)=0,"",ROUNDUP(IF(H30="",0,H30)*U30*(1+W30)/(IFERROR(INDEX(Materials!$G$5:$G$254,MATCH(G30,Materials!$A$5:$A$254,0)),0)*IFERROR(INDEX(Materials!$U$5:$U$254,MATCH(G30,Materials!$A$5:$A$254,0)),1)),0)))</f>
        <v>0</v>
      </c>
      <c r="AB30" s="36">
        <f>IF(B30="","",IF(AA30="","",ROUND(AA30*IFERROR(INDEX(Materials!$G$5:$G$254,MATCH(G30,Materials!$A$5:$A$254,0)),0)*IFERROR(INDEX(Materials!$U$5:$U$254,MATCH(G30,Materials!$A$5:$A$254,0)),1)-IF(H30="",0,H30)*U30*(1+W30),1)))</f>
        <v>0</v>
      </c>
      <c r="AC30" s="20">
        <f>IF(B30="","",IF(N30="",0,ROUND(N30/MAX(1,IF(O30="",1,O30)),2)))</f>
        <v>0</v>
      </c>
      <c r="AD30" s="20">
        <f>IF(B30="","",ROUND(Y30+Z30+IF(L30="",0,L30)+IF(M30="",0,M30)+AC30,2))</f>
        <v>0</v>
      </c>
      <c r="AE30" s="36">
        <f>IF(B30="","",ROUND((IF(P30="",0,P30)*60+IF(Q30="",0,Q30))*V30,1))</f>
        <v>0</v>
      </c>
      <c r="AF30" s="20">
        <f>IF(B30="","",IF(R30&lt;&gt;"",R30,LaborCostHour))</f>
        <v>0</v>
      </c>
      <c r="AG30" s="20">
        <f>IF(B30="","",ROUND(AE30/60*AF30,2))</f>
        <v>0</v>
      </c>
      <c r="AH30" s="20">
        <f>IF(B30="","",ROUND(AE30/60*SuppliesPerHour,2))</f>
        <v>0</v>
      </c>
      <c r="AI30" s="45">
        <f>IF(B30="","",IF(OR(X30="",X30=0),"",ROUND(AD30/X30,4)))</f>
        <v>0</v>
      </c>
      <c r="AJ30" s="20">
        <f>IF(B30="","",ROUND(AD30+AG30+AH30,2))</f>
        <v>0</v>
      </c>
      <c r="AK30" s="33">
        <f>IF(B30="","",IFERROR(INDEX(Channels!$S$5:$S$18,MATCH(DefaultChannel,Channels!$A$5:$A$18,0)),0))</f>
        <v>0</v>
      </c>
      <c r="AL30" s="20">
        <f>IF(B30="","",IFERROR(INDEX(Channels!$T$5:$T$18,MATCH(DefaultChannel,Channels!$A$5:$A$18,0)),0))</f>
        <v>0</v>
      </c>
      <c r="AM30" s="41">
        <f>IF(B30="","",1-TargetRetailMargin-AK30)</f>
        <v>0</v>
      </c>
      <c r="AN30" s="20">
        <f>IF(B30="","",IF(AM30&lt;=0,"",(AJ30+AL30)/AM30))</f>
        <v>0</v>
      </c>
      <c r="AO30" s="20">
        <f>IF(B30="","",IF(AN30="","Check the settings",ROUND(IF(RoundingRule="None",AN30,IF(RoundingRule="Nearest 0.99",MAX(0.99,CEILING(AN30,1)-0.01),IF(RoundingRule="Nearest 0.95",MAX(0.95,CEILING(AN30,1)-0.05),IF(RoundingRule="Nearest 0.50",CEILING(AN30,0.5),IF(RoundingRule="Nearest 1",CEILING(AN30,1),IF(RoundingRule="Nearest 5",CEILING(AN30,5),IF(RoundingRule="Up to whole 1",CEILING(AN30,1),IF(RoundingRule="Up to whole 5",CEILING(AN30,5),ROUND(AN30,2))))))))),2)))</f>
        <v>0</v>
      </c>
      <c r="AP30" s="20">
        <f>IF(B30="","",IF(S30&lt;&gt;"",S30,IF(ISNUMBER(AO30),AO30,"")))</f>
        <v>0</v>
      </c>
      <c r="AQ30" s="20">
        <f>IF(B30="","",IF(AP30="","",ROUND(AP30-AJ30-(AP30*AK30+AL30),2)))</f>
        <v>0</v>
      </c>
      <c r="AR30" s="33">
        <f>IF(B30="","",IF(OR(AP30="",AP30=0),"",AQ30/AP30))</f>
        <v>0</v>
      </c>
      <c r="AS30" s="41">
        <f>IF(B30="","",ROUND(AE30/60,3))</f>
        <v>0</v>
      </c>
      <c r="AT30" s="20">
        <f>IF(B30="","",IF(OR(AS30=0,AS30="",AQ30=""),"",ROUND((AQ30+AG30)/AS30,2)))</f>
        <v>0</v>
      </c>
      <c r="AU30" s="43">
        <f>IF(B30="","",IF(AND(A30&lt;&gt;"",ISERROR(MATCH(A30,Products!$A$5:$A$304,0))),"Check - no such product ID",IF(AD30=0,"Add - no material cost yet",IF(AE30=0,"Add - how long does it take?",IF(AND(A30&lt;&gt;"",COUNTIFS('Material Usage'!$A$5:$A$904,A30)&gt;0),"Check - this product also has a bill of materials",IF(AND(A30&lt;&gt;"",COUNTIFS(Labor!$A$5:$A$304,A30)&gt;0),"Check - this product also has labour lines",IF(AT30&lt;MinimumWage,"Below - pays under minimum wage","OK")))))) )</f>
        <v>0</v>
      </c>
    </row>
    <row r="31" spans="21:47">
      <c r="U31" s="41">
        <f>IF(B31="","",IFERROR(INDEX(SizeMaterialFactors,MATCH(D31,SizeNames,0)),1))</f>
        <v>0</v>
      </c>
      <c r="V31" s="41">
        <f>IF(B31="","",IFERROR(INDEX(SizeTimeFactors,MATCH(D31,SizeNames,0)),1))</f>
        <v>0</v>
      </c>
      <c r="W31" s="33">
        <f>IF(B31="","",IF(K31="",DefaultWaste,K31))</f>
        <v>0</v>
      </c>
      <c r="X31" s="36">
        <f>IF(B31="","",ROUND((IF(H31="",0,H31)+IF(J31="",0,J31))*U31*(1+W31),1))</f>
        <v>0</v>
      </c>
      <c r="Y31" s="20">
        <f>IF(B31="","",ROUND(IF(H31="",0,H31)*U31*(1+W31)*IFERROR(INDEX(Materials!$V$5:$V$254,MATCH(G31,Materials!$A$5:$A$254,0)),0),2))</f>
        <v>0</v>
      </c>
      <c r="Z31" s="20">
        <f>IF(B31="","",ROUND(IF(J31="",0,J31)*U31*(1+W31)*IFERROR(INDEX(Materials!$V$5:$V$254,MATCH(I31,Materials!$A$5:$A$254,0)),0),2))</f>
        <v>0</v>
      </c>
      <c r="AA31" s="36">
        <f>IF(B31="","",IF(IFERROR(INDEX(Materials!$G$5:$G$254,MATCH(G31,Materials!$A$5:$A$254,0)),0)=0,"",ROUNDUP(IF(H31="",0,H31)*U31*(1+W31)/(IFERROR(INDEX(Materials!$G$5:$G$254,MATCH(G31,Materials!$A$5:$A$254,0)),0)*IFERROR(INDEX(Materials!$U$5:$U$254,MATCH(G31,Materials!$A$5:$A$254,0)),1)),0)))</f>
        <v>0</v>
      </c>
      <c r="AB31" s="36">
        <f>IF(B31="","",IF(AA31="","",ROUND(AA31*IFERROR(INDEX(Materials!$G$5:$G$254,MATCH(G31,Materials!$A$5:$A$254,0)),0)*IFERROR(INDEX(Materials!$U$5:$U$254,MATCH(G31,Materials!$A$5:$A$254,0)),1)-IF(H31="",0,H31)*U31*(1+W31),1)))</f>
        <v>0</v>
      </c>
      <c r="AC31" s="20">
        <f>IF(B31="","",IF(N31="",0,ROUND(N31/MAX(1,IF(O31="",1,O31)),2)))</f>
        <v>0</v>
      </c>
      <c r="AD31" s="20">
        <f>IF(B31="","",ROUND(Y31+Z31+IF(L31="",0,L31)+IF(M31="",0,M31)+AC31,2))</f>
        <v>0</v>
      </c>
      <c r="AE31" s="36">
        <f>IF(B31="","",ROUND((IF(P31="",0,P31)*60+IF(Q31="",0,Q31))*V31,1))</f>
        <v>0</v>
      </c>
      <c r="AF31" s="20">
        <f>IF(B31="","",IF(R31&lt;&gt;"",R31,LaborCostHour))</f>
        <v>0</v>
      </c>
      <c r="AG31" s="20">
        <f>IF(B31="","",ROUND(AE31/60*AF31,2))</f>
        <v>0</v>
      </c>
      <c r="AH31" s="20">
        <f>IF(B31="","",ROUND(AE31/60*SuppliesPerHour,2))</f>
        <v>0</v>
      </c>
      <c r="AI31" s="45">
        <f>IF(B31="","",IF(OR(X31="",X31=0),"",ROUND(AD31/X31,4)))</f>
        <v>0</v>
      </c>
      <c r="AJ31" s="20">
        <f>IF(B31="","",ROUND(AD31+AG31+AH31,2))</f>
        <v>0</v>
      </c>
      <c r="AK31" s="33">
        <f>IF(B31="","",IFERROR(INDEX(Channels!$S$5:$S$18,MATCH(DefaultChannel,Channels!$A$5:$A$18,0)),0))</f>
        <v>0</v>
      </c>
      <c r="AL31" s="20">
        <f>IF(B31="","",IFERROR(INDEX(Channels!$T$5:$T$18,MATCH(DefaultChannel,Channels!$A$5:$A$18,0)),0))</f>
        <v>0</v>
      </c>
      <c r="AM31" s="41">
        <f>IF(B31="","",1-TargetRetailMargin-AK31)</f>
        <v>0</v>
      </c>
      <c r="AN31" s="20">
        <f>IF(B31="","",IF(AM31&lt;=0,"",(AJ31+AL31)/AM31))</f>
        <v>0</v>
      </c>
      <c r="AO31" s="20">
        <f>IF(B31="","",IF(AN31="","Check the settings",ROUND(IF(RoundingRule="None",AN31,IF(RoundingRule="Nearest 0.99",MAX(0.99,CEILING(AN31,1)-0.01),IF(RoundingRule="Nearest 0.95",MAX(0.95,CEILING(AN31,1)-0.05),IF(RoundingRule="Nearest 0.50",CEILING(AN31,0.5),IF(RoundingRule="Nearest 1",CEILING(AN31,1),IF(RoundingRule="Nearest 5",CEILING(AN31,5),IF(RoundingRule="Up to whole 1",CEILING(AN31,1),IF(RoundingRule="Up to whole 5",CEILING(AN31,5),ROUND(AN31,2))))))))),2)))</f>
        <v>0</v>
      </c>
      <c r="AP31" s="20">
        <f>IF(B31="","",IF(S31&lt;&gt;"",S31,IF(ISNUMBER(AO31),AO31,"")))</f>
        <v>0</v>
      </c>
      <c r="AQ31" s="20">
        <f>IF(B31="","",IF(AP31="","",ROUND(AP31-AJ31-(AP31*AK31+AL31),2)))</f>
        <v>0</v>
      </c>
      <c r="AR31" s="33">
        <f>IF(B31="","",IF(OR(AP31="",AP31=0),"",AQ31/AP31))</f>
        <v>0</v>
      </c>
      <c r="AS31" s="41">
        <f>IF(B31="","",ROUND(AE31/60,3))</f>
        <v>0</v>
      </c>
      <c r="AT31" s="20">
        <f>IF(B31="","",IF(OR(AS31=0,AS31="",AQ31=""),"",ROUND((AQ31+AG31)/AS31,2)))</f>
        <v>0</v>
      </c>
      <c r="AU31" s="43">
        <f>IF(B31="","",IF(AND(A31&lt;&gt;"",ISERROR(MATCH(A31,Products!$A$5:$A$304,0))),"Check - no such product ID",IF(AD31=0,"Add - no material cost yet",IF(AE31=0,"Add - how long does it take?",IF(AND(A31&lt;&gt;"",COUNTIFS('Material Usage'!$A$5:$A$904,A31)&gt;0),"Check - this product also has a bill of materials",IF(AND(A31&lt;&gt;"",COUNTIFS(Labor!$A$5:$A$304,A31)&gt;0),"Check - this product also has labour lines",IF(AT31&lt;MinimumWage,"Below - pays under minimum wage","OK")))))) )</f>
        <v>0</v>
      </c>
    </row>
    <row r="32" spans="21:47">
      <c r="U32" s="41">
        <f>IF(B32="","",IFERROR(INDEX(SizeMaterialFactors,MATCH(D32,SizeNames,0)),1))</f>
        <v>0</v>
      </c>
      <c r="V32" s="41">
        <f>IF(B32="","",IFERROR(INDEX(SizeTimeFactors,MATCH(D32,SizeNames,0)),1))</f>
        <v>0</v>
      </c>
      <c r="W32" s="33">
        <f>IF(B32="","",IF(K32="",DefaultWaste,K32))</f>
        <v>0</v>
      </c>
      <c r="X32" s="36">
        <f>IF(B32="","",ROUND((IF(H32="",0,H32)+IF(J32="",0,J32))*U32*(1+W32),1))</f>
        <v>0</v>
      </c>
      <c r="Y32" s="20">
        <f>IF(B32="","",ROUND(IF(H32="",0,H32)*U32*(1+W32)*IFERROR(INDEX(Materials!$V$5:$V$254,MATCH(G32,Materials!$A$5:$A$254,0)),0),2))</f>
        <v>0</v>
      </c>
      <c r="Z32" s="20">
        <f>IF(B32="","",ROUND(IF(J32="",0,J32)*U32*(1+W32)*IFERROR(INDEX(Materials!$V$5:$V$254,MATCH(I32,Materials!$A$5:$A$254,0)),0),2))</f>
        <v>0</v>
      </c>
      <c r="AA32" s="36">
        <f>IF(B32="","",IF(IFERROR(INDEX(Materials!$G$5:$G$254,MATCH(G32,Materials!$A$5:$A$254,0)),0)=0,"",ROUNDUP(IF(H32="",0,H32)*U32*(1+W32)/(IFERROR(INDEX(Materials!$G$5:$G$254,MATCH(G32,Materials!$A$5:$A$254,0)),0)*IFERROR(INDEX(Materials!$U$5:$U$254,MATCH(G32,Materials!$A$5:$A$254,0)),1)),0)))</f>
        <v>0</v>
      </c>
      <c r="AB32" s="36">
        <f>IF(B32="","",IF(AA32="","",ROUND(AA32*IFERROR(INDEX(Materials!$G$5:$G$254,MATCH(G32,Materials!$A$5:$A$254,0)),0)*IFERROR(INDEX(Materials!$U$5:$U$254,MATCH(G32,Materials!$A$5:$A$254,0)),1)-IF(H32="",0,H32)*U32*(1+W32),1)))</f>
        <v>0</v>
      </c>
      <c r="AC32" s="20">
        <f>IF(B32="","",IF(N32="",0,ROUND(N32/MAX(1,IF(O32="",1,O32)),2)))</f>
        <v>0</v>
      </c>
      <c r="AD32" s="20">
        <f>IF(B32="","",ROUND(Y32+Z32+IF(L32="",0,L32)+IF(M32="",0,M32)+AC32,2))</f>
        <v>0</v>
      </c>
      <c r="AE32" s="36">
        <f>IF(B32="","",ROUND((IF(P32="",0,P32)*60+IF(Q32="",0,Q32))*V32,1))</f>
        <v>0</v>
      </c>
      <c r="AF32" s="20">
        <f>IF(B32="","",IF(R32&lt;&gt;"",R32,LaborCostHour))</f>
        <v>0</v>
      </c>
      <c r="AG32" s="20">
        <f>IF(B32="","",ROUND(AE32/60*AF32,2))</f>
        <v>0</v>
      </c>
      <c r="AH32" s="20">
        <f>IF(B32="","",ROUND(AE32/60*SuppliesPerHour,2))</f>
        <v>0</v>
      </c>
      <c r="AI32" s="45">
        <f>IF(B32="","",IF(OR(X32="",X32=0),"",ROUND(AD32/X32,4)))</f>
        <v>0</v>
      </c>
      <c r="AJ32" s="20">
        <f>IF(B32="","",ROUND(AD32+AG32+AH32,2))</f>
        <v>0</v>
      </c>
      <c r="AK32" s="33">
        <f>IF(B32="","",IFERROR(INDEX(Channels!$S$5:$S$18,MATCH(DefaultChannel,Channels!$A$5:$A$18,0)),0))</f>
        <v>0</v>
      </c>
      <c r="AL32" s="20">
        <f>IF(B32="","",IFERROR(INDEX(Channels!$T$5:$T$18,MATCH(DefaultChannel,Channels!$A$5:$A$18,0)),0))</f>
        <v>0</v>
      </c>
      <c r="AM32" s="41">
        <f>IF(B32="","",1-TargetRetailMargin-AK32)</f>
        <v>0</v>
      </c>
      <c r="AN32" s="20">
        <f>IF(B32="","",IF(AM32&lt;=0,"",(AJ32+AL32)/AM32))</f>
        <v>0</v>
      </c>
      <c r="AO32" s="20">
        <f>IF(B32="","",IF(AN32="","Check the settings",ROUND(IF(RoundingRule="None",AN32,IF(RoundingRule="Nearest 0.99",MAX(0.99,CEILING(AN32,1)-0.01),IF(RoundingRule="Nearest 0.95",MAX(0.95,CEILING(AN32,1)-0.05),IF(RoundingRule="Nearest 0.50",CEILING(AN32,0.5),IF(RoundingRule="Nearest 1",CEILING(AN32,1),IF(RoundingRule="Nearest 5",CEILING(AN32,5),IF(RoundingRule="Up to whole 1",CEILING(AN32,1),IF(RoundingRule="Up to whole 5",CEILING(AN32,5),ROUND(AN32,2))))))))),2)))</f>
        <v>0</v>
      </c>
      <c r="AP32" s="20">
        <f>IF(B32="","",IF(S32&lt;&gt;"",S32,IF(ISNUMBER(AO32),AO32,"")))</f>
        <v>0</v>
      </c>
      <c r="AQ32" s="20">
        <f>IF(B32="","",IF(AP32="","",ROUND(AP32-AJ32-(AP32*AK32+AL32),2)))</f>
        <v>0</v>
      </c>
      <c r="AR32" s="33">
        <f>IF(B32="","",IF(OR(AP32="",AP32=0),"",AQ32/AP32))</f>
        <v>0</v>
      </c>
      <c r="AS32" s="41">
        <f>IF(B32="","",ROUND(AE32/60,3))</f>
        <v>0</v>
      </c>
      <c r="AT32" s="20">
        <f>IF(B32="","",IF(OR(AS32=0,AS32="",AQ32=""),"",ROUND((AQ32+AG32)/AS32,2)))</f>
        <v>0</v>
      </c>
      <c r="AU32" s="43">
        <f>IF(B32="","",IF(AND(A32&lt;&gt;"",ISERROR(MATCH(A32,Products!$A$5:$A$304,0))),"Check - no such product ID",IF(AD32=0,"Add - no material cost yet",IF(AE32=0,"Add - how long does it take?",IF(AND(A32&lt;&gt;"",COUNTIFS('Material Usage'!$A$5:$A$904,A32)&gt;0),"Check - this product also has a bill of materials",IF(AND(A32&lt;&gt;"",COUNTIFS(Labor!$A$5:$A$304,A32)&gt;0),"Check - this product also has labour lines",IF(AT32&lt;MinimumWage,"Below - pays under minimum wage","OK")))))) )</f>
        <v>0</v>
      </c>
    </row>
    <row r="33" spans="21:47">
      <c r="U33" s="41">
        <f>IF(B33="","",IFERROR(INDEX(SizeMaterialFactors,MATCH(D33,SizeNames,0)),1))</f>
        <v>0</v>
      </c>
      <c r="V33" s="41">
        <f>IF(B33="","",IFERROR(INDEX(SizeTimeFactors,MATCH(D33,SizeNames,0)),1))</f>
        <v>0</v>
      </c>
      <c r="W33" s="33">
        <f>IF(B33="","",IF(K33="",DefaultWaste,K33))</f>
        <v>0</v>
      </c>
      <c r="X33" s="36">
        <f>IF(B33="","",ROUND((IF(H33="",0,H33)+IF(J33="",0,J33))*U33*(1+W33),1))</f>
        <v>0</v>
      </c>
      <c r="Y33" s="20">
        <f>IF(B33="","",ROUND(IF(H33="",0,H33)*U33*(1+W33)*IFERROR(INDEX(Materials!$V$5:$V$254,MATCH(G33,Materials!$A$5:$A$254,0)),0),2))</f>
        <v>0</v>
      </c>
      <c r="Z33" s="20">
        <f>IF(B33="","",ROUND(IF(J33="",0,J33)*U33*(1+W33)*IFERROR(INDEX(Materials!$V$5:$V$254,MATCH(I33,Materials!$A$5:$A$254,0)),0),2))</f>
        <v>0</v>
      </c>
      <c r="AA33" s="36">
        <f>IF(B33="","",IF(IFERROR(INDEX(Materials!$G$5:$G$254,MATCH(G33,Materials!$A$5:$A$254,0)),0)=0,"",ROUNDUP(IF(H33="",0,H33)*U33*(1+W33)/(IFERROR(INDEX(Materials!$G$5:$G$254,MATCH(G33,Materials!$A$5:$A$254,0)),0)*IFERROR(INDEX(Materials!$U$5:$U$254,MATCH(G33,Materials!$A$5:$A$254,0)),1)),0)))</f>
        <v>0</v>
      </c>
      <c r="AB33" s="36">
        <f>IF(B33="","",IF(AA33="","",ROUND(AA33*IFERROR(INDEX(Materials!$G$5:$G$254,MATCH(G33,Materials!$A$5:$A$254,0)),0)*IFERROR(INDEX(Materials!$U$5:$U$254,MATCH(G33,Materials!$A$5:$A$254,0)),1)-IF(H33="",0,H33)*U33*(1+W33),1)))</f>
        <v>0</v>
      </c>
      <c r="AC33" s="20">
        <f>IF(B33="","",IF(N33="",0,ROUND(N33/MAX(1,IF(O33="",1,O33)),2)))</f>
        <v>0</v>
      </c>
      <c r="AD33" s="20">
        <f>IF(B33="","",ROUND(Y33+Z33+IF(L33="",0,L33)+IF(M33="",0,M33)+AC33,2))</f>
        <v>0</v>
      </c>
      <c r="AE33" s="36">
        <f>IF(B33="","",ROUND((IF(P33="",0,P33)*60+IF(Q33="",0,Q33))*V33,1))</f>
        <v>0</v>
      </c>
      <c r="AF33" s="20">
        <f>IF(B33="","",IF(R33&lt;&gt;"",R33,LaborCostHour))</f>
        <v>0</v>
      </c>
      <c r="AG33" s="20">
        <f>IF(B33="","",ROUND(AE33/60*AF33,2))</f>
        <v>0</v>
      </c>
      <c r="AH33" s="20">
        <f>IF(B33="","",ROUND(AE33/60*SuppliesPerHour,2))</f>
        <v>0</v>
      </c>
      <c r="AI33" s="45">
        <f>IF(B33="","",IF(OR(X33="",X33=0),"",ROUND(AD33/X33,4)))</f>
        <v>0</v>
      </c>
      <c r="AJ33" s="20">
        <f>IF(B33="","",ROUND(AD33+AG33+AH33,2))</f>
        <v>0</v>
      </c>
      <c r="AK33" s="33">
        <f>IF(B33="","",IFERROR(INDEX(Channels!$S$5:$S$18,MATCH(DefaultChannel,Channels!$A$5:$A$18,0)),0))</f>
        <v>0</v>
      </c>
      <c r="AL33" s="20">
        <f>IF(B33="","",IFERROR(INDEX(Channels!$T$5:$T$18,MATCH(DefaultChannel,Channels!$A$5:$A$18,0)),0))</f>
        <v>0</v>
      </c>
      <c r="AM33" s="41">
        <f>IF(B33="","",1-TargetRetailMargin-AK33)</f>
        <v>0</v>
      </c>
      <c r="AN33" s="20">
        <f>IF(B33="","",IF(AM33&lt;=0,"",(AJ33+AL33)/AM33))</f>
        <v>0</v>
      </c>
      <c r="AO33" s="20">
        <f>IF(B33="","",IF(AN33="","Check the settings",ROUND(IF(RoundingRule="None",AN33,IF(RoundingRule="Nearest 0.99",MAX(0.99,CEILING(AN33,1)-0.01),IF(RoundingRule="Nearest 0.95",MAX(0.95,CEILING(AN33,1)-0.05),IF(RoundingRule="Nearest 0.50",CEILING(AN33,0.5),IF(RoundingRule="Nearest 1",CEILING(AN33,1),IF(RoundingRule="Nearest 5",CEILING(AN33,5),IF(RoundingRule="Up to whole 1",CEILING(AN33,1),IF(RoundingRule="Up to whole 5",CEILING(AN33,5),ROUND(AN33,2))))))))),2)))</f>
        <v>0</v>
      </c>
      <c r="AP33" s="20">
        <f>IF(B33="","",IF(S33&lt;&gt;"",S33,IF(ISNUMBER(AO33),AO33,"")))</f>
        <v>0</v>
      </c>
      <c r="AQ33" s="20">
        <f>IF(B33="","",IF(AP33="","",ROUND(AP33-AJ33-(AP33*AK33+AL33),2)))</f>
        <v>0</v>
      </c>
      <c r="AR33" s="33">
        <f>IF(B33="","",IF(OR(AP33="",AP33=0),"",AQ33/AP33))</f>
        <v>0</v>
      </c>
      <c r="AS33" s="41">
        <f>IF(B33="","",ROUND(AE33/60,3))</f>
        <v>0</v>
      </c>
      <c r="AT33" s="20">
        <f>IF(B33="","",IF(OR(AS33=0,AS33="",AQ33=""),"",ROUND((AQ33+AG33)/AS33,2)))</f>
        <v>0</v>
      </c>
      <c r="AU33" s="43">
        <f>IF(B33="","",IF(AND(A33&lt;&gt;"",ISERROR(MATCH(A33,Products!$A$5:$A$304,0))),"Check - no such product ID",IF(AD33=0,"Add - no material cost yet",IF(AE33=0,"Add - how long does it take?",IF(AND(A33&lt;&gt;"",COUNTIFS('Material Usage'!$A$5:$A$904,A33)&gt;0),"Check - this product also has a bill of materials",IF(AND(A33&lt;&gt;"",COUNTIFS(Labor!$A$5:$A$304,A33)&gt;0),"Check - this product also has labour lines",IF(AT33&lt;MinimumWage,"Below - pays under minimum wage","OK")))))) )</f>
        <v>0</v>
      </c>
    </row>
    <row r="34" spans="21:47">
      <c r="U34" s="41">
        <f>IF(B34="","",IFERROR(INDEX(SizeMaterialFactors,MATCH(D34,SizeNames,0)),1))</f>
        <v>0</v>
      </c>
      <c r="V34" s="41">
        <f>IF(B34="","",IFERROR(INDEX(SizeTimeFactors,MATCH(D34,SizeNames,0)),1))</f>
        <v>0</v>
      </c>
      <c r="W34" s="33">
        <f>IF(B34="","",IF(K34="",DefaultWaste,K34))</f>
        <v>0</v>
      </c>
      <c r="X34" s="36">
        <f>IF(B34="","",ROUND((IF(H34="",0,H34)+IF(J34="",0,J34))*U34*(1+W34),1))</f>
        <v>0</v>
      </c>
      <c r="Y34" s="20">
        <f>IF(B34="","",ROUND(IF(H34="",0,H34)*U34*(1+W34)*IFERROR(INDEX(Materials!$V$5:$V$254,MATCH(G34,Materials!$A$5:$A$254,0)),0),2))</f>
        <v>0</v>
      </c>
      <c r="Z34" s="20">
        <f>IF(B34="","",ROUND(IF(J34="",0,J34)*U34*(1+W34)*IFERROR(INDEX(Materials!$V$5:$V$254,MATCH(I34,Materials!$A$5:$A$254,0)),0),2))</f>
        <v>0</v>
      </c>
      <c r="AA34" s="36">
        <f>IF(B34="","",IF(IFERROR(INDEX(Materials!$G$5:$G$254,MATCH(G34,Materials!$A$5:$A$254,0)),0)=0,"",ROUNDUP(IF(H34="",0,H34)*U34*(1+W34)/(IFERROR(INDEX(Materials!$G$5:$G$254,MATCH(G34,Materials!$A$5:$A$254,0)),0)*IFERROR(INDEX(Materials!$U$5:$U$254,MATCH(G34,Materials!$A$5:$A$254,0)),1)),0)))</f>
        <v>0</v>
      </c>
      <c r="AB34" s="36">
        <f>IF(B34="","",IF(AA34="","",ROUND(AA34*IFERROR(INDEX(Materials!$G$5:$G$254,MATCH(G34,Materials!$A$5:$A$254,0)),0)*IFERROR(INDEX(Materials!$U$5:$U$254,MATCH(G34,Materials!$A$5:$A$254,0)),1)-IF(H34="",0,H34)*U34*(1+W34),1)))</f>
        <v>0</v>
      </c>
      <c r="AC34" s="20">
        <f>IF(B34="","",IF(N34="",0,ROUND(N34/MAX(1,IF(O34="",1,O34)),2)))</f>
        <v>0</v>
      </c>
      <c r="AD34" s="20">
        <f>IF(B34="","",ROUND(Y34+Z34+IF(L34="",0,L34)+IF(M34="",0,M34)+AC34,2))</f>
        <v>0</v>
      </c>
      <c r="AE34" s="36">
        <f>IF(B34="","",ROUND((IF(P34="",0,P34)*60+IF(Q34="",0,Q34))*V34,1))</f>
        <v>0</v>
      </c>
      <c r="AF34" s="20">
        <f>IF(B34="","",IF(R34&lt;&gt;"",R34,LaborCostHour))</f>
        <v>0</v>
      </c>
      <c r="AG34" s="20">
        <f>IF(B34="","",ROUND(AE34/60*AF34,2))</f>
        <v>0</v>
      </c>
      <c r="AH34" s="20">
        <f>IF(B34="","",ROUND(AE34/60*SuppliesPerHour,2))</f>
        <v>0</v>
      </c>
      <c r="AI34" s="45">
        <f>IF(B34="","",IF(OR(X34="",X34=0),"",ROUND(AD34/X34,4)))</f>
        <v>0</v>
      </c>
      <c r="AJ34" s="20">
        <f>IF(B34="","",ROUND(AD34+AG34+AH34,2))</f>
        <v>0</v>
      </c>
      <c r="AK34" s="33">
        <f>IF(B34="","",IFERROR(INDEX(Channels!$S$5:$S$18,MATCH(DefaultChannel,Channels!$A$5:$A$18,0)),0))</f>
        <v>0</v>
      </c>
      <c r="AL34" s="20">
        <f>IF(B34="","",IFERROR(INDEX(Channels!$T$5:$T$18,MATCH(DefaultChannel,Channels!$A$5:$A$18,0)),0))</f>
        <v>0</v>
      </c>
      <c r="AM34" s="41">
        <f>IF(B34="","",1-TargetRetailMargin-AK34)</f>
        <v>0</v>
      </c>
      <c r="AN34" s="20">
        <f>IF(B34="","",IF(AM34&lt;=0,"",(AJ34+AL34)/AM34))</f>
        <v>0</v>
      </c>
      <c r="AO34" s="20">
        <f>IF(B34="","",IF(AN34="","Check the settings",ROUND(IF(RoundingRule="None",AN34,IF(RoundingRule="Nearest 0.99",MAX(0.99,CEILING(AN34,1)-0.01),IF(RoundingRule="Nearest 0.95",MAX(0.95,CEILING(AN34,1)-0.05),IF(RoundingRule="Nearest 0.50",CEILING(AN34,0.5),IF(RoundingRule="Nearest 1",CEILING(AN34,1),IF(RoundingRule="Nearest 5",CEILING(AN34,5),IF(RoundingRule="Up to whole 1",CEILING(AN34,1),IF(RoundingRule="Up to whole 5",CEILING(AN34,5),ROUND(AN34,2))))))))),2)))</f>
        <v>0</v>
      </c>
      <c r="AP34" s="20">
        <f>IF(B34="","",IF(S34&lt;&gt;"",S34,IF(ISNUMBER(AO34),AO34,"")))</f>
        <v>0</v>
      </c>
      <c r="AQ34" s="20">
        <f>IF(B34="","",IF(AP34="","",ROUND(AP34-AJ34-(AP34*AK34+AL34),2)))</f>
        <v>0</v>
      </c>
      <c r="AR34" s="33">
        <f>IF(B34="","",IF(OR(AP34="",AP34=0),"",AQ34/AP34))</f>
        <v>0</v>
      </c>
      <c r="AS34" s="41">
        <f>IF(B34="","",ROUND(AE34/60,3))</f>
        <v>0</v>
      </c>
      <c r="AT34" s="20">
        <f>IF(B34="","",IF(OR(AS34=0,AS34="",AQ34=""),"",ROUND((AQ34+AG34)/AS34,2)))</f>
        <v>0</v>
      </c>
      <c r="AU34" s="43">
        <f>IF(B34="","",IF(AND(A34&lt;&gt;"",ISERROR(MATCH(A34,Products!$A$5:$A$304,0))),"Check - no such product ID",IF(AD34=0,"Add - no material cost yet",IF(AE34=0,"Add - how long does it take?",IF(AND(A34&lt;&gt;"",COUNTIFS('Material Usage'!$A$5:$A$904,A34)&gt;0),"Check - this product also has a bill of materials",IF(AND(A34&lt;&gt;"",COUNTIFS(Labor!$A$5:$A$304,A34)&gt;0),"Check - this product also has labour lines",IF(AT34&lt;MinimumWage,"Below - pays under minimum wage","OK")))))) )</f>
        <v>0</v>
      </c>
    </row>
    <row r="35" spans="21:47">
      <c r="U35" s="41">
        <f>IF(B35="","",IFERROR(INDEX(SizeMaterialFactors,MATCH(D35,SizeNames,0)),1))</f>
        <v>0</v>
      </c>
      <c r="V35" s="41">
        <f>IF(B35="","",IFERROR(INDEX(SizeTimeFactors,MATCH(D35,SizeNames,0)),1))</f>
        <v>0</v>
      </c>
      <c r="W35" s="33">
        <f>IF(B35="","",IF(K35="",DefaultWaste,K35))</f>
        <v>0</v>
      </c>
      <c r="X35" s="36">
        <f>IF(B35="","",ROUND((IF(H35="",0,H35)+IF(J35="",0,J35))*U35*(1+W35),1))</f>
        <v>0</v>
      </c>
      <c r="Y35" s="20">
        <f>IF(B35="","",ROUND(IF(H35="",0,H35)*U35*(1+W35)*IFERROR(INDEX(Materials!$V$5:$V$254,MATCH(G35,Materials!$A$5:$A$254,0)),0),2))</f>
        <v>0</v>
      </c>
      <c r="Z35" s="20">
        <f>IF(B35="","",ROUND(IF(J35="",0,J35)*U35*(1+W35)*IFERROR(INDEX(Materials!$V$5:$V$254,MATCH(I35,Materials!$A$5:$A$254,0)),0),2))</f>
        <v>0</v>
      </c>
      <c r="AA35" s="36">
        <f>IF(B35="","",IF(IFERROR(INDEX(Materials!$G$5:$G$254,MATCH(G35,Materials!$A$5:$A$254,0)),0)=0,"",ROUNDUP(IF(H35="",0,H35)*U35*(1+W35)/(IFERROR(INDEX(Materials!$G$5:$G$254,MATCH(G35,Materials!$A$5:$A$254,0)),0)*IFERROR(INDEX(Materials!$U$5:$U$254,MATCH(G35,Materials!$A$5:$A$254,0)),1)),0)))</f>
        <v>0</v>
      </c>
      <c r="AB35" s="36">
        <f>IF(B35="","",IF(AA35="","",ROUND(AA35*IFERROR(INDEX(Materials!$G$5:$G$254,MATCH(G35,Materials!$A$5:$A$254,0)),0)*IFERROR(INDEX(Materials!$U$5:$U$254,MATCH(G35,Materials!$A$5:$A$254,0)),1)-IF(H35="",0,H35)*U35*(1+W35),1)))</f>
        <v>0</v>
      </c>
      <c r="AC35" s="20">
        <f>IF(B35="","",IF(N35="",0,ROUND(N35/MAX(1,IF(O35="",1,O35)),2)))</f>
        <v>0</v>
      </c>
      <c r="AD35" s="20">
        <f>IF(B35="","",ROUND(Y35+Z35+IF(L35="",0,L35)+IF(M35="",0,M35)+AC35,2))</f>
        <v>0</v>
      </c>
      <c r="AE35" s="36">
        <f>IF(B35="","",ROUND((IF(P35="",0,P35)*60+IF(Q35="",0,Q35))*V35,1))</f>
        <v>0</v>
      </c>
      <c r="AF35" s="20">
        <f>IF(B35="","",IF(R35&lt;&gt;"",R35,LaborCostHour))</f>
        <v>0</v>
      </c>
      <c r="AG35" s="20">
        <f>IF(B35="","",ROUND(AE35/60*AF35,2))</f>
        <v>0</v>
      </c>
      <c r="AH35" s="20">
        <f>IF(B35="","",ROUND(AE35/60*SuppliesPerHour,2))</f>
        <v>0</v>
      </c>
      <c r="AI35" s="45">
        <f>IF(B35="","",IF(OR(X35="",X35=0),"",ROUND(AD35/X35,4)))</f>
        <v>0</v>
      </c>
      <c r="AJ35" s="20">
        <f>IF(B35="","",ROUND(AD35+AG35+AH35,2))</f>
        <v>0</v>
      </c>
      <c r="AK35" s="33">
        <f>IF(B35="","",IFERROR(INDEX(Channels!$S$5:$S$18,MATCH(DefaultChannel,Channels!$A$5:$A$18,0)),0))</f>
        <v>0</v>
      </c>
      <c r="AL35" s="20">
        <f>IF(B35="","",IFERROR(INDEX(Channels!$T$5:$T$18,MATCH(DefaultChannel,Channels!$A$5:$A$18,0)),0))</f>
        <v>0</v>
      </c>
      <c r="AM35" s="41">
        <f>IF(B35="","",1-TargetRetailMargin-AK35)</f>
        <v>0</v>
      </c>
      <c r="AN35" s="20">
        <f>IF(B35="","",IF(AM35&lt;=0,"",(AJ35+AL35)/AM35))</f>
        <v>0</v>
      </c>
      <c r="AO35" s="20">
        <f>IF(B35="","",IF(AN35="","Check the settings",ROUND(IF(RoundingRule="None",AN35,IF(RoundingRule="Nearest 0.99",MAX(0.99,CEILING(AN35,1)-0.01),IF(RoundingRule="Nearest 0.95",MAX(0.95,CEILING(AN35,1)-0.05),IF(RoundingRule="Nearest 0.50",CEILING(AN35,0.5),IF(RoundingRule="Nearest 1",CEILING(AN35,1),IF(RoundingRule="Nearest 5",CEILING(AN35,5),IF(RoundingRule="Up to whole 1",CEILING(AN35,1),IF(RoundingRule="Up to whole 5",CEILING(AN35,5),ROUND(AN35,2))))))))),2)))</f>
        <v>0</v>
      </c>
      <c r="AP35" s="20">
        <f>IF(B35="","",IF(S35&lt;&gt;"",S35,IF(ISNUMBER(AO35),AO35,"")))</f>
        <v>0</v>
      </c>
      <c r="AQ35" s="20">
        <f>IF(B35="","",IF(AP35="","",ROUND(AP35-AJ35-(AP35*AK35+AL35),2)))</f>
        <v>0</v>
      </c>
      <c r="AR35" s="33">
        <f>IF(B35="","",IF(OR(AP35="",AP35=0),"",AQ35/AP35))</f>
        <v>0</v>
      </c>
      <c r="AS35" s="41">
        <f>IF(B35="","",ROUND(AE35/60,3))</f>
        <v>0</v>
      </c>
      <c r="AT35" s="20">
        <f>IF(B35="","",IF(OR(AS35=0,AS35="",AQ35=""),"",ROUND((AQ35+AG35)/AS35,2)))</f>
        <v>0</v>
      </c>
      <c r="AU35" s="43">
        <f>IF(B35="","",IF(AND(A35&lt;&gt;"",ISERROR(MATCH(A35,Products!$A$5:$A$304,0))),"Check - no such product ID",IF(AD35=0,"Add - no material cost yet",IF(AE35=0,"Add - how long does it take?",IF(AND(A35&lt;&gt;"",COUNTIFS('Material Usage'!$A$5:$A$904,A35)&gt;0),"Check - this product also has a bill of materials",IF(AND(A35&lt;&gt;"",COUNTIFS(Labor!$A$5:$A$304,A35)&gt;0),"Check - this product also has labour lines",IF(AT35&lt;MinimumWage,"Below - pays under minimum wage","OK")))))) )</f>
        <v>0</v>
      </c>
    </row>
    <row r="36" spans="21:47">
      <c r="U36" s="41">
        <f>IF(B36="","",IFERROR(INDEX(SizeMaterialFactors,MATCH(D36,SizeNames,0)),1))</f>
        <v>0</v>
      </c>
      <c r="V36" s="41">
        <f>IF(B36="","",IFERROR(INDEX(SizeTimeFactors,MATCH(D36,SizeNames,0)),1))</f>
        <v>0</v>
      </c>
      <c r="W36" s="33">
        <f>IF(B36="","",IF(K36="",DefaultWaste,K36))</f>
        <v>0</v>
      </c>
      <c r="X36" s="36">
        <f>IF(B36="","",ROUND((IF(H36="",0,H36)+IF(J36="",0,J36))*U36*(1+W36),1))</f>
        <v>0</v>
      </c>
      <c r="Y36" s="20">
        <f>IF(B36="","",ROUND(IF(H36="",0,H36)*U36*(1+W36)*IFERROR(INDEX(Materials!$V$5:$V$254,MATCH(G36,Materials!$A$5:$A$254,0)),0),2))</f>
        <v>0</v>
      </c>
      <c r="Z36" s="20">
        <f>IF(B36="","",ROUND(IF(J36="",0,J36)*U36*(1+W36)*IFERROR(INDEX(Materials!$V$5:$V$254,MATCH(I36,Materials!$A$5:$A$254,0)),0),2))</f>
        <v>0</v>
      </c>
      <c r="AA36" s="36">
        <f>IF(B36="","",IF(IFERROR(INDEX(Materials!$G$5:$G$254,MATCH(G36,Materials!$A$5:$A$254,0)),0)=0,"",ROUNDUP(IF(H36="",0,H36)*U36*(1+W36)/(IFERROR(INDEX(Materials!$G$5:$G$254,MATCH(G36,Materials!$A$5:$A$254,0)),0)*IFERROR(INDEX(Materials!$U$5:$U$254,MATCH(G36,Materials!$A$5:$A$254,0)),1)),0)))</f>
        <v>0</v>
      </c>
      <c r="AB36" s="36">
        <f>IF(B36="","",IF(AA36="","",ROUND(AA36*IFERROR(INDEX(Materials!$G$5:$G$254,MATCH(G36,Materials!$A$5:$A$254,0)),0)*IFERROR(INDEX(Materials!$U$5:$U$254,MATCH(G36,Materials!$A$5:$A$254,0)),1)-IF(H36="",0,H36)*U36*(1+W36),1)))</f>
        <v>0</v>
      </c>
      <c r="AC36" s="20">
        <f>IF(B36="","",IF(N36="",0,ROUND(N36/MAX(1,IF(O36="",1,O36)),2)))</f>
        <v>0</v>
      </c>
      <c r="AD36" s="20">
        <f>IF(B36="","",ROUND(Y36+Z36+IF(L36="",0,L36)+IF(M36="",0,M36)+AC36,2))</f>
        <v>0</v>
      </c>
      <c r="AE36" s="36">
        <f>IF(B36="","",ROUND((IF(P36="",0,P36)*60+IF(Q36="",0,Q36))*V36,1))</f>
        <v>0</v>
      </c>
      <c r="AF36" s="20">
        <f>IF(B36="","",IF(R36&lt;&gt;"",R36,LaborCostHour))</f>
        <v>0</v>
      </c>
      <c r="AG36" s="20">
        <f>IF(B36="","",ROUND(AE36/60*AF36,2))</f>
        <v>0</v>
      </c>
      <c r="AH36" s="20">
        <f>IF(B36="","",ROUND(AE36/60*SuppliesPerHour,2))</f>
        <v>0</v>
      </c>
      <c r="AI36" s="45">
        <f>IF(B36="","",IF(OR(X36="",X36=0),"",ROUND(AD36/X36,4)))</f>
        <v>0</v>
      </c>
      <c r="AJ36" s="20">
        <f>IF(B36="","",ROUND(AD36+AG36+AH36,2))</f>
        <v>0</v>
      </c>
      <c r="AK36" s="33">
        <f>IF(B36="","",IFERROR(INDEX(Channels!$S$5:$S$18,MATCH(DefaultChannel,Channels!$A$5:$A$18,0)),0))</f>
        <v>0</v>
      </c>
      <c r="AL36" s="20">
        <f>IF(B36="","",IFERROR(INDEX(Channels!$T$5:$T$18,MATCH(DefaultChannel,Channels!$A$5:$A$18,0)),0))</f>
        <v>0</v>
      </c>
      <c r="AM36" s="41">
        <f>IF(B36="","",1-TargetRetailMargin-AK36)</f>
        <v>0</v>
      </c>
      <c r="AN36" s="20">
        <f>IF(B36="","",IF(AM36&lt;=0,"",(AJ36+AL36)/AM36))</f>
        <v>0</v>
      </c>
      <c r="AO36" s="20">
        <f>IF(B36="","",IF(AN36="","Check the settings",ROUND(IF(RoundingRule="None",AN36,IF(RoundingRule="Nearest 0.99",MAX(0.99,CEILING(AN36,1)-0.01),IF(RoundingRule="Nearest 0.95",MAX(0.95,CEILING(AN36,1)-0.05),IF(RoundingRule="Nearest 0.50",CEILING(AN36,0.5),IF(RoundingRule="Nearest 1",CEILING(AN36,1),IF(RoundingRule="Nearest 5",CEILING(AN36,5),IF(RoundingRule="Up to whole 1",CEILING(AN36,1),IF(RoundingRule="Up to whole 5",CEILING(AN36,5),ROUND(AN36,2))))))))),2)))</f>
        <v>0</v>
      </c>
      <c r="AP36" s="20">
        <f>IF(B36="","",IF(S36&lt;&gt;"",S36,IF(ISNUMBER(AO36),AO36,"")))</f>
        <v>0</v>
      </c>
      <c r="AQ36" s="20">
        <f>IF(B36="","",IF(AP36="","",ROUND(AP36-AJ36-(AP36*AK36+AL36),2)))</f>
        <v>0</v>
      </c>
      <c r="AR36" s="33">
        <f>IF(B36="","",IF(OR(AP36="",AP36=0),"",AQ36/AP36))</f>
        <v>0</v>
      </c>
      <c r="AS36" s="41">
        <f>IF(B36="","",ROUND(AE36/60,3))</f>
        <v>0</v>
      </c>
      <c r="AT36" s="20">
        <f>IF(B36="","",IF(OR(AS36=0,AS36="",AQ36=""),"",ROUND((AQ36+AG36)/AS36,2)))</f>
        <v>0</v>
      </c>
      <c r="AU36" s="43">
        <f>IF(B36="","",IF(AND(A36&lt;&gt;"",ISERROR(MATCH(A36,Products!$A$5:$A$304,0))),"Check - no such product ID",IF(AD36=0,"Add - no material cost yet",IF(AE36=0,"Add - how long does it take?",IF(AND(A36&lt;&gt;"",COUNTIFS('Material Usage'!$A$5:$A$904,A36)&gt;0),"Check - this product also has a bill of materials",IF(AND(A36&lt;&gt;"",COUNTIFS(Labor!$A$5:$A$304,A36)&gt;0),"Check - this product also has labour lines",IF(AT36&lt;MinimumWage,"Below - pays under minimum wage","OK")))))) )</f>
        <v>0</v>
      </c>
    </row>
    <row r="37" spans="21:47">
      <c r="U37" s="41">
        <f>IF(B37="","",IFERROR(INDEX(SizeMaterialFactors,MATCH(D37,SizeNames,0)),1))</f>
        <v>0</v>
      </c>
      <c r="V37" s="41">
        <f>IF(B37="","",IFERROR(INDEX(SizeTimeFactors,MATCH(D37,SizeNames,0)),1))</f>
        <v>0</v>
      </c>
      <c r="W37" s="33">
        <f>IF(B37="","",IF(K37="",DefaultWaste,K37))</f>
        <v>0</v>
      </c>
      <c r="X37" s="36">
        <f>IF(B37="","",ROUND((IF(H37="",0,H37)+IF(J37="",0,J37))*U37*(1+W37),1))</f>
        <v>0</v>
      </c>
      <c r="Y37" s="20">
        <f>IF(B37="","",ROUND(IF(H37="",0,H37)*U37*(1+W37)*IFERROR(INDEX(Materials!$V$5:$V$254,MATCH(G37,Materials!$A$5:$A$254,0)),0),2))</f>
        <v>0</v>
      </c>
      <c r="Z37" s="20">
        <f>IF(B37="","",ROUND(IF(J37="",0,J37)*U37*(1+W37)*IFERROR(INDEX(Materials!$V$5:$V$254,MATCH(I37,Materials!$A$5:$A$254,0)),0),2))</f>
        <v>0</v>
      </c>
      <c r="AA37" s="36">
        <f>IF(B37="","",IF(IFERROR(INDEX(Materials!$G$5:$G$254,MATCH(G37,Materials!$A$5:$A$254,0)),0)=0,"",ROUNDUP(IF(H37="",0,H37)*U37*(1+W37)/(IFERROR(INDEX(Materials!$G$5:$G$254,MATCH(G37,Materials!$A$5:$A$254,0)),0)*IFERROR(INDEX(Materials!$U$5:$U$254,MATCH(G37,Materials!$A$5:$A$254,0)),1)),0)))</f>
        <v>0</v>
      </c>
      <c r="AB37" s="36">
        <f>IF(B37="","",IF(AA37="","",ROUND(AA37*IFERROR(INDEX(Materials!$G$5:$G$254,MATCH(G37,Materials!$A$5:$A$254,0)),0)*IFERROR(INDEX(Materials!$U$5:$U$254,MATCH(G37,Materials!$A$5:$A$254,0)),1)-IF(H37="",0,H37)*U37*(1+W37),1)))</f>
        <v>0</v>
      </c>
      <c r="AC37" s="20">
        <f>IF(B37="","",IF(N37="",0,ROUND(N37/MAX(1,IF(O37="",1,O37)),2)))</f>
        <v>0</v>
      </c>
      <c r="AD37" s="20">
        <f>IF(B37="","",ROUND(Y37+Z37+IF(L37="",0,L37)+IF(M37="",0,M37)+AC37,2))</f>
        <v>0</v>
      </c>
      <c r="AE37" s="36">
        <f>IF(B37="","",ROUND((IF(P37="",0,P37)*60+IF(Q37="",0,Q37))*V37,1))</f>
        <v>0</v>
      </c>
      <c r="AF37" s="20">
        <f>IF(B37="","",IF(R37&lt;&gt;"",R37,LaborCostHour))</f>
        <v>0</v>
      </c>
      <c r="AG37" s="20">
        <f>IF(B37="","",ROUND(AE37/60*AF37,2))</f>
        <v>0</v>
      </c>
      <c r="AH37" s="20">
        <f>IF(B37="","",ROUND(AE37/60*SuppliesPerHour,2))</f>
        <v>0</v>
      </c>
      <c r="AI37" s="45">
        <f>IF(B37="","",IF(OR(X37="",X37=0),"",ROUND(AD37/X37,4)))</f>
        <v>0</v>
      </c>
      <c r="AJ37" s="20">
        <f>IF(B37="","",ROUND(AD37+AG37+AH37,2))</f>
        <v>0</v>
      </c>
      <c r="AK37" s="33">
        <f>IF(B37="","",IFERROR(INDEX(Channels!$S$5:$S$18,MATCH(DefaultChannel,Channels!$A$5:$A$18,0)),0))</f>
        <v>0</v>
      </c>
      <c r="AL37" s="20">
        <f>IF(B37="","",IFERROR(INDEX(Channels!$T$5:$T$18,MATCH(DefaultChannel,Channels!$A$5:$A$18,0)),0))</f>
        <v>0</v>
      </c>
      <c r="AM37" s="41">
        <f>IF(B37="","",1-TargetRetailMargin-AK37)</f>
        <v>0</v>
      </c>
      <c r="AN37" s="20">
        <f>IF(B37="","",IF(AM37&lt;=0,"",(AJ37+AL37)/AM37))</f>
        <v>0</v>
      </c>
      <c r="AO37" s="20">
        <f>IF(B37="","",IF(AN37="","Check the settings",ROUND(IF(RoundingRule="None",AN37,IF(RoundingRule="Nearest 0.99",MAX(0.99,CEILING(AN37,1)-0.01),IF(RoundingRule="Nearest 0.95",MAX(0.95,CEILING(AN37,1)-0.05),IF(RoundingRule="Nearest 0.50",CEILING(AN37,0.5),IF(RoundingRule="Nearest 1",CEILING(AN37,1),IF(RoundingRule="Nearest 5",CEILING(AN37,5),IF(RoundingRule="Up to whole 1",CEILING(AN37,1),IF(RoundingRule="Up to whole 5",CEILING(AN37,5),ROUND(AN37,2))))))))),2)))</f>
        <v>0</v>
      </c>
      <c r="AP37" s="20">
        <f>IF(B37="","",IF(S37&lt;&gt;"",S37,IF(ISNUMBER(AO37),AO37,"")))</f>
        <v>0</v>
      </c>
      <c r="AQ37" s="20">
        <f>IF(B37="","",IF(AP37="","",ROUND(AP37-AJ37-(AP37*AK37+AL37),2)))</f>
        <v>0</v>
      </c>
      <c r="AR37" s="33">
        <f>IF(B37="","",IF(OR(AP37="",AP37=0),"",AQ37/AP37))</f>
        <v>0</v>
      </c>
      <c r="AS37" s="41">
        <f>IF(B37="","",ROUND(AE37/60,3))</f>
        <v>0</v>
      </c>
      <c r="AT37" s="20">
        <f>IF(B37="","",IF(OR(AS37=0,AS37="",AQ37=""),"",ROUND((AQ37+AG37)/AS37,2)))</f>
        <v>0</v>
      </c>
      <c r="AU37" s="43">
        <f>IF(B37="","",IF(AND(A37&lt;&gt;"",ISERROR(MATCH(A37,Products!$A$5:$A$304,0))),"Check - no such product ID",IF(AD37=0,"Add - no material cost yet",IF(AE37=0,"Add - how long does it take?",IF(AND(A37&lt;&gt;"",COUNTIFS('Material Usage'!$A$5:$A$904,A37)&gt;0),"Check - this product also has a bill of materials",IF(AND(A37&lt;&gt;"",COUNTIFS(Labor!$A$5:$A$304,A37)&gt;0),"Check - this product also has labour lines",IF(AT37&lt;MinimumWage,"Below - pays under minimum wage","OK")))))) )</f>
        <v>0</v>
      </c>
    </row>
    <row r="38" spans="21:47">
      <c r="U38" s="41">
        <f>IF(B38="","",IFERROR(INDEX(SizeMaterialFactors,MATCH(D38,SizeNames,0)),1))</f>
        <v>0</v>
      </c>
      <c r="V38" s="41">
        <f>IF(B38="","",IFERROR(INDEX(SizeTimeFactors,MATCH(D38,SizeNames,0)),1))</f>
        <v>0</v>
      </c>
      <c r="W38" s="33">
        <f>IF(B38="","",IF(K38="",DefaultWaste,K38))</f>
        <v>0</v>
      </c>
      <c r="X38" s="36">
        <f>IF(B38="","",ROUND((IF(H38="",0,H38)+IF(J38="",0,J38))*U38*(1+W38),1))</f>
        <v>0</v>
      </c>
      <c r="Y38" s="20">
        <f>IF(B38="","",ROUND(IF(H38="",0,H38)*U38*(1+W38)*IFERROR(INDEX(Materials!$V$5:$V$254,MATCH(G38,Materials!$A$5:$A$254,0)),0),2))</f>
        <v>0</v>
      </c>
      <c r="Z38" s="20">
        <f>IF(B38="","",ROUND(IF(J38="",0,J38)*U38*(1+W38)*IFERROR(INDEX(Materials!$V$5:$V$254,MATCH(I38,Materials!$A$5:$A$254,0)),0),2))</f>
        <v>0</v>
      </c>
      <c r="AA38" s="36">
        <f>IF(B38="","",IF(IFERROR(INDEX(Materials!$G$5:$G$254,MATCH(G38,Materials!$A$5:$A$254,0)),0)=0,"",ROUNDUP(IF(H38="",0,H38)*U38*(1+W38)/(IFERROR(INDEX(Materials!$G$5:$G$254,MATCH(G38,Materials!$A$5:$A$254,0)),0)*IFERROR(INDEX(Materials!$U$5:$U$254,MATCH(G38,Materials!$A$5:$A$254,0)),1)),0)))</f>
        <v>0</v>
      </c>
      <c r="AB38" s="36">
        <f>IF(B38="","",IF(AA38="","",ROUND(AA38*IFERROR(INDEX(Materials!$G$5:$G$254,MATCH(G38,Materials!$A$5:$A$254,0)),0)*IFERROR(INDEX(Materials!$U$5:$U$254,MATCH(G38,Materials!$A$5:$A$254,0)),1)-IF(H38="",0,H38)*U38*(1+W38),1)))</f>
        <v>0</v>
      </c>
      <c r="AC38" s="20">
        <f>IF(B38="","",IF(N38="",0,ROUND(N38/MAX(1,IF(O38="",1,O38)),2)))</f>
        <v>0</v>
      </c>
      <c r="AD38" s="20">
        <f>IF(B38="","",ROUND(Y38+Z38+IF(L38="",0,L38)+IF(M38="",0,M38)+AC38,2))</f>
        <v>0</v>
      </c>
      <c r="AE38" s="36">
        <f>IF(B38="","",ROUND((IF(P38="",0,P38)*60+IF(Q38="",0,Q38))*V38,1))</f>
        <v>0</v>
      </c>
      <c r="AF38" s="20">
        <f>IF(B38="","",IF(R38&lt;&gt;"",R38,LaborCostHour))</f>
        <v>0</v>
      </c>
      <c r="AG38" s="20">
        <f>IF(B38="","",ROUND(AE38/60*AF38,2))</f>
        <v>0</v>
      </c>
      <c r="AH38" s="20">
        <f>IF(B38="","",ROUND(AE38/60*SuppliesPerHour,2))</f>
        <v>0</v>
      </c>
      <c r="AI38" s="45">
        <f>IF(B38="","",IF(OR(X38="",X38=0),"",ROUND(AD38/X38,4)))</f>
        <v>0</v>
      </c>
      <c r="AJ38" s="20">
        <f>IF(B38="","",ROUND(AD38+AG38+AH38,2))</f>
        <v>0</v>
      </c>
      <c r="AK38" s="33">
        <f>IF(B38="","",IFERROR(INDEX(Channels!$S$5:$S$18,MATCH(DefaultChannel,Channels!$A$5:$A$18,0)),0))</f>
        <v>0</v>
      </c>
      <c r="AL38" s="20">
        <f>IF(B38="","",IFERROR(INDEX(Channels!$T$5:$T$18,MATCH(DefaultChannel,Channels!$A$5:$A$18,0)),0))</f>
        <v>0</v>
      </c>
      <c r="AM38" s="41">
        <f>IF(B38="","",1-TargetRetailMargin-AK38)</f>
        <v>0</v>
      </c>
      <c r="AN38" s="20">
        <f>IF(B38="","",IF(AM38&lt;=0,"",(AJ38+AL38)/AM38))</f>
        <v>0</v>
      </c>
      <c r="AO38" s="20">
        <f>IF(B38="","",IF(AN38="","Check the settings",ROUND(IF(RoundingRule="None",AN38,IF(RoundingRule="Nearest 0.99",MAX(0.99,CEILING(AN38,1)-0.01),IF(RoundingRule="Nearest 0.95",MAX(0.95,CEILING(AN38,1)-0.05),IF(RoundingRule="Nearest 0.50",CEILING(AN38,0.5),IF(RoundingRule="Nearest 1",CEILING(AN38,1),IF(RoundingRule="Nearest 5",CEILING(AN38,5),IF(RoundingRule="Up to whole 1",CEILING(AN38,1),IF(RoundingRule="Up to whole 5",CEILING(AN38,5),ROUND(AN38,2))))))))),2)))</f>
        <v>0</v>
      </c>
      <c r="AP38" s="20">
        <f>IF(B38="","",IF(S38&lt;&gt;"",S38,IF(ISNUMBER(AO38),AO38,"")))</f>
        <v>0</v>
      </c>
      <c r="AQ38" s="20">
        <f>IF(B38="","",IF(AP38="","",ROUND(AP38-AJ38-(AP38*AK38+AL38),2)))</f>
        <v>0</v>
      </c>
      <c r="AR38" s="33">
        <f>IF(B38="","",IF(OR(AP38="",AP38=0),"",AQ38/AP38))</f>
        <v>0</v>
      </c>
      <c r="AS38" s="41">
        <f>IF(B38="","",ROUND(AE38/60,3))</f>
        <v>0</v>
      </c>
      <c r="AT38" s="20">
        <f>IF(B38="","",IF(OR(AS38=0,AS38="",AQ38=""),"",ROUND((AQ38+AG38)/AS38,2)))</f>
        <v>0</v>
      </c>
      <c r="AU38" s="43">
        <f>IF(B38="","",IF(AND(A38&lt;&gt;"",ISERROR(MATCH(A38,Products!$A$5:$A$304,0))),"Check - no such product ID",IF(AD38=0,"Add - no material cost yet",IF(AE38=0,"Add - how long does it take?",IF(AND(A38&lt;&gt;"",COUNTIFS('Material Usage'!$A$5:$A$904,A38)&gt;0),"Check - this product also has a bill of materials",IF(AND(A38&lt;&gt;"",COUNTIFS(Labor!$A$5:$A$304,A38)&gt;0),"Check - this product also has labour lines",IF(AT38&lt;MinimumWage,"Below - pays under minimum wage","OK")))))) )</f>
        <v>0</v>
      </c>
    </row>
    <row r="39" spans="21:47">
      <c r="U39" s="41">
        <f>IF(B39="","",IFERROR(INDEX(SizeMaterialFactors,MATCH(D39,SizeNames,0)),1))</f>
        <v>0</v>
      </c>
      <c r="V39" s="41">
        <f>IF(B39="","",IFERROR(INDEX(SizeTimeFactors,MATCH(D39,SizeNames,0)),1))</f>
        <v>0</v>
      </c>
      <c r="W39" s="33">
        <f>IF(B39="","",IF(K39="",DefaultWaste,K39))</f>
        <v>0</v>
      </c>
      <c r="X39" s="36">
        <f>IF(B39="","",ROUND((IF(H39="",0,H39)+IF(J39="",0,J39))*U39*(1+W39),1))</f>
        <v>0</v>
      </c>
      <c r="Y39" s="20">
        <f>IF(B39="","",ROUND(IF(H39="",0,H39)*U39*(1+W39)*IFERROR(INDEX(Materials!$V$5:$V$254,MATCH(G39,Materials!$A$5:$A$254,0)),0),2))</f>
        <v>0</v>
      </c>
      <c r="Z39" s="20">
        <f>IF(B39="","",ROUND(IF(J39="",0,J39)*U39*(1+W39)*IFERROR(INDEX(Materials!$V$5:$V$254,MATCH(I39,Materials!$A$5:$A$254,0)),0),2))</f>
        <v>0</v>
      </c>
      <c r="AA39" s="36">
        <f>IF(B39="","",IF(IFERROR(INDEX(Materials!$G$5:$G$254,MATCH(G39,Materials!$A$5:$A$254,0)),0)=0,"",ROUNDUP(IF(H39="",0,H39)*U39*(1+W39)/(IFERROR(INDEX(Materials!$G$5:$G$254,MATCH(G39,Materials!$A$5:$A$254,0)),0)*IFERROR(INDEX(Materials!$U$5:$U$254,MATCH(G39,Materials!$A$5:$A$254,0)),1)),0)))</f>
        <v>0</v>
      </c>
      <c r="AB39" s="36">
        <f>IF(B39="","",IF(AA39="","",ROUND(AA39*IFERROR(INDEX(Materials!$G$5:$G$254,MATCH(G39,Materials!$A$5:$A$254,0)),0)*IFERROR(INDEX(Materials!$U$5:$U$254,MATCH(G39,Materials!$A$5:$A$254,0)),1)-IF(H39="",0,H39)*U39*(1+W39),1)))</f>
        <v>0</v>
      </c>
      <c r="AC39" s="20">
        <f>IF(B39="","",IF(N39="",0,ROUND(N39/MAX(1,IF(O39="",1,O39)),2)))</f>
        <v>0</v>
      </c>
      <c r="AD39" s="20">
        <f>IF(B39="","",ROUND(Y39+Z39+IF(L39="",0,L39)+IF(M39="",0,M39)+AC39,2))</f>
        <v>0</v>
      </c>
      <c r="AE39" s="36">
        <f>IF(B39="","",ROUND((IF(P39="",0,P39)*60+IF(Q39="",0,Q39))*V39,1))</f>
        <v>0</v>
      </c>
      <c r="AF39" s="20">
        <f>IF(B39="","",IF(R39&lt;&gt;"",R39,LaborCostHour))</f>
        <v>0</v>
      </c>
      <c r="AG39" s="20">
        <f>IF(B39="","",ROUND(AE39/60*AF39,2))</f>
        <v>0</v>
      </c>
      <c r="AH39" s="20">
        <f>IF(B39="","",ROUND(AE39/60*SuppliesPerHour,2))</f>
        <v>0</v>
      </c>
      <c r="AI39" s="45">
        <f>IF(B39="","",IF(OR(X39="",X39=0),"",ROUND(AD39/X39,4)))</f>
        <v>0</v>
      </c>
      <c r="AJ39" s="20">
        <f>IF(B39="","",ROUND(AD39+AG39+AH39,2))</f>
        <v>0</v>
      </c>
      <c r="AK39" s="33">
        <f>IF(B39="","",IFERROR(INDEX(Channels!$S$5:$S$18,MATCH(DefaultChannel,Channels!$A$5:$A$18,0)),0))</f>
        <v>0</v>
      </c>
      <c r="AL39" s="20">
        <f>IF(B39="","",IFERROR(INDEX(Channels!$T$5:$T$18,MATCH(DefaultChannel,Channels!$A$5:$A$18,0)),0))</f>
        <v>0</v>
      </c>
      <c r="AM39" s="41">
        <f>IF(B39="","",1-TargetRetailMargin-AK39)</f>
        <v>0</v>
      </c>
      <c r="AN39" s="20">
        <f>IF(B39="","",IF(AM39&lt;=0,"",(AJ39+AL39)/AM39))</f>
        <v>0</v>
      </c>
      <c r="AO39" s="20">
        <f>IF(B39="","",IF(AN39="","Check the settings",ROUND(IF(RoundingRule="None",AN39,IF(RoundingRule="Nearest 0.99",MAX(0.99,CEILING(AN39,1)-0.01),IF(RoundingRule="Nearest 0.95",MAX(0.95,CEILING(AN39,1)-0.05),IF(RoundingRule="Nearest 0.50",CEILING(AN39,0.5),IF(RoundingRule="Nearest 1",CEILING(AN39,1),IF(RoundingRule="Nearest 5",CEILING(AN39,5),IF(RoundingRule="Up to whole 1",CEILING(AN39,1),IF(RoundingRule="Up to whole 5",CEILING(AN39,5),ROUND(AN39,2))))))))),2)))</f>
        <v>0</v>
      </c>
      <c r="AP39" s="20">
        <f>IF(B39="","",IF(S39&lt;&gt;"",S39,IF(ISNUMBER(AO39),AO39,"")))</f>
        <v>0</v>
      </c>
      <c r="AQ39" s="20">
        <f>IF(B39="","",IF(AP39="","",ROUND(AP39-AJ39-(AP39*AK39+AL39),2)))</f>
        <v>0</v>
      </c>
      <c r="AR39" s="33">
        <f>IF(B39="","",IF(OR(AP39="",AP39=0),"",AQ39/AP39))</f>
        <v>0</v>
      </c>
      <c r="AS39" s="41">
        <f>IF(B39="","",ROUND(AE39/60,3))</f>
        <v>0</v>
      </c>
      <c r="AT39" s="20">
        <f>IF(B39="","",IF(OR(AS39=0,AS39="",AQ39=""),"",ROUND((AQ39+AG39)/AS39,2)))</f>
        <v>0</v>
      </c>
      <c r="AU39" s="43">
        <f>IF(B39="","",IF(AND(A39&lt;&gt;"",ISERROR(MATCH(A39,Products!$A$5:$A$304,0))),"Check - no such product ID",IF(AD39=0,"Add - no material cost yet",IF(AE39=0,"Add - how long does it take?",IF(AND(A39&lt;&gt;"",COUNTIFS('Material Usage'!$A$5:$A$904,A39)&gt;0),"Check - this product also has a bill of materials",IF(AND(A39&lt;&gt;"",COUNTIFS(Labor!$A$5:$A$304,A39)&gt;0),"Check - this product also has labour lines",IF(AT39&lt;MinimumWage,"Below - pays under minimum wage","OK")))))) )</f>
        <v>0</v>
      </c>
    </row>
    <row r="40" spans="21:47">
      <c r="U40" s="41">
        <f>IF(B40="","",IFERROR(INDEX(SizeMaterialFactors,MATCH(D40,SizeNames,0)),1))</f>
        <v>0</v>
      </c>
      <c r="V40" s="41">
        <f>IF(B40="","",IFERROR(INDEX(SizeTimeFactors,MATCH(D40,SizeNames,0)),1))</f>
        <v>0</v>
      </c>
      <c r="W40" s="33">
        <f>IF(B40="","",IF(K40="",DefaultWaste,K40))</f>
        <v>0</v>
      </c>
      <c r="X40" s="36">
        <f>IF(B40="","",ROUND((IF(H40="",0,H40)+IF(J40="",0,J40))*U40*(1+W40),1))</f>
        <v>0</v>
      </c>
      <c r="Y40" s="20">
        <f>IF(B40="","",ROUND(IF(H40="",0,H40)*U40*(1+W40)*IFERROR(INDEX(Materials!$V$5:$V$254,MATCH(G40,Materials!$A$5:$A$254,0)),0),2))</f>
        <v>0</v>
      </c>
      <c r="Z40" s="20">
        <f>IF(B40="","",ROUND(IF(J40="",0,J40)*U40*(1+W40)*IFERROR(INDEX(Materials!$V$5:$V$254,MATCH(I40,Materials!$A$5:$A$254,0)),0),2))</f>
        <v>0</v>
      </c>
      <c r="AA40" s="36">
        <f>IF(B40="","",IF(IFERROR(INDEX(Materials!$G$5:$G$254,MATCH(G40,Materials!$A$5:$A$254,0)),0)=0,"",ROUNDUP(IF(H40="",0,H40)*U40*(1+W40)/(IFERROR(INDEX(Materials!$G$5:$G$254,MATCH(G40,Materials!$A$5:$A$254,0)),0)*IFERROR(INDEX(Materials!$U$5:$U$254,MATCH(G40,Materials!$A$5:$A$254,0)),1)),0)))</f>
        <v>0</v>
      </c>
      <c r="AB40" s="36">
        <f>IF(B40="","",IF(AA40="","",ROUND(AA40*IFERROR(INDEX(Materials!$G$5:$G$254,MATCH(G40,Materials!$A$5:$A$254,0)),0)*IFERROR(INDEX(Materials!$U$5:$U$254,MATCH(G40,Materials!$A$5:$A$254,0)),1)-IF(H40="",0,H40)*U40*(1+W40),1)))</f>
        <v>0</v>
      </c>
      <c r="AC40" s="20">
        <f>IF(B40="","",IF(N40="",0,ROUND(N40/MAX(1,IF(O40="",1,O40)),2)))</f>
        <v>0</v>
      </c>
      <c r="AD40" s="20">
        <f>IF(B40="","",ROUND(Y40+Z40+IF(L40="",0,L40)+IF(M40="",0,M40)+AC40,2))</f>
        <v>0</v>
      </c>
      <c r="AE40" s="36">
        <f>IF(B40="","",ROUND((IF(P40="",0,P40)*60+IF(Q40="",0,Q40))*V40,1))</f>
        <v>0</v>
      </c>
      <c r="AF40" s="20">
        <f>IF(B40="","",IF(R40&lt;&gt;"",R40,LaborCostHour))</f>
        <v>0</v>
      </c>
      <c r="AG40" s="20">
        <f>IF(B40="","",ROUND(AE40/60*AF40,2))</f>
        <v>0</v>
      </c>
      <c r="AH40" s="20">
        <f>IF(B40="","",ROUND(AE40/60*SuppliesPerHour,2))</f>
        <v>0</v>
      </c>
      <c r="AI40" s="45">
        <f>IF(B40="","",IF(OR(X40="",X40=0),"",ROUND(AD40/X40,4)))</f>
        <v>0</v>
      </c>
      <c r="AJ40" s="20">
        <f>IF(B40="","",ROUND(AD40+AG40+AH40,2))</f>
        <v>0</v>
      </c>
      <c r="AK40" s="33">
        <f>IF(B40="","",IFERROR(INDEX(Channels!$S$5:$S$18,MATCH(DefaultChannel,Channels!$A$5:$A$18,0)),0))</f>
        <v>0</v>
      </c>
      <c r="AL40" s="20">
        <f>IF(B40="","",IFERROR(INDEX(Channels!$T$5:$T$18,MATCH(DefaultChannel,Channels!$A$5:$A$18,0)),0))</f>
        <v>0</v>
      </c>
      <c r="AM40" s="41">
        <f>IF(B40="","",1-TargetRetailMargin-AK40)</f>
        <v>0</v>
      </c>
      <c r="AN40" s="20">
        <f>IF(B40="","",IF(AM40&lt;=0,"",(AJ40+AL40)/AM40))</f>
        <v>0</v>
      </c>
      <c r="AO40" s="20">
        <f>IF(B40="","",IF(AN40="","Check the settings",ROUND(IF(RoundingRule="None",AN40,IF(RoundingRule="Nearest 0.99",MAX(0.99,CEILING(AN40,1)-0.01),IF(RoundingRule="Nearest 0.95",MAX(0.95,CEILING(AN40,1)-0.05),IF(RoundingRule="Nearest 0.50",CEILING(AN40,0.5),IF(RoundingRule="Nearest 1",CEILING(AN40,1),IF(RoundingRule="Nearest 5",CEILING(AN40,5),IF(RoundingRule="Up to whole 1",CEILING(AN40,1),IF(RoundingRule="Up to whole 5",CEILING(AN40,5),ROUND(AN40,2))))))))),2)))</f>
        <v>0</v>
      </c>
      <c r="AP40" s="20">
        <f>IF(B40="","",IF(S40&lt;&gt;"",S40,IF(ISNUMBER(AO40),AO40,"")))</f>
        <v>0</v>
      </c>
      <c r="AQ40" s="20">
        <f>IF(B40="","",IF(AP40="","",ROUND(AP40-AJ40-(AP40*AK40+AL40),2)))</f>
        <v>0</v>
      </c>
      <c r="AR40" s="33">
        <f>IF(B40="","",IF(OR(AP40="",AP40=0),"",AQ40/AP40))</f>
        <v>0</v>
      </c>
      <c r="AS40" s="41">
        <f>IF(B40="","",ROUND(AE40/60,3))</f>
        <v>0</v>
      </c>
      <c r="AT40" s="20">
        <f>IF(B40="","",IF(OR(AS40=0,AS40="",AQ40=""),"",ROUND((AQ40+AG40)/AS40,2)))</f>
        <v>0</v>
      </c>
      <c r="AU40" s="43">
        <f>IF(B40="","",IF(AND(A40&lt;&gt;"",ISERROR(MATCH(A40,Products!$A$5:$A$304,0))),"Check - no such product ID",IF(AD40=0,"Add - no material cost yet",IF(AE40=0,"Add - how long does it take?",IF(AND(A40&lt;&gt;"",COUNTIFS('Material Usage'!$A$5:$A$904,A40)&gt;0),"Check - this product also has a bill of materials",IF(AND(A40&lt;&gt;"",COUNTIFS(Labor!$A$5:$A$304,A40)&gt;0),"Check - this product also has labour lines",IF(AT40&lt;MinimumWage,"Below - pays under minimum wage","OK")))))) )</f>
        <v>0</v>
      </c>
    </row>
    <row r="41" spans="21:47">
      <c r="U41" s="41">
        <f>IF(B41="","",IFERROR(INDEX(SizeMaterialFactors,MATCH(D41,SizeNames,0)),1))</f>
        <v>0</v>
      </c>
      <c r="V41" s="41">
        <f>IF(B41="","",IFERROR(INDEX(SizeTimeFactors,MATCH(D41,SizeNames,0)),1))</f>
        <v>0</v>
      </c>
      <c r="W41" s="33">
        <f>IF(B41="","",IF(K41="",DefaultWaste,K41))</f>
        <v>0</v>
      </c>
      <c r="X41" s="36">
        <f>IF(B41="","",ROUND((IF(H41="",0,H41)+IF(J41="",0,J41))*U41*(1+W41),1))</f>
        <v>0</v>
      </c>
      <c r="Y41" s="20">
        <f>IF(B41="","",ROUND(IF(H41="",0,H41)*U41*(1+W41)*IFERROR(INDEX(Materials!$V$5:$V$254,MATCH(G41,Materials!$A$5:$A$254,0)),0),2))</f>
        <v>0</v>
      </c>
      <c r="Z41" s="20">
        <f>IF(B41="","",ROUND(IF(J41="",0,J41)*U41*(1+W41)*IFERROR(INDEX(Materials!$V$5:$V$254,MATCH(I41,Materials!$A$5:$A$254,0)),0),2))</f>
        <v>0</v>
      </c>
      <c r="AA41" s="36">
        <f>IF(B41="","",IF(IFERROR(INDEX(Materials!$G$5:$G$254,MATCH(G41,Materials!$A$5:$A$254,0)),0)=0,"",ROUNDUP(IF(H41="",0,H41)*U41*(1+W41)/(IFERROR(INDEX(Materials!$G$5:$G$254,MATCH(G41,Materials!$A$5:$A$254,0)),0)*IFERROR(INDEX(Materials!$U$5:$U$254,MATCH(G41,Materials!$A$5:$A$254,0)),1)),0)))</f>
        <v>0</v>
      </c>
      <c r="AB41" s="36">
        <f>IF(B41="","",IF(AA41="","",ROUND(AA41*IFERROR(INDEX(Materials!$G$5:$G$254,MATCH(G41,Materials!$A$5:$A$254,0)),0)*IFERROR(INDEX(Materials!$U$5:$U$254,MATCH(G41,Materials!$A$5:$A$254,0)),1)-IF(H41="",0,H41)*U41*(1+W41),1)))</f>
        <v>0</v>
      </c>
      <c r="AC41" s="20">
        <f>IF(B41="","",IF(N41="",0,ROUND(N41/MAX(1,IF(O41="",1,O41)),2)))</f>
        <v>0</v>
      </c>
      <c r="AD41" s="20">
        <f>IF(B41="","",ROUND(Y41+Z41+IF(L41="",0,L41)+IF(M41="",0,M41)+AC41,2))</f>
        <v>0</v>
      </c>
      <c r="AE41" s="36">
        <f>IF(B41="","",ROUND((IF(P41="",0,P41)*60+IF(Q41="",0,Q41))*V41,1))</f>
        <v>0</v>
      </c>
      <c r="AF41" s="20">
        <f>IF(B41="","",IF(R41&lt;&gt;"",R41,LaborCostHour))</f>
        <v>0</v>
      </c>
      <c r="AG41" s="20">
        <f>IF(B41="","",ROUND(AE41/60*AF41,2))</f>
        <v>0</v>
      </c>
      <c r="AH41" s="20">
        <f>IF(B41="","",ROUND(AE41/60*SuppliesPerHour,2))</f>
        <v>0</v>
      </c>
      <c r="AI41" s="45">
        <f>IF(B41="","",IF(OR(X41="",X41=0),"",ROUND(AD41/X41,4)))</f>
        <v>0</v>
      </c>
      <c r="AJ41" s="20">
        <f>IF(B41="","",ROUND(AD41+AG41+AH41,2))</f>
        <v>0</v>
      </c>
      <c r="AK41" s="33">
        <f>IF(B41="","",IFERROR(INDEX(Channels!$S$5:$S$18,MATCH(DefaultChannel,Channels!$A$5:$A$18,0)),0))</f>
        <v>0</v>
      </c>
      <c r="AL41" s="20">
        <f>IF(B41="","",IFERROR(INDEX(Channels!$T$5:$T$18,MATCH(DefaultChannel,Channels!$A$5:$A$18,0)),0))</f>
        <v>0</v>
      </c>
      <c r="AM41" s="41">
        <f>IF(B41="","",1-TargetRetailMargin-AK41)</f>
        <v>0</v>
      </c>
      <c r="AN41" s="20">
        <f>IF(B41="","",IF(AM41&lt;=0,"",(AJ41+AL41)/AM41))</f>
        <v>0</v>
      </c>
      <c r="AO41" s="20">
        <f>IF(B41="","",IF(AN41="","Check the settings",ROUND(IF(RoundingRule="None",AN41,IF(RoundingRule="Nearest 0.99",MAX(0.99,CEILING(AN41,1)-0.01),IF(RoundingRule="Nearest 0.95",MAX(0.95,CEILING(AN41,1)-0.05),IF(RoundingRule="Nearest 0.50",CEILING(AN41,0.5),IF(RoundingRule="Nearest 1",CEILING(AN41,1),IF(RoundingRule="Nearest 5",CEILING(AN41,5),IF(RoundingRule="Up to whole 1",CEILING(AN41,1),IF(RoundingRule="Up to whole 5",CEILING(AN41,5),ROUND(AN41,2))))))))),2)))</f>
        <v>0</v>
      </c>
      <c r="AP41" s="20">
        <f>IF(B41="","",IF(S41&lt;&gt;"",S41,IF(ISNUMBER(AO41),AO41,"")))</f>
        <v>0</v>
      </c>
      <c r="AQ41" s="20">
        <f>IF(B41="","",IF(AP41="","",ROUND(AP41-AJ41-(AP41*AK41+AL41),2)))</f>
        <v>0</v>
      </c>
      <c r="AR41" s="33">
        <f>IF(B41="","",IF(OR(AP41="",AP41=0),"",AQ41/AP41))</f>
        <v>0</v>
      </c>
      <c r="AS41" s="41">
        <f>IF(B41="","",ROUND(AE41/60,3))</f>
        <v>0</v>
      </c>
      <c r="AT41" s="20">
        <f>IF(B41="","",IF(OR(AS41=0,AS41="",AQ41=""),"",ROUND((AQ41+AG41)/AS41,2)))</f>
        <v>0</v>
      </c>
      <c r="AU41" s="43">
        <f>IF(B41="","",IF(AND(A41&lt;&gt;"",ISERROR(MATCH(A41,Products!$A$5:$A$304,0))),"Check - no such product ID",IF(AD41=0,"Add - no material cost yet",IF(AE41=0,"Add - how long does it take?",IF(AND(A41&lt;&gt;"",COUNTIFS('Material Usage'!$A$5:$A$904,A41)&gt;0),"Check - this product also has a bill of materials",IF(AND(A41&lt;&gt;"",COUNTIFS(Labor!$A$5:$A$304,A41)&gt;0),"Check - this product also has labour lines",IF(AT41&lt;MinimumWage,"Below - pays under minimum wage","OK")))))) )</f>
        <v>0</v>
      </c>
    </row>
    <row r="42" spans="21:47">
      <c r="U42" s="41">
        <f>IF(B42="","",IFERROR(INDEX(SizeMaterialFactors,MATCH(D42,SizeNames,0)),1))</f>
        <v>0</v>
      </c>
      <c r="V42" s="41">
        <f>IF(B42="","",IFERROR(INDEX(SizeTimeFactors,MATCH(D42,SizeNames,0)),1))</f>
        <v>0</v>
      </c>
      <c r="W42" s="33">
        <f>IF(B42="","",IF(K42="",DefaultWaste,K42))</f>
        <v>0</v>
      </c>
      <c r="X42" s="36">
        <f>IF(B42="","",ROUND((IF(H42="",0,H42)+IF(J42="",0,J42))*U42*(1+W42),1))</f>
        <v>0</v>
      </c>
      <c r="Y42" s="20">
        <f>IF(B42="","",ROUND(IF(H42="",0,H42)*U42*(1+W42)*IFERROR(INDEX(Materials!$V$5:$V$254,MATCH(G42,Materials!$A$5:$A$254,0)),0),2))</f>
        <v>0</v>
      </c>
      <c r="Z42" s="20">
        <f>IF(B42="","",ROUND(IF(J42="",0,J42)*U42*(1+W42)*IFERROR(INDEX(Materials!$V$5:$V$254,MATCH(I42,Materials!$A$5:$A$254,0)),0),2))</f>
        <v>0</v>
      </c>
      <c r="AA42" s="36">
        <f>IF(B42="","",IF(IFERROR(INDEX(Materials!$G$5:$G$254,MATCH(G42,Materials!$A$5:$A$254,0)),0)=0,"",ROUNDUP(IF(H42="",0,H42)*U42*(1+W42)/(IFERROR(INDEX(Materials!$G$5:$G$254,MATCH(G42,Materials!$A$5:$A$254,0)),0)*IFERROR(INDEX(Materials!$U$5:$U$254,MATCH(G42,Materials!$A$5:$A$254,0)),1)),0)))</f>
        <v>0</v>
      </c>
      <c r="AB42" s="36">
        <f>IF(B42="","",IF(AA42="","",ROUND(AA42*IFERROR(INDEX(Materials!$G$5:$G$254,MATCH(G42,Materials!$A$5:$A$254,0)),0)*IFERROR(INDEX(Materials!$U$5:$U$254,MATCH(G42,Materials!$A$5:$A$254,0)),1)-IF(H42="",0,H42)*U42*(1+W42),1)))</f>
        <v>0</v>
      </c>
      <c r="AC42" s="20">
        <f>IF(B42="","",IF(N42="",0,ROUND(N42/MAX(1,IF(O42="",1,O42)),2)))</f>
        <v>0</v>
      </c>
      <c r="AD42" s="20">
        <f>IF(B42="","",ROUND(Y42+Z42+IF(L42="",0,L42)+IF(M42="",0,M42)+AC42,2))</f>
        <v>0</v>
      </c>
      <c r="AE42" s="36">
        <f>IF(B42="","",ROUND((IF(P42="",0,P42)*60+IF(Q42="",0,Q42))*V42,1))</f>
        <v>0</v>
      </c>
      <c r="AF42" s="20">
        <f>IF(B42="","",IF(R42&lt;&gt;"",R42,LaborCostHour))</f>
        <v>0</v>
      </c>
      <c r="AG42" s="20">
        <f>IF(B42="","",ROUND(AE42/60*AF42,2))</f>
        <v>0</v>
      </c>
      <c r="AH42" s="20">
        <f>IF(B42="","",ROUND(AE42/60*SuppliesPerHour,2))</f>
        <v>0</v>
      </c>
      <c r="AI42" s="45">
        <f>IF(B42="","",IF(OR(X42="",X42=0),"",ROUND(AD42/X42,4)))</f>
        <v>0</v>
      </c>
      <c r="AJ42" s="20">
        <f>IF(B42="","",ROUND(AD42+AG42+AH42,2))</f>
        <v>0</v>
      </c>
      <c r="AK42" s="33">
        <f>IF(B42="","",IFERROR(INDEX(Channels!$S$5:$S$18,MATCH(DefaultChannel,Channels!$A$5:$A$18,0)),0))</f>
        <v>0</v>
      </c>
      <c r="AL42" s="20">
        <f>IF(B42="","",IFERROR(INDEX(Channels!$T$5:$T$18,MATCH(DefaultChannel,Channels!$A$5:$A$18,0)),0))</f>
        <v>0</v>
      </c>
      <c r="AM42" s="41">
        <f>IF(B42="","",1-TargetRetailMargin-AK42)</f>
        <v>0</v>
      </c>
      <c r="AN42" s="20">
        <f>IF(B42="","",IF(AM42&lt;=0,"",(AJ42+AL42)/AM42))</f>
        <v>0</v>
      </c>
      <c r="AO42" s="20">
        <f>IF(B42="","",IF(AN42="","Check the settings",ROUND(IF(RoundingRule="None",AN42,IF(RoundingRule="Nearest 0.99",MAX(0.99,CEILING(AN42,1)-0.01),IF(RoundingRule="Nearest 0.95",MAX(0.95,CEILING(AN42,1)-0.05),IF(RoundingRule="Nearest 0.50",CEILING(AN42,0.5),IF(RoundingRule="Nearest 1",CEILING(AN42,1),IF(RoundingRule="Nearest 5",CEILING(AN42,5),IF(RoundingRule="Up to whole 1",CEILING(AN42,1),IF(RoundingRule="Up to whole 5",CEILING(AN42,5),ROUND(AN42,2))))))))),2)))</f>
        <v>0</v>
      </c>
      <c r="AP42" s="20">
        <f>IF(B42="","",IF(S42&lt;&gt;"",S42,IF(ISNUMBER(AO42),AO42,"")))</f>
        <v>0</v>
      </c>
      <c r="AQ42" s="20">
        <f>IF(B42="","",IF(AP42="","",ROUND(AP42-AJ42-(AP42*AK42+AL42),2)))</f>
        <v>0</v>
      </c>
      <c r="AR42" s="33">
        <f>IF(B42="","",IF(OR(AP42="",AP42=0),"",AQ42/AP42))</f>
        <v>0</v>
      </c>
      <c r="AS42" s="41">
        <f>IF(B42="","",ROUND(AE42/60,3))</f>
        <v>0</v>
      </c>
      <c r="AT42" s="20">
        <f>IF(B42="","",IF(OR(AS42=0,AS42="",AQ42=""),"",ROUND((AQ42+AG42)/AS42,2)))</f>
        <v>0</v>
      </c>
      <c r="AU42" s="43">
        <f>IF(B42="","",IF(AND(A42&lt;&gt;"",ISERROR(MATCH(A42,Products!$A$5:$A$304,0))),"Check - no such product ID",IF(AD42=0,"Add - no material cost yet",IF(AE42=0,"Add - how long does it take?",IF(AND(A42&lt;&gt;"",COUNTIFS('Material Usage'!$A$5:$A$904,A42)&gt;0),"Check - this product also has a bill of materials",IF(AND(A42&lt;&gt;"",COUNTIFS(Labor!$A$5:$A$304,A42)&gt;0),"Check - this product also has labour lines",IF(AT42&lt;MinimumWage,"Below - pays under minimum wage","OK")))))) )</f>
        <v>0</v>
      </c>
    </row>
    <row r="43" spans="21:47">
      <c r="U43" s="41">
        <f>IF(B43="","",IFERROR(INDEX(SizeMaterialFactors,MATCH(D43,SizeNames,0)),1))</f>
        <v>0</v>
      </c>
      <c r="V43" s="41">
        <f>IF(B43="","",IFERROR(INDEX(SizeTimeFactors,MATCH(D43,SizeNames,0)),1))</f>
        <v>0</v>
      </c>
      <c r="W43" s="33">
        <f>IF(B43="","",IF(K43="",DefaultWaste,K43))</f>
        <v>0</v>
      </c>
      <c r="X43" s="36">
        <f>IF(B43="","",ROUND((IF(H43="",0,H43)+IF(J43="",0,J43))*U43*(1+W43),1))</f>
        <v>0</v>
      </c>
      <c r="Y43" s="20">
        <f>IF(B43="","",ROUND(IF(H43="",0,H43)*U43*(1+W43)*IFERROR(INDEX(Materials!$V$5:$V$254,MATCH(G43,Materials!$A$5:$A$254,0)),0),2))</f>
        <v>0</v>
      </c>
      <c r="Z43" s="20">
        <f>IF(B43="","",ROUND(IF(J43="",0,J43)*U43*(1+W43)*IFERROR(INDEX(Materials!$V$5:$V$254,MATCH(I43,Materials!$A$5:$A$254,0)),0),2))</f>
        <v>0</v>
      </c>
      <c r="AA43" s="36">
        <f>IF(B43="","",IF(IFERROR(INDEX(Materials!$G$5:$G$254,MATCH(G43,Materials!$A$5:$A$254,0)),0)=0,"",ROUNDUP(IF(H43="",0,H43)*U43*(1+W43)/(IFERROR(INDEX(Materials!$G$5:$G$254,MATCH(G43,Materials!$A$5:$A$254,0)),0)*IFERROR(INDEX(Materials!$U$5:$U$254,MATCH(G43,Materials!$A$5:$A$254,0)),1)),0)))</f>
        <v>0</v>
      </c>
      <c r="AB43" s="36">
        <f>IF(B43="","",IF(AA43="","",ROUND(AA43*IFERROR(INDEX(Materials!$G$5:$G$254,MATCH(G43,Materials!$A$5:$A$254,0)),0)*IFERROR(INDEX(Materials!$U$5:$U$254,MATCH(G43,Materials!$A$5:$A$254,0)),1)-IF(H43="",0,H43)*U43*(1+W43),1)))</f>
        <v>0</v>
      </c>
      <c r="AC43" s="20">
        <f>IF(B43="","",IF(N43="",0,ROUND(N43/MAX(1,IF(O43="",1,O43)),2)))</f>
        <v>0</v>
      </c>
      <c r="AD43" s="20">
        <f>IF(B43="","",ROUND(Y43+Z43+IF(L43="",0,L43)+IF(M43="",0,M43)+AC43,2))</f>
        <v>0</v>
      </c>
      <c r="AE43" s="36">
        <f>IF(B43="","",ROUND((IF(P43="",0,P43)*60+IF(Q43="",0,Q43))*V43,1))</f>
        <v>0</v>
      </c>
      <c r="AF43" s="20">
        <f>IF(B43="","",IF(R43&lt;&gt;"",R43,LaborCostHour))</f>
        <v>0</v>
      </c>
      <c r="AG43" s="20">
        <f>IF(B43="","",ROUND(AE43/60*AF43,2))</f>
        <v>0</v>
      </c>
      <c r="AH43" s="20">
        <f>IF(B43="","",ROUND(AE43/60*SuppliesPerHour,2))</f>
        <v>0</v>
      </c>
      <c r="AI43" s="45">
        <f>IF(B43="","",IF(OR(X43="",X43=0),"",ROUND(AD43/X43,4)))</f>
        <v>0</v>
      </c>
      <c r="AJ43" s="20">
        <f>IF(B43="","",ROUND(AD43+AG43+AH43,2))</f>
        <v>0</v>
      </c>
      <c r="AK43" s="33">
        <f>IF(B43="","",IFERROR(INDEX(Channels!$S$5:$S$18,MATCH(DefaultChannel,Channels!$A$5:$A$18,0)),0))</f>
        <v>0</v>
      </c>
      <c r="AL43" s="20">
        <f>IF(B43="","",IFERROR(INDEX(Channels!$T$5:$T$18,MATCH(DefaultChannel,Channels!$A$5:$A$18,0)),0))</f>
        <v>0</v>
      </c>
      <c r="AM43" s="41">
        <f>IF(B43="","",1-TargetRetailMargin-AK43)</f>
        <v>0</v>
      </c>
      <c r="AN43" s="20">
        <f>IF(B43="","",IF(AM43&lt;=0,"",(AJ43+AL43)/AM43))</f>
        <v>0</v>
      </c>
      <c r="AO43" s="20">
        <f>IF(B43="","",IF(AN43="","Check the settings",ROUND(IF(RoundingRule="None",AN43,IF(RoundingRule="Nearest 0.99",MAX(0.99,CEILING(AN43,1)-0.01),IF(RoundingRule="Nearest 0.95",MAX(0.95,CEILING(AN43,1)-0.05),IF(RoundingRule="Nearest 0.50",CEILING(AN43,0.5),IF(RoundingRule="Nearest 1",CEILING(AN43,1),IF(RoundingRule="Nearest 5",CEILING(AN43,5),IF(RoundingRule="Up to whole 1",CEILING(AN43,1),IF(RoundingRule="Up to whole 5",CEILING(AN43,5),ROUND(AN43,2))))))))),2)))</f>
        <v>0</v>
      </c>
      <c r="AP43" s="20">
        <f>IF(B43="","",IF(S43&lt;&gt;"",S43,IF(ISNUMBER(AO43),AO43,"")))</f>
        <v>0</v>
      </c>
      <c r="AQ43" s="20">
        <f>IF(B43="","",IF(AP43="","",ROUND(AP43-AJ43-(AP43*AK43+AL43),2)))</f>
        <v>0</v>
      </c>
      <c r="AR43" s="33">
        <f>IF(B43="","",IF(OR(AP43="",AP43=0),"",AQ43/AP43))</f>
        <v>0</v>
      </c>
      <c r="AS43" s="41">
        <f>IF(B43="","",ROUND(AE43/60,3))</f>
        <v>0</v>
      </c>
      <c r="AT43" s="20">
        <f>IF(B43="","",IF(OR(AS43=0,AS43="",AQ43=""),"",ROUND((AQ43+AG43)/AS43,2)))</f>
        <v>0</v>
      </c>
      <c r="AU43" s="43">
        <f>IF(B43="","",IF(AND(A43&lt;&gt;"",ISERROR(MATCH(A43,Products!$A$5:$A$304,0))),"Check - no such product ID",IF(AD43=0,"Add - no material cost yet",IF(AE43=0,"Add - how long does it take?",IF(AND(A43&lt;&gt;"",COUNTIFS('Material Usage'!$A$5:$A$904,A43)&gt;0),"Check - this product also has a bill of materials",IF(AND(A43&lt;&gt;"",COUNTIFS(Labor!$A$5:$A$304,A43)&gt;0),"Check - this product also has labour lines",IF(AT43&lt;MinimumWage,"Below - pays under minimum wage","OK")))))) )</f>
        <v>0</v>
      </c>
    </row>
    <row r="44" spans="21:47">
      <c r="U44" s="41">
        <f>IF(B44="","",IFERROR(INDEX(SizeMaterialFactors,MATCH(D44,SizeNames,0)),1))</f>
        <v>0</v>
      </c>
      <c r="V44" s="41">
        <f>IF(B44="","",IFERROR(INDEX(SizeTimeFactors,MATCH(D44,SizeNames,0)),1))</f>
        <v>0</v>
      </c>
      <c r="W44" s="33">
        <f>IF(B44="","",IF(K44="",DefaultWaste,K44))</f>
        <v>0</v>
      </c>
      <c r="X44" s="36">
        <f>IF(B44="","",ROUND((IF(H44="",0,H44)+IF(J44="",0,J44))*U44*(1+W44),1))</f>
        <v>0</v>
      </c>
      <c r="Y44" s="20">
        <f>IF(B44="","",ROUND(IF(H44="",0,H44)*U44*(1+W44)*IFERROR(INDEX(Materials!$V$5:$V$254,MATCH(G44,Materials!$A$5:$A$254,0)),0),2))</f>
        <v>0</v>
      </c>
      <c r="Z44" s="20">
        <f>IF(B44="","",ROUND(IF(J44="",0,J44)*U44*(1+W44)*IFERROR(INDEX(Materials!$V$5:$V$254,MATCH(I44,Materials!$A$5:$A$254,0)),0),2))</f>
        <v>0</v>
      </c>
      <c r="AA44" s="36">
        <f>IF(B44="","",IF(IFERROR(INDEX(Materials!$G$5:$G$254,MATCH(G44,Materials!$A$5:$A$254,0)),0)=0,"",ROUNDUP(IF(H44="",0,H44)*U44*(1+W44)/(IFERROR(INDEX(Materials!$G$5:$G$254,MATCH(G44,Materials!$A$5:$A$254,0)),0)*IFERROR(INDEX(Materials!$U$5:$U$254,MATCH(G44,Materials!$A$5:$A$254,0)),1)),0)))</f>
        <v>0</v>
      </c>
      <c r="AB44" s="36">
        <f>IF(B44="","",IF(AA44="","",ROUND(AA44*IFERROR(INDEX(Materials!$G$5:$G$254,MATCH(G44,Materials!$A$5:$A$254,0)),0)*IFERROR(INDEX(Materials!$U$5:$U$254,MATCH(G44,Materials!$A$5:$A$254,0)),1)-IF(H44="",0,H44)*U44*(1+W44),1)))</f>
        <v>0</v>
      </c>
      <c r="AC44" s="20">
        <f>IF(B44="","",IF(N44="",0,ROUND(N44/MAX(1,IF(O44="",1,O44)),2)))</f>
        <v>0</v>
      </c>
      <c r="AD44" s="20">
        <f>IF(B44="","",ROUND(Y44+Z44+IF(L44="",0,L44)+IF(M44="",0,M44)+AC44,2))</f>
        <v>0</v>
      </c>
      <c r="AE44" s="36">
        <f>IF(B44="","",ROUND((IF(P44="",0,P44)*60+IF(Q44="",0,Q44))*V44,1))</f>
        <v>0</v>
      </c>
      <c r="AF44" s="20">
        <f>IF(B44="","",IF(R44&lt;&gt;"",R44,LaborCostHour))</f>
        <v>0</v>
      </c>
      <c r="AG44" s="20">
        <f>IF(B44="","",ROUND(AE44/60*AF44,2))</f>
        <v>0</v>
      </c>
      <c r="AH44" s="20">
        <f>IF(B44="","",ROUND(AE44/60*SuppliesPerHour,2))</f>
        <v>0</v>
      </c>
      <c r="AI44" s="45">
        <f>IF(B44="","",IF(OR(X44="",X44=0),"",ROUND(AD44/X44,4)))</f>
        <v>0</v>
      </c>
      <c r="AJ44" s="20">
        <f>IF(B44="","",ROUND(AD44+AG44+AH44,2))</f>
        <v>0</v>
      </c>
      <c r="AK44" s="33">
        <f>IF(B44="","",IFERROR(INDEX(Channels!$S$5:$S$18,MATCH(DefaultChannel,Channels!$A$5:$A$18,0)),0))</f>
        <v>0</v>
      </c>
      <c r="AL44" s="20">
        <f>IF(B44="","",IFERROR(INDEX(Channels!$T$5:$T$18,MATCH(DefaultChannel,Channels!$A$5:$A$18,0)),0))</f>
        <v>0</v>
      </c>
      <c r="AM44" s="41">
        <f>IF(B44="","",1-TargetRetailMargin-AK44)</f>
        <v>0</v>
      </c>
      <c r="AN44" s="20">
        <f>IF(B44="","",IF(AM44&lt;=0,"",(AJ44+AL44)/AM44))</f>
        <v>0</v>
      </c>
      <c r="AO44" s="20">
        <f>IF(B44="","",IF(AN44="","Check the settings",ROUND(IF(RoundingRule="None",AN44,IF(RoundingRule="Nearest 0.99",MAX(0.99,CEILING(AN44,1)-0.01),IF(RoundingRule="Nearest 0.95",MAX(0.95,CEILING(AN44,1)-0.05),IF(RoundingRule="Nearest 0.50",CEILING(AN44,0.5),IF(RoundingRule="Nearest 1",CEILING(AN44,1),IF(RoundingRule="Nearest 5",CEILING(AN44,5),IF(RoundingRule="Up to whole 1",CEILING(AN44,1),IF(RoundingRule="Up to whole 5",CEILING(AN44,5),ROUND(AN44,2))))))))),2)))</f>
        <v>0</v>
      </c>
      <c r="AP44" s="20">
        <f>IF(B44="","",IF(S44&lt;&gt;"",S44,IF(ISNUMBER(AO44),AO44,"")))</f>
        <v>0</v>
      </c>
      <c r="AQ44" s="20">
        <f>IF(B44="","",IF(AP44="","",ROUND(AP44-AJ44-(AP44*AK44+AL44),2)))</f>
        <v>0</v>
      </c>
      <c r="AR44" s="33">
        <f>IF(B44="","",IF(OR(AP44="",AP44=0),"",AQ44/AP44))</f>
        <v>0</v>
      </c>
      <c r="AS44" s="41">
        <f>IF(B44="","",ROUND(AE44/60,3))</f>
        <v>0</v>
      </c>
      <c r="AT44" s="20">
        <f>IF(B44="","",IF(OR(AS44=0,AS44="",AQ44=""),"",ROUND((AQ44+AG44)/AS44,2)))</f>
        <v>0</v>
      </c>
      <c r="AU44" s="43">
        <f>IF(B44="","",IF(AND(A44&lt;&gt;"",ISERROR(MATCH(A44,Products!$A$5:$A$304,0))),"Check - no such product ID",IF(AD44=0,"Add - no material cost yet",IF(AE44=0,"Add - how long does it take?",IF(AND(A44&lt;&gt;"",COUNTIFS('Material Usage'!$A$5:$A$904,A44)&gt;0),"Check - this product also has a bill of materials",IF(AND(A44&lt;&gt;"",COUNTIFS(Labor!$A$5:$A$304,A44)&gt;0),"Check - this product also has labour lines",IF(AT44&lt;MinimumWage,"Below - pays under minimum wage","OK")))))) )</f>
        <v>0</v>
      </c>
    </row>
    <row r="45" spans="21:47">
      <c r="U45" s="41">
        <f>IF(B45="","",IFERROR(INDEX(SizeMaterialFactors,MATCH(D45,SizeNames,0)),1))</f>
        <v>0</v>
      </c>
      <c r="V45" s="41">
        <f>IF(B45="","",IFERROR(INDEX(SizeTimeFactors,MATCH(D45,SizeNames,0)),1))</f>
        <v>0</v>
      </c>
      <c r="W45" s="33">
        <f>IF(B45="","",IF(K45="",DefaultWaste,K45))</f>
        <v>0</v>
      </c>
      <c r="X45" s="36">
        <f>IF(B45="","",ROUND((IF(H45="",0,H45)+IF(J45="",0,J45))*U45*(1+W45),1))</f>
        <v>0</v>
      </c>
      <c r="Y45" s="20">
        <f>IF(B45="","",ROUND(IF(H45="",0,H45)*U45*(1+W45)*IFERROR(INDEX(Materials!$V$5:$V$254,MATCH(G45,Materials!$A$5:$A$254,0)),0),2))</f>
        <v>0</v>
      </c>
      <c r="Z45" s="20">
        <f>IF(B45="","",ROUND(IF(J45="",0,J45)*U45*(1+W45)*IFERROR(INDEX(Materials!$V$5:$V$254,MATCH(I45,Materials!$A$5:$A$254,0)),0),2))</f>
        <v>0</v>
      </c>
      <c r="AA45" s="36">
        <f>IF(B45="","",IF(IFERROR(INDEX(Materials!$G$5:$G$254,MATCH(G45,Materials!$A$5:$A$254,0)),0)=0,"",ROUNDUP(IF(H45="",0,H45)*U45*(1+W45)/(IFERROR(INDEX(Materials!$G$5:$G$254,MATCH(G45,Materials!$A$5:$A$254,0)),0)*IFERROR(INDEX(Materials!$U$5:$U$254,MATCH(G45,Materials!$A$5:$A$254,0)),1)),0)))</f>
        <v>0</v>
      </c>
      <c r="AB45" s="36">
        <f>IF(B45="","",IF(AA45="","",ROUND(AA45*IFERROR(INDEX(Materials!$G$5:$G$254,MATCH(G45,Materials!$A$5:$A$254,0)),0)*IFERROR(INDEX(Materials!$U$5:$U$254,MATCH(G45,Materials!$A$5:$A$254,0)),1)-IF(H45="",0,H45)*U45*(1+W45),1)))</f>
        <v>0</v>
      </c>
      <c r="AC45" s="20">
        <f>IF(B45="","",IF(N45="",0,ROUND(N45/MAX(1,IF(O45="",1,O45)),2)))</f>
        <v>0</v>
      </c>
      <c r="AD45" s="20">
        <f>IF(B45="","",ROUND(Y45+Z45+IF(L45="",0,L45)+IF(M45="",0,M45)+AC45,2))</f>
        <v>0</v>
      </c>
      <c r="AE45" s="36">
        <f>IF(B45="","",ROUND((IF(P45="",0,P45)*60+IF(Q45="",0,Q45))*V45,1))</f>
        <v>0</v>
      </c>
      <c r="AF45" s="20">
        <f>IF(B45="","",IF(R45&lt;&gt;"",R45,LaborCostHour))</f>
        <v>0</v>
      </c>
      <c r="AG45" s="20">
        <f>IF(B45="","",ROUND(AE45/60*AF45,2))</f>
        <v>0</v>
      </c>
      <c r="AH45" s="20">
        <f>IF(B45="","",ROUND(AE45/60*SuppliesPerHour,2))</f>
        <v>0</v>
      </c>
      <c r="AI45" s="45">
        <f>IF(B45="","",IF(OR(X45="",X45=0),"",ROUND(AD45/X45,4)))</f>
        <v>0</v>
      </c>
      <c r="AJ45" s="20">
        <f>IF(B45="","",ROUND(AD45+AG45+AH45,2))</f>
        <v>0</v>
      </c>
      <c r="AK45" s="33">
        <f>IF(B45="","",IFERROR(INDEX(Channels!$S$5:$S$18,MATCH(DefaultChannel,Channels!$A$5:$A$18,0)),0))</f>
        <v>0</v>
      </c>
      <c r="AL45" s="20">
        <f>IF(B45="","",IFERROR(INDEX(Channels!$T$5:$T$18,MATCH(DefaultChannel,Channels!$A$5:$A$18,0)),0))</f>
        <v>0</v>
      </c>
      <c r="AM45" s="41">
        <f>IF(B45="","",1-TargetRetailMargin-AK45)</f>
        <v>0</v>
      </c>
      <c r="AN45" s="20">
        <f>IF(B45="","",IF(AM45&lt;=0,"",(AJ45+AL45)/AM45))</f>
        <v>0</v>
      </c>
      <c r="AO45" s="20">
        <f>IF(B45="","",IF(AN45="","Check the settings",ROUND(IF(RoundingRule="None",AN45,IF(RoundingRule="Nearest 0.99",MAX(0.99,CEILING(AN45,1)-0.01),IF(RoundingRule="Nearest 0.95",MAX(0.95,CEILING(AN45,1)-0.05),IF(RoundingRule="Nearest 0.50",CEILING(AN45,0.5),IF(RoundingRule="Nearest 1",CEILING(AN45,1),IF(RoundingRule="Nearest 5",CEILING(AN45,5),IF(RoundingRule="Up to whole 1",CEILING(AN45,1),IF(RoundingRule="Up to whole 5",CEILING(AN45,5),ROUND(AN45,2))))))))),2)))</f>
        <v>0</v>
      </c>
      <c r="AP45" s="20">
        <f>IF(B45="","",IF(S45&lt;&gt;"",S45,IF(ISNUMBER(AO45),AO45,"")))</f>
        <v>0</v>
      </c>
      <c r="AQ45" s="20">
        <f>IF(B45="","",IF(AP45="","",ROUND(AP45-AJ45-(AP45*AK45+AL45),2)))</f>
        <v>0</v>
      </c>
      <c r="AR45" s="33">
        <f>IF(B45="","",IF(OR(AP45="",AP45=0),"",AQ45/AP45))</f>
        <v>0</v>
      </c>
      <c r="AS45" s="41">
        <f>IF(B45="","",ROUND(AE45/60,3))</f>
        <v>0</v>
      </c>
      <c r="AT45" s="20">
        <f>IF(B45="","",IF(OR(AS45=0,AS45="",AQ45=""),"",ROUND((AQ45+AG45)/AS45,2)))</f>
        <v>0</v>
      </c>
      <c r="AU45" s="43">
        <f>IF(B45="","",IF(AND(A45&lt;&gt;"",ISERROR(MATCH(A45,Products!$A$5:$A$304,0))),"Check - no such product ID",IF(AD45=0,"Add - no material cost yet",IF(AE45=0,"Add - how long does it take?",IF(AND(A45&lt;&gt;"",COUNTIFS('Material Usage'!$A$5:$A$904,A45)&gt;0),"Check - this product also has a bill of materials",IF(AND(A45&lt;&gt;"",COUNTIFS(Labor!$A$5:$A$304,A45)&gt;0),"Check - this product also has labour lines",IF(AT45&lt;MinimumWage,"Below - pays under minimum wage","OK")))))) )</f>
        <v>0</v>
      </c>
    </row>
    <row r="46" spans="21:47">
      <c r="U46" s="41">
        <f>IF(B46="","",IFERROR(INDEX(SizeMaterialFactors,MATCH(D46,SizeNames,0)),1))</f>
        <v>0</v>
      </c>
      <c r="V46" s="41">
        <f>IF(B46="","",IFERROR(INDEX(SizeTimeFactors,MATCH(D46,SizeNames,0)),1))</f>
        <v>0</v>
      </c>
      <c r="W46" s="33">
        <f>IF(B46="","",IF(K46="",DefaultWaste,K46))</f>
        <v>0</v>
      </c>
      <c r="X46" s="36">
        <f>IF(B46="","",ROUND((IF(H46="",0,H46)+IF(J46="",0,J46))*U46*(1+W46),1))</f>
        <v>0</v>
      </c>
      <c r="Y46" s="20">
        <f>IF(B46="","",ROUND(IF(H46="",0,H46)*U46*(1+W46)*IFERROR(INDEX(Materials!$V$5:$V$254,MATCH(G46,Materials!$A$5:$A$254,0)),0),2))</f>
        <v>0</v>
      </c>
      <c r="Z46" s="20">
        <f>IF(B46="","",ROUND(IF(J46="",0,J46)*U46*(1+W46)*IFERROR(INDEX(Materials!$V$5:$V$254,MATCH(I46,Materials!$A$5:$A$254,0)),0),2))</f>
        <v>0</v>
      </c>
      <c r="AA46" s="36">
        <f>IF(B46="","",IF(IFERROR(INDEX(Materials!$G$5:$G$254,MATCH(G46,Materials!$A$5:$A$254,0)),0)=0,"",ROUNDUP(IF(H46="",0,H46)*U46*(1+W46)/(IFERROR(INDEX(Materials!$G$5:$G$254,MATCH(G46,Materials!$A$5:$A$254,0)),0)*IFERROR(INDEX(Materials!$U$5:$U$254,MATCH(G46,Materials!$A$5:$A$254,0)),1)),0)))</f>
        <v>0</v>
      </c>
      <c r="AB46" s="36">
        <f>IF(B46="","",IF(AA46="","",ROUND(AA46*IFERROR(INDEX(Materials!$G$5:$G$254,MATCH(G46,Materials!$A$5:$A$254,0)),0)*IFERROR(INDEX(Materials!$U$5:$U$254,MATCH(G46,Materials!$A$5:$A$254,0)),1)-IF(H46="",0,H46)*U46*(1+W46),1)))</f>
        <v>0</v>
      </c>
      <c r="AC46" s="20">
        <f>IF(B46="","",IF(N46="",0,ROUND(N46/MAX(1,IF(O46="",1,O46)),2)))</f>
        <v>0</v>
      </c>
      <c r="AD46" s="20">
        <f>IF(B46="","",ROUND(Y46+Z46+IF(L46="",0,L46)+IF(M46="",0,M46)+AC46,2))</f>
        <v>0</v>
      </c>
      <c r="AE46" s="36">
        <f>IF(B46="","",ROUND((IF(P46="",0,P46)*60+IF(Q46="",0,Q46))*V46,1))</f>
        <v>0</v>
      </c>
      <c r="AF46" s="20">
        <f>IF(B46="","",IF(R46&lt;&gt;"",R46,LaborCostHour))</f>
        <v>0</v>
      </c>
      <c r="AG46" s="20">
        <f>IF(B46="","",ROUND(AE46/60*AF46,2))</f>
        <v>0</v>
      </c>
      <c r="AH46" s="20">
        <f>IF(B46="","",ROUND(AE46/60*SuppliesPerHour,2))</f>
        <v>0</v>
      </c>
      <c r="AI46" s="45">
        <f>IF(B46="","",IF(OR(X46="",X46=0),"",ROUND(AD46/X46,4)))</f>
        <v>0</v>
      </c>
      <c r="AJ46" s="20">
        <f>IF(B46="","",ROUND(AD46+AG46+AH46,2))</f>
        <v>0</v>
      </c>
      <c r="AK46" s="33">
        <f>IF(B46="","",IFERROR(INDEX(Channels!$S$5:$S$18,MATCH(DefaultChannel,Channels!$A$5:$A$18,0)),0))</f>
        <v>0</v>
      </c>
      <c r="AL46" s="20">
        <f>IF(B46="","",IFERROR(INDEX(Channels!$T$5:$T$18,MATCH(DefaultChannel,Channels!$A$5:$A$18,0)),0))</f>
        <v>0</v>
      </c>
      <c r="AM46" s="41">
        <f>IF(B46="","",1-TargetRetailMargin-AK46)</f>
        <v>0</v>
      </c>
      <c r="AN46" s="20">
        <f>IF(B46="","",IF(AM46&lt;=0,"",(AJ46+AL46)/AM46))</f>
        <v>0</v>
      </c>
      <c r="AO46" s="20">
        <f>IF(B46="","",IF(AN46="","Check the settings",ROUND(IF(RoundingRule="None",AN46,IF(RoundingRule="Nearest 0.99",MAX(0.99,CEILING(AN46,1)-0.01),IF(RoundingRule="Nearest 0.95",MAX(0.95,CEILING(AN46,1)-0.05),IF(RoundingRule="Nearest 0.50",CEILING(AN46,0.5),IF(RoundingRule="Nearest 1",CEILING(AN46,1),IF(RoundingRule="Nearest 5",CEILING(AN46,5),IF(RoundingRule="Up to whole 1",CEILING(AN46,1),IF(RoundingRule="Up to whole 5",CEILING(AN46,5),ROUND(AN46,2))))))))),2)))</f>
        <v>0</v>
      </c>
      <c r="AP46" s="20">
        <f>IF(B46="","",IF(S46&lt;&gt;"",S46,IF(ISNUMBER(AO46),AO46,"")))</f>
        <v>0</v>
      </c>
      <c r="AQ46" s="20">
        <f>IF(B46="","",IF(AP46="","",ROUND(AP46-AJ46-(AP46*AK46+AL46),2)))</f>
        <v>0</v>
      </c>
      <c r="AR46" s="33">
        <f>IF(B46="","",IF(OR(AP46="",AP46=0),"",AQ46/AP46))</f>
        <v>0</v>
      </c>
      <c r="AS46" s="41">
        <f>IF(B46="","",ROUND(AE46/60,3))</f>
        <v>0</v>
      </c>
      <c r="AT46" s="20">
        <f>IF(B46="","",IF(OR(AS46=0,AS46="",AQ46=""),"",ROUND((AQ46+AG46)/AS46,2)))</f>
        <v>0</v>
      </c>
      <c r="AU46" s="43">
        <f>IF(B46="","",IF(AND(A46&lt;&gt;"",ISERROR(MATCH(A46,Products!$A$5:$A$304,0))),"Check - no such product ID",IF(AD46=0,"Add - no material cost yet",IF(AE46=0,"Add - how long does it take?",IF(AND(A46&lt;&gt;"",COUNTIFS('Material Usage'!$A$5:$A$904,A46)&gt;0),"Check - this product also has a bill of materials",IF(AND(A46&lt;&gt;"",COUNTIFS(Labor!$A$5:$A$304,A46)&gt;0),"Check - this product also has labour lines",IF(AT46&lt;MinimumWage,"Below - pays under minimum wage","OK")))))) )</f>
        <v>0</v>
      </c>
    </row>
    <row r="47" spans="21:47">
      <c r="U47" s="41">
        <f>IF(B47="","",IFERROR(INDEX(SizeMaterialFactors,MATCH(D47,SizeNames,0)),1))</f>
        <v>0</v>
      </c>
      <c r="V47" s="41">
        <f>IF(B47="","",IFERROR(INDEX(SizeTimeFactors,MATCH(D47,SizeNames,0)),1))</f>
        <v>0</v>
      </c>
      <c r="W47" s="33">
        <f>IF(B47="","",IF(K47="",DefaultWaste,K47))</f>
        <v>0</v>
      </c>
      <c r="X47" s="36">
        <f>IF(B47="","",ROUND((IF(H47="",0,H47)+IF(J47="",0,J47))*U47*(1+W47),1))</f>
        <v>0</v>
      </c>
      <c r="Y47" s="20">
        <f>IF(B47="","",ROUND(IF(H47="",0,H47)*U47*(1+W47)*IFERROR(INDEX(Materials!$V$5:$V$254,MATCH(G47,Materials!$A$5:$A$254,0)),0),2))</f>
        <v>0</v>
      </c>
      <c r="Z47" s="20">
        <f>IF(B47="","",ROUND(IF(J47="",0,J47)*U47*(1+W47)*IFERROR(INDEX(Materials!$V$5:$V$254,MATCH(I47,Materials!$A$5:$A$254,0)),0),2))</f>
        <v>0</v>
      </c>
      <c r="AA47" s="36">
        <f>IF(B47="","",IF(IFERROR(INDEX(Materials!$G$5:$G$254,MATCH(G47,Materials!$A$5:$A$254,0)),0)=0,"",ROUNDUP(IF(H47="",0,H47)*U47*(1+W47)/(IFERROR(INDEX(Materials!$G$5:$G$254,MATCH(G47,Materials!$A$5:$A$254,0)),0)*IFERROR(INDEX(Materials!$U$5:$U$254,MATCH(G47,Materials!$A$5:$A$254,0)),1)),0)))</f>
        <v>0</v>
      </c>
      <c r="AB47" s="36">
        <f>IF(B47="","",IF(AA47="","",ROUND(AA47*IFERROR(INDEX(Materials!$G$5:$G$254,MATCH(G47,Materials!$A$5:$A$254,0)),0)*IFERROR(INDEX(Materials!$U$5:$U$254,MATCH(G47,Materials!$A$5:$A$254,0)),1)-IF(H47="",0,H47)*U47*(1+W47),1)))</f>
        <v>0</v>
      </c>
      <c r="AC47" s="20">
        <f>IF(B47="","",IF(N47="",0,ROUND(N47/MAX(1,IF(O47="",1,O47)),2)))</f>
        <v>0</v>
      </c>
      <c r="AD47" s="20">
        <f>IF(B47="","",ROUND(Y47+Z47+IF(L47="",0,L47)+IF(M47="",0,M47)+AC47,2))</f>
        <v>0</v>
      </c>
      <c r="AE47" s="36">
        <f>IF(B47="","",ROUND((IF(P47="",0,P47)*60+IF(Q47="",0,Q47))*V47,1))</f>
        <v>0</v>
      </c>
      <c r="AF47" s="20">
        <f>IF(B47="","",IF(R47&lt;&gt;"",R47,LaborCostHour))</f>
        <v>0</v>
      </c>
      <c r="AG47" s="20">
        <f>IF(B47="","",ROUND(AE47/60*AF47,2))</f>
        <v>0</v>
      </c>
      <c r="AH47" s="20">
        <f>IF(B47="","",ROUND(AE47/60*SuppliesPerHour,2))</f>
        <v>0</v>
      </c>
      <c r="AI47" s="45">
        <f>IF(B47="","",IF(OR(X47="",X47=0),"",ROUND(AD47/X47,4)))</f>
        <v>0</v>
      </c>
      <c r="AJ47" s="20">
        <f>IF(B47="","",ROUND(AD47+AG47+AH47,2))</f>
        <v>0</v>
      </c>
      <c r="AK47" s="33">
        <f>IF(B47="","",IFERROR(INDEX(Channels!$S$5:$S$18,MATCH(DefaultChannel,Channels!$A$5:$A$18,0)),0))</f>
        <v>0</v>
      </c>
      <c r="AL47" s="20">
        <f>IF(B47="","",IFERROR(INDEX(Channels!$T$5:$T$18,MATCH(DefaultChannel,Channels!$A$5:$A$18,0)),0))</f>
        <v>0</v>
      </c>
      <c r="AM47" s="41">
        <f>IF(B47="","",1-TargetRetailMargin-AK47)</f>
        <v>0</v>
      </c>
      <c r="AN47" s="20">
        <f>IF(B47="","",IF(AM47&lt;=0,"",(AJ47+AL47)/AM47))</f>
        <v>0</v>
      </c>
      <c r="AO47" s="20">
        <f>IF(B47="","",IF(AN47="","Check the settings",ROUND(IF(RoundingRule="None",AN47,IF(RoundingRule="Nearest 0.99",MAX(0.99,CEILING(AN47,1)-0.01),IF(RoundingRule="Nearest 0.95",MAX(0.95,CEILING(AN47,1)-0.05),IF(RoundingRule="Nearest 0.50",CEILING(AN47,0.5),IF(RoundingRule="Nearest 1",CEILING(AN47,1),IF(RoundingRule="Nearest 5",CEILING(AN47,5),IF(RoundingRule="Up to whole 1",CEILING(AN47,1),IF(RoundingRule="Up to whole 5",CEILING(AN47,5),ROUND(AN47,2))))))))),2)))</f>
        <v>0</v>
      </c>
      <c r="AP47" s="20">
        <f>IF(B47="","",IF(S47&lt;&gt;"",S47,IF(ISNUMBER(AO47),AO47,"")))</f>
        <v>0</v>
      </c>
      <c r="AQ47" s="20">
        <f>IF(B47="","",IF(AP47="","",ROUND(AP47-AJ47-(AP47*AK47+AL47),2)))</f>
        <v>0</v>
      </c>
      <c r="AR47" s="33">
        <f>IF(B47="","",IF(OR(AP47="",AP47=0),"",AQ47/AP47))</f>
        <v>0</v>
      </c>
      <c r="AS47" s="41">
        <f>IF(B47="","",ROUND(AE47/60,3))</f>
        <v>0</v>
      </c>
      <c r="AT47" s="20">
        <f>IF(B47="","",IF(OR(AS47=0,AS47="",AQ47=""),"",ROUND((AQ47+AG47)/AS47,2)))</f>
        <v>0</v>
      </c>
      <c r="AU47" s="43">
        <f>IF(B47="","",IF(AND(A47&lt;&gt;"",ISERROR(MATCH(A47,Products!$A$5:$A$304,0))),"Check - no such product ID",IF(AD47=0,"Add - no material cost yet",IF(AE47=0,"Add - how long does it take?",IF(AND(A47&lt;&gt;"",COUNTIFS('Material Usage'!$A$5:$A$904,A47)&gt;0),"Check - this product also has a bill of materials",IF(AND(A47&lt;&gt;"",COUNTIFS(Labor!$A$5:$A$304,A47)&gt;0),"Check - this product also has labour lines",IF(AT47&lt;MinimumWage,"Below - pays under minimum wage","OK")))))) )</f>
        <v>0</v>
      </c>
    </row>
    <row r="48" spans="21:47">
      <c r="U48" s="41">
        <f>IF(B48="","",IFERROR(INDEX(SizeMaterialFactors,MATCH(D48,SizeNames,0)),1))</f>
        <v>0</v>
      </c>
      <c r="V48" s="41">
        <f>IF(B48="","",IFERROR(INDEX(SizeTimeFactors,MATCH(D48,SizeNames,0)),1))</f>
        <v>0</v>
      </c>
      <c r="W48" s="33">
        <f>IF(B48="","",IF(K48="",DefaultWaste,K48))</f>
        <v>0</v>
      </c>
      <c r="X48" s="36">
        <f>IF(B48="","",ROUND((IF(H48="",0,H48)+IF(J48="",0,J48))*U48*(1+W48),1))</f>
        <v>0</v>
      </c>
      <c r="Y48" s="20">
        <f>IF(B48="","",ROUND(IF(H48="",0,H48)*U48*(1+W48)*IFERROR(INDEX(Materials!$V$5:$V$254,MATCH(G48,Materials!$A$5:$A$254,0)),0),2))</f>
        <v>0</v>
      </c>
      <c r="Z48" s="20">
        <f>IF(B48="","",ROUND(IF(J48="",0,J48)*U48*(1+W48)*IFERROR(INDEX(Materials!$V$5:$V$254,MATCH(I48,Materials!$A$5:$A$254,0)),0),2))</f>
        <v>0</v>
      </c>
      <c r="AA48" s="36">
        <f>IF(B48="","",IF(IFERROR(INDEX(Materials!$G$5:$G$254,MATCH(G48,Materials!$A$5:$A$254,0)),0)=0,"",ROUNDUP(IF(H48="",0,H48)*U48*(1+W48)/(IFERROR(INDEX(Materials!$G$5:$G$254,MATCH(G48,Materials!$A$5:$A$254,0)),0)*IFERROR(INDEX(Materials!$U$5:$U$254,MATCH(G48,Materials!$A$5:$A$254,0)),1)),0)))</f>
        <v>0</v>
      </c>
      <c r="AB48" s="36">
        <f>IF(B48="","",IF(AA48="","",ROUND(AA48*IFERROR(INDEX(Materials!$G$5:$G$254,MATCH(G48,Materials!$A$5:$A$254,0)),0)*IFERROR(INDEX(Materials!$U$5:$U$254,MATCH(G48,Materials!$A$5:$A$254,0)),1)-IF(H48="",0,H48)*U48*(1+W48),1)))</f>
        <v>0</v>
      </c>
      <c r="AC48" s="20">
        <f>IF(B48="","",IF(N48="",0,ROUND(N48/MAX(1,IF(O48="",1,O48)),2)))</f>
        <v>0</v>
      </c>
      <c r="AD48" s="20">
        <f>IF(B48="","",ROUND(Y48+Z48+IF(L48="",0,L48)+IF(M48="",0,M48)+AC48,2))</f>
        <v>0</v>
      </c>
      <c r="AE48" s="36">
        <f>IF(B48="","",ROUND((IF(P48="",0,P48)*60+IF(Q48="",0,Q48))*V48,1))</f>
        <v>0</v>
      </c>
      <c r="AF48" s="20">
        <f>IF(B48="","",IF(R48&lt;&gt;"",R48,LaborCostHour))</f>
        <v>0</v>
      </c>
      <c r="AG48" s="20">
        <f>IF(B48="","",ROUND(AE48/60*AF48,2))</f>
        <v>0</v>
      </c>
      <c r="AH48" s="20">
        <f>IF(B48="","",ROUND(AE48/60*SuppliesPerHour,2))</f>
        <v>0</v>
      </c>
      <c r="AI48" s="45">
        <f>IF(B48="","",IF(OR(X48="",X48=0),"",ROUND(AD48/X48,4)))</f>
        <v>0</v>
      </c>
      <c r="AJ48" s="20">
        <f>IF(B48="","",ROUND(AD48+AG48+AH48,2))</f>
        <v>0</v>
      </c>
      <c r="AK48" s="33">
        <f>IF(B48="","",IFERROR(INDEX(Channels!$S$5:$S$18,MATCH(DefaultChannel,Channels!$A$5:$A$18,0)),0))</f>
        <v>0</v>
      </c>
      <c r="AL48" s="20">
        <f>IF(B48="","",IFERROR(INDEX(Channels!$T$5:$T$18,MATCH(DefaultChannel,Channels!$A$5:$A$18,0)),0))</f>
        <v>0</v>
      </c>
      <c r="AM48" s="41">
        <f>IF(B48="","",1-TargetRetailMargin-AK48)</f>
        <v>0</v>
      </c>
      <c r="AN48" s="20">
        <f>IF(B48="","",IF(AM48&lt;=0,"",(AJ48+AL48)/AM48))</f>
        <v>0</v>
      </c>
      <c r="AO48" s="20">
        <f>IF(B48="","",IF(AN48="","Check the settings",ROUND(IF(RoundingRule="None",AN48,IF(RoundingRule="Nearest 0.99",MAX(0.99,CEILING(AN48,1)-0.01),IF(RoundingRule="Nearest 0.95",MAX(0.95,CEILING(AN48,1)-0.05),IF(RoundingRule="Nearest 0.50",CEILING(AN48,0.5),IF(RoundingRule="Nearest 1",CEILING(AN48,1),IF(RoundingRule="Nearest 5",CEILING(AN48,5),IF(RoundingRule="Up to whole 1",CEILING(AN48,1),IF(RoundingRule="Up to whole 5",CEILING(AN48,5),ROUND(AN48,2))))))))),2)))</f>
        <v>0</v>
      </c>
      <c r="AP48" s="20">
        <f>IF(B48="","",IF(S48&lt;&gt;"",S48,IF(ISNUMBER(AO48),AO48,"")))</f>
        <v>0</v>
      </c>
      <c r="AQ48" s="20">
        <f>IF(B48="","",IF(AP48="","",ROUND(AP48-AJ48-(AP48*AK48+AL48),2)))</f>
        <v>0</v>
      </c>
      <c r="AR48" s="33">
        <f>IF(B48="","",IF(OR(AP48="",AP48=0),"",AQ48/AP48))</f>
        <v>0</v>
      </c>
      <c r="AS48" s="41">
        <f>IF(B48="","",ROUND(AE48/60,3))</f>
        <v>0</v>
      </c>
      <c r="AT48" s="20">
        <f>IF(B48="","",IF(OR(AS48=0,AS48="",AQ48=""),"",ROUND((AQ48+AG48)/AS48,2)))</f>
        <v>0</v>
      </c>
      <c r="AU48" s="43">
        <f>IF(B48="","",IF(AND(A48&lt;&gt;"",ISERROR(MATCH(A48,Products!$A$5:$A$304,0))),"Check - no such product ID",IF(AD48=0,"Add - no material cost yet",IF(AE48=0,"Add - how long does it take?",IF(AND(A48&lt;&gt;"",COUNTIFS('Material Usage'!$A$5:$A$904,A48)&gt;0),"Check - this product also has a bill of materials",IF(AND(A48&lt;&gt;"",COUNTIFS(Labor!$A$5:$A$304,A48)&gt;0),"Check - this product also has labour lines",IF(AT48&lt;MinimumWage,"Below - pays under minimum wage","OK")))))) )</f>
        <v>0</v>
      </c>
    </row>
    <row r="49" spans="21:47">
      <c r="U49" s="41">
        <f>IF(B49="","",IFERROR(INDEX(SizeMaterialFactors,MATCH(D49,SizeNames,0)),1))</f>
        <v>0</v>
      </c>
      <c r="V49" s="41">
        <f>IF(B49="","",IFERROR(INDEX(SizeTimeFactors,MATCH(D49,SizeNames,0)),1))</f>
        <v>0</v>
      </c>
      <c r="W49" s="33">
        <f>IF(B49="","",IF(K49="",DefaultWaste,K49))</f>
        <v>0</v>
      </c>
      <c r="X49" s="36">
        <f>IF(B49="","",ROUND((IF(H49="",0,H49)+IF(J49="",0,J49))*U49*(1+W49),1))</f>
        <v>0</v>
      </c>
      <c r="Y49" s="20">
        <f>IF(B49="","",ROUND(IF(H49="",0,H49)*U49*(1+W49)*IFERROR(INDEX(Materials!$V$5:$V$254,MATCH(G49,Materials!$A$5:$A$254,0)),0),2))</f>
        <v>0</v>
      </c>
      <c r="Z49" s="20">
        <f>IF(B49="","",ROUND(IF(J49="",0,J49)*U49*(1+W49)*IFERROR(INDEX(Materials!$V$5:$V$254,MATCH(I49,Materials!$A$5:$A$254,0)),0),2))</f>
        <v>0</v>
      </c>
      <c r="AA49" s="36">
        <f>IF(B49="","",IF(IFERROR(INDEX(Materials!$G$5:$G$254,MATCH(G49,Materials!$A$5:$A$254,0)),0)=0,"",ROUNDUP(IF(H49="",0,H49)*U49*(1+W49)/(IFERROR(INDEX(Materials!$G$5:$G$254,MATCH(G49,Materials!$A$5:$A$254,0)),0)*IFERROR(INDEX(Materials!$U$5:$U$254,MATCH(G49,Materials!$A$5:$A$254,0)),1)),0)))</f>
        <v>0</v>
      </c>
      <c r="AB49" s="36">
        <f>IF(B49="","",IF(AA49="","",ROUND(AA49*IFERROR(INDEX(Materials!$G$5:$G$254,MATCH(G49,Materials!$A$5:$A$254,0)),0)*IFERROR(INDEX(Materials!$U$5:$U$254,MATCH(G49,Materials!$A$5:$A$254,0)),1)-IF(H49="",0,H49)*U49*(1+W49),1)))</f>
        <v>0</v>
      </c>
      <c r="AC49" s="20">
        <f>IF(B49="","",IF(N49="",0,ROUND(N49/MAX(1,IF(O49="",1,O49)),2)))</f>
        <v>0</v>
      </c>
      <c r="AD49" s="20">
        <f>IF(B49="","",ROUND(Y49+Z49+IF(L49="",0,L49)+IF(M49="",0,M49)+AC49,2))</f>
        <v>0</v>
      </c>
      <c r="AE49" s="36">
        <f>IF(B49="","",ROUND((IF(P49="",0,P49)*60+IF(Q49="",0,Q49))*V49,1))</f>
        <v>0</v>
      </c>
      <c r="AF49" s="20">
        <f>IF(B49="","",IF(R49&lt;&gt;"",R49,LaborCostHour))</f>
        <v>0</v>
      </c>
      <c r="AG49" s="20">
        <f>IF(B49="","",ROUND(AE49/60*AF49,2))</f>
        <v>0</v>
      </c>
      <c r="AH49" s="20">
        <f>IF(B49="","",ROUND(AE49/60*SuppliesPerHour,2))</f>
        <v>0</v>
      </c>
      <c r="AI49" s="45">
        <f>IF(B49="","",IF(OR(X49="",X49=0),"",ROUND(AD49/X49,4)))</f>
        <v>0</v>
      </c>
      <c r="AJ49" s="20">
        <f>IF(B49="","",ROUND(AD49+AG49+AH49,2))</f>
        <v>0</v>
      </c>
      <c r="AK49" s="33">
        <f>IF(B49="","",IFERROR(INDEX(Channels!$S$5:$S$18,MATCH(DefaultChannel,Channels!$A$5:$A$18,0)),0))</f>
        <v>0</v>
      </c>
      <c r="AL49" s="20">
        <f>IF(B49="","",IFERROR(INDEX(Channels!$T$5:$T$18,MATCH(DefaultChannel,Channels!$A$5:$A$18,0)),0))</f>
        <v>0</v>
      </c>
      <c r="AM49" s="41">
        <f>IF(B49="","",1-TargetRetailMargin-AK49)</f>
        <v>0</v>
      </c>
      <c r="AN49" s="20">
        <f>IF(B49="","",IF(AM49&lt;=0,"",(AJ49+AL49)/AM49))</f>
        <v>0</v>
      </c>
      <c r="AO49" s="20">
        <f>IF(B49="","",IF(AN49="","Check the settings",ROUND(IF(RoundingRule="None",AN49,IF(RoundingRule="Nearest 0.99",MAX(0.99,CEILING(AN49,1)-0.01),IF(RoundingRule="Nearest 0.95",MAX(0.95,CEILING(AN49,1)-0.05),IF(RoundingRule="Nearest 0.50",CEILING(AN49,0.5),IF(RoundingRule="Nearest 1",CEILING(AN49,1),IF(RoundingRule="Nearest 5",CEILING(AN49,5),IF(RoundingRule="Up to whole 1",CEILING(AN49,1),IF(RoundingRule="Up to whole 5",CEILING(AN49,5),ROUND(AN49,2))))))))),2)))</f>
        <v>0</v>
      </c>
      <c r="AP49" s="20">
        <f>IF(B49="","",IF(S49&lt;&gt;"",S49,IF(ISNUMBER(AO49),AO49,"")))</f>
        <v>0</v>
      </c>
      <c r="AQ49" s="20">
        <f>IF(B49="","",IF(AP49="","",ROUND(AP49-AJ49-(AP49*AK49+AL49),2)))</f>
        <v>0</v>
      </c>
      <c r="AR49" s="33">
        <f>IF(B49="","",IF(OR(AP49="",AP49=0),"",AQ49/AP49))</f>
        <v>0</v>
      </c>
      <c r="AS49" s="41">
        <f>IF(B49="","",ROUND(AE49/60,3))</f>
        <v>0</v>
      </c>
      <c r="AT49" s="20">
        <f>IF(B49="","",IF(OR(AS49=0,AS49="",AQ49=""),"",ROUND((AQ49+AG49)/AS49,2)))</f>
        <v>0</v>
      </c>
      <c r="AU49" s="43">
        <f>IF(B49="","",IF(AND(A49&lt;&gt;"",ISERROR(MATCH(A49,Products!$A$5:$A$304,0))),"Check - no such product ID",IF(AD49=0,"Add - no material cost yet",IF(AE49=0,"Add - how long does it take?",IF(AND(A49&lt;&gt;"",COUNTIFS('Material Usage'!$A$5:$A$904,A49)&gt;0),"Check - this product also has a bill of materials",IF(AND(A49&lt;&gt;"",COUNTIFS(Labor!$A$5:$A$304,A49)&gt;0),"Check - this product also has labour lines",IF(AT49&lt;MinimumWage,"Below - pays under minimum wage","OK")))))) )</f>
        <v>0</v>
      </c>
    </row>
    <row r="50" spans="21:47">
      <c r="U50" s="41">
        <f>IF(B50="","",IFERROR(INDEX(SizeMaterialFactors,MATCH(D50,SizeNames,0)),1))</f>
        <v>0</v>
      </c>
      <c r="V50" s="41">
        <f>IF(B50="","",IFERROR(INDEX(SizeTimeFactors,MATCH(D50,SizeNames,0)),1))</f>
        <v>0</v>
      </c>
      <c r="W50" s="33">
        <f>IF(B50="","",IF(K50="",DefaultWaste,K50))</f>
        <v>0</v>
      </c>
      <c r="X50" s="36">
        <f>IF(B50="","",ROUND((IF(H50="",0,H50)+IF(J50="",0,J50))*U50*(1+W50),1))</f>
        <v>0</v>
      </c>
      <c r="Y50" s="20">
        <f>IF(B50="","",ROUND(IF(H50="",0,H50)*U50*(1+W50)*IFERROR(INDEX(Materials!$V$5:$V$254,MATCH(G50,Materials!$A$5:$A$254,0)),0),2))</f>
        <v>0</v>
      </c>
      <c r="Z50" s="20">
        <f>IF(B50="","",ROUND(IF(J50="",0,J50)*U50*(1+W50)*IFERROR(INDEX(Materials!$V$5:$V$254,MATCH(I50,Materials!$A$5:$A$254,0)),0),2))</f>
        <v>0</v>
      </c>
      <c r="AA50" s="36">
        <f>IF(B50="","",IF(IFERROR(INDEX(Materials!$G$5:$G$254,MATCH(G50,Materials!$A$5:$A$254,0)),0)=0,"",ROUNDUP(IF(H50="",0,H50)*U50*(1+W50)/(IFERROR(INDEX(Materials!$G$5:$G$254,MATCH(G50,Materials!$A$5:$A$254,0)),0)*IFERROR(INDEX(Materials!$U$5:$U$254,MATCH(G50,Materials!$A$5:$A$254,0)),1)),0)))</f>
        <v>0</v>
      </c>
      <c r="AB50" s="36">
        <f>IF(B50="","",IF(AA50="","",ROUND(AA50*IFERROR(INDEX(Materials!$G$5:$G$254,MATCH(G50,Materials!$A$5:$A$254,0)),0)*IFERROR(INDEX(Materials!$U$5:$U$254,MATCH(G50,Materials!$A$5:$A$254,0)),1)-IF(H50="",0,H50)*U50*(1+W50),1)))</f>
        <v>0</v>
      </c>
      <c r="AC50" s="20">
        <f>IF(B50="","",IF(N50="",0,ROUND(N50/MAX(1,IF(O50="",1,O50)),2)))</f>
        <v>0</v>
      </c>
      <c r="AD50" s="20">
        <f>IF(B50="","",ROUND(Y50+Z50+IF(L50="",0,L50)+IF(M50="",0,M50)+AC50,2))</f>
        <v>0</v>
      </c>
      <c r="AE50" s="36">
        <f>IF(B50="","",ROUND((IF(P50="",0,P50)*60+IF(Q50="",0,Q50))*V50,1))</f>
        <v>0</v>
      </c>
      <c r="AF50" s="20">
        <f>IF(B50="","",IF(R50&lt;&gt;"",R50,LaborCostHour))</f>
        <v>0</v>
      </c>
      <c r="AG50" s="20">
        <f>IF(B50="","",ROUND(AE50/60*AF50,2))</f>
        <v>0</v>
      </c>
      <c r="AH50" s="20">
        <f>IF(B50="","",ROUND(AE50/60*SuppliesPerHour,2))</f>
        <v>0</v>
      </c>
      <c r="AI50" s="45">
        <f>IF(B50="","",IF(OR(X50="",X50=0),"",ROUND(AD50/X50,4)))</f>
        <v>0</v>
      </c>
      <c r="AJ50" s="20">
        <f>IF(B50="","",ROUND(AD50+AG50+AH50,2))</f>
        <v>0</v>
      </c>
      <c r="AK50" s="33">
        <f>IF(B50="","",IFERROR(INDEX(Channels!$S$5:$S$18,MATCH(DefaultChannel,Channels!$A$5:$A$18,0)),0))</f>
        <v>0</v>
      </c>
      <c r="AL50" s="20">
        <f>IF(B50="","",IFERROR(INDEX(Channels!$T$5:$T$18,MATCH(DefaultChannel,Channels!$A$5:$A$18,0)),0))</f>
        <v>0</v>
      </c>
      <c r="AM50" s="41">
        <f>IF(B50="","",1-TargetRetailMargin-AK50)</f>
        <v>0</v>
      </c>
      <c r="AN50" s="20">
        <f>IF(B50="","",IF(AM50&lt;=0,"",(AJ50+AL50)/AM50))</f>
        <v>0</v>
      </c>
      <c r="AO50" s="20">
        <f>IF(B50="","",IF(AN50="","Check the settings",ROUND(IF(RoundingRule="None",AN50,IF(RoundingRule="Nearest 0.99",MAX(0.99,CEILING(AN50,1)-0.01),IF(RoundingRule="Nearest 0.95",MAX(0.95,CEILING(AN50,1)-0.05),IF(RoundingRule="Nearest 0.50",CEILING(AN50,0.5),IF(RoundingRule="Nearest 1",CEILING(AN50,1),IF(RoundingRule="Nearest 5",CEILING(AN50,5),IF(RoundingRule="Up to whole 1",CEILING(AN50,1),IF(RoundingRule="Up to whole 5",CEILING(AN50,5),ROUND(AN50,2))))))))),2)))</f>
        <v>0</v>
      </c>
      <c r="AP50" s="20">
        <f>IF(B50="","",IF(S50&lt;&gt;"",S50,IF(ISNUMBER(AO50),AO50,"")))</f>
        <v>0</v>
      </c>
      <c r="AQ50" s="20">
        <f>IF(B50="","",IF(AP50="","",ROUND(AP50-AJ50-(AP50*AK50+AL50),2)))</f>
        <v>0</v>
      </c>
      <c r="AR50" s="33">
        <f>IF(B50="","",IF(OR(AP50="",AP50=0),"",AQ50/AP50))</f>
        <v>0</v>
      </c>
      <c r="AS50" s="41">
        <f>IF(B50="","",ROUND(AE50/60,3))</f>
        <v>0</v>
      </c>
      <c r="AT50" s="20">
        <f>IF(B50="","",IF(OR(AS50=0,AS50="",AQ50=""),"",ROUND((AQ50+AG50)/AS50,2)))</f>
        <v>0</v>
      </c>
      <c r="AU50" s="43">
        <f>IF(B50="","",IF(AND(A50&lt;&gt;"",ISERROR(MATCH(A50,Products!$A$5:$A$304,0))),"Check - no such product ID",IF(AD50=0,"Add - no material cost yet",IF(AE50=0,"Add - how long does it take?",IF(AND(A50&lt;&gt;"",COUNTIFS('Material Usage'!$A$5:$A$904,A50)&gt;0),"Check - this product also has a bill of materials",IF(AND(A50&lt;&gt;"",COUNTIFS(Labor!$A$5:$A$304,A50)&gt;0),"Check - this product also has labour lines",IF(AT50&lt;MinimumWage,"Below - pays under minimum wage","OK")))))) )</f>
        <v>0</v>
      </c>
    </row>
    <row r="51" spans="21:47">
      <c r="U51" s="41">
        <f>IF(B51="","",IFERROR(INDEX(SizeMaterialFactors,MATCH(D51,SizeNames,0)),1))</f>
        <v>0</v>
      </c>
      <c r="V51" s="41">
        <f>IF(B51="","",IFERROR(INDEX(SizeTimeFactors,MATCH(D51,SizeNames,0)),1))</f>
        <v>0</v>
      </c>
      <c r="W51" s="33">
        <f>IF(B51="","",IF(K51="",DefaultWaste,K51))</f>
        <v>0</v>
      </c>
      <c r="X51" s="36">
        <f>IF(B51="","",ROUND((IF(H51="",0,H51)+IF(J51="",0,J51))*U51*(1+W51),1))</f>
        <v>0</v>
      </c>
      <c r="Y51" s="20">
        <f>IF(B51="","",ROUND(IF(H51="",0,H51)*U51*(1+W51)*IFERROR(INDEX(Materials!$V$5:$V$254,MATCH(G51,Materials!$A$5:$A$254,0)),0),2))</f>
        <v>0</v>
      </c>
      <c r="Z51" s="20">
        <f>IF(B51="","",ROUND(IF(J51="",0,J51)*U51*(1+W51)*IFERROR(INDEX(Materials!$V$5:$V$254,MATCH(I51,Materials!$A$5:$A$254,0)),0),2))</f>
        <v>0</v>
      </c>
      <c r="AA51" s="36">
        <f>IF(B51="","",IF(IFERROR(INDEX(Materials!$G$5:$G$254,MATCH(G51,Materials!$A$5:$A$254,0)),0)=0,"",ROUNDUP(IF(H51="",0,H51)*U51*(1+W51)/(IFERROR(INDEX(Materials!$G$5:$G$254,MATCH(G51,Materials!$A$5:$A$254,0)),0)*IFERROR(INDEX(Materials!$U$5:$U$254,MATCH(G51,Materials!$A$5:$A$254,0)),1)),0)))</f>
        <v>0</v>
      </c>
      <c r="AB51" s="36">
        <f>IF(B51="","",IF(AA51="","",ROUND(AA51*IFERROR(INDEX(Materials!$G$5:$G$254,MATCH(G51,Materials!$A$5:$A$254,0)),0)*IFERROR(INDEX(Materials!$U$5:$U$254,MATCH(G51,Materials!$A$5:$A$254,0)),1)-IF(H51="",0,H51)*U51*(1+W51),1)))</f>
        <v>0</v>
      </c>
      <c r="AC51" s="20">
        <f>IF(B51="","",IF(N51="",0,ROUND(N51/MAX(1,IF(O51="",1,O51)),2)))</f>
        <v>0</v>
      </c>
      <c r="AD51" s="20">
        <f>IF(B51="","",ROUND(Y51+Z51+IF(L51="",0,L51)+IF(M51="",0,M51)+AC51,2))</f>
        <v>0</v>
      </c>
      <c r="AE51" s="36">
        <f>IF(B51="","",ROUND((IF(P51="",0,P51)*60+IF(Q51="",0,Q51))*V51,1))</f>
        <v>0</v>
      </c>
      <c r="AF51" s="20">
        <f>IF(B51="","",IF(R51&lt;&gt;"",R51,LaborCostHour))</f>
        <v>0</v>
      </c>
      <c r="AG51" s="20">
        <f>IF(B51="","",ROUND(AE51/60*AF51,2))</f>
        <v>0</v>
      </c>
      <c r="AH51" s="20">
        <f>IF(B51="","",ROUND(AE51/60*SuppliesPerHour,2))</f>
        <v>0</v>
      </c>
      <c r="AI51" s="45">
        <f>IF(B51="","",IF(OR(X51="",X51=0),"",ROUND(AD51/X51,4)))</f>
        <v>0</v>
      </c>
      <c r="AJ51" s="20">
        <f>IF(B51="","",ROUND(AD51+AG51+AH51,2))</f>
        <v>0</v>
      </c>
      <c r="AK51" s="33">
        <f>IF(B51="","",IFERROR(INDEX(Channels!$S$5:$S$18,MATCH(DefaultChannel,Channels!$A$5:$A$18,0)),0))</f>
        <v>0</v>
      </c>
      <c r="AL51" s="20">
        <f>IF(B51="","",IFERROR(INDEX(Channels!$T$5:$T$18,MATCH(DefaultChannel,Channels!$A$5:$A$18,0)),0))</f>
        <v>0</v>
      </c>
      <c r="AM51" s="41">
        <f>IF(B51="","",1-TargetRetailMargin-AK51)</f>
        <v>0</v>
      </c>
      <c r="AN51" s="20">
        <f>IF(B51="","",IF(AM51&lt;=0,"",(AJ51+AL51)/AM51))</f>
        <v>0</v>
      </c>
      <c r="AO51" s="20">
        <f>IF(B51="","",IF(AN51="","Check the settings",ROUND(IF(RoundingRule="None",AN51,IF(RoundingRule="Nearest 0.99",MAX(0.99,CEILING(AN51,1)-0.01),IF(RoundingRule="Nearest 0.95",MAX(0.95,CEILING(AN51,1)-0.05),IF(RoundingRule="Nearest 0.50",CEILING(AN51,0.5),IF(RoundingRule="Nearest 1",CEILING(AN51,1),IF(RoundingRule="Nearest 5",CEILING(AN51,5),IF(RoundingRule="Up to whole 1",CEILING(AN51,1),IF(RoundingRule="Up to whole 5",CEILING(AN51,5),ROUND(AN51,2))))))))),2)))</f>
        <v>0</v>
      </c>
      <c r="AP51" s="20">
        <f>IF(B51="","",IF(S51&lt;&gt;"",S51,IF(ISNUMBER(AO51),AO51,"")))</f>
        <v>0</v>
      </c>
      <c r="AQ51" s="20">
        <f>IF(B51="","",IF(AP51="","",ROUND(AP51-AJ51-(AP51*AK51+AL51),2)))</f>
        <v>0</v>
      </c>
      <c r="AR51" s="33">
        <f>IF(B51="","",IF(OR(AP51="",AP51=0),"",AQ51/AP51))</f>
        <v>0</v>
      </c>
      <c r="AS51" s="41">
        <f>IF(B51="","",ROUND(AE51/60,3))</f>
        <v>0</v>
      </c>
      <c r="AT51" s="20">
        <f>IF(B51="","",IF(OR(AS51=0,AS51="",AQ51=""),"",ROUND((AQ51+AG51)/AS51,2)))</f>
        <v>0</v>
      </c>
      <c r="AU51" s="43">
        <f>IF(B51="","",IF(AND(A51&lt;&gt;"",ISERROR(MATCH(A51,Products!$A$5:$A$304,0))),"Check - no such product ID",IF(AD51=0,"Add - no material cost yet",IF(AE51=0,"Add - how long does it take?",IF(AND(A51&lt;&gt;"",COUNTIFS('Material Usage'!$A$5:$A$904,A51)&gt;0),"Check - this product also has a bill of materials",IF(AND(A51&lt;&gt;"",COUNTIFS(Labor!$A$5:$A$304,A51)&gt;0),"Check - this product also has labour lines",IF(AT51&lt;MinimumWage,"Below - pays under minimum wage","OK")))))) )</f>
        <v>0</v>
      </c>
    </row>
    <row r="52" spans="21:47">
      <c r="U52" s="41">
        <f>IF(B52="","",IFERROR(INDEX(SizeMaterialFactors,MATCH(D52,SizeNames,0)),1))</f>
        <v>0</v>
      </c>
      <c r="V52" s="41">
        <f>IF(B52="","",IFERROR(INDEX(SizeTimeFactors,MATCH(D52,SizeNames,0)),1))</f>
        <v>0</v>
      </c>
      <c r="W52" s="33">
        <f>IF(B52="","",IF(K52="",DefaultWaste,K52))</f>
        <v>0</v>
      </c>
      <c r="X52" s="36">
        <f>IF(B52="","",ROUND((IF(H52="",0,H52)+IF(J52="",0,J52))*U52*(1+W52),1))</f>
        <v>0</v>
      </c>
      <c r="Y52" s="20">
        <f>IF(B52="","",ROUND(IF(H52="",0,H52)*U52*(1+W52)*IFERROR(INDEX(Materials!$V$5:$V$254,MATCH(G52,Materials!$A$5:$A$254,0)),0),2))</f>
        <v>0</v>
      </c>
      <c r="Z52" s="20">
        <f>IF(B52="","",ROUND(IF(J52="",0,J52)*U52*(1+W52)*IFERROR(INDEX(Materials!$V$5:$V$254,MATCH(I52,Materials!$A$5:$A$254,0)),0),2))</f>
        <v>0</v>
      </c>
      <c r="AA52" s="36">
        <f>IF(B52="","",IF(IFERROR(INDEX(Materials!$G$5:$G$254,MATCH(G52,Materials!$A$5:$A$254,0)),0)=0,"",ROUNDUP(IF(H52="",0,H52)*U52*(1+W52)/(IFERROR(INDEX(Materials!$G$5:$G$254,MATCH(G52,Materials!$A$5:$A$254,0)),0)*IFERROR(INDEX(Materials!$U$5:$U$254,MATCH(G52,Materials!$A$5:$A$254,0)),1)),0)))</f>
        <v>0</v>
      </c>
      <c r="AB52" s="36">
        <f>IF(B52="","",IF(AA52="","",ROUND(AA52*IFERROR(INDEX(Materials!$G$5:$G$254,MATCH(G52,Materials!$A$5:$A$254,0)),0)*IFERROR(INDEX(Materials!$U$5:$U$254,MATCH(G52,Materials!$A$5:$A$254,0)),1)-IF(H52="",0,H52)*U52*(1+W52),1)))</f>
        <v>0</v>
      </c>
      <c r="AC52" s="20">
        <f>IF(B52="","",IF(N52="",0,ROUND(N52/MAX(1,IF(O52="",1,O52)),2)))</f>
        <v>0</v>
      </c>
      <c r="AD52" s="20">
        <f>IF(B52="","",ROUND(Y52+Z52+IF(L52="",0,L52)+IF(M52="",0,M52)+AC52,2))</f>
        <v>0</v>
      </c>
      <c r="AE52" s="36">
        <f>IF(B52="","",ROUND((IF(P52="",0,P52)*60+IF(Q52="",0,Q52))*V52,1))</f>
        <v>0</v>
      </c>
      <c r="AF52" s="20">
        <f>IF(B52="","",IF(R52&lt;&gt;"",R52,LaborCostHour))</f>
        <v>0</v>
      </c>
      <c r="AG52" s="20">
        <f>IF(B52="","",ROUND(AE52/60*AF52,2))</f>
        <v>0</v>
      </c>
      <c r="AH52" s="20">
        <f>IF(B52="","",ROUND(AE52/60*SuppliesPerHour,2))</f>
        <v>0</v>
      </c>
      <c r="AI52" s="45">
        <f>IF(B52="","",IF(OR(X52="",X52=0),"",ROUND(AD52/X52,4)))</f>
        <v>0</v>
      </c>
      <c r="AJ52" s="20">
        <f>IF(B52="","",ROUND(AD52+AG52+AH52,2))</f>
        <v>0</v>
      </c>
      <c r="AK52" s="33">
        <f>IF(B52="","",IFERROR(INDEX(Channels!$S$5:$S$18,MATCH(DefaultChannel,Channels!$A$5:$A$18,0)),0))</f>
        <v>0</v>
      </c>
      <c r="AL52" s="20">
        <f>IF(B52="","",IFERROR(INDEX(Channels!$T$5:$T$18,MATCH(DefaultChannel,Channels!$A$5:$A$18,0)),0))</f>
        <v>0</v>
      </c>
      <c r="AM52" s="41">
        <f>IF(B52="","",1-TargetRetailMargin-AK52)</f>
        <v>0</v>
      </c>
      <c r="AN52" s="20">
        <f>IF(B52="","",IF(AM52&lt;=0,"",(AJ52+AL52)/AM52))</f>
        <v>0</v>
      </c>
      <c r="AO52" s="20">
        <f>IF(B52="","",IF(AN52="","Check the settings",ROUND(IF(RoundingRule="None",AN52,IF(RoundingRule="Nearest 0.99",MAX(0.99,CEILING(AN52,1)-0.01),IF(RoundingRule="Nearest 0.95",MAX(0.95,CEILING(AN52,1)-0.05),IF(RoundingRule="Nearest 0.50",CEILING(AN52,0.5),IF(RoundingRule="Nearest 1",CEILING(AN52,1),IF(RoundingRule="Nearest 5",CEILING(AN52,5),IF(RoundingRule="Up to whole 1",CEILING(AN52,1),IF(RoundingRule="Up to whole 5",CEILING(AN52,5),ROUND(AN52,2))))))))),2)))</f>
        <v>0</v>
      </c>
      <c r="AP52" s="20">
        <f>IF(B52="","",IF(S52&lt;&gt;"",S52,IF(ISNUMBER(AO52),AO52,"")))</f>
        <v>0</v>
      </c>
      <c r="AQ52" s="20">
        <f>IF(B52="","",IF(AP52="","",ROUND(AP52-AJ52-(AP52*AK52+AL52),2)))</f>
        <v>0</v>
      </c>
      <c r="AR52" s="33">
        <f>IF(B52="","",IF(OR(AP52="",AP52=0),"",AQ52/AP52))</f>
        <v>0</v>
      </c>
      <c r="AS52" s="41">
        <f>IF(B52="","",ROUND(AE52/60,3))</f>
        <v>0</v>
      </c>
      <c r="AT52" s="20">
        <f>IF(B52="","",IF(OR(AS52=0,AS52="",AQ52=""),"",ROUND((AQ52+AG52)/AS52,2)))</f>
        <v>0</v>
      </c>
      <c r="AU52" s="43">
        <f>IF(B52="","",IF(AND(A52&lt;&gt;"",ISERROR(MATCH(A52,Products!$A$5:$A$304,0))),"Check - no such product ID",IF(AD52=0,"Add - no material cost yet",IF(AE52=0,"Add - how long does it take?",IF(AND(A52&lt;&gt;"",COUNTIFS('Material Usage'!$A$5:$A$904,A52)&gt;0),"Check - this product also has a bill of materials",IF(AND(A52&lt;&gt;"",COUNTIFS(Labor!$A$5:$A$304,A52)&gt;0),"Check - this product also has labour lines",IF(AT52&lt;MinimumWage,"Below - pays under minimum wage","OK")))))) )</f>
        <v>0</v>
      </c>
    </row>
    <row r="53" spans="21:47">
      <c r="U53" s="41">
        <f>IF(B53="","",IFERROR(INDEX(SizeMaterialFactors,MATCH(D53,SizeNames,0)),1))</f>
        <v>0</v>
      </c>
      <c r="V53" s="41">
        <f>IF(B53="","",IFERROR(INDEX(SizeTimeFactors,MATCH(D53,SizeNames,0)),1))</f>
        <v>0</v>
      </c>
      <c r="W53" s="33">
        <f>IF(B53="","",IF(K53="",DefaultWaste,K53))</f>
        <v>0</v>
      </c>
      <c r="X53" s="36">
        <f>IF(B53="","",ROUND((IF(H53="",0,H53)+IF(J53="",0,J53))*U53*(1+W53),1))</f>
        <v>0</v>
      </c>
      <c r="Y53" s="20">
        <f>IF(B53="","",ROUND(IF(H53="",0,H53)*U53*(1+W53)*IFERROR(INDEX(Materials!$V$5:$V$254,MATCH(G53,Materials!$A$5:$A$254,0)),0),2))</f>
        <v>0</v>
      </c>
      <c r="Z53" s="20">
        <f>IF(B53="","",ROUND(IF(J53="",0,J53)*U53*(1+W53)*IFERROR(INDEX(Materials!$V$5:$V$254,MATCH(I53,Materials!$A$5:$A$254,0)),0),2))</f>
        <v>0</v>
      </c>
      <c r="AA53" s="36">
        <f>IF(B53="","",IF(IFERROR(INDEX(Materials!$G$5:$G$254,MATCH(G53,Materials!$A$5:$A$254,0)),0)=0,"",ROUNDUP(IF(H53="",0,H53)*U53*(1+W53)/(IFERROR(INDEX(Materials!$G$5:$G$254,MATCH(G53,Materials!$A$5:$A$254,0)),0)*IFERROR(INDEX(Materials!$U$5:$U$254,MATCH(G53,Materials!$A$5:$A$254,0)),1)),0)))</f>
        <v>0</v>
      </c>
      <c r="AB53" s="36">
        <f>IF(B53="","",IF(AA53="","",ROUND(AA53*IFERROR(INDEX(Materials!$G$5:$G$254,MATCH(G53,Materials!$A$5:$A$254,0)),0)*IFERROR(INDEX(Materials!$U$5:$U$254,MATCH(G53,Materials!$A$5:$A$254,0)),1)-IF(H53="",0,H53)*U53*(1+W53),1)))</f>
        <v>0</v>
      </c>
      <c r="AC53" s="20">
        <f>IF(B53="","",IF(N53="",0,ROUND(N53/MAX(1,IF(O53="",1,O53)),2)))</f>
        <v>0</v>
      </c>
      <c r="AD53" s="20">
        <f>IF(B53="","",ROUND(Y53+Z53+IF(L53="",0,L53)+IF(M53="",0,M53)+AC53,2))</f>
        <v>0</v>
      </c>
      <c r="AE53" s="36">
        <f>IF(B53="","",ROUND((IF(P53="",0,P53)*60+IF(Q53="",0,Q53))*V53,1))</f>
        <v>0</v>
      </c>
      <c r="AF53" s="20">
        <f>IF(B53="","",IF(R53&lt;&gt;"",R53,LaborCostHour))</f>
        <v>0</v>
      </c>
      <c r="AG53" s="20">
        <f>IF(B53="","",ROUND(AE53/60*AF53,2))</f>
        <v>0</v>
      </c>
      <c r="AH53" s="20">
        <f>IF(B53="","",ROUND(AE53/60*SuppliesPerHour,2))</f>
        <v>0</v>
      </c>
      <c r="AI53" s="45">
        <f>IF(B53="","",IF(OR(X53="",X53=0),"",ROUND(AD53/X53,4)))</f>
        <v>0</v>
      </c>
      <c r="AJ53" s="20">
        <f>IF(B53="","",ROUND(AD53+AG53+AH53,2))</f>
        <v>0</v>
      </c>
      <c r="AK53" s="33">
        <f>IF(B53="","",IFERROR(INDEX(Channels!$S$5:$S$18,MATCH(DefaultChannel,Channels!$A$5:$A$18,0)),0))</f>
        <v>0</v>
      </c>
      <c r="AL53" s="20">
        <f>IF(B53="","",IFERROR(INDEX(Channels!$T$5:$T$18,MATCH(DefaultChannel,Channels!$A$5:$A$18,0)),0))</f>
        <v>0</v>
      </c>
      <c r="AM53" s="41">
        <f>IF(B53="","",1-TargetRetailMargin-AK53)</f>
        <v>0</v>
      </c>
      <c r="AN53" s="20">
        <f>IF(B53="","",IF(AM53&lt;=0,"",(AJ53+AL53)/AM53))</f>
        <v>0</v>
      </c>
      <c r="AO53" s="20">
        <f>IF(B53="","",IF(AN53="","Check the settings",ROUND(IF(RoundingRule="None",AN53,IF(RoundingRule="Nearest 0.99",MAX(0.99,CEILING(AN53,1)-0.01),IF(RoundingRule="Nearest 0.95",MAX(0.95,CEILING(AN53,1)-0.05),IF(RoundingRule="Nearest 0.50",CEILING(AN53,0.5),IF(RoundingRule="Nearest 1",CEILING(AN53,1),IF(RoundingRule="Nearest 5",CEILING(AN53,5),IF(RoundingRule="Up to whole 1",CEILING(AN53,1),IF(RoundingRule="Up to whole 5",CEILING(AN53,5),ROUND(AN53,2))))))))),2)))</f>
        <v>0</v>
      </c>
      <c r="AP53" s="20">
        <f>IF(B53="","",IF(S53&lt;&gt;"",S53,IF(ISNUMBER(AO53),AO53,"")))</f>
        <v>0</v>
      </c>
      <c r="AQ53" s="20">
        <f>IF(B53="","",IF(AP53="","",ROUND(AP53-AJ53-(AP53*AK53+AL53),2)))</f>
        <v>0</v>
      </c>
      <c r="AR53" s="33">
        <f>IF(B53="","",IF(OR(AP53="",AP53=0),"",AQ53/AP53))</f>
        <v>0</v>
      </c>
      <c r="AS53" s="41">
        <f>IF(B53="","",ROUND(AE53/60,3))</f>
        <v>0</v>
      </c>
      <c r="AT53" s="20">
        <f>IF(B53="","",IF(OR(AS53=0,AS53="",AQ53=""),"",ROUND((AQ53+AG53)/AS53,2)))</f>
        <v>0</v>
      </c>
      <c r="AU53" s="43">
        <f>IF(B53="","",IF(AND(A53&lt;&gt;"",ISERROR(MATCH(A53,Products!$A$5:$A$304,0))),"Check - no such product ID",IF(AD53=0,"Add - no material cost yet",IF(AE53=0,"Add - how long does it take?",IF(AND(A53&lt;&gt;"",COUNTIFS('Material Usage'!$A$5:$A$904,A53)&gt;0),"Check - this product also has a bill of materials",IF(AND(A53&lt;&gt;"",COUNTIFS(Labor!$A$5:$A$304,A53)&gt;0),"Check - this product also has labour lines",IF(AT53&lt;MinimumWage,"Below - pays under minimum wage","OK")))))) )</f>
        <v>0</v>
      </c>
    </row>
    <row r="54" spans="21:47">
      <c r="U54" s="41">
        <f>IF(B54="","",IFERROR(INDEX(SizeMaterialFactors,MATCH(D54,SizeNames,0)),1))</f>
        <v>0</v>
      </c>
      <c r="V54" s="41">
        <f>IF(B54="","",IFERROR(INDEX(SizeTimeFactors,MATCH(D54,SizeNames,0)),1))</f>
        <v>0</v>
      </c>
      <c r="W54" s="33">
        <f>IF(B54="","",IF(K54="",DefaultWaste,K54))</f>
        <v>0</v>
      </c>
      <c r="X54" s="36">
        <f>IF(B54="","",ROUND((IF(H54="",0,H54)+IF(J54="",0,J54))*U54*(1+W54),1))</f>
        <v>0</v>
      </c>
      <c r="Y54" s="20">
        <f>IF(B54="","",ROUND(IF(H54="",0,H54)*U54*(1+W54)*IFERROR(INDEX(Materials!$V$5:$V$254,MATCH(G54,Materials!$A$5:$A$254,0)),0),2))</f>
        <v>0</v>
      </c>
      <c r="Z54" s="20">
        <f>IF(B54="","",ROUND(IF(J54="",0,J54)*U54*(1+W54)*IFERROR(INDEX(Materials!$V$5:$V$254,MATCH(I54,Materials!$A$5:$A$254,0)),0),2))</f>
        <v>0</v>
      </c>
      <c r="AA54" s="36">
        <f>IF(B54="","",IF(IFERROR(INDEX(Materials!$G$5:$G$254,MATCH(G54,Materials!$A$5:$A$254,0)),0)=0,"",ROUNDUP(IF(H54="",0,H54)*U54*(1+W54)/(IFERROR(INDEX(Materials!$G$5:$G$254,MATCH(G54,Materials!$A$5:$A$254,0)),0)*IFERROR(INDEX(Materials!$U$5:$U$254,MATCH(G54,Materials!$A$5:$A$254,0)),1)),0)))</f>
        <v>0</v>
      </c>
      <c r="AB54" s="36">
        <f>IF(B54="","",IF(AA54="","",ROUND(AA54*IFERROR(INDEX(Materials!$G$5:$G$254,MATCH(G54,Materials!$A$5:$A$254,0)),0)*IFERROR(INDEX(Materials!$U$5:$U$254,MATCH(G54,Materials!$A$5:$A$254,0)),1)-IF(H54="",0,H54)*U54*(1+W54),1)))</f>
        <v>0</v>
      </c>
      <c r="AC54" s="20">
        <f>IF(B54="","",IF(N54="",0,ROUND(N54/MAX(1,IF(O54="",1,O54)),2)))</f>
        <v>0</v>
      </c>
      <c r="AD54" s="20">
        <f>IF(B54="","",ROUND(Y54+Z54+IF(L54="",0,L54)+IF(M54="",0,M54)+AC54,2))</f>
        <v>0</v>
      </c>
      <c r="AE54" s="36">
        <f>IF(B54="","",ROUND((IF(P54="",0,P54)*60+IF(Q54="",0,Q54))*V54,1))</f>
        <v>0</v>
      </c>
      <c r="AF54" s="20">
        <f>IF(B54="","",IF(R54&lt;&gt;"",R54,LaborCostHour))</f>
        <v>0</v>
      </c>
      <c r="AG54" s="20">
        <f>IF(B54="","",ROUND(AE54/60*AF54,2))</f>
        <v>0</v>
      </c>
      <c r="AH54" s="20">
        <f>IF(B54="","",ROUND(AE54/60*SuppliesPerHour,2))</f>
        <v>0</v>
      </c>
      <c r="AI54" s="45">
        <f>IF(B54="","",IF(OR(X54="",X54=0),"",ROUND(AD54/X54,4)))</f>
        <v>0</v>
      </c>
      <c r="AJ54" s="20">
        <f>IF(B54="","",ROUND(AD54+AG54+AH54,2))</f>
        <v>0</v>
      </c>
      <c r="AK54" s="33">
        <f>IF(B54="","",IFERROR(INDEX(Channels!$S$5:$S$18,MATCH(DefaultChannel,Channels!$A$5:$A$18,0)),0))</f>
        <v>0</v>
      </c>
      <c r="AL54" s="20">
        <f>IF(B54="","",IFERROR(INDEX(Channels!$T$5:$T$18,MATCH(DefaultChannel,Channels!$A$5:$A$18,0)),0))</f>
        <v>0</v>
      </c>
      <c r="AM54" s="41">
        <f>IF(B54="","",1-TargetRetailMargin-AK54)</f>
        <v>0</v>
      </c>
      <c r="AN54" s="20">
        <f>IF(B54="","",IF(AM54&lt;=0,"",(AJ54+AL54)/AM54))</f>
        <v>0</v>
      </c>
      <c r="AO54" s="20">
        <f>IF(B54="","",IF(AN54="","Check the settings",ROUND(IF(RoundingRule="None",AN54,IF(RoundingRule="Nearest 0.99",MAX(0.99,CEILING(AN54,1)-0.01),IF(RoundingRule="Nearest 0.95",MAX(0.95,CEILING(AN54,1)-0.05),IF(RoundingRule="Nearest 0.50",CEILING(AN54,0.5),IF(RoundingRule="Nearest 1",CEILING(AN54,1),IF(RoundingRule="Nearest 5",CEILING(AN54,5),IF(RoundingRule="Up to whole 1",CEILING(AN54,1),IF(RoundingRule="Up to whole 5",CEILING(AN54,5),ROUND(AN54,2))))))))),2)))</f>
        <v>0</v>
      </c>
      <c r="AP54" s="20">
        <f>IF(B54="","",IF(S54&lt;&gt;"",S54,IF(ISNUMBER(AO54),AO54,"")))</f>
        <v>0</v>
      </c>
      <c r="AQ54" s="20">
        <f>IF(B54="","",IF(AP54="","",ROUND(AP54-AJ54-(AP54*AK54+AL54),2)))</f>
        <v>0</v>
      </c>
      <c r="AR54" s="33">
        <f>IF(B54="","",IF(OR(AP54="",AP54=0),"",AQ54/AP54))</f>
        <v>0</v>
      </c>
      <c r="AS54" s="41">
        <f>IF(B54="","",ROUND(AE54/60,3))</f>
        <v>0</v>
      </c>
      <c r="AT54" s="20">
        <f>IF(B54="","",IF(OR(AS54=0,AS54="",AQ54=""),"",ROUND((AQ54+AG54)/AS54,2)))</f>
        <v>0</v>
      </c>
      <c r="AU54" s="43">
        <f>IF(B54="","",IF(AND(A54&lt;&gt;"",ISERROR(MATCH(A54,Products!$A$5:$A$304,0))),"Check - no such product ID",IF(AD54=0,"Add - no material cost yet",IF(AE54=0,"Add - how long does it take?",IF(AND(A54&lt;&gt;"",COUNTIFS('Material Usage'!$A$5:$A$904,A54)&gt;0),"Check - this product also has a bill of materials",IF(AND(A54&lt;&gt;"",COUNTIFS(Labor!$A$5:$A$304,A54)&gt;0),"Check - this product also has labour lines",IF(AT54&lt;MinimumWage,"Below - pays under minimum wage","OK")))))) )</f>
        <v>0</v>
      </c>
    </row>
    <row r="55" spans="21:47">
      <c r="U55" s="41">
        <f>IF(B55="","",IFERROR(INDEX(SizeMaterialFactors,MATCH(D55,SizeNames,0)),1))</f>
        <v>0</v>
      </c>
      <c r="V55" s="41">
        <f>IF(B55="","",IFERROR(INDEX(SizeTimeFactors,MATCH(D55,SizeNames,0)),1))</f>
        <v>0</v>
      </c>
      <c r="W55" s="33">
        <f>IF(B55="","",IF(K55="",DefaultWaste,K55))</f>
        <v>0</v>
      </c>
      <c r="X55" s="36">
        <f>IF(B55="","",ROUND((IF(H55="",0,H55)+IF(J55="",0,J55))*U55*(1+W55),1))</f>
        <v>0</v>
      </c>
      <c r="Y55" s="20">
        <f>IF(B55="","",ROUND(IF(H55="",0,H55)*U55*(1+W55)*IFERROR(INDEX(Materials!$V$5:$V$254,MATCH(G55,Materials!$A$5:$A$254,0)),0),2))</f>
        <v>0</v>
      </c>
      <c r="Z55" s="20">
        <f>IF(B55="","",ROUND(IF(J55="",0,J55)*U55*(1+W55)*IFERROR(INDEX(Materials!$V$5:$V$254,MATCH(I55,Materials!$A$5:$A$254,0)),0),2))</f>
        <v>0</v>
      </c>
      <c r="AA55" s="36">
        <f>IF(B55="","",IF(IFERROR(INDEX(Materials!$G$5:$G$254,MATCH(G55,Materials!$A$5:$A$254,0)),0)=0,"",ROUNDUP(IF(H55="",0,H55)*U55*(1+W55)/(IFERROR(INDEX(Materials!$G$5:$G$254,MATCH(G55,Materials!$A$5:$A$254,0)),0)*IFERROR(INDEX(Materials!$U$5:$U$254,MATCH(G55,Materials!$A$5:$A$254,0)),1)),0)))</f>
        <v>0</v>
      </c>
      <c r="AB55" s="36">
        <f>IF(B55="","",IF(AA55="","",ROUND(AA55*IFERROR(INDEX(Materials!$G$5:$G$254,MATCH(G55,Materials!$A$5:$A$254,0)),0)*IFERROR(INDEX(Materials!$U$5:$U$254,MATCH(G55,Materials!$A$5:$A$254,0)),1)-IF(H55="",0,H55)*U55*(1+W55),1)))</f>
        <v>0</v>
      </c>
      <c r="AC55" s="20">
        <f>IF(B55="","",IF(N55="",0,ROUND(N55/MAX(1,IF(O55="",1,O55)),2)))</f>
        <v>0</v>
      </c>
      <c r="AD55" s="20">
        <f>IF(B55="","",ROUND(Y55+Z55+IF(L55="",0,L55)+IF(M55="",0,M55)+AC55,2))</f>
        <v>0</v>
      </c>
      <c r="AE55" s="36">
        <f>IF(B55="","",ROUND((IF(P55="",0,P55)*60+IF(Q55="",0,Q55))*V55,1))</f>
        <v>0</v>
      </c>
      <c r="AF55" s="20">
        <f>IF(B55="","",IF(R55&lt;&gt;"",R55,LaborCostHour))</f>
        <v>0</v>
      </c>
      <c r="AG55" s="20">
        <f>IF(B55="","",ROUND(AE55/60*AF55,2))</f>
        <v>0</v>
      </c>
      <c r="AH55" s="20">
        <f>IF(B55="","",ROUND(AE55/60*SuppliesPerHour,2))</f>
        <v>0</v>
      </c>
      <c r="AI55" s="45">
        <f>IF(B55="","",IF(OR(X55="",X55=0),"",ROUND(AD55/X55,4)))</f>
        <v>0</v>
      </c>
      <c r="AJ55" s="20">
        <f>IF(B55="","",ROUND(AD55+AG55+AH55,2))</f>
        <v>0</v>
      </c>
      <c r="AK55" s="33">
        <f>IF(B55="","",IFERROR(INDEX(Channels!$S$5:$S$18,MATCH(DefaultChannel,Channels!$A$5:$A$18,0)),0))</f>
        <v>0</v>
      </c>
      <c r="AL55" s="20">
        <f>IF(B55="","",IFERROR(INDEX(Channels!$T$5:$T$18,MATCH(DefaultChannel,Channels!$A$5:$A$18,0)),0))</f>
        <v>0</v>
      </c>
      <c r="AM55" s="41">
        <f>IF(B55="","",1-TargetRetailMargin-AK55)</f>
        <v>0</v>
      </c>
      <c r="AN55" s="20">
        <f>IF(B55="","",IF(AM55&lt;=0,"",(AJ55+AL55)/AM55))</f>
        <v>0</v>
      </c>
      <c r="AO55" s="20">
        <f>IF(B55="","",IF(AN55="","Check the settings",ROUND(IF(RoundingRule="None",AN55,IF(RoundingRule="Nearest 0.99",MAX(0.99,CEILING(AN55,1)-0.01),IF(RoundingRule="Nearest 0.95",MAX(0.95,CEILING(AN55,1)-0.05),IF(RoundingRule="Nearest 0.50",CEILING(AN55,0.5),IF(RoundingRule="Nearest 1",CEILING(AN55,1),IF(RoundingRule="Nearest 5",CEILING(AN55,5),IF(RoundingRule="Up to whole 1",CEILING(AN55,1),IF(RoundingRule="Up to whole 5",CEILING(AN55,5),ROUND(AN55,2))))))))),2)))</f>
        <v>0</v>
      </c>
      <c r="AP55" s="20">
        <f>IF(B55="","",IF(S55&lt;&gt;"",S55,IF(ISNUMBER(AO55),AO55,"")))</f>
        <v>0</v>
      </c>
      <c r="AQ55" s="20">
        <f>IF(B55="","",IF(AP55="","",ROUND(AP55-AJ55-(AP55*AK55+AL55),2)))</f>
        <v>0</v>
      </c>
      <c r="AR55" s="33">
        <f>IF(B55="","",IF(OR(AP55="",AP55=0),"",AQ55/AP55))</f>
        <v>0</v>
      </c>
      <c r="AS55" s="41">
        <f>IF(B55="","",ROUND(AE55/60,3))</f>
        <v>0</v>
      </c>
      <c r="AT55" s="20">
        <f>IF(B55="","",IF(OR(AS55=0,AS55="",AQ55=""),"",ROUND((AQ55+AG55)/AS55,2)))</f>
        <v>0</v>
      </c>
      <c r="AU55" s="43">
        <f>IF(B55="","",IF(AND(A55&lt;&gt;"",ISERROR(MATCH(A55,Products!$A$5:$A$304,0))),"Check - no such product ID",IF(AD55=0,"Add - no material cost yet",IF(AE55=0,"Add - how long does it take?",IF(AND(A55&lt;&gt;"",COUNTIFS('Material Usage'!$A$5:$A$904,A55)&gt;0),"Check - this product also has a bill of materials",IF(AND(A55&lt;&gt;"",COUNTIFS(Labor!$A$5:$A$304,A55)&gt;0),"Check - this product also has labour lines",IF(AT55&lt;MinimumWage,"Below - pays under minimum wage","OK")))))) )</f>
        <v>0</v>
      </c>
    </row>
    <row r="56" spans="21:47">
      <c r="U56" s="41">
        <f>IF(B56="","",IFERROR(INDEX(SizeMaterialFactors,MATCH(D56,SizeNames,0)),1))</f>
        <v>0</v>
      </c>
      <c r="V56" s="41">
        <f>IF(B56="","",IFERROR(INDEX(SizeTimeFactors,MATCH(D56,SizeNames,0)),1))</f>
        <v>0</v>
      </c>
      <c r="W56" s="33">
        <f>IF(B56="","",IF(K56="",DefaultWaste,K56))</f>
        <v>0</v>
      </c>
      <c r="X56" s="36">
        <f>IF(B56="","",ROUND((IF(H56="",0,H56)+IF(J56="",0,J56))*U56*(1+W56),1))</f>
        <v>0</v>
      </c>
      <c r="Y56" s="20">
        <f>IF(B56="","",ROUND(IF(H56="",0,H56)*U56*(1+W56)*IFERROR(INDEX(Materials!$V$5:$V$254,MATCH(G56,Materials!$A$5:$A$254,0)),0),2))</f>
        <v>0</v>
      </c>
      <c r="Z56" s="20">
        <f>IF(B56="","",ROUND(IF(J56="",0,J56)*U56*(1+W56)*IFERROR(INDEX(Materials!$V$5:$V$254,MATCH(I56,Materials!$A$5:$A$254,0)),0),2))</f>
        <v>0</v>
      </c>
      <c r="AA56" s="36">
        <f>IF(B56="","",IF(IFERROR(INDEX(Materials!$G$5:$G$254,MATCH(G56,Materials!$A$5:$A$254,0)),0)=0,"",ROUNDUP(IF(H56="",0,H56)*U56*(1+W56)/(IFERROR(INDEX(Materials!$G$5:$G$254,MATCH(G56,Materials!$A$5:$A$254,0)),0)*IFERROR(INDEX(Materials!$U$5:$U$254,MATCH(G56,Materials!$A$5:$A$254,0)),1)),0)))</f>
        <v>0</v>
      </c>
      <c r="AB56" s="36">
        <f>IF(B56="","",IF(AA56="","",ROUND(AA56*IFERROR(INDEX(Materials!$G$5:$G$254,MATCH(G56,Materials!$A$5:$A$254,0)),0)*IFERROR(INDEX(Materials!$U$5:$U$254,MATCH(G56,Materials!$A$5:$A$254,0)),1)-IF(H56="",0,H56)*U56*(1+W56),1)))</f>
        <v>0</v>
      </c>
      <c r="AC56" s="20">
        <f>IF(B56="","",IF(N56="",0,ROUND(N56/MAX(1,IF(O56="",1,O56)),2)))</f>
        <v>0</v>
      </c>
      <c r="AD56" s="20">
        <f>IF(B56="","",ROUND(Y56+Z56+IF(L56="",0,L56)+IF(M56="",0,M56)+AC56,2))</f>
        <v>0</v>
      </c>
      <c r="AE56" s="36">
        <f>IF(B56="","",ROUND((IF(P56="",0,P56)*60+IF(Q56="",0,Q56))*V56,1))</f>
        <v>0</v>
      </c>
      <c r="AF56" s="20">
        <f>IF(B56="","",IF(R56&lt;&gt;"",R56,LaborCostHour))</f>
        <v>0</v>
      </c>
      <c r="AG56" s="20">
        <f>IF(B56="","",ROUND(AE56/60*AF56,2))</f>
        <v>0</v>
      </c>
      <c r="AH56" s="20">
        <f>IF(B56="","",ROUND(AE56/60*SuppliesPerHour,2))</f>
        <v>0</v>
      </c>
      <c r="AI56" s="45">
        <f>IF(B56="","",IF(OR(X56="",X56=0),"",ROUND(AD56/X56,4)))</f>
        <v>0</v>
      </c>
      <c r="AJ56" s="20">
        <f>IF(B56="","",ROUND(AD56+AG56+AH56,2))</f>
        <v>0</v>
      </c>
      <c r="AK56" s="33">
        <f>IF(B56="","",IFERROR(INDEX(Channels!$S$5:$S$18,MATCH(DefaultChannel,Channels!$A$5:$A$18,0)),0))</f>
        <v>0</v>
      </c>
      <c r="AL56" s="20">
        <f>IF(B56="","",IFERROR(INDEX(Channels!$T$5:$T$18,MATCH(DefaultChannel,Channels!$A$5:$A$18,0)),0))</f>
        <v>0</v>
      </c>
      <c r="AM56" s="41">
        <f>IF(B56="","",1-TargetRetailMargin-AK56)</f>
        <v>0</v>
      </c>
      <c r="AN56" s="20">
        <f>IF(B56="","",IF(AM56&lt;=0,"",(AJ56+AL56)/AM56))</f>
        <v>0</v>
      </c>
      <c r="AO56" s="20">
        <f>IF(B56="","",IF(AN56="","Check the settings",ROUND(IF(RoundingRule="None",AN56,IF(RoundingRule="Nearest 0.99",MAX(0.99,CEILING(AN56,1)-0.01),IF(RoundingRule="Nearest 0.95",MAX(0.95,CEILING(AN56,1)-0.05),IF(RoundingRule="Nearest 0.50",CEILING(AN56,0.5),IF(RoundingRule="Nearest 1",CEILING(AN56,1),IF(RoundingRule="Nearest 5",CEILING(AN56,5),IF(RoundingRule="Up to whole 1",CEILING(AN56,1),IF(RoundingRule="Up to whole 5",CEILING(AN56,5),ROUND(AN56,2))))))))),2)))</f>
        <v>0</v>
      </c>
      <c r="AP56" s="20">
        <f>IF(B56="","",IF(S56&lt;&gt;"",S56,IF(ISNUMBER(AO56),AO56,"")))</f>
        <v>0</v>
      </c>
      <c r="AQ56" s="20">
        <f>IF(B56="","",IF(AP56="","",ROUND(AP56-AJ56-(AP56*AK56+AL56),2)))</f>
        <v>0</v>
      </c>
      <c r="AR56" s="33">
        <f>IF(B56="","",IF(OR(AP56="",AP56=0),"",AQ56/AP56))</f>
        <v>0</v>
      </c>
      <c r="AS56" s="41">
        <f>IF(B56="","",ROUND(AE56/60,3))</f>
        <v>0</v>
      </c>
      <c r="AT56" s="20">
        <f>IF(B56="","",IF(OR(AS56=0,AS56="",AQ56=""),"",ROUND((AQ56+AG56)/AS56,2)))</f>
        <v>0</v>
      </c>
      <c r="AU56" s="43">
        <f>IF(B56="","",IF(AND(A56&lt;&gt;"",ISERROR(MATCH(A56,Products!$A$5:$A$304,0))),"Check - no such product ID",IF(AD56=0,"Add - no material cost yet",IF(AE56=0,"Add - how long does it take?",IF(AND(A56&lt;&gt;"",COUNTIFS('Material Usage'!$A$5:$A$904,A56)&gt;0),"Check - this product also has a bill of materials",IF(AND(A56&lt;&gt;"",COUNTIFS(Labor!$A$5:$A$304,A56)&gt;0),"Check - this product also has labour lines",IF(AT56&lt;MinimumWage,"Below - pays under minimum wage","OK")))))) )</f>
        <v>0</v>
      </c>
    </row>
    <row r="57" spans="21:47">
      <c r="U57" s="41">
        <f>IF(B57="","",IFERROR(INDEX(SizeMaterialFactors,MATCH(D57,SizeNames,0)),1))</f>
        <v>0</v>
      </c>
      <c r="V57" s="41">
        <f>IF(B57="","",IFERROR(INDEX(SizeTimeFactors,MATCH(D57,SizeNames,0)),1))</f>
        <v>0</v>
      </c>
      <c r="W57" s="33">
        <f>IF(B57="","",IF(K57="",DefaultWaste,K57))</f>
        <v>0</v>
      </c>
      <c r="X57" s="36">
        <f>IF(B57="","",ROUND((IF(H57="",0,H57)+IF(J57="",0,J57))*U57*(1+W57),1))</f>
        <v>0</v>
      </c>
      <c r="Y57" s="20">
        <f>IF(B57="","",ROUND(IF(H57="",0,H57)*U57*(1+W57)*IFERROR(INDEX(Materials!$V$5:$V$254,MATCH(G57,Materials!$A$5:$A$254,0)),0),2))</f>
        <v>0</v>
      </c>
      <c r="Z57" s="20">
        <f>IF(B57="","",ROUND(IF(J57="",0,J57)*U57*(1+W57)*IFERROR(INDEX(Materials!$V$5:$V$254,MATCH(I57,Materials!$A$5:$A$254,0)),0),2))</f>
        <v>0</v>
      </c>
      <c r="AA57" s="36">
        <f>IF(B57="","",IF(IFERROR(INDEX(Materials!$G$5:$G$254,MATCH(G57,Materials!$A$5:$A$254,0)),0)=0,"",ROUNDUP(IF(H57="",0,H57)*U57*(1+W57)/(IFERROR(INDEX(Materials!$G$5:$G$254,MATCH(G57,Materials!$A$5:$A$254,0)),0)*IFERROR(INDEX(Materials!$U$5:$U$254,MATCH(G57,Materials!$A$5:$A$254,0)),1)),0)))</f>
        <v>0</v>
      </c>
      <c r="AB57" s="36">
        <f>IF(B57="","",IF(AA57="","",ROUND(AA57*IFERROR(INDEX(Materials!$G$5:$G$254,MATCH(G57,Materials!$A$5:$A$254,0)),0)*IFERROR(INDEX(Materials!$U$5:$U$254,MATCH(G57,Materials!$A$5:$A$254,0)),1)-IF(H57="",0,H57)*U57*(1+W57),1)))</f>
        <v>0</v>
      </c>
      <c r="AC57" s="20">
        <f>IF(B57="","",IF(N57="",0,ROUND(N57/MAX(1,IF(O57="",1,O57)),2)))</f>
        <v>0</v>
      </c>
      <c r="AD57" s="20">
        <f>IF(B57="","",ROUND(Y57+Z57+IF(L57="",0,L57)+IF(M57="",0,M57)+AC57,2))</f>
        <v>0</v>
      </c>
      <c r="AE57" s="36">
        <f>IF(B57="","",ROUND((IF(P57="",0,P57)*60+IF(Q57="",0,Q57))*V57,1))</f>
        <v>0</v>
      </c>
      <c r="AF57" s="20">
        <f>IF(B57="","",IF(R57&lt;&gt;"",R57,LaborCostHour))</f>
        <v>0</v>
      </c>
      <c r="AG57" s="20">
        <f>IF(B57="","",ROUND(AE57/60*AF57,2))</f>
        <v>0</v>
      </c>
      <c r="AH57" s="20">
        <f>IF(B57="","",ROUND(AE57/60*SuppliesPerHour,2))</f>
        <v>0</v>
      </c>
      <c r="AI57" s="45">
        <f>IF(B57="","",IF(OR(X57="",X57=0),"",ROUND(AD57/X57,4)))</f>
        <v>0</v>
      </c>
      <c r="AJ57" s="20">
        <f>IF(B57="","",ROUND(AD57+AG57+AH57,2))</f>
        <v>0</v>
      </c>
      <c r="AK57" s="33">
        <f>IF(B57="","",IFERROR(INDEX(Channels!$S$5:$S$18,MATCH(DefaultChannel,Channels!$A$5:$A$18,0)),0))</f>
        <v>0</v>
      </c>
      <c r="AL57" s="20">
        <f>IF(B57="","",IFERROR(INDEX(Channels!$T$5:$T$18,MATCH(DefaultChannel,Channels!$A$5:$A$18,0)),0))</f>
        <v>0</v>
      </c>
      <c r="AM57" s="41">
        <f>IF(B57="","",1-TargetRetailMargin-AK57)</f>
        <v>0</v>
      </c>
      <c r="AN57" s="20">
        <f>IF(B57="","",IF(AM57&lt;=0,"",(AJ57+AL57)/AM57))</f>
        <v>0</v>
      </c>
      <c r="AO57" s="20">
        <f>IF(B57="","",IF(AN57="","Check the settings",ROUND(IF(RoundingRule="None",AN57,IF(RoundingRule="Nearest 0.99",MAX(0.99,CEILING(AN57,1)-0.01),IF(RoundingRule="Nearest 0.95",MAX(0.95,CEILING(AN57,1)-0.05),IF(RoundingRule="Nearest 0.50",CEILING(AN57,0.5),IF(RoundingRule="Nearest 1",CEILING(AN57,1),IF(RoundingRule="Nearest 5",CEILING(AN57,5),IF(RoundingRule="Up to whole 1",CEILING(AN57,1),IF(RoundingRule="Up to whole 5",CEILING(AN57,5),ROUND(AN57,2))))))))),2)))</f>
        <v>0</v>
      </c>
      <c r="AP57" s="20">
        <f>IF(B57="","",IF(S57&lt;&gt;"",S57,IF(ISNUMBER(AO57),AO57,"")))</f>
        <v>0</v>
      </c>
      <c r="AQ57" s="20">
        <f>IF(B57="","",IF(AP57="","",ROUND(AP57-AJ57-(AP57*AK57+AL57),2)))</f>
        <v>0</v>
      </c>
      <c r="AR57" s="33">
        <f>IF(B57="","",IF(OR(AP57="",AP57=0),"",AQ57/AP57))</f>
        <v>0</v>
      </c>
      <c r="AS57" s="41">
        <f>IF(B57="","",ROUND(AE57/60,3))</f>
        <v>0</v>
      </c>
      <c r="AT57" s="20">
        <f>IF(B57="","",IF(OR(AS57=0,AS57="",AQ57=""),"",ROUND((AQ57+AG57)/AS57,2)))</f>
        <v>0</v>
      </c>
      <c r="AU57" s="43">
        <f>IF(B57="","",IF(AND(A57&lt;&gt;"",ISERROR(MATCH(A57,Products!$A$5:$A$304,0))),"Check - no such product ID",IF(AD57=0,"Add - no material cost yet",IF(AE57=0,"Add - how long does it take?",IF(AND(A57&lt;&gt;"",COUNTIFS('Material Usage'!$A$5:$A$904,A57)&gt;0),"Check - this product also has a bill of materials",IF(AND(A57&lt;&gt;"",COUNTIFS(Labor!$A$5:$A$304,A57)&gt;0),"Check - this product also has labour lines",IF(AT57&lt;MinimumWage,"Below - pays under minimum wage","OK")))))) )</f>
        <v>0</v>
      </c>
    </row>
    <row r="58" spans="21:47">
      <c r="U58" s="41">
        <f>IF(B58="","",IFERROR(INDEX(SizeMaterialFactors,MATCH(D58,SizeNames,0)),1))</f>
        <v>0</v>
      </c>
      <c r="V58" s="41">
        <f>IF(B58="","",IFERROR(INDEX(SizeTimeFactors,MATCH(D58,SizeNames,0)),1))</f>
        <v>0</v>
      </c>
      <c r="W58" s="33">
        <f>IF(B58="","",IF(K58="",DefaultWaste,K58))</f>
        <v>0</v>
      </c>
      <c r="X58" s="36">
        <f>IF(B58="","",ROUND((IF(H58="",0,H58)+IF(J58="",0,J58))*U58*(1+W58),1))</f>
        <v>0</v>
      </c>
      <c r="Y58" s="20">
        <f>IF(B58="","",ROUND(IF(H58="",0,H58)*U58*(1+W58)*IFERROR(INDEX(Materials!$V$5:$V$254,MATCH(G58,Materials!$A$5:$A$254,0)),0),2))</f>
        <v>0</v>
      </c>
      <c r="Z58" s="20">
        <f>IF(B58="","",ROUND(IF(J58="",0,J58)*U58*(1+W58)*IFERROR(INDEX(Materials!$V$5:$V$254,MATCH(I58,Materials!$A$5:$A$254,0)),0),2))</f>
        <v>0</v>
      </c>
      <c r="AA58" s="36">
        <f>IF(B58="","",IF(IFERROR(INDEX(Materials!$G$5:$G$254,MATCH(G58,Materials!$A$5:$A$254,0)),0)=0,"",ROUNDUP(IF(H58="",0,H58)*U58*(1+W58)/(IFERROR(INDEX(Materials!$G$5:$G$254,MATCH(G58,Materials!$A$5:$A$254,0)),0)*IFERROR(INDEX(Materials!$U$5:$U$254,MATCH(G58,Materials!$A$5:$A$254,0)),1)),0)))</f>
        <v>0</v>
      </c>
      <c r="AB58" s="36">
        <f>IF(B58="","",IF(AA58="","",ROUND(AA58*IFERROR(INDEX(Materials!$G$5:$G$254,MATCH(G58,Materials!$A$5:$A$254,0)),0)*IFERROR(INDEX(Materials!$U$5:$U$254,MATCH(G58,Materials!$A$5:$A$254,0)),1)-IF(H58="",0,H58)*U58*(1+W58),1)))</f>
        <v>0</v>
      </c>
      <c r="AC58" s="20">
        <f>IF(B58="","",IF(N58="",0,ROUND(N58/MAX(1,IF(O58="",1,O58)),2)))</f>
        <v>0</v>
      </c>
      <c r="AD58" s="20">
        <f>IF(B58="","",ROUND(Y58+Z58+IF(L58="",0,L58)+IF(M58="",0,M58)+AC58,2))</f>
        <v>0</v>
      </c>
      <c r="AE58" s="36">
        <f>IF(B58="","",ROUND((IF(P58="",0,P58)*60+IF(Q58="",0,Q58))*V58,1))</f>
        <v>0</v>
      </c>
      <c r="AF58" s="20">
        <f>IF(B58="","",IF(R58&lt;&gt;"",R58,LaborCostHour))</f>
        <v>0</v>
      </c>
      <c r="AG58" s="20">
        <f>IF(B58="","",ROUND(AE58/60*AF58,2))</f>
        <v>0</v>
      </c>
      <c r="AH58" s="20">
        <f>IF(B58="","",ROUND(AE58/60*SuppliesPerHour,2))</f>
        <v>0</v>
      </c>
      <c r="AI58" s="45">
        <f>IF(B58="","",IF(OR(X58="",X58=0),"",ROUND(AD58/X58,4)))</f>
        <v>0</v>
      </c>
      <c r="AJ58" s="20">
        <f>IF(B58="","",ROUND(AD58+AG58+AH58,2))</f>
        <v>0</v>
      </c>
      <c r="AK58" s="33">
        <f>IF(B58="","",IFERROR(INDEX(Channels!$S$5:$S$18,MATCH(DefaultChannel,Channels!$A$5:$A$18,0)),0))</f>
        <v>0</v>
      </c>
      <c r="AL58" s="20">
        <f>IF(B58="","",IFERROR(INDEX(Channels!$T$5:$T$18,MATCH(DefaultChannel,Channels!$A$5:$A$18,0)),0))</f>
        <v>0</v>
      </c>
      <c r="AM58" s="41">
        <f>IF(B58="","",1-TargetRetailMargin-AK58)</f>
        <v>0</v>
      </c>
      <c r="AN58" s="20">
        <f>IF(B58="","",IF(AM58&lt;=0,"",(AJ58+AL58)/AM58))</f>
        <v>0</v>
      </c>
      <c r="AO58" s="20">
        <f>IF(B58="","",IF(AN58="","Check the settings",ROUND(IF(RoundingRule="None",AN58,IF(RoundingRule="Nearest 0.99",MAX(0.99,CEILING(AN58,1)-0.01),IF(RoundingRule="Nearest 0.95",MAX(0.95,CEILING(AN58,1)-0.05),IF(RoundingRule="Nearest 0.50",CEILING(AN58,0.5),IF(RoundingRule="Nearest 1",CEILING(AN58,1),IF(RoundingRule="Nearest 5",CEILING(AN58,5),IF(RoundingRule="Up to whole 1",CEILING(AN58,1),IF(RoundingRule="Up to whole 5",CEILING(AN58,5),ROUND(AN58,2))))))))),2)))</f>
        <v>0</v>
      </c>
      <c r="AP58" s="20">
        <f>IF(B58="","",IF(S58&lt;&gt;"",S58,IF(ISNUMBER(AO58),AO58,"")))</f>
        <v>0</v>
      </c>
      <c r="AQ58" s="20">
        <f>IF(B58="","",IF(AP58="","",ROUND(AP58-AJ58-(AP58*AK58+AL58),2)))</f>
        <v>0</v>
      </c>
      <c r="AR58" s="33">
        <f>IF(B58="","",IF(OR(AP58="",AP58=0),"",AQ58/AP58))</f>
        <v>0</v>
      </c>
      <c r="AS58" s="41">
        <f>IF(B58="","",ROUND(AE58/60,3))</f>
        <v>0</v>
      </c>
      <c r="AT58" s="20">
        <f>IF(B58="","",IF(OR(AS58=0,AS58="",AQ58=""),"",ROUND((AQ58+AG58)/AS58,2)))</f>
        <v>0</v>
      </c>
      <c r="AU58" s="43">
        <f>IF(B58="","",IF(AND(A58&lt;&gt;"",ISERROR(MATCH(A58,Products!$A$5:$A$304,0))),"Check - no such product ID",IF(AD58=0,"Add - no material cost yet",IF(AE58=0,"Add - how long does it take?",IF(AND(A58&lt;&gt;"",COUNTIFS('Material Usage'!$A$5:$A$904,A58)&gt;0),"Check - this product also has a bill of materials",IF(AND(A58&lt;&gt;"",COUNTIFS(Labor!$A$5:$A$304,A58)&gt;0),"Check - this product also has labour lines",IF(AT58&lt;MinimumWage,"Below - pays under minimum wage","OK")))))) )</f>
        <v>0</v>
      </c>
    </row>
    <row r="59" spans="21:47">
      <c r="U59" s="41">
        <f>IF(B59="","",IFERROR(INDEX(SizeMaterialFactors,MATCH(D59,SizeNames,0)),1))</f>
        <v>0</v>
      </c>
      <c r="V59" s="41">
        <f>IF(B59="","",IFERROR(INDEX(SizeTimeFactors,MATCH(D59,SizeNames,0)),1))</f>
        <v>0</v>
      </c>
      <c r="W59" s="33">
        <f>IF(B59="","",IF(K59="",DefaultWaste,K59))</f>
        <v>0</v>
      </c>
      <c r="X59" s="36">
        <f>IF(B59="","",ROUND((IF(H59="",0,H59)+IF(J59="",0,J59))*U59*(1+W59),1))</f>
        <v>0</v>
      </c>
      <c r="Y59" s="20">
        <f>IF(B59="","",ROUND(IF(H59="",0,H59)*U59*(1+W59)*IFERROR(INDEX(Materials!$V$5:$V$254,MATCH(G59,Materials!$A$5:$A$254,0)),0),2))</f>
        <v>0</v>
      </c>
      <c r="Z59" s="20">
        <f>IF(B59="","",ROUND(IF(J59="",0,J59)*U59*(1+W59)*IFERROR(INDEX(Materials!$V$5:$V$254,MATCH(I59,Materials!$A$5:$A$254,0)),0),2))</f>
        <v>0</v>
      </c>
      <c r="AA59" s="36">
        <f>IF(B59="","",IF(IFERROR(INDEX(Materials!$G$5:$G$254,MATCH(G59,Materials!$A$5:$A$254,0)),0)=0,"",ROUNDUP(IF(H59="",0,H59)*U59*(1+W59)/(IFERROR(INDEX(Materials!$G$5:$G$254,MATCH(G59,Materials!$A$5:$A$254,0)),0)*IFERROR(INDEX(Materials!$U$5:$U$254,MATCH(G59,Materials!$A$5:$A$254,0)),1)),0)))</f>
        <v>0</v>
      </c>
      <c r="AB59" s="36">
        <f>IF(B59="","",IF(AA59="","",ROUND(AA59*IFERROR(INDEX(Materials!$G$5:$G$254,MATCH(G59,Materials!$A$5:$A$254,0)),0)*IFERROR(INDEX(Materials!$U$5:$U$254,MATCH(G59,Materials!$A$5:$A$254,0)),1)-IF(H59="",0,H59)*U59*(1+W59),1)))</f>
        <v>0</v>
      </c>
      <c r="AC59" s="20">
        <f>IF(B59="","",IF(N59="",0,ROUND(N59/MAX(1,IF(O59="",1,O59)),2)))</f>
        <v>0</v>
      </c>
      <c r="AD59" s="20">
        <f>IF(B59="","",ROUND(Y59+Z59+IF(L59="",0,L59)+IF(M59="",0,M59)+AC59,2))</f>
        <v>0</v>
      </c>
      <c r="AE59" s="36">
        <f>IF(B59="","",ROUND((IF(P59="",0,P59)*60+IF(Q59="",0,Q59))*V59,1))</f>
        <v>0</v>
      </c>
      <c r="AF59" s="20">
        <f>IF(B59="","",IF(R59&lt;&gt;"",R59,LaborCostHour))</f>
        <v>0</v>
      </c>
      <c r="AG59" s="20">
        <f>IF(B59="","",ROUND(AE59/60*AF59,2))</f>
        <v>0</v>
      </c>
      <c r="AH59" s="20">
        <f>IF(B59="","",ROUND(AE59/60*SuppliesPerHour,2))</f>
        <v>0</v>
      </c>
      <c r="AI59" s="45">
        <f>IF(B59="","",IF(OR(X59="",X59=0),"",ROUND(AD59/X59,4)))</f>
        <v>0</v>
      </c>
      <c r="AJ59" s="20">
        <f>IF(B59="","",ROUND(AD59+AG59+AH59,2))</f>
        <v>0</v>
      </c>
      <c r="AK59" s="33">
        <f>IF(B59="","",IFERROR(INDEX(Channels!$S$5:$S$18,MATCH(DefaultChannel,Channels!$A$5:$A$18,0)),0))</f>
        <v>0</v>
      </c>
      <c r="AL59" s="20">
        <f>IF(B59="","",IFERROR(INDEX(Channels!$T$5:$T$18,MATCH(DefaultChannel,Channels!$A$5:$A$18,0)),0))</f>
        <v>0</v>
      </c>
      <c r="AM59" s="41">
        <f>IF(B59="","",1-TargetRetailMargin-AK59)</f>
        <v>0</v>
      </c>
      <c r="AN59" s="20">
        <f>IF(B59="","",IF(AM59&lt;=0,"",(AJ59+AL59)/AM59))</f>
        <v>0</v>
      </c>
      <c r="AO59" s="20">
        <f>IF(B59="","",IF(AN59="","Check the settings",ROUND(IF(RoundingRule="None",AN59,IF(RoundingRule="Nearest 0.99",MAX(0.99,CEILING(AN59,1)-0.01),IF(RoundingRule="Nearest 0.95",MAX(0.95,CEILING(AN59,1)-0.05),IF(RoundingRule="Nearest 0.50",CEILING(AN59,0.5),IF(RoundingRule="Nearest 1",CEILING(AN59,1),IF(RoundingRule="Nearest 5",CEILING(AN59,5),IF(RoundingRule="Up to whole 1",CEILING(AN59,1),IF(RoundingRule="Up to whole 5",CEILING(AN59,5),ROUND(AN59,2))))))))),2)))</f>
        <v>0</v>
      </c>
      <c r="AP59" s="20">
        <f>IF(B59="","",IF(S59&lt;&gt;"",S59,IF(ISNUMBER(AO59),AO59,"")))</f>
        <v>0</v>
      </c>
      <c r="AQ59" s="20">
        <f>IF(B59="","",IF(AP59="","",ROUND(AP59-AJ59-(AP59*AK59+AL59),2)))</f>
        <v>0</v>
      </c>
      <c r="AR59" s="33">
        <f>IF(B59="","",IF(OR(AP59="",AP59=0),"",AQ59/AP59))</f>
        <v>0</v>
      </c>
      <c r="AS59" s="41">
        <f>IF(B59="","",ROUND(AE59/60,3))</f>
        <v>0</v>
      </c>
      <c r="AT59" s="20">
        <f>IF(B59="","",IF(OR(AS59=0,AS59="",AQ59=""),"",ROUND((AQ59+AG59)/AS59,2)))</f>
        <v>0</v>
      </c>
      <c r="AU59" s="43">
        <f>IF(B59="","",IF(AND(A59&lt;&gt;"",ISERROR(MATCH(A59,Products!$A$5:$A$304,0))),"Check - no such product ID",IF(AD59=0,"Add - no material cost yet",IF(AE59=0,"Add - how long does it take?",IF(AND(A59&lt;&gt;"",COUNTIFS('Material Usage'!$A$5:$A$904,A59)&gt;0),"Check - this product also has a bill of materials",IF(AND(A59&lt;&gt;"",COUNTIFS(Labor!$A$5:$A$304,A59)&gt;0),"Check - this product also has labour lines",IF(AT59&lt;MinimumWage,"Below - pays under minimum wage","OK")))))) )</f>
        <v>0</v>
      </c>
    </row>
    <row r="60" spans="21:47">
      <c r="U60" s="41">
        <f>IF(B60="","",IFERROR(INDEX(SizeMaterialFactors,MATCH(D60,SizeNames,0)),1))</f>
        <v>0</v>
      </c>
      <c r="V60" s="41">
        <f>IF(B60="","",IFERROR(INDEX(SizeTimeFactors,MATCH(D60,SizeNames,0)),1))</f>
        <v>0</v>
      </c>
      <c r="W60" s="33">
        <f>IF(B60="","",IF(K60="",DefaultWaste,K60))</f>
        <v>0</v>
      </c>
      <c r="X60" s="36">
        <f>IF(B60="","",ROUND((IF(H60="",0,H60)+IF(J60="",0,J60))*U60*(1+W60),1))</f>
        <v>0</v>
      </c>
      <c r="Y60" s="20">
        <f>IF(B60="","",ROUND(IF(H60="",0,H60)*U60*(1+W60)*IFERROR(INDEX(Materials!$V$5:$V$254,MATCH(G60,Materials!$A$5:$A$254,0)),0),2))</f>
        <v>0</v>
      </c>
      <c r="Z60" s="20">
        <f>IF(B60="","",ROUND(IF(J60="",0,J60)*U60*(1+W60)*IFERROR(INDEX(Materials!$V$5:$V$254,MATCH(I60,Materials!$A$5:$A$254,0)),0),2))</f>
        <v>0</v>
      </c>
      <c r="AA60" s="36">
        <f>IF(B60="","",IF(IFERROR(INDEX(Materials!$G$5:$G$254,MATCH(G60,Materials!$A$5:$A$254,0)),0)=0,"",ROUNDUP(IF(H60="",0,H60)*U60*(1+W60)/(IFERROR(INDEX(Materials!$G$5:$G$254,MATCH(G60,Materials!$A$5:$A$254,0)),0)*IFERROR(INDEX(Materials!$U$5:$U$254,MATCH(G60,Materials!$A$5:$A$254,0)),1)),0)))</f>
        <v>0</v>
      </c>
      <c r="AB60" s="36">
        <f>IF(B60="","",IF(AA60="","",ROUND(AA60*IFERROR(INDEX(Materials!$G$5:$G$254,MATCH(G60,Materials!$A$5:$A$254,0)),0)*IFERROR(INDEX(Materials!$U$5:$U$254,MATCH(G60,Materials!$A$5:$A$254,0)),1)-IF(H60="",0,H60)*U60*(1+W60),1)))</f>
        <v>0</v>
      </c>
      <c r="AC60" s="20">
        <f>IF(B60="","",IF(N60="",0,ROUND(N60/MAX(1,IF(O60="",1,O60)),2)))</f>
        <v>0</v>
      </c>
      <c r="AD60" s="20">
        <f>IF(B60="","",ROUND(Y60+Z60+IF(L60="",0,L60)+IF(M60="",0,M60)+AC60,2))</f>
        <v>0</v>
      </c>
      <c r="AE60" s="36">
        <f>IF(B60="","",ROUND((IF(P60="",0,P60)*60+IF(Q60="",0,Q60))*V60,1))</f>
        <v>0</v>
      </c>
      <c r="AF60" s="20">
        <f>IF(B60="","",IF(R60&lt;&gt;"",R60,LaborCostHour))</f>
        <v>0</v>
      </c>
      <c r="AG60" s="20">
        <f>IF(B60="","",ROUND(AE60/60*AF60,2))</f>
        <v>0</v>
      </c>
      <c r="AH60" s="20">
        <f>IF(B60="","",ROUND(AE60/60*SuppliesPerHour,2))</f>
        <v>0</v>
      </c>
      <c r="AI60" s="45">
        <f>IF(B60="","",IF(OR(X60="",X60=0),"",ROUND(AD60/X60,4)))</f>
        <v>0</v>
      </c>
      <c r="AJ60" s="20">
        <f>IF(B60="","",ROUND(AD60+AG60+AH60,2))</f>
        <v>0</v>
      </c>
      <c r="AK60" s="33">
        <f>IF(B60="","",IFERROR(INDEX(Channels!$S$5:$S$18,MATCH(DefaultChannel,Channels!$A$5:$A$18,0)),0))</f>
        <v>0</v>
      </c>
      <c r="AL60" s="20">
        <f>IF(B60="","",IFERROR(INDEX(Channels!$T$5:$T$18,MATCH(DefaultChannel,Channels!$A$5:$A$18,0)),0))</f>
        <v>0</v>
      </c>
      <c r="AM60" s="41">
        <f>IF(B60="","",1-TargetRetailMargin-AK60)</f>
        <v>0</v>
      </c>
      <c r="AN60" s="20">
        <f>IF(B60="","",IF(AM60&lt;=0,"",(AJ60+AL60)/AM60))</f>
        <v>0</v>
      </c>
      <c r="AO60" s="20">
        <f>IF(B60="","",IF(AN60="","Check the settings",ROUND(IF(RoundingRule="None",AN60,IF(RoundingRule="Nearest 0.99",MAX(0.99,CEILING(AN60,1)-0.01),IF(RoundingRule="Nearest 0.95",MAX(0.95,CEILING(AN60,1)-0.05),IF(RoundingRule="Nearest 0.50",CEILING(AN60,0.5),IF(RoundingRule="Nearest 1",CEILING(AN60,1),IF(RoundingRule="Nearest 5",CEILING(AN60,5),IF(RoundingRule="Up to whole 1",CEILING(AN60,1),IF(RoundingRule="Up to whole 5",CEILING(AN60,5),ROUND(AN60,2))))))))),2)))</f>
        <v>0</v>
      </c>
      <c r="AP60" s="20">
        <f>IF(B60="","",IF(S60&lt;&gt;"",S60,IF(ISNUMBER(AO60),AO60,"")))</f>
        <v>0</v>
      </c>
      <c r="AQ60" s="20">
        <f>IF(B60="","",IF(AP60="","",ROUND(AP60-AJ60-(AP60*AK60+AL60),2)))</f>
        <v>0</v>
      </c>
      <c r="AR60" s="33">
        <f>IF(B60="","",IF(OR(AP60="",AP60=0),"",AQ60/AP60))</f>
        <v>0</v>
      </c>
      <c r="AS60" s="41">
        <f>IF(B60="","",ROUND(AE60/60,3))</f>
        <v>0</v>
      </c>
      <c r="AT60" s="20">
        <f>IF(B60="","",IF(OR(AS60=0,AS60="",AQ60=""),"",ROUND((AQ60+AG60)/AS60,2)))</f>
        <v>0</v>
      </c>
      <c r="AU60" s="43">
        <f>IF(B60="","",IF(AND(A60&lt;&gt;"",ISERROR(MATCH(A60,Products!$A$5:$A$304,0))),"Check - no such product ID",IF(AD60=0,"Add - no material cost yet",IF(AE60=0,"Add - how long does it take?",IF(AND(A60&lt;&gt;"",COUNTIFS('Material Usage'!$A$5:$A$904,A60)&gt;0),"Check - this product also has a bill of materials",IF(AND(A60&lt;&gt;"",COUNTIFS(Labor!$A$5:$A$304,A60)&gt;0),"Check - this product also has labour lines",IF(AT60&lt;MinimumWage,"Below - pays under minimum wage","OK")))))) )</f>
        <v>0</v>
      </c>
    </row>
    <row r="61" spans="21:47">
      <c r="U61" s="41">
        <f>IF(B61="","",IFERROR(INDEX(SizeMaterialFactors,MATCH(D61,SizeNames,0)),1))</f>
        <v>0</v>
      </c>
      <c r="V61" s="41">
        <f>IF(B61="","",IFERROR(INDEX(SizeTimeFactors,MATCH(D61,SizeNames,0)),1))</f>
        <v>0</v>
      </c>
      <c r="W61" s="33">
        <f>IF(B61="","",IF(K61="",DefaultWaste,K61))</f>
        <v>0</v>
      </c>
      <c r="X61" s="36">
        <f>IF(B61="","",ROUND((IF(H61="",0,H61)+IF(J61="",0,J61))*U61*(1+W61),1))</f>
        <v>0</v>
      </c>
      <c r="Y61" s="20">
        <f>IF(B61="","",ROUND(IF(H61="",0,H61)*U61*(1+W61)*IFERROR(INDEX(Materials!$V$5:$V$254,MATCH(G61,Materials!$A$5:$A$254,0)),0),2))</f>
        <v>0</v>
      </c>
      <c r="Z61" s="20">
        <f>IF(B61="","",ROUND(IF(J61="",0,J61)*U61*(1+W61)*IFERROR(INDEX(Materials!$V$5:$V$254,MATCH(I61,Materials!$A$5:$A$254,0)),0),2))</f>
        <v>0</v>
      </c>
      <c r="AA61" s="36">
        <f>IF(B61="","",IF(IFERROR(INDEX(Materials!$G$5:$G$254,MATCH(G61,Materials!$A$5:$A$254,0)),0)=0,"",ROUNDUP(IF(H61="",0,H61)*U61*(1+W61)/(IFERROR(INDEX(Materials!$G$5:$G$254,MATCH(G61,Materials!$A$5:$A$254,0)),0)*IFERROR(INDEX(Materials!$U$5:$U$254,MATCH(G61,Materials!$A$5:$A$254,0)),1)),0)))</f>
        <v>0</v>
      </c>
      <c r="AB61" s="36">
        <f>IF(B61="","",IF(AA61="","",ROUND(AA61*IFERROR(INDEX(Materials!$G$5:$G$254,MATCH(G61,Materials!$A$5:$A$254,0)),0)*IFERROR(INDEX(Materials!$U$5:$U$254,MATCH(G61,Materials!$A$5:$A$254,0)),1)-IF(H61="",0,H61)*U61*(1+W61),1)))</f>
        <v>0</v>
      </c>
      <c r="AC61" s="20">
        <f>IF(B61="","",IF(N61="",0,ROUND(N61/MAX(1,IF(O61="",1,O61)),2)))</f>
        <v>0</v>
      </c>
      <c r="AD61" s="20">
        <f>IF(B61="","",ROUND(Y61+Z61+IF(L61="",0,L61)+IF(M61="",0,M61)+AC61,2))</f>
        <v>0</v>
      </c>
      <c r="AE61" s="36">
        <f>IF(B61="","",ROUND((IF(P61="",0,P61)*60+IF(Q61="",0,Q61))*V61,1))</f>
        <v>0</v>
      </c>
      <c r="AF61" s="20">
        <f>IF(B61="","",IF(R61&lt;&gt;"",R61,LaborCostHour))</f>
        <v>0</v>
      </c>
      <c r="AG61" s="20">
        <f>IF(B61="","",ROUND(AE61/60*AF61,2))</f>
        <v>0</v>
      </c>
      <c r="AH61" s="20">
        <f>IF(B61="","",ROUND(AE61/60*SuppliesPerHour,2))</f>
        <v>0</v>
      </c>
      <c r="AI61" s="45">
        <f>IF(B61="","",IF(OR(X61="",X61=0),"",ROUND(AD61/X61,4)))</f>
        <v>0</v>
      </c>
      <c r="AJ61" s="20">
        <f>IF(B61="","",ROUND(AD61+AG61+AH61,2))</f>
        <v>0</v>
      </c>
      <c r="AK61" s="33">
        <f>IF(B61="","",IFERROR(INDEX(Channels!$S$5:$S$18,MATCH(DefaultChannel,Channels!$A$5:$A$18,0)),0))</f>
        <v>0</v>
      </c>
      <c r="AL61" s="20">
        <f>IF(B61="","",IFERROR(INDEX(Channels!$T$5:$T$18,MATCH(DefaultChannel,Channels!$A$5:$A$18,0)),0))</f>
        <v>0</v>
      </c>
      <c r="AM61" s="41">
        <f>IF(B61="","",1-TargetRetailMargin-AK61)</f>
        <v>0</v>
      </c>
      <c r="AN61" s="20">
        <f>IF(B61="","",IF(AM61&lt;=0,"",(AJ61+AL61)/AM61))</f>
        <v>0</v>
      </c>
      <c r="AO61" s="20">
        <f>IF(B61="","",IF(AN61="","Check the settings",ROUND(IF(RoundingRule="None",AN61,IF(RoundingRule="Nearest 0.99",MAX(0.99,CEILING(AN61,1)-0.01),IF(RoundingRule="Nearest 0.95",MAX(0.95,CEILING(AN61,1)-0.05),IF(RoundingRule="Nearest 0.50",CEILING(AN61,0.5),IF(RoundingRule="Nearest 1",CEILING(AN61,1),IF(RoundingRule="Nearest 5",CEILING(AN61,5),IF(RoundingRule="Up to whole 1",CEILING(AN61,1),IF(RoundingRule="Up to whole 5",CEILING(AN61,5),ROUND(AN61,2))))))))),2)))</f>
        <v>0</v>
      </c>
      <c r="AP61" s="20">
        <f>IF(B61="","",IF(S61&lt;&gt;"",S61,IF(ISNUMBER(AO61),AO61,"")))</f>
        <v>0</v>
      </c>
      <c r="AQ61" s="20">
        <f>IF(B61="","",IF(AP61="","",ROUND(AP61-AJ61-(AP61*AK61+AL61),2)))</f>
        <v>0</v>
      </c>
      <c r="AR61" s="33">
        <f>IF(B61="","",IF(OR(AP61="",AP61=0),"",AQ61/AP61))</f>
        <v>0</v>
      </c>
      <c r="AS61" s="41">
        <f>IF(B61="","",ROUND(AE61/60,3))</f>
        <v>0</v>
      </c>
      <c r="AT61" s="20">
        <f>IF(B61="","",IF(OR(AS61=0,AS61="",AQ61=""),"",ROUND((AQ61+AG61)/AS61,2)))</f>
        <v>0</v>
      </c>
      <c r="AU61" s="43">
        <f>IF(B61="","",IF(AND(A61&lt;&gt;"",ISERROR(MATCH(A61,Products!$A$5:$A$304,0))),"Check - no such product ID",IF(AD61=0,"Add - no material cost yet",IF(AE61=0,"Add - how long does it take?",IF(AND(A61&lt;&gt;"",COUNTIFS('Material Usage'!$A$5:$A$904,A61)&gt;0),"Check - this product also has a bill of materials",IF(AND(A61&lt;&gt;"",COUNTIFS(Labor!$A$5:$A$304,A61)&gt;0),"Check - this product also has labour lines",IF(AT61&lt;MinimumWage,"Below - pays under minimum wage","OK")))))) )</f>
        <v>0</v>
      </c>
    </row>
    <row r="62" spans="21:47">
      <c r="U62" s="41">
        <f>IF(B62="","",IFERROR(INDEX(SizeMaterialFactors,MATCH(D62,SizeNames,0)),1))</f>
        <v>0</v>
      </c>
      <c r="V62" s="41">
        <f>IF(B62="","",IFERROR(INDEX(SizeTimeFactors,MATCH(D62,SizeNames,0)),1))</f>
        <v>0</v>
      </c>
      <c r="W62" s="33">
        <f>IF(B62="","",IF(K62="",DefaultWaste,K62))</f>
        <v>0</v>
      </c>
      <c r="X62" s="36">
        <f>IF(B62="","",ROUND((IF(H62="",0,H62)+IF(J62="",0,J62))*U62*(1+W62),1))</f>
        <v>0</v>
      </c>
      <c r="Y62" s="20">
        <f>IF(B62="","",ROUND(IF(H62="",0,H62)*U62*(1+W62)*IFERROR(INDEX(Materials!$V$5:$V$254,MATCH(G62,Materials!$A$5:$A$254,0)),0),2))</f>
        <v>0</v>
      </c>
      <c r="Z62" s="20">
        <f>IF(B62="","",ROUND(IF(J62="",0,J62)*U62*(1+W62)*IFERROR(INDEX(Materials!$V$5:$V$254,MATCH(I62,Materials!$A$5:$A$254,0)),0),2))</f>
        <v>0</v>
      </c>
      <c r="AA62" s="36">
        <f>IF(B62="","",IF(IFERROR(INDEX(Materials!$G$5:$G$254,MATCH(G62,Materials!$A$5:$A$254,0)),0)=0,"",ROUNDUP(IF(H62="",0,H62)*U62*(1+W62)/(IFERROR(INDEX(Materials!$G$5:$G$254,MATCH(G62,Materials!$A$5:$A$254,0)),0)*IFERROR(INDEX(Materials!$U$5:$U$254,MATCH(G62,Materials!$A$5:$A$254,0)),1)),0)))</f>
        <v>0</v>
      </c>
      <c r="AB62" s="36">
        <f>IF(B62="","",IF(AA62="","",ROUND(AA62*IFERROR(INDEX(Materials!$G$5:$G$254,MATCH(G62,Materials!$A$5:$A$254,0)),0)*IFERROR(INDEX(Materials!$U$5:$U$254,MATCH(G62,Materials!$A$5:$A$254,0)),1)-IF(H62="",0,H62)*U62*(1+W62),1)))</f>
        <v>0</v>
      </c>
      <c r="AC62" s="20">
        <f>IF(B62="","",IF(N62="",0,ROUND(N62/MAX(1,IF(O62="",1,O62)),2)))</f>
        <v>0</v>
      </c>
      <c r="AD62" s="20">
        <f>IF(B62="","",ROUND(Y62+Z62+IF(L62="",0,L62)+IF(M62="",0,M62)+AC62,2))</f>
        <v>0</v>
      </c>
      <c r="AE62" s="36">
        <f>IF(B62="","",ROUND((IF(P62="",0,P62)*60+IF(Q62="",0,Q62))*V62,1))</f>
        <v>0</v>
      </c>
      <c r="AF62" s="20">
        <f>IF(B62="","",IF(R62&lt;&gt;"",R62,LaborCostHour))</f>
        <v>0</v>
      </c>
      <c r="AG62" s="20">
        <f>IF(B62="","",ROUND(AE62/60*AF62,2))</f>
        <v>0</v>
      </c>
      <c r="AH62" s="20">
        <f>IF(B62="","",ROUND(AE62/60*SuppliesPerHour,2))</f>
        <v>0</v>
      </c>
      <c r="AI62" s="45">
        <f>IF(B62="","",IF(OR(X62="",X62=0),"",ROUND(AD62/X62,4)))</f>
        <v>0</v>
      </c>
      <c r="AJ62" s="20">
        <f>IF(B62="","",ROUND(AD62+AG62+AH62,2))</f>
        <v>0</v>
      </c>
      <c r="AK62" s="33">
        <f>IF(B62="","",IFERROR(INDEX(Channels!$S$5:$S$18,MATCH(DefaultChannel,Channels!$A$5:$A$18,0)),0))</f>
        <v>0</v>
      </c>
      <c r="AL62" s="20">
        <f>IF(B62="","",IFERROR(INDEX(Channels!$T$5:$T$18,MATCH(DefaultChannel,Channels!$A$5:$A$18,0)),0))</f>
        <v>0</v>
      </c>
      <c r="AM62" s="41">
        <f>IF(B62="","",1-TargetRetailMargin-AK62)</f>
        <v>0</v>
      </c>
      <c r="AN62" s="20">
        <f>IF(B62="","",IF(AM62&lt;=0,"",(AJ62+AL62)/AM62))</f>
        <v>0</v>
      </c>
      <c r="AO62" s="20">
        <f>IF(B62="","",IF(AN62="","Check the settings",ROUND(IF(RoundingRule="None",AN62,IF(RoundingRule="Nearest 0.99",MAX(0.99,CEILING(AN62,1)-0.01),IF(RoundingRule="Nearest 0.95",MAX(0.95,CEILING(AN62,1)-0.05),IF(RoundingRule="Nearest 0.50",CEILING(AN62,0.5),IF(RoundingRule="Nearest 1",CEILING(AN62,1),IF(RoundingRule="Nearest 5",CEILING(AN62,5),IF(RoundingRule="Up to whole 1",CEILING(AN62,1),IF(RoundingRule="Up to whole 5",CEILING(AN62,5),ROUND(AN62,2))))))))),2)))</f>
        <v>0</v>
      </c>
      <c r="AP62" s="20">
        <f>IF(B62="","",IF(S62&lt;&gt;"",S62,IF(ISNUMBER(AO62),AO62,"")))</f>
        <v>0</v>
      </c>
      <c r="AQ62" s="20">
        <f>IF(B62="","",IF(AP62="","",ROUND(AP62-AJ62-(AP62*AK62+AL62),2)))</f>
        <v>0</v>
      </c>
      <c r="AR62" s="33">
        <f>IF(B62="","",IF(OR(AP62="",AP62=0),"",AQ62/AP62))</f>
        <v>0</v>
      </c>
      <c r="AS62" s="41">
        <f>IF(B62="","",ROUND(AE62/60,3))</f>
        <v>0</v>
      </c>
      <c r="AT62" s="20">
        <f>IF(B62="","",IF(OR(AS62=0,AS62="",AQ62=""),"",ROUND((AQ62+AG62)/AS62,2)))</f>
        <v>0</v>
      </c>
      <c r="AU62" s="43">
        <f>IF(B62="","",IF(AND(A62&lt;&gt;"",ISERROR(MATCH(A62,Products!$A$5:$A$304,0))),"Check - no such product ID",IF(AD62=0,"Add - no material cost yet",IF(AE62=0,"Add - how long does it take?",IF(AND(A62&lt;&gt;"",COUNTIFS('Material Usage'!$A$5:$A$904,A62)&gt;0),"Check - this product also has a bill of materials",IF(AND(A62&lt;&gt;"",COUNTIFS(Labor!$A$5:$A$304,A62)&gt;0),"Check - this product also has labour lines",IF(AT62&lt;MinimumWage,"Below - pays under minimum wage","OK")))))) )</f>
        <v>0</v>
      </c>
    </row>
    <row r="63" spans="21:47">
      <c r="U63" s="41">
        <f>IF(B63="","",IFERROR(INDEX(SizeMaterialFactors,MATCH(D63,SizeNames,0)),1))</f>
        <v>0</v>
      </c>
      <c r="V63" s="41">
        <f>IF(B63="","",IFERROR(INDEX(SizeTimeFactors,MATCH(D63,SizeNames,0)),1))</f>
        <v>0</v>
      </c>
      <c r="W63" s="33">
        <f>IF(B63="","",IF(K63="",DefaultWaste,K63))</f>
        <v>0</v>
      </c>
      <c r="X63" s="36">
        <f>IF(B63="","",ROUND((IF(H63="",0,H63)+IF(J63="",0,J63))*U63*(1+W63),1))</f>
        <v>0</v>
      </c>
      <c r="Y63" s="20">
        <f>IF(B63="","",ROUND(IF(H63="",0,H63)*U63*(1+W63)*IFERROR(INDEX(Materials!$V$5:$V$254,MATCH(G63,Materials!$A$5:$A$254,0)),0),2))</f>
        <v>0</v>
      </c>
      <c r="Z63" s="20">
        <f>IF(B63="","",ROUND(IF(J63="",0,J63)*U63*(1+W63)*IFERROR(INDEX(Materials!$V$5:$V$254,MATCH(I63,Materials!$A$5:$A$254,0)),0),2))</f>
        <v>0</v>
      </c>
      <c r="AA63" s="36">
        <f>IF(B63="","",IF(IFERROR(INDEX(Materials!$G$5:$G$254,MATCH(G63,Materials!$A$5:$A$254,0)),0)=0,"",ROUNDUP(IF(H63="",0,H63)*U63*(1+W63)/(IFERROR(INDEX(Materials!$G$5:$G$254,MATCH(G63,Materials!$A$5:$A$254,0)),0)*IFERROR(INDEX(Materials!$U$5:$U$254,MATCH(G63,Materials!$A$5:$A$254,0)),1)),0)))</f>
        <v>0</v>
      </c>
      <c r="AB63" s="36">
        <f>IF(B63="","",IF(AA63="","",ROUND(AA63*IFERROR(INDEX(Materials!$G$5:$G$254,MATCH(G63,Materials!$A$5:$A$254,0)),0)*IFERROR(INDEX(Materials!$U$5:$U$254,MATCH(G63,Materials!$A$5:$A$254,0)),1)-IF(H63="",0,H63)*U63*(1+W63),1)))</f>
        <v>0</v>
      </c>
      <c r="AC63" s="20">
        <f>IF(B63="","",IF(N63="",0,ROUND(N63/MAX(1,IF(O63="",1,O63)),2)))</f>
        <v>0</v>
      </c>
      <c r="AD63" s="20">
        <f>IF(B63="","",ROUND(Y63+Z63+IF(L63="",0,L63)+IF(M63="",0,M63)+AC63,2))</f>
        <v>0</v>
      </c>
      <c r="AE63" s="36">
        <f>IF(B63="","",ROUND((IF(P63="",0,P63)*60+IF(Q63="",0,Q63))*V63,1))</f>
        <v>0</v>
      </c>
      <c r="AF63" s="20">
        <f>IF(B63="","",IF(R63&lt;&gt;"",R63,LaborCostHour))</f>
        <v>0</v>
      </c>
      <c r="AG63" s="20">
        <f>IF(B63="","",ROUND(AE63/60*AF63,2))</f>
        <v>0</v>
      </c>
      <c r="AH63" s="20">
        <f>IF(B63="","",ROUND(AE63/60*SuppliesPerHour,2))</f>
        <v>0</v>
      </c>
      <c r="AI63" s="45">
        <f>IF(B63="","",IF(OR(X63="",X63=0),"",ROUND(AD63/X63,4)))</f>
        <v>0</v>
      </c>
      <c r="AJ63" s="20">
        <f>IF(B63="","",ROUND(AD63+AG63+AH63,2))</f>
        <v>0</v>
      </c>
      <c r="AK63" s="33">
        <f>IF(B63="","",IFERROR(INDEX(Channels!$S$5:$S$18,MATCH(DefaultChannel,Channels!$A$5:$A$18,0)),0))</f>
        <v>0</v>
      </c>
      <c r="AL63" s="20">
        <f>IF(B63="","",IFERROR(INDEX(Channels!$T$5:$T$18,MATCH(DefaultChannel,Channels!$A$5:$A$18,0)),0))</f>
        <v>0</v>
      </c>
      <c r="AM63" s="41">
        <f>IF(B63="","",1-TargetRetailMargin-AK63)</f>
        <v>0</v>
      </c>
      <c r="AN63" s="20">
        <f>IF(B63="","",IF(AM63&lt;=0,"",(AJ63+AL63)/AM63))</f>
        <v>0</v>
      </c>
      <c r="AO63" s="20">
        <f>IF(B63="","",IF(AN63="","Check the settings",ROUND(IF(RoundingRule="None",AN63,IF(RoundingRule="Nearest 0.99",MAX(0.99,CEILING(AN63,1)-0.01),IF(RoundingRule="Nearest 0.95",MAX(0.95,CEILING(AN63,1)-0.05),IF(RoundingRule="Nearest 0.50",CEILING(AN63,0.5),IF(RoundingRule="Nearest 1",CEILING(AN63,1),IF(RoundingRule="Nearest 5",CEILING(AN63,5),IF(RoundingRule="Up to whole 1",CEILING(AN63,1),IF(RoundingRule="Up to whole 5",CEILING(AN63,5),ROUND(AN63,2))))))))),2)))</f>
        <v>0</v>
      </c>
      <c r="AP63" s="20">
        <f>IF(B63="","",IF(S63&lt;&gt;"",S63,IF(ISNUMBER(AO63),AO63,"")))</f>
        <v>0</v>
      </c>
      <c r="AQ63" s="20">
        <f>IF(B63="","",IF(AP63="","",ROUND(AP63-AJ63-(AP63*AK63+AL63),2)))</f>
        <v>0</v>
      </c>
      <c r="AR63" s="33">
        <f>IF(B63="","",IF(OR(AP63="",AP63=0),"",AQ63/AP63))</f>
        <v>0</v>
      </c>
      <c r="AS63" s="41">
        <f>IF(B63="","",ROUND(AE63/60,3))</f>
        <v>0</v>
      </c>
      <c r="AT63" s="20">
        <f>IF(B63="","",IF(OR(AS63=0,AS63="",AQ63=""),"",ROUND((AQ63+AG63)/AS63,2)))</f>
        <v>0</v>
      </c>
      <c r="AU63" s="43">
        <f>IF(B63="","",IF(AND(A63&lt;&gt;"",ISERROR(MATCH(A63,Products!$A$5:$A$304,0))),"Check - no such product ID",IF(AD63=0,"Add - no material cost yet",IF(AE63=0,"Add - how long does it take?",IF(AND(A63&lt;&gt;"",COUNTIFS('Material Usage'!$A$5:$A$904,A63)&gt;0),"Check - this product also has a bill of materials",IF(AND(A63&lt;&gt;"",COUNTIFS(Labor!$A$5:$A$304,A63)&gt;0),"Check - this product also has labour lines",IF(AT63&lt;MinimumWage,"Below - pays under minimum wage","OK")))))) )</f>
        <v>0</v>
      </c>
    </row>
    <row r="64" spans="21:47">
      <c r="U64" s="41">
        <f>IF(B64="","",IFERROR(INDEX(SizeMaterialFactors,MATCH(D64,SizeNames,0)),1))</f>
        <v>0</v>
      </c>
      <c r="V64" s="41">
        <f>IF(B64="","",IFERROR(INDEX(SizeTimeFactors,MATCH(D64,SizeNames,0)),1))</f>
        <v>0</v>
      </c>
      <c r="W64" s="33">
        <f>IF(B64="","",IF(K64="",DefaultWaste,K64))</f>
        <v>0</v>
      </c>
      <c r="X64" s="36">
        <f>IF(B64="","",ROUND((IF(H64="",0,H64)+IF(J64="",0,J64))*U64*(1+W64),1))</f>
        <v>0</v>
      </c>
      <c r="Y64" s="20">
        <f>IF(B64="","",ROUND(IF(H64="",0,H64)*U64*(1+W64)*IFERROR(INDEX(Materials!$V$5:$V$254,MATCH(G64,Materials!$A$5:$A$254,0)),0),2))</f>
        <v>0</v>
      </c>
      <c r="Z64" s="20">
        <f>IF(B64="","",ROUND(IF(J64="",0,J64)*U64*(1+W64)*IFERROR(INDEX(Materials!$V$5:$V$254,MATCH(I64,Materials!$A$5:$A$254,0)),0),2))</f>
        <v>0</v>
      </c>
      <c r="AA64" s="36">
        <f>IF(B64="","",IF(IFERROR(INDEX(Materials!$G$5:$G$254,MATCH(G64,Materials!$A$5:$A$254,0)),0)=0,"",ROUNDUP(IF(H64="",0,H64)*U64*(1+W64)/(IFERROR(INDEX(Materials!$G$5:$G$254,MATCH(G64,Materials!$A$5:$A$254,0)),0)*IFERROR(INDEX(Materials!$U$5:$U$254,MATCH(G64,Materials!$A$5:$A$254,0)),1)),0)))</f>
        <v>0</v>
      </c>
      <c r="AB64" s="36">
        <f>IF(B64="","",IF(AA64="","",ROUND(AA64*IFERROR(INDEX(Materials!$G$5:$G$254,MATCH(G64,Materials!$A$5:$A$254,0)),0)*IFERROR(INDEX(Materials!$U$5:$U$254,MATCH(G64,Materials!$A$5:$A$254,0)),1)-IF(H64="",0,H64)*U64*(1+W64),1)))</f>
        <v>0</v>
      </c>
      <c r="AC64" s="20">
        <f>IF(B64="","",IF(N64="",0,ROUND(N64/MAX(1,IF(O64="",1,O64)),2)))</f>
        <v>0</v>
      </c>
      <c r="AD64" s="20">
        <f>IF(B64="","",ROUND(Y64+Z64+IF(L64="",0,L64)+IF(M64="",0,M64)+AC64,2))</f>
        <v>0</v>
      </c>
      <c r="AE64" s="36">
        <f>IF(B64="","",ROUND((IF(P64="",0,P64)*60+IF(Q64="",0,Q64))*V64,1))</f>
        <v>0</v>
      </c>
      <c r="AF64" s="20">
        <f>IF(B64="","",IF(R64&lt;&gt;"",R64,LaborCostHour))</f>
        <v>0</v>
      </c>
      <c r="AG64" s="20">
        <f>IF(B64="","",ROUND(AE64/60*AF64,2))</f>
        <v>0</v>
      </c>
      <c r="AH64" s="20">
        <f>IF(B64="","",ROUND(AE64/60*SuppliesPerHour,2))</f>
        <v>0</v>
      </c>
      <c r="AI64" s="45">
        <f>IF(B64="","",IF(OR(X64="",X64=0),"",ROUND(AD64/X64,4)))</f>
        <v>0</v>
      </c>
      <c r="AJ64" s="20">
        <f>IF(B64="","",ROUND(AD64+AG64+AH64,2))</f>
        <v>0</v>
      </c>
      <c r="AK64" s="33">
        <f>IF(B64="","",IFERROR(INDEX(Channels!$S$5:$S$18,MATCH(DefaultChannel,Channels!$A$5:$A$18,0)),0))</f>
        <v>0</v>
      </c>
      <c r="AL64" s="20">
        <f>IF(B64="","",IFERROR(INDEX(Channels!$T$5:$T$18,MATCH(DefaultChannel,Channels!$A$5:$A$18,0)),0))</f>
        <v>0</v>
      </c>
      <c r="AM64" s="41">
        <f>IF(B64="","",1-TargetRetailMargin-AK64)</f>
        <v>0</v>
      </c>
      <c r="AN64" s="20">
        <f>IF(B64="","",IF(AM64&lt;=0,"",(AJ64+AL64)/AM64))</f>
        <v>0</v>
      </c>
      <c r="AO64" s="20">
        <f>IF(B64="","",IF(AN64="","Check the settings",ROUND(IF(RoundingRule="None",AN64,IF(RoundingRule="Nearest 0.99",MAX(0.99,CEILING(AN64,1)-0.01),IF(RoundingRule="Nearest 0.95",MAX(0.95,CEILING(AN64,1)-0.05),IF(RoundingRule="Nearest 0.50",CEILING(AN64,0.5),IF(RoundingRule="Nearest 1",CEILING(AN64,1),IF(RoundingRule="Nearest 5",CEILING(AN64,5),IF(RoundingRule="Up to whole 1",CEILING(AN64,1),IF(RoundingRule="Up to whole 5",CEILING(AN64,5),ROUND(AN64,2))))))))),2)))</f>
        <v>0</v>
      </c>
      <c r="AP64" s="20">
        <f>IF(B64="","",IF(S64&lt;&gt;"",S64,IF(ISNUMBER(AO64),AO64,"")))</f>
        <v>0</v>
      </c>
      <c r="AQ64" s="20">
        <f>IF(B64="","",IF(AP64="","",ROUND(AP64-AJ64-(AP64*AK64+AL64),2)))</f>
        <v>0</v>
      </c>
      <c r="AR64" s="33">
        <f>IF(B64="","",IF(OR(AP64="",AP64=0),"",AQ64/AP64))</f>
        <v>0</v>
      </c>
      <c r="AS64" s="41">
        <f>IF(B64="","",ROUND(AE64/60,3))</f>
        <v>0</v>
      </c>
      <c r="AT64" s="20">
        <f>IF(B64="","",IF(OR(AS64=0,AS64="",AQ64=""),"",ROUND((AQ64+AG64)/AS64,2)))</f>
        <v>0</v>
      </c>
      <c r="AU64" s="43">
        <f>IF(B64="","",IF(AND(A64&lt;&gt;"",ISERROR(MATCH(A64,Products!$A$5:$A$304,0))),"Check - no such product ID",IF(AD64=0,"Add - no material cost yet",IF(AE64=0,"Add - how long does it take?",IF(AND(A64&lt;&gt;"",COUNTIFS('Material Usage'!$A$5:$A$904,A64)&gt;0),"Check - this product also has a bill of materials",IF(AND(A64&lt;&gt;"",COUNTIFS(Labor!$A$5:$A$304,A64)&gt;0),"Check - this product also has labour lines",IF(AT64&lt;MinimumWage,"Below - pays under minimum wage","OK")))))) )</f>
        <v>0</v>
      </c>
    </row>
    <row r="65" spans="21:47">
      <c r="U65" s="41">
        <f>IF(B65="","",IFERROR(INDEX(SizeMaterialFactors,MATCH(D65,SizeNames,0)),1))</f>
        <v>0</v>
      </c>
      <c r="V65" s="41">
        <f>IF(B65="","",IFERROR(INDEX(SizeTimeFactors,MATCH(D65,SizeNames,0)),1))</f>
        <v>0</v>
      </c>
      <c r="W65" s="33">
        <f>IF(B65="","",IF(K65="",DefaultWaste,K65))</f>
        <v>0</v>
      </c>
      <c r="X65" s="36">
        <f>IF(B65="","",ROUND((IF(H65="",0,H65)+IF(J65="",0,J65))*U65*(1+W65),1))</f>
        <v>0</v>
      </c>
      <c r="Y65" s="20">
        <f>IF(B65="","",ROUND(IF(H65="",0,H65)*U65*(1+W65)*IFERROR(INDEX(Materials!$V$5:$V$254,MATCH(G65,Materials!$A$5:$A$254,0)),0),2))</f>
        <v>0</v>
      </c>
      <c r="Z65" s="20">
        <f>IF(B65="","",ROUND(IF(J65="",0,J65)*U65*(1+W65)*IFERROR(INDEX(Materials!$V$5:$V$254,MATCH(I65,Materials!$A$5:$A$254,0)),0),2))</f>
        <v>0</v>
      </c>
      <c r="AA65" s="36">
        <f>IF(B65="","",IF(IFERROR(INDEX(Materials!$G$5:$G$254,MATCH(G65,Materials!$A$5:$A$254,0)),0)=0,"",ROUNDUP(IF(H65="",0,H65)*U65*(1+W65)/(IFERROR(INDEX(Materials!$G$5:$G$254,MATCH(G65,Materials!$A$5:$A$254,0)),0)*IFERROR(INDEX(Materials!$U$5:$U$254,MATCH(G65,Materials!$A$5:$A$254,0)),1)),0)))</f>
        <v>0</v>
      </c>
      <c r="AB65" s="36">
        <f>IF(B65="","",IF(AA65="","",ROUND(AA65*IFERROR(INDEX(Materials!$G$5:$G$254,MATCH(G65,Materials!$A$5:$A$254,0)),0)*IFERROR(INDEX(Materials!$U$5:$U$254,MATCH(G65,Materials!$A$5:$A$254,0)),1)-IF(H65="",0,H65)*U65*(1+W65),1)))</f>
        <v>0</v>
      </c>
      <c r="AC65" s="20">
        <f>IF(B65="","",IF(N65="",0,ROUND(N65/MAX(1,IF(O65="",1,O65)),2)))</f>
        <v>0</v>
      </c>
      <c r="AD65" s="20">
        <f>IF(B65="","",ROUND(Y65+Z65+IF(L65="",0,L65)+IF(M65="",0,M65)+AC65,2))</f>
        <v>0</v>
      </c>
      <c r="AE65" s="36">
        <f>IF(B65="","",ROUND((IF(P65="",0,P65)*60+IF(Q65="",0,Q65))*V65,1))</f>
        <v>0</v>
      </c>
      <c r="AF65" s="20">
        <f>IF(B65="","",IF(R65&lt;&gt;"",R65,LaborCostHour))</f>
        <v>0</v>
      </c>
      <c r="AG65" s="20">
        <f>IF(B65="","",ROUND(AE65/60*AF65,2))</f>
        <v>0</v>
      </c>
      <c r="AH65" s="20">
        <f>IF(B65="","",ROUND(AE65/60*SuppliesPerHour,2))</f>
        <v>0</v>
      </c>
      <c r="AI65" s="45">
        <f>IF(B65="","",IF(OR(X65="",X65=0),"",ROUND(AD65/X65,4)))</f>
        <v>0</v>
      </c>
      <c r="AJ65" s="20">
        <f>IF(B65="","",ROUND(AD65+AG65+AH65,2))</f>
        <v>0</v>
      </c>
      <c r="AK65" s="33">
        <f>IF(B65="","",IFERROR(INDEX(Channels!$S$5:$S$18,MATCH(DefaultChannel,Channels!$A$5:$A$18,0)),0))</f>
        <v>0</v>
      </c>
      <c r="AL65" s="20">
        <f>IF(B65="","",IFERROR(INDEX(Channels!$T$5:$T$18,MATCH(DefaultChannel,Channels!$A$5:$A$18,0)),0))</f>
        <v>0</v>
      </c>
      <c r="AM65" s="41">
        <f>IF(B65="","",1-TargetRetailMargin-AK65)</f>
        <v>0</v>
      </c>
      <c r="AN65" s="20">
        <f>IF(B65="","",IF(AM65&lt;=0,"",(AJ65+AL65)/AM65))</f>
        <v>0</v>
      </c>
      <c r="AO65" s="20">
        <f>IF(B65="","",IF(AN65="","Check the settings",ROUND(IF(RoundingRule="None",AN65,IF(RoundingRule="Nearest 0.99",MAX(0.99,CEILING(AN65,1)-0.01),IF(RoundingRule="Nearest 0.95",MAX(0.95,CEILING(AN65,1)-0.05),IF(RoundingRule="Nearest 0.50",CEILING(AN65,0.5),IF(RoundingRule="Nearest 1",CEILING(AN65,1),IF(RoundingRule="Nearest 5",CEILING(AN65,5),IF(RoundingRule="Up to whole 1",CEILING(AN65,1),IF(RoundingRule="Up to whole 5",CEILING(AN65,5),ROUND(AN65,2))))))))),2)))</f>
        <v>0</v>
      </c>
      <c r="AP65" s="20">
        <f>IF(B65="","",IF(S65&lt;&gt;"",S65,IF(ISNUMBER(AO65),AO65,"")))</f>
        <v>0</v>
      </c>
      <c r="AQ65" s="20">
        <f>IF(B65="","",IF(AP65="","",ROUND(AP65-AJ65-(AP65*AK65+AL65),2)))</f>
        <v>0</v>
      </c>
      <c r="AR65" s="33">
        <f>IF(B65="","",IF(OR(AP65="",AP65=0),"",AQ65/AP65))</f>
        <v>0</v>
      </c>
      <c r="AS65" s="41">
        <f>IF(B65="","",ROUND(AE65/60,3))</f>
        <v>0</v>
      </c>
      <c r="AT65" s="20">
        <f>IF(B65="","",IF(OR(AS65=0,AS65="",AQ65=""),"",ROUND((AQ65+AG65)/AS65,2)))</f>
        <v>0</v>
      </c>
      <c r="AU65" s="43">
        <f>IF(B65="","",IF(AND(A65&lt;&gt;"",ISERROR(MATCH(A65,Products!$A$5:$A$304,0))),"Check - no such product ID",IF(AD65=0,"Add - no material cost yet",IF(AE65=0,"Add - how long does it take?",IF(AND(A65&lt;&gt;"",COUNTIFS('Material Usage'!$A$5:$A$904,A65)&gt;0),"Check - this product also has a bill of materials",IF(AND(A65&lt;&gt;"",COUNTIFS(Labor!$A$5:$A$304,A65)&gt;0),"Check - this product also has labour lines",IF(AT65&lt;MinimumWage,"Below - pays under minimum wage","OK")))))) )</f>
        <v>0</v>
      </c>
    </row>
    <row r="66" spans="21:47">
      <c r="U66" s="41">
        <f>IF(B66="","",IFERROR(INDEX(SizeMaterialFactors,MATCH(D66,SizeNames,0)),1))</f>
        <v>0</v>
      </c>
      <c r="V66" s="41">
        <f>IF(B66="","",IFERROR(INDEX(SizeTimeFactors,MATCH(D66,SizeNames,0)),1))</f>
        <v>0</v>
      </c>
      <c r="W66" s="33">
        <f>IF(B66="","",IF(K66="",DefaultWaste,K66))</f>
        <v>0</v>
      </c>
      <c r="X66" s="36">
        <f>IF(B66="","",ROUND((IF(H66="",0,H66)+IF(J66="",0,J66))*U66*(1+W66),1))</f>
        <v>0</v>
      </c>
      <c r="Y66" s="20">
        <f>IF(B66="","",ROUND(IF(H66="",0,H66)*U66*(1+W66)*IFERROR(INDEX(Materials!$V$5:$V$254,MATCH(G66,Materials!$A$5:$A$254,0)),0),2))</f>
        <v>0</v>
      </c>
      <c r="Z66" s="20">
        <f>IF(B66="","",ROUND(IF(J66="",0,J66)*U66*(1+W66)*IFERROR(INDEX(Materials!$V$5:$V$254,MATCH(I66,Materials!$A$5:$A$254,0)),0),2))</f>
        <v>0</v>
      </c>
      <c r="AA66" s="36">
        <f>IF(B66="","",IF(IFERROR(INDEX(Materials!$G$5:$G$254,MATCH(G66,Materials!$A$5:$A$254,0)),0)=0,"",ROUNDUP(IF(H66="",0,H66)*U66*(1+W66)/(IFERROR(INDEX(Materials!$G$5:$G$254,MATCH(G66,Materials!$A$5:$A$254,0)),0)*IFERROR(INDEX(Materials!$U$5:$U$254,MATCH(G66,Materials!$A$5:$A$254,0)),1)),0)))</f>
        <v>0</v>
      </c>
      <c r="AB66" s="36">
        <f>IF(B66="","",IF(AA66="","",ROUND(AA66*IFERROR(INDEX(Materials!$G$5:$G$254,MATCH(G66,Materials!$A$5:$A$254,0)),0)*IFERROR(INDEX(Materials!$U$5:$U$254,MATCH(G66,Materials!$A$5:$A$254,0)),1)-IF(H66="",0,H66)*U66*(1+W66),1)))</f>
        <v>0</v>
      </c>
      <c r="AC66" s="20">
        <f>IF(B66="","",IF(N66="",0,ROUND(N66/MAX(1,IF(O66="",1,O66)),2)))</f>
        <v>0</v>
      </c>
      <c r="AD66" s="20">
        <f>IF(B66="","",ROUND(Y66+Z66+IF(L66="",0,L66)+IF(M66="",0,M66)+AC66,2))</f>
        <v>0</v>
      </c>
      <c r="AE66" s="36">
        <f>IF(B66="","",ROUND((IF(P66="",0,P66)*60+IF(Q66="",0,Q66))*V66,1))</f>
        <v>0</v>
      </c>
      <c r="AF66" s="20">
        <f>IF(B66="","",IF(R66&lt;&gt;"",R66,LaborCostHour))</f>
        <v>0</v>
      </c>
      <c r="AG66" s="20">
        <f>IF(B66="","",ROUND(AE66/60*AF66,2))</f>
        <v>0</v>
      </c>
      <c r="AH66" s="20">
        <f>IF(B66="","",ROUND(AE66/60*SuppliesPerHour,2))</f>
        <v>0</v>
      </c>
      <c r="AI66" s="45">
        <f>IF(B66="","",IF(OR(X66="",X66=0),"",ROUND(AD66/X66,4)))</f>
        <v>0</v>
      </c>
      <c r="AJ66" s="20">
        <f>IF(B66="","",ROUND(AD66+AG66+AH66,2))</f>
        <v>0</v>
      </c>
      <c r="AK66" s="33">
        <f>IF(B66="","",IFERROR(INDEX(Channels!$S$5:$S$18,MATCH(DefaultChannel,Channels!$A$5:$A$18,0)),0))</f>
        <v>0</v>
      </c>
      <c r="AL66" s="20">
        <f>IF(B66="","",IFERROR(INDEX(Channels!$T$5:$T$18,MATCH(DefaultChannel,Channels!$A$5:$A$18,0)),0))</f>
        <v>0</v>
      </c>
      <c r="AM66" s="41">
        <f>IF(B66="","",1-TargetRetailMargin-AK66)</f>
        <v>0</v>
      </c>
      <c r="AN66" s="20">
        <f>IF(B66="","",IF(AM66&lt;=0,"",(AJ66+AL66)/AM66))</f>
        <v>0</v>
      </c>
      <c r="AO66" s="20">
        <f>IF(B66="","",IF(AN66="","Check the settings",ROUND(IF(RoundingRule="None",AN66,IF(RoundingRule="Nearest 0.99",MAX(0.99,CEILING(AN66,1)-0.01),IF(RoundingRule="Nearest 0.95",MAX(0.95,CEILING(AN66,1)-0.05),IF(RoundingRule="Nearest 0.50",CEILING(AN66,0.5),IF(RoundingRule="Nearest 1",CEILING(AN66,1),IF(RoundingRule="Nearest 5",CEILING(AN66,5),IF(RoundingRule="Up to whole 1",CEILING(AN66,1),IF(RoundingRule="Up to whole 5",CEILING(AN66,5),ROUND(AN66,2))))))))),2)))</f>
        <v>0</v>
      </c>
      <c r="AP66" s="20">
        <f>IF(B66="","",IF(S66&lt;&gt;"",S66,IF(ISNUMBER(AO66),AO66,"")))</f>
        <v>0</v>
      </c>
      <c r="AQ66" s="20">
        <f>IF(B66="","",IF(AP66="","",ROUND(AP66-AJ66-(AP66*AK66+AL66),2)))</f>
        <v>0</v>
      </c>
      <c r="AR66" s="33">
        <f>IF(B66="","",IF(OR(AP66="",AP66=0),"",AQ66/AP66))</f>
        <v>0</v>
      </c>
      <c r="AS66" s="41">
        <f>IF(B66="","",ROUND(AE66/60,3))</f>
        <v>0</v>
      </c>
      <c r="AT66" s="20">
        <f>IF(B66="","",IF(OR(AS66=0,AS66="",AQ66=""),"",ROUND((AQ66+AG66)/AS66,2)))</f>
        <v>0</v>
      </c>
      <c r="AU66" s="43">
        <f>IF(B66="","",IF(AND(A66&lt;&gt;"",ISERROR(MATCH(A66,Products!$A$5:$A$304,0))),"Check - no such product ID",IF(AD66=0,"Add - no material cost yet",IF(AE66=0,"Add - how long does it take?",IF(AND(A66&lt;&gt;"",COUNTIFS('Material Usage'!$A$5:$A$904,A66)&gt;0),"Check - this product also has a bill of materials",IF(AND(A66&lt;&gt;"",COUNTIFS(Labor!$A$5:$A$304,A66)&gt;0),"Check - this product also has labour lines",IF(AT66&lt;MinimumWage,"Below - pays under minimum wage","OK")))))) )</f>
        <v>0</v>
      </c>
    </row>
    <row r="67" spans="21:47">
      <c r="U67" s="41">
        <f>IF(B67="","",IFERROR(INDEX(SizeMaterialFactors,MATCH(D67,SizeNames,0)),1))</f>
        <v>0</v>
      </c>
      <c r="V67" s="41">
        <f>IF(B67="","",IFERROR(INDEX(SizeTimeFactors,MATCH(D67,SizeNames,0)),1))</f>
        <v>0</v>
      </c>
      <c r="W67" s="33">
        <f>IF(B67="","",IF(K67="",DefaultWaste,K67))</f>
        <v>0</v>
      </c>
      <c r="X67" s="36">
        <f>IF(B67="","",ROUND((IF(H67="",0,H67)+IF(J67="",0,J67))*U67*(1+W67),1))</f>
        <v>0</v>
      </c>
      <c r="Y67" s="20">
        <f>IF(B67="","",ROUND(IF(H67="",0,H67)*U67*(1+W67)*IFERROR(INDEX(Materials!$V$5:$V$254,MATCH(G67,Materials!$A$5:$A$254,0)),0),2))</f>
        <v>0</v>
      </c>
      <c r="Z67" s="20">
        <f>IF(B67="","",ROUND(IF(J67="",0,J67)*U67*(1+W67)*IFERROR(INDEX(Materials!$V$5:$V$254,MATCH(I67,Materials!$A$5:$A$254,0)),0),2))</f>
        <v>0</v>
      </c>
      <c r="AA67" s="36">
        <f>IF(B67="","",IF(IFERROR(INDEX(Materials!$G$5:$G$254,MATCH(G67,Materials!$A$5:$A$254,0)),0)=0,"",ROUNDUP(IF(H67="",0,H67)*U67*(1+W67)/(IFERROR(INDEX(Materials!$G$5:$G$254,MATCH(G67,Materials!$A$5:$A$254,0)),0)*IFERROR(INDEX(Materials!$U$5:$U$254,MATCH(G67,Materials!$A$5:$A$254,0)),1)),0)))</f>
        <v>0</v>
      </c>
      <c r="AB67" s="36">
        <f>IF(B67="","",IF(AA67="","",ROUND(AA67*IFERROR(INDEX(Materials!$G$5:$G$254,MATCH(G67,Materials!$A$5:$A$254,0)),0)*IFERROR(INDEX(Materials!$U$5:$U$254,MATCH(G67,Materials!$A$5:$A$254,0)),1)-IF(H67="",0,H67)*U67*(1+W67),1)))</f>
        <v>0</v>
      </c>
      <c r="AC67" s="20">
        <f>IF(B67="","",IF(N67="",0,ROUND(N67/MAX(1,IF(O67="",1,O67)),2)))</f>
        <v>0</v>
      </c>
      <c r="AD67" s="20">
        <f>IF(B67="","",ROUND(Y67+Z67+IF(L67="",0,L67)+IF(M67="",0,M67)+AC67,2))</f>
        <v>0</v>
      </c>
      <c r="AE67" s="36">
        <f>IF(B67="","",ROUND((IF(P67="",0,P67)*60+IF(Q67="",0,Q67))*V67,1))</f>
        <v>0</v>
      </c>
      <c r="AF67" s="20">
        <f>IF(B67="","",IF(R67&lt;&gt;"",R67,LaborCostHour))</f>
        <v>0</v>
      </c>
      <c r="AG67" s="20">
        <f>IF(B67="","",ROUND(AE67/60*AF67,2))</f>
        <v>0</v>
      </c>
      <c r="AH67" s="20">
        <f>IF(B67="","",ROUND(AE67/60*SuppliesPerHour,2))</f>
        <v>0</v>
      </c>
      <c r="AI67" s="45">
        <f>IF(B67="","",IF(OR(X67="",X67=0),"",ROUND(AD67/X67,4)))</f>
        <v>0</v>
      </c>
      <c r="AJ67" s="20">
        <f>IF(B67="","",ROUND(AD67+AG67+AH67,2))</f>
        <v>0</v>
      </c>
      <c r="AK67" s="33">
        <f>IF(B67="","",IFERROR(INDEX(Channels!$S$5:$S$18,MATCH(DefaultChannel,Channels!$A$5:$A$18,0)),0))</f>
        <v>0</v>
      </c>
      <c r="AL67" s="20">
        <f>IF(B67="","",IFERROR(INDEX(Channels!$T$5:$T$18,MATCH(DefaultChannel,Channels!$A$5:$A$18,0)),0))</f>
        <v>0</v>
      </c>
      <c r="AM67" s="41">
        <f>IF(B67="","",1-TargetRetailMargin-AK67)</f>
        <v>0</v>
      </c>
      <c r="AN67" s="20">
        <f>IF(B67="","",IF(AM67&lt;=0,"",(AJ67+AL67)/AM67))</f>
        <v>0</v>
      </c>
      <c r="AO67" s="20">
        <f>IF(B67="","",IF(AN67="","Check the settings",ROUND(IF(RoundingRule="None",AN67,IF(RoundingRule="Nearest 0.99",MAX(0.99,CEILING(AN67,1)-0.01),IF(RoundingRule="Nearest 0.95",MAX(0.95,CEILING(AN67,1)-0.05),IF(RoundingRule="Nearest 0.50",CEILING(AN67,0.5),IF(RoundingRule="Nearest 1",CEILING(AN67,1),IF(RoundingRule="Nearest 5",CEILING(AN67,5),IF(RoundingRule="Up to whole 1",CEILING(AN67,1),IF(RoundingRule="Up to whole 5",CEILING(AN67,5),ROUND(AN67,2))))))))),2)))</f>
        <v>0</v>
      </c>
      <c r="AP67" s="20">
        <f>IF(B67="","",IF(S67&lt;&gt;"",S67,IF(ISNUMBER(AO67),AO67,"")))</f>
        <v>0</v>
      </c>
      <c r="AQ67" s="20">
        <f>IF(B67="","",IF(AP67="","",ROUND(AP67-AJ67-(AP67*AK67+AL67),2)))</f>
        <v>0</v>
      </c>
      <c r="AR67" s="33">
        <f>IF(B67="","",IF(OR(AP67="",AP67=0),"",AQ67/AP67))</f>
        <v>0</v>
      </c>
      <c r="AS67" s="41">
        <f>IF(B67="","",ROUND(AE67/60,3))</f>
        <v>0</v>
      </c>
      <c r="AT67" s="20">
        <f>IF(B67="","",IF(OR(AS67=0,AS67="",AQ67=""),"",ROUND((AQ67+AG67)/AS67,2)))</f>
        <v>0</v>
      </c>
      <c r="AU67" s="43">
        <f>IF(B67="","",IF(AND(A67&lt;&gt;"",ISERROR(MATCH(A67,Products!$A$5:$A$304,0))),"Check - no such product ID",IF(AD67=0,"Add - no material cost yet",IF(AE67=0,"Add - how long does it take?",IF(AND(A67&lt;&gt;"",COUNTIFS('Material Usage'!$A$5:$A$904,A67)&gt;0),"Check - this product also has a bill of materials",IF(AND(A67&lt;&gt;"",COUNTIFS(Labor!$A$5:$A$304,A67)&gt;0),"Check - this product also has labour lines",IF(AT67&lt;MinimumWage,"Below - pays under minimum wage","OK")))))) )</f>
        <v>0</v>
      </c>
    </row>
    <row r="68" spans="21:47">
      <c r="U68" s="41">
        <f>IF(B68="","",IFERROR(INDEX(SizeMaterialFactors,MATCH(D68,SizeNames,0)),1))</f>
        <v>0</v>
      </c>
      <c r="V68" s="41">
        <f>IF(B68="","",IFERROR(INDEX(SizeTimeFactors,MATCH(D68,SizeNames,0)),1))</f>
        <v>0</v>
      </c>
      <c r="W68" s="33">
        <f>IF(B68="","",IF(K68="",DefaultWaste,K68))</f>
        <v>0</v>
      </c>
      <c r="X68" s="36">
        <f>IF(B68="","",ROUND((IF(H68="",0,H68)+IF(J68="",0,J68))*U68*(1+W68),1))</f>
        <v>0</v>
      </c>
      <c r="Y68" s="20">
        <f>IF(B68="","",ROUND(IF(H68="",0,H68)*U68*(1+W68)*IFERROR(INDEX(Materials!$V$5:$V$254,MATCH(G68,Materials!$A$5:$A$254,0)),0),2))</f>
        <v>0</v>
      </c>
      <c r="Z68" s="20">
        <f>IF(B68="","",ROUND(IF(J68="",0,J68)*U68*(1+W68)*IFERROR(INDEX(Materials!$V$5:$V$254,MATCH(I68,Materials!$A$5:$A$254,0)),0),2))</f>
        <v>0</v>
      </c>
      <c r="AA68" s="36">
        <f>IF(B68="","",IF(IFERROR(INDEX(Materials!$G$5:$G$254,MATCH(G68,Materials!$A$5:$A$254,0)),0)=0,"",ROUNDUP(IF(H68="",0,H68)*U68*(1+W68)/(IFERROR(INDEX(Materials!$G$5:$G$254,MATCH(G68,Materials!$A$5:$A$254,0)),0)*IFERROR(INDEX(Materials!$U$5:$U$254,MATCH(G68,Materials!$A$5:$A$254,0)),1)),0)))</f>
        <v>0</v>
      </c>
      <c r="AB68" s="36">
        <f>IF(B68="","",IF(AA68="","",ROUND(AA68*IFERROR(INDEX(Materials!$G$5:$G$254,MATCH(G68,Materials!$A$5:$A$254,0)),0)*IFERROR(INDEX(Materials!$U$5:$U$254,MATCH(G68,Materials!$A$5:$A$254,0)),1)-IF(H68="",0,H68)*U68*(1+W68),1)))</f>
        <v>0</v>
      </c>
      <c r="AC68" s="20">
        <f>IF(B68="","",IF(N68="",0,ROUND(N68/MAX(1,IF(O68="",1,O68)),2)))</f>
        <v>0</v>
      </c>
      <c r="AD68" s="20">
        <f>IF(B68="","",ROUND(Y68+Z68+IF(L68="",0,L68)+IF(M68="",0,M68)+AC68,2))</f>
        <v>0</v>
      </c>
      <c r="AE68" s="36">
        <f>IF(B68="","",ROUND((IF(P68="",0,P68)*60+IF(Q68="",0,Q68))*V68,1))</f>
        <v>0</v>
      </c>
      <c r="AF68" s="20">
        <f>IF(B68="","",IF(R68&lt;&gt;"",R68,LaborCostHour))</f>
        <v>0</v>
      </c>
      <c r="AG68" s="20">
        <f>IF(B68="","",ROUND(AE68/60*AF68,2))</f>
        <v>0</v>
      </c>
      <c r="AH68" s="20">
        <f>IF(B68="","",ROUND(AE68/60*SuppliesPerHour,2))</f>
        <v>0</v>
      </c>
      <c r="AI68" s="45">
        <f>IF(B68="","",IF(OR(X68="",X68=0),"",ROUND(AD68/X68,4)))</f>
        <v>0</v>
      </c>
      <c r="AJ68" s="20">
        <f>IF(B68="","",ROUND(AD68+AG68+AH68,2))</f>
        <v>0</v>
      </c>
      <c r="AK68" s="33">
        <f>IF(B68="","",IFERROR(INDEX(Channels!$S$5:$S$18,MATCH(DefaultChannel,Channels!$A$5:$A$18,0)),0))</f>
        <v>0</v>
      </c>
      <c r="AL68" s="20">
        <f>IF(B68="","",IFERROR(INDEX(Channels!$T$5:$T$18,MATCH(DefaultChannel,Channels!$A$5:$A$18,0)),0))</f>
        <v>0</v>
      </c>
      <c r="AM68" s="41">
        <f>IF(B68="","",1-TargetRetailMargin-AK68)</f>
        <v>0</v>
      </c>
      <c r="AN68" s="20">
        <f>IF(B68="","",IF(AM68&lt;=0,"",(AJ68+AL68)/AM68))</f>
        <v>0</v>
      </c>
      <c r="AO68" s="20">
        <f>IF(B68="","",IF(AN68="","Check the settings",ROUND(IF(RoundingRule="None",AN68,IF(RoundingRule="Nearest 0.99",MAX(0.99,CEILING(AN68,1)-0.01),IF(RoundingRule="Nearest 0.95",MAX(0.95,CEILING(AN68,1)-0.05),IF(RoundingRule="Nearest 0.50",CEILING(AN68,0.5),IF(RoundingRule="Nearest 1",CEILING(AN68,1),IF(RoundingRule="Nearest 5",CEILING(AN68,5),IF(RoundingRule="Up to whole 1",CEILING(AN68,1),IF(RoundingRule="Up to whole 5",CEILING(AN68,5),ROUND(AN68,2))))))))),2)))</f>
        <v>0</v>
      </c>
      <c r="AP68" s="20">
        <f>IF(B68="","",IF(S68&lt;&gt;"",S68,IF(ISNUMBER(AO68),AO68,"")))</f>
        <v>0</v>
      </c>
      <c r="AQ68" s="20">
        <f>IF(B68="","",IF(AP68="","",ROUND(AP68-AJ68-(AP68*AK68+AL68),2)))</f>
        <v>0</v>
      </c>
      <c r="AR68" s="33">
        <f>IF(B68="","",IF(OR(AP68="",AP68=0),"",AQ68/AP68))</f>
        <v>0</v>
      </c>
      <c r="AS68" s="41">
        <f>IF(B68="","",ROUND(AE68/60,3))</f>
        <v>0</v>
      </c>
      <c r="AT68" s="20">
        <f>IF(B68="","",IF(OR(AS68=0,AS68="",AQ68=""),"",ROUND((AQ68+AG68)/AS68,2)))</f>
        <v>0</v>
      </c>
      <c r="AU68" s="43">
        <f>IF(B68="","",IF(AND(A68&lt;&gt;"",ISERROR(MATCH(A68,Products!$A$5:$A$304,0))),"Check - no such product ID",IF(AD68=0,"Add - no material cost yet",IF(AE68=0,"Add - how long does it take?",IF(AND(A68&lt;&gt;"",COUNTIFS('Material Usage'!$A$5:$A$904,A68)&gt;0),"Check - this product also has a bill of materials",IF(AND(A68&lt;&gt;"",COUNTIFS(Labor!$A$5:$A$304,A68)&gt;0),"Check - this product also has labour lines",IF(AT68&lt;MinimumWage,"Below - pays under minimum wage","OK")))))) )</f>
        <v>0</v>
      </c>
    </row>
    <row r="69" spans="21:47">
      <c r="U69" s="41">
        <f>IF(B69="","",IFERROR(INDEX(SizeMaterialFactors,MATCH(D69,SizeNames,0)),1))</f>
        <v>0</v>
      </c>
      <c r="V69" s="41">
        <f>IF(B69="","",IFERROR(INDEX(SizeTimeFactors,MATCH(D69,SizeNames,0)),1))</f>
        <v>0</v>
      </c>
      <c r="W69" s="33">
        <f>IF(B69="","",IF(K69="",DefaultWaste,K69))</f>
        <v>0</v>
      </c>
      <c r="X69" s="36">
        <f>IF(B69="","",ROUND((IF(H69="",0,H69)+IF(J69="",0,J69))*U69*(1+W69),1))</f>
        <v>0</v>
      </c>
      <c r="Y69" s="20">
        <f>IF(B69="","",ROUND(IF(H69="",0,H69)*U69*(1+W69)*IFERROR(INDEX(Materials!$V$5:$V$254,MATCH(G69,Materials!$A$5:$A$254,0)),0),2))</f>
        <v>0</v>
      </c>
      <c r="Z69" s="20">
        <f>IF(B69="","",ROUND(IF(J69="",0,J69)*U69*(1+W69)*IFERROR(INDEX(Materials!$V$5:$V$254,MATCH(I69,Materials!$A$5:$A$254,0)),0),2))</f>
        <v>0</v>
      </c>
      <c r="AA69" s="36">
        <f>IF(B69="","",IF(IFERROR(INDEX(Materials!$G$5:$G$254,MATCH(G69,Materials!$A$5:$A$254,0)),0)=0,"",ROUNDUP(IF(H69="",0,H69)*U69*(1+W69)/(IFERROR(INDEX(Materials!$G$5:$G$254,MATCH(G69,Materials!$A$5:$A$254,0)),0)*IFERROR(INDEX(Materials!$U$5:$U$254,MATCH(G69,Materials!$A$5:$A$254,0)),1)),0)))</f>
        <v>0</v>
      </c>
      <c r="AB69" s="36">
        <f>IF(B69="","",IF(AA69="","",ROUND(AA69*IFERROR(INDEX(Materials!$G$5:$G$254,MATCH(G69,Materials!$A$5:$A$254,0)),0)*IFERROR(INDEX(Materials!$U$5:$U$254,MATCH(G69,Materials!$A$5:$A$254,0)),1)-IF(H69="",0,H69)*U69*(1+W69),1)))</f>
        <v>0</v>
      </c>
      <c r="AC69" s="20">
        <f>IF(B69="","",IF(N69="",0,ROUND(N69/MAX(1,IF(O69="",1,O69)),2)))</f>
        <v>0</v>
      </c>
      <c r="AD69" s="20">
        <f>IF(B69="","",ROUND(Y69+Z69+IF(L69="",0,L69)+IF(M69="",0,M69)+AC69,2))</f>
        <v>0</v>
      </c>
      <c r="AE69" s="36">
        <f>IF(B69="","",ROUND((IF(P69="",0,P69)*60+IF(Q69="",0,Q69))*V69,1))</f>
        <v>0</v>
      </c>
      <c r="AF69" s="20">
        <f>IF(B69="","",IF(R69&lt;&gt;"",R69,LaborCostHour))</f>
        <v>0</v>
      </c>
      <c r="AG69" s="20">
        <f>IF(B69="","",ROUND(AE69/60*AF69,2))</f>
        <v>0</v>
      </c>
      <c r="AH69" s="20">
        <f>IF(B69="","",ROUND(AE69/60*SuppliesPerHour,2))</f>
        <v>0</v>
      </c>
      <c r="AI69" s="45">
        <f>IF(B69="","",IF(OR(X69="",X69=0),"",ROUND(AD69/X69,4)))</f>
        <v>0</v>
      </c>
      <c r="AJ69" s="20">
        <f>IF(B69="","",ROUND(AD69+AG69+AH69,2))</f>
        <v>0</v>
      </c>
      <c r="AK69" s="33">
        <f>IF(B69="","",IFERROR(INDEX(Channels!$S$5:$S$18,MATCH(DefaultChannel,Channels!$A$5:$A$18,0)),0))</f>
        <v>0</v>
      </c>
      <c r="AL69" s="20">
        <f>IF(B69="","",IFERROR(INDEX(Channels!$T$5:$T$18,MATCH(DefaultChannel,Channels!$A$5:$A$18,0)),0))</f>
        <v>0</v>
      </c>
      <c r="AM69" s="41">
        <f>IF(B69="","",1-TargetRetailMargin-AK69)</f>
        <v>0</v>
      </c>
      <c r="AN69" s="20">
        <f>IF(B69="","",IF(AM69&lt;=0,"",(AJ69+AL69)/AM69))</f>
        <v>0</v>
      </c>
      <c r="AO69" s="20">
        <f>IF(B69="","",IF(AN69="","Check the settings",ROUND(IF(RoundingRule="None",AN69,IF(RoundingRule="Nearest 0.99",MAX(0.99,CEILING(AN69,1)-0.01),IF(RoundingRule="Nearest 0.95",MAX(0.95,CEILING(AN69,1)-0.05),IF(RoundingRule="Nearest 0.50",CEILING(AN69,0.5),IF(RoundingRule="Nearest 1",CEILING(AN69,1),IF(RoundingRule="Nearest 5",CEILING(AN69,5),IF(RoundingRule="Up to whole 1",CEILING(AN69,1),IF(RoundingRule="Up to whole 5",CEILING(AN69,5),ROUND(AN69,2))))))))),2)))</f>
        <v>0</v>
      </c>
      <c r="AP69" s="20">
        <f>IF(B69="","",IF(S69&lt;&gt;"",S69,IF(ISNUMBER(AO69),AO69,"")))</f>
        <v>0</v>
      </c>
      <c r="AQ69" s="20">
        <f>IF(B69="","",IF(AP69="","",ROUND(AP69-AJ69-(AP69*AK69+AL69),2)))</f>
        <v>0</v>
      </c>
      <c r="AR69" s="33">
        <f>IF(B69="","",IF(OR(AP69="",AP69=0),"",AQ69/AP69))</f>
        <v>0</v>
      </c>
      <c r="AS69" s="41">
        <f>IF(B69="","",ROUND(AE69/60,3))</f>
        <v>0</v>
      </c>
      <c r="AT69" s="20">
        <f>IF(B69="","",IF(OR(AS69=0,AS69="",AQ69=""),"",ROUND((AQ69+AG69)/AS69,2)))</f>
        <v>0</v>
      </c>
      <c r="AU69" s="43">
        <f>IF(B69="","",IF(AND(A69&lt;&gt;"",ISERROR(MATCH(A69,Products!$A$5:$A$304,0))),"Check - no such product ID",IF(AD69=0,"Add - no material cost yet",IF(AE69=0,"Add - how long does it take?",IF(AND(A69&lt;&gt;"",COUNTIFS('Material Usage'!$A$5:$A$904,A69)&gt;0),"Check - this product also has a bill of materials",IF(AND(A69&lt;&gt;"",COUNTIFS(Labor!$A$5:$A$304,A69)&gt;0),"Check - this product also has labour lines",IF(AT69&lt;MinimumWage,"Below - pays under minimum wage","OK")))))) )</f>
        <v>0</v>
      </c>
    </row>
    <row r="70" spans="21:47">
      <c r="U70" s="41">
        <f>IF(B70="","",IFERROR(INDEX(SizeMaterialFactors,MATCH(D70,SizeNames,0)),1))</f>
        <v>0</v>
      </c>
      <c r="V70" s="41">
        <f>IF(B70="","",IFERROR(INDEX(SizeTimeFactors,MATCH(D70,SizeNames,0)),1))</f>
        <v>0</v>
      </c>
      <c r="W70" s="33">
        <f>IF(B70="","",IF(K70="",DefaultWaste,K70))</f>
        <v>0</v>
      </c>
      <c r="X70" s="36">
        <f>IF(B70="","",ROUND((IF(H70="",0,H70)+IF(J70="",0,J70))*U70*(1+W70),1))</f>
        <v>0</v>
      </c>
      <c r="Y70" s="20">
        <f>IF(B70="","",ROUND(IF(H70="",0,H70)*U70*(1+W70)*IFERROR(INDEX(Materials!$V$5:$V$254,MATCH(G70,Materials!$A$5:$A$254,0)),0),2))</f>
        <v>0</v>
      </c>
      <c r="Z70" s="20">
        <f>IF(B70="","",ROUND(IF(J70="",0,J70)*U70*(1+W70)*IFERROR(INDEX(Materials!$V$5:$V$254,MATCH(I70,Materials!$A$5:$A$254,0)),0),2))</f>
        <v>0</v>
      </c>
      <c r="AA70" s="36">
        <f>IF(B70="","",IF(IFERROR(INDEX(Materials!$G$5:$G$254,MATCH(G70,Materials!$A$5:$A$254,0)),0)=0,"",ROUNDUP(IF(H70="",0,H70)*U70*(1+W70)/(IFERROR(INDEX(Materials!$G$5:$G$254,MATCH(G70,Materials!$A$5:$A$254,0)),0)*IFERROR(INDEX(Materials!$U$5:$U$254,MATCH(G70,Materials!$A$5:$A$254,0)),1)),0)))</f>
        <v>0</v>
      </c>
      <c r="AB70" s="36">
        <f>IF(B70="","",IF(AA70="","",ROUND(AA70*IFERROR(INDEX(Materials!$G$5:$G$254,MATCH(G70,Materials!$A$5:$A$254,0)),0)*IFERROR(INDEX(Materials!$U$5:$U$254,MATCH(G70,Materials!$A$5:$A$254,0)),1)-IF(H70="",0,H70)*U70*(1+W70),1)))</f>
        <v>0</v>
      </c>
      <c r="AC70" s="20">
        <f>IF(B70="","",IF(N70="",0,ROUND(N70/MAX(1,IF(O70="",1,O70)),2)))</f>
        <v>0</v>
      </c>
      <c r="AD70" s="20">
        <f>IF(B70="","",ROUND(Y70+Z70+IF(L70="",0,L70)+IF(M70="",0,M70)+AC70,2))</f>
        <v>0</v>
      </c>
      <c r="AE70" s="36">
        <f>IF(B70="","",ROUND((IF(P70="",0,P70)*60+IF(Q70="",0,Q70))*V70,1))</f>
        <v>0</v>
      </c>
      <c r="AF70" s="20">
        <f>IF(B70="","",IF(R70&lt;&gt;"",R70,LaborCostHour))</f>
        <v>0</v>
      </c>
      <c r="AG70" s="20">
        <f>IF(B70="","",ROUND(AE70/60*AF70,2))</f>
        <v>0</v>
      </c>
      <c r="AH70" s="20">
        <f>IF(B70="","",ROUND(AE70/60*SuppliesPerHour,2))</f>
        <v>0</v>
      </c>
      <c r="AI70" s="45">
        <f>IF(B70="","",IF(OR(X70="",X70=0),"",ROUND(AD70/X70,4)))</f>
        <v>0</v>
      </c>
      <c r="AJ70" s="20">
        <f>IF(B70="","",ROUND(AD70+AG70+AH70,2))</f>
        <v>0</v>
      </c>
      <c r="AK70" s="33">
        <f>IF(B70="","",IFERROR(INDEX(Channels!$S$5:$S$18,MATCH(DefaultChannel,Channels!$A$5:$A$18,0)),0))</f>
        <v>0</v>
      </c>
      <c r="AL70" s="20">
        <f>IF(B70="","",IFERROR(INDEX(Channels!$T$5:$T$18,MATCH(DefaultChannel,Channels!$A$5:$A$18,0)),0))</f>
        <v>0</v>
      </c>
      <c r="AM70" s="41">
        <f>IF(B70="","",1-TargetRetailMargin-AK70)</f>
        <v>0</v>
      </c>
      <c r="AN70" s="20">
        <f>IF(B70="","",IF(AM70&lt;=0,"",(AJ70+AL70)/AM70))</f>
        <v>0</v>
      </c>
      <c r="AO70" s="20">
        <f>IF(B70="","",IF(AN70="","Check the settings",ROUND(IF(RoundingRule="None",AN70,IF(RoundingRule="Nearest 0.99",MAX(0.99,CEILING(AN70,1)-0.01),IF(RoundingRule="Nearest 0.95",MAX(0.95,CEILING(AN70,1)-0.05),IF(RoundingRule="Nearest 0.50",CEILING(AN70,0.5),IF(RoundingRule="Nearest 1",CEILING(AN70,1),IF(RoundingRule="Nearest 5",CEILING(AN70,5),IF(RoundingRule="Up to whole 1",CEILING(AN70,1),IF(RoundingRule="Up to whole 5",CEILING(AN70,5),ROUND(AN70,2))))))))),2)))</f>
        <v>0</v>
      </c>
      <c r="AP70" s="20">
        <f>IF(B70="","",IF(S70&lt;&gt;"",S70,IF(ISNUMBER(AO70),AO70,"")))</f>
        <v>0</v>
      </c>
      <c r="AQ70" s="20">
        <f>IF(B70="","",IF(AP70="","",ROUND(AP70-AJ70-(AP70*AK70+AL70),2)))</f>
        <v>0</v>
      </c>
      <c r="AR70" s="33">
        <f>IF(B70="","",IF(OR(AP70="",AP70=0),"",AQ70/AP70))</f>
        <v>0</v>
      </c>
      <c r="AS70" s="41">
        <f>IF(B70="","",ROUND(AE70/60,3))</f>
        <v>0</v>
      </c>
      <c r="AT70" s="20">
        <f>IF(B70="","",IF(OR(AS70=0,AS70="",AQ70=""),"",ROUND((AQ70+AG70)/AS70,2)))</f>
        <v>0</v>
      </c>
      <c r="AU70" s="43">
        <f>IF(B70="","",IF(AND(A70&lt;&gt;"",ISERROR(MATCH(A70,Products!$A$5:$A$304,0))),"Check - no such product ID",IF(AD70=0,"Add - no material cost yet",IF(AE70=0,"Add - how long does it take?",IF(AND(A70&lt;&gt;"",COUNTIFS('Material Usage'!$A$5:$A$904,A70)&gt;0),"Check - this product also has a bill of materials",IF(AND(A70&lt;&gt;"",COUNTIFS(Labor!$A$5:$A$304,A70)&gt;0),"Check - this product also has labour lines",IF(AT70&lt;MinimumWage,"Below - pays under minimum wage","OK")))))) )</f>
        <v>0</v>
      </c>
    </row>
    <row r="71" spans="21:47">
      <c r="U71" s="41">
        <f>IF(B71="","",IFERROR(INDEX(SizeMaterialFactors,MATCH(D71,SizeNames,0)),1))</f>
        <v>0</v>
      </c>
      <c r="V71" s="41">
        <f>IF(B71="","",IFERROR(INDEX(SizeTimeFactors,MATCH(D71,SizeNames,0)),1))</f>
        <v>0</v>
      </c>
      <c r="W71" s="33">
        <f>IF(B71="","",IF(K71="",DefaultWaste,K71))</f>
        <v>0</v>
      </c>
      <c r="X71" s="36">
        <f>IF(B71="","",ROUND((IF(H71="",0,H71)+IF(J71="",0,J71))*U71*(1+W71),1))</f>
        <v>0</v>
      </c>
      <c r="Y71" s="20">
        <f>IF(B71="","",ROUND(IF(H71="",0,H71)*U71*(1+W71)*IFERROR(INDEX(Materials!$V$5:$V$254,MATCH(G71,Materials!$A$5:$A$254,0)),0),2))</f>
        <v>0</v>
      </c>
      <c r="Z71" s="20">
        <f>IF(B71="","",ROUND(IF(J71="",0,J71)*U71*(1+W71)*IFERROR(INDEX(Materials!$V$5:$V$254,MATCH(I71,Materials!$A$5:$A$254,0)),0),2))</f>
        <v>0</v>
      </c>
      <c r="AA71" s="36">
        <f>IF(B71="","",IF(IFERROR(INDEX(Materials!$G$5:$G$254,MATCH(G71,Materials!$A$5:$A$254,0)),0)=0,"",ROUNDUP(IF(H71="",0,H71)*U71*(1+W71)/(IFERROR(INDEX(Materials!$G$5:$G$254,MATCH(G71,Materials!$A$5:$A$254,0)),0)*IFERROR(INDEX(Materials!$U$5:$U$254,MATCH(G71,Materials!$A$5:$A$254,0)),1)),0)))</f>
        <v>0</v>
      </c>
      <c r="AB71" s="36">
        <f>IF(B71="","",IF(AA71="","",ROUND(AA71*IFERROR(INDEX(Materials!$G$5:$G$254,MATCH(G71,Materials!$A$5:$A$254,0)),0)*IFERROR(INDEX(Materials!$U$5:$U$254,MATCH(G71,Materials!$A$5:$A$254,0)),1)-IF(H71="",0,H71)*U71*(1+W71),1)))</f>
        <v>0</v>
      </c>
      <c r="AC71" s="20">
        <f>IF(B71="","",IF(N71="",0,ROUND(N71/MAX(1,IF(O71="",1,O71)),2)))</f>
        <v>0</v>
      </c>
      <c r="AD71" s="20">
        <f>IF(B71="","",ROUND(Y71+Z71+IF(L71="",0,L71)+IF(M71="",0,M71)+AC71,2))</f>
        <v>0</v>
      </c>
      <c r="AE71" s="36">
        <f>IF(B71="","",ROUND((IF(P71="",0,P71)*60+IF(Q71="",0,Q71))*V71,1))</f>
        <v>0</v>
      </c>
      <c r="AF71" s="20">
        <f>IF(B71="","",IF(R71&lt;&gt;"",R71,LaborCostHour))</f>
        <v>0</v>
      </c>
      <c r="AG71" s="20">
        <f>IF(B71="","",ROUND(AE71/60*AF71,2))</f>
        <v>0</v>
      </c>
      <c r="AH71" s="20">
        <f>IF(B71="","",ROUND(AE71/60*SuppliesPerHour,2))</f>
        <v>0</v>
      </c>
      <c r="AI71" s="45">
        <f>IF(B71="","",IF(OR(X71="",X71=0),"",ROUND(AD71/X71,4)))</f>
        <v>0</v>
      </c>
      <c r="AJ71" s="20">
        <f>IF(B71="","",ROUND(AD71+AG71+AH71,2))</f>
        <v>0</v>
      </c>
      <c r="AK71" s="33">
        <f>IF(B71="","",IFERROR(INDEX(Channels!$S$5:$S$18,MATCH(DefaultChannel,Channels!$A$5:$A$18,0)),0))</f>
        <v>0</v>
      </c>
      <c r="AL71" s="20">
        <f>IF(B71="","",IFERROR(INDEX(Channels!$T$5:$T$18,MATCH(DefaultChannel,Channels!$A$5:$A$18,0)),0))</f>
        <v>0</v>
      </c>
      <c r="AM71" s="41">
        <f>IF(B71="","",1-TargetRetailMargin-AK71)</f>
        <v>0</v>
      </c>
      <c r="AN71" s="20">
        <f>IF(B71="","",IF(AM71&lt;=0,"",(AJ71+AL71)/AM71))</f>
        <v>0</v>
      </c>
      <c r="AO71" s="20">
        <f>IF(B71="","",IF(AN71="","Check the settings",ROUND(IF(RoundingRule="None",AN71,IF(RoundingRule="Nearest 0.99",MAX(0.99,CEILING(AN71,1)-0.01),IF(RoundingRule="Nearest 0.95",MAX(0.95,CEILING(AN71,1)-0.05),IF(RoundingRule="Nearest 0.50",CEILING(AN71,0.5),IF(RoundingRule="Nearest 1",CEILING(AN71,1),IF(RoundingRule="Nearest 5",CEILING(AN71,5),IF(RoundingRule="Up to whole 1",CEILING(AN71,1),IF(RoundingRule="Up to whole 5",CEILING(AN71,5),ROUND(AN71,2))))))))),2)))</f>
        <v>0</v>
      </c>
      <c r="AP71" s="20">
        <f>IF(B71="","",IF(S71&lt;&gt;"",S71,IF(ISNUMBER(AO71),AO71,"")))</f>
        <v>0</v>
      </c>
      <c r="AQ71" s="20">
        <f>IF(B71="","",IF(AP71="","",ROUND(AP71-AJ71-(AP71*AK71+AL71),2)))</f>
        <v>0</v>
      </c>
      <c r="AR71" s="33">
        <f>IF(B71="","",IF(OR(AP71="",AP71=0),"",AQ71/AP71))</f>
        <v>0</v>
      </c>
      <c r="AS71" s="41">
        <f>IF(B71="","",ROUND(AE71/60,3))</f>
        <v>0</v>
      </c>
      <c r="AT71" s="20">
        <f>IF(B71="","",IF(OR(AS71=0,AS71="",AQ71=""),"",ROUND((AQ71+AG71)/AS71,2)))</f>
        <v>0</v>
      </c>
      <c r="AU71" s="43">
        <f>IF(B71="","",IF(AND(A71&lt;&gt;"",ISERROR(MATCH(A71,Products!$A$5:$A$304,0))),"Check - no such product ID",IF(AD71=0,"Add - no material cost yet",IF(AE71=0,"Add - how long does it take?",IF(AND(A71&lt;&gt;"",COUNTIFS('Material Usage'!$A$5:$A$904,A71)&gt;0),"Check - this product also has a bill of materials",IF(AND(A71&lt;&gt;"",COUNTIFS(Labor!$A$5:$A$304,A71)&gt;0),"Check - this product also has labour lines",IF(AT71&lt;MinimumWage,"Below - pays under minimum wage","OK")))))) )</f>
        <v>0</v>
      </c>
    </row>
    <row r="72" spans="21:47">
      <c r="U72" s="41">
        <f>IF(B72="","",IFERROR(INDEX(SizeMaterialFactors,MATCH(D72,SizeNames,0)),1))</f>
        <v>0</v>
      </c>
      <c r="V72" s="41">
        <f>IF(B72="","",IFERROR(INDEX(SizeTimeFactors,MATCH(D72,SizeNames,0)),1))</f>
        <v>0</v>
      </c>
      <c r="W72" s="33">
        <f>IF(B72="","",IF(K72="",DefaultWaste,K72))</f>
        <v>0</v>
      </c>
      <c r="X72" s="36">
        <f>IF(B72="","",ROUND((IF(H72="",0,H72)+IF(J72="",0,J72))*U72*(1+W72),1))</f>
        <v>0</v>
      </c>
      <c r="Y72" s="20">
        <f>IF(B72="","",ROUND(IF(H72="",0,H72)*U72*(1+W72)*IFERROR(INDEX(Materials!$V$5:$V$254,MATCH(G72,Materials!$A$5:$A$254,0)),0),2))</f>
        <v>0</v>
      </c>
      <c r="Z72" s="20">
        <f>IF(B72="","",ROUND(IF(J72="",0,J72)*U72*(1+W72)*IFERROR(INDEX(Materials!$V$5:$V$254,MATCH(I72,Materials!$A$5:$A$254,0)),0),2))</f>
        <v>0</v>
      </c>
      <c r="AA72" s="36">
        <f>IF(B72="","",IF(IFERROR(INDEX(Materials!$G$5:$G$254,MATCH(G72,Materials!$A$5:$A$254,0)),0)=0,"",ROUNDUP(IF(H72="",0,H72)*U72*(1+W72)/(IFERROR(INDEX(Materials!$G$5:$G$254,MATCH(G72,Materials!$A$5:$A$254,0)),0)*IFERROR(INDEX(Materials!$U$5:$U$254,MATCH(G72,Materials!$A$5:$A$254,0)),1)),0)))</f>
        <v>0</v>
      </c>
      <c r="AB72" s="36">
        <f>IF(B72="","",IF(AA72="","",ROUND(AA72*IFERROR(INDEX(Materials!$G$5:$G$254,MATCH(G72,Materials!$A$5:$A$254,0)),0)*IFERROR(INDEX(Materials!$U$5:$U$254,MATCH(G72,Materials!$A$5:$A$254,0)),1)-IF(H72="",0,H72)*U72*(1+W72),1)))</f>
        <v>0</v>
      </c>
      <c r="AC72" s="20">
        <f>IF(B72="","",IF(N72="",0,ROUND(N72/MAX(1,IF(O72="",1,O72)),2)))</f>
        <v>0</v>
      </c>
      <c r="AD72" s="20">
        <f>IF(B72="","",ROUND(Y72+Z72+IF(L72="",0,L72)+IF(M72="",0,M72)+AC72,2))</f>
        <v>0</v>
      </c>
      <c r="AE72" s="36">
        <f>IF(B72="","",ROUND((IF(P72="",0,P72)*60+IF(Q72="",0,Q72))*V72,1))</f>
        <v>0</v>
      </c>
      <c r="AF72" s="20">
        <f>IF(B72="","",IF(R72&lt;&gt;"",R72,LaborCostHour))</f>
        <v>0</v>
      </c>
      <c r="AG72" s="20">
        <f>IF(B72="","",ROUND(AE72/60*AF72,2))</f>
        <v>0</v>
      </c>
      <c r="AH72" s="20">
        <f>IF(B72="","",ROUND(AE72/60*SuppliesPerHour,2))</f>
        <v>0</v>
      </c>
      <c r="AI72" s="45">
        <f>IF(B72="","",IF(OR(X72="",X72=0),"",ROUND(AD72/X72,4)))</f>
        <v>0</v>
      </c>
      <c r="AJ72" s="20">
        <f>IF(B72="","",ROUND(AD72+AG72+AH72,2))</f>
        <v>0</v>
      </c>
      <c r="AK72" s="33">
        <f>IF(B72="","",IFERROR(INDEX(Channels!$S$5:$S$18,MATCH(DefaultChannel,Channels!$A$5:$A$18,0)),0))</f>
        <v>0</v>
      </c>
      <c r="AL72" s="20">
        <f>IF(B72="","",IFERROR(INDEX(Channels!$T$5:$T$18,MATCH(DefaultChannel,Channels!$A$5:$A$18,0)),0))</f>
        <v>0</v>
      </c>
      <c r="AM72" s="41">
        <f>IF(B72="","",1-TargetRetailMargin-AK72)</f>
        <v>0</v>
      </c>
      <c r="AN72" s="20">
        <f>IF(B72="","",IF(AM72&lt;=0,"",(AJ72+AL72)/AM72))</f>
        <v>0</v>
      </c>
      <c r="AO72" s="20">
        <f>IF(B72="","",IF(AN72="","Check the settings",ROUND(IF(RoundingRule="None",AN72,IF(RoundingRule="Nearest 0.99",MAX(0.99,CEILING(AN72,1)-0.01),IF(RoundingRule="Nearest 0.95",MAX(0.95,CEILING(AN72,1)-0.05),IF(RoundingRule="Nearest 0.50",CEILING(AN72,0.5),IF(RoundingRule="Nearest 1",CEILING(AN72,1),IF(RoundingRule="Nearest 5",CEILING(AN72,5),IF(RoundingRule="Up to whole 1",CEILING(AN72,1),IF(RoundingRule="Up to whole 5",CEILING(AN72,5),ROUND(AN72,2))))))))),2)))</f>
        <v>0</v>
      </c>
      <c r="AP72" s="20">
        <f>IF(B72="","",IF(S72&lt;&gt;"",S72,IF(ISNUMBER(AO72),AO72,"")))</f>
        <v>0</v>
      </c>
      <c r="AQ72" s="20">
        <f>IF(B72="","",IF(AP72="","",ROUND(AP72-AJ72-(AP72*AK72+AL72),2)))</f>
        <v>0</v>
      </c>
      <c r="AR72" s="33">
        <f>IF(B72="","",IF(OR(AP72="",AP72=0),"",AQ72/AP72))</f>
        <v>0</v>
      </c>
      <c r="AS72" s="41">
        <f>IF(B72="","",ROUND(AE72/60,3))</f>
        <v>0</v>
      </c>
      <c r="AT72" s="20">
        <f>IF(B72="","",IF(OR(AS72=0,AS72="",AQ72=""),"",ROUND((AQ72+AG72)/AS72,2)))</f>
        <v>0</v>
      </c>
      <c r="AU72" s="43">
        <f>IF(B72="","",IF(AND(A72&lt;&gt;"",ISERROR(MATCH(A72,Products!$A$5:$A$304,0))),"Check - no such product ID",IF(AD72=0,"Add - no material cost yet",IF(AE72=0,"Add - how long does it take?",IF(AND(A72&lt;&gt;"",COUNTIFS('Material Usage'!$A$5:$A$904,A72)&gt;0),"Check - this product also has a bill of materials",IF(AND(A72&lt;&gt;"",COUNTIFS(Labor!$A$5:$A$304,A72)&gt;0),"Check - this product also has labour lines",IF(AT72&lt;MinimumWage,"Below - pays under minimum wage","OK")))))) )</f>
        <v>0</v>
      </c>
    </row>
    <row r="73" spans="21:47">
      <c r="U73" s="41">
        <f>IF(B73="","",IFERROR(INDEX(SizeMaterialFactors,MATCH(D73,SizeNames,0)),1))</f>
        <v>0</v>
      </c>
      <c r="V73" s="41">
        <f>IF(B73="","",IFERROR(INDEX(SizeTimeFactors,MATCH(D73,SizeNames,0)),1))</f>
        <v>0</v>
      </c>
      <c r="W73" s="33">
        <f>IF(B73="","",IF(K73="",DefaultWaste,K73))</f>
        <v>0</v>
      </c>
      <c r="X73" s="36">
        <f>IF(B73="","",ROUND((IF(H73="",0,H73)+IF(J73="",0,J73))*U73*(1+W73),1))</f>
        <v>0</v>
      </c>
      <c r="Y73" s="20">
        <f>IF(B73="","",ROUND(IF(H73="",0,H73)*U73*(1+W73)*IFERROR(INDEX(Materials!$V$5:$V$254,MATCH(G73,Materials!$A$5:$A$254,0)),0),2))</f>
        <v>0</v>
      </c>
      <c r="Z73" s="20">
        <f>IF(B73="","",ROUND(IF(J73="",0,J73)*U73*(1+W73)*IFERROR(INDEX(Materials!$V$5:$V$254,MATCH(I73,Materials!$A$5:$A$254,0)),0),2))</f>
        <v>0</v>
      </c>
      <c r="AA73" s="36">
        <f>IF(B73="","",IF(IFERROR(INDEX(Materials!$G$5:$G$254,MATCH(G73,Materials!$A$5:$A$254,0)),0)=0,"",ROUNDUP(IF(H73="",0,H73)*U73*(1+W73)/(IFERROR(INDEX(Materials!$G$5:$G$254,MATCH(G73,Materials!$A$5:$A$254,0)),0)*IFERROR(INDEX(Materials!$U$5:$U$254,MATCH(G73,Materials!$A$5:$A$254,0)),1)),0)))</f>
        <v>0</v>
      </c>
      <c r="AB73" s="36">
        <f>IF(B73="","",IF(AA73="","",ROUND(AA73*IFERROR(INDEX(Materials!$G$5:$G$254,MATCH(G73,Materials!$A$5:$A$254,0)),0)*IFERROR(INDEX(Materials!$U$5:$U$254,MATCH(G73,Materials!$A$5:$A$254,0)),1)-IF(H73="",0,H73)*U73*(1+W73),1)))</f>
        <v>0</v>
      </c>
      <c r="AC73" s="20">
        <f>IF(B73="","",IF(N73="",0,ROUND(N73/MAX(1,IF(O73="",1,O73)),2)))</f>
        <v>0</v>
      </c>
      <c r="AD73" s="20">
        <f>IF(B73="","",ROUND(Y73+Z73+IF(L73="",0,L73)+IF(M73="",0,M73)+AC73,2))</f>
        <v>0</v>
      </c>
      <c r="AE73" s="36">
        <f>IF(B73="","",ROUND((IF(P73="",0,P73)*60+IF(Q73="",0,Q73))*V73,1))</f>
        <v>0</v>
      </c>
      <c r="AF73" s="20">
        <f>IF(B73="","",IF(R73&lt;&gt;"",R73,LaborCostHour))</f>
        <v>0</v>
      </c>
      <c r="AG73" s="20">
        <f>IF(B73="","",ROUND(AE73/60*AF73,2))</f>
        <v>0</v>
      </c>
      <c r="AH73" s="20">
        <f>IF(B73="","",ROUND(AE73/60*SuppliesPerHour,2))</f>
        <v>0</v>
      </c>
      <c r="AI73" s="45">
        <f>IF(B73="","",IF(OR(X73="",X73=0),"",ROUND(AD73/X73,4)))</f>
        <v>0</v>
      </c>
      <c r="AJ73" s="20">
        <f>IF(B73="","",ROUND(AD73+AG73+AH73,2))</f>
        <v>0</v>
      </c>
      <c r="AK73" s="33">
        <f>IF(B73="","",IFERROR(INDEX(Channels!$S$5:$S$18,MATCH(DefaultChannel,Channels!$A$5:$A$18,0)),0))</f>
        <v>0</v>
      </c>
      <c r="AL73" s="20">
        <f>IF(B73="","",IFERROR(INDEX(Channels!$T$5:$T$18,MATCH(DefaultChannel,Channels!$A$5:$A$18,0)),0))</f>
        <v>0</v>
      </c>
      <c r="AM73" s="41">
        <f>IF(B73="","",1-TargetRetailMargin-AK73)</f>
        <v>0</v>
      </c>
      <c r="AN73" s="20">
        <f>IF(B73="","",IF(AM73&lt;=0,"",(AJ73+AL73)/AM73))</f>
        <v>0</v>
      </c>
      <c r="AO73" s="20">
        <f>IF(B73="","",IF(AN73="","Check the settings",ROUND(IF(RoundingRule="None",AN73,IF(RoundingRule="Nearest 0.99",MAX(0.99,CEILING(AN73,1)-0.01),IF(RoundingRule="Nearest 0.95",MAX(0.95,CEILING(AN73,1)-0.05),IF(RoundingRule="Nearest 0.50",CEILING(AN73,0.5),IF(RoundingRule="Nearest 1",CEILING(AN73,1),IF(RoundingRule="Nearest 5",CEILING(AN73,5),IF(RoundingRule="Up to whole 1",CEILING(AN73,1),IF(RoundingRule="Up to whole 5",CEILING(AN73,5),ROUND(AN73,2))))))))),2)))</f>
        <v>0</v>
      </c>
      <c r="AP73" s="20">
        <f>IF(B73="","",IF(S73&lt;&gt;"",S73,IF(ISNUMBER(AO73),AO73,"")))</f>
        <v>0</v>
      </c>
      <c r="AQ73" s="20">
        <f>IF(B73="","",IF(AP73="","",ROUND(AP73-AJ73-(AP73*AK73+AL73),2)))</f>
        <v>0</v>
      </c>
      <c r="AR73" s="33">
        <f>IF(B73="","",IF(OR(AP73="",AP73=0),"",AQ73/AP73))</f>
        <v>0</v>
      </c>
      <c r="AS73" s="41">
        <f>IF(B73="","",ROUND(AE73/60,3))</f>
        <v>0</v>
      </c>
      <c r="AT73" s="20">
        <f>IF(B73="","",IF(OR(AS73=0,AS73="",AQ73=""),"",ROUND((AQ73+AG73)/AS73,2)))</f>
        <v>0</v>
      </c>
      <c r="AU73" s="43">
        <f>IF(B73="","",IF(AND(A73&lt;&gt;"",ISERROR(MATCH(A73,Products!$A$5:$A$304,0))),"Check - no such product ID",IF(AD73=0,"Add - no material cost yet",IF(AE73=0,"Add - how long does it take?",IF(AND(A73&lt;&gt;"",COUNTIFS('Material Usage'!$A$5:$A$904,A73)&gt;0),"Check - this product also has a bill of materials",IF(AND(A73&lt;&gt;"",COUNTIFS(Labor!$A$5:$A$304,A73)&gt;0),"Check - this product also has labour lines",IF(AT73&lt;MinimumWage,"Below - pays under minimum wage","OK")))))) )</f>
        <v>0</v>
      </c>
    </row>
    <row r="74" spans="21:47">
      <c r="U74" s="41">
        <f>IF(B74="","",IFERROR(INDEX(SizeMaterialFactors,MATCH(D74,SizeNames,0)),1))</f>
        <v>0</v>
      </c>
      <c r="V74" s="41">
        <f>IF(B74="","",IFERROR(INDEX(SizeTimeFactors,MATCH(D74,SizeNames,0)),1))</f>
        <v>0</v>
      </c>
      <c r="W74" s="33">
        <f>IF(B74="","",IF(K74="",DefaultWaste,K74))</f>
        <v>0</v>
      </c>
      <c r="X74" s="36">
        <f>IF(B74="","",ROUND((IF(H74="",0,H74)+IF(J74="",0,J74))*U74*(1+W74),1))</f>
        <v>0</v>
      </c>
      <c r="Y74" s="20">
        <f>IF(B74="","",ROUND(IF(H74="",0,H74)*U74*(1+W74)*IFERROR(INDEX(Materials!$V$5:$V$254,MATCH(G74,Materials!$A$5:$A$254,0)),0),2))</f>
        <v>0</v>
      </c>
      <c r="Z74" s="20">
        <f>IF(B74="","",ROUND(IF(J74="",0,J74)*U74*(1+W74)*IFERROR(INDEX(Materials!$V$5:$V$254,MATCH(I74,Materials!$A$5:$A$254,0)),0),2))</f>
        <v>0</v>
      </c>
      <c r="AA74" s="36">
        <f>IF(B74="","",IF(IFERROR(INDEX(Materials!$G$5:$G$254,MATCH(G74,Materials!$A$5:$A$254,0)),0)=0,"",ROUNDUP(IF(H74="",0,H74)*U74*(1+W74)/(IFERROR(INDEX(Materials!$G$5:$G$254,MATCH(G74,Materials!$A$5:$A$254,0)),0)*IFERROR(INDEX(Materials!$U$5:$U$254,MATCH(G74,Materials!$A$5:$A$254,0)),1)),0)))</f>
        <v>0</v>
      </c>
      <c r="AB74" s="36">
        <f>IF(B74="","",IF(AA74="","",ROUND(AA74*IFERROR(INDEX(Materials!$G$5:$G$254,MATCH(G74,Materials!$A$5:$A$254,0)),0)*IFERROR(INDEX(Materials!$U$5:$U$254,MATCH(G74,Materials!$A$5:$A$254,0)),1)-IF(H74="",0,H74)*U74*(1+W74),1)))</f>
        <v>0</v>
      </c>
      <c r="AC74" s="20">
        <f>IF(B74="","",IF(N74="",0,ROUND(N74/MAX(1,IF(O74="",1,O74)),2)))</f>
        <v>0</v>
      </c>
      <c r="AD74" s="20">
        <f>IF(B74="","",ROUND(Y74+Z74+IF(L74="",0,L74)+IF(M74="",0,M74)+AC74,2))</f>
        <v>0</v>
      </c>
      <c r="AE74" s="36">
        <f>IF(B74="","",ROUND((IF(P74="",0,P74)*60+IF(Q74="",0,Q74))*V74,1))</f>
        <v>0</v>
      </c>
      <c r="AF74" s="20">
        <f>IF(B74="","",IF(R74&lt;&gt;"",R74,LaborCostHour))</f>
        <v>0</v>
      </c>
      <c r="AG74" s="20">
        <f>IF(B74="","",ROUND(AE74/60*AF74,2))</f>
        <v>0</v>
      </c>
      <c r="AH74" s="20">
        <f>IF(B74="","",ROUND(AE74/60*SuppliesPerHour,2))</f>
        <v>0</v>
      </c>
      <c r="AI74" s="45">
        <f>IF(B74="","",IF(OR(X74="",X74=0),"",ROUND(AD74/X74,4)))</f>
        <v>0</v>
      </c>
      <c r="AJ74" s="20">
        <f>IF(B74="","",ROUND(AD74+AG74+AH74,2))</f>
        <v>0</v>
      </c>
      <c r="AK74" s="33">
        <f>IF(B74="","",IFERROR(INDEX(Channels!$S$5:$S$18,MATCH(DefaultChannel,Channels!$A$5:$A$18,0)),0))</f>
        <v>0</v>
      </c>
      <c r="AL74" s="20">
        <f>IF(B74="","",IFERROR(INDEX(Channels!$T$5:$T$18,MATCH(DefaultChannel,Channels!$A$5:$A$18,0)),0))</f>
        <v>0</v>
      </c>
      <c r="AM74" s="41">
        <f>IF(B74="","",1-TargetRetailMargin-AK74)</f>
        <v>0</v>
      </c>
      <c r="AN74" s="20">
        <f>IF(B74="","",IF(AM74&lt;=0,"",(AJ74+AL74)/AM74))</f>
        <v>0</v>
      </c>
      <c r="AO74" s="20">
        <f>IF(B74="","",IF(AN74="","Check the settings",ROUND(IF(RoundingRule="None",AN74,IF(RoundingRule="Nearest 0.99",MAX(0.99,CEILING(AN74,1)-0.01),IF(RoundingRule="Nearest 0.95",MAX(0.95,CEILING(AN74,1)-0.05),IF(RoundingRule="Nearest 0.50",CEILING(AN74,0.5),IF(RoundingRule="Nearest 1",CEILING(AN74,1),IF(RoundingRule="Nearest 5",CEILING(AN74,5),IF(RoundingRule="Up to whole 1",CEILING(AN74,1),IF(RoundingRule="Up to whole 5",CEILING(AN74,5),ROUND(AN74,2))))))))),2)))</f>
        <v>0</v>
      </c>
      <c r="AP74" s="20">
        <f>IF(B74="","",IF(S74&lt;&gt;"",S74,IF(ISNUMBER(AO74),AO74,"")))</f>
        <v>0</v>
      </c>
      <c r="AQ74" s="20">
        <f>IF(B74="","",IF(AP74="","",ROUND(AP74-AJ74-(AP74*AK74+AL74),2)))</f>
        <v>0</v>
      </c>
      <c r="AR74" s="33">
        <f>IF(B74="","",IF(OR(AP74="",AP74=0),"",AQ74/AP74))</f>
        <v>0</v>
      </c>
      <c r="AS74" s="41">
        <f>IF(B74="","",ROUND(AE74/60,3))</f>
        <v>0</v>
      </c>
      <c r="AT74" s="20">
        <f>IF(B74="","",IF(OR(AS74=0,AS74="",AQ74=""),"",ROUND((AQ74+AG74)/AS74,2)))</f>
        <v>0</v>
      </c>
      <c r="AU74" s="43">
        <f>IF(B74="","",IF(AND(A74&lt;&gt;"",ISERROR(MATCH(A74,Products!$A$5:$A$304,0))),"Check - no such product ID",IF(AD74=0,"Add - no material cost yet",IF(AE74=0,"Add - how long does it take?",IF(AND(A74&lt;&gt;"",COUNTIFS('Material Usage'!$A$5:$A$904,A74)&gt;0),"Check - this product also has a bill of materials",IF(AND(A74&lt;&gt;"",COUNTIFS(Labor!$A$5:$A$304,A74)&gt;0),"Check - this product also has labour lines",IF(AT74&lt;MinimumWage,"Below - pays under minimum wage","OK")))))) )</f>
        <v>0</v>
      </c>
    </row>
    <row r="75" spans="21:47">
      <c r="U75" s="41">
        <f>IF(B75="","",IFERROR(INDEX(SizeMaterialFactors,MATCH(D75,SizeNames,0)),1))</f>
        <v>0</v>
      </c>
      <c r="V75" s="41">
        <f>IF(B75="","",IFERROR(INDEX(SizeTimeFactors,MATCH(D75,SizeNames,0)),1))</f>
        <v>0</v>
      </c>
      <c r="W75" s="33">
        <f>IF(B75="","",IF(K75="",DefaultWaste,K75))</f>
        <v>0</v>
      </c>
      <c r="X75" s="36">
        <f>IF(B75="","",ROUND((IF(H75="",0,H75)+IF(J75="",0,J75))*U75*(1+W75),1))</f>
        <v>0</v>
      </c>
      <c r="Y75" s="20">
        <f>IF(B75="","",ROUND(IF(H75="",0,H75)*U75*(1+W75)*IFERROR(INDEX(Materials!$V$5:$V$254,MATCH(G75,Materials!$A$5:$A$254,0)),0),2))</f>
        <v>0</v>
      </c>
      <c r="Z75" s="20">
        <f>IF(B75="","",ROUND(IF(J75="",0,J75)*U75*(1+W75)*IFERROR(INDEX(Materials!$V$5:$V$254,MATCH(I75,Materials!$A$5:$A$254,0)),0),2))</f>
        <v>0</v>
      </c>
      <c r="AA75" s="36">
        <f>IF(B75="","",IF(IFERROR(INDEX(Materials!$G$5:$G$254,MATCH(G75,Materials!$A$5:$A$254,0)),0)=0,"",ROUNDUP(IF(H75="",0,H75)*U75*(1+W75)/(IFERROR(INDEX(Materials!$G$5:$G$254,MATCH(G75,Materials!$A$5:$A$254,0)),0)*IFERROR(INDEX(Materials!$U$5:$U$254,MATCH(G75,Materials!$A$5:$A$254,0)),1)),0)))</f>
        <v>0</v>
      </c>
      <c r="AB75" s="36">
        <f>IF(B75="","",IF(AA75="","",ROUND(AA75*IFERROR(INDEX(Materials!$G$5:$G$254,MATCH(G75,Materials!$A$5:$A$254,0)),0)*IFERROR(INDEX(Materials!$U$5:$U$254,MATCH(G75,Materials!$A$5:$A$254,0)),1)-IF(H75="",0,H75)*U75*(1+W75),1)))</f>
        <v>0</v>
      </c>
      <c r="AC75" s="20">
        <f>IF(B75="","",IF(N75="",0,ROUND(N75/MAX(1,IF(O75="",1,O75)),2)))</f>
        <v>0</v>
      </c>
      <c r="AD75" s="20">
        <f>IF(B75="","",ROUND(Y75+Z75+IF(L75="",0,L75)+IF(M75="",0,M75)+AC75,2))</f>
        <v>0</v>
      </c>
      <c r="AE75" s="36">
        <f>IF(B75="","",ROUND((IF(P75="",0,P75)*60+IF(Q75="",0,Q75))*V75,1))</f>
        <v>0</v>
      </c>
      <c r="AF75" s="20">
        <f>IF(B75="","",IF(R75&lt;&gt;"",R75,LaborCostHour))</f>
        <v>0</v>
      </c>
      <c r="AG75" s="20">
        <f>IF(B75="","",ROUND(AE75/60*AF75,2))</f>
        <v>0</v>
      </c>
      <c r="AH75" s="20">
        <f>IF(B75="","",ROUND(AE75/60*SuppliesPerHour,2))</f>
        <v>0</v>
      </c>
      <c r="AI75" s="45">
        <f>IF(B75="","",IF(OR(X75="",X75=0),"",ROUND(AD75/X75,4)))</f>
        <v>0</v>
      </c>
      <c r="AJ75" s="20">
        <f>IF(B75="","",ROUND(AD75+AG75+AH75,2))</f>
        <v>0</v>
      </c>
      <c r="AK75" s="33">
        <f>IF(B75="","",IFERROR(INDEX(Channels!$S$5:$S$18,MATCH(DefaultChannel,Channels!$A$5:$A$18,0)),0))</f>
        <v>0</v>
      </c>
      <c r="AL75" s="20">
        <f>IF(B75="","",IFERROR(INDEX(Channels!$T$5:$T$18,MATCH(DefaultChannel,Channels!$A$5:$A$18,0)),0))</f>
        <v>0</v>
      </c>
      <c r="AM75" s="41">
        <f>IF(B75="","",1-TargetRetailMargin-AK75)</f>
        <v>0</v>
      </c>
      <c r="AN75" s="20">
        <f>IF(B75="","",IF(AM75&lt;=0,"",(AJ75+AL75)/AM75))</f>
        <v>0</v>
      </c>
      <c r="AO75" s="20">
        <f>IF(B75="","",IF(AN75="","Check the settings",ROUND(IF(RoundingRule="None",AN75,IF(RoundingRule="Nearest 0.99",MAX(0.99,CEILING(AN75,1)-0.01),IF(RoundingRule="Nearest 0.95",MAX(0.95,CEILING(AN75,1)-0.05),IF(RoundingRule="Nearest 0.50",CEILING(AN75,0.5),IF(RoundingRule="Nearest 1",CEILING(AN75,1),IF(RoundingRule="Nearest 5",CEILING(AN75,5),IF(RoundingRule="Up to whole 1",CEILING(AN75,1),IF(RoundingRule="Up to whole 5",CEILING(AN75,5),ROUND(AN75,2))))))))),2)))</f>
        <v>0</v>
      </c>
      <c r="AP75" s="20">
        <f>IF(B75="","",IF(S75&lt;&gt;"",S75,IF(ISNUMBER(AO75),AO75,"")))</f>
        <v>0</v>
      </c>
      <c r="AQ75" s="20">
        <f>IF(B75="","",IF(AP75="","",ROUND(AP75-AJ75-(AP75*AK75+AL75),2)))</f>
        <v>0</v>
      </c>
      <c r="AR75" s="33">
        <f>IF(B75="","",IF(OR(AP75="",AP75=0),"",AQ75/AP75))</f>
        <v>0</v>
      </c>
      <c r="AS75" s="41">
        <f>IF(B75="","",ROUND(AE75/60,3))</f>
        <v>0</v>
      </c>
      <c r="AT75" s="20">
        <f>IF(B75="","",IF(OR(AS75=0,AS75="",AQ75=""),"",ROUND((AQ75+AG75)/AS75,2)))</f>
        <v>0</v>
      </c>
      <c r="AU75" s="43">
        <f>IF(B75="","",IF(AND(A75&lt;&gt;"",ISERROR(MATCH(A75,Products!$A$5:$A$304,0))),"Check - no such product ID",IF(AD75=0,"Add - no material cost yet",IF(AE75=0,"Add - how long does it take?",IF(AND(A75&lt;&gt;"",COUNTIFS('Material Usage'!$A$5:$A$904,A75)&gt;0),"Check - this product also has a bill of materials",IF(AND(A75&lt;&gt;"",COUNTIFS(Labor!$A$5:$A$304,A75)&gt;0),"Check - this product also has labour lines",IF(AT75&lt;MinimumWage,"Below - pays under minimum wage","OK")))))) )</f>
        <v>0</v>
      </c>
    </row>
    <row r="76" spans="21:47">
      <c r="U76" s="41">
        <f>IF(B76="","",IFERROR(INDEX(SizeMaterialFactors,MATCH(D76,SizeNames,0)),1))</f>
        <v>0</v>
      </c>
      <c r="V76" s="41">
        <f>IF(B76="","",IFERROR(INDEX(SizeTimeFactors,MATCH(D76,SizeNames,0)),1))</f>
        <v>0</v>
      </c>
      <c r="W76" s="33">
        <f>IF(B76="","",IF(K76="",DefaultWaste,K76))</f>
        <v>0</v>
      </c>
      <c r="X76" s="36">
        <f>IF(B76="","",ROUND((IF(H76="",0,H76)+IF(J76="",0,J76))*U76*(1+W76),1))</f>
        <v>0</v>
      </c>
      <c r="Y76" s="20">
        <f>IF(B76="","",ROUND(IF(H76="",0,H76)*U76*(1+W76)*IFERROR(INDEX(Materials!$V$5:$V$254,MATCH(G76,Materials!$A$5:$A$254,0)),0),2))</f>
        <v>0</v>
      </c>
      <c r="Z76" s="20">
        <f>IF(B76="","",ROUND(IF(J76="",0,J76)*U76*(1+W76)*IFERROR(INDEX(Materials!$V$5:$V$254,MATCH(I76,Materials!$A$5:$A$254,0)),0),2))</f>
        <v>0</v>
      </c>
      <c r="AA76" s="36">
        <f>IF(B76="","",IF(IFERROR(INDEX(Materials!$G$5:$G$254,MATCH(G76,Materials!$A$5:$A$254,0)),0)=0,"",ROUNDUP(IF(H76="",0,H76)*U76*(1+W76)/(IFERROR(INDEX(Materials!$G$5:$G$254,MATCH(G76,Materials!$A$5:$A$254,0)),0)*IFERROR(INDEX(Materials!$U$5:$U$254,MATCH(G76,Materials!$A$5:$A$254,0)),1)),0)))</f>
        <v>0</v>
      </c>
      <c r="AB76" s="36">
        <f>IF(B76="","",IF(AA76="","",ROUND(AA76*IFERROR(INDEX(Materials!$G$5:$G$254,MATCH(G76,Materials!$A$5:$A$254,0)),0)*IFERROR(INDEX(Materials!$U$5:$U$254,MATCH(G76,Materials!$A$5:$A$254,0)),1)-IF(H76="",0,H76)*U76*(1+W76),1)))</f>
        <v>0</v>
      </c>
      <c r="AC76" s="20">
        <f>IF(B76="","",IF(N76="",0,ROUND(N76/MAX(1,IF(O76="",1,O76)),2)))</f>
        <v>0</v>
      </c>
      <c r="AD76" s="20">
        <f>IF(B76="","",ROUND(Y76+Z76+IF(L76="",0,L76)+IF(M76="",0,M76)+AC76,2))</f>
        <v>0</v>
      </c>
      <c r="AE76" s="36">
        <f>IF(B76="","",ROUND((IF(P76="",0,P76)*60+IF(Q76="",0,Q76))*V76,1))</f>
        <v>0</v>
      </c>
      <c r="AF76" s="20">
        <f>IF(B76="","",IF(R76&lt;&gt;"",R76,LaborCostHour))</f>
        <v>0</v>
      </c>
      <c r="AG76" s="20">
        <f>IF(B76="","",ROUND(AE76/60*AF76,2))</f>
        <v>0</v>
      </c>
      <c r="AH76" s="20">
        <f>IF(B76="","",ROUND(AE76/60*SuppliesPerHour,2))</f>
        <v>0</v>
      </c>
      <c r="AI76" s="45">
        <f>IF(B76="","",IF(OR(X76="",X76=0),"",ROUND(AD76/X76,4)))</f>
        <v>0</v>
      </c>
      <c r="AJ76" s="20">
        <f>IF(B76="","",ROUND(AD76+AG76+AH76,2))</f>
        <v>0</v>
      </c>
      <c r="AK76" s="33">
        <f>IF(B76="","",IFERROR(INDEX(Channels!$S$5:$S$18,MATCH(DefaultChannel,Channels!$A$5:$A$18,0)),0))</f>
        <v>0</v>
      </c>
      <c r="AL76" s="20">
        <f>IF(B76="","",IFERROR(INDEX(Channels!$T$5:$T$18,MATCH(DefaultChannel,Channels!$A$5:$A$18,0)),0))</f>
        <v>0</v>
      </c>
      <c r="AM76" s="41">
        <f>IF(B76="","",1-TargetRetailMargin-AK76)</f>
        <v>0</v>
      </c>
      <c r="AN76" s="20">
        <f>IF(B76="","",IF(AM76&lt;=0,"",(AJ76+AL76)/AM76))</f>
        <v>0</v>
      </c>
      <c r="AO76" s="20">
        <f>IF(B76="","",IF(AN76="","Check the settings",ROUND(IF(RoundingRule="None",AN76,IF(RoundingRule="Nearest 0.99",MAX(0.99,CEILING(AN76,1)-0.01),IF(RoundingRule="Nearest 0.95",MAX(0.95,CEILING(AN76,1)-0.05),IF(RoundingRule="Nearest 0.50",CEILING(AN76,0.5),IF(RoundingRule="Nearest 1",CEILING(AN76,1),IF(RoundingRule="Nearest 5",CEILING(AN76,5),IF(RoundingRule="Up to whole 1",CEILING(AN76,1),IF(RoundingRule="Up to whole 5",CEILING(AN76,5),ROUND(AN76,2))))))))),2)))</f>
        <v>0</v>
      </c>
      <c r="AP76" s="20">
        <f>IF(B76="","",IF(S76&lt;&gt;"",S76,IF(ISNUMBER(AO76),AO76,"")))</f>
        <v>0</v>
      </c>
      <c r="AQ76" s="20">
        <f>IF(B76="","",IF(AP76="","",ROUND(AP76-AJ76-(AP76*AK76+AL76),2)))</f>
        <v>0</v>
      </c>
      <c r="AR76" s="33">
        <f>IF(B76="","",IF(OR(AP76="",AP76=0),"",AQ76/AP76))</f>
        <v>0</v>
      </c>
      <c r="AS76" s="41">
        <f>IF(B76="","",ROUND(AE76/60,3))</f>
        <v>0</v>
      </c>
      <c r="AT76" s="20">
        <f>IF(B76="","",IF(OR(AS76=0,AS76="",AQ76=""),"",ROUND((AQ76+AG76)/AS76,2)))</f>
        <v>0</v>
      </c>
      <c r="AU76" s="43">
        <f>IF(B76="","",IF(AND(A76&lt;&gt;"",ISERROR(MATCH(A76,Products!$A$5:$A$304,0))),"Check - no such product ID",IF(AD76=0,"Add - no material cost yet",IF(AE76=0,"Add - how long does it take?",IF(AND(A76&lt;&gt;"",COUNTIFS('Material Usage'!$A$5:$A$904,A76)&gt;0),"Check - this product also has a bill of materials",IF(AND(A76&lt;&gt;"",COUNTIFS(Labor!$A$5:$A$304,A76)&gt;0),"Check - this product also has labour lines",IF(AT76&lt;MinimumWage,"Below - pays under minimum wage","OK")))))) )</f>
        <v>0</v>
      </c>
    </row>
    <row r="77" spans="21:47">
      <c r="U77" s="41">
        <f>IF(B77="","",IFERROR(INDEX(SizeMaterialFactors,MATCH(D77,SizeNames,0)),1))</f>
        <v>0</v>
      </c>
      <c r="V77" s="41">
        <f>IF(B77="","",IFERROR(INDEX(SizeTimeFactors,MATCH(D77,SizeNames,0)),1))</f>
        <v>0</v>
      </c>
      <c r="W77" s="33">
        <f>IF(B77="","",IF(K77="",DefaultWaste,K77))</f>
        <v>0</v>
      </c>
      <c r="X77" s="36">
        <f>IF(B77="","",ROUND((IF(H77="",0,H77)+IF(J77="",0,J77))*U77*(1+W77),1))</f>
        <v>0</v>
      </c>
      <c r="Y77" s="20">
        <f>IF(B77="","",ROUND(IF(H77="",0,H77)*U77*(1+W77)*IFERROR(INDEX(Materials!$V$5:$V$254,MATCH(G77,Materials!$A$5:$A$254,0)),0),2))</f>
        <v>0</v>
      </c>
      <c r="Z77" s="20">
        <f>IF(B77="","",ROUND(IF(J77="",0,J77)*U77*(1+W77)*IFERROR(INDEX(Materials!$V$5:$V$254,MATCH(I77,Materials!$A$5:$A$254,0)),0),2))</f>
        <v>0</v>
      </c>
      <c r="AA77" s="36">
        <f>IF(B77="","",IF(IFERROR(INDEX(Materials!$G$5:$G$254,MATCH(G77,Materials!$A$5:$A$254,0)),0)=0,"",ROUNDUP(IF(H77="",0,H77)*U77*(1+W77)/(IFERROR(INDEX(Materials!$G$5:$G$254,MATCH(G77,Materials!$A$5:$A$254,0)),0)*IFERROR(INDEX(Materials!$U$5:$U$254,MATCH(G77,Materials!$A$5:$A$254,0)),1)),0)))</f>
        <v>0</v>
      </c>
      <c r="AB77" s="36">
        <f>IF(B77="","",IF(AA77="","",ROUND(AA77*IFERROR(INDEX(Materials!$G$5:$G$254,MATCH(G77,Materials!$A$5:$A$254,0)),0)*IFERROR(INDEX(Materials!$U$5:$U$254,MATCH(G77,Materials!$A$5:$A$254,0)),1)-IF(H77="",0,H77)*U77*(1+W77),1)))</f>
        <v>0</v>
      </c>
      <c r="AC77" s="20">
        <f>IF(B77="","",IF(N77="",0,ROUND(N77/MAX(1,IF(O77="",1,O77)),2)))</f>
        <v>0</v>
      </c>
      <c r="AD77" s="20">
        <f>IF(B77="","",ROUND(Y77+Z77+IF(L77="",0,L77)+IF(M77="",0,M77)+AC77,2))</f>
        <v>0</v>
      </c>
      <c r="AE77" s="36">
        <f>IF(B77="","",ROUND((IF(P77="",0,P77)*60+IF(Q77="",0,Q77))*V77,1))</f>
        <v>0</v>
      </c>
      <c r="AF77" s="20">
        <f>IF(B77="","",IF(R77&lt;&gt;"",R77,LaborCostHour))</f>
        <v>0</v>
      </c>
      <c r="AG77" s="20">
        <f>IF(B77="","",ROUND(AE77/60*AF77,2))</f>
        <v>0</v>
      </c>
      <c r="AH77" s="20">
        <f>IF(B77="","",ROUND(AE77/60*SuppliesPerHour,2))</f>
        <v>0</v>
      </c>
      <c r="AI77" s="45">
        <f>IF(B77="","",IF(OR(X77="",X77=0),"",ROUND(AD77/X77,4)))</f>
        <v>0</v>
      </c>
      <c r="AJ77" s="20">
        <f>IF(B77="","",ROUND(AD77+AG77+AH77,2))</f>
        <v>0</v>
      </c>
      <c r="AK77" s="33">
        <f>IF(B77="","",IFERROR(INDEX(Channels!$S$5:$S$18,MATCH(DefaultChannel,Channels!$A$5:$A$18,0)),0))</f>
        <v>0</v>
      </c>
      <c r="AL77" s="20">
        <f>IF(B77="","",IFERROR(INDEX(Channels!$T$5:$T$18,MATCH(DefaultChannel,Channels!$A$5:$A$18,0)),0))</f>
        <v>0</v>
      </c>
      <c r="AM77" s="41">
        <f>IF(B77="","",1-TargetRetailMargin-AK77)</f>
        <v>0</v>
      </c>
      <c r="AN77" s="20">
        <f>IF(B77="","",IF(AM77&lt;=0,"",(AJ77+AL77)/AM77))</f>
        <v>0</v>
      </c>
      <c r="AO77" s="20">
        <f>IF(B77="","",IF(AN77="","Check the settings",ROUND(IF(RoundingRule="None",AN77,IF(RoundingRule="Nearest 0.99",MAX(0.99,CEILING(AN77,1)-0.01),IF(RoundingRule="Nearest 0.95",MAX(0.95,CEILING(AN77,1)-0.05),IF(RoundingRule="Nearest 0.50",CEILING(AN77,0.5),IF(RoundingRule="Nearest 1",CEILING(AN77,1),IF(RoundingRule="Nearest 5",CEILING(AN77,5),IF(RoundingRule="Up to whole 1",CEILING(AN77,1),IF(RoundingRule="Up to whole 5",CEILING(AN77,5),ROUND(AN77,2))))))))),2)))</f>
        <v>0</v>
      </c>
      <c r="AP77" s="20">
        <f>IF(B77="","",IF(S77&lt;&gt;"",S77,IF(ISNUMBER(AO77),AO77,"")))</f>
        <v>0</v>
      </c>
      <c r="AQ77" s="20">
        <f>IF(B77="","",IF(AP77="","",ROUND(AP77-AJ77-(AP77*AK77+AL77),2)))</f>
        <v>0</v>
      </c>
      <c r="AR77" s="33">
        <f>IF(B77="","",IF(OR(AP77="",AP77=0),"",AQ77/AP77))</f>
        <v>0</v>
      </c>
      <c r="AS77" s="41">
        <f>IF(B77="","",ROUND(AE77/60,3))</f>
        <v>0</v>
      </c>
      <c r="AT77" s="20">
        <f>IF(B77="","",IF(OR(AS77=0,AS77="",AQ77=""),"",ROUND((AQ77+AG77)/AS77,2)))</f>
        <v>0</v>
      </c>
      <c r="AU77" s="43">
        <f>IF(B77="","",IF(AND(A77&lt;&gt;"",ISERROR(MATCH(A77,Products!$A$5:$A$304,0))),"Check - no such product ID",IF(AD77=0,"Add - no material cost yet",IF(AE77=0,"Add - how long does it take?",IF(AND(A77&lt;&gt;"",COUNTIFS('Material Usage'!$A$5:$A$904,A77)&gt;0),"Check - this product also has a bill of materials",IF(AND(A77&lt;&gt;"",COUNTIFS(Labor!$A$5:$A$304,A77)&gt;0),"Check - this product also has labour lines",IF(AT77&lt;MinimumWage,"Below - pays under minimum wage","OK")))))) )</f>
        <v>0</v>
      </c>
    </row>
    <row r="78" spans="21:47">
      <c r="U78" s="41">
        <f>IF(B78="","",IFERROR(INDEX(SizeMaterialFactors,MATCH(D78,SizeNames,0)),1))</f>
        <v>0</v>
      </c>
      <c r="V78" s="41">
        <f>IF(B78="","",IFERROR(INDEX(SizeTimeFactors,MATCH(D78,SizeNames,0)),1))</f>
        <v>0</v>
      </c>
      <c r="W78" s="33">
        <f>IF(B78="","",IF(K78="",DefaultWaste,K78))</f>
        <v>0</v>
      </c>
      <c r="X78" s="36">
        <f>IF(B78="","",ROUND((IF(H78="",0,H78)+IF(J78="",0,J78))*U78*(1+W78),1))</f>
        <v>0</v>
      </c>
      <c r="Y78" s="20">
        <f>IF(B78="","",ROUND(IF(H78="",0,H78)*U78*(1+W78)*IFERROR(INDEX(Materials!$V$5:$V$254,MATCH(G78,Materials!$A$5:$A$254,0)),0),2))</f>
        <v>0</v>
      </c>
      <c r="Z78" s="20">
        <f>IF(B78="","",ROUND(IF(J78="",0,J78)*U78*(1+W78)*IFERROR(INDEX(Materials!$V$5:$V$254,MATCH(I78,Materials!$A$5:$A$254,0)),0),2))</f>
        <v>0</v>
      </c>
      <c r="AA78" s="36">
        <f>IF(B78="","",IF(IFERROR(INDEX(Materials!$G$5:$G$254,MATCH(G78,Materials!$A$5:$A$254,0)),0)=0,"",ROUNDUP(IF(H78="",0,H78)*U78*(1+W78)/(IFERROR(INDEX(Materials!$G$5:$G$254,MATCH(G78,Materials!$A$5:$A$254,0)),0)*IFERROR(INDEX(Materials!$U$5:$U$254,MATCH(G78,Materials!$A$5:$A$254,0)),1)),0)))</f>
        <v>0</v>
      </c>
      <c r="AB78" s="36">
        <f>IF(B78="","",IF(AA78="","",ROUND(AA78*IFERROR(INDEX(Materials!$G$5:$G$254,MATCH(G78,Materials!$A$5:$A$254,0)),0)*IFERROR(INDEX(Materials!$U$5:$U$254,MATCH(G78,Materials!$A$5:$A$254,0)),1)-IF(H78="",0,H78)*U78*(1+W78),1)))</f>
        <v>0</v>
      </c>
      <c r="AC78" s="20">
        <f>IF(B78="","",IF(N78="",0,ROUND(N78/MAX(1,IF(O78="",1,O78)),2)))</f>
        <v>0</v>
      </c>
      <c r="AD78" s="20">
        <f>IF(B78="","",ROUND(Y78+Z78+IF(L78="",0,L78)+IF(M78="",0,M78)+AC78,2))</f>
        <v>0</v>
      </c>
      <c r="AE78" s="36">
        <f>IF(B78="","",ROUND((IF(P78="",0,P78)*60+IF(Q78="",0,Q78))*V78,1))</f>
        <v>0</v>
      </c>
      <c r="AF78" s="20">
        <f>IF(B78="","",IF(R78&lt;&gt;"",R78,LaborCostHour))</f>
        <v>0</v>
      </c>
      <c r="AG78" s="20">
        <f>IF(B78="","",ROUND(AE78/60*AF78,2))</f>
        <v>0</v>
      </c>
      <c r="AH78" s="20">
        <f>IF(B78="","",ROUND(AE78/60*SuppliesPerHour,2))</f>
        <v>0</v>
      </c>
      <c r="AI78" s="45">
        <f>IF(B78="","",IF(OR(X78="",X78=0),"",ROUND(AD78/X78,4)))</f>
        <v>0</v>
      </c>
      <c r="AJ78" s="20">
        <f>IF(B78="","",ROUND(AD78+AG78+AH78,2))</f>
        <v>0</v>
      </c>
      <c r="AK78" s="33">
        <f>IF(B78="","",IFERROR(INDEX(Channels!$S$5:$S$18,MATCH(DefaultChannel,Channels!$A$5:$A$18,0)),0))</f>
        <v>0</v>
      </c>
      <c r="AL78" s="20">
        <f>IF(B78="","",IFERROR(INDEX(Channels!$T$5:$T$18,MATCH(DefaultChannel,Channels!$A$5:$A$18,0)),0))</f>
        <v>0</v>
      </c>
      <c r="AM78" s="41">
        <f>IF(B78="","",1-TargetRetailMargin-AK78)</f>
        <v>0</v>
      </c>
      <c r="AN78" s="20">
        <f>IF(B78="","",IF(AM78&lt;=0,"",(AJ78+AL78)/AM78))</f>
        <v>0</v>
      </c>
      <c r="AO78" s="20">
        <f>IF(B78="","",IF(AN78="","Check the settings",ROUND(IF(RoundingRule="None",AN78,IF(RoundingRule="Nearest 0.99",MAX(0.99,CEILING(AN78,1)-0.01),IF(RoundingRule="Nearest 0.95",MAX(0.95,CEILING(AN78,1)-0.05),IF(RoundingRule="Nearest 0.50",CEILING(AN78,0.5),IF(RoundingRule="Nearest 1",CEILING(AN78,1),IF(RoundingRule="Nearest 5",CEILING(AN78,5),IF(RoundingRule="Up to whole 1",CEILING(AN78,1),IF(RoundingRule="Up to whole 5",CEILING(AN78,5),ROUND(AN78,2))))))))),2)))</f>
        <v>0</v>
      </c>
      <c r="AP78" s="20">
        <f>IF(B78="","",IF(S78&lt;&gt;"",S78,IF(ISNUMBER(AO78),AO78,"")))</f>
        <v>0</v>
      </c>
      <c r="AQ78" s="20">
        <f>IF(B78="","",IF(AP78="","",ROUND(AP78-AJ78-(AP78*AK78+AL78),2)))</f>
        <v>0</v>
      </c>
      <c r="AR78" s="33">
        <f>IF(B78="","",IF(OR(AP78="",AP78=0),"",AQ78/AP78))</f>
        <v>0</v>
      </c>
      <c r="AS78" s="41">
        <f>IF(B78="","",ROUND(AE78/60,3))</f>
        <v>0</v>
      </c>
      <c r="AT78" s="20">
        <f>IF(B78="","",IF(OR(AS78=0,AS78="",AQ78=""),"",ROUND((AQ78+AG78)/AS78,2)))</f>
        <v>0</v>
      </c>
      <c r="AU78" s="43">
        <f>IF(B78="","",IF(AND(A78&lt;&gt;"",ISERROR(MATCH(A78,Products!$A$5:$A$304,0))),"Check - no such product ID",IF(AD78=0,"Add - no material cost yet",IF(AE78=0,"Add - how long does it take?",IF(AND(A78&lt;&gt;"",COUNTIFS('Material Usage'!$A$5:$A$904,A78)&gt;0),"Check - this product also has a bill of materials",IF(AND(A78&lt;&gt;"",COUNTIFS(Labor!$A$5:$A$304,A78)&gt;0),"Check - this product also has labour lines",IF(AT78&lt;MinimumWage,"Below - pays under minimum wage","OK")))))) )</f>
        <v>0</v>
      </c>
    </row>
    <row r="79" spans="21:47">
      <c r="U79" s="41">
        <f>IF(B79="","",IFERROR(INDEX(SizeMaterialFactors,MATCH(D79,SizeNames,0)),1))</f>
        <v>0</v>
      </c>
      <c r="V79" s="41">
        <f>IF(B79="","",IFERROR(INDEX(SizeTimeFactors,MATCH(D79,SizeNames,0)),1))</f>
        <v>0</v>
      </c>
      <c r="W79" s="33">
        <f>IF(B79="","",IF(K79="",DefaultWaste,K79))</f>
        <v>0</v>
      </c>
      <c r="X79" s="36">
        <f>IF(B79="","",ROUND((IF(H79="",0,H79)+IF(J79="",0,J79))*U79*(1+W79),1))</f>
        <v>0</v>
      </c>
      <c r="Y79" s="20">
        <f>IF(B79="","",ROUND(IF(H79="",0,H79)*U79*(1+W79)*IFERROR(INDEX(Materials!$V$5:$V$254,MATCH(G79,Materials!$A$5:$A$254,0)),0),2))</f>
        <v>0</v>
      </c>
      <c r="Z79" s="20">
        <f>IF(B79="","",ROUND(IF(J79="",0,J79)*U79*(1+W79)*IFERROR(INDEX(Materials!$V$5:$V$254,MATCH(I79,Materials!$A$5:$A$254,0)),0),2))</f>
        <v>0</v>
      </c>
      <c r="AA79" s="36">
        <f>IF(B79="","",IF(IFERROR(INDEX(Materials!$G$5:$G$254,MATCH(G79,Materials!$A$5:$A$254,0)),0)=0,"",ROUNDUP(IF(H79="",0,H79)*U79*(1+W79)/(IFERROR(INDEX(Materials!$G$5:$G$254,MATCH(G79,Materials!$A$5:$A$254,0)),0)*IFERROR(INDEX(Materials!$U$5:$U$254,MATCH(G79,Materials!$A$5:$A$254,0)),1)),0)))</f>
        <v>0</v>
      </c>
      <c r="AB79" s="36">
        <f>IF(B79="","",IF(AA79="","",ROUND(AA79*IFERROR(INDEX(Materials!$G$5:$G$254,MATCH(G79,Materials!$A$5:$A$254,0)),0)*IFERROR(INDEX(Materials!$U$5:$U$254,MATCH(G79,Materials!$A$5:$A$254,0)),1)-IF(H79="",0,H79)*U79*(1+W79),1)))</f>
        <v>0</v>
      </c>
      <c r="AC79" s="20">
        <f>IF(B79="","",IF(N79="",0,ROUND(N79/MAX(1,IF(O79="",1,O79)),2)))</f>
        <v>0</v>
      </c>
      <c r="AD79" s="20">
        <f>IF(B79="","",ROUND(Y79+Z79+IF(L79="",0,L79)+IF(M79="",0,M79)+AC79,2))</f>
        <v>0</v>
      </c>
      <c r="AE79" s="36">
        <f>IF(B79="","",ROUND((IF(P79="",0,P79)*60+IF(Q79="",0,Q79))*V79,1))</f>
        <v>0</v>
      </c>
      <c r="AF79" s="20">
        <f>IF(B79="","",IF(R79&lt;&gt;"",R79,LaborCostHour))</f>
        <v>0</v>
      </c>
      <c r="AG79" s="20">
        <f>IF(B79="","",ROUND(AE79/60*AF79,2))</f>
        <v>0</v>
      </c>
      <c r="AH79" s="20">
        <f>IF(B79="","",ROUND(AE79/60*SuppliesPerHour,2))</f>
        <v>0</v>
      </c>
      <c r="AI79" s="45">
        <f>IF(B79="","",IF(OR(X79="",X79=0),"",ROUND(AD79/X79,4)))</f>
        <v>0</v>
      </c>
      <c r="AJ79" s="20">
        <f>IF(B79="","",ROUND(AD79+AG79+AH79,2))</f>
        <v>0</v>
      </c>
      <c r="AK79" s="33">
        <f>IF(B79="","",IFERROR(INDEX(Channels!$S$5:$S$18,MATCH(DefaultChannel,Channels!$A$5:$A$18,0)),0))</f>
        <v>0</v>
      </c>
      <c r="AL79" s="20">
        <f>IF(B79="","",IFERROR(INDEX(Channels!$T$5:$T$18,MATCH(DefaultChannel,Channels!$A$5:$A$18,0)),0))</f>
        <v>0</v>
      </c>
      <c r="AM79" s="41">
        <f>IF(B79="","",1-TargetRetailMargin-AK79)</f>
        <v>0</v>
      </c>
      <c r="AN79" s="20">
        <f>IF(B79="","",IF(AM79&lt;=0,"",(AJ79+AL79)/AM79))</f>
        <v>0</v>
      </c>
      <c r="AO79" s="20">
        <f>IF(B79="","",IF(AN79="","Check the settings",ROUND(IF(RoundingRule="None",AN79,IF(RoundingRule="Nearest 0.99",MAX(0.99,CEILING(AN79,1)-0.01),IF(RoundingRule="Nearest 0.95",MAX(0.95,CEILING(AN79,1)-0.05),IF(RoundingRule="Nearest 0.50",CEILING(AN79,0.5),IF(RoundingRule="Nearest 1",CEILING(AN79,1),IF(RoundingRule="Nearest 5",CEILING(AN79,5),IF(RoundingRule="Up to whole 1",CEILING(AN79,1),IF(RoundingRule="Up to whole 5",CEILING(AN79,5),ROUND(AN79,2))))))))),2)))</f>
        <v>0</v>
      </c>
      <c r="AP79" s="20">
        <f>IF(B79="","",IF(S79&lt;&gt;"",S79,IF(ISNUMBER(AO79),AO79,"")))</f>
        <v>0</v>
      </c>
      <c r="AQ79" s="20">
        <f>IF(B79="","",IF(AP79="","",ROUND(AP79-AJ79-(AP79*AK79+AL79),2)))</f>
        <v>0</v>
      </c>
      <c r="AR79" s="33">
        <f>IF(B79="","",IF(OR(AP79="",AP79=0),"",AQ79/AP79))</f>
        <v>0</v>
      </c>
      <c r="AS79" s="41">
        <f>IF(B79="","",ROUND(AE79/60,3))</f>
        <v>0</v>
      </c>
      <c r="AT79" s="20">
        <f>IF(B79="","",IF(OR(AS79=0,AS79="",AQ79=""),"",ROUND((AQ79+AG79)/AS79,2)))</f>
        <v>0</v>
      </c>
      <c r="AU79" s="43">
        <f>IF(B79="","",IF(AND(A79&lt;&gt;"",ISERROR(MATCH(A79,Products!$A$5:$A$304,0))),"Check - no such product ID",IF(AD79=0,"Add - no material cost yet",IF(AE79=0,"Add - how long does it take?",IF(AND(A79&lt;&gt;"",COUNTIFS('Material Usage'!$A$5:$A$904,A79)&gt;0),"Check - this product also has a bill of materials",IF(AND(A79&lt;&gt;"",COUNTIFS(Labor!$A$5:$A$304,A79)&gt;0),"Check - this product also has labour lines",IF(AT79&lt;MinimumWage,"Below - pays under minimum wage","OK")))))) )</f>
        <v>0</v>
      </c>
    </row>
    <row r="80" spans="21:47">
      <c r="U80" s="41">
        <f>IF(B80="","",IFERROR(INDEX(SizeMaterialFactors,MATCH(D80,SizeNames,0)),1))</f>
        <v>0</v>
      </c>
      <c r="V80" s="41">
        <f>IF(B80="","",IFERROR(INDEX(SizeTimeFactors,MATCH(D80,SizeNames,0)),1))</f>
        <v>0</v>
      </c>
      <c r="W80" s="33">
        <f>IF(B80="","",IF(K80="",DefaultWaste,K80))</f>
        <v>0</v>
      </c>
      <c r="X80" s="36">
        <f>IF(B80="","",ROUND((IF(H80="",0,H80)+IF(J80="",0,J80))*U80*(1+W80),1))</f>
        <v>0</v>
      </c>
      <c r="Y80" s="20">
        <f>IF(B80="","",ROUND(IF(H80="",0,H80)*U80*(1+W80)*IFERROR(INDEX(Materials!$V$5:$V$254,MATCH(G80,Materials!$A$5:$A$254,0)),0),2))</f>
        <v>0</v>
      </c>
      <c r="Z80" s="20">
        <f>IF(B80="","",ROUND(IF(J80="",0,J80)*U80*(1+W80)*IFERROR(INDEX(Materials!$V$5:$V$254,MATCH(I80,Materials!$A$5:$A$254,0)),0),2))</f>
        <v>0</v>
      </c>
      <c r="AA80" s="36">
        <f>IF(B80="","",IF(IFERROR(INDEX(Materials!$G$5:$G$254,MATCH(G80,Materials!$A$5:$A$254,0)),0)=0,"",ROUNDUP(IF(H80="",0,H80)*U80*(1+W80)/(IFERROR(INDEX(Materials!$G$5:$G$254,MATCH(G80,Materials!$A$5:$A$254,0)),0)*IFERROR(INDEX(Materials!$U$5:$U$254,MATCH(G80,Materials!$A$5:$A$254,0)),1)),0)))</f>
        <v>0</v>
      </c>
      <c r="AB80" s="36">
        <f>IF(B80="","",IF(AA80="","",ROUND(AA80*IFERROR(INDEX(Materials!$G$5:$G$254,MATCH(G80,Materials!$A$5:$A$254,0)),0)*IFERROR(INDEX(Materials!$U$5:$U$254,MATCH(G80,Materials!$A$5:$A$254,0)),1)-IF(H80="",0,H80)*U80*(1+W80),1)))</f>
        <v>0</v>
      </c>
      <c r="AC80" s="20">
        <f>IF(B80="","",IF(N80="",0,ROUND(N80/MAX(1,IF(O80="",1,O80)),2)))</f>
        <v>0</v>
      </c>
      <c r="AD80" s="20">
        <f>IF(B80="","",ROUND(Y80+Z80+IF(L80="",0,L80)+IF(M80="",0,M80)+AC80,2))</f>
        <v>0</v>
      </c>
      <c r="AE80" s="36">
        <f>IF(B80="","",ROUND((IF(P80="",0,P80)*60+IF(Q80="",0,Q80))*V80,1))</f>
        <v>0</v>
      </c>
      <c r="AF80" s="20">
        <f>IF(B80="","",IF(R80&lt;&gt;"",R80,LaborCostHour))</f>
        <v>0</v>
      </c>
      <c r="AG80" s="20">
        <f>IF(B80="","",ROUND(AE80/60*AF80,2))</f>
        <v>0</v>
      </c>
      <c r="AH80" s="20">
        <f>IF(B80="","",ROUND(AE80/60*SuppliesPerHour,2))</f>
        <v>0</v>
      </c>
      <c r="AI80" s="45">
        <f>IF(B80="","",IF(OR(X80="",X80=0),"",ROUND(AD80/X80,4)))</f>
        <v>0</v>
      </c>
      <c r="AJ80" s="20">
        <f>IF(B80="","",ROUND(AD80+AG80+AH80,2))</f>
        <v>0</v>
      </c>
      <c r="AK80" s="33">
        <f>IF(B80="","",IFERROR(INDEX(Channels!$S$5:$S$18,MATCH(DefaultChannel,Channels!$A$5:$A$18,0)),0))</f>
        <v>0</v>
      </c>
      <c r="AL80" s="20">
        <f>IF(B80="","",IFERROR(INDEX(Channels!$T$5:$T$18,MATCH(DefaultChannel,Channels!$A$5:$A$18,0)),0))</f>
        <v>0</v>
      </c>
      <c r="AM80" s="41">
        <f>IF(B80="","",1-TargetRetailMargin-AK80)</f>
        <v>0</v>
      </c>
      <c r="AN80" s="20">
        <f>IF(B80="","",IF(AM80&lt;=0,"",(AJ80+AL80)/AM80))</f>
        <v>0</v>
      </c>
      <c r="AO80" s="20">
        <f>IF(B80="","",IF(AN80="","Check the settings",ROUND(IF(RoundingRule="None",AN80,IF(RoundingRule="Nearest 0.99",MAX(0.99,CEILING(AN80,1)-0.01),IF(RoundingRule="Nearest 0.95",MAX(0.95,CEILING(AN80,1)-0.05),IF(RoundingRule="Nearest 0.50",CEILING(AN80,0.5),IF(RoundingRule="Nearest 1",CEILING(AN80,1),IF(RoundingRule="Nearest 5",CEILING(AN80,5),IF(RoundingRule="Up to whole 1",CEILING(AN80,1),IF(RoundingRule="Up to whole 5",CEILING(AN80,5),ROUND(AN80,2))))))))),2)))</f>
        <v>0</v>
      </c>
      <c r="AP80" s="20">
        <f>IF(B80="","",IF(S80&lt;&gt;"",S80,IF(ISNUMBER(AO80),AO80,"")))</f>
        <v>0</v>
      </c>
      <c r="AQ80" s="20">
        <f>IF(B80="","",IF(AP80="","",ROUND(AP80-AJ80-(AP80*AK80+AL80),2)))</f>
        <v>0</v>
      </c>
      <c r="AR80" s="33">
        <f>IF(B80="","",IF(OR(AP80="",AP80=0),"",AQ80/AP80))</f>
        <v>0</v>
      </c>
      <c r="AS80" s="41">
        <f>IF(B80="","",ROUND(AE80/60,3))</f>
        <v>0</v>
      </c>
      <c r="AT80" s="20">
        <f>IF(B80="","",IF(OR(AS80=0,AS80="",AQ80=""),"",ROUND((AQ80+AG80)/AS80,2)))</f>
        <v>0</v>
      </c>
      <c r="AU80" s="43">
        <f>IF(B80="","",IF(AND(A80&lt;&gt;"",ISERROR(MATCH(A80,Products!$A$5:$A$304,0))),"Check - no such product ID",IF(AD80=0,"Add - no material cost yet",IF(AE80=0,"Add - how long does it take?",IF(AND(A80&lt;&gt;"",COUNTIFS('Material Usage'!$A$5:$A$904,A80)&gt;0),"Check - this product also has a bill of materials",IF(AND(A80&lt;&gt;"",COUNTIFS(Labor!$A$5:$A$304,A80)&gt;0),"Check - this product also has labour lines",IF(AT80&lt;MinimumWage,"Below - pays under minimum wage","OK")))))) )</f>
        <v>0</v>
      </c>
    </row>
    <row r="81" spans="21:47">
      <c r="U81" s="41">
        <f>IF(B81="","",IFERROR(INDEX(SizeMaterialFactors,MATCH(D81,SizeNames,0)),1))</f>
        <v>0</v>
      </c>
      <c r="V81" s="41">
        <f>IF(B81="","",IFERROR(INDEX(SizeTimeFactors,MATCH(D81,SizeNames,0)),1))</f>
        <v>0</v>
      </c>
      <c r="W81" s="33">
        <f>IF(B81="","",IF(K81="",DefaultWaste,K81))</f>
        <v>0</v>
      </c>
      <c r="X81" s="36">
        <f>IF(B81="","",ROUND((IF(H81="",0,H81)+IF(J81="",0,J81))*U81*(1+W81),1))</f>
        <v>0</v>
      </c>
      <c r="Y81" s="20">
        <f>IF(B81="","",ROUND(IF(H81="",0,H81)*U81*(1+W81)*IFERROR(INDEX(Materials!$V$5:$V$254,MATCH(G81,Materials!$A$5:$A$254,0)),0),2))</f>
        <v>0</v>
      </c>
      <c r="Z81" s="20">
        <f>IF(B81="","",ROUND(IF(J81="",0,J81)*U81*(1+W81)*IFERROR(INDEX(Materials!$V$5:$V$254,MATCH(I81,Materials!$A$5:$A$254,0)),0),2))</f>
        <v>0</v>
      </c>
      <c r="AA81" s="36">
        <f>IF(B81="","",IF(IFERROR(INDEX(Materials!$G$5:$G$254,MATCH(G81,Materials!$A$5:$A$254,0)),0)=0,"",ROUNDUP(IF(H81="",0,H81)*U81*(1+W81)/(IFERROR(INDEX(Materials!$G$5:$G$254,MATCH(G81,Materials!$A$5:$A$254,0)),0)*IFERROR(INDEX(Materials!$U$5:$U$254,MATCH(G81,Materials!$A$5:$A$254,0)),1)),0)))</f>
        <v>0</v>
      </c>
      <c r="AB81" s="36">
        <f>IF(B81="","",IF(AA81="","",ROUND(AA81*IFERROR(INDEX(Materials!$G$5:$G$254,MATCH(G81,Materials!$A$5:$A$254,0)),0)*IFERROR(INDEX(Materials!$U$5:$U$254,MATCH(G81,Materials!$A$5:$A$254,0)),1)-IF(H81="",0,H81)*U81*(1+W81),1)))</f>
        <v>0</v>
      </c>
      <c r="AC81" s="20">
        <f>IF(B81="","",IF(N81="",0,ROUND(N81/MAX(1,IF(O81="",1,O81)),2)))</f>
        <v>0</v>
      </c>
      <c r="AD81" s="20">
        <f>IF(B81="","",ROUND(Y81+Z81+IF(L81="",0,L81)+IF(M81="",0,M81)+AC81,2))</f>
        <v>0</v>
      </c>
      <c r="AE81" s="36">
        <f>IF(B81="","",ROUND((IF(P81="",0,P81)*60+IF(Q81="",0,Q81))*V81,1))</f>
        <v>0</v>
      </c>
      <c r="AF81" s="20">
        <f>IF(B81="","",IF(R81&lt;&gt;"",R81,LaborCostHour))</f>
        <v>0</v>
      </c>
      <c r="AG81" s="20">
        <f>IF(B81="","",ROUND(AE81/60*AF81,2))</f>
        <v>0</v>
      </c>
      <c r="AH81" s="20">
        <f>IF(B81="","",ROUND(AE81/60*SuppliesPerHour,2))</f>
        <v>0</v>
      </c>
      <c r="AI81" s="45">
        <f>IF(B81="","",IF(OR(X81="",X81=0),"",ROUND(AD81/X81,4)))</f>
        <v>0</v>
      </c>
      <c r="AJ81" s="20">
        <f>IF(B81="","",ROUND(AD81+AG81+AH81,2))</f>
        <v>0</v>
      </c>
      <c r="AK81" s="33">
        <f>IF(B81="","",IFERROR(INDEX(Channels!$S$5:$S$18,MATCH(DefaultChannel,Channels!$A$5:$A$18,0)),0))</f>
        <v>0</v>
      </c>
      <c r="AL81" s="20">
        <f>IF(B81="","",IFERROR(INDEX(Channels!$T$5:$T$18,MATCH(DefaultChannel,Channels!$A$5:$A$18,0)),0))</f>
        <v>0</v>
      </c>
      <c r="AM81" s="41">
        <f>IF(B81="","",1-TargetRetailMargin-AK81)</f>
        <v>0</v>
      </c>
      <c r="AN81" s="20">
        <f>IF(B81="","",IF(AM81&lt;=0,"",(AJ81+AL81)/AM81))</f>
        <v>0</v>
      </c>
      <c r="AO81" s="20">
        <f>IF(B81="","",IF(AN81="","Check the settings",ROUND(IF(RoundingRule="None",AN81,IF(RoundingRule="Nearest 0.99",MAX(0.99,CEILING(AN81,1)-0.01),IF(RoundingRule="Nearest 0.95",MAX(0.95,CEILING(AN81,1)-0.05),IF(RoundingRule="Nearest 0.50",CEILING(AN81,0.5),IF(RoundingRule="Nearest 1",CEILING(AN81,1),IF(RoundingRule="Nearest 5",CEILING(AN81,5),IF(RoundingRule="Up to whole 1",CEILING(AN81,1),IF(RoundingRule="Up to whole 5",CEILING(AN81,5),ROUND(AN81,2))))))))),2)))</f>
        <v>0</v>
      </c>
      <c r="AP81" s="20">
        <f>IF(B81="","",IF(S81&lt;&gt;"",S81,IF(ISNUMBER(AO81),AO81,"")))</f>
        <v>0</v>
      </c>
      <c r="AQ81" s="20">
        <f>IF(B81="","",IF(AP81="","",ROUND(AP81-AJ81-(AP81*AK81+AL81),2)))</f>
        <v>0</v>
      </c>
      <c r="AR81" s="33">
        <f>IF(B81="","",IF(OR(AP81="",AP81=0),"",AQ81/AP81))</f>
        <v>0</v>
      </c>
      <c r="AS81" s="41">
        <f>IF(B81="","",ROUND(AE81/60,3))</f>
        <v>0</v>
      </c>
      <c r="AT81" s="20">
        <f>IF(B81="","",IF(OR(AS81=0,AS81="",AQ81=""),"",ROUND((AQ81+AG81)/AS81,2)))</f>
        <v>0</v>
      </c>
      <c r="AU81" s="43">
        <f>IF(B81="","",IF(AND(A81&lt;&gt;"",ISERROR(MATCH(A81,Products!$A$5:$A$304,0))),"Check - no such product ID",IF(AD81=0,"Add - no material cost yet",IF(AE81=0,"Add - how long does it take?",IF(AND(A81&lt;&gt;"",COUNTIFS('Material Usage'!$A$5:$A$904,A81)&gt;0),"Check - this product also has a bill of materials",IF(AND(A81&lt;&gt;"",COUNTIFS(Labor!$A$5:$A$304,A81)&gt;0),"Check - this product also has labour lines",IF(AT81&lt;MinimumWage,"Below - pays under minimum wage","OK")))))) )</f>
        <v>0</v>
      </c>
    </row>
    <row r="82" spans="21:47">
      <c r="U82" s="41">
        <f>IF(B82="","",IFERROR(INDEX(SizeMaterialFactors,MATCH(D82,SizeNames,0)),1))</f>
        <v>0</v>
      </c>
      <c r="V82" s="41">
        <f>IF(B82="","",IFERROR(INDEX(SizeTimeFactors,MATCH(D82,SizeNames,0)),1))</f>
        <v>0</v>
      </c>
      <c r="W82" s="33">
        <f>IF(B82="","",IF(K82="",DefaultWaste,K82))</f>
        <v>0</v>
      </c>
      <c r="X82" s="36">
        <f>IF(B82="","",ROUND((IF(H82="",0,H82)+IF(J82="",0,J82))*U82*(1+W82),1))</f>
        <v>0</v>
      </c>
      <c r="Y82" s="20">
        <f>IF(B82="","",ROUND(IF(H82="",0,H82)*U82*(1+W82)*IFERROR(INDEX(Materials!$V$5:$V$254,MATCH(G82,Materials!$A$5:$A$254,0)),0),2))</f>
        <v>0</v>
      </c>
      <c r="Z82" s="20">
        <f>IF(B82="","",ROUND(IF(J82="",0,J82)*U82*(1+W82)*IFERROR(INDEX(Materials!$V$5:$V$254,MATCH(I82,Materials!$A$5:$A$254,0)),0),2))</f>
        <v>0</v>
      </c>
      <c r="AA82" s="36">
        <f>IF(B82="","",IF(IFERROR(INDEX(Materials!$G$5:$G$254,MATCH(G82,Materials!$A$5:$A$254,0)),0)=0,"",ROUNDUP(IF(H82="",0,H82)*U82*(1+W82)/(IFERROR(INDEX(Materials!$G$5:$G$254,MATCH(G82,Materials!$A$5:$A$254,0)),0)*IFERROR(INDEX(Materials!$U$5:$U$254,MATCH(G82,Materials!$A$5:$A$254,0)),1)),0)))</f>
        <v>0</v>
      </c>
      <c r="AB82" s="36">
        <f>IF(B82="","",IF(AA82="","",ROUND(AA82*IFERROR(INDEX(Materials!$G$5:$G$254,MATCH(G82,Materials!$A$5:$A$254,0)),0)*IFERROR(INDEX(Materials!$U$5:$U$254,MATCH(G82,Materials!$A$5:$A$254,0)),1)-IF(H82="",0,H82)*U82*(1+W82),1)))</f>
        <v>0</v>
      </c>
      <c r="AC82" s="20">
        <f>IF(B82="","",IF(N82="",0,ROUND(N82/MAX(1,IF(O82="",1,O82)),2)))</f>
        <v>0</v>
      </c>
      <c r="AD82" s="20">
        <f>IF(B82="","",ROUND(Y82+Z82+IF(L82="",0,L82)+IF(M82="",0,M82)+AC82,2))</f>
        <v>0</v>
      </c>
      <c r="AE82" s="36">
        <f>IF(B82="","",ROUND((IF(P82="",0,P82)*60+IF(Q82="",0,Q82))*V82,1))</f>
        <v>0</v>
      </c>
      <c r="AF82" s="20">
        <f>IF(B82="","",IF(R82&lt;&gt;"",R82,LaborCostHour))</f>
        <v>0</v>
      </c>
      <c r="AG82" s="20">
        <f>IF(B82="","",ROUND(AE82/60*AF82,2))</f>
        <v>0</v>
      </c>
      <c r="AH82" s="20">
        <f>IF(B82="","",ROUND(AE82/60*SuppliesPerHour,2))</f>
        <v>0</v>
      </c>
      <c r="AI82" s="45">
        <f>IF(B82="","",IF(OR(X82="",X82=0),"",ROUND(AD82/X82,4)))</f>
        <v>0</v>
      </c>
      <c r="AJ82" s="20">
        <f>IF(B82="","",ROUND(AD82+AG82+AH82,2))</f>
        <v>0</v>
      </c>
      <c r="AK82" s="33">
        <f>IF(B82="","",IFERROR(INDEX(Channels!$S$5:$S$18,MATCH(DefaultChannel,Channels!$A$5:$A$18,0)),0))</f>
        <v>0</v>
      </c>
      <c r="AL82" s="20">
        <f>IF(B82="","",IFERROR(INDEX(Channels!$T$5:$T$18,MATCH(DefaultChannel,Channels!$A$5:$A$18,0)),0))</f>
        <v>0</v>
      </c>
      <c r="AM82" s="41">
        <f>IF(B82="","",1-TargetRetailMargin-AK82)</f>
        <v>0</v>
      </c>
      <c r="AN82" s="20">
        <f>IF(B82="","",IF(AM82&lt;=0,"",(AJ82+AL82)/AM82))</f>
        <v>0</v>
      </c>
      <c r="AO82" s="20">
        <f>IF(B82="","",IF(AN82="","Check the settings",ROUND(IF(RoundingRule="None",AN82,IF(RoundingRule="Nearest 0.99",MAX(0.99,CEILING(AN82,1)-0.01),IF(RoundingRule="Nearest 0.95",MAX(0.95,CEILING(AN82,1)-0.05),IF(RoundingRule="Nearest 0.50",CEILING(AN82,0.5),IF(RoundingRule="Nearest 1",CEILING(AN82,1),IF(RoundingRule="Nearest 5",CEILING(AN82,5),IF(RoundingRule="Up to whole 1",CEILING(AN82,1),IF(RoundingRule="Up to whole 5",CEILING(AN82,5),ROUND(AN82,2))))))))),2)))</f>
        <v>0</v>
      </c>
      <c r="AP82" s="20">
        <f>IF(B82="","",IF(S82&lt;&gt;"",S82,IF(ISNUMBER(AO82),AO82,"")))</f>
        <v>0</v>
      </c>
      <c r="AQ82" s="20">
        <f>IF(B82="","",IF(AP82="","",ROUND(AP82-AJ82-(AP82*AK82+AL82),2)))</f>
        <v>0</v>
      </c>
      <c r="AR82" s="33">
        <f>IF(B82="","",IF(OR(AP82="",AP82=0),"",AQ82/AP82))</f>
        <v>0</v>
      </c>
      <c r="AS82" s="41">
        <f>IF(B82="","",ROUND(AE82/60,3))</f>
        <v>0</v>
      </c>
      <c r="AT82" s="20">
        <f>IF(B82="","",IF(OR(AS82=0,AS82="",AQ82=""),"",ROUND((AQ82+AG82)/AS82,2)))</f>
        <v>0</v>
      </c>
      <c r="AU82" s="43">
        <f>IF(B82="","",IF(AND(A82&lt;&gt;"",ISERROR(MATCH(A82,Products!$A$5:$A$304,0))),"Check - no such product ID",IF(AD82=0,"Add - no material cost yet",IF(AE82=0,"Add - how long does it take?",IF(AND(A82&lt;&gt;"",COUNTIFS('Material Usage'!$A$5:$A$904,A82)&gt;0),"Check - this product also has a bill of materials",IF(AND(A82&lt;&gt;"",COUNTIFS(Labor!$A$5:$A$304,A82)&gt;0),"Check - this product also has labour lines",IF(AT82&lt;MinimumWage,"Below - pays under minimum wage","OK")))))) )</f>
        <v>0</v>
      </c>
    </row>
    <row r="83" spans="21:47">
      <c r="U83" s="41">
        <f>IF(B83="","",IFERROR(INDEX(SizeMaterialFactors,MATCH(D83,SizeNames,0)),1))</f>
        <v>0</v>
      </c>
      <c r="V83" s="41">
        <f>IF(B83="","",IFERROR(INDEX(SizeTimeFactors,MATCH(D83,SizeNames,0)),1))</f>
        <v>0</v>
      </c>
      <c r="W83" s="33">
        <f>IF(B83="","",IF(K83="",DefaultWaste,K83))</f>
        <v>0</v>
      </c>
      <c r="X83" s="36">
        <f>IF(B83="","",ROUND((IF(H83="",0,H83)+IF(J83="",0,J83))*U83*(1+W83),1))</f>
        <v>0</v>
      </c>
      <c r="Y83" s="20">
        <f>IF(B83="","",ROUND(IF(H83="",0,H83)*U83*(1+W83)*IFERROR(INDEX(Materials!$V$5:$V$254,MATCH(G83,Materials!$A$5:$A$254,0)),0),2))</f>
        <v>0</v>
      </c>
      <c r="Z83" s="20">
        <f>IF(B83="","",ROUND(IF(J83="",0,J83)*U83*(1+W83)*IFERROR(INDEX(Materials!$V$5:$V$254,MATCH(I83,Materials!$A$5:$A$254,0)),0),2))</f>
        <v>0</v>
      </c>
      <c r="AA83" s="36">
        <f>IF(B83="","",IF(IFERROR(INDEX(Materials!$G$5:$G$254,MATCH(G83,Materials!$A$5:$A$254,0)),0)=0,"",ROUNDUP(IF(H83="",0,H83)*U83*(1+W83)/(IFERROR(INDEX(Materials!$G$5:$G$254,MATCH(G83,Materials!$A$5:$A$254,0)),0)*IFERROR(INDEX(Materials!$U$5:$U$254,MATCH(G83,Materials!$A$5:$A$254,0)),1)),0)))</f>
        <v>0</v>
      </c>
      <c r="AB83" s="36">
        <f>IF(B83="","",IF(AA83="","",ROUND(AA83*IFERROR(INDEX(Materials!$G$5:$G$254,MATCH(G83,Materials!$A$5:$A$254,0)),0)*IFERROR(INDEX(Materials!$U$5:$U$254,MATCH(G83,Materials!$A$5:$A$254,0)),1)-IF(H83="",0,H83)*U83*(1+W83),1)))</f>
        <v>0</v>
      </c>
      <c r="AC83" s="20">
        <f>IF(B83="","",IF(N83="",0,ROUND(N83/MAX(1,IF(O83="",1,O83)),2)))</f>
        <v>0</v>
      </c>
      <c r="AD83" s="20">
        <f>IF(B83="","",ROUND(Y83+Z83+IF(L83="",0,L83)+IF(M83="",0,M83)+AC83,2))</f>
        <v>0</v>
      </c>
      <c r="AE83" s="36">
        <f>IF(B83="","",ROUND((IF(P83="",0,P83)*60+IF(Q83="",0,Q83))*V83,1))</f>
        <v>0</v>
      </c>
      <c r="AF83" s="20">
        <f>IF(B83="","",IF(R83&lt;&gt;"",R83,LaborCostHour))</f>
        <v>0</v>
      </c>
      <c r="AG83" s="20">
        <f>IF(B83="","",ROUND(AE83/60*AF83,2))</f>
        <v>0</v>
      </c>
      <c r="AH83" s="20">
        <f>IF(B83="","",ROUND(AE83/60*SuppliesPerHour,2))</f>
        <v>0</v>
      </c>
      <c r="AI83" s="45">
        <f>IF(B83="","",IF(OR(X83="",X83=0),"",ROUND(AD83/X83,4)))</f>
        <v>0</v>
      </c>
      <c r="AJ83" s="20">
        <f>IF(B83="","",ROUND(AD83+AG83+AH83,2))</f>
        <v>0</v>
      </c>
      <c r="AK83" s="33">
        <f>IF(B83="","",IFERROR(INDEX(Channels!$S$5:$S$18,MATCH(DefaultChannel,Channels!$A$5:$A$18,0)),0))</f>
        <v>0</v>
      </c>
      <c r="AL83" s="20">
        <f>IF(B83="","",IFERROR(INDEX(Channels!$T$5:$T$18,MATCH(DefaultChannel,Channels!$A$5:$A$18,0)),0))</f>
        <v>0</v>
      </c>
      <c r="AM83" s="41">
        <f>IF(B83="","",1-TargetRetailMargin-AK83)</f>
        <v>0</v>
      </c>
      <c r="AN83" s="20">
        <f>IF(B83="","",IF(AM83&lt;=0,"",(AJ83+AL83)/AM83))</f>
        <v>0</v>
      </c>
      <c r="AO83" s="20">
        <f>IF(B83="","",IF(AN83="","Check the settings",ROUND(IF(RoundingRule="None",AN83,IF(RoundingRule="Nearest 0.99",MAX(0.99,CEILING(AN83,1)-0.01),IF(RoundingRule="Nearest 0.95",MAX(0.95,CEILING(AN83,1)-0.05),IF(RoundingRule="Nearest 0.50",CEILING(AN83,0.5),IF(RoundingRule="Nearest 1",CEILING(AN83,1),IF(RoundingRule="Nearest 5",CEILING(AN83,5),IF(RoundingRule="Up to whole 1",CEILING(AN83,1),IF(RoundingRule="Up to whole 5",CEILING(AN83,5),ROUND(AN83,2))))))))),2)))</f>
        <v>0</v>
      </c>
      <c r="AP83" s="20">
        <f>IF(B83="","",IF(S83&lt;&gt;"",S83,IF(ISNUMBER(AO83),AO83,"")))</f>
        <v>0</v>
      </c>
      <c r="AQ83" s="20">
        <f>IF(B83="","",IF(AP83="","",ROUND(AP83-AJ83-(AP83*AK83+AL83),2)))</f>
        <v>0</v>
      </c>
      <c r="AR83" s="33">
        <f>IF(B83="","",IF(OR(AP83="",AP83=0),"",AQ83/AP83))</f>
        <v>0</v>
      </c>
      <c r="AS83" s="41">
        <f>IF(B83="","",ROUND(AE83/60,3))</f>
        <v>0</v>
      </c>
      <c r="AT83" s="20">
        <f>IF(B83="","",IF(OR(AS83=0,AS83="",AQ83=""),"",ROUND((AQ83+AG83)/AS83,2)))</f>
        <v>0</v>
      </c>
      <c r="AU83" s="43">
        <f>IF(B83="","",IF(AND(A83&lt;&gt;"",ISERROR(MATCH(A83,Products!$A$5:$A$304,0))),"Check - no such product ID",IF(AD83=0,"Add - no material cost yet",IF(AE83=0,"Add - how long does it take?",IF(AND(A83&lt;&gt;"",COUNTIFS('Material Usage'!$A$5:$A$904,A83)&gt;0),"Check - this product also has a bill of materials",IF(AND(A83&lt;&gt;"",COUNTIFS(Labor!$A$5:$A$304,A83)&gt;0),"Check - this product also has labour lines",IF(AT83&lt;MinimumWage,"Below - pays under minimum wage","OK")))))) )</f>
        <v>0</v>
      </c>
    </row>
    <row r="84" spans="21:47">
      <c r="U84" s="41">
        <f>IF(B84="","",IFERROR(INDEX(SizeMaterialFactors,MATCH(D84,SizeNames,0)),1))</f>
        <v>0</v>
      </c>
      <c r="V84" s="41">
        <f>IF(B84="","",IFERROR(INDEX(SizeTimeFactors,MATCH(D84,SizeNames,0)),1))</f>
        <v>0</v>
      </c>
      <c r="W84" s="33">
        <f>IF(B84="","",IF(K84="",DefaultWaste,K84))</f>
        <v>0</v>
      </c>
      <c r="X84" s="36">
        <f>IF(B84="","",ROUND((IF(H84="",0,H84)+IF(J84="",0,J84))*U84*(1+W84),1))</f>
        <v>0</v>
      </c>
      <c r="Y84" s="20">
        <f>IF(B84="","",ROUND(IF(H84="",0,H84)*U84*(1+W84)*IFERROR(INDEX(Materials!$V$5:$V$254,MATCH(G84,Materials!$A$5:$A$254,0)),0),2))</f>
        <v>0</v>
      </c>
      <c r="Z84" s="20">
        <f>IF(B84="","",ROUND(IF(J84="",0,J84)*U84*(1+W84)*IFERROR(INDEX(Materials!$V$5:$V$254,MATCH(I84,Materials!$A$5:$A$254,0)),0),2))</f>
        <v>0</v>
      </c>
      <c r="AA84" s="36">
        <f>IF(B84="","",IF(IFERROR(INDEX(Materials!$G$5:$G$254,MATCH(G84,Materials!$A$5:$A$254,0)),0)=0,"",ROUNDUP(IF(H84="",0,H84)*U84*(1+W84)/(IFERROR(INDEX(Materials!$G$5:$G$254,MATCH(G84,Materials!$A$5:$A$254,0)),0)*IFERROR(INDEX(Materials!$U$5:$U$254,MATCH(G84,Materials!$A$5:$A$254,0)),1)),0)))</f>
        <v>0</v>
      </c>
      <c r="AB84" s="36">
        <f>IF(B84="","",IF(AA84="","",ROUND(AA84*IFERROR(INDEX(Materials!$G$5:$G$254,MATCH(G84,Materials!$A$5:$A$254,0)),0)*IFERROR(INDEX(Materials!$U$5:$U$254,MATCH(G84,Materials!$A$5:$A$254,0)),1)-IF(H84="",0,H84)*U84*(1+W84),1)))</f>
        <v>0</v>
      </c>
      <c r="AC84" s="20">
        <f>IF(B84="","",IF(N84="",0,ROUND(N84/MAX(1,IF(O84="",1,O84)),2)))</f>
        <v>0</v>
      </c>
      <c r="AD84" s="20">
        <f>IF(B84="","",ROUND(Y84+Z84+IF(L84="",0,L84)+IF(M84="",0,M84)+AC84,2))</f>
        <v>0</v>
      </c>
      <c r="AE84" s="36">
        <f>IF(B84="","",ROUND((IF(P84="",0,P84)*60+IF(Q84="",0,Q84))*V84,1))</f>
        <v>0</v>
      </c>
      <c r="AF84" s="20">
        <f>IF(B84="","",IF(R84&lt;&gt;"",R84,LaborCostHour))</f>
        <v>0</v>
      </c>
      <c r="AG84" s="20">
        <f>IF(B84="","",ROUND(AE84/60*AF84,2))</f>
        <v>0</v>
      </c>
      <c r="AH84" s="20">
        <f>IF(B84="","",ROUND(AE84/60*SuppliesPerHour,2))</f>
        <v>0</v>
      </c>
      <c r="AI84" s="45">
        <f>IF(B84="","",IF(OR(X84="",X84=0),"",ROUND(AD84/X84,4)))</f>
        <v>0</v>
      </c>
      <c r="AJ84" s="20">
        <f>IF(B84="","",ROUND(AD84+AG84+AH84,2))</f>
        <v>0</v>
      </c>
      <c r="AK84" s="33">
        <f>IF(B84="","",IFERROR(INDEX(Channels!$S$5:$S$18,MATCH(DefaultChannel,Channels!$A$5:$A$18,0)),0))</f>
        <v>0</v>
      </c>
      <c r="AL84" s="20">
        <f>IF(B84="","",IFERROR(INDEX(Channels!$T$5:$T$18,MATCH(DefaultChannel,Channels!$A$5:$A$18,0)),0))</f>
        <v>0</v>
      </c>
      <c r="AM84" s="41">
        <f>IF(B84="","",1-TargetRetailMargin-AK84)</f>
        <v>0</v>
      </c>
      <c r="AN84" s="20">
        <f>IF(B84="","",IF(AM84&lt;=0,"",(AJ84+AL84)/AM84))</f>
        <v>0</v>
      </c>
      <c r="AO84" s="20">
        <f>IF(B84="","",IF(AN84="","Check the settings",ROUND(IF(RoundingRule="None",AN84,IF(RoundingRule="Nearest 0.99",MAX(0.99,CEILING(AN84,1)-0.01),IF(RoundingRule="Nearest 0.95",MAX(0.95,CEILING(AN84,1)-0.05),IF(RoundingRule="Nearest 0.50",CEILING(AN84,0.5),IF(RoundingRule="Nearest 1",CEILING(AN84,1),IF(RoundingRule="Nearest 5",CEILING(AN84,5),IF(RoundingRule="Up to whole 1",CEILING(AN84,1),IF(RoundingRule="Up to whole 5",CEILING(AN84,5),ROUND(AN84,2))))))))),2)))</f>
        <v>0</v>
      </c>
      <c r="AP84" s="20">
        <f>IF(B84="","",IF(S84&lt;&gt;"",S84,IF(ISNUMBER(AO84),AO84,"")))</f>
        <v>0</v>
      </c>
      <c r="AQ84" s="20">
        <f>IF(B84="","",IF(AP84="","",ROUND(AP84-AJ84-(AP84*AK84+AL84),2)))</f>
        <v>0</v>
      </c>
      <c r="AR84" s="33">
        <f>IF(B84="","",IF(OR(AP84="",AP84=0),"",AQ84/AP84))</f>
        <v>0</v>
      </c>
      <c r="AS84" s="41">
        <f>IF(B84="","",ROUND(AE84/60,3))</f>
        <v>0</v>
      </c>
      <c r="AT84" s="20">
        <f>IF(B84="","",IF(OR(AS84=0,AS84="",AQ84=""),"",ROUND((AQ84+AG84)/AS84,2)))</f>
        <v>0</v>
      </c>
      <c r="AU84" s="43">
        <f>IF(B84="","",IF(AND(A84&lt;&gt;"",ISERROR(MATCH(A84,Products!$A$5:$A$304,0))),"Check - no such product ID",IF(AD84=0,"Add - no material cost yet",IF(AE84=0,"Add - how long does it take?",IF(AND(A84&lt;&gt;"",COUNTIFS('Material Usage'!$A$5:$A$904,A84)&gt;0),"Check - this product also has a bill of materials",IF(AND(A84&lt;&gt;"",COUNTIFS(Labor!$A$5:$A$304,A84)&gt;0),"Check - this product also has labour lines",IF(AT84&lt;MinimumWage,"Below - pays under minimum wage","OK")))))) )</f>
        <v>0</v>
      </c>
    </row>
  </sheetData>
  <sheetProtection password="EC7C" sheet="1" objects="1" scenarios="1" formatCells="0" formatColumns="0" formatRows="0" insertRows="0" insertHyperlinks="0" deleteRows="0" autoFilter="0"/>
  <autoFilter ref="A4:AU84"/>
  <mergeCells count="13">
    <mergeCell ref="A1:AR1"/>
    <mergeCell ref="AS1:AU1"/>
    <mergeCell ref="A2:AU2"/>
    <mergeCell ref="A3:B3"/>
    <mergeCell ref="C3:D3"/>
    <mergeCell ref="E3:F3"/>
    <mergeCell ref="G3:H3"/>
    <mergeCell ref="I3:J3"/>
    <mergeCell ref="K3:L3"/>
    <mergeCell ref="M3:N3"/>
    <mergeCell ref="O3:P3"/>
    <mergeCell ref="Q3:R3"/>
    <mergeCell ref="S3:AU3"/>
  </mergeCells>
  <conditionalFormatting sqref="AQ5:AQ84">
    <cfRule type="cellIs" dxfId="5" priority="1" operator="lessThan">
      <formula>0</formula>
    </cfRule>
    <cfRule type="cellIs" dxfId="1" priority="2" operator="greaterThan">
      <formula>0</formula>
    </cfRule>
  </conditionalFormatting>
  <conditionalFormatting sqref="AR5:AR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T5:AT84">
    <cfRule type="cellIs" dxfId="2" priority="6" operator="lessThan">
      <formula>MinimumWage</formula>
    </cfRule>
  </conditionalFormatting>
  <conditionalFormatting sqref="AU5:AU84">
    <cfRule type="beginsWith" dxfId="1" priority="7" operator="beginsWith" text="OK">
      <formula>LEFT(AU5,2)="OK"</formula>
    </cfRule>
    <cfRule type="containsText" dxfId="2" priority="8" operator="containsText" text="Overdue">
      <formula>NOT(ISERROR(SEARCH("Overdue",AU5)))</formula>
    </cfRule>
    <cfRule type="containsText" dxfId="2" priority="9" operator="containsText" text="Late">
      <formula>NOT(ISERROR(SEARCH("Late",AU5)))</formula>
    </cfRule>
    <cfRule type="containsText" dxfId="2" priority="10" operator="containsText" text="Missing">
      <formula>NOT(ISERROR(SEARCH("Missing",AU5)))</formula>
    </cfRule>
    <cfRule type="containsText" dxfId="2" priority="11" operator="containsText" text="Conflict">
      <formula>NOT(ISERROR(SEARCH("Conflict",AU5)))</formula>
    </cfRule>
    <cfRule type="containsText" dxfId="2" priority="12" operator="containsText" text="Clash">
      <formula>NOT(ISERROR(SEARCH("Clash",AU5)))</formula>
    </cfRule>
    <cfRule type="containsText" dxfId="2" priority="13" operator="containsText" text="Expired">
      <formula>NOT(ISERROR(SEARCH("Expired",AU5)))</formula>
    </cfRule>
    <cfRule type="containsText" dxfId="2" priority="14" operator="containsText" text="Duplicate">
      <formula>NOT(ISERROR(SEARCH("Duplicate",AU5)))</formula>
    </cfRule>
    <cfRule type="containsText" dxfId="2" priority="15" operator="containsText" text="Unpaid">
      <formula>NOT(ISERROR(SEARCH("Unpaid",AU5)))</formula>
    </cfRule>
    <cfRule type="containsText" dxfId="2" priority="16" operator="containsText" text="Loss">
      <formula>NOT(ISERROR(SEARCH("Loss",AU5)))</formula>
    </cfRule>
    <cfRule type="containsText" dxfId="2" priority="17" operator="containsText" text="Below">
      <formula>NOT(ISERROR(SEARCH("Below",AU5)))</formula>
    </cfRule>
    <cfRule type="containsText" dxfId="0" priority="18" operator="containsText" text="Action">
      <formula>NOT(ISERROR(SEARCH("Action",AU5)))</formula>
    </cfRule>
    <cfRule type="containsText" dxfId="0" priority="19" operator="containsText" text="Due">
      <formula>NOT(ISERROR(SEARCH("Due",AU5)))</formula>
    </cfRule>
    <cfRule type="containsText" dxfId="0" priority="20" operator="containsText" text="Check">
      <formula>NOT(ISERROR(SEARCH("Check",AU5)))</formula>
    </cfRule>
    <cfRule type="containsText" dxfId="0" priority="21" operator="containsText" text="Chase">
      <formula>NOT(ISERROR(SEARCH("Chase",AU5)))</formula>
    </cfRule>
    <cfRule type="containsText" dxfId="0" priority="22" operator="containsText" text="Assign">
      <formula>NOT(ISERROR(SEARCH("Assign",AU5)))</formula>
    </cfRule>
    <cfRule type="containsText" dxfId="0" priority="23" operator="containsText" text="Confirm">
      <formula>NOT(ISERROR(SEARCH("Confirm",AU5)))</formula>
    </cfRule>
    <cfRule type="containsText" dxfId="0" priority="24" operator="containsText" text="Order">
      <formula>NOT(ISERROR(SEARCH("Order",AU5)))</formula>
    </cfRule>
    <cfRule type="containsText" dxfId="3" priority="25" operator="containsText" text="Today">
      <formula>NOT(ISERROR(SEARCH("Today",AU5)))</formula>
    </cfRule>
    <cfRule type="containsText" dxfId="3" priority="26" operator="containsText" text="Upcoming">
      <formula>NOT(ISERROR(SEARCH("Upcoming",AU5)))</formula>
    </cfRule>
    <cfRule type="containsText" dxfId="3" priority="27" operator="containsText" text="Tomorrow">
      <formula>NOT(ISERROR(SEARCH("Tomorrow",AU5)))</formula>
    </cfRule>
  </conditionalFormatting>
  <dataValidations count="17">
    <dataValidation type="list" allowBlank="1" showInputMessage="1" showErrorMessage="1" promptTitle="Product ID" prompt="Link it to the catalog and the costs below flow straight into the product's price. Leave it blank to cost a piece you have not listed yet." sqref="A5:A84">
      <formula1>ProductIDs</formula1>
    </dataValidation>
    <dataValidation type="list" allowBlank="1" showInputMessage="1" showErrorMessage="1" promptTitle="Size" prompt="Stretches both the yarn and the time by the size factors on the Lists tab." sqref="D5:D84">
      <formula1>SizeNames</formula1>
    </dataValidation>
    <dataValidation type="list" allowBlank="1" showInputMessage="1" showErrorMessage="1" sqref="E5:E84">
      <formula1>YarnWeightList</formula1>
    </dataValidation>
    <dataValidation type="list" allowBlank="1" showInputMessage="1" showErrorMessage="1" sqref="F5:F84">
      <formula1>HookSizeList</formula1>
    </dataValidation>
    <dataValidation type="list" allowBlank="1" showInputMessage="1" showErrorMessage="1" promptTitle="Main yarn" prompt="The material ID from the Materials tab." sqref="G5:G84">
      <formula1>MaterialIDs</formula1>
    </dataValidation>
    <dataValidation type="decimal" allowBlank="1" showInputMessage="1" showErrorMessage="1" errorTitle="Check the value" error="Enter a number between 0 and 100000." promptTitle="Grams used" prompt="Weigh the finished piece, or weigh the skein before and after. This single number is the difference between a guess and a price." sqref="H5:H84">
      <formula1>0</formula1>
      <formula2>100000</formula2>
    </dataValidation>
    <dataValidation type="list" allowBlank="1" showInputMessage="1" showErrorMessage="1" sqref="I5:I84">
      <formula1>MaterialIDs</formula1>
    </dataValidation>
    <dataValidation type="decimal" allowBlank="1" showInputMessage="1" showErrorMessage="1" errorTitle="Check the value" error="Enter a number between 0 and 100000." sqref="J5:J84">
      <formula1>0</formula1>
      <formula2>100000</formula2>
    </dataValidation>
    <dataValidation type="decimal" allowBlank="1" showInputMessage="1" showErrorMessage="1" errorTitle="Check the value" error="Enter a number between 0 and 1." promptTitle="Yarn waste" prompt="Tails, swatches, the bit you frogged. Blank uses the default on Settings." sqref="K5:K84">
      <formula1>0</formula1>
      <formula2>1</formula2>
    </dataValidation>
    <dataValidation type="decimal" allowBlank="1" showInputMessage="1" showErrorMessage="1" errorTitle="Check the value" error="Enter a number between 0 and 10000." sqref="L5:L84">
      <formula1>0</formula1>
      <formula2>10000</formula2>
    </dataValidation>
    <dataValidation type="decimal" allowBlank="1" showInputMessage="1" showErrorMessage="1" errorTitle="Check the value" error="Enter a number between 0 and 10000." sqref="M5:M84">
      <formula1>0</formula1>
      <formula2>10000</formula2>
    </dataValidation>
    <dataValidation type="decimal" allowBlank="1" showInputMessage="1" showErrorMessage="1" errorTitle="Check the value" error="Enter a number between 0 and 10000." promptTitle="Pattern cost" prompt="What you paid for the pattern or the licence." sqref="N5:N84">
      <formula1>0</formula1>
      <formula2>10000</formula2>
    </dataValidation>
    <dataValidation type="whole" allowBlank="1" showInputMessage="1" showErrorMessage="1" errorTitle="Check the value" error="Enter a number between 1 and 100000." promptTitle="Pieces from it" prompt="How many pieces you expect to make from that pattern. The cost is spread over them." sqref="O5:O84">
      <formula1>1</formula1>
      <formula2>100000</formula2>
    </dataValidation>
    <dataValidation type="decimal" allowBlank="1" showInputMessage="1" showErrorMessage="1" errorTitle="Check the value" error="Enter a number between 0 and 1000." promptTitle="Hours hooking" prompt="Actual hook time. Most makers are surprised the first time they measure it honestly." sqref="P5:P84">
      <formula1>0</formula1>
      <formula2>1000</formula2>
    </dataValidation>
    <dataValidation type="whole" allowBlank="1" showInputMessage="1" showErrorMessage="1" errorTitle="Check the value" error="Enter a number between 0 and 10000." promptTitle="Finishing minutes" prompt="Weaving in ends, blocking, sewing up, buttons. The part everybody forgets to charge for." sqref="Q5:Q84">
      <formula1>0</formula1>
      <formula2>10000</formula2>
    </dataValidation>
    <dataValidation type="decimal" allowBlank="1" showInputMessage="1" showErrorMessage="1" errorTitle="Check the value" error="Enter a number between 0 and 1000." sqref="R5:R84">
      <formula1>0</formula1>
      <formula2>1000</formula2>
    </dataValidation>
    <dataValidation type="decimal" allowBlank="1" showInputMessage="1" showErrorMessage="1" errorTitle="Check the value" error="Enter a number between 0 and 100000." sqref="S5:S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&amp;L&amp;"Calibri,Bold"&amp;12&amp;C&amp;"Calibri,Bold"&amp;11Crochet&amp;R&amp;"Calibri,Italic"&amp;9Handmade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5E7B5A"/>
    <pageSetUpPr fitToPage="1"/>
  </sheetPr>
  <dimension ref="A1:AW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16.7109375" style="15" customWidth="1"/>
    <col min="4" max="4" width="12.7109375" style="46" customWidth="1"/>
    <col min="5" max="5" width="12.7109375" style="21" customWidth="1"/>
    <col min="6" max="6" width="11.7109375" style="53" customWidth="1"/>
    <col min="7" max="7" width="10.7109375" style="19" customWidth="1"/>
    <col min="8" max="8" width="11.7109375" style="19" customWidth="1"/>
    <col min="9" max="9" width="16.7109375" style="15" customWidth="1"/>
    <col min="10" max="10" width="9.7109375" style="16" customWidth="1"/>
    <col min="11" max="11" width="11.7109375" style="18" customWidth="1"/>
    <col min="12" max="12" width="10.7109375" style="21" customWidth="1"/>
    <col min="13" max="13" width="12.7109375" style="46" customWidth="1"/>
    <col min="14" max="14" width="10.7109375" style="21" customWidth="1"/>
    <col min="15" max="15" width="12.7109375" style="46" customWidth="1"/>
    <col min="16" max="16" width="11.7109375" style="18" customWidth="1"/>
    <col min="17" max="17" width="13.7109375" style="18" customWidth="1"/>
    <col min="18" max="18" width="12.7109375" style="18" customWidth="1"/>
    <col min="19" max="19" width="11.7109375" style="18" customWidth="1"/>
    <col min="20" max="20" width="12.7109375" style="16" customWidth="1"/>
    <col min="21" max="21" width="12.7109375" style="16" customWidth="1"/>
    <col min="22" max="22" width="13.7109375" style="16" customWidth="1"/>
    <col min="23" max="23" width="11.7109375" style="18" customWidth="1"/>
    <col min="24" max="24" width="11.7109375" style="18" customWidth="1"/>
    <col min="25" max="25" width="24.7109375" style="40" customWidth="1"/>
    <col min="26" max="26" width="11.7109375" style="45" hidden="1" customWidth="1"/>
    <col min="27" max="27" width="11.7109375" style="36" hidden="1" customWidth="1"/>
    <col min="28" max="28" width="11.7109375" style="20" customWidth="1"/>
    <col min="29" max="29" width="11.7109375" style="20" customWidth="1"/>
    <col min="30" max="30" width="11.7109375" style="20" customWidth="1"/>
    <col min="31" max="31" width="11.7109375" style="20" customWidth="1"/>
    <col min="32" max="32" width="11.7109375" style="20" customWidth="1"/>
    <col min="33" max="33" width="10.7109375" style="36" customWidth="1"/>
    <col min="34" max="34" width="11.7109375" style="20" hidden="1" customWidth="1"/>
    <col min="35" max="35" width="11.7109375" style="20" customWidth="1"/>
    <col min="36" max="36" width="11.7109375" style="20" customWidth="1"/>
    <col min="37" max="37" width="10.7109375" style="33" hidden="1" customWidth="1"/>
    <col min="38" max="38" width="12.7109375" style="20" customWidth="1"/>
    <col min="39" max="39" width="9.7109375" style="33" hidden="1" customWidth="1"/>
    <col min="40" max="40" width="9.7109375" style="20" hidden="1" customWidth="1"/>
    <col min="41" max="41" width="9.7109375" style="41" hidden="1" customWidth="1"/>
    <col min="42" max="42" width="10.7109375" style="20" hidden="1" customWidth="1"/>
    <col min="43" max="43" width="13.7109375" style="20" customWidth="1"/>
    <col min="44" max="44" width="11.7109375" style="20" customWidth="1"/>
    <col min="45" max="45" width="11.7109375" style="20" customWidth="1"/>
    <col min="46" max="46" width="9.7109375" style="33" customWidth="1"/>
    <col min="47" max="47" width="9.7109375" style="41" hidden="1" customWidth="1"/>
    <col min="48" max="48" width="12.7109375" style="20" customWidth="1"/>
    <col min="49" max="49" width="30.7109375" style="43" customWidth="1"/>
  </cols>
  <sheetData>
    <row r="1" spans="1:49" ht="34" customHeight="1">
      <c r="A1" s="2" t="s">
        <v>1274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t="s">
        <v>1</v>
      </c>
      <c r="AV1" s="3"/>
      <c r="AW1" s="3"/>
    </row>
    <row r="2" spans="1:49" ht="18" customHeight="1">
      <c r="A2" s="4" t="s">
        <v>1275</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row>
    <row r="3" spans="1:49"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1276</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row>
    <row r="4" spans="1:49" ht="30" customHeight="1">
      <c r="A4" s="8" t="s">
        <v>1229</v>
      </c>
      <c r="B4" s="8" t="s">
        <v>1230</v>
      </c>
      <c r="C4" s="9" t="s">
        <v>1277</v>
      </c>
      <c r="D4" s="9" t="s">
        <v>1278</v>
      </c>
      <c r="E4" s="9" t="s">
        <v>1279</v>
      </c>
      <c r="F4" s="9" t="s">
        <v>1280</v>
      </c>
      <c r="G4" s="9" t="s">
        <v>1281</v>
      </c>
      <c r="H4" s="9" t="s">
        <v>1282</v>
      </c>
      <c r="I4" s="9" t="s">
        <v>1283</v>
      </c>
      <c r="J4" s="9" t="s">
        <v>1284</v>
      </c>
      <c r="K4" s="9" t="s">
        <v>1285</v>
      </c>
      <c r="L4" s="9" t="s">
        <v>1286</v>
      </c>
      <c r="M4" s="9" t="s">
        <v>1287</v>
      </c>
      <c r="N4" s="9" t="s">
        <v>1288</v>
      </c>
      <c r="O4" s="9" t="s">
        <v>1289</v>
      </c>
      <c r="P4" s="9" t="s">
        <v>1290</v>
      </c>
      <c r="Q4" s="9" t="s">
        <v>1291</v>
      </c>
      <c r="R4" s="9" t="s">
        <v>1292</v>
      </c>
      <c r="S4" s="9" t="s">
        <v>1293</v>
      </c>
      <c r="T4" s="9" t="s">
        <v>1294</v>
      </c>
      <c r="U4" s="9" t="s">
        <v>1295</v>
      </c>
      <c r="V4" s="9" t="s">
        <v>1296</v>
      </c>
      <c r="W4" s="9" t="s">
        <v>767</v>
      </c>
      <c r="X4" s="9" t="s">
        <v>461</v>
      </c>
      <c r="Y4" s="9" t="s">
        <v>466</v>
      </c>
      <c r="Z4" s="9" t="s">
        <v>1297</v>
      </c>
      <c r="AA4" s="9" t="s">
        <v>1298</v>
      </c>
      <c r="AB4" s="9" t="s">
        <v>1299</v>
      </c>
      <c r="AC4" s="9" t="s">
        <v>1300</v>
      </c>
      <c r="AD4" s="9" t="s">
        <v>1301</v>
      </c>
      <c r="AE4" s="9" t="s">
        <v>1302</v>
      </c>
      <c r="AF4" s="9" t="s">
        <v>17</v>
      </c>
      <c r="AG4" s="9" t="s">
        <v>470</v>
      </c>
      <c r="AH4" s="9" t="s">
        <v>771</v>
      </c>
      <c r="AI4" s="9" t="s">
        <v>36</v>
      </c>
      <c r="AJ4" s="9" t="s">
        <v>1253</v>
      </c>
      <c r="AK4" s="9" t="s">
        <v>1303</v>
      </c>
      <c r="AL4" s="9" t="s">
        <v>1145</v>
      </c>
      <c r="AM4" s="9" t="s">
        <v>443</v>
      </c>
      <c r="AN4" s="9" t="s">
        <v>481</v>
      </c>
      <c r="AO4" s="9" t="s">
        <v>1055</v>
      </c>
      <c r="AP4" s="9" t="s">
        <v>1255</v>
      </c>
      <c r="AQ4" s="9" t="s">
        <v>487</v>
      </c>
      <c r="AR4" s="9" t="s">
        <v>488</v>
      </c>
      <c r="AS4" s="9" t="s">
        <v>421</v>
      </c>
      <c r="AT4" s="9" t="s">
        <v>42</v>
      </c>
      <c r="AU4" s="9" t="s">
        <v>471</v>
      </c>
      <c r="AV4" s="9" t="s">
        <v>492</v>
      </c>
      <c r="AW4" s="9" t="s">
        <v>729</v>
      </c>
    </row>
    <row r="5" spans="1:49">
      <c r="A5" s="46" t="s">
        <v>1304</v>
      </c>
      <c r="B5" s="15" t="s">
        <v>530</v>
      </c>
      <c r="C5" s="15" t="s">
        <v>1305</v>
      </c>
      <c r="D5" s="46" t="s">
        <v>1306</v>
      </c>
      <c r="E5" s="21">
        <v>3.8</v>
      </c>
      <c r="G5" s="19">
        <v>0.15</v>
      </c>
      <c r="H5" s="19">
        <v>0.6</v>
      </c>
      <c r="I5" s="15" t="s">
        <v>999</v>
      </c>
      <c r="J5" s="16">
        <v>0</v>
      </c>
      <c r="K5" s="18">
        <v>0</v>
      </c>
      <c r="P5" s="18">
        <v>0</v>
      </c>
      <c r="Q5" s="18">
        <v>0.45</v>
      </c>
      <c r="R5" s="18">
        <v>0</v>
      </c>
      <c r="S5" s="18">
        <v>0</v>
      </c>
      <c r="T5" s="16">
        <v>0</v>
      </c>
      <c r="U5" s="16">
        <v>32</v>
      </c>
      <c r="V5" s="16">
        <v>10</v>
      </c>
      <c r="X5" s="18">
        <v>58</v>
      </c>
      <c r="Y5" s="40" t="s">
        <v>1307</v>
      </c>
      <c r="Z5" s="45">
        <f>IF(B5="","",IF(F5&lt;&gt;"",F5,IFERROR(INDEX(Materials!$V$5:$V$254,MATCH(D5,Materials!$A$5:$A$254,0)),0)))</f>
        <v>0</v>
      </c>
      <c r="AA5" s="36">
        <f>IF(B5="","",ROUND(IF(E5="",0,E5)*(1+IF(G5="",0,G5)),2))</f>
        <v>0</v>
      </c>
      <c r="AB5" s="20">
        <f>IF(B5="","",ROUND(AA5*Z5-IF(E5="",0,E5)*IF(G5="",0,G5)*IF(H5="",0,H5)*Z5,2))</f>
        <v>0</v>
      </c>
      <c r="AC5" s="20">
        <f>IF(B5="","",ROUND(IF(J5="",0,J5)*IF(K5="",0,K5),2))</f>
        <v>0</v>
      </c>
      <c r="AD5" s="20">
        <f>IF(B5="","",ROUND(IF(L5="",0,L5)*IFERROR(INDEX(Materials!$V$5:$V$254,MATCH(M5,Materials!$A$5:$A$254,0)),0),2))</f>
        <v>0</v>
      </c>
      <c r="AE5" s="20">
        <f>IF(B5="","",ROUND(IF(N5="",0,N5)*IFERROR(INDEX(Materials!$V$5:$V$254,MATCH(O5,Materials!$A$5:$A$254,0)),0),2))</f>
        <v>0</v>
      </c>
      <c r="AF5" s="20">
        <f>IF(B5="","",ROUND(AB5+AC5+AD5+AE5+IF(P5="",0,P5),2))</f>
        <v>0</v>
      </c>
      <c r="AG5" s="36">
        <f>IF(B5="","",IF(T5="",0,T5)+IF(U5="",0,U5)+IF(V5="",0,V5))</f>
        <v>0</v>
      </c>
      <c r="AH5" s="20">
        <f>IF(B5="","",IF(W5&lt;&gt;"",W5,LaborCostHour))</f>
        <v>0</v>
      </c>
      <c r="AI5" s="20">
        <f>IF(B5="","",ROUND(AG5/60*AH5,2))</f>
        <v>0</v>
      </c>
      <c r="AJ5" s="20">
        <f>IF(B5="","",ROUND(IF(Q5="",0,Q5)+IF(R5="",0,R5)+IF(S5="",0,S5)+AG5/60*SuppliesPerHour,2))</f>
        <v>0</v>
      </c>
      <c r="AK5" s="33">
        <f>IF(B5="","",IF(OR(AF5="",AF5=0),"",AB5/AF5))</f>
        <v>0</v>
      </c>
      <c r="AL5" s="20">
        <f>IF(B5="","",ROUND(AF5+AI5+AJ5,2))</f>
        <v>0</v>
      </c>
      <c r="AM5" s="33">
        <f>IF(B5="","",IFERROR(INDEX(Channels!$S$5:$S$18,MATCH(DefaultChannel,Channels!$A$5:$A$18,0)),0))</f>
        <v>0</v>
      </c>
      <c r="AN5" s="20">
        <f>IF(B5="","",IFERROR(INDEX(Channels!$T$5:$T$18,MATCH(DefaultChannel,Channels!$A$5:$A$18,0)),0))</f>
        <v>0</v>
      </c>
      <c r="AO5" s="41">
        <f>IF(B5="","",1-TargetRetailMargin-AM5)</f>
        <v>0</v>
      </c>
      <c r="AP5" s="20">
        <f>IF(B5="","",IF(AO5&lt;=0,"",(AL5+AN5)/AO5))</f>
        <v>0</v>
      </c>
      <c r="AQ5" s="20">
        <f>IF(B5="","",IF(AP5="","Check the settings",ROUND(IF(RoundingRule="None",AP5,IF(RoundingRule="Nearest 0.99",MAX(0.99,CEILING(AP5,1)-0.01),IF(RoundingRule="Nearest 0.95",MAX(0.95,CEILING(AP5,1)-0.05),IF(RoundingRule="Nearest 0.50",CEILING(AP5,0.5),IF(RoundingRule="Nearest 1",CEILING(AP5,1),IF(RoundingRule="Nearest 5",CEILING(AP5,5),IF(RoundingRule="Up to whole 1",CEILING(AP5,1),IF(RoundingRule="Up to whole 5",CEILING(AP5,5),ROUND(AP5,2))))))))),2)))</f>
        <v>0</v>
      </c>
      <c r="AR5" s="20">
        <f>IF(B5="","",IF(X5&lt;&gt;"",X5,IF(ISNUMBER(AQ5),AQ5,"")))</f>
        <v>0</v>
      </c>
      <c r="AS5" s="20">
        <f>IF(B5="","",IF(AR5="","",ROUND(AR5-AL5-(AR5*AM5+AN5),2)))</f>
        <v>0</v>
      </c>
      <c r="AT5" s="33">
        <f>IF(B5="","",IF(OR(AR5="",AR5=0),"",AS5/AR5))</f>
        <v>0</v>
      </c>
      <c r="AU5" s="41">
        <f>IF(B5="","",ROUND(AG5/60,3))</f>
        <v>0</v>
      </c>
      <c r="AV5" s="20">
        <f>IF(B5="","",IF(OR(AU5=0,AU5="",AS5=""),"",ROUND((AS5+AI5)/AU5,2)))</f>
        <v>0</v>
      </c>
      <c r="AW5" s="43">
        <f>IF(B5="","",IF(AND(A5&lt;&gt;"",ISERROR(MATCH(A5,Products!$A$5:$A$304,0))),"Check - no such product ID",IF(AF5=0,"Add - no material cost yet",IF(AG5=0,"Add - how long does it take?",IF(AND(A5&lt;&gt;"",COUNTIFS('Material Usage'!$A$5:$A$904,A5)&gt;0),"Check - this product also has a bill of materials",IF(AND(A5&lt;&gt;"",COUNTIFS(Labor!$A$5:$A$304,A5)&gt;0),"Check - this product also has labour lines",IF(AV5&lt;MinimumWage,"Below - pays under minimum wage","OK")))))) )</f>
        <v>0</v>
      </c>
    </row>
    <row r="6" spans="1:49">
      <c r="A6" s="46" t="s">
        <v>1308</v>
      </c>
      <c r="B6" s="15" t="s">
        <v>533</v>
      </c>
      <c r="C6" s="15" t="s">
        <v>1305</v>
      </c>
      <c r="D6" s="46" t="s">
        <v>1306</v>
      </c>
      <c r="E6" s="21">
        <v>1.6</v>
      </c>
      <c r="G6" s="19">
        <v>0.1</v>
      </c>
      <c r="H6" s="19">
        <v>0.6</v>
      </c>
      <c r="I6" s="15" t="s">
        <v>1309</v>
      </c>
      <c r="J6" s="16">
        <v>1</v>
      </c>
      <c r="K6" s="18">
        <v>2.12</v>
      </c>
      <c r="L6" s="21">
        <v>45</v>
      </c>
      <c r="M6" s="46" t="s">
        <v>1310</v>
      </c>
      <c r="P6" s="18">
        <v>0.57</v>
      </c>
      <c r="Q6" s="18">
        <v>0.25</v>
      </c>
      <c r="R6" s="18">
        <v>0</v>
      </c>
      <c r="S6" s="18">
        <v>0</v>
      </c>
      <c r="T6" s="16">
        <v>0</v>
      </c>
      <c r="U6" s="16">
        <v>26</v>
      </c>
      <c r="V6" s="16">
        <v>8</v>
      </c>
      <c r="X6" s="18">
        <v>52</v>
      </c>
      <c r="Y6" s="40" t="s">
        <v>1311</v>
      </c>
      <c r="Z6" s="45">
        <f>IF(B6="","",IF(F6&lt;&gt;"",F6,IFERROR(INDEX(Materials!$V$5:$V$254,MATCH(D6,Materials!$A$5:$A$254,0)),0)))</f>
        <v>0</v>
      </c>
      <c r="AA6" s="36">
        <f>IF(B6="","",ROUND(IF(E6="",0,E6)*(1+IF(G6="",0,G6)),2))</f>
        <v>0</v>
      </c>
      <c r="AB6" s="20">
        <f>IF(B6="","",ROUND(AA6*Z6-IF(E6="",0,E6)*IF(G6="",0,G6)*IF(H6="",0,H6)*Z6,2))</f>
        <v>0</v>
      </c>
      <c r="AC6" s="20">
        <f>IF(B6="","",ROUND(IF(J6="",0,J6)*IF(K6="",0,K6),2))</f>
        <v>0</v>
      </c>
      <c r="AD6" s="20">
        <f>IF(B6="","",ROUND(IF(L6="",0,L6)*IFERROR(INDEX(Materials!$V$5:$V$254,MATCH(M6,Materials!$A$5:$A$254,0)),0),2))</f>
        <v>0</v>
      </c>
      <c r="AE6" s="20">
        <f>IF(B6="","",ROUND(IF(N6="",0,N6)*IFERROR(INDEX(Materials!$V$5:$V$254,MATCH(O6,Materials!$A$5:$A$254,0)),0),2))</f>
        <v>0</v>
      </c>
      <c r="AF6" s="20">
        <f>IF(B6="","",ROUND(AB6+AC6+AD6+AE6+IF(P6="",0,P6),2))</f>
        <v>0</v>
      </c>
      <c r="AG6" s="36">
        <f>IF(B6="","",IF(T6="",0,T6)+IF(U6="",0,U6)+IF(V6="",0,V6))</f>
        <v>0</v>
      </c>
      <c r="AH6" s="20">
        <f>IF(B6="","",IF(W6&lt;&gt;"",W6,LaborCostHour))</f>
        <v>0</v>
      </c>
      <c r="AI6" s="20">
        <f>IF(B6="","",ROUND(AG6/60*AH6,2))</f>
        <v>0</v>
      </c>
      <c r="AJ6" s="20">
        <f>IF(B6="","",ROUND(IF(Q6="",0,Q6)+IF(R6="",0,R6)+IF(S6="",0,S6)+AG6/60*SuppliesPerHour,2))</f>
        <v>0</v>
      </c>
      <c r="AK6" s="33">
        <f>IF(B6="","",IF(OR(AF6="",AF6=0),"",AB6/AF6))</f>
        <v>0</v>
      </c>
      <c r="AL6" s="20">
        <f>IF(B6="","",ROUND(AF6+AI6+AJ6,2))</f>
        <v>0</v>
      </c>
      <c r="AM6" s="33">
        <f>IF(B6="","",IFERROR(INDEX(Channels!$S$5:$S$18,MATCH(DefaultChannel,Channels!$A$5:$A$18,0)),0))</f>
        <v>0</v>
      </c>
      <c r="AN6" s="20">
        <f>IF(B6="","",IFERROR(INDEX(Channels!$T$5:$T$18,MATCH(DefaultChannel,Channels!$A$5:$A$18,0)),0))</f>
        <v>0</v>
      </c>
      <c r="AO6" s="41">
        <f>IF(B6="","",1-TargetRetailMargin-AM6)</f>
        <v>0</v>
      </c>
      <c r="AP6" s="20">
        <f>IF(B6="","",IF(AO6&lt;=0,"",(AL6+AN6)/AO6))</f>
        <v>0</v>
      </c>
      <c r="AQ6" s="20">
        <f>IF(B6="","",IF(AP6="","Check the settings",ROUND(IF(RoundingRule="None",AP6,IF(RoundingRule="Nearest 0.99",MAX(0.99,CEILING(AP6,1)-0.01),IF(RoundingRule="Nearest 0.95",MAX(0.95,CEILING(AP6,1)-0.05),IF(RoundingRule="Nearest 0.50",CEILING(AP6,0.5),IF(RoundingRule="Nearest 1",CEILING(AP6,1),IF(RoundingRule="Nearest 5",CEILING(AP6,5),IF(RoundingRule="Up to whole 1",CEILING(AP6,1),IF(RoundingRule="Up to whole 5",CEILING(AP6,5),ROUND(AP6,2))))))))),2)))</f>
        <v>0</v>
      </c>
      <c r="AR6" s="20">
        <f>IF(B6="","",IF(X6&lt;&gt;"",X6,IF(ISNUMBER(AQ6),AQ6,"")))</f>
        <v>0</v>
      </c>
      <c r="AS6" s="20">
        <f>IF(B6="","",IF(AR6="","",ROUND(AR6-AL6-(AR6*AM6+AN6),2)))</f>
        <v>0</v>
      </c>
      <c r="AT6" s="33">
        <f>IF(B6="","",IF(OR(AR6="",AR6=0),"",AS6/AR6))</f>
        <v>0</v>
      </c>
      <c r="AU6" s="41">
        <f>IF(B6="","",ROUND(AG6/60,3))</f>
        <v>0</v>
      </c>
      <c r="AV6" s="20">
        <f>IF(B6="","",IF(OR(AU6=0,AU6="",AS6=""),"",ROUND((AS6+AI6)/AU6,2)))</f>
        <v>0</v>
      </c>
      <c r="AW6" s="43">
        <f>IF(B6="","",IF(AND(A6&lt;&gt;"",ISERROR(MATCH(A6,Products!$A$5:$A$304,0))),"Check - no such product ID",IF(AF6=0,"Add - no material cost yet",IF(AG6=0,"Add - how long does it take?",IF(AND(A6&lt;&gt;"",COUNTIFS('Material Usage'!$A$5:$A$904,A6)&gt;0),"Check - this product also has a bill of materials",IF(AND(A6&lt;&gt;"",COUNTIFS(Labor!$A$5:$A$304,A6)&gt;0),"Check - this product also has labour lines",IF(AV6&lt;MinimumWage,"Below - pays under minimum wage","OK")))))) )</f>
        <v>0</v>
      </c>
    </row>
    <row r="7" spans="1:49">
      <c r="B7" s="15" t="s">
        <v>1312</v>
      </c>
      <c r="C7" s="15" t="s">
        <v>1313</v>
      </c>
      <c r="E7" s="21">
        <v>28</v>
      </c>
      <c r="F7" s="53">
        <v>0.062</v>
      </c>
      <c r="G7" s="19">
        <v>0.08</v>
      </c>
      <c r="H7" s="19">
        <v>0</v>
      </c>
      <c r="I7" s="15" t="s">
        <v>999</v>
      </c>
      <c r="J7" s="16">
        <v>0</v>
      </c>
      <c r="P7" s="18">
        <v>0</v>
      </c>
      <c r="Q7" s="18">
        <v>0.2</v>
      </c>
      <c r="T7" s="16">
        <v>15</v>
      </c>
      <c r="U7" s="16">
        <v>35</v>
      </c>
      <c r="V7" s="16">
        <v>10</v>
      </c>
      <c r="X7" s="18">
        <v>52</v>
      </c>
      <c r="Y7" s="40" t="s">
        <v>1314</v>
      </c>
      <c r="Z7" s="45">
        <f>IF(B7="","",IF(F7&lt;&gt;"",F7,IFERROR(INDEX(Materials!$V$5:$V$254,MATCH(D7,Materials!$A$5:$A$254,0)),0)))</f>
        <v>0</v>
      </c>
      <c r="AA7" s="36">
        <f>IF(B7="","",ROUND(IF(E7="",0,E7)*(1+IF(G7="",0,G7)),2))</f>
        <v>0</v>
      </c>
      <c r="AB7" s="20">
        <f>IF(B7="","",ROUND(AA7*Z7-IF(E7="",0,E7)*IF(G7="",0,G7)*IF(H7="",0,H7)*Z7,2))</f>
        <v>0</v>
      </c>
      <c r="AC7" s="20">
        <f>IF(B7="","",ROUND(IF(J7="",0,J7)*IF(K7="",0,K7),2))</f>
        <v>0</v>
      </c>
      <c r="AD7" s="20">
        <f>IF(B7="","",ROUND(IF(L7="",0,L7)*IFERROR(INDEX(Materials!$V$5:$V$254,MATCH(M7,Materials!$A$5:$A$254,0)),0),2))</f>
        <v>0</v>
      </c>
      <c r="AE7" s="20">
        <f>IF(B7="","",ROUND(IF(N7="",0,N7)*IFERROR(INDEX(Materials!$V$5:$V$254,MATCH(O7,Materials!$A$5:$A$254,0)),0),2))</f>
        <v>0</v>
      </c>
      <c r="AF7" s="20">
        <f>IF(B7="","",ROUND(AB7+AC7+AD7+AE7+IF(P7="",0,P7),2))</f>
        <v>0</v>
      </c>
      <c r="AG7" s="36">
        <f>IF(B7="","",IF(T7="",0,T7)+IF(U7="",0,U7)+IF(V7="",0,V7))</f>
        <v>0</v>
      </c>
      <c r="AH7" s="20">
        <f>IF(B7="","",IF(W7&lt;&gt;"",W7,LaborCostHour))</f>
        <v>0</v>
      </c>
      <c r="AI7" s="20">
        <f>IF(B7="","",ROUND(AG7/60*AH7,2))</f>
        <v>0</v>
      </c>
      <c r="AJ7" s="20">
        <f>IF(B7="","",ROUND(IF(Q7="",0,Q7)+IF(R7="",0,R7)+IF(S7="",0,S7)+AG7/60*SuppliesPerHour,2))</f>
        <v>0</v>
      </c>
      <c r="AK7" s="33">
        <f>IF(B7="","",IF(OR(AF7="",AF7=0),"",AB7/AF7))</f>
        <v>0</v>
      </c>
      <c r="AL7" s="20">
        <f>IF(B7="","",ROUND(AF7+AI7+AJ7,2))</f>
        <v>0</v>
      </c>
      <c r="AM7" s="33">
        <f>IF(B7="","",IFERROR(INDEX(Channels!$S$5:$S$18,MATCH(DefaultChannel,Channels!$A$5:$A$18,0)),0))</f>
        <v>0</v>
      </c>
      <c r="AN7" s="20">
        <f>IF(B7="","",IFERROR(INDEX(Channels!$T$5:$T$18,MATCH(DefaultChannel,Channels!$A$5:$A$18,0)),0))</f>
        <v>0</v>
      </c>
      <c r="AO7" s="41">
        <f>IF(B7="","",1-TargetRetailMargin-AM7)</f>
        <v>0</v>
      </c>
      <c r="AP7" s="20">
        <f>IF(B7="","",IF(AO7&lt;=0,"",(AL7+AN7)/AO7))</f>
        <v>0</v>
      </c>
      <c r="AQ7" s="20">
        <f>IF(B7="","",IF(AP7="","Check the settings",ROUND(IF(RoundingRule="None",AP7,IF(RoundingRule="Nearest 0.99",MAX(0.99,CEILING(AP7,1)-0.01),IF(RoundingRule="Nearest 0.95",MAX(0.95,CEILING(AP7,1)-0.05),IF(RoundingRule="Nearest 0.50",CEILING(AP7,0.5),IF(RoundingRule="Nearest 1",CEILING(AP7,1),IF(RoundingRule="Nearest 5",CEILING(AP7,5),IF(RoundingRule="Up to whole 1",CEILING(AP7,1),IF(RoundingRule="Up to whole 5",CEILING(AP7,5),ROUND(AP7,2))))))))),2)))</f>
        <v>0</v>
      </c>
      <c r="AR7" s="20">
        <f>IF(B7="","",IF(X7&lt;&gt;"",X7,IF(ISNUMBER(AQ7),AQ7,"")))</f>
        <v>0</v>
      </c>
      <c r="AS7" s="20">
        <f>IF(B7="","",IF(AR7="","",ROUND(AR7-AL7-(AR7*AM7+AN7),2)))</f>
        <v>0</v>
      </c>
      <c r="AT7" s="33">
        <f>IF(B7="","",IF(OR(AR7="",AR7=0),"",AS7/AR7))</f>
        <v>0</v>
      </c>
      <c r="AU7" s="41">
        <f>IF(B7="","",ROUND(AG7/60,3))</f>
        <v>0</v>
      </c>
      <c r="AV7" s="20">
        <f>IF(B7="","",IF(OR(AU7=0,AU7="",AS7=""),"",ROUND((AS7+AI7)/AU7,2)))</f>
        <v>0</v>
      </c>
      <c r="AW7" s="43">
        <f>IF(B7="","",IF(AND(A7&lt;&gt;"",ISERROR(MATCH(A7,Products!$A$5:$A$304,0))),"Check - no such product ID",IF(AF7=0,"Add - no material cost yet",IF(AG7=0,"Add - how long does it take?",IF(AND(A7&lt;&gt;"",COUNTIFS('Material Usage'!$A$5:$A$904,A7)&gt;0),"Check - this product also has a bill of materials",IF(AND(A7&lt;&gt;"",COUNTIFS(Labor!$A$5:$A$304,A7)&gt;0),"Check - this product also has labour lines",IF(AV7&lt;MinimumWage,"Below - pays under minimum wage","OK")))))) )</f>
        <v>0</v>
      </c>
    </row>
    <row r="8" spans="1:49">
      <c r="Z8" s="45">
        <f>IF(B8="","",IF(F8&lt;&gt;"",F8,IFERROR(INDEX(Materials!$V$5:$V$254,MATCH(D8,Materials!$A$5:$A$254,0)),0)))</f>
        <v>0</v>
      </c>
      <c r="AA8" s="36">
        <f>IF(B8="","",ROUND(IF(E8="",0,E8)*(1+IF(G8="",0,G8)),2))</f>
        <v>0</v>
      </c>
      <c r="AB8" s="20">
        <f>IF(B8="","",ROUND(AA8*Z8-IF(E8="",0,E8)*IF(G8="",0,G8)*IF(H8="",0,H8)*Z8,2))</f>
        <v>0</v>
      </c>
      <c r="AC8" s="20">
        <f>IF(B8="","",ROUND(IF(J8="",0,J8)*IF(K8="",0,K8),2))</f>
        <v>0</v>
      </c>
      <c r="AD8" s="20">
        <f>IF(B8="","",ROUND(IF(L8="",0,L8)*IFERROR(INDEX(Materials!$V$5:$V$254,MATCH(M8,Materials!$A$5:$A$254,0)),0),2))</f>
        <v>0</v>
      </c>
      <c r="AE8" s="20">
        <f>IF(B8="","",ROUND(IF(N8="",0,N8)*IFERROR(INDEX(Materials!$V$5:$V$254,MATCH(O8,Materials!$A$5:$A$254,0)),0),2))</f>
        <v>0</v>
      </c>
      <c r="AF8" s="20">
        <f>IF(B8="","",ROUND(AB8+AC8+AD8+AE8+IF(P8="",0,P8),2))</f>
        <v>0</v>
      </c>
      <c r="AG8" s="36">
        <f>IF(B8="","",IF(T8="",0,T8)+IF(U8="",0,U8)+IF(V8="",0,V8))</f>
        <v>0</v>
      </c>
      <c r="AH8" s="20">
        <f>IF(B8="","",IF(W8&lt;&gt;"",W8,LaborCostHour))</f>
        <v>0</v>
      </c>
      <c r="AI8" s="20">
        <f>IF(B8="","",ROUND(AG8/60*AH8,2))</f>
        <v>0</v>
      </c>
      <c r="AJ8" s="20">
        <f>IF(B8="","",ROUND(IF(Q8="",0,Q8)+IF(R8="",0,R8)+IF(S8="",0,S8)+AG8/60*SuppliesPerHour,2))</f>
        <v>0</v>
      </c>
      <c r="AK8" s="33">
        <f>IF(B8="","",IF(OR(AF8="",AF8=0),"",AB8/AF8))</f>
        <v>0</v>
      </c>
      <c r="AL8" s="20">
        <f>IF(B8="","",ROUND(AF8+AI8+AJ8,2))</f>
        <v>0</v>
      </c>
      <c r="AM8" s="33">
        <f>IF(B8="","",IFERROR(INDEX(Channels!$S$5:$S$18,MATCH(DefaultChannel,Channels!$A$5:$A$18,0)),0))</f>
        <v>0</v>
      </c>
      <c r="AN8" s="20">
        <f>IF(B8="","",IFERROR(INDEX(Channels!$T$5:$T$18,MATCH(DefaultChannel,Channels!$A$5:$A$18,0)),0))</f>
        <v>0</v>
      </c>
      <c r="AO8" s="41">
        <f>IF(B8="","",1-TargetRetailMargin-AM8)</f>
        <v>0</v>
      </c>
      <c r="AP8" s="20">
        <f>IF(B8="","",IF(AO8&lt;=0,"",(AL8+AN8)/AO8))</f>
        <v>0</v>
      </c>
      <c r="AQ8" s="20">
        <f>IF(B8="","",IF(AP8="","Check the settings",ROUND(IF(RoundingRule="None",AP8,IF(RoundingRule="Nearest 0.99",MAX(0.99,CEILING(AP8,1)-0.01),IF(RoundingRule="Nearest 0.95",MAX(0.95,CEILING(AP8,1)-0.05),IF(RoundingRule="Nearest 0.50",CEILING(AP8,0.5),IF(RoundingRule="Nearest 1",CEILING(AP8,1),IF(RoundingRule="Nearest 5",CEILING(AP8,5),IF(RoundingRule="Up to whole 1",CEILING(AP8,1),IF(RoundingRule="Up to whole 5",CEILING(AP8,5),ROUND(AP8,2))))))))),2)))</f>
        <v>0</v>
      </c>
      <c r="AR8" s="20">
        <f>IF(B8="","",IF(X8&lt;&gt;"",X8,IF(ISNUMBER(AQ8),AQ8,"")))</f>
        <v>0</v>
      </c>
      <c r="AS8" s="20">
        <f>IF(B8="","",IF(AR8="","",ROUND(AR8-AL8-(AR8*AM8+AN8),2)))</f>
        <v>0</v>
      </c>
      <c r="AT8" s="33">
        <f>IF(B8="","",IF(OR(AR8="",AR8=0),"",AS8/AR8))</f>
        <v>0</v>
      </c>
      <c r="AU8" s="41">
        <f>IF(B8="","",ROUND(AG8/60,3))</f>
        <v>0</v>
      </c>
      <c r="AV8" s="20">
        <f>IF(B8="","",IF(OR(AU8=0,AU8="",AS8=""),"",ROUND((AS8+AI8)/AU8,2)))</f>
        <v>0</v>
      </c>
      <c r="AW8" s="43">
        <f>IF(B8="","",IF(AND(A8&lt;&gt;"",ISERROR(MATCH(A8,Products!$A$5:$A$304,0))),"Check - no such product ID",IF(AF8=0,"Add - no material cost yet",IF(AG8=0,"Add - how long does it take?",IF(AND(A8&lt;&gt;"",COUNTIFS('Material Usage'!$A$5:$A$904,A8)&gt;0),"Check - this product also has a bill of materials",IF(AND(A8&lt;&gt;"",COUNTIFS(Labor!$A$5:$A$304,A8)&gt;0),"Check - this product also has labour lines",IF(AV8&lt;MinimumWage,"Below - pays under minimum wage","OK")))))) )</f>
        <v>0</v>
      </c>
    </row>
    <row r="9" spans="1:49">
      <c r="Z9" s="45">
        <f>IF(B9="","",IF(F9&lt;&gt;"",F9,IFERROR(INDEX(Materials!$V$5:$V$254,MATCH(D9,Materials!$A$5:$A$254,0)),0)))</f>
        <v>0</v>
      </c>
      <c r="AA9" s="36">
        <f>IF(B9="","",ROUND(IF(E9="",0,E9)*(1+IF(G9="",0,G9)),2))</f>
        <v>0</v>
      </c>
      <c r="AB9" s="20">
        <f>IF(B9="","",ROUND(AA9*Z9-IF(E9="",0,E9)*IF(G9="",0,G9)*IF(H9="",0,H9)*Z9,2))</f>
        <v>0</v>
      </c>
      <c r="AC9" s="20">
        <f>IF(B9="","",ROUND(IF(J9="",0,J9)*IF(K9="",0,K9),2))</f>
        <v>0</v>
      </c>
      <c r="AD9" s="20">
        <f>IF(B9="","",ROUND(IF(L9="",0,L9)*IFERROR(INDEX(Materials!$V$5:$V$254,MATCH(M9,Materials!$A$5:$A$254,0)),0),2))</f>
        <v>0</v>
      </c>
      <c r="AE9" s="20">
        <f>IF(B9="","",ROUND(IF(N9="",0,N9)*IFERROR(INDEX(Materials!$V$5:$V$254,MATCH(O9,Materials!$A$5:$A$254,0)),0),2))</f>
        <v>0</v>
      </c>
      <c r="AF9" s="20">
        <f>IF(B9="","",ROUND(AB9+AC9+AD9+AE9+IF(P9="",0,P9),2))</f>
        <v>0</v>
      </c>
      <c r="AG9" s="36">
        <f>IF(B9="","",IF(T9="",0,T9)+IF(U9="",0,U9)+IF(V9="",0,V9))</f>
        <v>0</v>
      </c>
      <c r="AH9" s="20">
        <f>IF(B9="","",IF(W9&lt;&gt;"",W9,LaborCostHour))</f>
        <v>0</v>
      </c>
      <c r="AI9" s="20">
        <f>IF(B9="","",ROUND(AG9/60*AH9,2))</f>
        <v>0</v>
      </c>
      <c r="AJ9" s="20">
        <f>IF(B9="","",ROUND(IF(Q9="",0,Q9)+IF(R9="",0,R9)+IF(S9="",0,S9)+AG9/60*SuppliesPerHour,2))</f>
        <v>0</v>
      </c>
      <c r="AK9" s="33">
        <f>IF(B9="","",IF(OR(AF9="",AF9=0),"",AB9/AF9))</f>
        <v>0</v>
      </c>
      <c r="AL9" s="20">
        <f>IF(B9="","",ROUND(AF9+AI9+AJ9,2))</f>
        <v>0</v>
      </c>
      <c r="AM9" s="33">
        <f>IF(B9="","",IFERROR(INDEX(Channels!$S$5:$S$18,MATCH(DefaultChannel,Channels!$A$5:$A$18,0)),0))</f>
        <v>0</v>
      </c>
      <c r="AN9" s="20">
        <f>IF(B9="","",IFERROR(INDEX(Channels!$T$5:$T$18,MATCH(DefaultChannel,Channels!$A$5:$A$18,0)),0))</f>
        <v>0</v>
      </c>
      <c r="AO9" s="41">
        <f>IF(B9="","",1-TargetRetailMargin-AM9)</f>
        <v>0</v>
      </c>
      <c r="AP9" s="20">
        <f>IF(B9="","",IF(AO9&lt;=0,"",(AL9+AN9)/AO9))</f>
        <v>0</v>
      </c>
      <c r="AQ9" s="20">
        <f>IF(B9="","",IF(AP9="","Check the settings",ROUND(IF(RoundingRule="None",AP9,IF(RoundingRule="Nearest 0.99",MAX(0.99,CEILING(AP9,1)-0.01),IF(RoundingRule="Nearest 0.95",MAX(0.95,CEILING(AP9,1)-0.05),IF(RoundingRule="Nearest 0.50",CEILING(AP9,0.5),IF(RoundingRule="Nearest 1",CEILING(AP9,1),IF(RoundingRule="Nearest 5",CEILING(AP9,5),IF(RoundingRule="Up to whole 1",CEILING(AP9,1),IF(RoundingRule="Up to whole 5",CEILING(AP9,5),ROUND(AP9,2))))))))),2)))</f>
        <v>0</v>
      </c>
      <c r="AR9" s="20">
        <f>IF(B9="","",IF(X9&lt;&gt;"",X9,IF(ISNUMBER(AQ9),AQ9,"")))</f>
        <v>0</v>
      </c>
      <c r="AS9" s="20">
        <f>IF(B9="","",IF(AR9="","",ROUND(AR9-AL9-(AR9*AM9+AN9),2)))</f>
        <v>0</v>
      </c>
      <c r="AT9" s="33">
        <f>IF(B9="","",IF(OR(AR9="",AR9=0),"",AS9/AR9))</f>
        <v>0</v>
      </c>
      <c r="AU9" s="41">
        <f>IF(B9="","",ROUND(AG9/60,3))</f>
        <v>0</v>
      </c>
      <c r="AV9" s="20">
        <f>IF(B9="","",IF(OR(AU9=0,AU9="",AS9=""),"",ROUND((AS9+AI9)/AU9,2)))</f>
        <v>0</v>
      </c>
      <c r="AW9" s="43">
        <f>IF(B9="","",IF(AND(A9&lt;&gt;"",ISERROR(MATCH(A9,Products!$A$5:$A$304,0))),"Check - no such product ID",IF(AF9=0,"Add - no material cost yet",IF(AG9=0,"Add - how long does it take?",IF(AND(A9&lt;&gt;"",COUNTIFS('Material Usage'!$A$5:$A$904,A9)&gt;0),"Check - this product also has a bill of materials",IF(AND(A9&lt;&gt;"",COUNTIFS(Labor!$A$5:$A$304,A9)&gt;0),"Check - this product also has labour lines",IF(AV9&lt;MinimumWage,"Below - pays under minimum wage","OK")))))) )</f>
        <v>0</v>
      </c>
    </row>
    <row r="10" spans="1:49">
      <c r="Z10" s="45">
        <f>IF(B10="","",IF(F10&lt;&gt;"",F10,IFERROR(INDEX(Materials!$V$5:$V$254,MATCH(D10,Materials!$A$5:$A$254,0)),0)))</f>
        <v>0</v>
      </c>
      <c r="AA10" s="36">
        <f>IF(B10="","",ROUND(IF(E10="",0,E10)*(1+IF(G10="",0,G10)),2))</f>
        <v>0</v>
      </c>
      <c r="AB10" s="20">
        <f>IF(B10="","",ROUND(AA10*Z10-IF(E10="",0,E10)*IF(G10="",0,G10)*IF(H10="",0,H10)*Z10,2))</f>
        <v>0</v>
      </c>
      <c r="AC10" s="20">
        <f>IF(B10="","",ROUND(IF(J10="",0,J10)*IF(K10="",0,K10),2))</f>
        <v>0</v>
      </c>
      <c r="AD10" s="20">
        <f>IF(B10="","",ROUND(IF(L10="",0,L10)*IFERROR(INDEX(Materials!$V$5:$V$254,MATCH(M10,Materials!$A$5:$A$254,0)),0),2))</f>
        <v>0</v>
      </c>
      <c r="AE10" s="20">
        <f>IF(B10="","",ROUND(IF(N10="",0,N10)*IFERROR(INDEX(Materials!$V$5:$V$254,MATCH(O10,Materials!$A$5:$A$254,0)),0),2))</f>
        <v>0</v>
      </c>
      <c r="AF10" s="20">
        <f>IF(B10="","",ROUND(AB10+AC10+AD10+AE10+IF(P10="",0,P10),2))</f>
        <v>0</v>
      </c>
      <c r="AG10" s="36">
        <f>IF(B10="","",IF(T10="",0,T10)+IF(U10="",0,U10)+IF(V10="",0,V10))</f>
        <v>0</v>
      </c>
      <c r="AH10" s="20">
        <f>IF(B10="","",IF(W10&lt;&gt;"",W10,LaborCostHour))</f>
        <v>0</v>
      </c>
      <c r="AI10" s="20">
        <f>IF(B10="","",ROUND(AG10/60*AH10,2))</f>
        <v>0</v>
      </c>
      <c r="AJ10" s="20">
        <f>IF(B10="","",ROUND(IF(Q10="",0,Q10)+IF(R10="",0,R10)+IF(S10="",0,S10)+AG10/60*SuppliesPerHour,2))</f>
        <v>0</v>
      </c>
      <c r="AK10" s="33">
        <f>IF(B10="","",IF(OR(AF10="",AF10=0),"",AB10/AF10))</f>
        <v>0</v>
      </c>
      <c r="AL10" s="20">
        <f>IF(B10="","",ROUND(AF10+AI10+AJ10,2))</f>
        <v>0</v>
      </c>
      <c r="AM10" s="33">
        <f>IF(B10="","",IFERROR(INDEX(Channels!$S$5:$S$18,MATCH(DefaultChannel,Channels!$A$5:$A$18,0)),0))</f>
        <v>0</v>
      </c>
      <c r="AN10" s="20">
        <f>IF(B10="","",IFERROR(INDEX(Channels!$T$5:$T$18,MATCH(DefaultChannel,Channels!$A$5:$A$18,0)),0))</f>
        <v>0</v>
      </c>
      <c r="AO10" s="41">
        <f>IF(B10="","",1-TargetRetailMargin-AM10)</f>
        <v>0</v>
      </c>
      <c r="AP10" s="20">
        <f>IF(B10="","",IF(AO10&lt;=0,"",(AL10+AN10)/AO10))</f>
        <v>0</v>
      </c>
      <c r="AQ10" s="20">
        <f>IF(B10="","",IF(AP10="","Check the settings",ROUND(IF(RoundingRule="None",AP10,IF(RoundingRule="Nearest 0.99",MAX(0.99,CEILING(AP10,1)-0.01),IF(RoundingRule="Nearest 0.95",MAX(0.95,CEILING(AP10,1)-0.05),IF(RoundingRule="Nearest 0.50",CEILING(AP10,0.5),IF(RoundingRule="Nearest 1",CEILING(AP10,1),IF(RoundingRule="Nearest 5",CEILING(AP10,5),IF(RoundingRule="Up to whole 1",CEILING(AP10,1),IF(RoundingRule="Up to whole 5",CEILING(AP10,5),ROUND(AP10,2))))))))),2)))</f>
        <v>0</v>
      </c>
      <c r="AR10" s="20">
        <f>IF(B10="","",IF(X10&lt;&gt;"",X10,IF(ISNUMBER(AQ10),AQ10,"")))</f>
        <v>0</v>
      </c>
      <c r="AS10" s="20">
        <f>IF(B10="","",IF(AR10="","",ROUND(AR10-AL10-(AR10*AM10+AN10),2)))</f>
        <v>0</v>
      </c>
      <c r="AT10" s="33">
        <f>IF(B10="","",IF(OR(AR10="",AR10=0),"",AS10/AR10))</f>
        <v>0</v>
      </c>
      <c r="AU10" s="41">
        <f>IF(B10="","",ROUND(AG10/60,3))</f>
        <v>0</v>
      </c>
      <c r="AV10" s="20">
        <f>IF(B10="","",IF(OR(AU10=0,AU10="",AS10=""),"",ROUND((AS10+AI10)/AU10,2)))</f>
        <v>0</v>
      </c>
      <c r="AW10" s="43">
        <f>IF(B10="","",IF(AND(A10&lt;&gt;"",ISERROR(MATCH(A10,Products!$A$5:$A$304,0))),"Check - no such product ID",IF(AF10=0,"Add - no material cost yet",IF(AG10=0,"Add - how long does it take?",IF(AND(A10&lt;&gt;"",COUNTIFS('Material Usage'!$A$5:$A$904,A10)&gt;0),"Check - this product also has a bill of materials",IF(AND(A10&lt;&gt;"",COUNTIFS(Labor!$A$5:$A$304,A10)&gt;0),"Check - this product also has labour lines",IF(AV10&lt;MinimumWage,"Below - pays under minimum wage","OK")))))) )</f>
        <v>0</v>
      </c>
    </row>
    <row r="11" spans="1:49">
      <c r="Z11" s="45">
        <f>IF(B11="","",IF(F11&lt;&gt;"",F11,IFERROR(INDEX(Materials!$V$5:$V$254,MATCH(D11,Materials!$A$5:$A$254,0)),0)))</f>
        <v>0</v>
      </c>
      <c r="AA11" s="36">
        <f>IF(B11="","",ROUND(IF(E11="",0,E11)*(1+IF(G11="",0,G11)),2))</f>
        <v>0</v>
      </c>
      <c r="AB11" s="20">
        <f>IF(B11="","",ROUND(AA11*Z11-IF(E11="",0,E11)*IF(G11="",0,G11)*IF(H11="",0,H11)*Z11,2))</f>
        <v>0</v>
      </c>
      <c r="AC11" s="20">
        <f>IF(B11="","",ROUND(IF(J11="",0,J11)*IF(K11="",0,K11),2))</f>
        <v>0</v>
      </c>
      <c r="AD11" s="20">
        <f>IF(B11="","",ROUND(IF(L11="",0,L11)*IFERROR(INDEX(Materials!$V$5:$V$254,MATCH(M11,Materials!$A$5:$A$254,0)),0),2))</f>
        <v>0</v>
      </c>
      <c r="AE11" s="20">
        <f>IF(B11="","",ROUND(IF(N11="",0,N11)*IFERROR(INDEX(Materials!$V$5:$V$254,MATCH(O11,Materials!$A$5:$A$254,0)),0),2))</f>
        <v>0</v>
      </c>
      <c r="AF11" s="20">
        <f>IF(B11="","",ROUND(AB11+AC11+AD11+AE11+IF(P11="",0,P11),2))</f>
        <v>0</v>
      </c>
      <c r="AG11" s="36">
        <f>IF(B11="","",IF(T11="",0,T11)+IF(U11="",0,U11)+IF(V11="",0,V11))</f>
        <v>0</v>
      </c>
      <c r="AH11" s="20">
        <f>IF(B11="","",IF(W11&lt;&gt;"",W11,LaborCostHour))</f>
        <v>0</v>
      </c>
      <c r="AI11" s="20">
        <f>IF(B11="","",ROUND(AG11/60*AH11,2))</f>
        <v>0</v>
      </c>
      <c r="AJ11" s="20">
        <f>IF(B11="","",ROUND(IF(Q11="",0,Q11)+IF(R11="",0,R11)+IF(S11="",0,S11)+AG11/60*SuppliesPerHour,2))</f>
        <v>0</v>
      </c>
      <c r="AK11" s="33">
        <f>IF(B11="","",IF(OR(AF11="",AF11=0),"",AB11/AF11))</f>
        <v>0</v>
      </c>
      <c r="AL11" s="20">
        <f>IF(B11="","",ROUND(AF11+AI11+AJ11,2))</f>
        <v>0</v>
      </c>
      <c r="AM11" s="33">
        <f>IF(B11="","",IFERROR(INDEX(Channels!$S$5:$S$18,MATCH(DefaultChannel,Channels!$A$5:$A$18,0)),0))</f>
        <v>0</v>
      </c>
      <c r="AN11" s="20">
        <f>IF(B11="","",IFERROR(INDEX(Channels!$T$5:$T$18,MATCH(DefaultChannel,Channels!$A$5:$A$18,0)),0))</f>
        <v>0</v>
      </c>
      <c r="AO11" s="41">
        <f>IF(B11="","",1-TargetRetailMargin-AM11)</f>
        <v>0</v>
      </c>
      <c r="AP11" s="20">
        <f>IF(B11="","",IF(AO11&lt;=0,"",(AL11+AN11)/AO11))</f>
        <v>0</v>
      </c>
      <c r="AQ11" s="20">
        <f>IF(B11="","",IF(AP11="","Check the settings",ROUND(IF(RoundingRule="None",AP11,IF(RoundingRule="Nearest 0.99",MAX(0.99,CEILING(AP11,1)-0.01),IF(RoundingRule="Nearest 0.95",MAX(0.95,CEILING(AP11,1)-0.05),IF(RoundingRule="Nearest 0.50",CEILING(AP11,0.5),IF(RoundingRule="Nearest 1",CEILING(AP11,1),IF(RoundingRule="Nearest 5",CEILING(AP11,5),IF(RoundingRule="Up to whole 1",CEILING(AP11,1),IF(RoundingRule="Up to whole 5",CEILING(AP11,5),ROUND(AP11,2))))))))),2)))</f>
        <v>0</v>
      </c>
      <c r="AR11" s="20">
        <f>IF(B11="","",IF(X11&lt;&gt;"",X11,IF(ISNUMBER(AQ11),AQ11,"")))</f>
        <v>0</v>
      </c>
      <c r="AS11" s="20">
        <f>IF(B11="","",IF(AR11="","",ROUND(AR11-AL11-(AR11*AM11+AN11),2)))</f>
        <v>0</v>
      </c>
      <c r="AT11" s="33">
        <f>IF(B11="","",IF(OR(AR11="",AR11=0),"",AS11/AR11))</f>
        <v>0</v>
      </c>
      <c r="AU11" s="41">
        <f>IF(B11="","",ROUND(AG11/60,3))</f>
        <v>0</v>
      </c>
      <c r="AV11" s="20">
        <f>IF(B11="","",IF(OR(AU11=0,AU11="",AS11=""),"",ROUND((AS11+AI11)/AU11,2)))</f>
        <v>0</v>
      </c>
      <c r="AW11" s="43">
        <f>IF(B11="","",IF(AND(A11&lt;&gt;"",ISERROR(MATCH(A11,Products!$A$5:$A$304,0))),"Check - no such product ID",IF(AF11=0,"Add - no material cost yet",IF(AG11=0,"Add - how long does it take?",IF(AND(A11&lt;&gt;"",COUNTIFS('Material Usage'!$A$5:$A$904,A11)&gt;0),"Check - this product also has a bill of materials",IF(AND(A11&lt;&gt;"",COUNTIFS(Labor!$A$5:$A$304,A11)&gt;0),"Check - this product also has labour lines",IF(AV11&lt;MinimumWage,"Below - pays under minimum wage","OK")))))) )</f>
        <v>0</v>
      </c>
    </row>
    <row r="12" spans="1:49">
      <c r="Z12" s="45">
        <f>IF(B12="","",IF(F12&lt;&gt;"",F12,IFERROR(INDEX(Materials!$V$5:$V$254,MATCH(D12,Materials!$A$5:$A$254,0)),0)))</f>
        <v>0</v>
      </c>
      <c r="AA12" s="36">
        <f>IF(B12="","",ROUND(IF(E12="",0,E12)*(1+IF(G12="",0,G12)),2))</f>
        <v>0</v>
      </c>
      <c r="AB12" s="20">
        <f>IF(B12="","",ROUND(AA12*Z12-IF(E12="",0,E12)*IF(G12="",0,G12)*IF(H12="",0,H12)*Z12,2))</f>
        <v>0</v>
      </c>
      <c r="AC12" s="20">
        <f>IF(B12="","",ROUND(IF(J12="",0,J12)*IF(K12="",0,K12),2))</f>
        <v>0</v>
      </c>
      <c r="AD12" s="20">
        <f>IF(B12="","",ROUND(IF(L12="",0,L12)*IFERROR(INDEX(Materials!$V$5:$V$254,MATCH(M12,Materials!$A$5:$A$254,0)),0),2))</f>
        <v>0</v>
      </c>
      <c r="AE12" s="20">
        <f>IF(B12="","",ROUND(IF(N12="",0,N12)*IFERROR(INDEX(Materials!$V$5:$V$254,MATCH(O12,Materials!$A$5:$A$254,0)),0),2))</f>
        <v>0</v>
      </c>
      <c r="AF12" s="20">
        <f>IF(B12="","",ROUND(AB12+AC12+AD12+AE12+IF(P12="",0,P12),2))</f>
        <v>0</v>
      </c>
      <c r="AG12" s="36">
        <f>IF(B12="","",IF(T12="",0,T12)+IF(U12="",0,U12)+IF(V12="",0,V12))</f>
        <v>0</v>
      </c>
      <c r="AH12" s="20">
        <f>IF(B12="","",IF(W12&lt;&gt;"",W12,LaborCostHour))</f>
        <v>0</v>
      </c>
      <c r="AI12" s="20">
        <f>IF(B12="","",ROUND(AG12/60*AH12,2))</f>
        <v>0</v>
      </c>
      <c r="AJ12" s="20">
        <f>IF(B12="","",ROUND(IF(Q12="",0,Q12)+IF(R12="",0,R12)+IF(S12="",0,S12)+AG12/60*SuppliesPerHour,2))</f>
        <v>0</v>
      </c>
      <c r="AK12" s="33">
        <f>IF(B12="","",IF(OR(AF12="",AF12=0),"",AB12/AF12))</f>
        <v>0</v>
      </c>
      <c r="AL12" s="20">
        <f>IF(B12="","",ROUND(AF12+AI12+AJ12,2))</f>
        <v>0</v>
      </c>
      <c r="AM12" s="33">
        <f>IF(B12="","",IFERROR(INDEX(Channels!$S$5:$S$18,MATCH(DefaultChannel,Channels!$A$5:$A$18,0)),0))</f>
        <v>0</v>
      </c>
      <c r="AN12" s="20">
        <f>IF(B12="","",IFERROR(INDEX(Channels!$T$5:$T$18,MATCH(DefaultChannel,Channels!$A$5:$A$18,0)),0))</f>
        <v>0</v>
      </c>
      <c r="AO12" s="41">
        <f>IF(B12="","",1-TargetRetailMargin-AM12)</f>
        <v>0</v>
      </c>
      <c r="AP12" s="20">
        <f>IF(B12="","",IF(AO12&lt;=0,"",(AL12+AN12)/AO12))</f>
        <v>0</v>
      </c>
      <c r="AQ12" s="20">
        <f>IF(B12="","",IF(AP12="","Check the settings",ROUND(IF(RoundingRule="None",AP12,IF(RoundingRule="Nearest 0.99",MAX(0.99,CEILING(AP12,1)-0.01),IF(RoundingRule="Nearest 0.95",MAX(0.95,CEILING(AP12,1)-0.05),IF(RoundingRule="Nearest 0.50",CEILING(AP12,0.5),IF(RoundingRule="Nearest 1",CEILING(AP12,1),IF(RoundingRule="Nearest 5",CEILING(AP12,5),IF(RoundingRule="Up to whole 1",CEILING(AP12,1),IF(RoundingRule="Up to whole 5",CEILING(AP12,5),ROUND(AP12,2))))))))),2)))</f>
        <v>0</v>
      </c>
      <c r="AR12" s="20">
        <f>IF(B12="","",IF(X12&lt;&gt;"",X12,IF(ISNUMBER(AQ12),AQ12,"")))</f>
        <v>0</v>
      </c>
      <c r="AS12" s="20">
        <f>IF(B12="","",IF(AR12="","",ROUND(AR12-AL12-(AR12*AM12+AN12),2)))</f>
        <v>0</v>
      </c>
      <c r="AT12" s="33">
        <f>IF(B12="","",IF(OR(AR12="",AR12=0),"",AS12/AR12))</f>
        <v>0</v>
      </c>
      <c r="AU12" s="41">
        <f>IF(B12="","",ROUND(AG12/60,3))</f>
        <v>0</v>
      </c>
      <c r="AV12" s="20">
        <f>IF(B12="","",IF(OR(AU12=0,AU12="",AS12=""),"",ROUND((AS12+AI12)/AU12,2)))</f>
        <v>0</v>
      </c>
      <c r="AW12" s="43">
        <f>IF(B12="","",IF(AND(A12&lt;&gt;"",ISERROR(MATCH(A12,Products!$A$5:$A$304,0))),"Check - no such product ID",IF(AF12=0,"Add - no material cost yet",IF(AG12=0,"Add - how long does it take?",IF(AND(A12&lt;&gt;"",COUNTIFS('Material Usage'!$A$5:$A$904,A12)&gt;0),"Check - this product also has a bill of materials",IF(AND(A12&lt;&gt;"",COUNTIFS(Labor!$A$5:$A$304,A12)&gt;0),"Check - this product also has labour lines",IF(AV12&lt;MinimumWage,"Below - pays under minimum wage","OK")))))) )</f>
        <v>0</v>
      </c>
    </row>
    <row r="13" spans="1:49">
      <c r="Z13" s="45">
        <f>IF(B13="","",IF(F13&lt;&gt;"",F13,IFERROR(INDEX(Materials!$V$5:$V$254,MATCH(D13,Materials!$A$5:$A$254,0)),0)))</f>
        <v>0</v>
      </c>
      <c r="AA13" s="36">
        <f>IF(B13="","",ROUND(IF(E13="",0,E13)*(1+IF(G13="",0,G13)),2))</f>
        <v>0</v>
      </c>
      <c r="AB13" s="20">
        <f>IF(B13="","",ROUND(AA13*Z13-IF(E13="",0,E13)*IF(G13="",0,G13)*IF(H13="",0,H13)*Z13,2))</f>
        <v>0</v>
      </c>
      <c r="AC13" s="20">
        <f>IF(B13="","",ROUND(IF(J13="",0,J13)*IF(K13="",0,K13),2))</f>
        <v>0</v>
      </c>
      <c r="AD13" s="20">
        <f>IF(B13="","",ROUND(IF(L13="",0,L13)*IFERROR(INDEX(Materials!$V$5:$V$254,MATCH(M13,Materials!$A$5:$A$254,0)),0),2))</f>
        <v>0</v>
      </c>
      <c r="AE13" s="20">
        <f>IF(B13="","",ROUND(IF(N13="",0,N13)*IFERROR(INDEX(Materials!$V$5:$V$254,MATCH(O13,Materials!$A$5:$A$254,0)),0),2))</f>
        <v>0</v>
      </c>
      <c r="AF13" s="20">
        <f>IF(B13="","",ROUND(AB13+AC13+AD13+AE13+IF(P13="",0,P13),2))</f>
        <v>0</v>
      </c>
      <c r="AG13" s="36">
        <f>IF(B13="","",IF(T13="",0,T13)+IF(U13="",0,U13)+IF(V13="",0,V13))</f>
        <v>0</v>
      </c>
      <c r="AH13" s="20">
        <f>IF(B13="","",IF(W13&lt;&gt;"",W13,LaborCostHour))</f>
        <v>0</v>
      </c>
      <c r="AI13" s="20">
        <f>IF(B13="","",ROUND(AG13/60*AH13,2))</f>
        <v>0</v>
      </c>
      <c r="AJ13" s="20">
        <f>IF(B13="","",ROUND(IF(Q13="",0,Q13)+IF(R13="",0,R13)+IF(S13="",0,S13)+AG13/60*SuppliesPerHour,2))</f>
        <v>0</v>
      </c>
      <c r="AK13" s="33">
        <f>IF(B13="","",IF(OR(AF13="",AF13=0),"",AB13/AF13))</f>
        <v>0</v>
      </c>
      <c r="AL13" s="20">
        <f>IF(B13="","",ROUND(AF13+AI13+AJ13,2))</f>
        <v>0</v>
      </c>
      <c r="AM13" s="33">
        <f>IF(B13="","",IFERROR(INDEX(Channels!$S$5:$S$18,MATCH(DefaultChannel,Channels!$A$5:$A$18,0)),0))</f>
        <v>0</v>
      </c>
      <c r="AN13" s="20">
        <f>IF(B13="","",IFERROR(INDEX(Channels!$T$5:$T$18,MATCH(DefaultChannel,Channels!$A$5:$A$18,0)),0))</f>
        <v>0</v>
      </c>
      <c r="AO13" s="41">
        <f>IF(B13="","",1-TargetRetailMargin-AM13)</f>
        <v>0</v>
      </c>
      <c r="AP13" s="20">
        <f>IF(B13="","",IF(AO13&lt;=0,"",(AL13+AN13)/AO13))</f>
        <v>0</v>
      </c>
      <c r="AQ13" s="20">
        <f>IF(B13="","",IF(AP13="","Check the settings",ROUND(IF(RoundingRule="None",AP13,IF(RoundingRule="Nearest 0.99",MAX(0.99,CEILING(AP13,1)-0.01),IF(RoundingRule="Nearest 0.95",MAX(0.95,CEILING(AP13,1)-0.05),IF(RoundingRule="Nearest 0.50",CEILING(AP13,0.5),IF(RoundingRule="Nearest 1",CEILING(AP13,1),IF(RoundingRule="Nearest 5",CEILING(AP13,5),IF(RoundingRule="Up to whole 1",CEILING(AP13,1),IF(RoundingRule="Up to whole 5",CEILING(AP13,5),ROUND(AP13,2))))))))),2)))</f>
        <v>0</v>
      </c>
      <c r="AR13" s="20">
        <f>IF(B13="","",IF(X13&lt;&gt;"",X13,IF(ISNUMBER(AQ13),AQ13,"")))</f>
        <v>0</v>
      </c>
      <c r="AS13" s="20">
        <f>IF(B13="","",IF(AR13="","",ROUND(AR13-AL13-(AR13*AM13+AN13),2)))</f>
        <v>0</v>
      </c>
      <c r="AT13" s="33">
        <f>IF(B13="","",IF(OR(AR13="",AR13=0),"",AS13/AR13))</f>
        <v>0</v>
      </c>
      <c r="AU13" s="41">
        <f>IF(B13="","",ROUND(AG13/60,3))</f>
        <v>0</v>
      </c>
      <c r="AV13" s="20">
        <f>IF(B13="","",IF(OR(AU13=0,AU13="",AS13=""),"",ROUND((AS13+AI13)/AU13,2)))</f>
        <v>0</v>
      </c>
      <c r="AW13" s="43">
        <f>IF(B13="","",IF(AND(A13&lt;&gt;"",ISERROR(MATCH(A13,Products!$A$5:$A$304,0))),"Check - no such product ID",IF(AF13=0,"Add - no material cost yet",IF(AG13=0,"Add - how long does it take?",IF(AND(A13&lt;&gt;"",COUNTIFS('Material Usage'!$A$5:$A$904,A13)&gt;0),"Check - this product also has a bill of materials",IF(AND(A13&lt;&gt;"",COUNTIFS(Labor!$A$5:$A$304,A13)&gt;0),"Check - this product also has labour lines",IF(AV13&lt;MinimumWage,"Below - pays under minimum wage","OK")))))) )</f>
        <v>0</v>
      </c>
    </row>
    <row r="14" spans="1:49">
      <c r="Z14" s="45">
        <f>IF(B14="","",IF(F14&lt;&gt;"",F14,IFERROR(INDEX(Materials!$V$5:$V$254,MATCH(D14,Materials!$A$5:$A$254,0)),0)))</f>
        <v>0</v>
      </c>
      <c r="AA14" s="36">
        <f>IF(B14="","",ROUND(IF(E14="",0,E14)*(1+IF(G14="",0,G14)),2))</f>
        <v>0</v>
      </c>
      <c r="AB14" s="20">
        <f>IF(B14="","",ROUND(AA14*Z14-IF(E14="",0,E14)*IF(G14="",0,G14)*IF(H14="",0,H14)*Z14,2))</f>
        <v>0</v>
      </c>
      <c r="AC14" s="20">
        <f>IF(B14="","",ROUND(IF(J14="",0,J14)*IF(K14="",0,K14),2))</f>
        <v>0</v>
      </c>
      <c r="AD14" s="20">
        <f>IF(B14="","",ROUND(IF(L14="",0,L14)*IFERROR(INDEX(Materials!$V$5:$V$254,MATCH(M14,Materials!$A$5:$A$254,0)),0),2))</f>
        <v>0</v>
      </c>
      <c r="AE14" s="20">
        <f>IF(B14="","",ROUND(IF(N14="",0,N14)*IFERROR(INDEX(Materials!$V$5:$V$254,MATCH(O14,Materials!$A$5:$A$254,0)),0),2))</f>
        <v>0</v>
      </c>
      <c r="AF14" s="20">
        <f>IF(B14="","",ROUND(AB14+AC14+AD14+AE14+IF(P14="",0,P14),2))</f>
        <v>0</v>
      </c>
      <c r="AG14" s="36">
        <f>IF(B14="","",IF(T14="",0,T14)+IF(U14="",0,U14)+IF(V14="",0,V14))</f>
        <v>0</v>
      </c>
      <c r="AH14" s="20">
        <f>IF(B14="","",IF(W14&lt;&gt;"",W14,LaborCostHour))</f>
        <v>0</v>
      </c>
      <c r="AI14" s="20">
        <f>IF(B14="","",ROUND(AG14/60*AH14,2))</f>
        <v>0</v>
      </c>
      <c r="AJ14" s="20">
        <f>IF(B14="","",ROUND(IF(Q14="",0,Q14)+IF(R14="",0,R14)+IF(S14="",0,S14)+AG14/60*SuppliesPerHour,2))</f>
        <v>0</v>
      </c>
      <c r="AK14" s="33">
        <f>IF(B14="","",IF(OR(AF14="",AF14=0),"",AB14/AF14))</f>
        <v>0</v>
      </c>
      <c r="AL14" s="20">
        <f>IF(B14="","",ROUND(AF14+AI14+AJ14,2))</f>
        <v>0</v>
      </c>
      <c r="AM14" s="33">
        <f>IF(B14="","",IFERROR(INDEX(Channels!$S$5:$S$18,MATCH(DefaultChannel,Channels!$A$5:$A$18,0)),0))</f>
        <v>0</v>
      </c>
      <c r="AN14" s="20">
        <f>IF(B14="","",IFERROR(INDEX(Channels!$T$5:$T$18,MATCH(DefaultChannel,Channels!$A$5:$A$18,0)),0))</f>
        <v>0</v>
      </c>
      <c r="AO14" s="41">
        <f>IF(B14="","",1-TargetRetailMargin-AM14)</f>
        <v>0</v>
      </c>
      <c r="AP14" s="20">
        <f>IF(B14="","",IF(AO14&lt;=0,"",(AL14+AN14)/AO14))</f>
        <v>0</v>
      </c>
      <c r="AQ14" s="20">
        <f>IF(B14="","",IF(AP14="","Check the settings",ROUND(IF(RoundingRule="None",AP14,IF(RoundingRule="Nearest 0.99",MAX(0.99,CEILING(AP14,1)-0.01),IF(RoundingRule="Nearest 0.95",MAX(0.95,CEILING(AP14,1)-0.05),IF(RoundingRule="Nearest 0.50",CEILING(AP14,0.5),IF(RoundingRule="Nearest 1",CEILING(AP14,1),IF(RoundingRule="Nearest 5",CEILING(AP14,5),IF(RoundingRule="Up to whole 1",CEILING(AP14,1),IF(RoundingRule="Up to whole 5",CEILING(AP14,5),ROUND(AP14,2))))))))),2)))</f>
        <v>0</v>
      </c>
      <c r="AR14" s="20">
        <f>IF(B14="","",IF(X14&lt;&gt;"",X14,IF(ISNUMBER(AQ14),AQ14,"")))</f>
        <v>0</v>
      </c>
      <c r="AS14" s="20">
        <f>IF(B14="","",IF(AR14="","",ROUND(AR14-AL14-(AR14*AM14+AN14),2)))</f>
        <v>0</v>
      </c>
      <c r="AT14" s="33">
        <f>IF(B14="","",IF(OR(AR14="",AR14=0),"",AS14/AR14))</f>
        <v>0</v>
      </c>
      <c r="AU14" s="41">
        <f>IF(B14="","",ROUND(AG14/60,3))</f>
        <v>0</v>
      </c>
      <c r="AV14" s="20">
        <f>IF(B14="","",IF(OR(AU14=0,AU14="",AS14=""),"",ROUND((AS14+AI14)/AU14,2)))</f>
        <v>0</v>
      </c>
      <c r="AW14" s="43">
        <f>IF(B14="","",IF(AND(A14&lt;&gt;"",ISERROR(MATCH(A14,Products!$A$5:$A$304,0))),"Check - no such product ID",IF(AF14=0,"Add - no material cost yet",IF(AG14=0,"Add - how long does it take?",IF(AND(A14&lt;&gt;"",COUNTIFS('Material Usage'!$A$5:$A$904,A14)&gt;0),"Check - this product also has a bill of materials",IF(AND(A14&lt;&gt;"",COUNTIFS(Labor!$A$5:$A$304,A14)&gt;0),"Check - this product also has labour lines",IF(AV14&lt;MinimumWage,"Below - pays under minimum wage","OK")))))) )</f>
        <v>0</v>
      </c>
    </row>
    <row r="15" spans="1:49">
      <c r="Z15" s="45">
        <f>IF(B15="","",IF(F15&lt;&gt;"",F15,IFERROR(INDEX(Materials!$V$5:$V$254,MATCH(D15,Materials!$A$5:$A$254,0)),0)))</f>
        <v>0</v>
      </c>
      <c r="AA15" s="36">
        <f>IF(B15="","",ROUND(IF(E15="",0,E15)*(1+IF(G15="",0,G15)),2))</f>
        <v>0</v>
      </c>
      <c r="AB15" s="20">
        <f>IF(B15="","",ROUND(AA15*Z15-IF(E15="",0,E15)*IF(G15="",0,G15)*IF(H15="",0,H15)*Z15,2))</f>
        <v>0</v>
      </c>
      <c r="AC15" s="20">
        <f>IF(B15="","",ROUND(IF(J15="",0,J15)*IF(K15="",0,K15),2))</f>
        <v>0</v>
      </c>
      <c r="AD15" s="20">
        <f>IF(B15="","",ROUND(IF(L15="",0,L15)*IFERROR(INDEX(Materials!$V$5:$V$254,MATCH(M15,Materials!$A$5:$A$254,0)),0),2))</f>
        <v>0</v>
      </c>
      <c r="AE15" s="20">
        <f>IF(B15="","",ROUND(IF(N15="",0,N15)*IFERROR(INDEX(Materials!$V$5:$V$254,MATCH(O15,Materials!$A$5:$A$254,0)),0),2))</f>
        <v>0</v>
      </c>
      <c r="AF15" s="20">
        <f>IF(B15="","",ROUND(AB15+AC15+AD15+AE15+IF(P15="",0,P15),2))</f>
        <v>0</v>
      </c>
      <c r="AG15" s="36">
        <f>IF(B15="","",IF(T15="",0,T15)+IF(U15="",0,U15)+IF(V15="",0,V15))</f>
        <v>0</v>
      </c>
      <c r="AH15" s="20">
        <f>IF(B15="","",IF(W15&lt;&gt;"",W15,LaborCostHour))</f>
        <v>0</v>
      </c>
      <c r="AI15" s="20">
        <f>IF(B15="","",ROUND(AG15/60*AH15,2))</f>
        <v>0</v>
      </c>
      <c r="AJ15" s="20">
        <f>IF(B15="","",ROUND(IF(Q15="",0,Q15)+IF(R15="",0,R15)+IF(S15="",0,S15)+AG15/60*SuppliesPerHour,2))</f>
        <v>0</v>
      </c>
      <c r="AK15" s="33">
        <f>IF(B15="","",IF(OR(AF15="",AF15=0),"",AB15/AF15))</f>
        <v>0</v>
      </c>
      <c r="AL15" s="20">
        <f>IF(B15="","",ROUND(AF15+AI15+AJ15,2))</f>
        <v>0</v>
      </c>
      <c r="AM15" s="33">
        <f>IF(B15="","",IFERROR(INDEX(Channels!$S$5:$S$18,MATCH(DefaultChannel,Channels!$A$5:$A$18,0)),0))</f>
        <v>0</v>
      </c>
      <c r="AN15" s="20">
        <f>IF(B15="","",IFERROR(INDEX(Channels!$T$5:$T$18,MATCH(DefaultChannel,Channels!$A$5:$A$18,0)),0))</f>
        <v>0</v>
      </c>
      <c r="AO15" s="41">
        <f>IF(B15="","",1-TargetRetailMargin-AM15)</f>
        <v>0</v>
      </c>
      <c r="AP15" s="20">
        <f>IF(B15="","",IF(AO15&lt;=0,"",(AL15+AN15)/AO15))</f>
        <v>0</v>
      </c>
      <c r="AQ15" s="20">
        <f>IF(B15="","",IF(AP15="","Check the settings",ROUND(IF(RoundingRule="None",AP15,IF(RoundingRule="Nearest 0.99",MAX(0.99,CEILING(AP15,1)-0.01),IF(RoundingRule="Nearest 0.95",MAX(0.95,CEILING(AP15,1)-0.05),IF(RoundingRule="Nearest 0.50",CEILING(AP15,0.5),IF(RoundingRule="Nearest 1",CEILING(AP15,1),IF(RoundingRule="Nearest 5",CEILING(AP15,5),IF(RoundingRule="Up to whole 1",CEILING(AP15,1),IF(RoundingRule="Up to whole 5",CEILING(AP15,5),ROUND(AP15,2))))))))),2)))</f>
        <v>0</v>
      </c>
      <c r="AR15" s="20">
        <f>IF(B15="","",IF(X15&lt;&gt;"",X15,IF(ISNUMBER(AQ15),AQ15,"")))</f>
        <v>0</v>
      </c>
      <c r="AS15" s="20">
        <f>IF(B15="","",IF(AR15="","",ROUND(AR15-AL15-(AR15*AM15+AN15),2)))</f>
        <v>0</v>
      </c>
      <c r="AT15" s="33">
        <f>IF(B15="","",IF(OR(AR15="",AR15=0),"",AS15/AR15))</f>
        <v>0</v>
      </c>
      <c r="AU15" s="41">
        <f>IF(B15="","",ROUND(AG15/60,3))</f>
        <v>0</v>
      </c>
      <c r="AV15" s="20">
        <f>IF(B15="","",IF(OR(AU15=0,AU15="",AS15=""),"",ROUND((AS15+AI15)/AU15,2)))</f>
        <v>0</v>
      </c>
      <c r="AW15" s="43">
        <f>IF(B15="","",IF(AND(A15&lt;&gt;"",ISERROR(MATCH(A15,Products!$A$5:$A$304,0))),"Check - no such product ID",IF(AF15=0,"Add - no material cost yet",IF(AG15=0,"Add - how long does it take?",IF(AND(A15&lt;&gt;"",COUNTIFS('Material Usage'!$A$5:$A$904,A15)&gt;0),"Check - this product also has a bill of materials",IF(AND(A15&lt;&gt;"",COUNTIFS(Labor!$A$5:$A$304,A15)&gt;0),"Check - this product also has labour lines",IF(AV15&lt;MinimumWage,"Below - pays under minimum wage","OK")))))) )</f>
        <v>0</v>
      </c>
    </row>
    <row r="16" spans="1:49">
      <c r="Z16" s="45">
        <f>IF(B16="","",IF(F16&lt;&gt;"",F16,IFERROR(INDEX(Materials!$V$5:$V$254,MATCH(D16,Materials!$A$5:$A$254,0)),0)))</f>
        <v>0</v>
      </c>
      <c r="AA16" s="36">
        <f>IF(B16="","",ROUND(IF(E16="",0,E16)*(1+IF(G16="",0,G16)),2))</f>
        <v>0</v>
      </c>
      <c r="AB16" s="20">
        <f>IF(B16="","",ROUND(AA16*Z16-IF(E16="",0,E16)*IF(G16="",0,G16)*IF(H16="",0,H16)*Z16,2))</f>
        <v>0</v>
      </c>
      <c r="AC16" s="20">
        <f>IF(B16="","",ROUND(IF(J16="",0,J16)*IF(K16="",0,K16),2))</f>
        <v>0</v>
      </c>
      <c r="AD16" s="20">
        <f>IF(B16="","",ROUND(IF(L16="",0,L16)*IFERROR(INDEX(Materials!$V$5:$V$254,MATCH(M16,Materials!$A$5:$A$254,0)),0),2))</f>
        <v>0</v>
      </c>
      <c r="AE16" s="20">
        <f>IF(B16="","",ROUND(IF(N16="",0,N16)*IFERROR(INDEX(Materials!$V$5:$V$254,MATCH(O16,Materials!$A$5:$A$254,0)),0),2))</f>
        <v>0</v>
      </c>
      <c r="AF16" s="20">
        <f>IF(B16="","",ROUND(AB16+AC16+AD16+AE16+IF(P16="",0,P16),2))</f>
        <v>0</v>
      </c>
      <c r="AG16" s="36">
        <f>IF(B16="","",IF(T16="",0,T16)+IF(U16="",0,U16)+IF(V16="",0,V16))</f>
        <v>0</v>
      </c>
      <c r="AH16" s="20">
        <f>IF(B16="","",IF(W16&lt;&gt;"",W16,LaborCostHour))</f>
        <v>0</v>
      </c>
      <c r="AI16" s="20">
        <f>IF(B16="","",ROUND(AG16/60*AH16,2))</f>
        <v>0</v>
      </c>
      <c r="AJ16" s="20">
        <f>IF(B16="","",ROUND(IF(Q16="",0,Q16)+IF(R16="",0,R16)+IF(S16="",0,S16)+AG16/60*SuppliesPerHour,2))</f>
        <v>0</v>
      </c>
      <c r="AK16" s="33">
        <f>IF(B16="","",IF(OR(AF16="",AF16=0),"",AB16/AF16))</f>
        <v>0</v>
      </c>
      <c r="AL16" s="20">
        <f>IF(B16="","",ROUND(AF16+AI16+AJ16,2))</f>
        <v>0</v>
      </c>
      <c r="AM16" s="33">
        <f>IF(B16="","",IFERROR(INDEX(Channels!$S$5:$S$18,MATCH(DefaultChannel,Channels!$A$5:$A$18,0)),0))</f>
        <v>0</v>
      </c>
      <c r="AN16" s="20">
        <f>IF(B16="","",IFERROR(INDEX(Channels!$T$5:$T$18,MATCH(DefaultChannel,Channels!$A$5:$A$18,0)),0))</f>
        <v>0</v>
      </c>
      <c r="AO16" s="41">
        <f>IF(B16="","",1-TargetRetailMargin-AM16)</f>
        <v>0</v>
      </c>
      <c r="AP16" s="20">
        <f>IF(B16="","",IF(AO16&lt;=0,"",(AL16+AN16)/AO16))</f>
        <v>0</v>
      </c>
      <c r="AQ16" s="20">
        <f>IF(B16="","",IF(AP16="","Check the settings",ROUND(IF(RoundingRule="None",AP16,IF(RoundingRule="Nearest 0.99",MAX(0.99,CEILING(AP16,1)-0.01),IF(RoundingRule="Nearest 0.95",MAX(0.95,CEILING(AP16,1)-0.05),IF(RoundingRule="Nearest 0.50",CEILING(AP16,0.5),IF(RoundingRule="Nearest 1",CEILING(AP16,1),IF(RoundingRule="Nearest 5",CEILING(AP16,5),IF(RoundingRule="Up to whole 1",CEILING(AP16,1),IF(RoundingRule="Up to whole 5",CEILING(AP16,5),ROUND(AP16,2))))))))),2)))</f>
        <v>0</v>
      </c>
      <c r="AR16" s="20">
        <f>IF(B16="","",IF(X16&lt;&gt;"",X16,IF(ISNUMBER(AQ16),AQ16,"")))</f>
        <v>0</v>
      </c>
      <c r="AS16" s="20">
        <f>IF(B16="","",IF(AR16="","",ROUND(AR16-AL16-(AR16*AM16+AN16),2)))</f>
        <v>0</v>
      </c>
      <c r="AT16" s="33">
        <f>IF(B16="","",IF(OR(AR16="",AR16=0),"",AS16/AR16))</f>
        <v>0</v>
      </c>
      <c r="AU16" s="41">
        <f>IF(B16="","",ROUND(AG16/60,3))</f>
        <v>0</v>
      </c>
      <c r="AV16" s="20">
        <f>IF(B16="","",IF(OR(AU16=0,AU16="",AS16=""),"",ROUND((AS16+AI16)/AU16,2)))</f>
        <v>0</v>
      </c>
      <c r="AW16" s="43">
        <f>IF(B16="","",IF(AND(A16&lt;&gt;"",ISERROR(MATCH(A16,Products!$A$5:$A$304,0))),"Check - no such product ID",IF(AF16=0,"Add - no material cost yet",IF(AG16=0,"Add - how long does it take?",IF(AND(A16&lt;&gt;"",COUNTIFS('Material Usage'!$A$5:$A$904,A16)&gt;0),"Check - this product also has a bill of materials",IF(AND(A16&lt;&gt;"",COUNTIFS(Labor!$A$5:$A$304,A16)&gt;0),"Check - this product also has labour lines",IF(AV16&lt;MinimumWage,"Below - pays under minimum wage","OK")))))) )</f>
        <v>0</v>
      </c>
    </row>
    <row r="17" spans="26:49">
      <c r="Z17" s="45">
        <f>IF(B17="","",IF(F17&lt;&gt;"",F17,IFERROR(INDEX(Materials!$V$5:$V$254,MATCH(D17,Materials!$A$5:$A$254,0)),0)))</f>
        <v>0</v>
      </c>
      <c r="AA17" s="36">
        <f>IF(B17="","",ROUND(IF(E17="",0,E17)*(1+IF(G17="",0,G17)),2))</f>
        <v>0</v>
      </c>
      <c r="AB17" s="20">
        <f>IF(B17="","",ROUND(AA17*Z17-IF(E17="",0,E17)*IF(G17="",0,G17)*IF(H17="",0,H17)*Z17,2))</f>
        <v>0</v>
      </c>
      <c r="AC17" s="20">
        <f>IF(B17="","",ROUND(IF(J17="",0,J17)*IF(K17="",0,K17),2))</f>
        <v>0</v>
      </c>
      <c r="AD17" s="20">
        <f>IF(B17="","",ROUND(IF(L17="",0,L17)*IFERROR(INDEX(Materials!$V$5:$V$254,MATCH(M17,Materials!$A$5:$A$254,0)),0),2))</f>
        <v>0</v>
      </c>
      <c r="AE17" s="20">
        <f>IF(B17="","",ROUND(IF(N17="",0,N17)*IFERROR(INDEX(Materials!$V$5:$V$254,MATCH(O17,Materials!$A$5:$A$254,0)),0),2))</f>
        <v>0</v>
      </c>
      <c r="AF17" s="20">
        <f>IF(B17="","",ROUND(AB17+AC17+AD17+AE17+IF(P17="",0,P17),2))</f>
        <v>0</v>
      </c>
      <c r="AG17" s="36">
        <f>IF(B17="","",IF(T17="",0,T17)+IF(U17="",0,U17)+IF(V17="",0,V17))</f>
        <v>0</v>
      </c>
      <c r="AH17" s="20">
        <f>IF(B17="","",IF(W17&lt;&gt;"",W17,LaborCostHour))</f>
        <v>0</v>
      </c>
      <c r="AI17" s="20">
        <f>IF(B17="","",ROUND(AG17/60*AH17,2))</f>
        <v>0</v>
      </c>
      <c r="AJ17" s="20">
        <f>IF(B17="","",ROUND(IF(Q17="",0,Q17)+IF(R17="",0,R17)+IF(S17="",0,S17)+AG17/60*SuppliesPerHour,2))</f>
        <v>0</v>
      </c>
      <c r="AK17" s="33">
        <f>IF(B17="","",IF(OR(AF17="",AF17=0),"",AB17/AF17))</f>
        <v>0</v>
      </c>
      <c r="AL17" s="20">
        <f>IF(B17="","",ROUND(AF17+AI17+AJ17,2))</f>
        <v>0</v>
      </c>
      <c r="AM17" s="33">
        <f>IF(B17="","",IFERROR(INDEX(Channels!$S$5:$S$18,MATCH(DefaultChannel,Channels!$A$5:$A$18,0)),0))</f>
        <v>0</v>
      </c>
      <c r="AN17" s="20">
        <f>IF(B17="","",IFERROR(INDEX(Channels!$T$5:$T$18,MATCH(DefaultChannel,Channels!$A$5:$A$18,0)),0))</f>
        <v>0</v>
      </c>
      <c r="AO17" s="41">
        <f>IF(B17="","",1-TargetRetailMargin-AM17)</f>
        <v>0</v>
      </c>
      <c r="AP17" s="20">
        <f>IF(B17="","",IF(AO17&lt;=0,"",(AL17+AN17)/AO17))</f>
        <v>0</v>
      </c>
      <c r="AQ17" s="20">
        <f>IF(B17="","",IF(AP17="","Check the settings",ROUND(IF(RoundingRule="None",AP17,IF(RoundingRule="Nearest 0.99",MAX(0.99,CEILING(AP17,1)-0.01),IF(RoundingRule="Nearest 0.95",MAX(0.95,CEILING(AP17,1)-0.05),IF(RoundingRule="Nearest 0.50",CEILING(AP17,0.5),IF(RoundingRule="Nearest 1",CEILING(AP17,1),IF(RoundingRule="Nearest 5",CEILING(AP17,5),IF(RoundingRule="Up to whole 1",CEILING(AP17,1),IF(RoundingRule="Up to whole 5",CEILING(AP17,5),ROUND(AP17,2))))))))),2)))</f>
        <v>0</v>
      </c>
      <c r="AR17" s="20">
        <f>IF(B17="","",IF(X17&lt;&gt;"",X17,IF(ISNUMBER(AQ17),AQ17,"")))</f>
        <v>0</v>
      </c>
      <c r="AS17" s="20">
        <f>IF(B17="","",IF(AR17="","",ROUND(AR17-AL17-(AR17*AM17+AN17),2)))</f>
        <v>0</v>
      </c>
      <c r="AT17" s="33">
        <f>IF(B17="","",IF(OR(AR17="",AR17=0),"",AS17/AR17))</f>
        <v>0</v>
      </c>
      <c r="AU17" s="41">
        <f>IF(B17="","",ROUND(AG17/60,3))</f>
        <v>0</v>
      </c>
      <c r="AV17" s="20">
        <f>IF(B17="","",IF(OR(AU17=0,AU17="",AS17=""),"",ROUND((AS17+AI17)/AU17,2)))</f>
        <v>0</v>
      </c>
      <c r="AW17" s="43">
        <f>IF(B17="","",IF(AND(A17&lt;&gt;"",ISERROR(MATCH(A17,Products!$A$5:$A$304,0))),"Check - no such product ID",IF(AF17=0,"Add - no material cost yet",IF(AG17=0,"Add - how long does it take?",IF(AND(A17&lt;&gt;"",COUNTIFS('Material Usage'!$A$5:$A$904,A17)&gt;0),"Check - this product also has a bill of materials",IF(AND(A17&lt;&gt;"",COUNTIFS(Labor!$A$5:$A$304,A17)&gt;0),"Check - this product also has labour lines",IF(AV17&lt;MinimumWage,"Below - pays under minimum wage","OK")))))) )</f>
        <v>0</v>
      </c>
    </row>
    <row r="18" spans="26:49">
      <c r="Z18" s="45">
        <f>IF(B18="","",IF(F18&lt;&gt;"",F18,IFERROR(INDEX(Materials!$V$5:$V$254,MATCH(D18,Materials!$A$5:$A$254,0)),0)))</f>
        <v>0</v>
      </c>
      <c r="AA18" s="36">
        <f>IF(B18="","",ROUND(IF(E18="",0,E18)*(1+IF(G18="",0,G18)),2))</f>
        <v>0</v>
      </c>
      <c r="AB18" s="20">
        <f>IF(B18="","",ROUND(AA18*Z18-IF(E18="",0,E18)*IF(G18="",0,G18)*IF(H18="",0,H18)*Z18,2))</f>
        <v>0</v>
      </c>
      <c r="AC18" s="20">
        <f>IF(B18="","",ROUND(IF(J18="",0,J18)*IF(K18="",0,K18),2))</f>
        <v>0</v>
      </c>
      <c r="AD18" s="20">
        <f>IF(B18="","",ROUND(IF(L18="",0,L18)*IFERROR(INDEX(Materials!$V$5:$V$254,MATCH(M18,Materials!$A$5:$A$254,0)),0),2))</f>
        <v>0</v>
      </c>
      <c r="AE18" s="20">
        <f>IF(B18="","",ROUND(IF(N18="",0,N18)*IFERROR(INDEX(Materials!$V$5:$V$254,MATCH(O18,Materials!$A$5:$A$254,0)),0),2))</f>
        <v>0</v>
      </c>
      <c r="AF18" s="20">
        <f>IF(B18="","",ROUND(AB18+AC18+AD18+AE18+IF(P18="",0,P18),2))</f>
        <v>0</v>
      </c>
      <c r="AG18" s="36">
        <f>IF(B18="","",IF(T18="",0,T18)+IF(U18="",0,U18)+IF(V18="",0,V18))</f>
        <v>0</v>
      </c>
      <c r="AH18" s="20">
        <f>IF(B18="","",IF(W18&lt;&gt;"",W18,LaborCostHour))</f>
        <v>0</v>
      </c>
      <c r="AI18" s="20">
        <f>IF(B18="","",ROUND(AG18/60*AH18,2))</f>
        <v>0</v>
      </c>
      <c r="AJ18" s="20">
        <f>IF(B18="","",ROUND(IF(Q18="",0,Q18)+IF(R18="",0,R18)+IF(S18="",0,S18)+AG18/60*SuppliesPerHour,2))</f>
        <v>0</v>
      </c>
      <c r="AK18" s="33">
        <f>IF(B18="","",IF(OR(AF18="",AF18=0),"",AB18/AF18))</f>
        <v>0</v>
      </c>
      <c r="AL18" s="20">
        <f>IF(B18="","",ROUND(AF18+AI18+AJ18,2))</f>
        <v>0</v>
      </c>
      <c r="AM18" s="33">
        <f>IF(B18="","",IFERROR(INDEX(Channels!$S$5:$S$18,MATCH(DefaultChannel,Channels!$A$5:$A$18,0)),0))</f>
        <v>0</v>
      </c>
      <c r="AN18" s="20">
        <f>IF(B18="","",IFERROR(INDEX(Channels!$T$5:$T$18,MATCH(DefaultChannel,Channels!$A$5:$A$18,0)),0))</f>
        <v>0</v>
      </c>
      <c r="AO18" s="41">
        <f>IF(B18="","",1-TargetRetailMargin-AM18)</f>
        <v>0</v>
      </c>
      <c r="AP18" s="20">
        <f>IF(B18="","",IF(AO18&lt;=0,"",(AL18+AN18)/AO18))</f>
        <v>0</v>
      </c>
      <c r="AQ18" s="20">
        <f>IF(B18="","",IF(AP18="","Check the settings",ROUND(IF(RoundingRule="None",AP18,IF(RoundingRule="Nearest 0.99",MAX(0.99,CEILING(AP18,1)-0.01),IF(RoundingRule="Nearest 0.95",MAX(0.95,CEILING(AP18,1)-0.05),IF(RoundingRule="Nearest 0.50",CEILING(AP18,0.5),IF(RoundingRule="Nearest 1",CEILING(AP18,1),IF(RoundingRule="Nearest 5",CEILING(AP18,5),IF(RoundingRule="Up to whole 1",CEILING(AP18,1),IF(RoundingRule="Up to whole 5",CEILING(AP18,5),ROUND(AP18,2))))))))),2)))</f>
        <v>0</v>
      </c>
      <c r="AR18" s="20">
        <f>IF(B18="","",IF(X18&lt;&gt;"",X18,IF(ISNUMBER(AQ18),AQ18,"")))</f>
        <v>0</v>
      </c>
      <c r="AS18" s="20">
        <f>IF(B18="","",IF(AR18="","",ROUND(AR18-AL18-(AR18*AM18+AN18),2)))</f>
        <v>0</v>
      </c>
      <c r="AT18" s="33">
        <f>IF(B18="","",IF(OR(AR18="",AR18=0),"",AS18/AR18))</f>
        <v>0</v>
      </c>
      <c r="AU18" s="41">
        <f>IF(B18="","",ROUND(AG18/60,3))</f>
        <v>0</v>
      </c>
      <c r="AV18" s="20">
        <f>IF(B18="","",IF(OR(AU18=0,AU18="",AS18=""),"",ROUND((AS18+AI18)/AU18,2)))</f>
        <v>0</v>
      </c>
      <c r="AW18" s="43">
        <f>IF(B18="","",IF(AND(A18&lt;&gt;"",ISERROR(MATCH(A18,Products!$A$5:$A$304,0))),"Check - no such product ID",IF(AF18=0,"Add - no material cost yet",IF(AG18=0,"Add - how long does it take?",IF(AND(A18&lt;&gt;"",COUNTIFS('Material Usage'!$A$5:$A$904,A18)&gt;0),"Check - this product also has a bill of materials",IF(AND(A18&lt;&gt;"",COUNTIFS(Labor!$A$5:$A$304,A18)&gt;0),"Check - this product also has labour lines",IF(AV18&lt;MinimumWage,"Below - pays under minimum wage","OK")))))) )</f>
        <v>0</v>
      </c>
    </row>
    <row r="19" spans="26:49">
      <c r="Z19" s="45">
        <f>IF(B19="","",IF(F19&lt;&gt;"",F19,IFERROR(INDEX(Materials!$V$5:$V$254,MATCH(D19,Materials!$A$5:$A$254,0)),0)))</f>
        <v>0</v>
      </c>
      <c r="AA19" s="36">
        <f>IF(B19="","",ROUND(IF(E19="",0,E19)*(1+IF(G19="",0,G19)),2))</f>
        <v>0</v>
      </c>
      <c r="AB19" s="20">
        <f>IF(B19="","",ROUND(AA19*Z19-IF(E19="",0,E19)*IF(G19="",0,G19)*IF(H19="",0,H19)*Z19,2))</f>
        <v>0</v>
      </c>
      <c r="AC19" s="20">
        <f>IF(B19="","",ROUND(IF(J19="",0,J19)*IF(K19="",0,K19),2))</f>
        <v>0</v>
      </c>
      <c r="AD19" s="20">
        <f>IF(B19="","",ROUND(IF(L19="",0,L19)*IFERROR(INDEX(Materials!$V$5:$V$254,MATCH(M19,Materials!$A$5:$A$254,0)),0),2))</f>
        <v>0</v>
      </c>
      <c r="AE19" s="20">
        <f>IF(B19="","",ROUND(IF(N19="",0,N19)*IFERROR(INDEX(Materials!$V$5:$V$254,MATCH(O19,Materials!$A$5:$A$254,0)),0),2))</f>
        <v>0</v>
      </c>
      <c r="AF19" s="20">
        <f>IF(B19="","",ROUND(AB19+AC19+AD19+AE19+IF(P19="",0,P19),2))</f>
        <v>0</v>
      </c>
      <c r="AG19" s="36">
        <f>IF(B19="","",IF(T19="",0,T19)+IF(U19="",0,U19)+IF(V19="",0,V19))</f>
        <v>0</v>
      </c>
      <c r="AH19" s="20">
        <f>IF(B19="","",IF(W19&lt;&gt;"",W19,LaborCostHour))</f>
        <v>0</v>
      </c>
      <c r="AI19" s="20">
        <f>IF(B19="","",ROUND(AG19/60*AH19,2))</f>
        <v>0</v>
      </c>
      <c r="AJ19" s="20">
        <f>IF(B19="","",ROUND(IF(Q19="",0,Q19)+IF(R19="",0,R19)+IF(S19="",0,S19)+AG19/60*SuppliesPerHour,2))</f>
        <v>0</v>
      </c>
      <c r="AK19" s="33">
        <f>IF(B19="","",IF(OR(AF19="",AF19=0),"",AB19/AF19))</f>
        <v>0</v>
      </c>
      <c r="AL19" s="20">
        <f>IF(B19="","",ROUND(AF19+AI19+AJ19,2))</f>
        <v>0</v>
      </c>
      <c r="AM19" s="33">
        <f>IF(B19="","",IFERROR(INDEX(Channels!$S$5:$S$18,MATCH(DefaultChannel,Channels!$A$5:$A$18,0)),0))</f>
        <v>0</v>
      </c>
      <c r="AN19" s="20">
        <f>IF(B19="","",IFERROR(INDEX(Channels!$T$5:$T$18,MATCH(DefaultChannel,Channels!$A$5:$A$18,0)),0))</f>
        <v>0</v>
      </c>
      <c r="AO19" s="41">
        <f>IF(B19="","",1-TargetRetailMargin-AM19)</f>
        <v>0</v>
      </c>
      <c r="AP19" s="20">
        <f>IF(B19="","",IF(AO19&lt;=0,"",(AL19+AN19)/AO19))</f>
        <v>0</v>
      </c>
      <c r="AQ19" s="20">
        <f>IF(B19="","",IF(AP19="","Check the settings",ROUND(IF(RoundingRule="None",AP19,IF(RoundingRule="Nearest 0.99",MAX(0.99,CEILING(AP19,1)-0.01),IF(RoundingRule="Nearest 0.95",MAX(0.95,CEILING(AP19,1)-0.05),IF(RoundingRule="Nearest 0.50",CEILING(AP19,0.5),IF(RoundingRule="Nearest 1",CEILING(AP19,1),IF(RoundingRule="Nearest 5",CEILING(AP19,5),IF(RoundingRule="Up to whole 1",CEILING(AP19,1),IF(RoundingRule="Up to whole 5",CEILING(AP19,5),ROUND(AP19,2))))))))),2)))</f>
        <v>0</v>
      </c>
      <c r="AR19" s="20">
        <f>IF(B19="","",IF(X19&lt;&gt;"",X19,IF(ISNUMBER(AQ19),AQ19,"")))</f>
        <v>0</v>
      </c>
      <c r="AS19" s="20">
        <f>IF(B19="","",IF(AR19="","",ROUND(AR19-AL19-(AR19*AM19+AN19),2)))</f>
        <v>0</v>
      </c>
      <c r="AT19" s="33">
        <f>IF(B19="","",IF(OR(AR19="",AR19=0),"",AS19/AR19))</f>
        <v>0</v>
      </c>
      <c r="AU19" s="41">
        <f>IF(B19="","",ROUND(AG19/60,3))</f>
        <v>0</v>
      </c>
      <c r="AV19" s="20">
        <f>IF(B19="","",IF(OR(AU19=0,AU19="",AS19=""),"",ROUND((AS19+AI19)/AU19,2)))</f>
        <v>0</v>
      </c>
      <c r="AW19" s="43">
        <f>IF(B19="","",IF(AND(A19&lt;&gt;"",ISERROR(MATCH(A19,Products!$A$5:$A$304,0))),"Check - no such product ID",IF(AF19=0,"Add - no material cost yet",IF(AG19=0,"Add - how long does it take?",IF(AND(A19&lt;&gt;"",COUNTIFS('Material Usage'!$A$5:$A$904,A19)&gt;0),"Check - this product also has a bill of materials",IF(AND(A19&lt;&gt;"",COUNTIFS(Labor!$A$5:$A$304,A19)&gt;0),"Check - this product also has labour lines",IF(AV19&lt;MinimumWage,"Below - pays under minimum wage","OK")))))) )</f>
        <v>0</v>
      </c>
    </row>
    <row r="20" spans="26:49">
      <c r="Z20" s="45">
        <f>IF(B20="","",IF(F20&lt;&gt;"",F20,IFERROR(INDEX(Materials!$V$5:$V$254,MATCH(D20,Materials!$A$5:$A$254,0)),0)))</f>
        <v>0</v>
      </c>
      <c r="AA20" s="36">
        <f>IF(B20="","",ROUND(IF(E20="",0,E20)*(1+IF(G20="",0,G20)),2))</f>
        <v>0</v>
      </c>
      <c r="AB20" s="20">
        <f>IF(B20="","",ROUND(AA20*Z20-IF(E20="",0,E20)*IF(G20="",0,G20)*IF(H20="",0,H20)*Z20,2))</f>
        <v>0</v>
      </c>
      <c r="AC20" s="20">
        <f>IF(B20="","",ROUND(IF(J20="",0,J20)*IF(K20="",0,K20),2))</f>
        <v>0</v>
      </c>
      <c r="AD20" s="20">
        <f>IF(B20="","",ROUND(IF(L20="",0,L20)*IFERROR(INDEX(Materials!$V$5:$V$254,MATCH(M20,Materials!$A$5:$A$254,0)),0),2))</f>
        <v>0</v>
      </c>
      <c r="AE20" s="20">
        <f>IF(B20="","",ROUND(IF(N20="",0,N20)*IFERROR(INDEX(Materials!$V$5:$V$254,MATCH(O20,Materials!$A$5:$A$254,0)),0),2))</f>
        <v>0</v>
      </c>
      <c r="AF20" s="20">
        <f>IF(B20="","",ROUND(AB20+AC20+AD20+AE20+IF(P20="",0,P20),2))</f>
        <v>0</v>
      </c>
      <c r="AG20" s="36">
        <f>IF(B20="","",IF(T20="",0,T20)+IF(U20="",0,U20)+IF(V20="",0,V20))</f>
        <v>0</v>
      </c>
      <c r="AH20" s="20">
        <f>IF(B20="","",IF(W20&lt;&gt;"",W20,LaborCostHour))</f>
        <v>0</v>
      </c>
      <c r="AI20" s="20">
        <f>IF(B20="","",ROUND(AG20/60*AH20,2))</f>
        <v>0</v>
      </c>
      <c r="AJ20" s="20">
        <f>IF(B20="","",ROUND(IF(Q20="",0,Q20)+IF(R20="",0,R20)+IF(S20="",0,S20)+AG20/60*SuppliesPerHour,2))</f>
        <v>0</v>
      </c>
      <c r="AK20" s="33">
        <f>IF(B20="","",IF(OR(AF20="",AF20=0),"",AB20/AF20))</f>
        <v>0</v>
      </c>
      <c r="AL20" s="20">
        <f>IF(B20="","",ROUND(AF20+AI20+AJ20,2))</f>
        <v>0</v>
      </c>
      <c r="AM20" s="33">
        <f>IF(B20="","",IFERROR(INDEX(Channels!$S$5:$S$18,MATCH(DefaultChannel,Channels!$A$5:$A$18,0)),0))</f>
        <v>0</v>
      </c>
      <c r="AN20" s="20">
        <f>IF(B20="","",IFERROR(INDEX(Channels!$T$5:$T$18,MATCH(DefaultChannel,Channels!$A$5:$A$18,0)),0))</f>
        <v>0</v>
      </c>
      <c r="AO20" s="41">
        <f>IF(B20="","",1-TargetRetailMargin-AM20)</f>
        <v>0</v>
      </c>
      <c r="AP20" s="20">
        <f>IF(B20="","",IF(AO20&lt;=0,"",(AL20+AN20)/AO20))</f>
        <v>0</v>
      </c>
      <c r="AQ20" s="20">
        <f>IF(B20="","",IF(AP20="","Check the settings",ROUND(IF(RoundingRule="None",AP20,IF(RoundingRule="Nearest 0.99",MAX(0.99,CEILING(AP20,1)-0.01),IF(RoundingRule="Nearest 0.95",MAX(0.95,CEILING(AP20,1)-0.05),IF(RoundingRule="Nearest 0.50",CEILING(AP20,0.5),IF(RoundingRule="Nearest 1",CEILING(AP20,1),IF(RoundingRule="Nearest 5",CEILING(AP20,5),IF(RoundingRule="Up to whole 1",CEILING(AP20,1),IF(RoundingRule="Up to whole 5",CEILING(AP20,5),ROUND(AP20,2))))))))),2)))</f>
        <v>0</v>
      </c>
      <c r="AR20" s="20">
        <f>IF(B20="","",IF(X20&lt;&gt;"",X20,IF(ISNUMBER(AQ20),AQ20,"")))</f>
        <v>0</v>
      </c>
      <c r="AS20" s="20">
        <f>IF(B20="","",IF(AR20="","",ROUND(AR20-AL20-(AR20*AM20+AN20),2)))</f>
        <v>0</v>
      </c>
      <c r="AT20" s="33">
        <f>IF(B20="","",IF(OR(AR20="",AR20=0),"",AS20/AR20))</f>
        <v>0</v>
      </c>
      <c r="AU20" s="41">
        <f>IF(B20="","",ROUND(AG20/60,3))</f>
        <v>0</v>
      </c>
      <c r="AV20" s="20">
        <f>IF(B20="","",IF(OR(AU20=0,AU20="",AS20=""),"",ROUND((AS20+AI20)/AU20,2)))</f>
        <v>0</v>
      </c>
      <c r="AW20" s="43">
        <f>IF(B20="","",IF(AND(A20&lt;&gt;"",ISERROR(MATCH(A20,Products!$A$5:$A$304,0))),"Check - no such product ID",IF(AF20=0,"Add - no material cost yet",IF(AG20=0,"Add - how long does it take?",IF(AND(A20&lt;&gt;"",COUNTIFS('Material Usage'!$A$5:$A$904,A20)&gt;0),"Check - this product also has a bill of materials",IF(AND(A20&lt;&gt;"",COUNTIFS(Labor!$A$5:$A$304,A20)&gt;0),"Check - this product also has labour lines",IF(AV20&lt;MinimumWage,"Below - pays under minimum wage","OK")))))) )</f>
        <v>0</v>
      </c>
    </row>
    <row r="21" spans="26:49">
      <c r="Z21" s="45">
        <f>IF(B21="","",IF(F21&lt;&gt;"",F21,IFERROR(INDEX(Materials!$V$5:$V$254,MATCH(D21,Materials!$A$5:$A$254,0)),0)))</f>
        <v>0</v>
      </c>
      <c r="AA21" s="36">
        <f>IF(B21="","",ROUND(IF(E21="",0,E21)*(1+IF(G21="",0,G21)),2))</f>
        <v>0</v>
      </c>
      <c r="AB21" s="20">
        <f>IF(B21="","",ROUND(AA21*Z21-IF(E21="",0,E21)*IF(G21="",0,G21)*IF(H21="",0,H21)*Z21,2))</f>
        <v>0</v>
      </c>
      <c r="AC21" s="20">
        <f>IF(B21="","",ROUND(IF(J21="",0,J21)*IF(K21="",0,K21),2))</f>
        <v>0</v>
      </c>
      <c r="AD21" s="20">
        <f>IF(B21="","",ROUND(IF(L21="",0,L21)*IFERROR(INDEX(Materials!$V$5:$V$254,MATCH(M21,Materials!$A$5:$A$254,0)),0),2))</f>
        <v>0</v>
      </c>
      <c r="AE21" s="20">
        <f>IF(B21="","",ROUND(IF(N21="",0,N21)*IFERROR(INDEX(Materials!$V$5:$V$254,MATCH(O21,Materials!$A$5:$A$254,0)),0),2))</f>
        <v>0</v>
      </c>
      <c r="AF21" s="20">
        <f>IF(B21="","",ROUND(AB21+AC21+AD21+AE21+IF(P21="",0,P21),2))</f>
        <v>0</v>
      </c>
      <c r="AG21" s="36">
        <f>IF(B21="","",IF(T21="",0,T21)+IF(U21="",0,U21)+IF(V21="",0,V21))</f>
        <v>0</v>
      </c>
      <c r="AH21" s="20">
        <f>IF(B21="","",IF(W21&lt;&gt;"",W21,LaborCostHour))</f>
        <v>0</v>
      </c>
      <c r="AI21" s="20">
        <f>IF(B21="","",ROUND(AG21/60*AH21,2))</f>
        <v>0</v>
      </c>
      <c r="AJ21" s="20">
        <f>IF(B21="","",ROUND(IF(Q21="",0,Q21)+IF(R21="",0,R21)+IF(S21="",0,S21)+AG21/60*SuppliesPerHour,2))</f>
        <v>0</v>
      </c>
      <c r="AK21" s="33">
        <f>IF(B21="","",IF(OR(AF21="",AF21=0),"",AB21/AF21))</f>
        <v>0</v>
      </c>
      <c r="AL21" s="20">
        <f>IF(B21="","",ROUND(AF21+AI21+AJ21,2))</f>
        <v>0</v>
      </c>
      <c r="AM21" s="33">
        <f>IF(B21="","",IFERROR(INDEX(Channels!$S$5:$S$18,MATCH(DefaultChannel,Channels!$A$5:$A$18,0)),0))</f>
        <v>0</v>
      </c>
      <c r="AN21" s="20">
        <f>IF(B21="","",IFERROR(INDEX(Channels!$T$5:$T$18,MATCH(DefaultChannel,Channels!$A$5:$A$18,0)),0))</f>
        <v>0</v>
      </c>
      <c r="AO21" s="41">
        <f>IF(B21="","",1-TargetRetailMargin-AM21)</f>
        <v>0</v>
      </c>
      <c r="AP21" s="20">
        <f>IF(B21="","",IF(AO21&lt;=0,"",(AL21+AN21)/AO21))</f>
        <v>0</v>
      </c>
      <c r="AQ21" s="20">
        <f>IF(B21="","",IF(AP21="","Check the settings",ROUND(IF(RoundingRule="None",AP21,IF(RoundingRule="Nearest 0.99",MAX(0.99,CEILING(AP21,1)-0.01),IF(RoundingRule="Nearest 0.95",MAX(0.95,CEILING(AP21,1)-0.05),IF(RoundingRule="Nearest 0.50",CEILING(AP21,0.5),IF(RoundingRule="Nearest 1",CEILING(AP21,1),IF(RoundingRule="Nearest 5",CEILING(AP21,5),IF(RoundingRule="Up to whole 1",CEILING(AP21,1),IF(RoundingRule="Up to whole 5",CEILING(AP21,5),ROUND(AP21,2))))))))),2)))</f>
        <v>0</v>
      </c>
      <c r="AR21" s="20">
        <f>IF(B21="","",IF(X21&lt;&gt;"",X21,IF(ISNUMBER(AQ21),AQ21,"")))</f>
        <v>0</v>
      </c>
      <c r="AS21" s="20">
        <f>IF(B21="","",IF(AR21="","",ROUND(AR21-AL21-(AR21*AM21+AN21),2)))</f>
        <v>0</v>
      </c>
      <c r="AT21" s="33">
        <f>IF(B21="","",IF(OR(AR21="",AR21=0),"",AS21/AR21))</f>
        <v>0</v>
      </c>
      <c r="AU21" s="41">
        <f>IF(B21="","",ROUND(AG21/60,3))</f>
        <v>0</v>
      </c>
      <c r="AV21" s="20">
        <f>IF(B21="","",IF(OR(AU21=0,AU21="",AS21=""),"",ROUND((AS21+AI21)/AU21,2)))</f>
        <v>0</v>
      </c>
      <c r="AW21" s="43">
        <f>IF(B21="","",IF(AND(A21&lt;&gt;"",ISERROR(MATCH(A21,Products!$A$5:$A$304,0))),"Check - no such product ID",IF(AF21=0,"Add - no material cost yet",IF(AG21=0,"Add - how long does it take?",IF(AND(A21&lt;&gt;"",COUNTIFS('Material Usage'!$A$5:$A$904,A21)&gt;0),"Check - this product also has a bill of materials",IF(AND(A21&lt;&gt;"",COUNTIFS(Labor!$A$5:$A$304,A21)&gt;0),"Check - this product also has labour lines",IF(AV21&lt;MinimumWage,"Below - pays under minimum wage","OK")))))) )</f>
        <v>0</v>
      </c>
    </row>
    <row r="22" spans="26:49">
      <c r="Z22" s="45">
        <f>IF(B22="","",IF(F22&lt;&gt;"",F22,IFERROR(INDEX(Materials!$V$5:$V$254,MATCH(D22,Materials!$A$5:$A$254,0)),0)))</f>
        <v>0</v>
      </c>
      <c r="AA22" s="36">
        <f>IF(B22="","",ROUND(IF(E22="",0,E22)*(1+IF(G22="",0,G22)),2))</f>
        <v>0</v>
      </c>
      <c r="AB22" s="20">
        <f>IF(B22="","",ROUND(AA22*Z22-IF(E22="",0,E22)*IF(G22="",0,G22)*IF(H22="",0,H22)*Z22,2))</f>
        <v>0</v>
      </c>
      <c r="AC22" s="20">
        <f>IF(B22="","",ROUND(IF(J22="",0,J22)*IF(K22="",0,K22),2))</f>
        <v>0</v>
      </c>
      <c r="AD22" s="20">
        <f>IF(B22="","",ROUND(IF(L22="",0,L22)*IFERROR(INDEX(Materials!$V$5:$V$254,MATCH(M22,Materials!$A$5:$A$254,0)),0),2))</f>
        <v>0</v>
      </c>
      <c r="AE22" s="20">
        <f>IF(B22="","",ROUND(IF(N22="",0,N22)*IFERROR(INDEX(Materials!$V$5:$V$254,MATCH(O22,Materials!$A$5:$A$254,0)),0),2))</f>
        <v>0</v>
      </c>
      <c r="AF22" s="20">
        <f>IF(B22="","",ROUND(AB22+AC22+AD22+AE22+IF(P22="",0,P22),2))</f>
        <v>0</v>
      </c>
      <c r="AG22" s="36">
        <f>IF(B22="","",IF(T22="",0,T22)+IF(U22="",0,U22)+IF(V22="",0,V22))</f>
        <v>0</v>
      </c>
      <c r="AH22" s="20">
        <f>IF(B22="","",IF(W22&lt;&gt;"",W22,LaborCostHour))</f>
        <v>0</v>
      </c>
      <c r="AI22" s="20">
        <f>IF(B22="","",ROUND(AG22/60*AH22,2))</f>
        <v>0</v>
      </c>
      <c r="AJ22" s="20">
        <f>IF(B22="","",ROUND(IF(Q22="",0,Q22)+IF(R22="",0,R22)+IF(S22="",0,S22)+AG22/60*SuppliesPerHour,2))</f>
        <v>0</v>
      </c>
      <c r="AK22" s="33">
        <f>IF(B22="","",IF(OR(AF22="",AF22=0),"",AB22/AF22))</f>
        <v>0</v>
      </c>
      <c r="AL22" s="20">
        <f>IF(B22="","",ROUND(AF22+AI22+AJ22,2))</f>
        <v>0</v>
      </c>
      <c r="AM22" s="33">
        <f>IF(B22="","",IFERROR(INDEX(Channels!$S$5:$S$18,MATCH(DefaultChannel,Channels!$A$5:$A$18,0)),0))</f>
        <v>0</v>
      </c>
      <c r="AN22" s="20">
        <f>IF(B22="","",IFERROR(INDEX(Channels!$T$5:$T$18,MATCH(DefaultChannel,Channels!$A$5:$A$18,0)),0))</f>
        <v>0</v>
      </c>
      <c r="AO22" s="41">
        <f>IF(B22="","",1-TargetRetailMargin-AM22)</f>
        <v>0</v>
      </c>
      <c r="AP22" s="20">
        <f>IF(B22="","",IF(AO22&lt;=0,"",(AL22+AN22)/AO22))</f>
        <v>0</v>
      </c>
      <c r="AQ22" s="20">
        <f>IF(B22="","",IF(AP22="","Check the settings",ROUND(IF(RoundingRule="None",AP22,IF(RoundingRule="Nearest 0.99",MAX(0.99,CEILING(AP22,1)-0.01),IF(RoundingRule="Nearest 0.95",MAX(0.95,CEILING(AP22,1)-0.05),IF(RoundingRule="Nearest 0.50",CEILING(AP22,0.5),IF(RoundingRule="Nearest 1",CEILING(AP22,1),IF(RoundingRule="Nearest 5",CEILING(AP22,5),IF(RoundingRule="Up to whole 1",CEILING(AP22,1),IF(RoundingRule="Up to whole 5",CEILING(AP22,5),ROUND(AP22,2))))))))),2)))</f>
        <v>0</v>
      </c>
      <c r="AR22" s="20">
        <f>IF(B22="","",IF(X22&lt;&gt;"",X22,IF(ISNUMBER(AQ22),AQ22,"")))</f>
        <v>0</v>
      </c>
      <c r="AS22" s="20">
        <f>IF(B22="","",IF(AR22="","",ROUND(AR22-AL22-(AR22*AM22+AN22),2)))</f>
        <v>0</v>
      </c>
      <c r="AT22" s="33">
        <f>IF(B22="","",IF(OR(AR22="",AR22=0),"",AS22/AR22))</f>
        <v>0</v>
      </c>
      <c r="AU22" s="41">
        <f>IF(B22="","",ROUND(AG22/60,3))</f>
        <v>0</v>
      </c>
      <c r="AV22" s="20">
        <f>IF(B22="","",IF(OR(AU22=0,AU22="",AS22=""),"",ROUND((AS22+AI22)/AU22,2)))</f>
        <v>0</v>
      </c>
      <c r="AW22" s="43">
        <f>IF(B22="","",IF(AND(A22&lt;&gt;"",ISERROR(MATCH(A22,Products!$A$5:$A$304,0))),"Check - no such product ID",IF(AF22=0,"Add - no material cost yet",IF(AG22=0,"Add - how long does it take?",IF(AND(A22&lt;&gt;"",COUNTIFS('Material Usage'!$A$5:$A$904,A22)&gt;0),"Check - this product also has a bill of materials",IF(AND(A22&lt;&gt;"",COUNTIFS(Labor!$A$5:$A$304,A22)&gt;0),"Check - this product also has labour lines",IF(AV22&lt;MinimumWage,"Below - pays under minimum wage","OK")))))) )</f>
        <v>0</v>
      </c>
    </row>
    <row r="23" spans="26:49">
      <c r="Z23" s="45">
        <f>IF(B23="","",IF(F23&lt;&gt;"",F23,IFERROR(INDEX(Materials!$V$5:$V$254,MATCH(D23,Materials!$A$5:$A$254,0)),0)))</f>
        <v>0</v>
      </c>
      <c r="AA23" s="36">
        <f>IF(B23="","",ROUND(IF(E23="",0,E23)*(1+IF(G23="",0,G23)),2))</f>
        <v>0</v>
      </c>
      <c r="AB23" s="20">
        <f>IF(B23="","",ROUND(AA23*Z23-IF(E23="",0,E23)*IF(G23="",0,G23)*IF(H23="",0,H23)*Z23,2))</f>
        <v>0</v>
      </c>
      <c r="AC23" s="20">
        <f>IF(B23="","",ROUND(IF(J23="",0,J23)*IF(K23="",0,K23),2))</f>
        <v>0</v>
      </c>
      <c r="AD23" s="20">
        <f>IF(B23="","",ROUND(IF(L23="",0,L23)*IFERROR(INDEX(Materials!$V$5:$V$254,MATCH(M23,Materials!$A$5:$A$254,0)),0),2))</f>
        <v>0</v>
      </c>
      <c r="AE23" s="20">
        <f>IF(B23="","",ROUND(IF(N23="",0,N23)*IFERROR(INDEX(Materials!$V$5:$V$254,MATCH(O23,Materials!$A$5:$A$254,0)),0),2))</f>
        <v>0</v>
      </c>
      <c r="AF23" s="20">
        <f>IF(B23="","",ROUND(AB23+AC23+AD23+AE23+IF(P23="",0,P23),2))</f>
        <v>0</v>
      </c>
      <c r="AG23" s="36">
        <f>IF(B23="","",IF(T23="",0,T23)+IF(U23="",0,U23)+IF(V23="",0,V23))</f>
        <v>0</v>
      </c>
      <c r="AH23" s="20">
        <f>IF(B23="","",IF(W23&lt;&gt;"",W23,LaborCostHour))</f>
        <v>0</v>
      </c>
      <c r="AI23" s="20">
        <f>IF(B23="","",ROUND(AG23/60*AH23,2))</f>
        <v>0</v>
      </c>
      <c r="AJ23" s="20">
        <f>IF(B23="","",ROUND(IF(Q23="",0,Q23)+IF(R23="",0,R23)+IF(S23="",0,S23)+AG23/60*SuppliesPerHour,2))</f>
        <v>0</v>
      </c>
      <c r="AK23" s="33">
        <f>IF(B23="","",IF(OR(AF23="",AF23=0),"",AB23/AF23))</f>
        <v>0</v>
      </c>
      <c r="AL23" s="20">
        <f>IF(B23="","",ROUND(AF23+AI23+AJ23,2))</f>
        <v>0</v>
      </c>
      <c r="AM23" s="33">
        <f>IF(B23="","",IFERROR(INDEX(Channels!$S$5:$S$18,MATCH(DefaultChannel,Channels!$A$5:$A$18,0)),0))</f>
        <v>0</v>
      </c>
      <c r="AN23" s="20">
        <f>IF(B23="","",IFERROR(INDEX(Channels!$T$5:$T$18,MATCH(DefaultChannel,Channels!$A$5:$A$18,0)),0))</f>
        <v>0</v>
      </c>
      <c r="AO23" s="41">
        <f>IF(B23="","",1-TargetRetailMargin-AM23)</f>
        <v>0</v>
      </c>
      <c r="AP23" s="20">
        <f>IF(B23="","",IF(AO23&lt;=0,"",(AL23+AN23)/AO23))</f>
        <v>0</v>
      </c>
      <c r="AQ23" s="20">
        <f>IF(B23="","",IF(AP23="","Check the settings",ROUND(IF(RoundingRule="None",AP23,IF(RoundingRule="Nearest 0.99",MAX(0.99,CEILING(AP23,1)-0.01),IF(RoundingRule="Nearest 0.95",MAX(0.95,CEILING(AP23,1)-0.05),IF(RoundingRule="Nearest 0.50",CEILING(AP23,0.5),IF(RoundingRule="Nearest 1",CEILING(AP23,1),IF(RoundingRule="Nearest 5",CEILING(AP23,5),IF(RoundingRule="Up to whole 1",CEILING(AP23,1),IF(RoundingRule="Up to whole 5",CEILING(AP23,5),ROUND(AP23,2))))))))),2)))</f>
        <v>0</v>
      </c>
      <c r="AR23" s="20">
        <f>IF(B23="","",IF(X23&lt;&gt;"",X23,IF(ISNUMBER(AQ23),AQ23,"")))</f>
        <v>0</v>
      </c>
      <c r="AS23" s="20">
        <f>IF(B23="","",IF(AR23="","",ROUND(AR23-AL23-(AR23*AM23+AN23),2)))</f>
        <v>0</v>
      </c>
      <c r="AT23" s="33">
        <f>IF(B23="","",IF(OR(AR23="",AR23=0),"",AS23/AR23))</f>
        <v>0</v>
      </c>
      <c r="AU23" s="41">
        <f>IF(B23="","",ROUND(AG23/60,3))</f>
        <v>0</v>
      </c>
      <c r="AV23" s="20">
        <f>IF(B23="","",IF(OR(AU23=0,AU23="",AS23=""),"",ROUND((AS23+AI23)/AU23,2)))</f>
        <v>0</v>
      </c>
      <c r="AW23" s="43">
        <f>IF(B23="","",IF(AND(A23&lt;&gt;"",ISERROR(MATCH(A23,Products!$A$5:$A$304,0))),"Check - no such product ID",IF(AF23=0,"Add - no material cost yet",IF(AG23=0,"Add - how long does it take?",IF(AND(A23&lt;&gt;"",COUNTIFS('Material Usage'!$A$5:$A$904,A23)&gt;0),"Check - this product also has a bill of materials",IF(AND(A23&lt;&gt;"",COUNTIFS(Labor!$A$5:$A$304,A23)&gt;0),"Check - this product also has labour lines",IF(AV23&lt;MinimumWage,"Below - pays under minimum wage","OK")))))) )</f>
        <v>0</v>
      </c>
    </row>
    <row r="24" spans="26:49">
      <c r="Z24" s="45">
        <f>IF(B24="","",IF(F24&lt;&gt;"",F24,IFERROR(INDEX(Materials!$V$5:$V$254,MATCH(D24,Materials!$A$5:$A$254,0)),0)))</f>
        <v>0</v>
      </c>
      <c r="AA24" s="36">
        <f>IF(B24="","",ROUND(IF(E24="",0,E24)*(1+IF(G24="",0,G24)),2))</f>
        <v>0</v>
      </c>
      <c r="AB24" s="20">
        <f>IF(B24="","",ROUND(AA24*Z24-IF(E24="",0,E24)*IF(G24="",0,G24)*IF(H24="",0,H24)*Z24,2))</f>
        <v>0</v>
      </c>
      <c r="AC24" s="20">
        <f>IF(B24="","",ROUND(IF(J24="",0,J24)*IF(K24="",0,K24),2))</f>
        <v>0</v>
      </c>
      <c r="AD24" s="20">
        <f>IF(B24="","",ROUND(IF(L24="",0,L24)*IFERROR(INDEX(Materials!$V$5:$V$254,MATCH(M24,Materials!$A$5:$A$254,0)),0),2))</f>
        <v>0</v>
      </c>
      <c r="AE24" s="20">
        <f>IF(B24="","",ROUND(IF(N24="",0,N24)*IFERROR(INDEX(Materials!$V$5:$V$254,MATCH(O24,Materials!$A$5:$A$254,0)),0),2))</f>
        <v>0</v>
      </c>
      <c r="AF24" s="20">
        <f>IF(B24="","",ROUND(AB24+AC24+AD24+AE24+IF(P24="",0,P24),2))</f>
        <v>0</v>
      </c>
      <c r="AG24" s="36">
        <f>IF(B24="","",IF(T24="",0,T24)+IF(U24="",0,U24)+IF(V24="",0,V24))</f>
        <v>0</v>
      </c>
      <c r="AH24" s="20">
        <f>IF(B24="","",IF(W24&lt;&gt;"",W24,LaborCostHour))</f>
        <v>0</v>
      </c>
      <c r="AI24" s="20">
        <f>IF(B24="","",ROUND(AG24/60*AH24,2))</f>
        <v>0</v>
      </c>
      <c r="AJ24" s="20">
        <f>IF(B24="","",ROUND(IF(Q24="",0,Q24)+IF(R24="",0,R24)+IF(S24="",0,S24)+AG24/60*SuppliesPerHour,2))</f>
        <v>0</v>
      </c>
      <c r="AK24" s="33">
        <f>IF(B24="","",IF(OR(AF24="",AF24=0),"",AB24/AF24))</f>
        <v>0</v>
      </c>
      <c r="AL24" s="20">
        <f>IF(B24="","",ROUND(AF24+AI24+AJ24,2))</f>
        <v>0</v>
      </c>
      <c r="AM24" s="33">
        <f>IF(B24="","",IFERROR(INDEX(Channels!$S$5:$S$18,MATCH(DefaultChannel,Channels!$A$5:$A$18,0)),0))</f>
        <v>0</v>
      </c>
      <c r="AN24" s="20">
        <f>IF(B24="","",IFERROR(INDEX(Channels!$T$5:$T$18,MATCH(DefaultChannel,Channels!$A$5:$A$18,0)),0))</f>
        <v>0</v>
      </c>
      <c r="AO24" s="41">
        <f>IF(B24="","",1-TargetRetailMargin-AM24)</f>
        <v>0</v>
      </c>
      <c r="AP24" s="20">
        <f>IF(B24="","",IF(AO24&lt;=0,"",(AL24+AN24)/AO24))</f>
        <v>0</v>
      </c>
      <c r="AQ24" s="20">
        <f>IF(B24="","",IF(AP24="","Check the settings",ROUND(IF(RoundingRule="None",AP24,IF(RoundingRule="Nearest 0.99",MAX(0.99,CEILING(AP24,1)-0.01),IF(RoundingRule="Nearest 0.95",MAX(0.95,CEILING(AP24,1)-0.05),IF(RoundingRule="Nearest 0.50",CEILING(AP24,0.5),IF(RoundingRule="Nearest 1",CEILING(AP24,1),IF(RoundingRule="Nearest 5",CEILING(AP24,5),IF(RoundingRule="Up to whole 1",CEILING(AP24,1),IF(RoundingRule="Up to whole 5",CEILING(AP24,5),ROUND(AP24,2))))))))),2)))</f>
        <v>0</v>
      </c>
      <c r="AR24" s="20">
        <f>IF(B24="","",IF(X24&lt;&gt;"",X24,IF(ISNUMBER(AQ24),AQ24,"")))</f>
        <v>0</v>
      </c>
      <c r="AS24" s="20">
        <f>IF(B24="","",IF(AR24="","",ROUND(AR24-AL24-(AR24*AM24+AN24),2)))</f>
        <v>0</v>
      </c>
      <c r="AT24" s="33">
        <f>IF(B24="","",IF(OR(AR24="",AR24=0),"",AS24/AR24))</f>
        <v>0</v>
      </c>
      <c r="AU24" s="41">
        <f>IF(B24="","",ROUND(AG24/60,3))</f>
        <v>0</v>
      </c>
      <c r="AV24" s="20">
        <f>IF(B24="","",IF(OR(AU24=0,AU24="",AS24=""),"",ROUND((AS24+AI24)/AU24,2)))</f>
        <v>0</v>
      </c>
      <c r="AW24" s="43">
        <f>IF(B24="","",IF(AND(A24&lt;&gt;"",ISERROR(MATCH(A24,Products!$A$5:$A$304,0))),"Check - no such product ID",IF(AF24=0,"Add - no material cost yet",IF(AG24=0,"Add - how long does it take?",IF(AND(A24&lt;&gt;"",COUNTIFS('Material Usage'!$A$5:$A$904,A24)&gt;0),"Check - this product also has a bill of materials",IF(AND(A24&lt;&gt;"",COUNTIFS(Labor!$A$5:$A$304,A24)&gt;0),"Check - this product also has labour lines",IF(AV24&lt;MinimumWage,"Below - pays under minimum wage","OK")))))) )</f>
        <v>0</v>
      </c>
    </row>
    <row r="25" spans="26:49">
      <c r="Z25" s="45">
        <f>IF(B25="","",IF(F25&lt;&gt;"",F25,IFERROR(INDEX(Materials!$V$5:$V$254,MATCH(D25,Materials!$A$5:$A$254,0)),0)))</f>
        <v>0</v>
      </c>
      <c r="AA25" s="36">
        <f>IF(B25="","",ROUND(IF(E25="",0,E25)*(1+IF(G25="",0,G25)),2))</f>
        <v>0</v>
      </c>
      <c r="AB25" s="20">
        <f>IF(B25="","",ROUND(AA25*Z25-IF(E25="",0,E25)*IF(G25="",0,G25)*IF(H25="",0,H25)*Z25,2))</f>
        <v>0</v>
      </c>
      <c r="AC25" s="20">
        <f>IF(B25="","",ROUND(IF(J25="",0,J25)*IF(K25="",0,K25),2))</f>
        <v>0</v>
      </c>
      <c r="AD25" s="20">
        <f>IF(B25="","",ROUND(IF(L25="",0,L25)*IFERROR(INDEX(Materials!$V$5:$V$254,MATCH(M25,Materials!$A$5:$A$254,0)),0),2))</f>
        <v>0</v>
      </c>
      <c r="AE25" s="20">
        <f>IF(B25="","",ROUND(IF(N25="",0,N25)*IFERROR(INDEX(Materials!$V$5:$V$254,MATCH(O25,Materials!$A$5:$A$254,0)),0),2))</f>
        <v>0</v>
      </c>
      <c r="AF25" s="20">
        <f>IF(B25="","",ROUND(AB25+AC25+AD25+AE25+IF(P25="",0,P25),2))</f>
        <v>0</v>
      </c>
      <c r="AG25" s="36">
        <f>IF(B25="","",IF(T25="",0,T25)+IF(U25="",0,U25)+IF(V25="",0,V25))</f>
        <v>0</v>
      </c>
      <c r="AH25" s="20">
        <f>IF(B25="","",IF(W25&lt;&gt;"",W25,LaborCostHour))</f>
        <v>0</v>
      </c>
      <c r="AI25" s="20">
        <f>IF(B25="","",ROUND(AG25/60*AH25,2))</f>
        <v>0</v>
      </c>
      <c r="AJ25" s="20">
        <f>IF(B25="","",ROUND(IF(Q25="",0,Q25)+IF(R25="",0,R25)+IF(S25="",0,S25)+AG25/60*SuppliesPerHour,2))</f>
        <v>0</v>
      </c>
      <c r="AK25" s="33">
        <f>IF(B25="","",IF(OR(AF25="",AF25=0),"",AB25/AF25))</f>
        <v>0</v>
      </c>
      <c r="AL25" s="20">
        <f>IF(B25="","",ROUND(AF25+AI25+AJ25,2))</f>
        <v>0</v>
      </c>
      <c r="AM25" s="33">
        <f>IF(B25="","",IFERROR(INDEX(Channels!$S$5:$S$18,MATCH(DefaultChannel,Channels!$A$5:$A$18,0)),0))</f>
        <v>0</v>
      </c>
      <c r="AN25" s="20">
        <f>IF(B25="","",IFERROR(INDEX(Channels!$T$5:$T$18,MATCH(DefaultChannel,Channels!$A$5:$A$18,0)),0))</f>
        <v>0</v>
      </c>
      <c r="AO25" s="41">
        <f>IF(B25="","",1-TargetRetailMargin-AM25)</f>
        <v>0</v>
      </c>
      <c r="AP25" s="20">
        <f>IF(B25="","",IF(AO25&lt;=0,"",(AL25+AN25)/AO25))</f>
        <v>0</v>
      </c>
      <c r="AQ25" s="20">
        <f>IF(B25="","",IF(AP25="","Check the settings",ROUND(IF(RoundingRule="None",AP25,IF(RoundingRule="Nearest 0.99",MAX(0.99,CEILING(AP25,1)-0.01),IF(RoundingRule="Nearest 0.95",MAX(0.95,CEILING(AP25,1)-0.05),IF(RoundingRule="Nearest 0.50",CEILING(AP25,0.5),IF(RoundingRule="Nearest 1",CEILING(AP25,1),IF(RoundingRule="Nearest 5",CEILING(AP25,5),IF(RoundingRule="Up to whole 1",CEILING(AP25,1),IF(RoundingRule="Up to whole 5",CEILING(AP25,5),ROUND(AP25,2))))))))),2)))</f>
        <v>0</v>
      </c>
      <c r="AR25" s="20">
        <f>IF(B25="","",IF(X25&lt;&gt;"",X25,IF(ISNUMBER(AQ25),AQ25,"")))</f>
        <v>0</v>
      </c>
      <c r="AS25" s="20">
        <f>IF(B25="","",IF(AR25="","",ROUND(AR25-AL25-(AR25*AM25+AN25),2)))</f>
        <v>0</v>
      </c>
      <c r="AT25" s="33">
        <f>IF(B25="","",IF(OR(AR25="",AR25=0),"",AS25/AR25))</f>
        <v>0</v>
      </c>
      <c r="AU25" s="41">
        <f>IF(B25="","",ROUND(AG25/60,3))</f>
        <v>0</v>
      </c>
      <c r="AV25" s="20">
        <f>IF(B25="","",IF(OR(AU25=0,AU25="",AS25=""),"",ROUND((AS25+AI25)/AU25,2)))</f>
        <v>0</v>
      </c>
      <c r="AW25" s="43">
        <f>IF(B25="","",IF(AND(A25&lt;&gt;"",ISERROR(MATCH(A25,Products!$A$5:$A$304,0))),"Check - no such product ID",IF(AF25=0,"Add - no material cost yet",IF(AG25=0,"Add - how long does it take?",IF(AND(A25&lt;&gt;"",COUNTIFS('Material Usage'!$A$5:$A$904,A25)&gt;0),"Check - this product also has a bill of materials",IF(AND(A25&lt;&gt;"",COUNTIFS(Labor!$A$5:$A$304,A25)&gt;0),"Check - this product also has labour lines",IF(AV25&lt;MinimumWage,"Below - pays under minimum wage","OK")))))) )</f>
        <v>0</v>
      </c>
    </row>
    <row r="26" spans="26:49">
      <c r="Z26" s="45">
        <f>IF(B26="","",IF(F26&lt;&gt;"",F26,IFERROR(INDEX(Materials!$V$5:$V$254,MATCH(D26,Materials!$A$5:$A$254,0)),0)))</f>
        <v>0</v>
      </c>
      <c r="AA26" s="36">
        <f>IF(B26="","",ROUND(IF(E26="",0,E26)*(1+IF(G26="",0,G26)),2))</f>
        <v>0</v>
      </c>
      <c r="AB26" s="20">
        <f>IF(B26="","",ROUND(AA26*Z26-IF(E26="",0,E26)*IF(G26="",0,G26)*IF(H26="",0,H26)*Z26,2))</f>
        <v>0</v>
      </c>
      <c r="AC26" s="20">
        <f>IF(B26="","",ROUND(IF(J26="",0,J26)*IF(K26="",0,K26),2))</f>
        <v>0</v>
      </c>
      <c r="AD26" s="20">
        <f>IF(B26="","",ROUND(IF(L26="",0,L26)*IFERROR(INDEX(Materials!$V$5:$V$254,MATCH(M26,Materials!$A$5:$A$254,0)),0),2))</f>
        <v>0</v>
      </c>
      <c r="AE26" s="20">
        <f>IF(B26="","",ROUND(IF(N26="",0,N26)*IFERROR(INDEX(Materials!$V$5:$V$254,MATCH(O26,Materials!$A$5:$A$254,0)),0),2))</f>
        <v>0</v>
      </c>
      <c r="AF26" s="20">
        <f>IF(B26="","",ROUND(AB26+AC26+AD26+AE26+IF(P26="",0,P26),2))</f>
        <v>0</v>
      </c>
      <c r="AG26" s="36">
        <f>IF(B26="","",IF(T26="",0,T26)+IF(U26="",0,U26)+IF(V26="",0,V26))</f>
        <v>0</v>
      </c>
      <c r="AH26" s="20">
        <f>IF(B26="","",IF(W26&lt;&gt;"",W26,LaborCostHour))</f>
        <v>0</v>
      </c>
      <c r="AI26" s="20">
        <f>IF(B26="","",ROUND(AG26/60*AH26,2))</f>
        <v>0</v>
      </c>
      <c r="AJ26" s="20">
        <f>IF(B26="","",ROUND(IF(Q26="",0,Q26)+IF(R26="",0,R26)+IF(S26="",0,S26)+AG26/60*SuppliesPerHour,2))</f>
        <v>0</v>
      </c>
      <c r="AK26" s="33">
        <f>IF(B26="","",IF(OR(AF26="",AF26=0),"",AB26/AF26))</f>
        <v>0</v>
      </c>
      <c r="AL26" s="20">
        <f>IF(B26="","",ROUND(AF26+AI26+AJ26,2))</f>
        <v>0</v>
      </c>
      <c r="AM26" s="33">
        <f>IF(B26="","",IFERROR(INDEX(Channels!$S$5:$S$18,MATCH(DefaultChannel,Channels!$A$5:$A$18,0)),0))</f>
        <v>0</v>
      </c>
      <c r="AN26" s="20">
        <f>IF(B26="","",IFERROR(INDEX(Channels!$T$5:$T$18,MATCH(DefaultChannel,Channels!$A$5:$A$18,0)),0))</f>
        <v>0</v>
      </c>
      <c r="AO26" s="41">
        <f>IF(B26="","",1-TargetRetailMargin-AM26)</f>
        <v>0</v>
      </c>
      <c r="AP26" s="20">
        <f>IF(B26="","",IF(AO26&lt;=0,"",(AL26+AN26)/AO26))</f>
        <v>0</v>
      </c>
      <c r="AQ26" s="20">
        <f>IF(B26="","",IF(AP26="","Check the settings",ROUND(IF(RoundingRule="None",AP26,IF(RoundingRule="Nearest 0.99",MAX(0.99,CEILING(AP26,1)-0.01),IF(RoundingRule="Nearest 0.95",MAX(0.95,CEILING(AP26,1)-0.05),IF(RoundingRule="Nearest 0.50",CEILING(AP26,0.5),IF(RoundingRule="Nearest 1",CEILING(AP26,1),IF(RoundingRule="Nearest 5",CEILING(AP26,5),IF(RoundingRule="Up to whole 1",CEILING(AP26,1),IF(RoundingRule="Up to whole 5",CEILING(AP26,5),ROUND(AP26,2))))))))),2)))</f>
        <v>0</v>
      </c>
      <c r="AR26" s="20">
        <f>IF(B26="","",IF(X26&lt;&gt;"",X26,IF(ISNUMBER(AQ26),AQ26,"")))</f>
        <v>0</v>
      </c>
      <c r="AS26" s="20">
        <f>IF(B26="","",IF(AR26="","",ROUND(AR26-AL26-(AR26*AM26+AN26),2)))</f>
        <v>0</v>
      </c>
      <c r="AT26" s="33">
        <f>IF(B26="","",IF(OR(AR26="",AR26=0),"",AS26/AR26))</f>
        <v>0</v>
      </c>
      <c r="AU26" s="41">
        <f>IF(B26="","",ROUND(AG26/60,3))</f>
        <v>0</v>
      </c>
      <c r="AV26" s="20">
        <f>IF(B26="","",IF(OR(AU26=0,AU26="",AS26=""),"",ROUND((AS26+AI26)/AU26,2)))</f>
        <v>0</v>
      </c>
      <c r="AW26" s="43">
        <f>IF(B26="","",IF(AND(A26&lt;&gt;"",ISERROR(MATCH(A26,Products!$A$5:$A$304,0))),"Check - no such product ID",IF(AF26=0,"Add - no material cost yet",IF(AG26=0,"Add - how long does it take?",IF(AND(A26&lt;&gt;"",COUNTIFS('Material Usage'!$A$5:$A$904,A26)&gt;0),"Check - this product also has a bill of materials",IF(AND(A26&lt;&gt;"",COUNTIFS(Labor!$A$5:$A$304,A26)&gt;0),"Check - this product also has labour lines",IF(AV26&lt;MinimumWage,"Below - pays under minimum wage","OK")))))) )</f>
        <v>0</v>
      </c>
    </row>
    <row r="27" spans="26:49">
      <c r="Z27" s="45">
        <f>IF(B27="","",IF(F27&lt;&gt;"",F27,IFERROR(INDEX(Materials!$V$5:$V$254,MATCH(D27,Materials!$A$5:$A$254,0)),0)))</f>
        <v>0</v>
      </c>
      <c r="AA27" s="36">
        <f>IF(B27="","",ROUND(IF(E27="",0,E27)*(1+IF(G27="",0,G27)),2))</f>
        <v>0</v>
      </c>
      <c r="AB27" s="20">
        <f>IF(B27="","",ROUND(AA27*Z27-IF(E27="",0,E27)*IF(G27="",0,G27)*IF(H27="",0,H27)*Z27,2))</f>
        <v>0</v>
      </c>
      <c r="AC27" s="20">
        <f>IF(B27="","",ROUND(IF(J27="",0,J27)*IF(K27="",0,K27),2))</f>
        <v>0</v>
      </c>
      <c r="AD27" s="20">
        <f>IF(B27="","",ROUND(IF(L27="",0,L27)*IFERROR(INDEX(Materials!$V$5:$V$254,MATCH(M27,Materials!$A$5:$A$254,0)),0),2))</f>
        <v>0</v>
      </c>
      <c r="AE27" s="20">
        <f>IF(B27="","",ROUND(IF(N27="",0,N27)*IFERROR(INDEX(Materials!$V$5:$V$254,MATCH(O27,Materials!$A$5:$A$254,0)),0),2))</f>
        <v>0</v>
      </c>
      <c r="AF27" s="20">
        <f>IF(B27="","",ROUND(AB27+AC27+AD27+AE27+IF(P27="",0,P27),2))</f>
        <v>0</v>
      </c>
      <c r="AG27" s="36">
        <f>IF(B27="","",IF(T27="",0,T27)+IF(U27="",0,U27)+IF(V27="",0,V27))</f>
        <v>0</v>
      </c>
      <c r="AH27" s="20">
        <f>IF(B27="","",IF(W27&lt;&gt;"",W27,LaborCostHour))</f>
        <v>0</v>
      </c>
      <c r="AI27" s="20">
        <f>IF(B27="","",ROUND(AG27/60*AH27,2))</f>
        <v>0</v>
      </c>
      <c r="AJ27" s="20">
        <f>IF(B27="","",ROUND(IF(Q27="",0,Q27)+IF(R27="",0,R27)+IF(S27="",0,S27)+AG27/60*SuppliesPerHour,2))</f>
        <v>0</v>
      </c>
      <c r="AK27" s="33">
        <f>IF(B27="","",IF(OR(AF27="",AF27=0),"",AB27/AF27))</f>
        <v>0</v>
      </c>
      <c r="AL27" s="20">
        <f>IF(B27="","",ROUND(AF27+AI27+AJ27,2))</f>
        <v>0</v>
      </c>
      <c r="AM27" s="33">
        <f>IF(B27="","",IFERROR(INDEX(Channels!$S$5:$S$18,MATCH(DefaultChannel,Channels!$A$5:$A$18,0)),0))</f>
        <v>0</v>
      </c>
      <c r="AN27" s="20">
        <f>IF(B27="","",IFERROR(INDEX(Channels!$T$5:$T$18,MATCH(DefaultChannel,Channels!$A$5:$A$18,0)),0))</f>
        <v>0</v>
      </c>
      <c r="AO27" s="41">
        <f>IF(B27="","",1-TargetRetailMargin-AM27)</f>
        <v>0</v>
      </c>
      <c r="AP27" s="20">
        <f>IF(B27="","",IF(AO27&lt;=0,"",(AL27+AN27)/AO27))</f>
        <v>0</v>
      </c>
      <c r="AQ27" s="20">
        <f>IF(B27="","",IF(AP27="","Check the settings",ROUND(IF(RoundingRule="None",AP27,IF(RoundingRule="Nearest 0.99",MAX(0.99,CEILING(AP27,1)-0.01),IF(RoundingRule="Nearest 0.95",MAX(0.95,CEILING(AP27,1)-0.05),IF(RoundingRule="Nearest 0.50",CEILING(AP27,0.5),IF(RoundingRule="Nearest 1",CEILING(AP27,1),IF(RoundingRule="Nearest 5",CEILING(AP27,5),IF(RoundingRule="Up to whole 1",CEILING(AP27,1),IF(RoundingRule="Up to whole 5",CEILING(AP27,5),ROUND(AP27,2))))))))),2)))</f>
        <v>0</v>
      </c>
      <c r="AR27" s="20">
        <f>IF(B27="","",IF(X27&lt;&gt;"",X27,IF(ISNUMBER(AQ27),AQ27,"")))</f>
        <v>0</v>
      </c>
      <c r="AS27" s="20">
        <f>IF(B27="","",IF(AR27="","",ROUND(AR27-AL27-(AR27*AM27+AN27),2)))</f>
        <v>0</v>
      </c>
      <c r="AT27" s="33">
        <f>IF(B27="","",IF(OR(AR27="",AR27=0),"",AS27/AR27))</f>
        <v>0</v>
      </c>
      <c r="AU27" s="41">
        <f>IF(B27="","",ROUND(AG27/60,3))</f>
        <v>0</v>
      </c>
      <c r="AV27" s="20">
        <f>IF(B27="","",IF(OR(AU27=0,AU27="",AS27=""),"",ROUND((AS27+AI27)/AU27,2)))</f>
        <v>0</v>
      </c>
      <c r="AW27" s="43">
        <f>IF(B27="","",IF(AND(A27&lt;&gt;"",ISERROR(MATCH(A27,Products!$A$5:$A$304,0))),"Check - no such product ID",IF(AF27=0,"Add - no material cost yet",IF(AG27=0,"Add - how long does it take?",IF(AND(A27&lt;&gt;"",COUNTIFS('Material Usage'!$A$5:$A$904,A27)&gt;0),"Check - this product also has a bill of materials",IF(AND(A27&lt;&gt;"",COUNTIFS(Labor!$A$5:$A$304,A27)&gt;0),"Check - this product also has labour lines",IF(AV27&lt;MinimumWage,"Below - pays under minimum wage","OK")))))) )</f>
        <v>0</v>
      </c>
    </row>
    <row r="28" spans="26:49">
      <c r="Z28" s="45">
        <f>IF(B28="","",IF(F28&lt;&gt;"",F28,IFERROR(INDEX(Materials!$V$5:$V$254,MATCH(D28,Materials!$A$5:$A$254,0)),0)))</f>
        <v>0</v>
      </c>
      <c r="AA28" s="36">
        <f>IF(B28="","",ROUND(IF(E28="",0,E28)*(1+IF(G28="",0,G28)),2))</f>
        <v>0</v>
      </c>
      <c r="AB28" s="20">
        <f>IF(B28="","",ROUND(AA28*Z28-IF(E28="",0,E28)*IF(G28="",0,G28)*IF(H28="",0,H28)*Z28,2))</f>
        <v>0</v>
      </c>
      <c r="AC28" s="20">
        <f>IF(B28="","",ROUND(IF(J28="",0,J28)*IF(K28="",0,K28),2))</f>
        <v>0</v>
      </c>
      <c r="AD28" s="20">
        <f>IF(B28="","",ROUND(IF(L28="",0,L28)*IFERROR(INDEX(Materials!$V$5:$V$254,MATCH(M28,Materials!$A$5:$A$254,0)),0),2))</f>
        <v>0</v>
      </c>
      <c r="AE28" s="20">
        <f>IF(B28="","",ROUND(IF(N28="",0,N28)*IFERROR(INDEX(Materials!$V$5:$V$254,MATCH(O28,Materials!$A$5:$A$254,0)),0),2))</f>
        <v>0</v>
      </c>
      <c r="AF28" s="20">
        <f>IF(B28="","",ROUND(AB28+AC28+AD28+AE28+IF(P28="",0,P28),2))</f>
        <v>0</v>
      </c>
      <c r="AG28" s="36">
        <f>IF(B28="","",IF(T28="",0,T28)+IF(U28="",0,U28)+IF(V28="",0,V28))</f>
        <v>0</v>
      </c>
      <c r="AH28" s="20">
        <f>IF(B28="","",IF(W28&lt;&gt;"",W28,LaborCostHour))</f>
        <v>0</v>
      </c>
      <c r="AI28" s="20">
        <f>IF(B28="","",ROUND(AG28/60*AH28,2))</f>
        <v>0</v>
      </c>
      <c r="AJ28" s="20">
        <f>IF(B28="","",ROUND(IF(Q28="",0,Q28)+IF(R28="",0,R28)+IF(S28="",0,S28)+AG28/60*SuppliesPerHour,2))</f>
        <v>0</v>
      </c>
      <c r="AK28" s="33">
        <f>IF(B28="","",IF(OR(AF28="",AF28=0),"",AB28/AF28))</f>
        <v>0</v>
      </c>
      <c r="AL28" s="20">
        <f>IF(B28="","",ROUND(AF28+AI28+AJ28,2))</f>
        <v>0</v>
      </c>
      <c r="AM28" s="33">
        <f>IF(B28="","",IFERROR(INDEX(Channels!$S$5:$S$18,MATCH(DefaultChannel,Channels!$A$5:$A$18,0)),0))</f>
        <v>0</v>
      </c>
      <c r="AN28" s="20">
        <f>IF(B28="","",IFERROR(INDEX(Channels!$T$5:$T$18,MATCH(DefaultChannel,Channels!$A$5:$A$18,0)),0))</f>
        <v>0</v>
      </c>
      <c r="AO28" s="41">
        <f>IF(B28="","",1-TargetRetailMargin-AM28)</f>
        <v>0</v>
      </c>
      <c r="AP28" s="20">
        <f>IF(B28="","",IF(AO28&lt;=0,"",(AL28+AN28)/AO28))</f>
        <v>0</v>
      </c>
      <c r="AQ28" s="20">
        <f>IF(B28="","",IF(AP28="","Check the settings",ROUND(IF(RoundingRule="None",AP28,IF(RoundingRule="Nearest 0.99",MAX(0.99,CEILING(AP28,1)-0.01),IF(RoundingRule="Nearest 0.95",MAX(0.95,CEILING(AP28,1)-0.05),IF(RoundingRule="Nearest 0.50",CEILING(AP28,0.5),IF(RoundingRule="Nearest 1",CEILING(AP28,1),IF(RoundingRule="Nearest 5",CEILING(AP28,5),IF(RoundingRule="Up to whole 1",CEILING(AP28,1),IF(RoundingRule="Up to whole 5",CEILING(AP28,5),ROUND(AP28,2))))))))),2)))</f>
        <v>0</v>
      </c>
      <c r="AR28" s="20">
        <f>IF(B28="","",IF(X28&lt;&gt;"",X28,IF(ISNUMBER(AQ28),AQ28,"")))</f>
        <v>0</v>
      </c>
      <c r="AS28" s="20">
        <f>IF(B28="","",IF(AR28="","",ROUND(AR28-AL28-(AR28*AM28+AN28),2)))</f>
        <v>0</v>
      </c>
      <c r="AT28" s="33">
        <f>IF(B28="","",IF(OR(AR28="",AR28=0),"",AS28/AR28))</f>
        <v>0</v>
      </c>
      <c r="AU28" s="41">
        <f>IF(B28="","",ROUND(AG28/60,3))</f>
        <v>0</v>
      </c>
      <c r="AV28" s="20">
        <f>IF(B28="","",IF(OR(AU28=0,AU28="",AS28=""),"",ROUND((AS28+AI28)/AU28,2)))</f>
        <v>0</v>
      </c>
      <c r="AW28" s="43">
        <f>IF(B28="","",IF(AND(A28&lt;&gt;"",ISERROR(MATCH(A28,Products!$A$5:$A$304,0))),"Check - no such product ID",IF(AF28=0,"Add - no material cost yet",IF(AG28=0,"Add - how long does it take?",IF(AND(A28&lt;&gt;"",COUNTIFS('Material Usage'!$A$5:$A$904,A28)&gt;0),"Check - this product also has a bill of materials",IF(AND(A28&lt;&gt;"",COUNTIFS(Labor!$A$5:$A$304,A28)&gt;0),"Check - this product also has labour lines",IF(AV28&lt;MinimumWage,"Below - pays under minimum wage","OK")))))) )</f>
        <v>0</v>
      </c>
    </row>
    <row r="29" spans="26:49">
      <c r="Z29" s="45">
        <f>IF(B29="","",IF(F29&lt;&gt;"",F29,IFERROR(INDEX(Materials!$V$5:$V$254,MATCH(D29,Materials!$A$5:$A$254,0)),0)))</f>
        <v>0</v>
      </c>
      <c r="AA29" s="36">
        <f>IF(B29="","",ROUND(IF(E29="",0,E29)*(1+IF(G29="",0,G29)),2))</f>
        <v>0</v>
      </c>
      <c r="AB29" s="20">
        <f>IF(B29="","",ROUND(AA29*Z29-IF(E29="",0,E29)*IF(G29="",0,G29)*IF(H29="",0,H29)*Z29,2))</f>
        <v>0</v>
      </c>
      <c r="AC29" s="20">
        <f>IF(B29="","",ROUND(IF(J29="",0,J29)*IF(K29="",0,K29),2))</f>
        <v>0</v>
      </c>
      <c r="AD29" s="20">
        <f>IF(B29="","",ROUND(IF(L29="",0,L29)*IFERROR(INDEX(Materials!$V$5:$V$254,MATCH(M29,Materials!$A$5:$A$254,0)),0),2))</f>
        <v>0</v>
      </c>
      <c r="AE29" s="20">
        <f>IF(B29="","",ROUND(IF(N29="",0,N29)*IFERROR(INDEX(Materials!$V$5:$V$254,MATCH(O29,Materials!$A$5:$A$254,0)),0),2))</f>
        <v>0</v>
      </c>
      <c r="AF29" s="20">
        <f>IF(B29="","",ROUND(AB29+AC29+AD29+AE29+IF(P29="",0,P29),2))</f>
        <v>0</v>
      </c>
      <c r="AG29" s="36">
        <f>IF(B29="","",IF(T29="",0,T29)+IF(U29="",0,U29)+IF(V29="",0,V29))</f>
        <v>0</v>
      </c>
      <c r="AH29" s="20">
        <f>IF(B29="","",IF(W29&lt;&gt;"",W29,LaborCostHour))</f>
        <v>0</v>
      </c>
      <c r="AI29" s="20">
        <f>IF(B29="","",ROUND(AG29/60*AH29,2))</f>
        <v>0</v>
      </c>
      <c r="AJ29" s="20">
        <f>IF(B29="","",ROUND(IF(Q29="",0,Q29)+IF(R29="",0,R29)+IF(S29="",0,S29)+AG29/60*SuppliesPerHour,2))</f>
        <v>0</v>
      </c>
      <c r="AK29" s="33">
        <f>IF(B29="","",IF(OR(AF29="",AF29=0),"",AB29/AF29))</f>
        <v>0</v>
      </c>
      <c r="AL29" s="20">
        <f>IF(B29="","",ROUND(AF29+AI29+AJ29,2))</f>
        <v>0</v>
      </c>
      <c r="AM29" s="33">
        <f>IF(B29="","",IFERROR(INDEX(Channels!$S$5:$S$18,MATCH(DefaultChannel,Channels!$A$5:$A$18,0)),0))</f>
        <v>0</v>
      </c>
      <c r="AN29" s="20">
        <f>IF(B29="","",IFERROR(INDEX(Channels!$T$5:$T$18,MATCH(DefaultChannel,Channels!$A$5:$A$18,0)),0))</f>
        <v>0</v>
      </c>
      <c r="AO29" s="41">
        <f>IF(B29="","",1-TargetRetailMargin-AM29)</f>
        <v>0</v>
      </c>
      <c r="AP29" s="20">
        <f>IF(B29="","",IF(AO29&lt;=0,"",(AL29+AN29)/AO29))</f>
        <v>0</v>
      </c>
      <c r="AQ29" s="20">
        <f>IF(B29="","",IF(AP29="","Check the settings",ROUND(IF(RoundingRule="None",AP29,IF(RoundingRule="Nearest 0.99",MAX(0.99,CEILING(AP29,1)-0.01),IF(RoundingRule="Nearest 0.95",MAX(0.95,CEILING(AP29,1)-0.05),IF(RoundingRule="Nearest 0.50",CEILING(AP29,0.5),IF(RoundingRule="Nearest 1",CEILING(AP29,1),IF(RoundingRule="Nearest 5",CEILING(AP29,5),IF(RoundingRule="Up to whole 1",CEILING(AP29,1),IF(RoundingRule="Up to whole 5",CEILING(AP29,5),ROUND(AP29,2))))))))),2)))</f>
        <v>0</v>
      </c>
      <c r="AR29" s="20">
        <f>IF(B29="","",IF(X29&lt;&gt;"",X29,IF(ISNUMBER(AQ29),AQ29,"")))</f>
        <v>0</v>
      </c>
      <c r="AS29" s="20">
        <f>IF(B29="","",IF(AR29="","",ROUND(AR29-AL29-(AR29*AM29+AN29),2)))</f>
        <v>0</v>
      </c>
      <c r="AT29" s="33">
        <f>IF(B29="","",IF(OR(AR29="",AR29=0),"",AS29/AR29))</f>
        <v>0</v>
      </c>
      <c r="AU29" s="41">
        <f>IF(B29="","",ROUND(AG29/60,3))</f>
        <v>0</v>
      </c>
      <c r="AV29" s="20">
        <f>IF(B29="","",IF(OR(AU29=0,AU29="",AS29=""),"",ROUND((AS29+AI29)/AU29,2)))</f>
        <v>0</v>
      </c>
      <c r="AW29" s="43">
        <f>IF(B29="","",IF(AND(A29&lt;&gt;"",ISERROR(MATCH(A29,Products!$A$5:$A$304,0))),"Check - no such product ID",IF(AF29=0,"Add - no material cost yet",IF(AG29=0,"Add - how long does it take?",IF(AND(A29&lt;&gt;"",COUNTIFS('Material Usage'!$A$5:$A$904,A29)&gt;0),"Check - this product also has a bill of materials",IF(AND(A29&lt;&gt;"",COUNTIFS(Labor!$A$5:$A$304,A29)&gt;0),"Check - this product also has labour lines",IF(AV29&lt;MinimumWage,"Below - pays under minimum wage","OK")))))) )</f>
        <v>0</v>
      </c>
    </row>
    <row r="30" spans="26:49">
      <c r="Z30" s="45">
        <f>IF(B30="","",IF(F30&lt;&gt;"",F30,IFERROR(INDEX(Materials!$V$5:$V$254,MATCH(D30,Materials!$A$5:$A$254,0)),0)))</f>
        <v>0</v>
      </c>
      <c r="AA30" s="36">
        <f>IF(B30="","",ROUND(IF(E30="",0,E30)*(1+IF(G30="",0,G30)),2))</f>
        <v>0</v>
      </c>
      <c r="AB30" s="20">
        <f>IF(B30="","",ROUND(AA30*Z30-IF(E30="",0,E30)*IF(G30="",0,G30)*IF(H30="",0,H30)*Z30,2))</f>
        <v>0</v>
      </c>
      <c r="AC30" s="20">
        <f>IF(B30="","",ROUND(IF(J30="",0,J30)*IF(K30="",0,K30),2))</f>
        <v>0</v>
      </c>
      <c r="AD30" s="20">
        <f>IF(B30="","",ROUND(IF(L30="",0,L30)*IFERROR(INDEX(Materials!$V$5:$V$254,MATCH(M30,Materials!$A$5:$A$254,0)),0),2))</f>
        <v>0</v>
      </c>
      <c r="AE30" s="20">
        <f>IF(B30="","",ROUND(IF(N30="",0,N30)*IFERROR(INDEX(Materials!$V$5:$V$254,MATCH(O30,Materials!$A$5:$A$254,0)),0),2))</f>
        <v>0</v>
      </c>
      <c r="AF30" s="20">
        <f>IF(B30="","",ROUND(AB30+AC30+AD30+AE30+IF(P30="",0,P30),2))</f>
        <v>0</v>
      </c>
      <c r="AG30" s="36">
        <f>IF(B30="","",IF(T30="",0,T30)+IF(U30="",0,U30)+IF(V30="",0,V30))</f>
        <v>0</v>
      </c>
      <c r="AH30" s="20">
        <f>IF(B30="","",IF(W30&lt;&gt;"",W30,LaborCostHour))</f>
        <v>0</v>
      </c>
      <c r="AI30" s="20">
        <f>IF(B30="","",ROUND(AG30/60*AH30,2))</f>
        <v>0</v>
      </c>
      <c r="AJ30" s="20">
        <f>IF(B30="","",ROUND(IF(Q30="",0,Q30)+IF(R30="",0,R30)+IF(S30="",0,S30)+AG30/60*SuppliesPerHour,2))</f>
        <v>0</v>
      </c>
      <c r="AK30" s="33">
        <f>IF(B30="","",IF(OR(AF30="",AF30=0),"",AB30/AF30))</f>
        <v>0</v>
      </c>
      <c r="AL30" s="20">
        <f>IF(B30="","",ROUND(AF30+AI30+AJ30,2))</f>
        <v>0</v>
      </c>
      <c r="AM30" s="33">
        <f>IF(B30="","",IFERROR(INDEX(Channels!$S$5:$S$18,MATCH(DefaultChannel,Channels!$A$5:$A$18,0)),0))</f>
        <v>0</v>
      </c>
      <c r="AN30" s="20">
        <f>IF(B30="","",IFERROR(INDEX(Channels!$T$5:$T$18,MATCH(DefaultChannel,Channels!$A$5:$A$18,0)),0))</f>
        <v>0</v>
      </c>
      <c r="AO30" s="41">
        <f>IF(B30="","",1-TargetRetailMargin-AM30)</f>
        <v>0</v>
      </c>
      <c r="AP30" s="20">
        <f>IF(B30="","",IF(AO30&lt;=0,"",(AL30+AN30)/AO30))</f>
        <v>0</v>
      </c>
      <c r="AQ30" s="20">
        <f>IF(B30="","",IF(AP30="","Check the settings",ROUND(IF(RoundingRule="None",AP30,IF(RoundingRule="Nearest 0.99",MAX(0.99,CEILING(AP30,1)-0.01),IF(RoundingRule="Nearest 0.95",MAX(0.95,CEILING(AP30,1)-0.05),IF(RoundingRule="Nearest 0.50",CEILING(AP30,0.5),IF(RoundingRule="Nearest 1",CEILING(AP30,1),IF(RoundingRule="Nearest 5",CEILING(AP30,5),IF(RoundingRule="Up to whole 1",CEILING(AP30,1),IF(RoundingRule="Up to whole 5",CEILING(AP30,5),ROUND(AP30,2))))))))),2)))</f>
        <v>0</v>
      </c>
      <c r="AR30" s="20">
        <f>IF(B30="","",IF(X30&lt;&gt;"",X30,IF(ISNUMBER(AQ30),AQ30,"")))</f>
        <v>0</v>
      </c>
      <c r="AS30" s="20">
        <f>IF(B30="","",IF(AR30="","",ROUND(AR30-AL30-(AR30*AM30+AN30),2)))</f>
        <v>0</v>
      </c>
      <c r="AT30" s="33">
        <f>IF(B30="","",IF(OR(AR30="",AR30=0),"",AS30/AR30))</f>
        <v>0</v>
      </c>
      <c r="AU30" s="41">
        <f>IF(B30="","",ROUND(AG30/60,3))</f>
        <v>0</v>
      </c>
      <c r="AV30" s="20">
        <f>IF(B30="","",IF(OR(AU30=0,AU30="",AS30=""),"",ROUND((AS30+AI30)/AU30,2)))</f>
        <v>0</v>
      </c>
      <c r="AW30" s="43">
        <f>IF(B30="","",IF(AND(A30&lt;&gt;"",ISERROR(MATCH(A30,Products!$A$5:$A$304,0))),"Check - no such product ID",IF(AF30=0,"Add - no material cost yet",IF(AG30=0,"Add - how long does it take?",IF(AND(A30&lt;&gt;"",COUNTIFS('Material Usage'!$A$5:$A$904,A30)&gt;0),"Check - this product also has a bill of materials",IF(AND(A30&lt;&gt;"",COUNTIFS(Labor!$A$5:$A$304,A30)&gt;0),"Check - this product also has labour lines",IF(AV30&lt;MinimumWage,"Below - pays under minimum wage","OK")))))) )</f>
        <v>0</v>
      </c>
    </row>
    <row r="31" spans="26:49">
      <c r="Z31" s="45">
        <f>IF(B31="","",IF(F31&lt;&gt;"",F31,IFERROR(INDEX(Materials!$V$5:$V$254,MATCH(D31,Materials!$A$5:$A$254,0)),0)))</f>
        <v>0</v>
      </c>
      <c r="AA31" s="36">
        <f>IF(B31="","",ROUND(IF(E31="",0,E31)*(1+IF(G31="",0,G31)),2))</f>
        <v>0</v>
      </c>
      <c r="AB31" s="20">
        <f>IF(B31="","",ROUND(AA31*Z31-IF(E31="",0,E31)*IF(G31="",0,G31)*IF(H31="",0,H31)*Z31,2))</f>
        <v>0</v>
      </c>
      <c r="AC31" s="20">
        <f>IF(B31="","",ROUND(IF(J31="",0,J31)*IF(K31="",0,K31),2))</f>
        <v>0</v>
      </c>
      <c r="AD31" s="20">
        <f>IF(B31="","",ROUND(IF(L31="",0,L31)*IFERROR(INDEX(Materials!$V$5:$V$254,MATCH(M31,Materials!$A$5:$A$254,0)),0),2))</f>
        <v>0</v>
      </c>
      <c r="AE31" s="20">
        <f>IF(B31="","",ROUND(IF(N31="",0,N31)*IFERROR(INDEX(Materials!$V$5:$V$254,MATCH(O31,Materials!$A$5:$A$254,0)),0),2))</f>
        <v>0</v>
      </c>
      <c r="AF31" s="20">
        <f>IF(B31="","",ROUND(AB31+AC31+AD31+AE31+IF(P31="",0,P31),2))</f>
        <v>0</v>
      </c>
      <c r="AG31" s="36">
        <f>IF(B31="","",IF(T31="",0,T31)+IF(U31="",0,U31)+IF(V31="",0,V31))</f>
        <v>0</v>
      </c>
      <c r="AH31" s="20">
        <f>IF(B31="","",IF(W31&lt;&gt;"",W31,LaborCostHour))</f>
        <v>0</v>
      </c>
      <c r="AI31" s="20">
        <f>IF(B31="","",ROUND(AG31/60*AH31,2))</f>
        <v>0</v>
      </c>
      <c r="AJ31" s="20">
        <f>IF(B31="","",ROUND(IF(Q31="",0,Q31)+IF(R31="",0,R31)+IF(S31="",0,S31)+AG31/60*SuppliesPerHour,2))</f>
        <v>0</v>
      </c>
      <c r="AK31" s="33">
        <f>IF(B31="","",IF(OR(AF31="",AF31=0),"",AB31/AF31))</f>
        <v>0</v>
      </c>
      <c r="AL31" s="20">
        <f>IF(B31="","",ROUND(AF31+AI31+AJ31,2))</f>
        <v>0</v>
      </c>
      <c r="AM31" s="33">
        <f>IF(B31="","",IFERROR(INDEX(Channels!$S$5:$S$18,MATCH(DefaultChannel,Channels!$A$5:$A$18,0)),0))</f>
        <v>0</v>
      </c>
      <c r="AN31" s="20">
        <f>IF(B31="","",IFERROR(INDEX(Channels!$T$5:$T$18,MATCH(DefaultChannel,Channels!$A$5:$A$18,0)),0))</f>
        <v>0</v>
      </c>
      <c r="AO31" s="41">
        <f>IF(B31="","",1-TargetRetailMargin-AM31)</f>
        <v>0</v>
      </c>
      <c r="AP31" s="20">
        <f>IF(B31="","",IF(AO31&lt;=0,"",(AL31+AN31)/AO31))</f>
        <v>0</v>
      </c>
      <c r="AQ31" s="20">
        <f>IF(B31="","",IF(AP31="","Check the settings",ROUND(IF(RoundingRule="None",AP31,IF(RoundingRule="Nearest 0.99",MAX(0.99,CEILING(AP31,1)-0.01),IF(RoundingRule="Nearest 0.95",MAX(0.95,CEILING(AP31,1)-0.05),IF(RoundingRule="Nearest 0.50",CEILING(AP31,0.5),IF(RoundingRule="Nearest 1",CEILING(AP31,1),IF(RoundingRule="Nearest 5",CEILING(AP31,5),IF(RoundingRule="Up to whole 1",CEILING(AP31,1),IF(RoundingRule="Up to whole 5",CEILING(AP31,5),ROUND(AP31,2))))))))),2)))</f>
        <v>0</v>
      </c>
      <c r="AR31" s="20">
        <f>IF(B31="","",IF(X31&lt;&gt;"",X31,IF(ISNUMBER(AQ31),AQ31,"")))</f>
        <v>0</v>
      </c>
      <c r="AS31" s="20">
        <f>IF(B31="","",IF(AR31="","",ROUND(AR31-AL31-(AR31*AM31+AN31),2)))</f>
        <v>0</v>
      </c>
      <c r="AT31" s="33">
        <f>IF(B31="","",IF(OR(AR31="",AR31=0),"",AS31/AR31))</f>
        <v>0</v>
      </c>
      <c r="AU31" s="41">
        <f>IF(B31="","",ROUND(AG31/60,3))</f>
        <v>0</v>
      </c>
      <c r="AV31" s="20">
        <f>IF(B31="","",IF(OR(AU31=0,AU31="",AS31=""),"",ROUND((AS31+AI31)/AU31,2)))</f>
        <v>0</v>
      </c>
      <c r="AW31" s="43">
        <f>IF(B31="","",IF(AND(A31&lt;&gt;"",ISERROR(MATCH(A31,Products!$A$5:$A$304,0))),"Check - no such product ID",IF(AF31=0,"Add - no material cost yet",IF(AG31=0,"Add - how long does it take?",IF(AND(A31&lt;&gt;"",COUNTIFS('Material Usage'!$A$5:$A$904,A31)&gt;0),"Check - this product also has a bill of materials",IF(AND(A31&lt;&gt;"",COUNTIFS(Labor!$A$5:$A$304,A31)&gt;0),"Check - this product also has labour lines",IF(AV31&lt;MinimumWage,"Below - pays under minimum wage","OK")))))) )</f>
        <v>0</v>
      </c>
    </row>
    <row r="32" spans="26:49">
      <c r="Z32" s="45">
        <f>IF(B32="","",IF(F32&lt;&gt;"",F32,IFERROR(INDEX(Materials!$V$5:$V$254,MATCH(D32,Materials!$A$5:$A$254,0)),0)))</f>
        <v>0</v>
      </c>
      <c r="AA32" s="36">
        <f>IF(B32="","",ROUND(IF(E32="",0,E32)*(1+IF(G32="",0,G32)),2))</f>
        <v>0</v>
      </c>
      <c r="AB32" s="20">
        <f>IF(B32="","",ROUND(AA32*Z32-IF(E32="",0,E32)*IF(G32="",0,G32)*IF(H32="",0,H32)*Z32,2))</f>
        <v>0</v>
      </c>
      <c r="AC32" s="20">
        <f>IF(B32="","",ROUND(IF(J32="",0,J32)*IF(K32="",0,K32),2))</f>
        <v>0</v>
      </c>
      <c r="AD32" s="20">
        <f>IF(B32="","",ROUND(IF(L32="",0,L32)*IFERROR(INDEX(Materials!$V$5:$V$254,MATCH(M32,Materials!$A$5:$A$254,0)),0),2))</f>
        <v>0</v>
      </c>
      <c r="AE32" s="20">
        <f>IF(B32="","",ROUND(IF(N32="",0,N32)*IFERROR(INDEX(Materials!$V$5:$V$254,MATCH(O32,Materials!$A$5:$A$254,0)),0),2))</f>
        <v>0</v>
      </c>
      <c r="AF32" s="20">
        <f>IF(B32="","",ROUND(AB32+AC32+AD32+AE32+IF(P32="",0,P32),2))</f>
        <v>0</v>
      </c>
      <c r="AG32" s="36">
        <f>IF(B32="","",IF(T32="",0,T32)+IF(U32="",0,U32)+IF(V32="",0,V32))</f>
        <v>0</v>
      </c>
      <c r="AH32" s="20">
        <f>IF(B32="","",IF(W32&lt;&gt;"",W32,LaborCostHour))</f>
        <v>0</v>
      </c>
      <c r="AI32" s="20">
        <f>IF(B32="","",ROUND(AG32/60*AH32,2))</f>
        <v>0</v>
      </c>
      <c r="AJ32" s="20">
        <f>IF(B32="","",ROUND(IF(Q32="",0,Q32)+IF(R32="",0,R32)+IF(S32="",0,S32)+AG32/60*SuppliesPerHour,2))</f>
        <v>0</v>
      </c>
      <c r="AK32" s="33">
        <f>IF(B32="","",IF(OR(AF32="",AF32=0),"",AB32/AF32))</f>
        <v>0</v>
      </c>
      <c r="AL32" s="20">
        <f>IF(B32="","",ROUND(AF32+AI32+AJ32,2))</f>
        <v>0</v>
      </c>
      <c r="AM32" s="33">
        <f>IF(B32="","",IFERROR(INDEX(Channels!$S$5:$S$18,MATCH(DefaultChannel,Channels!$A$5:$A$18,0)),0))</f>
        <v>0</v>
      </c>
      <c r="AN32" s="20">
        <f>IF(B32="","",IFERROR(INDEX(Channels!$T$5:$T$18,MATCH(DefaultChannel,Channels!$A$5:$A$18,0)),0))</f>
        <v>0</v>
      </c>
      <c r="AO32" s="41">
        <f>IF(B32="","",1-TargetRetailMargin-AM32)</f>
        <v>0</v>
      </c>
      <c r="AP32" s="20">
        <f>IF(B32="","",IF(AO32&lt;=0,"",(AL32+AN32)/AO32))</f>
        <v>0</v>
      </c>
      <c r="AQ32" s="20">
        <f>IF(B32="","",IF(AP32="","Check the settings",ROUND(IF(RoundingRule="None",AP32,IF(RoundingRule="Nearest 0.99",MAX(0.99,CEILING(AP32,1)-0.01),IF(RoundingRule="Nearest 0.95",MAX(0.95,CEILING(AP32,1)-0.05),IF(RoundingRule="Nearest 0.50",CEILING(AP32,0.5),IF(RoundingRule="Nearest 1",CEILING(AP32,1),IF(RoundingRule="Nearest 5",CEILING(AP32,5),IF(RoundingRule="Up to whole 1",CEILING(AP32,1),IF(RoundingRule="Up to whole 5",CEILING(AP32,5),ROUND(AP32,2))))))))),2)))</f>
        <v>0</v>
      </c>
      <c r="AR32" s="20">
        <f>IF(B32="","",IF(X32&lt;&gt;"",X32,IF(ISNUMBER(AQ32),AQ32,"")))</f>
        <v>0</v>
      </c>
      <c r="AS32" s="20">
        <f>IF(B32="","",IF(AR32="","",ROUND(AR32-AL32-(AR32*AM32+AN32),2)))</f>
        <v>0</v>
      </c>
      <c r="AT32" s="33">
        <f>IF(B32="","",IF(OR(AR32="",AR32=0),"",AS32/AR32))</f>
        <v>0</v>
      </c>
      <c r="AU32" s="41">
        <f>IF(B32="","",ROUND(AG32/60,3))</f>
        <v>0</v>
      </c>
      <c r="AV32" s="20">
        <f>IF(B32="","",IF(OR(AU32=0,AU32="",AS32=""),"",ROUND((AS32+AI32)/AU32,2)))</f>
        <v>0</v>
      </c>
      <c r="AW32" s="43">
        <f>IF(B32="","",IF(AND(A32&lt;&gt;"",ISERROR(MATCH(A32,Products!$A$5:$A$304,0))),"Check - no such product ID",IF(AF32=0,"Add - no material cost yet",IF(AG32=0,"Add - how long does it take?",IF(AND(A32&lt;&gt;"",COUNTIFS('Material Usage'!$A$5:$A$904,A32)&gt;0),"Check - this product also has a bill of materials",IF(AND(A32&lt;&gt;"",COUNTIFS(Labor!$A$5:$A$304,A32)&gt;0),"Check - this product also has labour lines",IF(AV32&lt;MinimumWage,"Below - pays under minimum wage","OK")))))) )</f>
        <v>0</v>
      </c>
    </row>
    <row r="33" spans="26:49">
      <c r="Z33" s="45">
        <f>IF(B33="","",IF(F33&lt;&gt;"",F33,IFERROR(INDEX(Materials!$V$5:$V$254,MATCH(D33,Materials!$A$5:$A$254,0)),0)))</f>
        <v>0</v>
      </c>
      <c r="AA33" s="36">
        <f>IF(B33="","",ROUND(IF(E33="",0,E33)*(1+IF(G33="",0,G33)),2))</f>
        <v>0</v>
      </c>
      <c r="AB33" s="20">
        <f>IF(B33="","",ROUND(AA33*Z33-IF(E33="",0,E33)*IF(G33="",0,G33)*IF(H33="",0,H33)*Z33,2))</f>
        <v>0</v>
      </c>
      <c r="AC33" s="20">
        <f>IF(B33="","",ROUND(IF(J33="",0,J33)*IF(K33="",0,K33),2))</f>
        <v>0</v>
      </c>
      <c r="AD33" s="20">
        <f>IF(B33="","",ROUND(IF(L33="",0,L33)*IFERROR(INDEX(Materials!$V$5:$V$254,MATCH(M33,Materials!$A$5:$A$254,0)),0),2))</f>
        <v>0</v>
      </c>
      <c r="AE33" s="20">
        <f>IF(B33="","",ROUND(IF(N33="",0,N33)*IFERROR(INDEX(Materials!$V$5:$V$254,MATCH(O33,Materials!$A$5:$A$254,0)),0),2))</f>
        <v>0</v>
      </c>
      <c r="AF33" s="20">
        <f>IF(B33="","",ROUND(AB33+AC33+AD33+AE33+IF(P33="",0,P33),2))</f>
        <v>0</v>
      </c>
      <c r="AG33" s="36">
        <f>IF(B33="","",IF(T33="",0,T33)+IF(U33="",0,U33)+IF(V33="",0,V33))</f>
        <v>0</v>
      </c>
      <c r="AH33" s="20">
        <f>IF(B33="","",IF(W33&lt;&gt;"",W33,LaborCostHour))</f>
        <v>0</v>
      </c>
      <c r="AI33" s="20">
        <f>IF(B33="","",ROUND(AG33/60*AH33,2))</f>
        <v>0</v>
      </c>
      <c r="AJ33" s="20">
        <f>IF(B33="","",ROUND(IF(Q33="",0,Q33)+IF(R33="",0,R33)+IF(S33="",0,S33)+AG33/60*SuppliesPerHour,2))</f>
        <v>0</v>
      </c>
      <c r="AK33" s="33">
        <f>IF(B33="","",IF(OR(AF33="",AF33=0),"",AB33/AF33))</f>
        <v>0</v>
      </c>
      <c r="AL33" s="20">
        <f>IF(B33="","",ROUND(AF33+AI33+AJ33,2))</f>
        <v>0</v>
      </c>
      <c r="AM33" s="33">
        <f>IF(B33="","",IFERROR(INDEX(Channels!$S$5:$S$18,MATCH(DefaultChannel,Channels!$A$5:$A$18,0)),0))</f>
        <v>0</v>
      </c>
      <c r="AN33" s="20">
        <f>IF(B33="","",IFERROR(INDEX(Channels!$T$5:$T$18,MATCH(DefaultChannel,Channels!$A$5:$A$18,0)),0))</f>
        <v>0</v>
      </c>
      <c r="AO33" s="41">
        <f>IF(B33="","",1-TargetRetailMargin-AM33)</f>
        <v>0</v>
      </c>
      <c r="AP33" s="20">
        <f>IF(B33="","",IF(AO33&lt;=0,"",(AL33+AN33)/AO33))</f>
        <v>0</v>
      </c>
      <c r="AQ33" s="20">
        <f>IF(B33="","",IF(AP33="","Check the settings",ROUND(IF(RoundingRule="None",AP33,IF(RoundingRule="Nearest 0.99",MAX(0.99,CEILING(AP33,1)-0.01),IF(RoundingRule="Nearest 0.95",MAX(0.95,CEILING(AP33,1)-0.05),IF(RoundingRule="Nearest 0.50",CEILING(AP33,0.5),IF(RoundingRule="Nearest 1",CEILING(AP33,1),IF(RoundingRule="Nearest 5",CEILING(AP33,5),IF(RoundingRule="Up to whole 1",CEILING(AP33,1),IF(RoundingRule="Up to whole 5",CEILING(AP33,5),ROUND(AP33,2))))))))),2)))</f>
        <v>0</v>
      </c>
      <c r="AR33" s="20">
        <f>IF(B33="","",IF(X33&lt;&gt;"",X33,IF(ISNUMBER(AQ33),AQ33,"")))</f>
        <v>0</v>
      </c>
      <c r="AS33" s="20">
        <f>IF(B33="","",IF(AR33="","",ROUND(AR33-AL33-(AR33*AM33+AN33),2)))</f>
        <v>0</v>
      </c>
      <c r="AT33" s="33">
        <f>IF(B33="","",IF(OR(AR33="",AR33=0),"",AS33/AR33))</f>
        <v>0</v>
      </c>
      <c r="AU33" s="41">
        <f>IF(B33="","",ROUND(AG33/60,3))</f>
        <v>0</v>
      </c>
      <c r="AV33" s="20">
        <f>IF(B33="","",IF(OR(AU33=0,AU33="",AS33=""),"",ROUND((AS33+AI33)/AU33,2)))</f>
        <v>0</v>
      </c>
      <c r="AW33" s="43">
        <f>IF(B33="","",IF(AND(A33&lt;&gt;"",ISERROR(MATCH(A33,Products!$A$5:$A$304,0))),"Check - no such product ID",IF(AF33=0,"Add - no material cost yet",IF(AG33=0,"Add - how long does it take?",IF(AND(A33&lt;&gt;"",COUNTIFS('Material Usage'!$A$5:$A$904,A33)&gt;0),"Check - this product also has a bill of materials",IF(AND(A33&lt;&gt;"",COUNTIFS(Labor!$A$5:$A$304,A33)&gt;0),"Check - this product also has labour lines",IF(AV33&lt;MinimumWage,"Below - pays under minimum wage","OK")))))) )</f>
        <v>0</v>
      </c>
    </row>
    <row r="34" spans="26:49">
      <c r="Z34" s="45">
        <f>IF(B34="","",IF(F34&lt;&gt;"",F34,IFERROR(INDEX(Materials!$V$5:$V$254,MATCH(D34,Materials!$A$5:$A$254,0)),0)))</f>
        <v>0</v>
      </c>
      <c r="AA34" s="36">
        <f>IF(B34="","",ROUND(IF(E34="",0,E34)*(1+IF(G34="",0,G34)),2))</f>
        <v>0</v>
      </c>
      <c r="AB34" s="20">
        <f>IF(B34="","",ROUND(AA34*Z34-IF(E34="",0,E34)*IF(G34="",0,G34)*IF(H34="",0,H34)*Z34,2))</f>
        <v>0</v>
      </c>
      <c r="AC34" s="20">
        <f>IF(B34="","",ROUND(IF(J34="",0,J34)*IF(K34="",0,K34),2))</f>
        <v>0</v>
      </c>
      <c r="AD34" s="20">
        <f>IF(B34="","",ROUND(IF(L34="",0,L34)*IFERROR(INDEX(Materials!$V$5:$V$254,MATCH(M34,Materials!$A$5:$A$254,0)),0),2))</f>
        <v>0</v>
      </c>
      <c r="AE34" s="20">
        <f>IF(B34="","",ROUND(IF(N34="",0,N34)*IFERROR(INDEX(Materials!$V$5:$V$254,MATCH(O34,Materials!$A$5:$A$254,0)),0),2))</f>
        <v>0</v>
      </c>
      <c r="AF34" s="20">
        <f>IF(B34="","",ROUND(AB34+AC34+AD34+AE34+IF(P34="",0,P34),2))</f>
        <v>0</v>
      </c>
      <c r="AG34" s="36">
        <f>IF(B34="","",IF(T34="",0,T34)+IF(U34="",0,U34)+IF(V34="",0,V34))</f>
        <v>0</v>
      </c>
      <c r="AH34" s="20">
        <f>IF(B34="","",IF(W34&lt;&gt;"",W34,LaborCostHour))</f>
        <v>0</v>
      </c>
      <c r="AI34" s="20">
        <f>IF(B34="","",ROUND(AG34/60*AH34,2))</f>
        <v>0</v>
      </c>
      <c r="AJ34" s="20">
        <f>IF(B34="","",ROUND(IF(Q34="",0,Q34)+IF(R34="",0,R34)+IF(S34="",0,S34)+AG34/60*SuppliesPerHour,2))</f>
        <v>0</v>
      </c>
      <c r="AK34" s="33">
        <f>IF(B34="","",IF(OR(AF34="",AF34=0),"",AB34/AF34))</f>
        <v>0</v>
      </c>
      <c r="AL34" s="20">
        <f>IF(B34="","",ROUND(AF34+AI34+AJ34,2))</f>
        <v>0</v>
      </c>
      <c r="AM34" s="33">
        <f>IF(B34="","",IFERROR(INDEX(Channels!$S$5:$S$18,MATCH(DefaultChannel,Channels!$A$5:$A$18,0)),0))</f>
        <v>0</v>
      </c>
      <c r="AN34" s="20">
        <f>IF(B34="","",IFERROR(INDEX(Channels!$T$5:$T$18,MATCH(DefaultChannel,Channels!$A$5:$A$18,0)),0))</f>
        <v>0</v>
      </c>
      <c r="AO34" s="41">
        <f>IF(B34="","",1-TargetRetailMargin-AM34)</f>
        <v>0</v>
      </c>
      <c r="AP34" s="20">
        <f>IF(B34="","",IF(AO34&lt;=0,"",(AL34+AN34)/AO34))</f>
        <v>0</v>
      </c>
      <c r="AQ34" s="20">
        <f>IF(B34="","",IF(AP34="","Check the settings",ROUND(IF(RoundingRule="None",AP34,IF(RoundingRule="Nearest 0.99",MAX(0.99,CEILING(AP34,1)-0.01),IF(RoundingRule="Nearest 0.95",MAX(0.95,CEILING(AP34,1)-0.05),IF(RoundingRule="Nearest 0.50",CEILING(AP34,0.5),IF(RoundingRule="Nearest 1",CEILING(AP34,1),IF(RoundingRule="Nearest 5",CEILING(AP34,5),IF(RoundingRule="Up to whole 1",CEILING(AP34,1),IF(RoundingRule="Up to whole 5",CEILING(AP34,5),ROUND(AP34,2))))))))),2)))</f>
        <v>0</v>
      </c>
      <c r="AR34" s="20">
        <f>IF(B34="","",IF(X34&lt;&gt;"",X34,IF(ISNUMBER(AQ34),AQ34,"")))</f>
        <v>0</v>
      </c>
      <c r="AS34" s="20">
        <f>IF(B34="","",IF(AR34="","",ROUND(AR34-AL34-(AR34*AM34+AN34),2)))</f>
        <v>0</v>
      </c>
      <c r="AT34" s="33">
        <f>IF(B34="","",IF(OR(AR34="",AR34=0),"",AS34/AR34))</f>
        <v>0</v>
      </c>
      <c r="AU34" s="41">
        <f>IF(B34="","",ROUND(AG34/60,3))</f>
        <v>0</v>
      </c>
      <c r="AV34" s="20">
        <f>IF(B34="","",IF(OR(AU34=0,AU34="",AS34=""),"",ROUND((AS34+AI34)/AU34,2)))</f>
        <v>0</v>
      </c>
      <c r="AW34" s="43">
        <f>IF(B34="","",IF(AND(A34&lt;&gt;"",ISERROR(MATCH(A34,Products!$A$5:$A$304,0))),"Check - no such product ID",IF(AF34=0,"Add - no material cost yet",IF(AG34=0,"Add - how long does it take?",IF(AND(A34&lt;&gt;"",COUNTIFS('Material Usage'!$A$5:$A$904,A34)&gt;0),"Check - this product also has a bill of materials",IF(AND(A34&lt;&gt;"",COUNTIFS(Labor!$A$5:$A$304,A34)&gt;0),"Check - this product also has labour lines",IF(AV34&lt;MinimumWage,"Below - pays under minimum wage","OK")))))) )</f>
        <v>0</v>
      </c>
    </row>
    <row r="35" spans="26:49">
      <c r="Z35" s="45">
        <f>IF(B35="","",IF(F35&lt;&gt;"",F35,IFERROR(INDEX(Materials!$V$5:$V$254,MATCH(D35,Materials!$A$5:$A$254,0)),0)))</f>
        <v>0</v>
      </c>
      <c r="AA35" s="36">
        <f>IF(B35="","",ROUND(IF(E35="",0,E35)*(1+IF(G35="",0,G35)),2))</f>
        <v>0</v>
      </c>
      <c r="AB35" s="20">
        <f>IF(B35="","",ROUND(AA35*Z35-IF(E35="",0,E35)*IF(G35="",0,G35)*IF(H35="",0,H35)*Z35,2))</f>
        <v>0</v>
      </c>
      <c r="AC35" s="20">
        <f>IF(B35="","",ROUND(IF(J35="",0,J35)*IF(K35="",0,K35),2))</f>
        <v>0</v>
      </c>
      <c r="AD35" s="20">
        <f>IF(B35="","",ROUND(IF(L35="",0,L35)*IFERROR(INDEX(Materials!$V$5:$V$254,MATCH(M35,Materials!$A$5:$A$254,0)),0),2))</f>
        <v>0</v>
      </c>
      <c r="AE35" s="20">
        <f>IF(B35="","",ROUND(IF(N35="",0,N35)*IFERROR(INDEX(Materials!$V$5:$V$254,MATCH(O35,Materials!$A$5:$A$254,0)),0),2))</f>
        <v>0</v>
      </c>
      <c r="AF35" s="20">
        <f>IF(B35="","",ROUND(AB35+AC35+AD35+AE35+IF(P35="",0,P35),2))</f>
        <v>0</v>
      </c>
      <c r="AG35" s="36">
        <f>IF(B35="","",IF(T35="",0,T35)+IF(U35="",0,U35)+IF(V35="",0,V35))</f>
        <v>0</v>
      </c>
      <c r="AH35" s="20">
        <f>IF(B35="","",IF(W35&lt;&gt;"",W35,LaborCostHour))</f>
        <v>0</v>
      </c>
      <c r="AI35" s="20">
        <f>IF(B35="","",ROUND(AG35/60*AH35,2))</f>
        <v>0</v>
      </c>
      <c r="AJ35" s="20">
        <f>IF(B35="","",ROUND(IF(Q35="",0,Q35)+IF(R35="",0,R35)+IF(S35="",0,S35)+AG35/60*SuppliesPerHour,2))</f>
        <v>0</v>
      </c>
      <c r="AK35" s="33">
        <f>IF(B35="","",IF(OR(AF35="",AF35=0),"",AB35/AF35))</f>
        <v>0</v>
      </c>
      <c r="AL35" s="20">
        <f>IF(B35="","",ROUND(AF35+AI35+AJ35,2))</f>
        <v>0</v>
      </c>
      <c r="AM35" s="33">
        <f>IF(B35="","",IFERROR(INDEX(Channels!$S$5:$S$18,MATCH(DefaultChannel,Channels!$A$5:$A$18,0)),0))</f>
        <v>0</v>
      </c>
      <c r="AN35" s="20">
        <f>IF(B35="","",IFERROR(INDEX(Channels!$T$5:$T$18,MATCH(DefaultChannel,Channels!$A$5:$A$18,0)),0))</f>
        <v>0</v>
      </c>
      <c r="AO35" s="41">
        <f>IF(B35="","",1-TargetRetailMargin-AM35)</f>
        <v>0</v>
      </c>
      <c r="AP35" s="20">
        <f>IF(B35="","",IF(AO35&lt;=0,"",(AL35+AN35)/AO35))</f>
        <v>0</v>
      </c>
      <c r="AQ35" s="20">
        <f>IF(B35="","",IF(AP35="","Check the settings",ROUND(IF(RoundingRule="None",AP35,IF(RoundingRule="Nearest 0.99",MAX(0.99,CEILING(AP35,1)-0.01),IF(RoundingRule="Nearest 0.95",MAX(0.95,CEILING(AP35,1)-0.05),IF(RoundingRule="Nearest 0.50",CEILING(AP35,0.5),IF(RoundingRule="Nearest 1",CEILING(AP35,1),IF(RoundingRule="Nearest 5",CEILING(AP35,5),IF(RoundingRule="Up to whole 1",CEILING(AP35,1),IF(RoundingRule="Up to whole 5",CEILING(AP35,5),ROUND(AP35,2))))))))),2)))</f>
        <v>0</v>
      </c>
      <c r="AR35" s="20">
        <f>IF(B35="","",IF(X35&lt;&gt;"",X35,IF(ISNUMBER(AQ35),AQ35,"")))</f>
        <v>0</v>
      </c>
      <c r="AS35" s="20">
        <f>IF(B35="","",IF(AR35="","",ROUND(AR35-AL35-(AR35*AM35+AN35),2)))</f>
        <v>0</v>
      </c>
      <c r="AT35" s="33">
        <f>IF(B35="","",IF(OR(AR35="",AR35=0),"",AS35/AR35))</f>
        <v>0</v>
      </c>
      <c r="AU35" s="41">
        <f>IF(B35="","",ROUND(AG35/60,3))</f>
        <v>0</v>
      </c>
      <c r="AV35" s="20">
        <f>IF(B35="","",IF(OR(AU35=0,AU35="",AS35=""),"",ROUND((AS35+AI35)/AU35,2)))</f>
        <v>0</v>
      </c>
      <c r="AW35" s="43">
        <f>IF(B35="","",IF(AND(A35&lt;&gt;"",ISERROR(MATCH(A35,Products!$A$5:$A$304,0))),"Check - no such product ID",IF(AF35=0,"Add - no material cost yet",IF(AG35=0,"Add - how long does it take?",IF(AND(A35&lt;&gt;"",COUNTIFS('Material Usage'!$A$5:$A$904,A35)&gt;0),"Check - this product also has a bill of materials",IF(AND(A35&lt;&gt;"",COUNTIFS(Labor!$A$5:$A$304,A35)&gt;0),"Check - this product also has labour lines",IF(AV35&lt;MinimumWage,"Below - pays under minimum wage","OK")))))) )</f>
        <v>0</v>
      </c>
    </row>
    <row r="36" spans="26:49">
      <c r="Z36" s="45">
        <f>IF(B36="","",IF(F36&lt;&gt;"",F36,IFERROR(INDEX(Materials!$V$5:$V$254,MATCH(D36,Materials!$A$5:$A$254,0)),0)))</f>
        <v>0</v>
      </c>
      <c r="AA36" s="36">
        <f>IF(B36="","",ROUND(IF(E36="",0,E36)*(1+IF(G36="",0,G36)),2))</f>
        <v>0</v>
      </c>
      <c r="AB36" s="20">
        <f>IF(B36="","",ROUND(AA36*Z36-IF(E36="",0,E36)*IF(G36="",0,G36)*IF(H36="",0,H36)*Z36,2))</f>
        <v>0</v>
      </c>
      <c r="AC36" s="20">
        <f>IF(B36="","",ROUND(IF(J36="",0,J36)*IF(K36="",0,K36),2))</f>
        <v>0</v>
      </c>
      <c r="AD36" s="20">
        <f>IF(B36="","",ROUND(IF(L36="",0,L36)*IFERROR(INDEX(Materials!$V$5:$V$254,MATCH(M36,Materials!$A$5:$A$254,0)),0),2))</f>
        <v>0</v>
      </c>
      <c r="AE36" s="20">
        <f>IF(B36="","",ROUND(IF(N36="",0,N36)*IFERROR(INDEX(Materials!$V$5:$V$254,MATCH(O36,Materials!$A$5:$A$254,0)),0),2))</f>
        <v>0</v>
      </c>
      <c r="AF36" s="20">
        <f>IF(B36="","",ROUND(AB36+AC36+AD36+AE36+IF(P36="",0,P36),2))</f>
        <v>0</v>
      </c>
      <c r="AG36" s="36">
        <f>IF(B36="","",IF(T36="",0,T36)+IF(U36="",0,U36)+IF(V36="",0,V36))</f>
        <v>0</v>
      </c>
      <c r="AH36" s="20">
        <f>IF(B36="","",IF(W36&lt;&gt;"",W36,LaborCostHour))</f>
        <v>0</v>
      </c>
      <c r="AI36" s="20">
        <f>IF(B36="","",ROUND(AG36/60*AH36,2))</f>
        <v>0</v>
      </c>
      <c r="AJ36" s="20">
        <f>IF(B36="","",ROUND(IF(Q36="",0,Q36)+IF(R36="",0,R36)+IF(S36="",0,S36)+AG36/60*SuppliesPerHour,2))</f>
        <v>0</v>
      </c>
      <c r="AK36" s="33">
        <f>IF(B36="","",IF(OR(AF36="",AF36=0),"",AB36/AF36))</f>
        <v>0</v>
      </c>
      <c r="AL36" s="20">
        <f>IF(B36="","",ROUND(AF36+AI36+AJ36,2))</f>
        <v>0</v>
      </c>
      <c r="AM36" s="33">
        <f>IF(B36="","",IFERROR(INDEX(Channels!$S$5:$S$18,MATCH(DefaultChannel,Channels!$A$5:$A$18,0)),0))</f>
        <v>0</v>
      </c>
      <c r="AN36" s="20">
        <f>IF(B36="","",IFERROR(INDEX(Channels!$T$5:$T$18,MATCH(DefaultChannel,Channels!$A$5:$A$18,0)),0))</f>
        <v>0</v>
      </c>
      <c r="AO36" s="41">
        <f>IF(B36="","",1-TargetRetailMargin-AM36)</f>
        <v>0</v>
      </c>
      <c r="AP36" s="20">
        <f>IF(B36="","",IF(AO36&lt;=0,"",(AL36+AN36)/AO36))</f>
        <v>0</v>
      </c>
      <c r="AQ36" s="20">
        <f>IF(B36="","",IF(AP36="","Check the settings",ROUND(IF(RoundingRule="None",AP36,IF(RoundingRule="Nearest 0.99",MAX(0.99,CEILING(AP36,1)-0.01),IF(RoundingRule="Nearest 0.95",MAX(0.95,CEILING(AP36,1)-0.05),IF(RoundingRule="Nearest 0.50",CEILING(AP36,0.5),IF(RoundingRule="Nearest 1",CEILING(AP36,1),IF(RoundingRule="Nearest 5",CEILING(AP36,5),IF(RoundingRule="Up to whole 1",CEILING(AP36,1),IF(RoundingRule="Up to whole 5",CEILING(AP36,5),ROUND(AP36,2))))))))),2)))</f>
        <v>0</v>
      </c>
      <c r="AR36" s="20">
        <f>IF(B36="","",IF(X36&lt;&gt;"",X36,IF(ISNUMBER(AQ36),AQ36,"")))</f>
        <v>0</v>
      </c>
      <c r="AS36" s="20">
        <f>IF(B36="","",IF(AR36="","",ROUND(AR36-AL36-(AR36*AM36+AN36),2)))</f>
        <v>0</v>
      </c>
      <c r="AT36" s="33">
        <f>IF(B36="","",IF(OR(AR36="",AR36=0),"",AS36/AR36))</f>
        <v>0</v>
      </c>
      <c r="AU36" s="41">
        <f>IF(B36="","",ROUND(AG36/60,3))</f>
        <v>0</v>
      </c>
      <c r="AV36" s="20">
        <f>IF(B36="","",IF(OR(AU36=0,AU36="",AS36=""),"",ROUND((AS36+AI36)/AU36,2)))</f>
        <v>0</v>
      </c>
      <c r="AW36" s="43">
        <f>IF(B36="","",IF(AND(A36&lt;&gt;"",ISERROR(MATCH(A36,Products!$A$5:$A$304,0))),"Check - no such product ID",IF(AF36=0,"Add - no material cost yet",IF(AG36=0,"Add - how long does it take?",IF(AND(A36&lt;&gt;"",COUNTIFS('Material Usage'!$A$5:$A$904,A36)&gt;0),"Check - this product also has a bill of materials",IF(AND(A36&lt;&gt;"",COUNTIFS(Labor!$A$5:$A$304,A36)&gt;0),"Check - this product also has labour lines",IF(AV36&lt;MinimumWage,"Below - pays under minimum wage","OK")))))) )</f>
        <v>0</v>
      </c>
    </row>
    <row r="37" spans="26:49">
      <c r="Z37" s="45">
        <f>IF(B37="","",IF(F37&lt;&gt;"",F37,IFERROR(INDEX(Materials!$V$5:$V$254,MATCH(D37,Materials!$A$5:$A$254,0)),0)))</f>
        <v>0</v>
      </c>
      <c r="AA37" s="36">
        <f>IF(B37="","",ROUND(IF(E37="",0,E37)*(1+IF(G37="",0,G37)),2))</f>
        <v>0</v>
      </c>
      <c r="AB37" s="20">
        <f>IF(B37="","",ROUND(AA37*Z37-IF(E37="",0,E37)*IF(G37="",0,G37)*IF(H37="",0,H37)*Z37,2))</f>
        <v>0</v>
      </c>
      <c r="AC37" s="20">
        <f>IF(B37="","",ROUND(IF(J37="",0,J37)*IF(K37="",0,K37),2))</f>
        <v>0</v>
      </c>
      <c r="AD37" s="20">
        <f>IF(B37="","",ROUND(IF(L37="",0,L37)*IFERROR(INDEX(Materials!$V$5:$V$254,MATCH(M37,Materials!$A$5:$A$254,0)),0),2))</f>
        <v>0</v>
      </c>
      <c r="AE37" s="20">
        <f>IF(B37="","",ROUND(IF(N37="",0,N37)*IFERROR(INDEX(Materials!$V$5:$V$254,MATCH(O37,Materials!$A$5:$A$254,0)),0),2))</f>
        <v>0</v>
      </c>
      <c r="AF37" s="20">
        <f>IF(B37="","",ROUND(AB37+AC37+AD37+AE37+IF(P37="",0,P37),2))</f>
        <v>0</v>
      </c>
      <c r="AG37" s="36">
        <f>IF(B37="","",IF(T37="",0,T37)+IF(U37="",0,U37)+IF(V37="",0,V37))</f>
        <v>0</v>
      </c>
      <c r="AH37" s="20">
        <f>IF(B37="","",IF(W37&lt;&gt;"",W37,LaborCostHour))</f>
        <v>0</v>
      </c>
      <c r="AI37" s="20">
        <f>IF(B37="","",ROUND(AG37/60*AH37,2))</f>
        <v>0</v>
      </c>
      <c r="AJ37" s="20">
        <f>IF(B37="","",ROUND(IF(Q37="",0,Q37)+IF(R37="",0,R37)+IF(S37="",0,S37)+AG37/60*SuppliesPerHour,2))</f>
        <v>0</v>
      </c>
      <c r="AK37" s="33">
        <f>IF(B37="","",IF(OR(AF37="",AF37=0),"",AB37/AF37))</f>
        <v>0</v>
      </c>
      <c r="AL37" s="20">
        <f>IF(B37="","",ROUND(AF37+AI37+AJ37,2))</f>
        <v>0</v>
      </c>
      <c r="AM37" s="33">
        <f>IF(B37="","",IFERROR(INDEX(Channels!$S$5:$S$18,MATCH(DefaultChannel,Channels!$A$5:$A$18,0)),0))</f>
        <v>0</v>
      </c>
      <c r="AN37" s="20">
        <f>IF(B37="","",IFERROR(INDEX(Channels!$T$5:$T$18,MATCH(DefaultChannel,Channels!$A$5:$A$18,0)),0))</f>
        <v>0</v>
      </c>
      <c r="AO37" s="41">
        <f>IF(B37="","",1-TargetRetailMargin-AM37)</f>
        <v>0</v>
      </c>
      <c r="AP37" s="20">
        <f>IF(B37="","",IF(AO37&lt;=0,"",(AL37+AN37)/AO37))</f>
        <v>0</v>
      </c>
      <c r="AQ37" s="20">
        <f>IF(B37="","",IF(AP37="","Check the settings",ROUND(IF(RoundingRule="None",AP37,IF(RoundingRule="Nearest 0.99",MAX(0.99,CEILING(AP37,1)-0.01),IF(RoundingRule="Nearest 0.95",MAX(0.95,CEILING(AP37,1)-0.05),IF(RoundingRule="Nearest 0.50",CEILING(AP37,0.5),IF(RoundingRule="Nearest 1",CEILING(AP37,1),IF(RoundingRule="Nearest 5",CEILING(AP37,5),IF(RoundingRule="Up to whole 1",CEILING(AP37,1),IF(RoundingRule="Up to whole 5",CEILING(AP37,5),ROUND(AP37,2))))))))),2)))</f>
        <v>0</v>
      </c>
      <c r="AR37" s="20">
        <f>IF(B37="","",IF(X37&lt;&gt;"",X37,IF(ISNUMBER(AQ37),AQ37,"")))</f>
        <v>0</v>
      </c>
      <c r="AS37" s="20">
        <f>IF(B37="","",IF(AR37="","",ROUND(AR37-AL37-(AR37*AM37+AN37),2)))</f>
        <v>0</v>
      </c>
      <c r="AT37" s="33">
        <f>IF(B37="","",IF(OR(AR37="",AR37=0),"",AS37/AR37))</f>
        <v>0</v>
      </c>
      <c r="AU37" s="41">
        <f>IF(B37="","",ROUND(AG37/60,3))</f>
        <v>0</v>
      </c>
      <c r="AV37" s="20">
        <f>IF(B37="","",IF(OR(AU37=0,AU37="",AS37=""),"",ROUND((AS37+AI37)/AU37,2)))</f>
        <v>0</v>
      </c>
      <c r="AW37" s="43">
        <f>IF(B37="","",IF(AND(A37&lt;&gt;"",ISERROR(MATCH(A37,Products!$A$5:$A$304,0))),"Check - no such product ID",IF(AF37=0,"Add - no material cost yet",IF(AG37=0,"Add - how long does it take?",IF(AND(A37&lt;&gt;"",COUNTIFS('Material Usage'!$A$5:$A$904,A37)&gt;0),"Check - this product also has a bill of materials",IF(AND(A37&lt;&gt;"",COUNTIFS(Labor!$A$5:$A$304,A37)&gt;0),"Check - this product also has labour lines",IF(AV37&lt;MinimumWage,"Below - pays under minimum wage","OK")))))) )</f>
        <v>0</v>
      </c>
    </row>
    <row r="38" spans="26:49">
      <c r="Z38" s="45">
        <f>IF(B38="","",IF(F38&lt;&gt;"",F38,IFERROR(INDEX(Materials!$V$5:$V$254,MATCH(D38,Materials!$A$5:$A$254,0)),0)))</f>
        <v>0</v>
      </c>
      <c r="AA38" s="36">
        <f>IF(B38="","",ROUND(IF(E38="",0,E38)*(1+IF(G38="",0,G38)),2))</f>
        <v>0</v>
      </c>
      <c r="AB38" s="20">
        <f>IF(B38="","",ROUND(AA38*Z38-IF(E38="",0,E38)*IF(G38="",0,G38)*IF(H38="",0,H38)*Z38,2))</f>
        <v>0</v>
      </c>
      <c r="AC38" s="20">
        <f>IF(B38="","",ROUND(IF(J38="",0,J38)*IF(K38="",0,K38),2))</f>
        <v>0</v>
      </c>
      <c r="AD38" s="20">
        <f>IF(B38="","",ROUND(IF(L38="",0,L38)*IFERROR(INDEX(Materials!$V$5:$V$254,MATCH(M38,Materials!$A$5:$A$254,0)),0),2))</f>
        <v>0</v>
      </c>
      <c r="AE38" s="20">
        <f>IF(B38="","",ROUND(IF(N38="",0,N38)*IFERROR(INDEX(Materials!$V$5:$V$254,MATCH(O38,Materials!$A$5:$A$254,0)),0),2))</f>
        <v>0</v>
      </c>
      <c r="AF38" s="20">
        <f>IF(B38="","",ROUND(AB38+AC38+AD38+AE38+IF(P38="",0,P38),2))</f>
        <v>0</v>
      </c>
      <c r="AG38" s="36">
        <f>IF(B38="","",IF(T38="",0,T38)+IF(U38="",0,U38)+IF(V38="",0,V38))</f>
        <v>0</v>
      </c>
      <c r="AH38" s="20">
        <f>IF(B38="","",IF(W38&lt;&gt;"",W38,LaborCostHour))</f>
        <v>0</v>
      </c>
      <c r="AI38" s="20">
        <f>IF(B38="","",ROUND(AG38/60*AH38,2))</f>
        <v>0</v>
      </c>
      <c r="AJ38" s="20">
        <f>IF(B38="","",ROUND(IF(Q38="",0,Q38)+IF(R38="",0,R38)+IF(S38="",0,S38)+AG38/60*SuppliesPerHour,2))</f>
        <v>0</v>
      </c>
      <c r="AK38" s="33">
        <f>IF(B38="","",IF(OR(AF38="",AF38=0),"",AB38/AF38))</f>
        <v>0</v>
      </c>
      <c r="AL38" s="20">
        <f>IF(B38="","",ROUND(AF38+AI38+AJ38,2))</f>
        <v>0</v>
      </c>
      <c r="AM38" s="33">
        <f>IF(B38="","",IFERROR(INDEX(Channels!$S$5:$S$18,MATCH(DefaultChannel,Channels!$A$5:$A$18,0)),0))</f>
        <v>0</v>
      </c>
      <c r="AN38" s="20">
        <f>IF(B38="","",IFERROR(INDEX(Channels!$T$5:$T$18,MATCH(DefaultChannel,Channels!$A$5:$A$18,0)),0))</f>
        <v>0</v>
      </c>
      <c r="AO38" s="41">
        <f>IF(B38="","",1-TargetRetailMargin-AM38)</f>
        <v>0</v>
      </c>
      <c r="AP38" s="20">
        <f>IF(B38="","",IF(AO38&lt;=0,"",(AL38+AN38)/AO38))</f>
        <v>0</v>
      </c>
      <c r="AQ38" s="20">
        <f>IF(B38="","",IF(AP38="","Check the settings",ROUND(IF(RoundingRule="None",AP38,IF(RoundingRule="Nearest 0.99",MAX(0.99,CEILING(AP38,1)-0.01),IF(RoundingRule="Nearest 0.95",MAX(0.95,CEILING(AP38,1)-0.05),IF(RoundingRule="Nearest 0.50",CEILING(AP38,0.5),IF(RoundingRule="Nearest 1",CEILING(AP38,1),IF(RoundingRule="Nearest 5",CEILING(AP38,5),IF(RoundingRule="Up to whole 1",CEILING(AP38,1),IF(RoundingRule="Up to whole 5",CEILING(AP38,5),ROUND(AP38,2))))))))),2)))</f>
        <v>0</v>
      </c>
      <c r="AR38" s="20">
        <f>IF(B38="","",IF(X38&lt;&gt;"",X38,IF(ISNUMBER(AQ38),AQ38,"")))</f>
        <v>0</v>
      </c>
      <c r="AS38" s="20">
        <f>IF(B38="","",IF(AR38="","",ROUND(AR38-AL38-(AR38*AM38+AN38),2)))</f>
        <v>0</v>
      </c>
      <c r="AT38" s="33">
        <f>IF(B38="","",IF(OR(AR38="",AR38=0),"",AS38/AR38))</f>
        <v>0</v>
      </c>
      <c r="AU38" s="41">
        <f>IF(B38="","",ROUND(AG38/60,3))</f>
        <v>0</v>
      </c>
      <c r="AV38" s="20">
        <f>IF(B38="","",IF(OR(AU38=0,AU38="",AS38=""),"",ROUND((AS38+AI38)/AU38,2)))</f>
        <v>0</v>
      </c>
      <c r="AW38" s="43">
        <f>IF(B38="","",IF(AND(A38&lt;&gt;"",ISERROR(MATCH(A38,Products!$A$5:$A$304,0))),"Check - no such product ID",IF(AF38=0,"Add - no material cost yet",IF(AG38=0,"Add - how long does it take?",IF(AND(A38&lt;&gt;"",COUNTIFS('Material Usage'!$A$5:$A$904,A38)&gt;0),"Check - this product also has a bill of materials",IF(AND(A38&lt;&gt;"",COUNTIFS(Labor!$A$5:$A$304,A38)&gt;0),"Check - this product also has labour lines",IF(AV38&lt;MinimumWage,"Below - pays under minimum wage","OK")))))) )</f>
        <v>0</v>
      </c>
    </row>
    <row r="39" spans="26:49">
      <c r="Z39" s="45">
        <f>IF(B39="","",IF(F39&lt;&gt;"",F39,IFERROR(INDEX(Materials!$V$5:$V$254,MATCH(D39,Materials!$A$5:$A$254,0)),0)))</f>
        <v>0</v>
      </c>
      <c r="AA39" s="36">
        <f>IF(B39="","",ROUND(IF(E39="",0,E39)*(1+IF(G39="",0,G39)),2))</f>
        <v>0</v>
      </c>
      <c r="AB39" s="20">
        <f>IF(B39="","",ROUND(AA39*Z39-IF(E39="",0,E39)*IF(G39="",0,G39)*IF(H39="",0,H39)*Z39,2))</f>
        <v>0</v>
      </c>
      <c r="AC39" s="20">
        <f>IF(B39="","",ROUND(IF(J39="",0,J39)*IF(K39="",0,K39),2))</f>
        <v>0</v>
      </c>
      <c r="AD39" s="20">
        <f>IF(B39="","",ROUND(IF(L39="",0,L39)*IFERROR(INDEX(Materials!$V$5:$V$254,MATCH(M39,Materials!$A$5:$A$254,0)),0),2))</f>
        <v>0</v>
      </c>
      <c r="AE39" s="20">
        <f>IF(B39="","",ROUND(IF(N39="",0,N39)*IFERROR(INDEX(Materials!$V$5:$V$254,MATCH(O39,Materials!$A$5:$A$254,0)),0),2))</f>
        <v>0</v>
      </c>
      <c r="AF39" s="20">
        <f>IF(B39="","",ROUND(AB39+AC39+AD39+AE39+IF(P39="",0,P39),2))</f>
        <v>0</v>
      </c>
      <c r="AG39" s="36">
        <f>IF(B39="","",IF(T39="",0,T39)+IF(U39="",0,U39)+IF(V39="",0,V39))</f>
        <v>0</v>
      </c>
      <c r="AH39" s="20">
        <f>IF(B39="","",IF(W39&lt;&gt;"",W39,LaborCostHour))</f>
        <v>0</v>
      </c>
      <c r="AI39" s="20">
        <f>IF(B39="","",ROUND(AG39/60*AH39,2))</f>
        <v>0</v>
      </c>
      <c r="AJ39" s="20">
        <f>IF(B39="","",ROUND(IF(Q39="",0,Q39)+IF(R39="",0,R39)+IF(S39="",0,S39)+AG39/60*SuppliesPerHour,2))</f>
        <v>0</v>
      </c>
      <c r="AK39" s="33">
        <f>IF(B39="","",IF(OR(AF39="",AF39=0),"",AB39/AF39))</f>
        <v>0</v>
      </c>
      <c r="AL39" s="20">
        <f>IF(B39="","",ROUND(AF39+AI39+AJ39,2))</f>
        <v>0</v>
      </c>
      <c r="AM39" s="33">
        <f>IF(B39="","",IFERROR(INDEX(Channels!$S$5:$S$18,MATCH(DefaultChannel,Channels!$A$5:$A$18,0)),0))</f>
        <v>0</v>
      </c>
      <c r="AN39" s="20">
        <f>IF(B39="","",IFERROR(INDEX(Channels!$T$5:$T$18,MATCH(DefaultChannel,Channels!$A$5:$A$18,0)),0))</f>
        <v>0</v>
      </c>
      <c r="AO39" s="41">
        <f>IF(B39="","",1-TargetRetailMargin-AM39)</f>
        <v>0</v>
      </c>
      <c r="AP39" s="20">
        <f>IF(B39="","",IF(AO39&lt;=0,"",(AL39+AN39)/AO39))</f>
        <v>0</v>
      </c>
      <c r="AQ39" s="20">
        <f>IF(B39="","",IF(AP39="","Check the settings",ROUND(IF(RoundingRule="None",AP39,IF(RoundingRule="Nearest 0.99",MAX(0.99,CEILING(AP39,1)-0.01),IF(RoundingRule="Nearest 0.95",MAX(0.95,CEILING(AP39,1)-0.05),IF(RoundingRule="Nearest 0.50",CEILING(AP39,0.5),IF(RoundingRule="Nearest 1",CEILING(AP39,1),IF(RoundingRule="Nearest 5",CEILING(AP39,5),IF(RoundingRule="Up to whole 1",CEILING(AP39,1),IF(RoundingRule="Up to whole 5",CEILING(AP39,5),ROUND(AP39,2))))))))),2)))</f>
        <v>0</v>
      </c>
      <c r="AR39" s="20">
        <f>IF(B39="","",IF(X39&lt;&gt;"",X39,IF(ISNUMBER(AQ39),AQ39,"")))</f>
        <v>0</v>
      </c>
      <c r="AS39" s="20">
        <f>IF(B39="","",IF(AR39="","",ROUND(AR39-AL39-(AR39*AM39+AN39),2)))</f>
        <v>0</v>
      </c>
      <c r="AT39" s="33">
        <f>IF(B39="","",IF(OR(AR39="",AR39=0),"",AS39/AR39))</f>
        <v>0</v>
      </c>
      <c r="AU39" s="41">
        <f>IF(B39="","",ROUND(AG39/60,3))</f>
        <v>0</v>
      </c>
      <c r="AV39" s="20">
        <f>IF(B39="","",IF(OR(AU39=0,AU39="",AS39=""),"",ROUND((AS39+AI39)/AU39,2)))</f>
        <v>0</v>
      </c>
      <c r="AW39" s="43">
        <f>IF(B39="","",IF(AND(A39&lt;&gt;"",ISERROR(MATCH(A39,Products!$A$5:$A$304,0))),"Check - no such product ID",IF(AF39=0,"Add - no material cost yet",IF(AG39=0,"Add - how long does it take?",IF(AND(A39&lt;&gt;"",COUNTIFS('Material Usage'!$A$5:$A$904,A39)&gt;0),"Check - this product also has a bill of materials",IF(AND(A39&lt;&gt;"",COUNTIFS(Labor!$A$5:$A$304,A39)&gt;0),"Check - this product also has labour lines",IF(AV39&lt;MinimumWage,"Below - pays under minimum wage","OK")))))) )</f>
        <v>0</v>
      </c>
    </row>
    <row r="40" spans="26:49">
      <c r="Z40" s="45">
        <f>IF(B40="","",IF(F40&lt;&gt;"",F40,IFERROR(INDEX(Materials!$V$5:$V$254,MATCH(D40,Materials!$A$5:$A$254,0)),0)))</f>
        <v>0</v>
      </c>
      <c r="AA40" s="36">
        <f>IF(B40="","",ROUND(IF(E40="",0,E40)*(1+IF(G40="",0,G40)),2))</f>
        <v>0</v>
      </c>
      <c r="AB40" s="20">
        <f>IF(B40="","",ROUND(AA40*Z40-IF(E40="",0,E40)*IF(G40="",0,G40)*IF(H40="",0,H40)*Z40,2))</f>
        <v>0</v>
      </c>
      <c r="AC40" s="20">
        <f>IF(B40="","",ROUND(IF(J40="",0,J40)*IF(K40="",0,K40),2))</f>
        <v>0</v>
      </c>
      <c r="AD40" s="20">
        <f>IF(B40="","",ROUND(IF(L40="",0,L40)*IFERROR(INDEX(Materials!$V$5:$V$254,MATCH(M40,Materials!$A$5:$A$254,0)),0),2))</f>
        <v>0</v>
      </c>
      <c r="AE40" s="20">
        <f>IF(B40="","",ROUND(IF(N40="",0,N40)*IFERROR(INDEX(Materials!$V$5:$V$254,MATCH(O40,Materials!$A$5:$A$254,0)),0),2))</f>
        <v>0</v>
      </c>
      <c r="AF40" s="20">
        <f>IF(B40="","",ROUND(AB40+AC40+AD40+AE40+IF(P40="",0,P40),2))</f>
        <v>0</v>
      </c>
      <c r="AG40" s="36">
        <f>IF(B40="","",IF(T40="",0,T40)+IF(U40="",0,U40)+IF(V40="",0,V40))</f>
        <v>0</v>
      </c>
      <c r="AH40" s="20">
        <f>IF(B40="","",IF(W40&lt;&gt;"",W40,LaborCostHour))</f>
        <v>0</v>
      </c>
      <c r="AI40" s="20">
        <f>IF(B40="","",ROUND(AG40/60*AH40,2))</f>
        <v>0</v>
      </c>
      <c r="AJ40" s="20">
        <f>IF(B40="","",ROUND(IF(Q40="",0,Q40)+IF(R40="",0,R40)+IF(S40="",0,S40)+AG40/60*SuppliesPerHour,2))</f>
        <v>0</v>
      </c>
      <c r="AK40" s="33">
        <f>IF(B40="","",IF(OR(AF40="",AF40=0),"",AB40/AF40))</f>
        <v>0</v>
      </c>
      <c r="AL40" s="20">
        <f>IF(B40="","",ROUND(AF40+AI40+AJ40,2))</f>
        <v>0</v>
      </c>
      <c r="AM40" s="33">
        <f>IF(B40="","",IFERROR(INDEX(Channels!$S$5:$S$18,MATCH(DefaultChannel,Channels!$A$5:$A$18,0)),0))</f>
        <v>0</v>
      </c>
      <c r="AN40" s="20">
        <f>IF(B40="","",IFERROR(INDEX(Channels!$T$5:$T$18,MATCH(DefaultChannel,Channels!$A$5:$A$18,0)),0))</f>
        <v>0</v>
      </c>
      <c r="AO40" s="41">
        <f>IF(B40="","",1-TargetRetailMargin-AM40)</f>
        <v>0</v>
      </c>
      <c r="AP40" s="20">
        <f>IF(B40="","",IF(AO40&lt;=0,"",(AL40+AN40)/AO40))</f>
        <v>0</v>
      </c>
      <c r="AQ40" s="20">
        <f>IF(B40="","",IF(AP40="","Check the settings",ROUND(IF(RoundingRule="None",AP40,IF(RoundingRule="Nearest 0.99",MAX(0.99,CEILING(AP40,1)-0.01),IF(RoundingRule="Nearest 0.95",MAX(0.95,CEILING(AP40,1)-0.05),IF(RoundingRule="Nearest 0.50",CEILING(AP40,0.5),IF(RoundingRule="Nearest 1",CEILING(AP40,1),IF(RoundingRule="Nearest 5",CEILING(AP40,5),IF(RoundingRule="Up to whole 1",CEILING(AP40,1),IF(RoundingRule="Up to whole 5",CEILING(AP40,5),ROUND(AP40,2))))))))),2)))</f>
        <v>0</v>
      </c>
      <c r="AR40" s="20">
        <f>IF(B40="","",IF(X40&lt;&gt;"",X40,IF(ISNUMBER(AQ40),AQ40,"")))</f>
        <v>0</v>
      </c>
      <c r="AS40" s="20">
        <f>IF(B40="","",IF(AR40="","",ROUND(AR40-AL40-(AR40*AM40+AN40),2)))</f>
        <v>0</v>
      </c>
      <c r="AT40" s="33">
        <f>IF(B40="","",IF(OR(AR40="",AR40=0),"",AS40/AR40))</f>
        <v>0</v>
      </c>
      <c r="AU40" s="41">
        <f>IF(B40="","",ROUND(AG40/60,3))</f>
        <v>0</v>
      </c>
      <c r="AV40" s="20">
        <f>IF(B40="","",IF(OR(AU40=0,AU40="",AS40=""),"",ROUND((AS40+AI40)/AU40,2)))</f>
        <v>0</v>
      </c>
      <c r="AW40" s="43">
        <f>IF(B40="","",IF(AND(A40&lt;&gt;"",ISERROR(MATCH(A40,Products!$A$5:$A$304,0))),"Check - no such product ID",IF(AF40=0,"Add - no material cost yet",IF(AG40=0,"Add - how long does it take?",IF(AND(A40&lt;&gt;"",COUNTIFS('Material Usage'!$A$5:$A$904,A40)&gt;0),"Check - this product also has a bill of materials",IF(AND(A40&lt;&gt;"",COUNTIFS(Labor!$A$5:$A$304,A40)&gt;0),"Check - this product also has labour lines",IF(AV40&lt;MinimumWage,"Below - pays under minimum wage","OK")))))) )</f>
        <v>0</v>
      </c>
    </row>
    <row r="41" spans="26:49">
      <c r="Z41" s="45">
        <f>IF(B41="","",IF(F41&lt;&gt;"",F41,IFERROR(INDEX(Materials!$V$5:$V$254,MATCH(D41,Materials!$A$5:$A$254,0)),0)))</f>
        <v>0</v>
      </c>
      <c r="AA41" s="36">
        <f>IF(B41="","",ROUND(IF(E41="",0,E41)*(1+IF(G41="",0,G41)),2))</f>
        <v>0</v>
      </c>
      <c r="AB41" s="20">
        <f>IF(B41="","",ROUND(AA41*Z41-IF(E41="",0,E41)*IF(G41="",0,G41)*IF(H41="",0,H41)*Z41,2))</f>
        <v>0</v>
      </c>
      <c r="AC41" s="20">
        <f>IF(B41="","",ROUND(IF(J41="",0,J41)*IF(K41="",0,K41),2))</f>
        <v>0</v>
      </c>
      <c r="AD41" s="20">
        <f>IF(B41="","",ROUND(IF(L41="",0,L41)*IFERROR(INDEX(Materials!$V$5:$V$254,MATCH(M41,Materials!$A$5:$A$254,0)),0),2))</f>
        <v>0</v>
      </c>
      <c r="AE41" s="20">
        <f>IF(B41="","",ROUND(IF(N41="",0,N41)*IFERROR(INDEX(Materials!$V$5:$V$254,MATCH(O41,Materials!$A$5:$A$254,0)),0),2))</f>
        <v>0</v>
      </c>
      <c r="AF41" s="20">
        <f>IF(B41="","",ROUND(AB41+AC41+AD41+AE41+IF(P41="",0,P41),2))</f>
        <v>0</v>
      </c>
      <c r="AG41" s="36">
        <f>IF(B41="","",IF(T41="",0,T41)+IF(U41="",0,U41)+IF(V41="",0,V41))</f>
        <v>0</v>
      </c>
      <c r="AH41" s="20">
        <f>IF(B41="","",IF(W41&lt;&gt;"",W41,LaborCostHour))</f>
        <v>0</v>
      </c>
      <c r="AI41" s="20">
        <f>IF(B41="","",ROUND(AG41/60*AH41,2))</f>
        <v>0</v>
      </c>
      <c r="AJ41" s="20">
        <f>IF(B41="","",ROUND(IF(Q41="",0,Q41)+IF(R41="",0,R41)+IF(S41="",0,S41)+AG41/60*SuppliesPerHour,2))</f>
        <v>0</v>
      </c>
      <c r="AK41" s="33">
        <f>IF(B41="","",IF(OR(AF41="",AF41=0),"",AB41/AF41))</f>
        <v>0</v>
      </c>
      <c r="AL41" s="20">
        <f>IF(B41="","",ROUND(AF41+AI41+AJ41,2))</f>
        <v>0</v>
      </c>
      <c r="AM41" s="33">
        <f>IF(B41="","",IFERROR(INDEX(Channels!$S$5:$S$18,MATCH(DefaultChannel,Channels!$A$5:$A$18,0)),0))</f>
        <v>0</v>
      </c>
      <c r="AN41" s="20">
        <f>IF(B41="","",IFERROR(INDEX(Channels!$T$5:$T$18,MATCH(DefaultChannel,Channels!$A$5:$A$18,0)),0))</f>
        <v>0</v>
      </c>
      <c r="AO41" s="41">
        <f>IF(B41="","",1-TargetRetailMargin-AM41)</f>
        <v>0</v>
      </c>
      <c r="AP41" s="20">
        <f>IF(B41="","",IF(AO41&lt;=0,"",(AL41+AN41)/AO41))</f>
        <v>0</v>
      </c>
      <c r="AQ41" s="20">
        <f>IF(B41="","",IF(AP41="","Check the settings",ROUND(IF(RoundingRule="None",AP41,IF(RoundingRule="Nearest 0.99",MAX(0.99,CEILING(AP41,1)-0.01),IF(RoundingRule="Nearest 0.95",MAX(0.95,CEILING(AP41,1)-0.05),IF(RoundingRule="Nearest 0.50",CEILING(AP41,0.5),IF(RoundingRule="Nearest 1",CEILING(AP41,1),IF(RoundingRule="Nearest 5",CEILING(AP41,5),IF(RoundingRule="Up to whole 1",CEILING(AP41,1),IF(RoundingRule="Up to whole 5",CEILING(AP41,5),ROUND(AP41,2))))))))),2)))</f>
        <v>0</v>
      </c>
      <c r="AR41" s="20">
        <f>IF(B41="","",IF(X41&lt;&gt;"",X41,IF(ISNUMBER(AQ41),AQ41,"")))</f>
        <v>0</v>
      </c>
      <c r="AS41" s="20">
        <f>IF(B41="","",IF(AR41="","",ROUND(AR41-AL41-(AR41*AM41+AN41),2)))</f>
        <v>0</v>
      </c>
      <c r="AT41" s="33">
        <f>IF(B41="","",IF(OR(AR41="",AR41=0),"",AS41/AR41))</f>
        <v>0</v>
      </c>
      <c r="AU41" s="41">
        <f>IF(B41="","",ROUND(AG41/60,3))</f>
        <v>0</v>
      </c>
      <c r="AV41" s="20">
        <f>IF(B41="","",IF(OR(AU41=0,AU41="",AS41=""),"",ROUND((AS41+AI41)/AU41,2)))</f>
        <v>0</v>
      </c>
      <c r="AW41" s="43">
        <f>IF(B41="","",IF(AND(A41&lt;&gt;"",ISERROR(MATCH(A41,Products!$A$5:$A$304,0))),"Check - no such product ID",IF(AF41=0,"Add - no material cost yet",IF(AG41=0,"Add - how long does it take?",IF(AND(A41&lt;&gt;"",COUNTIFS('Material Usage'!$A$5:$A$904,A41)&gt;0),"Check - this product also has a bill of materials",IF(AND(A41&lt;&gt;"",COUNTIFS(Labor!$A$5:$A$304,A41)&gt;0),"Check - this product also has labour lines",IF(AV41&lt;MinimumWage,"Below - pays under minimum wage","OK")))))) )</f>
        <v>0</v>
      </c>
    </row>
    <row r="42" spans="26:49">
      <c r="Z42" s="45">
        <f>IF(B42="","",IF(F42&lt;&gt;"",F42,IFERROR(INDEX(Materials!$V$5:$V$254,MATCH(D42,Materials!$A$5:$A$254,0)),0)))</f>
        <v>0</v>
      </c>
      <c r="AA42" s="36">
        <f>IF(B42="","",ROUND(IF(E42="",0,E42)*(1+IF(G42="",0,G42)),2))</f>
        <v>0</v>
      </c>
      <c r="AB42" s="20">
        <f>IF(B42="","",ROUND(AA42*Z42-IF(E42="",0,E42)*IF(G42="",0,G42)*IF(H42="",0,H42)*Z42,2))</f>
        <v>0</v>
      </c>
      <c r="AC42" s="20">
        <f>IF(B42="","",ROUND(IF(J42="",0,J42)*IF(K42="",0,K42),2))</f>
        <v>0</v>
      </c>
      <c r="AD42" s="20">
        <f>IF(B42="","",ROUND(IF(L42="",0,L42)*IFERROR(INDEX(Materials!$V$5:$V$254,MATCH(M42,Materials!$A$5:$A$254,0)),0),2))</f>
        <v>0</v>
      </c>
      <c r="AE42" s="20">
        <f>IF(B42="","",ROUND(IF(N42="",0,N42)*IFERROR(INDEX(Materials!$V$5:$V$254,MATCH(O42,Materials!$A$5:$A$254,0)),0),2))</f>
        <v>0</v>
      </c>
      <c r="AF42" s="20">
        <f>IF(B42="","",ROUND(AB42+AC42+AD42+AE42+IF(P42="",0,P42),2))</f>
        <v>0</v>
      </c>
      <c r="AG42" s="36">
        <f>IF(B42="","",IF(T42="",0,T42)+IF(U42="",0,U42)+IF(V42="",0,V42))</f>
        <v>0</v>
      </c>
      <c r="AH42" s="20">
        <f>IF(B42="","",IF(W42&lt;&gt;"",W42,LaborCostHour))</f>
        <v>0</v>
      </c>
      <c r="AI42" s="20">
        <f>IF(B42="","",ROUND(AG42/60*AH42,2))</f>
        <v>0</v>
      </c>
      <c r="AJ42" s="20">
        <f>IF(B42="","",ROUND(IF(Q42="",0,Q42)+IF(R42="",0,R42)+IF(S42="",0,S42)+AG42/60*SuppliesPerHour,2))</f>
        <v>0</v>
      </c>
      <c r="AK42" s="33">
        <f>IF(B42="","",IF(OR(AF42="",AF42=0),"",AB42/AF42))</f>
        <v>0</v>
      </c>
      <c r="AL42" s="20">
        <f>IF(B42="","",ROUND(AF42+AI42+AJ42,2))</f>
        <v>0</v>
      </c>
      <c r="AM42" s="33">
        <f>IF(B42="","",IFERROR(INDEX(Channels!$S$5:$S$18,MATCH(DefaultChannel,Channels!$A$5:$A$18,0)),0))</f>
        <v>0</v>
      </c>
      <c r="AN42" s="20">
        <f>IF(B42="","",IFERROR(INDEX(Channels!$T$5:$T$18,MATCH(DefaultChannel,Channels!$A$5:$A$18,0)),0))</f>
        <v>0</v>
      </c>
      <c r="AO42" s="41">
        <f>IF(B42="","",1-TargetRetailMargin-AM42)</f>
        <v>0</v>
      </c>
      <c r="AP42" s="20">
        <f>IF(B42="","",IF(AO42&lt;=0,"",(AL42+AN42)/AO42))</f>
        <v>0</v>
      </c>
      <c r="AQ42" s="20">
        <f>IF(B42="","",IF(AP42="","Check the settings",ROUND(IF(RoundingRule="None",AP42,IF(RoundingRule="Nearest 0.99",MAX(0.99,CEILING(AP42,1)-0.01),IF(RoundingRule="Nearest 0.95",MAX(0.95,CEILING(AP42,1)-0.05),IF(RoundingRule="Nearest 0.50",CEILING(AP42,0.5),IF(RoundingRule="Nearest 1",CEILING(AP42,1),IF(RoundingRule="Nearest 5",CEILING(AP42,5),IF(RoundingRule="Up to whole 1",CEILING(AP42,1),IF(RoundingRule="Up to whole 5",CEILING(AP42,5),ROUND(AP42,2))))))))),2)))</f>
        <v>0</v>
      </c>
      <c r="AR42" s="20">
        <f>IF(B42="","",IF(X42&lt;&gt;"",X42,IF(ISNUMBER(AQ42),AQ42,"")))</f>
        <v>0</v>
      </c>
      <c r="AS42" s="20">
        <f>IF(B42="","",IF(AR42="","",ROUND(AR42-AL42-(AR42*AM42+AN42),2)))</f>
        <v>0</v>
      </c>
      <c r="AT42" s="33">
        <f>IF(B42="","",IF(OR(AR42="",AR42=0),"",AS42/AR42))</f>
        <v>0</v>
      </c>
      <c r="AU42" s="41">
        <f>IF(B42="","",ROUND(AG42/60,3))</f>
        <v>0</v>
      </c>
      <c r="AV42" s="20">
        <f>IF(B42="","",IF(OR(AU42=0,AU42="",AS42=""),"",ROUND((AS42+AI42)/AU42,2)))</f>
        <v>0</v>
      </c>
      <c r="AW42" s="43">
        <f>IF(B42="","",IF(AND(A42&lt;&gt;"",ISERROR(MATCH(A42,Products!$A$5:$A$304,0))),"Check - no such product ID",IF(AF42=0,"Add - no material cost yet",IF(AG42=0,"Add - how long does it take?",IF(AND(A42&lt;&gt;"",COUNTIFS('Material Usage'!$A$5:$A$904,A42)&gt;0),"Check - this product also has a bill of materials",IF(AND(A42&lt;&gt;"",COUNTIFS(Labor!$A$5:$A$304,A42)&gt;0),"Check - this product also has labour lines",IF(AV42&lt;MinimumWage,"Below - pays under minimum wage","OK")))))) )</f>
        <v>0</v>
      </c>
    </row>
    <row r="43" spans="26:49">
      <c r="Z43" s="45">
        <f>IF(B43="","",IF(F43&lt;&gt;"",F43,IFERROR(INDEX(Materials!$V$5:$V$254,MATCH(D43,Materials!$A$5:$A$254,0)),0)))</f>
        <v>0</v>
      </c>
      <c r="AA43" s="36">
        <f>IF(B43="","",ROUND(IF(E43="",0,E43)*(1+IF(G43="",0,G43)),2))</f>
        <v>0</v>
      </c>
      <c r="AB43" s="20">
        <f>IF(B43="","",ROUND(AA43*Z43-IF(E43="",0,E43)*IF(G43="",0,G43)*IF(H43="",0,H43)*Z43,2))</f>
        <v>0</v>
      </c>
      <c r="AC43" s="20">
        <f>IF(B43="","",ROUND(IF(J43="",0,J43)*IF(K43="",0,K43),2))</f>
        <v>0</v>
      </c>
      <c r="AD43" s="20">
        <f>IF(B43="","",ROUND(IF(L43="",0,L43)*IFERROR(INDEX(Materials!$V$5:$V$254,MATCH(M43,Materials!$A$5:$A$254,0)),0),2))</f>
        <v>0</v>
      </c>
      <c r="AE43" s="20">
        <f>IF(B43="","",ROUND(IF(N43="",0,N43)*IFERROR(INDEX(Materials!$V$5:$V$254,MATCH(O43,Materials!$A$5:$A$254,0)),0),2))</f>
        <v>0</v>
      </c>
      <c r="AF43" s="20">
        <f>IF(B43="","",ROUND(AB43+AC43+AD43+AE43+IF(P43="",0,P43),2))</f>
        <v>0</v>
      </c>
      <c r="AG43" s="36">
        <f>IF(B43="","",IF(T43="",0,T43)+IF(U43="",0,U43)+IF(V43="",0,V43))</f>
        <v>0</v>
      </c>
      <c r="AH43" s="20">
        <f>IF(B43="","",IF(W43&lt;&gt;"",W43,LaborCostHour))</f>
        <v>0</v>
      </c>
      <c r="AI43" s="20">
        <f>IF(B43="","",ROUND(AG43/60*AH43,2))</f>
        <v>0</v>
      </c>
      <c r="AJ43" s="20">
        <f>IF(B43="","",ROUND(IF(Q43="",0,Q43)+IF(R43="",0,R43)+IF(S43="",0,S43)+AG43/60*SuppliesPerHour,2))</f>
        <v>0</v>
      </c>
      <c r="AK43" s="33">
        <f>IF(B43="","",IF(OR(AF43="",AF43=0),"",AB43/AF43))</f>
        <v>0</v>
      </c>
      <c r="AL43" s="20">
        <f>IF(B43="","",ROUND(AF43+AI43+AJ43,2))</f>
        <v>0</v>
      </c>
      <c r="AM43" s="33">
        <f>IF(B43="","",IFERROR(INDEX(Channels!$S$5:$S$18,MATCH(DefaultChannel,Channels!$A$5:$A$18,0)),0))</f>
        <v>0</v>
      </c>
      <c r="AN43" s="20">
        <f>IF(B43="","",IFERROR(INDEX(Channels!$T$5:$T$18,MATCH(DefaultChannel,Channels!$A$5:$A$18,0)),0))</f>
        <v>0</v>
      </c>
      <c r="AO43" s="41">
        <f>IF(B43="","",1-TargetRetailMargin-AM43)</f>
        <v>0</v>
      </c>
      <c r="AP43" s="20">
        <f>IF(B43="","",IF(AO43&lt;=0,"",(AL43+AN43)/AO43))</f>
        <v>0</v>
      </c>
      <c r="AQ43" s="20">
        <f>IF(B43="","",IF(AP43="","Check the settings",ROUND(IF(RoundingRule="None",AP43,IF(RoundingRule="Nearest 0.99",MAX(0.99,CEILING(AP43,1)-0.01),IF(RoundingRule="Nearest 0.95",MAX(0.95,CEILING(AP43,1)-0.05),IF(RoundingRule="Nearest 0.50",CEILING(AP43,0.5),IF(RoundingRule="Nearest 1",CEILING(AP43,1),IF(RoundingRule="Nearest 5",CEILING(AP43,5),IF(RoundingRule="Up to whole 1",CEILING(AP43,1),IF(RoundingRule="Up to whole 5",CEILING(AP43,5),ROUND(AP43,2))))))))),2)))</f>
        <v>0</v>
      </c>
      <c r="AR43" s="20">
        <f>IF(B43="","",IF(X43&lt;&gt;"",X43,IF(ISNUMBER(AQ43),AQ43,"")))</f>
        <v>0</v>
      </c>
      <c r="AS43" s="20">
        <f>IF(B43="","",IF(AR43="","",ROUND(AR43-AL43-(AR43*AM43+AN43),2)))</f>
        <v>0</v>
      </c>
      <c r="AT43" s="33">
        <f>IF(B43="","",IF(OR(AR43="",AR43=0),"",AS43/AR43))</f>
        <v>0</v>
      </c>
      <c r="AU43" s="41">
        <f>IF(B43="","",ROUND(AG43/60,3))</f>
        <v>0</v>
      </c>
      <c r="AV43" s="20">
        <f>IF(B43="","",IF(OR(AU43=0,AU43="",AS43=""),"",ROUND((AS43+AI43)/AU43,2)))</f>
        <v>0</v>
      </c>
      <c r="AW43" s="43">
        <f>IF(B43="","",IF(AND(A43&lt;&gt;"",ISERROR(MATCH(A43,Products!$A$5:$A$304,0))),"Check - no such product ID",IF(AF43=0,"Add - no material cost yet",IF(AG43=0,"Add - how long does it take?",IF(AND(A43&lt;&gt;"",COUNTIFS('Material Usage'!$A$5:$A$904,A43)&gt;0),"Check - this product also has a bill of materials",IF(AND(A43&lt;&gt;"",COUNTIFS(Labor!$A$5:$A$304,A43)&gt;0),"Check - this product also has labour lines",IF(AV43&lt;MinimumWage,"Below - pays under minimum wage","OK")))))) )</f>
        <v>0</v>
      </c>
    </row>
    <row r="44" spans="26:49">
      <c r="Z44" s="45">
        <f>IF(B44="","",IF(F44&lt;&gt;"",F44,IFERROR(INDEX(Materials!$V$5:$V$254,MATCH(D44,Materials!$A$5:$A$254,0)),0)))</f>
        <v>0</v>
      </c>
      <c r="AA44" s="36">
        <f>IF(B44="","",ROUND(IF(E44="",0,E44)*(1+IF(G44="",0,G44)),2))</f>
        <v>0</v>
      </c>
      <c r="AB44" s="20">
        <f>IF(B44="","",ROUND(AA44*Z44-IF(E44="",0,E44)*IF(G44="",0,G44)*IF(H44="",0,H44)*Z44,2))</f>
        <v>0</v>
      </c>
      <c r="AC44" s="20">
        <f>IF(B44="","",ROUND(IF(J44="",0,J44)*IF(K44="",0,K44),2))</f>
        <v>0</v>
      </c>
      <c r="AD44" s="20">
        <f>IF(B44="","",ROUND(IF(L44="",0,L44)*IFERROR(INDEX(Materials!$V$5:$V$254,MATCH(M44,Materials!$A$5:$A$254,0)),0),2))</f>
        <v>0</v>
      </c>
      <c r="AE44" s="20">
        <f>IF(B44="","",ROUND(IF(N44="",0,N44)*IFERROR(INDEX(Materials!$V$5:$V$254,MATCH(O44,Materials!$A$5:$A$254,0)),0),2))</f>
        <v>0</v>
      </c>
      <c r="AF44" s="20">
        <f>IF(B44="","",ROUND(AB44+AC44+AD44+AE44+IF(P44="",0,P44),2))</f>
        <v>0</v>
      </c>
      <c r="AG44" s="36">
        <f>IF(B44="","",IF(T44="",0,T44)+IF(U44="",0,U44)+IF(V44="",0,V44))</f>
        <v>0</v>
      </c>
      <c r="AH44" s="20">
        <f>IF(B44="","",IF(W44&lt;&gt;"",W44,LaborCostHour))</f>
        <v>0</v>
      </c>
      <c r="AI44" s="20">
        <f>IF(B44="","",ROUND(AG44/60*AH44,2))</f>
        <v>0</v>
      </c>
      <c r="AJ44" s="20">
        <f>IF(B44="","",ROUND(IF(Q44="",0,Q44)+IF(R44="",0,R44)+IF(S44="",0,S44)+AG44/60*SuppliesPerHour,2))</f>
        <v>0</v>
      </c>
      <c r="AK44" s="33">
        <f>IF(B44="","",IF(OR(AF44="",AF44=0),"",AB44/AF44))</f>
        <v>0</v>
      </c>
      <c r="AL44" s="20">
        <f>IF(B44="","",ROUND(AF44+AI44+AJ44,2))</f>
        <v>0</v>
      </c>
      <c r="AM44" s="33">
        <f>IF(B44="","",IFERROR(INDEX(Channels!$S$5:$S$18,MATCH(DefaultChannel,Channels!$A$5:$A$18,0)),0))</f>
        <v>0</v>
      </c>
      <c r="AN44" s="20">
        <f>IF(B44="","",IFERROR(INDEX(Channels!$T$5:$T$18,MATCH(DefaultChannel,Channels!$A$5:$A$18,0)),0))</f>
        <v>0</v>
      </c>
      <c r="AO44" s="41">
        <f>IF(B44="","",1-TargetRetailMargin-AM44)</f>
        <v>0</v>
      </c>
      <c r="AP44" s="20">
        <f>IF(B44="","",IF(AO44&lt;=0,"",(AL44+AN44)/AO44))</f>
        <v>0</v>
      </c>
      <c r="AQ44" s="20">
        <f>IF(B44="","",IF(AP44="","Check the settings",ROUND(IF(RoundingRule="None",AP44,IF(RoundingRule="Nearest 0.99",MAX(0.99,CEILING(AP44,1)-0.01),IF(RoundingRule="Nearest 0.95",MAX(0.95,CEILING(AP44,1)-0.05),IF(RoundingRule="Nearest 0.50",CEILING(AP44,0.5),IF(RoundingRule="Nearest 1",CEILING(AP44,1),IF(RoundingRule="Nearest 5",CEILING(AP44,5),IF(RoundingRule="Up to whole 1",CEILING(AP44,1),IF(RoundingRule="Up to whole 5",CEILING(AP44,5),ROUND(AP44,2))))))))),2)))</f>
        <v>0</v>
      </c>
      <c r="AR44" s="20">
        <f>IF(B44="","",IF(X44&lt;&gt;"",X44,IF(ISNUMBER(AQ44),AQ44,"")))</f>
        <v>0</v>
      </c>
      <c r="AS44" s="20">
        <f>IF(B44="","",IF(AR44="","",ROUND(AR44-AL44-(AR44*AM44+AN44),2)))</f>
        <v>0</v>
      </c>
      <c r="AT44" s="33">
        <f>IF(B44="","",IF(OR(AR44="",AR44=0),"",AS44/AR44))</f>
        <v>0</v>
      </c>
      <c r="AU44" s="41">
        <f>IF(B44="","",ROUND(AG44/60,3))</f>
        <v>0</v>
      </c>
      <c r="AV44" s="20">
        <f>IF(B44="","",IF(OR(AU44=0,AU44="",AS44=""),"",ROUND((AS44+AI44)/AU44,2)))</f>
        <v>0</v>
      </c>
      <c r="AW44" s="43">
        <f>IF(B44="","",IF(AND(A44&lt;&gt;"",ISERROR(MATCH(A44,Products!$A$5:$A$304,0))),"Check - no such product ID",IF(AF44=0,"Add - no material cost yet",IF(AG44=0,"Add - how long does it take?",IF(AND(A44&lt;&gt;"",COUNTIFS('Material Usage'!$A$5:$A$904,A44)&gt;0),"Check - this product also has a bill of materials",IF(AND(A44&lt;&gt;"",COUNTIFS(Labor!$A$5:$A$304,A44)&gt;0),"Check - this product also has labour lines",IF(AV44&lt;MinimumWage,"Below - pays under minimum wage","OK")))))) )</f>
        <v>0</v>
      </c>
    </row>
    <row r="45" spans="26:49">
      <c r="Z45" s="45">
        <f>IF(B45="","",IF(F45&lt;&gt;"",F45,IFERROR(INDEX(Materials!$V$5:$V$254,MATCH(D45,Materials!$A$5:$A$254,0)),0)))</f>
        <v>0</v>
      </c>
      <c r="AA45" s="36">
        <f>IF(B45="","",ROUND(IF(E45="",0,E45)*(1+IF(G45="",0,G45)),2))</f>
        <v>0</v>
      </c>
      <c r="AB45" s="20">
        <f>IF(B45="","",ROUND(AA45*Z45-IF(E45="",0,E45)*IF(G45="",0,G45)*IF(H45="",0,H45)*Z45,2))</f>
        <v>0</v>
      </c>
      <c r="AC45" s="20">
        <f>IF(B45="","",ROUND(IF(J45="",0,J45)*IF(K45="",0,K45),2))</f>
        <v>0</v>
      </c>
      <c r="AD45" s="20">
        <f>IF(B45="","",ROUND(IF(L45="",0,L45)*IFERROR(INDEX(Materials!$V$5:$V$254,MATCH(M45,Materials!$A$5:$A$254,0)),0),2))</f>
        <v>0</v>
      </c>
      <c r="AE45" s="20">
        <f>IF(B45="","",ROUND(IF(N45="",0,N45)*IFERROR(INDEX(Materials!$V$5:$V$254,MATCH(O45,Materials!$A$5:$A$254,0)),0),2))</f>
        <v>0</v>
      </c>
      <c r="AF45" s="20">
        <f>IF(B45="","",ROUND(AB45+AC45+AD45+AE45+IF(P45="",0,P45),2))</f>
        <v>0</v>
      </c>
      <c r="AG45" s="36">
        <f>IF(B45="","",IF(T45="",0,T45)+IF(U45="",0,U45)+IF(V45="",0,V45))</f>
        <v>0</v>
      </c>
      <c r="AH45" s="20">
        <f>IF(B45="","",IF(W45&lt;&gt;"",W45,LaborCostHour))</f>
        <v>0</v>
      </c>
      <c r="AI45" s="20">
        <f>IF(B45="","",ROUND(AG45/60*AH45,2))</f>
        <v>0</v>
      </c>
      <c r="AJ45" s="20">
        <f>IF(B45="","",ROUND(IF(Q45="",0,Q45)+IF(R45="",0,R45)+IF(S45="",0,S45)+AG45/60*SuppliesPerHour,2))</f>
        <v>0</v>
      </c>
      <c r="AK45" s="33">
        <f>IF(B45="","",IF(OR(AF45="",AF45=0),"",AB45/AF45))</f>
        <v>0</v>
      </c>
      <c r="AL45" s="20">
        <f>IF(B45="","",ROUND(AF45+AI45+AJ45,2))</f>
        <v>0</v>
      </c>
      <c r="AM45" s="33">
        <f>IF(B45="","",IFERROR(INDEX(Channels!$S$5:$S$18,MATCH(DefaultChannel,Channels!$A$5:$A$18,0)),0))</f>
        <v>0</v>
      </c>
      <c r="AN45" s="20">
        <f>IF(B45="","",IFERROR(INDEX(Channels!$T$5:$T$18,MATCH(DefaultChannel,Channels!$A$5:$A$18,0)),0))</f>
        <v>0</v>
      </c>
      <c r="AO45" s="41">
        <f>IF(B45="","",1-TargetRetailMargin-AM45)</f>
        <v>0</v>
      </c>
      <c r="AP45" s="20">
        <f>IF(B45="","",IF(AO45&lt;=0,"",(AL45+AN45)/AO45))</f>
        <v>0</v>
      </c>
      <c r="AQ45" s="20">
        <f>IF(B45="","",IF(AP45="","Check the settings",ROUND(IF(RoundingRule="None",AP45,IF(RoundingRule="Nearest 0.99",MAX(0.99,CEILING(AP45,1)-0.01),IF(RoundingRule="Nearest 0.95",MAX(0.95,CEILING(AP45,1)-0.05),IF(RoundingRule="Nearest 0.50",CEILING(AP45,0.5),IF(RoundingRule="Nearest 1",CEILING(AP45,1),IF(RoundingRule="Nearest 5",CEILING(AP45,5),IF(RoundingRule="Up to whole 1",CEILING(AP45,1),IF(RoundingRule="Up to whole 5",CEILING(AP45,5),ROUND(AP45,2))))))))),2)))</f>
        <v>0</v>
      </c>
      <c r="AR45" s="20">
        <f>IF(B45="","",IF(X45&lt;&gt;"",X45,IF(ISNUMBER(AQ45),AQ45,"")))</f>
        <v>0</v>
      </c>
      <c r="AS45" s="20">
        <f>IF(B45="","",IF(AR45="","",ROUND(AR45-AL45-(AR45*AM45+AN45),2)))</f>
        <v>0</v>
      </c>
      <c r="AT45" s="33">
        <f>IF(B45="","",IF(OR(AR45="",AR45=0),"",AS45/AR45))</f>
        <v>0</v>
      </c>
      <c r="AU45" s="41">
        <f>IF(B45="","",ROUND(AG45/60,3))</f>
        <v>0</v>
      </c>
      <c r="AV45" s="20">
        <f>IF(B45="","",IF(OR(AU45=0,AU45="",AS45=""),"",ROUND((AS45+AI45)/AU45,2)))</f>
        <v>0</v>
      </c>
      <c r="AW45" s="43">
        <f>IF(B45="","",IF(AND(A45&lt;&gt;"",ISERROR(MATCH(A45,Products!$A$5:$A$304,0))),"Check - no such product ID",IF(AF45=0,"Add - no material cost yet",IF(AG45=0,"Add - how long does it take?",IF(AND(A45&lt;&gt;"",COUNTIFS('Material Usage'!$A$5:$A$904,A45)&gt;0),"Check - this product also has a bill of materials",IF(AND(A45&lt;&gt;"",COUNTIFS(Labor!$A$5:$A$304,A45)&gt;0),"Check - this product also has labour lines",IF(AV45&lt;MinimumWage,"Below - pays under minimum wage","OK")))))) )</f>
        <v>0</v>
      </c>
    </row>
    <row r="46" spans="26:49">
      <c r="Z46" s="45">
        <f>IF(B46="","",IF(F46&lt;&gt;"",F46,IFERROR(INDEX(Materials!$V$5:$V$254,MATCH(D46,Materials!$A$5:$A$254,0)),0)))</f>
        <v>0</v>
      </c>
      <c r="AA46" s="36">
        <f>IF(B46="","",ROUND(IF(E46="",0,E46)*(1+IF(G46="",0,G46)),2))</f>
        <v>0</v>
      </c>
      <c r="AB46" s="20">
        <f>IF(B46="","",ROUND(AA46*Z46-IF(E46="",0,E46)*IF(G46="",0,G46)*IF(H46="",0,H46)*Z46,2))</f>
        <v>0</v>
      </c>
      <c r="AC46" s="20">
        <f>IF(B46="","",ROUND(IF(J46="",0,J46)*IF(K46="",0,K46),2))</f>
        <v>0</v>
      </c>
      <c r="AD46" s="20">
        <f>IF(B46="","",ROUND(IF(L46="",0,L46)*IFERROR(INDEX(Materials!$V$5:$V$254,MATCH(M46,Materials!$A$5:$A$254,0)),0),2))</f>
        <v>0</v>
      </c>
      <c r="AE46" s="20">
        <f>IF(B46="","",ROUND(IF(N46="",0,N46)*IFERROR(INDEX(Materials!$V$5:$V$254,MATCH(O46,Materials!$A$5:$A$254,0)),0),2))</f>
        <v>0</v>
      </c>
      <c r="AF46" s="20">
        <f>IF(B46="","",ROUND(AB46+AC46+AD46+AE46+IF(P46="",0,P46),2))</f>
        <v>0</v>
      </c>
      <c r="AG46" s="36">
        <f>IF(B46="","",IF(T46="",0,T46)+IF(U46="",0,U46)+IF(V46="",0,V46))</f>
        <v>0</v>
      </c>
      <c r="AH46" s="20">
        <f>IF(B46="","",IF(W46&lt;&gt;"",W46,LaborCostHour))</f>
        <v>0</v>
      </c>
      <c r="AI46" s="20">
        <f>IF(B46="","",ROUND(AG46/60*AH46,2))</f>
        <v>0</v>
      </c>
      <c r="AJ46" s="20">
        <f>IF(B46="","",ROUND(IF(Q46="",0,Q46)+IF(R46="",0,R46)+IF(S46="",0,S46)+AG46/60*SuppliesPerHour,2))</f>
        <v>0</v>
      </c>
      <c r="AK46" s="33">
        <f>IF(B46="","",IF(OR(AF46="",AF46=0),"",AB46/AF46))</f>
        <v>0</v>
      </c>
      <c r="AL46" s="20">
        <f>IF(B46="","",ROUND(AF46+AI46+AJ46,2))</f>
        <v>0</v>
      </c>
      <c r="AM46" s="33">
        <f>IF(B46="","",IFERROR(INDEX(Channels!$S$5:$S$18,MATCH(DefaultChannel,Channels!$A$5:$A$18,0)),0))</f>
        <v>0</v>
      </c>
      <c r="AN46" s="20">
        <f>IF(B46="","",IFERROR(INDEX(Channels!$T$5:$T$18,MATCH(DefaultChannel,Channels!$A$5:$A$18,0)),0))</f>
        <v>0</v>
      </c>
      <c r="AO46" s="41">
        <f>IF(B46="","",1-TargetRetailMargin-AM46)</f>
        <v>0</v>
      </c>
      <c r="AP46" s="20">
        <f>IF(B46="","",IF(AO46&lt;=0,"",(AL46+AN46)/AO46))</f>
        <v>0</v>
      </c>
      <c r="AQ46" s="20">
        <f>IF(B46="","",IF(AP46="","Check the settings",ROUND(IF(RoundingRule="None",AP46,IF(RoundingRule="Nearest 0.99",MAX(0.99,CEILING(AP46,1)-0.01),IF(RoundingRule="Nearest 0.95",MAX(0.95,CEILING(AP46,1)-0.05),IF(RoundingRule="Nearest 0.50",CEILING(AP46,0.5),IF(RoundingRule="Nearest 1",CEILING(AP46,1),IF(RoundingRule="Nearest 5",CEILING(AP46,5),IF(RoundingRule="Up to whole 1",CEILING(AP46,1),IF(RoundingRule="Up to whole 5",CEILING(AP46,5),ROUND(AP46,2))))))))),2)))</f>
        <v>0</v>
      </c>
      <c r="AR46" s="20">
        <f>IF(B46="","",IF(X46&lt;&gt;"",X46,IF(ISNUMBER(AQ46),AQ46,"")))</f>
        <v>0</v>
      </c>
      <c r="AS46" s="20">
        <f>IF(B46="","",IF(AR46="","",ROUND(AR46-AL46-(AR46*AM46+AN46),2)))</f>
        <v>0</v>
      </c>
      <c r="AT46" s="33">
        <f>IF(B46="","",IF(OR(AR46="",AR46=0),"",AS46/AR46))</f>
        <v>0</v>
      </c>
      <c r="AU46" s="41">
        <f>IF(B46="","",ROUND(AG46/60,3))</f>
        <v>0</v>
      </c>
      <c r="AV46" s="20">
        <f>IF(B46="","",IF(OR(AU46=0,AU46="",AS46=""),"",ROUND((AS46+AI46)/AU46,2)))</f>
        <v>0</v>
      </c>
      <c r="AW46" s="43">
        <f>IF(B46="","",IF(AND(A46&lt;&gt;"",ISERROR(MATCH(A46,Products!$A$5:$A$304,0))),"Check - no such product ID",IF(AF46=0,"Add - no material cost yet",IF(AG46=0,"Add - how long does it take?",IF(AND(A46&lt;&gt;"",COUNTIFS('Material Usage'!$A$5:$A$904,A46)&gt;0),"Check - this product also has a bill of materials",IF(AND(A46&lt;&gt;"",COUNTIFS(Labor!$A$5:$A$304,A46)&gt;0),"Check - this product also has labour lines",IF(AV46&lt;MinimumWage,"Below - pays under minimum wage","OK")))))) )</f>
        <v>0</v>
      </c>
    </row>
    <row r="47" spans="26:49">
      <c r="Z47" s="45">
        <f>IF(B47="","",IF(F47&lt;&gt;"",F47,IFERROR(INDEX(Materials!$V$5:$V$254,MATCH(D47,Materials!$A$5:$A$254,0)),0)))</f>
        <v>0</v>
      </c>
      <c r="AA47" s="36">
        <f>IF(B47="","",ROUND(IF(E47="",0,E47)*(1+IF(G47="",0,G47)),2))</f>
        <v>0</v>
      </c>
      <c r="AB47" s="20">
        <f>IF(B47="","",ROUND(AA47*Z47-IF(E47="",0,E47)*IF(G47="",0,G47)*IF(H47="",0,H47)*Z47,2))</f>
        <v>0</v>
      </c>
      <c r="AC47" s="20">
        <f>IF(B47="","",ROUND(IF(J47="",0,J47)*IF(K47="",0,K47),2))</f>
        <v>0</v>
      </c>
      <c r="AD47" s="20">
        <f>IF(B47="","",ROUND(IF(L47="",0,L47)*IFERROR(INDEX(Materials!$V$5:$V$254,MATCH(M47,Materials!$A$5:$A$254,0)),0),2))</f>
        <v>0</v>
      </c>
      <c r="AE47" s="20">
        <f>IF(B47="","",ROUND(IF(N47="",0,N47)*IFERROR(INDEX(Materials!$V$5:$V$254,MATCH(O47,Materials!$A$5:$A$254,0)),0),2))</f>
        <v>0</v>
      </c>
      <c r="AF47" s="20">
        <f>IF(B47="","",ROUND(AB47+AC47+AD47+AE47+IF(P47="",0,P47),2))</f>
        <v>0</v>
      </c>
      <c r="AG47" s="36">
        <f>IF(B47="","",IF(T47="",0,T47)+IF(U47="",0,U47)+IF(V47="",0,V47))</f>
        <v>0</v>
      </c>
      <c r="AH47" s="20">
        <f>IF(B47="","",IF(W47&lt;&gt;"",W47,LaborCostHour))</f>
        <v>0</v>
      </c>
      <c r="AI47" s="20">
        <f>IF(B47="","",ROUND(AG47/60*AH47,2))</f>
        <v>0</v>
      </c>
      <c r="AJ47" s="20">
        <f>IF(B47="","",ROUND(IF(Q47="",0,Q47)+IF(R47="",0,R47)+IF(S47="",0,S47)+AG47/60*SuppliesPerHour,2))</f>
        <v>0</v>
      </c>
      <c r="AK47" s="33">
        <f>IF(B47="","",IF(OR(AF47="",AF47=0),"",AB47/AF47))</f>
        <v>0</v>
      </c>
      <c r="AL47" s="20">
        <f>IF(B47="","",ROUND(AF47+AI47+AJ47,2))</f>
        <v>0</v>
      </c>
      <c r="AM47" s="33">
        <f>IF(B47="","",IFERROR(INDEX(Channels!$S$5:$S$18,MATCH(DefaultChannel,Channels!$A$5:$A$18,0)),0))</f>
        <v>0</v>
      </c>
      <c r="AN47" s="20">
        <f>IF(B47="","",IFERROR(INDEX(Channels!$T$5:$T$18,MATCH(DefaultChannel,Channels!$A$5:$A$18,0)),0))</f>
        <v>0</v>
      </c>
      <c r="AO47" s="41">
        <f>IF(B47="","",1-TargetRetailMargin-AM47)</f>
        <v>0</v>
      </c>
      <c r="AP47" s="20">
        <f>IF(B47="","",IF(AO47&lt;=0,"",(AL47+AN47)/AO47))</f>
        <v>0</v>
      </c>
      <c r="AQ47" s="20">
        <f>IF(B47="","",IF(AP47="","Check the settings",ROUND(IF(RoundingRule="None",AP47,IF(RoundingRule="Nearest 0.99",MAX(0.99,CEILING(AP47,1)-0.01),IF(RoundingRule="Nearest 0.95",MAX(0.95,CEILING(AP47,1)-0.05),IF(RoundingRule="Nearest 0.50",CEILING(AP47,0.5),IF(RoundingRule="Nearest 1",CEILING(AP47,1),IF(RoundingRule="Nearest 5",CEILING(AP47,5),IF(RoundingRule="Up to whole 1",CEILING(AP47,1),IF(RoundingRule="Up to whole 5",CEILING(AP47,5),ROUND(AP47,2))))))))),2)))</f>
        <v>0</v>
      </c>
      <c r="AR47" s="20">
        <f>IF(B47="","",IF(X47&lt;&gt;"",X47,IF(ISNUMBER(AQ47),AQ47,"")))</f>
        <v>0</v>
      </c>
      <c r="AS47" s="20">
        <f>IF(B47="","",IF(AR47="","",ROUND(AR47-AL47-(AR47*AM47+AN47),2)))</f>
        <v>0</v>
      </c>
      <c r="AT47" s="33">
        <f>IF(B47="","",IF(OR(AR47="",AR47=0),"",AS47/AR47))</f>
        <v>0</v>
      </c>
      <c r="AU47" s="41">
        <f>IF(B47="","",ROUND(AG47/60,3))</f>
        <v>0</v>
      </c>
      <c r="AV47" s="20">
        <f>IF(B47="","",IF(OR(AU47=0,AU47="",AS47=""),"",ROUND((AS47+AI47)/AU47,2)))</f>
        <v>0</v>
      </c>
      <c r="AW47" s="43">
        <f>IF(B47="","",IF(AND(A47&lt;&gt;"",ISERROR(MATCH(A47,Products!$A$5:$A$304,0))),"Check - no such product ID",IF(AF47=0,"Add - no material cost yet",IF(AG47=0,"Add - how long does it take?",IF(AND(A47&lt;&gt;"",COUNTIFS('Material Usage'!$A$5:$A$904,A47)&gt;0),"Check - this product also has a bill of materials",IF(AND(A47&lt;&gt;"",COUNTIFS(Labor!$A$5:$A$304,A47)&gt;0),"Check - this product also has labour lines",IF(AV47&lt;MinimumWage,"Below - pays under minimum wage","OK")))))) )</f>
        <v>0</v>
      </c>
    </row>
    <row r="48" spans="26:49">
      <c r="Z48" s="45">
        <f>IF(B48="","",IF(F48&lt;&gt;"",F48,IFERROR(INDEX(Materials!$V$5:$V$254,MATCH(D48,Materials!$A$5:$A$254,0)),0)))</f>
        <v>0</v>
      </c>
      <c r="AA48" s="36">
        <f>IF(B48="","",ROUND(IF(E48="",0,E48)*(1+IF(G48="",0,G48)),2))</f>
        <v>0</v>
      </c>
      <c r="AB48" s="20">
        <f>IF(B48="","",ROUND(AA48*Z48-IF(E48="",0,E48)*IF(G48="",0,G48)*IF(H48="",0,H48)*Z48,2))</f>
        <v>0</v>
      </c>
      <c r="AC48" s="20">
        <f>IF(B48="","",ROUND(IF(J48="",0,J48)*IF(K48="",0,K48),2))</f>
        <v>0</v>
      </c>
      <c r="AD48" s="20">
        <f>IF(B48="","",ROUND(IF(L48="",0,L48)*IFERROR(INDEX(Materials!$V$5:$V$254,MATCH(M48,Materials!$A$5:$A$254,0)),0),2))</f>
        <v>0</v>
      </c>
      <c r="AE48" s="20">
        <f>IF(B48="","",ROUND(IF(N48="",0,N48)*IFERROR(INDEX(Materials!$V$5:$V$254,MATCH(O48,Materials!$A$5:$A$254,0)),0),2))</f>
        <v>0</v>
      </c>
      <c r="AF48" s="20">
        <f>IF(B48="","",ROUND(AB48+AC48+AD48+AE48+IF(P48="",0,P48),2))</f>
        <v>0</v>
      </c>
      <c r="AG48" s="36">
        <f>IF(B48="","",IF(T48="",0,T48)+IF(U48="",0,U48)+IF(V48="",0,V48))</f>
        <v>0</v>
      </c>
      <c r="AH48" s="20">
        <f>IF(B48="","",IF(W48&lt;&gt;"",W48,LaborCostHour))</f>
        <v>0</v>
      </c>
      <c r="AI48" s="20">
        <f>IF(B48="","",ROUND(AG48/60*AH48,2))</f>
        <v>0</v>
      </c>
      <c r="AJ48" s="20">
        <f>IF(B48="","",ROUND(IF(Q48="",0,Q48)+IF(R48="",0,R48)+IF(S48="",0,S48)+AG48/60*SuppliesPerHour,2))</f>
        <v>0</v>
      </c>
      <c r="AK48" s="33">
        <f>IF(B48="","",IF(OR(AF48="",AF48=0),"",AB48/AF48))</f>
        <v>0</v>
      </c>
      <c r="AL48" s="20">
        <f>IF(B48="","",ROUND(AF48+AI48+AJ48,2))</f>
        <v>0</v>
      </c>
      <c r="AM48" s="33">
        <f>IF(B48="","",IFERROR(INDEX(Channels!$S$5:$S$18,MATCH(DefaultChannel,Channels!$A$5:$A$18,0)),0))</f>
        <v>0</v>
      </c>
      <c r="AN48" s="20">
        <f>IF(B48="","",IFERROR(INDEX(Channels!$T$5:$T$18,MATCH(DefaultChannel,Channels!$A$5:$A$18,0)),0))</f>
        <v>0</v>
      </c>
      <c r="AO48" s="41">
        <f>IF(B48="","",1-TargetRetailMargin-AM48)</f>
        <v>0</v>
      </c>
      <c r="AP48" s="20">
        <f>IF(B48="","",IF(AO48&lt;=0,"",(AL48+AN48)/AO48))</f>
        <v>0</v>
      </c>
      <c r="AQ48" s="20">
        <f>IF(B48="","",IF(AP48="","Check the settings",ROUND(IF(RoundingRule="None",AP48,IF(RoundingRule="Nearest 0.99",MAX(0.99,CEILING(AP48,1)-0.01),IF(RoundingRule="Nearest 0.95",MAX(0.95,CEILING(AP48,1)-0.05),IF(RoundingRule="Nearest 0.50",CEILING(AP48,0.5),IF(RoundingRule="Nearest 1",CEILING(AP48,1),IF(RoundingRule="Nearest 5",CEILING(AP48,5),IF(RoundingRule="Up to whole 1",CEILING(AP48,1),IF(RoundingRule="Up to whole 5",CEILING(AP48,5),ROUND(AP48,2))))))))),2)))</f>
        <v>0</v>
      </c>
      <c r="AR48" s="20">
        <f>IF(B48="","",IF(X48&lt;&gt;"",X48,IF(ISNUMBER(AQ48),AQ48,"")))</f>
        <v>0</v>
      </c>
      <c r="AS48" s="20">
        <f>IF(B48="","",IF(AR48="","",ROUND(AR48-AL48-(AR48*AM48+AN48),2)))</f>
        <v>0</v>
      </c>
      <c r="AT48" s="33">
        <f>IF(B48="","",IF(OR(AR48="",AR48=0),"",AS48/AR48))</f>
        <v>0</v>
      </c>
      <c r="AU48" s="41">
        <f>IF(B48="","",ROUND(AG48/60,3))</f>
        <v>0</v>
      </c>
      <c r="AV48" s="20">
        <f>IF(B48="","",IF(OR(AU48=0,AU48="",AS48=""),"",ROUND((AS48+AI48)/AU48,2)))</f>
        <v>0</v>
      </c>
      <c r="AW48" s="43">
        <f>IF(B48="","",IF(AND(A48&lt;&gt;"",ISERROR(MATCH(A48,Products!$A$5:$A$304,0))),"Check - no such product ID",IF(AF48=0,"Add - no material cost yet",IF(AG48=0,"Add - how long does it take?",IF(AND(A48&lt;&gt;"",COUNTIFS('Material Usage'!$A$5:$A$904,A48)&gt;0),"Check - this product also has a bill of materials",IF(AND(A48&lt;&gt;"",COUNTIFS(Labor!$A$5:$A$304,A48)&gt;0),"Check - this product also has labour lines",IF(AV48&lt;MinimumWage,"Below - pays under minimum wage","OK")))))) )</f>
        <v>0</v>
      </c>
    </row>
    <row r="49" spans="26:49">
      <c r="Z49" s="45">
        <f>IF(B49="","",IF(F49&lt;&gt;"",F49,IFERROR(INDEX(Materials!$V$5:$V$254,MATCH(D49,Materials!$A$5:$A$254,0)),0)))</f>
        <v>0</v>
      </c>
      <c r="AA49" s="36">
        <f>IF(B49="","",ROUND(IF(E49="",0,E49)*(1+IF(G49="",0,G49)),2))</f>
        <v>0</v>
      </c>
      <c r="AB49" s="20">
        <f>IF(B49="","",ROUND(AA49*Z49-IF(E49="",0,E49)*IF(G49="",0,G49)*IF(H49="",0,H49)*Z49,2))</f>
        <v>0</v>
      </c>
      <c r="AC49" s="20">
        <f>IF(B49="","",ROUND(IF(J49="",0,J49)*IF(K49="",0,K49),2))</f>
        <v>0</v>
      </c>
      <c r="AD49" s="20">
        <f>IF(B49="","",ROUND(IF(L49="",0,L49)*IFERROR(INDEX(Materials!$V$5:$V$254,MATCH(M49,Materials!$A$5:$A$254,0)),0),2))</f>
        <v>0</v>
      </c>
      <c r="AE49" s="20">
        <f>IF(B49="","",ROUND(IF(N49="",0,N49)*IFERROR(INDEX(Materials!$V$5:$V$254,MATCH(O49,Materials!$A$5:$A$254,0)),0),2))</f>
        <v>0</v>
      </c>
      <c r="AF49" s="20">
        <f>IF(B49="","",ROUND(AB49+AC49+AD49+AE49+IF(P49="",0,P49),2))</f>
        <v>0</v>
      </c>
      <c r="AG49" s="36">
        <f>IF(B49="","",IF(T49="",0,T49)+IF(U49="",0,U49)+IF(V49="",0,V49))</f>
        <v>0</v>
      </c>
      <c r="AH49" s="20">
        <f>IF(B49="","",IF(W49&lt;&gt;"",W49,LaborCostHour))</f>
        <v>0</v>
      </c>
      <c r="AI49" s="20">
        <f>IF(B49="","",ROUND(AG49/60*AH49,2))</f>
        <v>0</v>
      </c>
      <c r="AJ49" s="20">
        <f>IF(B49="","",ROUND(IF(Q49="",0,Q49)+IF(R49="",0,R49)+IF(S49="",0,S49)+AG49/60*SuppliesPerHour,2))</f>
        <v>0</v>
      </c>
      <c r="AK49" s="33">
        <f>IF(B49="","",IF(OR(AF49="",AF49=0),"",AB49/AF49))</f>
        <v>0</v>
      </c>
      <c r="AL49" s="20">
        <f>IF(B49="","",ROUND(AF49+AI49+AJ49,2))</f>
        <v>0</v>
      </c>
      <c r="AM49" s="33">
        <f>IF(B49="","",IFERROR(INDEX(Channels!$S$5:$S$18,MATCH(DefaultChannel,Channels!$A$5:$A$18,0)),0))</f>
        <v>0</v>
      </c>
      <c r="AN49" s="20">
        <f>IF(B49="","",IFERROR(INDEX(Channels!$T$5:$T$18,MATCH(DefaultChannel,Channels!$A$5:$A$18,0)),0))</f>
        <v>0</v>
      </c>
      <c r="AO49" s="41">
        <f>IF(B49="","",1-TargetRetailMargin-AM49)</f>
        <v>0</v>
      </c>
      <c r="AP49" s="20">
        <f>IF(B49="","",IF(AO49&lt;=0,"",(AL49+AN49)/AO49))</f>
        <v>0</v>
      </c>
      <c r="AQ49" s="20">
        <f>IF(B49="","",IF(AP49="","Check the settings",ROUND(IF(RoundingRule="None",AP49,IF(RoundingRule="Nearest 0.99",MAX(0.99,CEILING(AP49,1)-0.01),IF(RoundingRule="Nearest 0.95",MAX(0.95,CEILING(AP49,1)-0.05),IF(RoundingRule="Nearest 0.50",CEILING(AP49,0.5),IF(RoundingRule="Nearest 1",CEILING(AP49,1),IF(RoundingRule="Nearest 5",CEILING(AP49,5),IF(RoundingRule="Up to whole 1",CEILING(AP49,1),IF(RoundingRule="Up to whole 5",CEILING(AP49,5),ROUND(AP49,2))))))))),2)))</f>
        <v>0</v>
      </c>
      <c r="AR49" s="20">
        <f>IF(B49="","",IF(X49&lt;&gt;"",X49,IF(ISNUMBER(AQ49),AQ49,"")))</f>
        <v>0</v>
      </c>
      <c r="AS49" s="20">
        <f>IF(B49="","",IF(AR49="","",ROUND(AR49-AL49-(AR49*AM49+AN49),2)))</f>
        <v>0</v>
      </c>
      <c r="AT49" s="33">
        <f>IF(B49="","",IF(OR(AR49="",AR49=0),"",AS49/AR49))</f>
        <v>0</v>
      </c>
      <c r="AU49" s="41">
        <f>IF(B49="","",ROUND(AG49/60,3))</f>
        <v>0</v>
      </c>
      <c r="AV49" s="20">
        <f>IF(B49="","",IF(OR(AU49=0,AU49="",AS49=""),"",ROUND((AS49+AI49)/AU49,2)))</f>
        <v>0</v>
      </c>
      <c r="AW49" s="43">
        <f>IF(B49="","",IF(AND(A49&lt;&gt;"",ISERROR(MATCH(A49,Products!$A$5:$A$304,0))),"Check - no such product ID",IF(AF49=0,"Add - no material cost yet",IF(AG49=0,"Add - how long does it take?",IF(AND(A49&lt;&gt;"",COUNTIFS('Material Usage'!$A$5:$A$904,A49)&gt;0),"Check - this product also has a bill of materials",IF(AND(A49&lt;&gt;"",COUNTIFS(Labor!$A$5:$A$304,A49)&gt;0),"Check - this product also has labour lines",IF(AV49&lt;MinimumWage,"Below - pays under minimum wage","OK")))))) )</f>
        <v>0</v>
      </c>
    </row>
    <row r="50" spans="26:49">
      <c r="Z50" s="45">
        <f>IF(B50="","",IF(F50&lt;&gt;"",F50,IFERROR(INDEX(Materials!$V$5:$V$254,MATCH(D50,Materials!$A$5:$A$254,0)),0)))</f>
        <v>0</v>
      </c>
      <c r="AA50" s="36">
        <f>IF(B50="","",ROUND(IF(E50="",0,E50)*(1+IF(G50="",0,G50)),2))</f>
        <v>0</v>
      </c>
      <c r="AB50" s="20">
        <f>IF(B50="","",ROUND(AA50*Z50-IF(E50="",0,E50)*IF(G50="",0,G50)*IF(H50="",0,H50)*Z50,2))</f>
        <v>0</v>
      </c>
      <c r="AC50" s="20">
        <f>IF(B50="","",ROUND(IF(J50="",0,J50)*IF(K50="",0,K50),2))</f>
        <v>0</v>
      </c>
      <c r="AD50" s="20">
        <f>IF(B50="","",ROUND(IF(L50="",0,L50)*IFERROR(INDEX(Materials!$V$5:$V$254,MATCH(M50,Materials!$A$5:$A$254,0)),0),2))</f>
        <v>0</v>
      </c>
      <c r="AE50" s="20">
        <f>IF(B50="","",ROUND(IF(N50="",0,N50)*IFERROR(INDEX(Materials!$V$5:$V$254,MATCH(O50,Materials!$A$5:$A$254,0)),0),2))</f>
        <v>0</v>
      </c>
      <c r="AF50" s="20">
        <f>IF(B50="","",ROUND(AB50+AC50+AD50+AE50+IF(P50="",0,P50),2))</f>
        <v>0</v>
      </c>
      <c r="AG50" s="36">
        <f>IF(B50="","",IF(T50="",0,T50)+IF(U50="",0,U50)+IF(V50="",0,V50))</f>
        <v>0</v>
      </c>
      <c r="AH50" s="20">
        <f>IF(B50="","",IF(W50&lt;&gt;"",W50,LaborCostHour))</f>
        <v>0</v>
      </c>
      <c r="AI50" s="20">
        <f>IF(B50="","",ROUND(AG50/60*AH50,2))</f>
        <v>0</v>
      </c>
      <c r="AJ50" s="20">
        <f>IF(B50="","",ROUND(IF(Q50="",0,Q50)+IF(R50="",0,R50)+IF(S50="",0,S50)+AG50/60*SuppliesPerHour,2))</f>
        <v>0</v>
      </c>
      <c r="AK50" s="33">
        <f>IF(B50="","",IF(OR(AF50="",AF50=0),"",AB50/AF50))</f>
        <v>0</v>
      </c>
      <c r="AL50" s="20">
        <f>IF(B50="","",ROUND(AF50+AI50+AJ50,2))</f>
        <v>0</v>
      </c>
      <c r="AM50" s="33">
        <f>IF(B50="","",IFERROR(INDEX(Channels!$S$5:$S$18,MATCH(DefaultChannel,Channels!$A$5:$A$18,0)),0))</f>
        <v>0</v>
      </c>
      <c r="AN50" s="20">
        <f>IF(B50="","",IFERROR(INDEX(Channels!$T$5:$T$18,MATCH(DefaultChannel,Channels!$A$5:$A$18,0)),0))</f>
        <v>0</v>
      </c>
      <c r="AO50" s="41">
        <f>IF(B50="","",1-TargetRetailMargin-AM50)</f>
        <v>0</v>
      </c>
      <c r="AP50" s="20">
        <f>IF(B50="","",IF(AO50&lt;=0,"",(AL50+AN50)/AO50))</f>
        <v>0</v>
      </c>
      <c r="AQ50" s="20">
        <f>IF(B50="","",IF(AP50="","Check the settings",ROUND(IF(RoundingRule="None",AP50,IF(RoundingRule="Nearest 0.99",MAX(0.99,CEILING(AP50,1)-0.01),IF(RoundingRule="Nearest 0.95",MAX(0.95,CEILING(AP50,1)-0.05),IF(RoundingRule="Nearest 0.50",CEILING(AP50,0.5),IF(RoundingRule="Nearest 1",CEILING(AP50,1),IF(RoundingRule="Nearest 5",CEILING(AP50,5),IF(RoundingRule="Up to whole 1",CEILING(AP50,1),IF(RoundingRule="Up to whole 5",CEILING(AP50,5),ROUND(AP50,2))))))))),2)))</f>
        <v>0</v>
      </c>
      <c r="AR50" s="20">
        <f>IF(B50="","",IF(X50&lt;&gt;"",X50,IF(ISNUMBER(AQ50),AQ50,"")))</f>
        <v>0</v>
      </c>
      <c r="AS50" s="20">
        <f>IF(B50="","",IF(AR50="","",ROUND(AR50-AL50-(AR50*AM50+AN50),2)))</f>
        <v>0</v>
      </c>
      <c r="AT50" s="33">
        <f>IF(B50="","",IF(OR(AR50="",AR50=0),"",AS50/AR50))</f>
        <v>0</v>
      </c>
      <c r="AU50" s="41">
        <f>IF(B50="","",ROUND(AG50/60,3))</f>
        <v>0</v>
      </c>
      <c r="AV50" s="20">
        <f>IF(B50="","",IF(OR(AU50=0,AU50="",AS50=""),"",ROUND((AS50+AI50)/AU50,2)))</f>
        <v>0</v>
      </c>
      <c r="AW50" s="43">
        <f>IF(B50="","",IF(AND(A50&lt;&gt;"",ISERROR(MATCH(A50,Products!$A$5:$A$304,0))),"Check - no such product ID",IF(AF50=0,"Add - no material cost yet",IF(AG50=0,"Add - how long does it take?",IF(AND(A50&lt;&gt;"",COUNTIFS('Material Usage'!$A$5:$A$904,A50)&gt;0),"Check - this product also has a bill of materials",IF(AND(A50&lt;&gt;"",COUNTIFS(Labor!$A$5:$A$304,A50)&gt;0),"Check - this product also has labour lines",IF(AV50&lt;MinimumWage,"Below - pays under minimum wage","OK")))))) )</f>
        <v>0</v>
      </c>
    </row>
    <row r="51" spans="26:49">
      <c r="Z51" s="45">
        <f>IF(B51="","",IF(F51&lt;&gt;"",F51,IFERROR(INDEX(Materials!$V$5:$V$254,MATCH(D51,Materials!$A$5:$A$254,0)),0)))</f>
        <v>0</v>
      </c>
      <c r="AA51" s="36">
        <f>IF(B51="","",ROUND(IF(E51="",0,E51)*(1+IF(G51="",0,G51)),2))</f>
        <v>0</v>
      </c>
      <c r="AB51" s="20">
        <f>IF(B51="","",ROUND(AA51*Z51-IF(E51="",0,E51)*IF(G51="",0,G51)*IF(H51="",0,H51)*Z51,2))</f>
        <v>0</v>
      </c>
      <c r="AC51" s="20">
        <f>IF(B51="","",ROUND(IF(J51="",0,J51)*IF(K51="",0,K51),2))</f>
        <v>0</v>
      </c>
      <c r="AD51" s="20">
        <f>IF(B51="","",ROUND(IF(L51="",0,L51)*IFERROR(INDEX(Materials!$V$5:$V$254,MATCH(M51,Materials!$A$5:$A$254,0)),0),2))</f>
        <v>0</v>
      </c>
      <c r="AE51" s="20">
        <f>IF(B51="","",ROUND(IF(N51="",0,N51)*IFERROR(INDEX(Materials!$V$5:$V$254,MATCH(O51,Materials!$A$5:$A$254,0)),0),2))</f>
        <v>0</v>
      </c>
      <c r="AF51" s="20">
        <f>IF(B51="","",ROUND(AB51+AC51+AD51+AE51+IF(P51="",0,P51),2))</f>
        <v>0</v>
      </c>
      <c r="AG51" s="36">
        <f>IF(B51="","",IF(T51="",0,T51)+IF(U51="",0,U51)+IF(V51="",0,V51))</f>
        <v>0</v>
      </c>
      <c r="AH51" s="20">
        <f>IF(B51="","",IF(W51&lt;&gt;"",W51,LaborCostHour))</f>
        <v>0</v>
      </c>
      <c r="AI51" s="20">
        <f>IF(B51="","",ROUND(AG51/60*AH51,2))</f>
        <v>0</v>
      </c>
      <c r="AJ51" s="20">
        <f>IF(B51="","",ROUND(IF(Q51="",0,Q51)+IF(R51="",0,R51)+IF(S51="",0,S51)+AG51/60*SuppliesPerHour,2))</f>
        <v>0</v>
      </c>
      <c r="AK51" s="33">
        <f>IF(B51="","",IF(OR(AF51="",AF51=0),"",AB51/AF51))</f>
        <v>0</v>
      </c>
      <c r="AL51" s="20">
        <f>IF(B51="","",ROUND(AF51+AI51+AJ51,2))</f>
        <v>0</v>
      </c>
      <c r="AM51" s="33">
        <f>IF(B51="","",IFERROR(INDEX(Channels!$S$5:$S$18,MATCH(DefaultChannel,Channels!$A$5:$A$18,0)),0))</f>
        <v>0</v>
      </c>
      <c r="AN51" s="20">
        <f>IF(B51="","",IFERROR(INDEX(Channels!$T$5:$T$18,MATCH(DefaultChannel,Channels!$A$5:$A$18,0)),0))</f>
        <v>0</v>
      </c>
      <c r="AO51" s="41">
        <f>IF(B51="","",1-TargetRetailMargin-AM51)</f>
        <v>0</v>
      </c>
      <c r="AP51" s="20">
        <f>IF(B51="","",IF(AO51&lt;=0,"",(AL51+AN51)/AO51))</f>
        <v>0</v>
      </c>
      <c r="AQ51" s="20">
        <f>IF(B51="","",IF(AP51="","Check the settings",ROUND(IF(RoundingRule="None",AP51,IF(RoundingRule="Nearest 0.99",MAX(0.99,CEILING(AP51,1)-0.01),IF(RoundingRule="Nearest 0.95",MAX(0.95,CEILING(AP51,1)-0.05),IF(RoundingRule="Nearest 0.50",CEILING(AP51,0.5),IF(RoundingRule="Nearest 1",CEILING(AP51,1),IF(RoundingRule="Nearest 5",CEILING(AP51,5),IF(RoundingRule="Up to whole 1",CEILING(AP51,1),IF(RoundingRule="Up to whole 5",CEILING(AP51,5),ROUND(AP51,2))))))))),2)))</f>
        <v>0</v>
      </c>
      <c r="AR51" s="20">
        <f>IF(B51="","",IF(X51&lt;&gt;"",X51,IF(ISNUMBER(AQ51),AQ51,"")))</f>
        <v>0</v>
      </c>
      <c r="AS51" s="20">
        <f>IF(B51="","",IF(AR51="","",ROUND(AR51-AL51-(AR51*AM51+AN51),2)))</f>
        <v>0</v>
      </c>
      <c r="AT51" s="33">
        <f>IF(B51="","",IF(OR(AR51="",AR51=0),"",AS51/AR51))</f>
        <v>0</v>
      </c>
      <c r="AU51" s="41">
        <f>IF(B51="","",ROUND(AG51/60,3))</f>
        <v>0</v>
      </c>
      <c r="AV51" s="20">
        <f>IF(B51="","",IF(OR(AU51=0,AU51="",AS51=""),"",ROUND((AS51+AI51)/AU51,2)))</f>
        <v>0</v>
      </c>
      <c r="AW51" s="43">
        <f>IF(B51="","",IF(AND(A51&lt;&gt;"",ISERROR(MATCH(A51,Products!$A$5:$A$304,0))),"Check - no such product ID",IF(AF51=0,"Add - no material cost yet",IF(AG51=0,"Add - how long does it take?",IF(AND(A51&lt;&gt;"",COUNTIFS('Material Usage'!$A$5:$A$904,A51)&gt;0),"Check - this product also has a bill of materials",IF(AND(A51&lt;&gt;"",COUNTIFS(Labor!$A$5:$A$304,A51)&gt;0),"Check - this product also has labour lines",IF(AV51&lt;MinimumWage,"Below - pays under minimum wage","OK")))))) )</f>
        <v>0</v>
      </c>
    </row>
    <row r="52" spans="26:49">
      <c r="Z52" s="45">
        <f>IF(B52="","",IF(F52&lt;&gt;"",F52,IFERROR(INDEX(Materials!$V$5:$V$254,MATCH(D52,Materials!$A$5:$A$254,0)),0)))</f>
        <v>0</v>
      </c>
      <c r="AA52" s="36">
        <f>IF(B52="","",ROUND(IF(E52="",0,E52)*(1+IF(G52="",0,G52)),2))</f>
        <v>0</v>
      </c>
      <c r="AB52" s="20">
        <f>IF(B52="","",ROUND(AA52*Z52-IF(E52="",0,E52)*IF(G52="",0,G52)*IF(H52="",0,H52)*Z52,2))</f>
        <v>0</v>
      </c>
      <c r="AC52" s="20">
        <f>IF(B52="","",ROUND(IF(J52="",0,J52)*IF(K52="",0,K52),2))</f>
        <v>0</v>
      </c>
      <c r="AD52" s="20">
        <f>IF(B52="","",ROUND(IF(L52="",0,L52)*IFERROR(INDEX(Materials!$V$5:$V$254,MATCH(M52,Materials!$A$5:$A$254,0)),0),2))</f>
        <v>0</v>
      </c>
      <c r="AE52" s="20">
        <f>IF(B52="","",ROUND(IF(N52="",0,N52)*IFERROR(INDEX(Materials!$V$5:$V$254,MATCH(O52,Materials!$A$5:$A$254,0)),0),2))</f>
        <v>0</v>
      </c>
      <c r="AF52" s="20">
        <f>IF(B52="","",ROUND(AB52+AC52+AD52+AE52+IF(P52="",0,P52),2))</f>
        <v>0</v>
      </c>
      <c r="AG52" s="36">
        <f>IF(B52="","",IF(T52="",0,T52)+IF(U52="",0,U52)+IF(V52="",0,V52))</f>
        <v>0</v>
      </c>
      <c r="AH52" s="20">
        <f>IF(B52="","",IF(W52&lt;&gt;"",W52,LaborCostHour))</f>
        <v>0</v>
      </c>
      <c r="AI52" s="20">
        <f>IF(B52="","",ROUND(AG52/60*AH52,2))</f>
        <v>0</v>
      </c>
      <c r="AJ52" s="20">
        <f>IF(B52="","",ROUND(IF(Q52="",0,Q52)+IF(R52="",0,R52)+IF(S52="",0,S52)+AG52/60*SuppliesPerHour,2))</f>
        <v>0</v>
      </c>
      <c r="AK52" s="33">
        <f>IF(B52="","",IF(OR(AF52="",AF52=0),"",AB52/AF52))</f>
        <v>0</v>
      </c>
      <c r="AL52" s="20">
        <f>IF(B52="","",ROUND(AF52+AI52+AJ52,2))</f>
        <v>0</v>
      </c>
      <c r="AM52" s="33">
        <f>IF(B52="","",IFERROR(INDEX(Channels!$S$5:$S$18,MATCH(DefaultChannel,Channels!$A$5:$A$18,0)),0))</f>
        <v>0</v>
      </c>
      <c r="AN52" s="20">
        <f>IF(B52="","",IFERROR(INDEX(Channels!$T$5:$T$18,MATCH(DefaultChannel,Channels!$A$5:$A$18,0)),0))</f>
        <v>0</v>
      </c>
      <c r="AO52" s="41">
        <f>IF(B52="","",1-TargetRetailMargin-AM52)</f>
        <v>0</v>
      </c>
      <c r="AP52" s="20">
        <f>IF(B52="","",IF(AO52&lt;=0,"",(AL52+AN52)/AO52))</f>
        <v>0</v>
      </c>
      <c r="AQ52" s="20">
        <f>IF(B52="","",IF(AP52="","Check the settings",ROUND(IF(RoundingRule="None",AP52,IF(RoundingRule="Nearest 0.99",MAX(0.99,CEILING(AP52,1)-0.01),IF(RoundingRule="Nearest 0.95",MAX(0.95,CEILING(AP52,1)-0.05),IF(RoundingRule="Nearest 0.50",CEILING(AP52,0.5),IF(RoundingRule="Nearest 1",CEILING(AP52,1),IF(RoundingRule="Nearest 5",CEILING(AP52,5),IF(RoundingRule="Up to whole 1",CEILING(AP52,1),IF(RoundingRule="Up to whole 5",CEILING(AP52,5),ROUND(AP52,2))))))))),2)))</f>
        <v>0</v>
      </c>
      <c r="AR52" s="20">
        <f>IF(B52="","",IF(X52&lt;&gt;"",X52,IF(ISNUMBER(AQ52),AQ52,"")))</f>
        <v>0</v>
      </c>
      <c r="AS52" s="20">
        <f>IF(B52="","",IF(AR52="","",ROUND(AR52-AL52-(AR52*AM52+AN52),2)))</f>
        <v>0</v>
      </c>
      <c r="AT52" s="33">
        <f>IF(B52="","",IF(OR(AR52="",AR52=0),"",AS52/AR52))</f>
        <v>0</v>
      </c>
      <c r="AU52" s="41">
        <f>IF(B52="","",ROUND(AG52/60,3))</f>
        <v>0</v>
      </c>
      <c r="AV52" s="20">
        <f>IF(B52="","",IF(OR(AU52=0,AU52="",AS52=""),"",ROUND((AS52+AI52)/AU52,2)))</f>
        <v>0</v>
      </c>
      <c r="AW52" s="43">
        <f>IF(B52="","",IF(AND(A52&lt;&gt;"",ISERROR(MATCH(A52,Products!$A$5:$A$304,0))),"Check - no such product ID",IF(AF52=0,"Add - no material cost yet",IF(AG52=0,"Add - how long does it take?",IF(AND(A52&lt;&gt;"",COUNTIFS('Material Usage'!$A$5:$A$904,A52)&gt;0),"Check - this product also has a bill of materials",IF(AND(A52&lt;&gt;"",COUNTIFS(Labor!$A$5:$A$304,A52)&gt;0),"Check - this product also has labour lines",IF(AV52&lt;MinimumWage,"Below - pays under minimum wage","OK")))))) )</f>
        <v>0</v>
      </c>
    </row>
    <row r="53" spans="26:49">
      <c r="Z53" s="45">
        <f>IF(B53="","",IF(F53&lt;&gt;"",F53,IFERROR(INDEX(Materials!$V$5:$V$254,MATCH(D53,Materials!$A$5:$A$254,0)),0)))</f>
        <v>0</v>
      </c>
      <c r="AA53" s="36">
        <f>IF(B53="","",ROUND(IF(E53="",0,E53)*(1+IF(G53="",0,G53)),2))</f>
        <v>0</v>
      </c>
      <c r="AB53" s="20">
        <f>IF(B53="","",ROUND(AA53*Z53-IF(E53="",0,E53)*IF(G53="",0,G53)*IF(H53="",0,H53)*Z53,2))</f>
        <v>0</v>
      </c>
      <c r="AC53" s="20">
        <f>IF(B53="","",ROUND(IF(J53="",0,J53)*IF(K53="",0,K53),2))</f>
        <v>0</v>
      </c>
      <c r="AD53" s="20">
        <f>IF(B53="","",ROUND(IF(L53="",0,L53)*IFERROR(INDEX(Materials!$V$5:$V$254,MATCH(M53,Materials!$A$5:$A$254,0)),0),2))</f>
        <v>0</v>
      </c>
      <c r="AE53" s="20">
        <f>IF(B53="","",ROUND(IF(N53="",0,N53)*IFERROR(INDEX(Materials!$V$5:$V$254,MATCH(O53,Materials!$A$5:$A$254,0)),0),2))</f>
        <v>0</v>
      </c>
      <c r="AF53" s="20">
        <f>IF(B53="","",ROUND(AB53+AC53+AD53+AE53+IF(P53="",0,P53),2))</f>
        <v>0</v>
      </c>
      <c r="AG53" s="36">
        <f>IF(B53="","",IF(T53="",0,T53)+IF(U53="",0,U53)+IF(V53="",0,V53))</f>
        <v>0</v>
      </c>
      <c r="AH53" s="20">
        <f>IF(B53="","",IF(W53&lt;&gt;"",W53,LaborCostHour))</f>
        <v>0</v>
      </c>
      <c r="AI53" s="20">
        <f>IF(B53="","",ROUND(AG53/60*AH53,2))</f>
        <v>0</v>
      </c>
      <c r="AJ53" s="20">
        <f>IF(B53="","",ROUND(IF(Q53="",0,Q53)+IF(R53="",0,R53)+IF(S53="",0,S53)+AG53/60*SuppliesPerHour,2))</f>
        <v>0</v>
      </c>
      <c r="AK53" s="33">
        <f>IF(B53="","",IF(OR(AF53="",AF53=0),"",AB53/AF53))</f>
        <v>0</v>
      </c>
      <c r="AL53" s="20">
        <f>IF(B53="","",ROUND(AF53+AI53+AJ53,2))</f>
        <v>0</v>
      </c>
      <c r="AM53" s="33">
        <f>IF(B53="","",IFERROR(INDEX(Channels!$S$5:$S$18,MATCH(DefaultChannel,Channels!$A$5:$A$18,0)),0))</f>
        <v>0</v>
      </c>
      <c r="AN53" s="20">
        <f>IF(B53="","",IFERROR(INDEX(Channels!$T$5:$T$18,MATCH(DefaultChannel,Channels!$A$5:$A$18,0)),0))</f>
        <v>0</v>
      </c>
      <c r="AO53" s="41">
        <f>IF(B53="","",1-TargetRetailMargin-AM53)</f>
        <v>0</v>
      </c>
      <c r="AP53" s="20">
        <f>IF(B53="","",IF(AO53&lt;=0,"",(AL53+AN53)/AO53))</f>
        <v>0</v>
      </c>
      <c r="AQ53" s="20">
        <f>IF(B53="","",IF(AP53="","Check the settings",ROUND(IF(RoundingRule="None",AP53,IF(RoundingRule="Nearest 0.99",MAX(0.99,CEILING(AP53,1)-0.01),IF(RoundingRule="Nearest 0.95",MAX(0.95,CEILING(AP53,1)-0.05),IF(RoundingRule="Nearest 0.50",CEILING(AP53,0.5),IF(RoundingRule="Nearest 1",CEILING(AP53,1),IF(RoundingRule="Nearest 5",CEILING(AP53,5),IF(RoundingRule="Up to whole 1",CEILING(AP53,1),IF(RoundingRule="Up to whole 5",CEILING(AP53,5),ROUND(AP53,2))))))))),2)))</f>
        <v>0</v>
      </c>
      <c r="AR53" s="20">
        <f>IF(B53="","",IF(X53&lt;&gt;"",X53,IF(ISNUMBER(AQ53),AQ53,"")))</f>
        <v>0</v>
      </c>
      <c r="AS53" s="20">
        <f>IF(B53="","",IF(AR53="","",ROUND(AR53-AL53-(AR53*AM53+AN53),2)))</f>
        <v>0</v>
      </c>
      <c r="AT53" s="33">
        <f>IF(B53="","",IF(OR(AR53="",AR53=0),"",AS53/AR53))</f>
        <v>0</v>
      </c>
      <c r="AU53" s="41">
        <f>IF(B53="","",ROUND(AG53/60,3))</f>
        <v>0</v>
      </c>
      <c r="AV53" s="20">
        <f>IF(B53="","",IF(OR(AU53=0,AU53="",AS53=""),"",ROUND((AS53+AI53)/AU53,2)))</f>
        <v>0</v>
      </c>
      <c r="AW53" s="43">
        <f>IF(B53="","",IF(AND(A53&lt;&gt;"",ISERROR(MATCH(A53,Products!$A$5:$A$304,0))),"Check - no such product ID",IF(AF53=0,"Add - no material cost yet",IF(AG53=0,"Add - how long does it take?",IF(AND(A53&lt;&gt;"",COUNTIFS('Material Usage'!$A$5:$A$904,A53)&gt;0),"Check - this product also has a bill of materials",IF(AND(A53&lt;&gt;"",COUNTIFS(Labor!$A$5:$A$304,A53)&gt;0),"Check - this product also has labour lines",IF(AV53&lt;MinimumWage,"Below - pays under minimum wage","OK")))))) )</f>
        <v>0</v>
      </c>
    </row>
    <row r="54" spans="26:49">
      <c r="Z54" s="45">
        <f>IF(B54="","",IF(F54&lt;&gt;"",F54,IFERROR(INDEX(Materials!$V$5:$V$254,MATCH(D54,Materials!$A$5:$A$254,0)),0)))</f>
        <v>0</v>
      </c>
      <c r="AA54" s="36">
        <f>IF(B54="","",ROUND(IF(E54="",0,E54)*(1+IF(G54="",0,G54)),2))</f>
        <v>0</v>
      </c>
      <c r="AB54" s="20">
        <f>IF(B54="","",ROUND(AA54*Z54-IF(E54="",0,E54)*IF(G54="",0,G54)*IF(H54="",0,H54)*Z54,2))</f>
        <v>0</v>
      </c>
      <c r="AC54" s="20">
        <f>IF(B54="","",ROUND(IF(J54="",0,J54)*IF(K54="",0,K54),2))</f>
        <v>0</v>
      </c>
      <c r="AD54" s="20">
        <f>IF(B54="","",ROUND(IF(L54="",0,L54)*IFERROR(INDEX(Materials!$V$5:$V$254,MATCH(M54,Materials!$A$5:$A$254,0)),0),2))</f>
        <v>0</v>
      </c>
      <c r="AE54" s="20">
        <f>IF(B54="","",ROUND(IF(N54="",0,N54)*IFERROR(INDEX(Materials!$V$5:$V$254,MATCH(O54,Materials!$A$5:$A$254,0)),0),2))</f>
        <v>0</v>
      </c>
      <c r="AF54" s="20">
        <f>IF(B54="","",ROUND(AB54+AC54+AD54+AE54+IF(P54="",0,P54),2))</f>
        <v>0</v>
      </c>
      <c r="AG54" s="36">
        <f>IF(B54="","",IF(T54="",0,T54)+IF(U54="",0,U54)+IF(V54="",0,V54))</f>
        <v>0</v>
      </c>
      <c r="AH54" s="20">
        <f>IF(B54="","",IF(W54&lt;&gt;"",W54,LaborCostHour))</f>
        <v>0</v>
      </c>
      <c r="AI54" s="20">
        <f>IF(B54="","",ROUND(AG54/60*AH54,2))</f>
        <v>0</v>
      </c>
      <c r="AJ54" s="20">
        <f>IF(B54="","",ROUND(IF(Q54="",0,Q54)+IF(R54="",0,R54)+IF(S54="",0,S54)+AG54/60*SuppliesPerHour,2))</f>
        <v>0</v>
      </c>
      <c r="AK54" s="33">
        <f>IF(B54="","",IF(OR(AF54="",AF54=0),"",AB54/AF54))</f>
        <v>0</v>
      </c>
      <c r="AL54" s="20">
        <f>IF(B54="","",ROUND(AF54+AI54+AJ54,2))</f>
        <v>0</v>
      </c>
      <c r="AM54" s="33">
        <f>IF(B54="","",IFERROR(INDEX(Channels!$S$5:$S$18,MATCH(DefaultChannel,Channels!$A$5:$A$18,0)),0))</f>
        <v>0</v>
      </c>
      <c r="AN54" s="20">
        <f>IF(B54="","",IFERROR(INDEX(Channels!$T$5:$T$18,MATCH(DefaultChannel,Channels!$A$5:$A$18,0)),0))</f>
        <v>0</v>
      </c>
      <c r="AO54" s="41">
        <f>IF(B54="","",1-TargetRetailMargin-AM54)</f>
        <v>0</v>
      </c>
      <c r="AP54" s="20">
        <f>IF(B54="","",IF(AO54&lt;=0,"",(AL54+AN54)/AO54))</f>
        <v>0</v>
      </c>
      <c r="AQ54" s="20">
        <f>IF(B54="","",IF(AP54="","Check the settings",ROUND(IF(RoundingRule="None",AP54,IF(RoundingRule="Nearest 0.99",MAX(0.99,CEILING(AP54,1)-0.01),IF(RoundingRule="Nearest 0.95",MAX(0.95,CEILING(AP54,1)-0.05),IF(RoundingRule="Nearest 0.50",CEILING(AP54,0.5),IF(RoundingRule="Nearest 1",CEILING(AP54,1),IF(RoundingRule="Nearest 5",CEILING(AP54,5),IF(RoundingRule="Up to whole 1",CEILING(AP54,1),IF(RoundingRule="Up to whole 5",CEILING(AP54,5),ROUND(AP54,2))))))))),2)))</f>
        <v>0</v>
      </c>
      <c r="AR54" s="20">
        <f>IF(B54="","",IF(X54&lt;&gt;"",X54,IF(ISNUMBER(AQ54),AQ54,"")))</f>
        <v>0</v>
      </c>
      <c r="AS54" s="20">
        <f>IF(B54="","",IF(AR54="","",ROUND(AR54-AL54-(AR54*AM54+AN54),2)))</f>
        <v>0</v>
      </c>
      <c r="AT54" s="33">
        <f>IF(B54="","",IF(OR(AR54="",AR54=0),"",AS54/AR54))</f>
        <v>0</v>
      </c>
      <c r="AU54" s="41">
        <f>IF(B54="","",ROUND(AG54/60,3))</f>
        <v>0</v>
      </c>
      <c r="AV54" s="20">
        <f>IF(B54="","",IF(OR(AU54=0,AU54="",AS54=""),"",ROUND((AS54+AI54)/AU54,2)))</f>
        <v>0</v>
      </c>
      <c r="AW54" s="43">
        <f>IF(B54="","",IF(AND(A54&lt;&gt;"",ISERROR(MATCH(A54,Products!$A$5:$A$304,0))),"Check - no such product ID",IF(AF54=0,"Add - no material cost yet",IF(AG54=0,"Add - how long does it take?",IF(AND(A54&lt;&gt;"",COUNTIFS('Material Usage'!$A$5:$A$904,A54)&gt;0),"Check - this product also has a bill of materials",IF(AND(A54&lt;&gt;"",COUNTIFS(Labor!$A$5:$A$304,A54)&gt;0),"Check - this product also has labour lines",IF(AV54&lt;MinimumWage,"Below - pays under minimum wage","OK")))))) )</f>
        <v>0</v>
      </c>
    </row>
    <row r="55" spans="26:49">
      <c r="Z55" s="45">
        <f>IF(B55="","",IF(F55&lt;&gt;"",F55,IFERROR(INDEX(Materials!$V$5:$V$254,MATCH(D55,Materials!$A$5:$A$254,0)),0)))</f>
        <v>0</v>
      </c>
      <c r="AA55" s="36">
        <f>IF(B55="","",ROUND(IF(E55="",0,E55)*(1+IF(G55="",0,G55)),2))</f>
        <v>0</v>
      </c>
      <c r="AB55" s="20">
        <f>IF(B55="","",ROUND(AA55*Z55-IF(E55="",0,E55)*IF(G55="",0,G55)*IF(H55="",0,H55)*Z55,2))</f>
        <v>0</v>
      </c>
      <c r="AC55" s="20">
        <f>IF(B55="","",ROUND(IF(J55="",0,J55)*IF(K55="",0,K55),2))</f>
        <v>0</v>
      </c>
      <c r="AD55" s="20">
        <f>IF(B55="","",ROUND(IF(L55="",0,L55)*IFERROR(INDEX(Materials!$V$5:$V$254,MATCH(M55,Materials!$A$5:$A$254,0)),0),2))</f>
        <v>0</v>
      </c>
      <c r="AE55" s="20">
        <f>IF(B55="","",ROUND(IF(N55="",0,N55)*IFERROR(INDEX(Materials!$V$5:$V$254,MATCH(O55,Materials!$A$5:$A$254,0)),0),2))</f>
        <v>0</v>
      </c>
      <c r="AF55" s="20">
        <f>IF(B55="","",ROUND(AB55+AC55+AD55+AE55+IF(P55="",0,P55),2))</f>
        <v>0</v>
      </c>
      <c r="AG55" s="36">
        <f>IF(B55="","",IF(T55="",0,T55)+IF(U55="",0,U55)+IF(V55="",0,V55))</f>
        <v>0</v>
      </c>
      <c r="AH55" s="20">
        <f>IF(B55="","",IF(W55&lt;&gt;"",W55,LaborCostHour))</f>
        <v>0</v>
      </c>
      <c r="AI55" s="20">
        <f>IF(B55="","",ROUND(AG55/60*AH55,2))</f>
        <v>0</v>
      </c>
      <c r="AJ55" s="20">
        <f>IF(B55="","",ROUND(IF(Q55="",0,Q55)+IF(R55="",0,R55)+IF(S55="",0,S55)+AG55/60*SuppliesPerHour,2))</f>
        <v>0</v>
      </c>
      <c r="AK55" s="33">
        <f>IF(B55="","",IF(OR(AF55="",AF55=0),"",AB55/AF55))</f>
        <v>0</v>
      </c>
      <c r="AL55" s="20">
        <f>IF(B55="","",ROUND(AF55+AI55+AJ55,2))</f>
        <v>0</v>
      </c>
      <c r="AM55" s="33">
        <f>IF(B55="","",IFERROR(INDEX(Channels!$S$5:$S$18,MATCH(DefaultChannel,Channels!$A$5:$A$18,0)),0))</f>
        <v>0</v>
      </c>
      <c r="AN55" s="20">
        <f>IF(B55="","",IFERROR(INDEX(Channels!$T$5:$T$18,MATCH(DefaultChannel,Channels!$A$5:$A$18,0)),0))</f>
        <v>0</v>
      </c>
      <c r="AO55" s="41">
        <f>IF(B55="","",1-TargetRetailMargin-AM55)</f>
        <v>0</v>
      </c>
      <c r="AP55" s="20">
        <f>IF(B55="","",IF(AO55&lt;=0,"",(AL55+AN55)/AO55))</f>
        <v>0</v>
      </c>
      <c r="AQ55" s="20">
        <f>IF(B55="","",IF(AP55="","Check the settings",ROUND(IF(RoundingRule="None",AP55,IF(RoundingRule="Nearest 0.99",MAX(0.99,CEILING(AP55,1)-0.01),IF(RoundingRule="Nearest 0.95",MAX(0.95,CEILING(AP55,1)-0.05),IF(RoundingRule="Nearest 0.50",CEILING(AP55,0.5),IF(RoundingRule="Nearest 1",CEILING(AP55,1),IF(RoundingRule="Nearest 5",CEILING(AP55,5),IF(RoundingRule="Up to whole 1",CEILING(AP55,1),IF(RoundingRule="Up to whole 5",CEILING(AP55,5),ROUND(AP55,2))))))))),2)))</f>
        <v>0</v>
      </c>
      <c r="AR55" s="20">
        <f>IF(B55="","",IF(X55&lt;&gt;"",X55,IF(ISNUMBER(AQ55),AQ55,"")))</f>
        <v>0</v>
      </c>
      <c r="AS55" s="20">
        <f>IF(B55="","",IF(AR55="","",ROUND(AR55-AL55-(AR55*AM55+AN55),2)))</f>
        <v>0</v>
      </c>
      <c r="AT55" s="33">
        <f>IF(B55="","",IF(OR(AR55="",AR55=0),"",AS55/AR55))</f>
        <v>0</v>
      </c>
      <c r="AU55" s="41">
        <f>IF(B55="","",ROUND(AG55/60,3))</f>
        <v>0</v>
      </c>
      <c r="AV55" s="20">
        <f>IF(B55="","",IF(OR(AU55=0,AU55="",AS55=""),"",ROUND((AS55+AI55)/AU55,2)))</f>
        <v>0</v>
      </c>
      <c r="AW55" s="43">
        <f>IF(B55="","",IF(AND(A55&lt;&gt;"",ISERROR(MATCH(A55,Products!$A$5:$A$304,0))),"Check - no such product ID",IF(AF55=0,"Add - no material cost yet",IF(AG55=0,"Add - how long does it take?",IF(AND(A55&lt;&gt;"",COUNTIFS('Material Usage'!$A$5:$A$904,A55)&gt;0),"Check - this product also has a bill of materials",IF(AND(A55&lt;&gt;"",COUNTIFS(Labor!$A$5:$A$304,A55)&gt;0),"Check - this product also has labour lines",IF(AV55&lt;MinimumWage,"Below - pays under minimum wage","OK")))))) )</f>
        <v>0</v>
      </c>
    </row>
    <row r="56" spans="26:49">
      <c r="Z56" s="45">
        <f>IF(B56="","",IF(F56&lt;&gt;"",F56,IFERROR(INDEX(Materials!$V$5:$V$254,MATCH(D56,Materials!$A$5:$A$254,0)),0)))</f>
        <v>0</v>
      </c>
      <c r="AA56" s="36">
        <f>IF(B56="","",ROUND(IF(E56="",0,E56)*(1+IF(G56="",0,G56)),2))</f>
        <v>0</v>
      </c>
      <c r="AB56" s="20">
        <f>IF(B56="","",ROUND(AA56*Z56-IF(E56="",0,E56)*IF(G56="",0,G56)*IF(H56="",0,H56)*Z56,2))</f>
        <v>0</v>
      </c>
      <c r="AC56" s="20">
        <f>IF(B56="","",ROUND(IF(J56="",0,J56)*IF(K56="",0,K56),2))</f>
        <v>0</v>
      </c>
      <c r="AD56" s="20">
        <f>IF(B56="","",ROUND(IF(L56="",0,L56)*IFERROR(INDEX(Materials!$V$5:$V$254,MATCH(M56,Materials!$A$5:$A$254,0)),0),2))</f>
        <v>0</v>
      </c>
      <c r="AE56" s="20">
        <f>IF(B56="","",ROUND(IF(N56="",0,N56)*IFERROR(INDEX(Materials!$V$5:$V$254,MATCH(O56,Materials!$A$5:$A$254,0)),0),2))</f>
        <v>0</v>
      </c>
      <c r="AF56" s="20">
        <f>IF(B56="","",ROUND(AB56+AC56+AD56+AE56+IF(P56="",0,P56),2))</f>
        <v>0</v>
      </c>
      <c r="AG56" s="36">
        <f>IF(B56="","",IF(T56="",0,T56)+IF(U56="",0,U56)+IF(V56="",0,V56))</f>
        <v>0</v>
      </c>
      <c r="AH56" s="20">
        <f>IF(B56="","",IF(W56&lt;&gt;"",W56,LaborCostHour))</f>
        <v>0</v>
      </c>
      <c r="AI56" s="20">
        <f>IF(B56="","",ROUND(AG56/60*AH56,2))</f>
        <v>0</v>
      </c>
      <c r="AJ56" s="20">
        <f>IF(B56="","",ROUND(IF(Q56="",0,Q56)+IF(R56="",0,R56)+IF(S56="",0,S56)+AG56/60*SuppliesPerHour,2))</f>
        <v>0</v>
      </c>
      <c r="AK56" s="33">
        <f>IF(B56="","",IF(OR(AF56="",AF56=0),"",AB56/AF56))</f>
        <v>0</v>
      </c>
      <c r="AL56" s="20">
        <f>IF(B56="","",ROUND(AF56+AI56+AJ56,2))</f>
        <v>0</v>
      </c>
      <c r="AM56" s="33">
        <f>IF(B56="","",IFERROR(INDEX(Channels!$S$5:$S$18,MATCH(DefaultChannel,Channels!$A$5:$A$18,0)),0))</f>
        <v>0</v>
      </c>
      <c r="AN56" s="20">
        <f>IF(B56="","",IFERROR(INDEX(Channels!$T$5:$T$18,MATCH(DefaultChannel,Channels!$A$5:$A$18,0)),0))</f>
        <v>0</v>
      </c>
      <c r="AO56" s="41">
        <f>IF(B56="","",1-TargetRetailMargin-AM56)</f>
        <v>0</v>
      </c>
      <c r="AP56" s="20">
        <f>IF(B56="","",IF(AO56&lt;=0,"",(AL56+AN56)/AO56))</f>
        <v>0</v>
      </c>
      <c r="AQ56" s="20">
        <f>IF(B56="","",IF(AP56="","Check the settings",ROUND(IF(RoundingRule="None",AP56,IF(RoundingRule="Nearest 0.99",MAX(0.99,CEILING(AP56,1)-0.01),IF(RoundingRule="Nearest 0.95",MAX(0.95,CEILING(AP56,1)-0.05),IF(RoundingRule="Nearest 0.50",CEILING(AP56,0.5),IF(RoundingRule="Nearest 1",CEILING(AP56,1),IF(RoundingRule="Nearest 5",CEILING(AP56,5),IF(RoundingRule="Up to whole 1",CEILING(AP56,1),IF(RoundingRule="Up to whole 5",CEILING(AP56,5),ROUND(AP56,2))))))))),2)))</f>
        <v>0</v>
      </c>
      <c r="AR56" s="20">
        <f>IF(B56="","",IF(X56&lt;&gt;"",X56,IF(ISNUMBER(AQ56),AQ56,"")))</f>
        <v>0</v>
      </c>
      <c r="AS56" s="20">
        <f>IF(B56="","",IF(AR56="","",ROUND(AR56-AL56-(AR56*AM56+AN56),2)))</f>
        <v>0</v>
      </c>
      <c r="AT56" s="33">
        <f>IF(B56="","",IF(OR(AR56="",AR56=0),"",AS56/AR56))</f>
        <v>0</v>
      </c>
      <c r="AU56" s="41">
        <f>IF(B56="","",ROUND(AG56/60,3))</f>
        <v>0</v>
      </c>
      <c r="AV56" s="20">
        <f>IF(B56="","",IF(OR(AU56=0,AU56="",AS56=""),"",ROUND((AS56+AI56)/AU56,2)))</f>
        <v>0</v>
      </c>
      <c r="AW56" s="43">
        <f>IF(B56="","",IF(AND(A56&lt;&gt;"",ISERROR(MATCH(A56,Products!$A$5:$A$304,0))),"Check - no such product ID",IF(AF56=0,"Add - no material cost yet",IF(AG56=0,"Add - how long does it take?",IF(AND(A56&lt;&gt;"",COUNTIFS('Material Usage'!$A$5:$A$904,A56)&gt;0),"Check - this product also has a bill of materials",IF(AND(A56&lt;&gt;"",COUNTIFS(Labor!$A$5:$A$304,A56)&gt;0),"Check - this product also has labour lines",IF(AV56&lt;MinimumWage,"Below - pays under minimum wage","OK")))))) )</f>
        <v>0</v>
      </c>
    </row>
    <row r="57" spans="26:49">
      <c r="Z57" s="45">
        <f>IF(B57="","",IF(F57&lt;&gt;"",F57,IFERROR(INDEX(Materials!$V$5:$V$254,MATCH(D57,Materials!$A$5:$A$254,0)),0)))</f>
        <v>0</v>
      </c>
      <c r="AA57" s="36">
        <f>IF(B57="","",ROUND(IF(E57="",0,E57)*(1+IF(G57="",0,G57)),2))</f>
        <v>0</v>
      </c>
      <c r="AB57" s="20">
        <f>IF(B57="","",ROUND(AA57*Z57-IF(E57="",0,E57)*IF(G57="",0,G57)*IF(H57="",0,H57)*Z57,2))</f>
        <v>0</v>
      </c>
      <c r="AC57" s="20">
        <f>IF(B57="","",ROUND(IF(J57="",0,J57)*IF(K57="",0,K57),2))</f>
        <v>0</v>
      </c>
      <c r="AD57" s="20">
        <f>IF(B57="","",ROUND(IF(L57="",0,L57)*IFERROR(INDEX(Materials!$V$5:$V$254,MATCH(M57,Materials!$A$5:$A$254,0)),0),2))</f>
        <v>0</v>
      </c>
      <c r="AE57" s="20">
        <f>IF(B57="","",ROUND(IF(N57="",0,N57)*IFERROR(INDEX(Materials!$V$5:$V$254,MATCH(O57,Materials!$A$5:$A$254,0)),0),2))</f>
        <v>0</v>
      </c>
      <c r="AF57" s="20">
        <f>IF(B57="","",ROUND(AB57+AC57+AD57+AE57+IF(P57="",0,P57),2))</f>
        <v>0</v>
      </c>
      <c r="AG57" s="36">
        <f>IF(B57="","",IF(T57="",0,T57)+IF(U57="",0,U57)+IF(V57="",0,V57))</f>
        <v>0</v>
      </c>
      <c r="AH57" s="20">
        <f>IF(B57="","",IF(W57&lt;&gt;"",W57,LaborCostHour))</f>
        <v>0</v>
      </c>
      <c r="AI57" s="20">
        <f>IF(B57="","",ROUND(AG57/60*AH57,2))</f>
        <v>0</v>
      </c>
      <c r="AJ57" s="20">
        <f>IF(B57="","",ROUND(IF(Q57="",0,Q57)+IF(R57="",0,R57)+IF(S57="",0,S57)+AG57/60*SuppliesPerHour,2))</f>
        <v>0</v>
      </c>
      <c r="AK57" s="33">
        <f>IF(B57="","",IF(OR(AF57="",AF57=0),"",AB57/AF57))</f>
        <v>0</v>
      </c>
      <c r="AL57" s="20">
        <f>IF(B57="","",ROUND(AF57+AI57+AJ57,2))</f>
        <v>0</v>
      </c>
      <c r="AM57" s="33">
        <f>IF(B57="","",IFERROR(INDEX(Channels!$S$5:$S$18,MATCH(DefaultChannel,Channels!$A$5:$A$18,0)),0))</f>
        <v>0</v>
      </c>
      <c r="AN57" s="20">
        <f>IF(B57="","",IFERROR(INDEX(Channels!$T$5:$T$18,MATCH(DefaultChannel,Channels!$A$5:$A$18,0)),0))</f>
        <v>0</v>
      </c>
      <c r="AO57" s="41">
        <f>IF(B57="","",1-TargetRetailMargin-AM57)</f>
        <v>0</v>
      </c>
      <c r="AP57" s="20">
        <f>IF(B57="","",IF(AO57&lt;=0,"",(AL57+AN57)/AO57))</f>
        <v>0</v>
      </c>
      <c r="AQ57" s="20">
        <f>IF(B57="","",IF(AP57="","Check the settings",ROUND(IF(RoundingRule="None",AP57,IF(RoundingRule="Nearest 0.99",MAX(0.99,CEILING(AP57,1)-0.01),IF(RoundingRule="Nearest 0.95",MAX(0.95,CEILING(AP57,1)-0.05),IF(RoundingRule="Nearest 0.50",CEILING(AP57,0.5),IF(RoundingRule="Nearest 1",CEILING(AP57,1),IF(RoundingRule="Nearest 5",CEILING(AP57,5),IF(RoundingRule="Up to whole 1",CEILING(AP57,1),IF(RoundingRule="Up to whole 5",CEILING(AP57,5),ROUND(AP57,2))))))))),2)))</f>
        <v>0</v>
      </c>
      <c r="AR57" s="20">
        <f>IF(B57="","",IF(X57&lt;&gt;"",X57,IF(ISNUMBER(AQ57),AQ57,"")))</f>
        <v>0</v>
      </c>
      <c r="AS57" s="20">
        <f>IF(B57="","",IF(AR57="","",ROUND(AR57-AL57-(AR57*AM57+AN57),2)))</f>
        <v>0</v>
      </c>
      <c r="AT57" s="33">
        <f>IF(B57="","",IF(OR(AR57="",AR57=0),"",AS57/AR57))</f>
        <v>0</v>
      </c>
      <c r="AU57" s="41">
        <f>IF(B57="","",ROUND(AG57/60,3))</f>
        <v>0</v>
      </c>
      <c r="AV57" s="20">
        <f>IF(B57="","",IF(OR(AU57=0,AU57="",AS57=""),"",ROUND((AS57+AI57)/AU57,2)))</f>
        <v>0</v>
      </c>
      <c r="AW57" s="43">
        <f>IF(B57="","",IF(AND(A57&lt;&gt;"",ISERROR(MATCH(A57,Products!$A$5:$A$304,0))),"Check - no such product ID",IF(AF57=0,"Add - no material cost yet",IF(AG57=0,"Add - how long does it take?",IF(AND(A57&lt;&gt;"",COUNTIFS('Material Usage'!$A$5:$A$904,A57)&gt;0),"Check - this product also has a bill of materials",IF(AND(A57&lt;&gt;"",COUNTIFS(Labor!$A$5:$A$304,A57)&gt;0),"Check - this product also has labour lines",IF(AV57&lt;MinimumWage,"Below - pays under minimum wage","OK")))))) )</f>
        <v>0</v>
      </c>
    </row>
    <row r="58" spans="26:49">
      <c r="Z58" s="45">
        <f>IF(B58="","",IF(F58&lt;&gt;"",F58,IFERROR(INDEX(Materials!$V$5:$V$254,MATCH(D58,Materials!$A$5:$A$254,0)),0)))</f>
        <v>0</v>
      </c>
      <c r="AA58" s="36">
        <f>IF(B58="","",ROUND(IF(E58="",0,E58)*(1+IF(G58="",0,G58)),2))</f>
        <v>0</v>
      </c>
      <c r="AB58" s="20">
        <f>IF(B58="","",ROUND(AA58*Z58-IF(E58="",0,E58)*IF(G58="",0,G58)*IF(H58="",0,H58)*Z58,2))</f>
        <v>0</v>
      </c>
      <c r="AC58" s="20">
        <f>IF(B58="","",ROUND(IF(J58="",0,J58)*IF(K58="",0,K58),2))</f>
        <v>0</v>
      </c>
      <c r="AD58" s="20">
        <f>IF(B58="","",ROUND(IF(L58="",0,L58)*IFERROR(INDEX(Materials!$V$5:$V$254,MATCH(M58,Materials!$A$5:$A$254,0)),0),2))</f>
        <v>0</v>
      </c>
      <c r="AE58" s="20">
        <f>IF(B58="","",ROUND(IF(N58="",0,N58)*IFERROR(INDEX(Materials!$V$5:$V$254,MATCH(O58,Materials!$A$5:$A$254,0)),0),2))</f>
        <v>0</v>
      </c>
      <c r="AF58" s="20">
        <f>IF(B58="","",ROUND(AB58+AC58+AD58+AE58+IF(P58="",0,P58),2))</f>
        <v>0</v>
      </c>
      <c r="AG58" s="36">
        <f>IF(B58="","",IF(T58="",0,T58)+IF(U58="",0,U58)+IF(V58="",0,V58))</f>
        <v>0</v>
      </c>
      <c r="AH58" s="20">
        <f>IF(B58="","",IF(W58&lt;&gt;"",W58,LaborCostHour))</f>
        <v>0</v>
      </c>
      <c r="AI58" s="20">
        <f>IF(B58="","",ROUND(AG58/60*AH58,2))</f>
        <v>0</v>
      </c>
      <c r="AJ58" s="20">
        <f>IF(B58="","",ROUND(IF(Q58="",0,Q58)+IF(R58="",0,R58)+IF(S58="",0,S58)+AG58/60*SuppliesPerHour,2))</f>
        <v>0</v>
      </c>
      <c r="AK58" s="33">
        <f>IF(B58="","",IF(OR(AF58="",AF58=0),"",AB58/AF58))</f>
        <v>0</v>
      </c>
      <c r="AL58" s="20">
        <f>IF(B58="","",ROUND(AF58+AI58+AJ58,2))</f>
        <v>0</v>
      </c>
      <c r="AM58" s="33">
        <f>IF(B58="","",IFERROR(INDEX(Channels!$S$5:$S$18,MATCH(DefaultChannel,Channels!$A$5:$A$18,0)),0))</f>
        <v>0</v>
      </c>
      <c r="AN58" s="20">
        <f>IF(B58="","",IFERROR(INDEX(Channels!$T$5:$T$18,MATCH(DefaultChannel,Channels!$A$5:$A$18,0)),0))</f>
        <v>0</v>
      </c>
      <c r="AO58" s="41">
        <f>IF(B58="","",1-TargetRetailMargin-AM58)</f>
        <v>0</v>
      </c>
      <c r="AP58" s="20">
        <f>IF(B58="","",IF(AO58&lt;=0,"",(AL58+AN58)/AO58))</f>
        <v>0</v>
      </c>
      <c r="AQ58" s="20">
        <f>IF(B58="","",IF(AP58="","Check the settings",ROUND(IF(RoundingRule="None",AP58,IF(RoundingRule="Nearest 0.99",MAX(0.99,CEILING(AP58,1)-0.01),IF(RoundingRule="Nearest 0.95",MAX(0.95,CEILING(AP58,1)-0.05),IF(RoundingRule="Nearest 0.50",CEILING(AP58,0.5),IF(RoundingRule="Nearest 1",CEILING(AP58,1),IF(RoundingRule="Nearest 5",CEILING(AP58,5),IF(RoundingRule="Up to whole 1",CEILING(AP58,1),IF(RoundingRule="Up to whole 5",CEILING(AP58,5),ROUND(AP58,2))))))))),2)))</f>
        <v>0</v>
      </c>
      <c r="AR58" s="20">
        <f>IF(B58="","",IF(X58&lt;&gt;"",X58,IF(ISNUMBER(AQ58),AQ58,"")))</f>
        <v>0</v>
      </c>
      <c r="AS58" s="20">
        <f>IF(B58="","",IF(AR58="","",ROUND(AR58-AL58-(AR58*AM58+AN58),2)))</f>
        <v>0</v>
      </c>
      <c r="AT58" s="33">
        <f>IF(B58="","",IF(OR(AR58="",AR58=0),"",AS58/AR58))</f>
        <v>0</v>
      </c>
      <c r="AU58" s="41">
        <f>IF(B58="","",ROUND(AG58/60,3))</f>
        <v>0</v>
      </c>
      <c r="AV58" s="20">
        <f>IF(B58="","",IF(OR(AU58=0,AU58="",AS58=""),"",ROUND((AS58+AI58)/AU58,2)))</f>
        <v>0</v>
      </c>
      <c r="AW58" s="43">
        <f>IF(B58="","",IF(AND(A58&lt;&gt;"",ISERROR(MATCH(A58,Products!$A$5:$A$304,0))),"Check - no such product ID",IF(AF58=0,"Add - no material cost yet",IF(AG58=0,"Add - how long does it take?",IF(AND(A58&lt;&gt;"",COUNTIFS('Material Usage'!$A$5:$A$904,A58)&gt;0),"Check - this product also has a bill of materials",IF(AND(A58&lt;&gt;"",COUNTIFS(Labor!$A$5:$A$304,A58)&gt;0),"Check - this product also has labour lines",IF(AV58&lt;MinimumWage,"Below - pays under minimum wage","OK")))))) )</f>
        <v>0</v>
      </c>
    </row>
    <row r="59" spans="26:49">
      <c r="Z59" s="45">
        <f>IF(B59="","",IF(F59&lt;&gt;"",F59,IFERROR(INDEX(Materials!$V$5:$V$254,MATCH(D59,Materials!$A$5:$A$254,0)),0)))</f>
        <v>0</v>
      </c>
      <c r="AA59" s="36">
        <f>IF(B59="","",ROUND(IF(E59="",0,E59)*(1+IF(G59="",0,G59)),2))</f>
        <v>0</v>
      </c>
      <c r="AB59" s="20">
        <f>IF(B59="","",ROUND(AA59*Z59-IF(E59="",0,E59)*IF(G59="",0,G59)*IF(H59="",0,H59)*Z59,2))</f>
        <v>0</v>
      </c>
      <c r="AC59" s="20">
        <f>IF(B59="","",ROUND(IF(J59="",0,J59)*IF(K59="",0,K59),2))</f>
        <v>0</v>
      </c>
      <c r="AD59" s="20">
        <f>IF(B59="","",ROUND(IF(L59="",0,L59)*IFERROR(INDEX(Materials!$V$5:$V$254,MATCH(M59,Materials!$A$5:$A$254,0)),0),2))</f>
        <v>0</v>
      </c>
      <c r="AE59" s="20">
        <f>IF(B59="","",ROUND(IF(N59="",0,N59)*IFERROR(INDEX(Materials!$V$5:$V$254,MATCH(O59,Materials!$A$5:$A$254,0)),0),2))</f>
        <v>0</v>
      </c>
      <c r="AF59" s="20">
        <f>IF(B59="","",ROUND(AB59+AC59+AD59+AE59+IF(P59="",0,P59),2))</f>
        <v>0</v>
      </c>
      <c r="AG59" s="36">
        <f>IF(B59="","",IF(T59="",0,T59)+IF(U59="",0,U59)+IF(V59="",0,V59))</f>
        <v>0</v>
      </c>
      <c r="AH59" s="20">
        <f>IF(B59="","",IF(W59&lt;&gt;"",W59,LaborCostHour))</f>
        <v>0</v>
      </c>
      <c r="AI59" s="20">
        <f>IF(B59="","",ROUND(AG59/60*AH59,2))</f>
        <v>0</v>
      </c>
      <c r="AJ59" s="20">
        <f>IF(B59="","",ROUND(IF(Q59="",0,Q59)+IF(R59="",0,R59)+IF(S59="",0,S59)+AG59/60*SuppliesPerHour,2))</f>
        <v>0</v>
      </c>
      <c r="AK59" s="33">
        <f>IF(B59="","",IF(OR(AF59="",AF59=0),"",AB59/AF59))</f>
        <v>0</v>
      </c>
      <c r="AL59" s="20">
        <f>IF(B59="","",ROUND(AF59+AI59+AJ59,2))</f>
        <v>0</v>
      </c>
      <c r="AM59" s="33">
        <f>IF(B59="","",IFERROR(INDEX(Channels!$S$5:$S$18,MATCH(DefaultChannel,Channels!$A$5:$A$18,0)),0))</f>
        <v>0</v>
      </c>
      <c r="AN59" s="20">
        <f>IF(B59="","",IFERROR(INDEX(Channels!$T$5:$T$18,MATCH(DefaultChannel,Channels!$A$5:$A$18,0)),0))</f>
        <v>0</v>
      </c>
      <c r="AO59" s="41">
        <f>IF(B59="","",1-TargetRetailMargin-AM59)</f>
        <v>0</v>
      </c>
      <c r="AP59" s="20">
        <f>IF(B59="","",IF(AO59&lt;=0,"",(AL59+AN59)/AO59))</f>
        <v>0</v>
      </c>
      <c r="AQ59" s="20">
        <f>IF(B59="","",IF(AP59="","Check the settings",ROUND(IF(RoundingRule="None",AP59,IF(RoundingRule="Nearest 0.99",MAX(0.99,CEILING(AP59,1)-0.01),IF(RoundingRule="Nearest 0.95",MAX(0.95,CEILING(AP59,1)-0.05),IF(RoundingRule="Nearest 0.50",CEILING(AP59,0.5),IF(RoundingRule="Nearest 1",CEILING(AP59,1),IF(RoundingRule="Nearest 5",CEILING(AP59,5),IF(RoundingRule="Up to whole 1",CEILING(AP59,1),IF(RoundingRule="Up to whole 5",CEILING(AP59,5),ROUND(AP59,2))))))))),2)))</f>
        <v>0</v>
      </c>
      <c r="AR59" s="20">
        <f>IF(B59="","",IF(X59&lt;&gt;"",X59,IF(ISNUMBER(AQ59),AQ59,"")))</f>
        <v>0</v>
      </c>
      <c r="AS59" s="20">
        <f>IF(B59="","",IF(AR59="","",ROUND(AR59-AL59-(AR59*AM59+AN59),2)))</f>
        <v>0</v>
      </c>
      <c r="AT59" s="33">
        <f>IF(B59="","",IF(OR(AR59="",AR59=0),"",AS59/AR59))</f>
        <v>0</v>
      </c>
      <c r="AU59" s="41">
        <f>IF(B59="","",ROUND(AG59/60,3))</f>
        <v>0</v>
      </c>
      <c r="AV59" s="20">
        <f>IF(B59="","",IF(OR(AU59=0,AU59="",AS59=""),"",ROUND((AS59+AI59)/AU59,2)))</f>
        <v>0</v>
      </c>
      <c r="AW59" s="43">
        <f>IF(B59="","",IF(AND(A59&lt;&gt;"",ISERROR(MATCH(A59,Products!$A$5:$A$304,0))),"Check - no such product ID",IF(AF59=0,"Add - no material cost yet",IF(AG59=0,"Add - how long does it take?",IF(AND(A59&lt;&gt;"",COUNTIFS('Material Usage'!$A$5:$A$904,A59)&gt;0),"Check - this product also has a bill of materials",IF(AND(A59&lt;&gt;"",COUNTIFS(Labor!$A$5:$A$304,A59)&gt;0),"Check - this product also has labour lines",IF(AV59&lt;MinimumWage,"Below - pays under minimum wage","OK")))))) )</f>
        <v>0</v>
      </c>
    </row>
    <row r="60" spans="26:49">
      <c r="Z60" s="45">
        <f>IF(B60="","",IF(F60&lt;&gt;"",F60,IFERROR(INDEX(Materials!$V$5:$V$254,MATCH(D60,Materials!$A$5:$A$254,0)),0)))</f>
        <v>0</v>
      </c>
      <c r="AA60" s="36">
        <f>IF(B60="","",ROUND(IF(E60="",0,E60)*(1+IF(G60="",0,G60)),2))</f>
        <v>0</v>
      </c>
      <c r="AB60" s="20">
        <f>IF(B60="","",ROUND(AA60*Z60-IF(E60="",0,E60)*IF(G60="",0,G60)*IF(H60="",0,H60)*Z60,2))</f>
        <v>0</v>
      </c>
      <c r="AC60" s="20">
        <f>IF(B60="","",ROUND(IF(J60="",0,J60)*IF(K60="",0,K60),2))</f>
        <v>0</v>
      </c>
      <c r="AD60" s="20">
        <f>IF(B60="","",ROUND(IF(L60="",0,L60)*IFERROR(INDEX(Materials!$V$5:$V$254,MATCH(M60,Materials!$A$5:$A$254,0)),0),2))</f>
        <v>0</v>
      </c>
      <c r="AE60" s="20">
        <f>IF(B60="","",ROUND(IF(N60="",0,N60)*IFERROR(INDEX(Materials!$V$5:$V$254,MATCH(O60,Materials!$A$5:$A$254,0)),0),2))</f>
        <v>0</v>
      </c>
      <c r="AF60" s="20">
        <f>IF(B60="","",ROUND(AB60+AC60+AD60+AE60+IF(P60="",0,P60),2))</f>
        <v>0</v>
      </c>
      <c r="AG60" s="36">
        <f>IF(B60="","",IF(T60="",0,T60)+IF(U60="",0,U60)+IF(V60="",0,V60))</f>
        <v>0</v>
      </c>
      <c r="AH60" s="20">
        <f>IF(B60="","",IF(W60&lt;&gt;"",W60,LaborCostHour))</f>
        <v>0</v>
      </c>
      <c r="AI60" s="20">
        <f>IF(B60="","",ROUND(AG60/60*AH60,2))</f>
        <v>0</v>
      </c>
      <c r="AJ60" s="20">
        <f>IF(B60="","",ROUND(IF(Q60="",0,Q60)+IF(R60="",0,R60)+IF(S60="",0,S60)+AG60/60*SuppliesPerHour,2))</f>
        <v>0</v>
      </c>
      <c r="AK60" s="33">
        <f>IF(B60="","",IF(OR(AF60="",AF60=0),"",AB60/AF60))</f>
        <v>0</v>
      </c>
      <c r="AL60" s="20">
        <f>IF(B60="","",ROUND(AF60+AI60+AJ60,2))</f>
        <v>0</v>
      </c>
      <c r="AM60" s="33">
        <f>IF(B60="","",IFERROR(INDEX(Channels!$S$5:$S$18,MATCH(DefaultChannel,Channels!$A$5:$A$18,0)),0))</f>
        <v>0</v>
      </c>
      <c r="AN60" s="20">
        <f>IF(B60="","",IFERROR(INDEX(Channels!$T$5:$T$18,MATCH(DefaultChannel,Channels!$A$5:$A$18,0)),0))</f>
        <v>0</v>
      </c>
      <c r="AO60" s="41">
        <f>IF(B60="","",1-TargetRetailMargin-AM60)</f>
        <v>0</v>
      </c>
      <c r="AP60" s="20">
        <f>IF(B60="","",IF(AO60&lt;=0,"",(AL60+AN60)/AO60))</f>
        <v>0</v>
      </c>
      <c r="AQ60" s="20">
        <f>IF(B60="","",IF(AP60="","Check the settings",ROUND(IF(RoundingRule="None",AP60,IF(RoundingRule="Nearest 0.99",MAX(0.99,CEILING(AP60,1)-0.01),IF(RoundingRule="Nearest 0.95",MAX(0.95,CEILING(AP60,1)-0.05),IF(RoundingRule="Nearest 0.50",CEILING(AP60,0.5),IF(RoundingRule="Nearest 1",CEILING(AP60,1),IF(RoundingRule="Nearest 5",CEILING(AP60,5),IF(RoundingRule="Up to whole 1",CEILING(AP60,1),IF(RoundingRule="Up to whole 5",CEILING(AP60,5),ROUND(AP60,2))))))))),2)))</f>
        <v>0</v>
      </c>
      <c r="AR60" s="20">
        <f>IF(B60="","",IF(X60&lt;&gt;"",X60,IF(ISNUMBER(AQ60),AQ60,"")))</f>
        <v>0</v>
      </c>
      <c r="AS60" s="20">
        <f>IF(B60="","",IF(AR60="","",ROUND(AR60-AL60-(AR60*AM60+AN60),2)))</f>
        <v>0</v>
      </c>
      <c r="AT60" s="33">
        <f>IF(B60="","",IF(OR(AR60="",AR60=0),"",AS60/AR60))</f>
        <v>0</v>
      </c>
      <c r="AU60" s="41">
        <f>IF(B60="","",ROUND(AG60/60,3))</f>
        <v>0</v>
      </c>
      <c r="AV60" s="20">
        <f>IF(B60="","",IF(OR(AU60=0,AU60="",AS60=""),"",ROUND((AS60+AI60)/AU60,2)))</f>
        <v>0</v>
      </c>
      <c r="AW60" s="43">
        <f>IF(B60="","",IF(AND(A60&lt;&gt;"",ISERROR(MATCH(A60,Products!$A$5:$A$304,0))),"Check - no such product ID",IF(AF60=0,"Add - no material cost yet",IF(AG60=0,"Add - how long does it take?",IF(AND(A60&lt;&gt;"",COUNTIFS('Material Usage'!$A$5:$A$904,A60)&gt;0),"Check - this product also has a bill of materials",IF(AND(A60&lt;&gt;"",COUNTIFS(Labor!$A$5:$A$304,A60)&gt;0),"Check - this product also has labour lines",IF(AV60&lt;MinimumWage,"Below - pays under minimum wage","OK")))))) )</f>
        <v>0</v>
      </c>
    </row>
    <row r="61" spans="26:49">
      <c r="Z61" s="45">
        <f>IF(B61="","",IF(F61&lt;&gt;"",F61,IFERROR(INDEX(Materials!$V$5:$V$254,MATCH(D61,Materials!$A$5:$A$254,0)),0)))</f>
        <v>0</v>
      </c>
      <c r="AA61" s="36">
        <f>IF(B61="","",ROUND(IF(E61="",0,E61)*(1+IF(G61="",0,G61)),2))</f>
        <v>0</v>
      </c>
      <c r="AB61" s="20">
        <f>IF(B61="","",ROUND(AA61*Z61-IF(E61="",0,E61)*IF(G61="",0,G61)*IF(H61="",0,H61)*Z61,2))</f>
        <v>0</v>
      </c>
      <c r="AC61" s="20">
        <f>IF(B61="","",ROUND(IF(J61="",0,J61)*IF(K61="",0,K61),2))</f>
        <v>0</v>
      </c>
      <c r="AD61" s="20">
        <f>IF(B61="","",ROUND(IF(L61="",0,L61)*IFERROR(INDEX(Materials!$V$5:$V$254,MATCH(M61,Materials!$A$5:$A$254,0)),0),2))</f>
        <v>0</v>
      </c>
      <c r="AE61" s="20">
        <f>IF(B61="","",ROUND(IF(N61="",0,N61)*IFERROR(INDEX(Materials!$V$5:$V$254,MATCH(O61,Materials!$A$5:$A$254,0)),0),2))</f>
        <v>0</v>
      </c>
      <c r="AF61" s="20">
        <f>IF(B61="","",ROUND(AB61+AC61+AD61+AE61+IF(P61="",0,P61),2))</f>
        <v>0</v>
      </c>
      <c r="AG61" s="36">
        <f>IF(B61="","",IF(T61="",0,T61)+IF(U61="",0,U61)+IF(V61="",0,V61))</f>
        <v>0</v>
      </c>
      <c r="AH61" s="20">
        <f>IF(B61="","",IF(W61&lt;&gt;"",W61,LaborCostHour))</f>
        <v>0</v>
      </c>
      <c r="AI61" s="20">
        <f>IF(B61="","",ROUND(AG61/60*AH61,2))</f>
        <v>0</v>
      </c>
      <c r="AJ61" s="20">
        <f>IF(B61="","",ROUND(IF(Q61="",0,Q61)+IF(R61="",0,R61)+IF(S61="",0,S61)+AG61/60*SuppliesPerHour,2))</f>
        <v>0</v>
      </c>
      <c r="AK61" s="33">
        <f>IF(B61="","",IF(OR(AF61="",AF61=0),"",AB61/AF61))</f>
        <v>0</v>
      </c>
      <c r="AL61" s="20">
        <f>IF(B61="","",ROUND(AF61+AI61+AJ61,2))</f>
        <v>0</v>
      </c>
      <c r="AM61" s="33">
        <f>IF(B61="","",IFERROR(INDEX(Channels!$S$5:$S$18,MATCH(DefaultChannel,Channels!$A$5:$A$18,0)),0))</f>
        <v>0</v>
      </c>
      <c r="AN61" s="20">
        <f>IF(B61="","",IFERROR(INDEX(Channels!$T$5:$T$18,MATCH(DefaultChannel,Channels!$A$5:$A$18,0)),0))</f>
        <v>0</v>
      </c>
      <c r="AO61" s="41">
        <f>IF(B61="","",1-TargetRetailMargin-AM61)</f>
        <v>0</v>
      </c>
      <c r="AP61" s="20">
        <f>IF(B61="","",IF(AO61&lt;=0,"",(AL61+AN61)/AO61))</f>
        <v>0</v>
      </c>
      <c r="AQ61" s="20">
        <f>IF(B61="","",IF(AP61="","Check the settings",ROUND(IF(RoundingRule="None",AP61,IF(RoundingRule="Nearest 0.99",MAX(0.99,CEILING(AP61,1)-0.01),IF(RoundingRule="Nearest 0.95",MAX(0.95,CEILING(AP61,1)-0.05),IF(RoundingRule="Nearest 0.50",CEILING(AP61,0.5),IF(RoundingRule="Nearest 1",CEILING(AP61,1),IF(RoundingRule="Nearest 5",CEILING(AP61,5),IF(RoundingRule="Up to whole 1",CEILING(AP61,1),IF(RoundingRule="Up to whole 5",CEILING(AP61,5),ROUND(AP61,2))))))))),2)))</f>
        <v>0</v>
      </c>
      <c r="AR61" s="20">
        <f>IF(B61="","",IF(X61&lt;&gt;"",X61,IF(ISNUMBER(AQ61),AQ61,"")))</f>
        <v>0</v>
      </c>
      <c r="AS61" s="20">
        <f>IF(B61="","",IF(AR61="","",ROUND(AR61-AL61-(AR61*AM61+AN61),2)))</f>
        <v>0</v>
      </c>
      <c r="AT61" s="33">
        <f>IF(B61="","",IF(OR(AR61="",AR61=0),"",AS61/AR61))</f>
        <v>0</v>
      </c>
      <c r="AU61" s="41">
        <f>IF(B61="","",ROUND(AG61/60,3))</f>
        <v>0</v>
      </c>
      <c r="AV61" s="20">
        <f>IF(B61="","",IF(OR(AU61=0,AU61="",AS61=""),"",ROUND((AS61+AI61)/AU61,2)))</f>
        <v>0</v>
      </c>
      <c r="AW61" s="43">
        <f>IF(B61="","",IF(AND(A61&lt;&gt;"",ISERROR(MATCH(A61,Products!$A$5:$A$304,0))),"Check - no such product ID",IF(AF61=0,"Add - no material cost yet",IF(AG61=0,"Add - how long does it take?",IF(AND(A61&lt;&gt;"",COUNTIFS('Material Usage'!$A$5:$A$904,A61)&gt;0),"Check - this product also has a bill of materials",IF(AND(A61&lt;&gt;"",COUNTIFS(Labor!$A$5:$A$304,A61)&gt;0),"Check - this product also has labour lines",IF(AV61&lt;MinimumWage,"Below - pays under minimum wage","OK")))))) )</f>
        <v>0</v>
      </c>
    </row>
    <row r="62" spans="26:49">
      <c r="Z62" s="45">
        <f>IF(B62="","",IF(F62&lt;&gt;"",F62,IFERROR(INDEX(Materials!$V$5:$V$254,MATCH(D62,Materials!$A$5:$A$254,0)),0)))</f>
        <v>0</v>
      </c>
      <c r="AA62" s="36">
        <f>IF(B62="","",ROUND(IF(E62="",0,E62)*(1+IF(G62="",0,G62)),2))</f>
        <v>0</v>
      </c>
      <c r="AB62" s="20">
        <f>IF(B62="","",ROUND(AA62*Z62-IF(E62="",0,E62)*IF(G62="",0,G62)*IF(H62="",0,H62)*Z62,2))</f>
        <v>0</v>
      </c>
      <c r="AC62" s="20">
        <f>IF(B62="","",ROUND(IF(J62="",0,J62)*IF(K62="",0,K62),2))</f>
        <v>0</v>
      </c>
      <c r="AD62" s="20">
        <f>IF(B62="","",ROUND(IF(L62="",0,L62)*IFERROR(INDEX(Materials!$V$5:$V$254,MATCH(M62,Materials!$A$5:$A$254,0)),0),2))</f>
        <v>0</v>
      </c>
      <c r="AE62" s="20">
        <f>IF(B62="","",ROUND(IF(N62="",0,N62)*IFERROR(INDEX(Materials!$V$5:$V$254,MATCH(O62,Materials!$A$5:$A$254,0)),0),2))</f>
        <v>0</v>
      </c>
      <c r="AF62" s="20">
        <f>IF(B62="","",ROUND(AB62+AC62+AD62+AE62+IF(P62="",0,P62),2))</f>
        <v>0</v>
      </c>
      <c r="AG62" s="36">
        <f>IF(B62="","",IF(T62="",0,T62)+IF(U62="",0,U62)+IF(V62="",0,V62))</f>
        <v>0</v>
      </c>
      <c r="AH62" s="20">
        <f>IF(B62="","",IF(W62&lt;&gt;"",W62,LaborCostHour))</f>
        <v>0</v>
      </c>
      <c r="AI62" s="20">
        <f>IF(B62="","",ROUND(AG62/60*AH62,2))</f>
        <v>0</v>
      </c>
      <c r="AJ62" s="20">
        <f>IF(B62="","",ROUND(IF(Q62="",0,Q62)+IF(R62="",0,R62)+IF(S62="",0,S62)+AG62/60*SuppliesPerHour,2))</f>
        <v>0</v>
      </c>
      <c r="AK62" s="33">
        <f>IF(B62="","",IF(OR(AF62="",AF62=0),"",AB62/AF62))</f>
        <v>0</v>
      </c>
      <c r="AL62" s="20">
        <f>IF(B62="","",ROUND(AF62+AI62+AJ62,2))</f>
        <v>0</v>
      </c>
      <c r="AM62" s="33">
        <f>IF(B62="","",IFERROR(INDEX(Channels!$S$5:$S$18,MATCH(DefaultChannel,Channels!$A$5:$A$18,0)),0))</f>
        <v>0</v>
      </c>
      <c r="AN62" s="20">
        <f>IF(B62="","",IFERROR(INDEX(Channels!$T$5:$T$18,MATCH(DefaultChannel,Channels!$A$5:$A$18,0)),0))</f>
        <v>0</v>
      </c>
      <c r="AO62" s="41">
        <f>IF(B62="","",1-TargetRetailMargin-AM62)</f>
        <v>0</v>
      </c>
      <c r="AP62" s="20">
        <f>IF(B62="","",IF(AO62&lt;=0,"",(AL62+AN62)/AO62))</f>
        <v>0</v>
      </c>
      <c r="AQ62" s="20">
        <f>IF(B62="","",IF(AP62="","Check the settings",ROUND(IF(RoundingRule="None",AP62,IF(RoundingRule="Nearest 0.99",MAX(0.99,CEILING(AP62,1)-0.01),IF(RoundingRule="Nearest 0.95",MAX(0.95,CEILING(AP62,1)-0.05),IF(RoundingRule="Nearest 0.50",CEILING(AP62,0.5),IF(RoundingRule="Nearest 1",CEILING(AP62,1),IF(RoundingRule="Nearest 5",CEILING(AP62,5),IF(RoundingRule="Up to whole 1",CEILING(AP62,1),IF(RoundingRule="Up to whole 5",CEILING(AP62,5),ROUND(AP62,2))))))))),2)))</f>
        <v>0</v>
      </c>
      <c r="AR62" s="20">
        <f>IF(B62="","",IF(X62&lt;&gt;"",X62,IF(ISNUMBER(AQ62),AQ62,"")))</f>
        <v>0</v>
      </c>
      <c r="AS62" s="20">
        <f>IF(B62="","",IF(AR62="","",ROUND(AR62-AL62-(AR62*AM62+AN62),2)))</f>
        <v>0</v>
      </c>
      <c r="AT62" s="33">
        <f>IF(B62="","",IF(OR(AR62="",AR62=0),"",AS62/AR62))</f>
        <v>0</v>
      </c>
      <c r="AU62" s="41">
        <f>IF(B62="","",ROUND(AG62/60,3))</f>
        <v>0</v>
      </c>
      <c r="AV62" s="20">
        <f>IF(B62="","",IF(OR(AU62=0,AU62="",AS62=""),"",ROUND((AS62+AI62)/AU62,2)))</f>
        <v>0</v>
      </c>
      <c r="AW62" s="43">
        <f>IF(B62="","",IF(AND(A62&lt;&gt;"",ISERROR(MATCH(A62,Products!$A$5:$A$304,0))),"Check - no such product ID",IF(AF62=0,"Add - no material cost yet",IF(AG62=0,"Add - how long does it take?",IF(AND(A62&lt;&gt;"",COUNTIFS('Material Usage'!$A$5:$A$904,A62)&gt;0),"Check - this product also has a bill of materials",IF(AND(A62&lt;&gt;"",COUNTIFS(Labor!$A$5:$A$304,A62)&gt;0),"Check - this product also has labour lines",IF(AV62&lt;MinimumWage,"Below - pays under minimum wage","OK")))))) )</f>
        <v>0</v>
      </c>
    </row>
    <row r="63" spans="26:49">
      <c r="Z63" s="45">
        <f>IF(B63="","",IF(F63&lt;&gt;"",F63,IFERROR(INDEX(Materials!$V$5:$V$254,MATCH(D63,Materials!$A$5:$A$254,0)),0)))</f>
        <v>0</v>
      </c>
      <c r="AA63" s="36">
        <f>IF(B63="","",ROUND(IF(E63="",0,E63)*(1+IF(G63="",0,G63)),2))</f>
        <v>0</v>
      </c>
      <c r="AB63" s="20">
        <f>IF(B63="","",ROUND(AA63*Z63-IF(E63="",0,E63)*IF(G63="",0,G63)*IF(H63="",0,H63)*Z63,2))</f>
        <v>0</v>
      </c>
      <c r="AC63" s="20">
        <f>IF(B63="","",ROUND(IF(J63="",0,J63)*IF(K63="",0,K63),2))</f>
        <v>0</v>
      </c>
      <c r="AD63" s="20">
        <f>IF(B63="","",ROUND(IF(L63="",0,L63)*IFERROR(INDEX(Materials!$V$5:$V$254,MATCH(M63,Materials!$A$5:$A$254,0)),0),2))</f>
        <v>0</v>
      </c>
      <c r="AE63" s="20">
        <f>IF(B63="","",ROUND(IF(N63="",0,N63)*IFERROR(INDEX(Materials!$V$5:$V$254,MATCH(O63,Materials!$A$5:$A$254,0)),0),2))</f>
        <v>0</v>
      </c>
      <c r="AF63" s="20">
        <f>IF(B63="","",ROUND(AB63+AC63+AD63+AE63+IF(P63="",0,P63),2))</f>
        <v>0</v>
      </c>
      <c r="AG63" s="36">
        <f>IF(B63="","",IF(T63="",0,T63)+IF(U63="",0,U63)+IF(V63="",0,V63))</f>
        <v>0</v>
      </c>
      <c r="AH63" s="20">
        <f>IF(B63="","",IF(W63&lt;&gt;"",W63,LaborCostHour))</f>
        <v>0</v>
      </c>
      <c r="AI63" s="20">
        <f>IF(B63="","",ROUND(AG63/60*AH63,2))</f>
        <v>0</v>
      </c>
      <c r="AJ63" s="20">
        <f>IF(B63="","",ROUND(IF(Q63="",0,Q63)+IF(R63="",0,R63)+IF(S63="",0,S63)+AG63/60*SuppliesPerHour,2))</f>
        <v>0</v>
      </c>
      <c r="AK63" s="33">
        <f>IF(B63="","",IF(OR(AF63="",AF63=0),"",AB63/AF63))</f>
        <v>0</v>
      </c>
      <c r="AL63" s="20">
        <f>IF(B63="","",ROUND(AF63+AI63+AJ63,2))</f>
        <v>0</v>
      </c>
      <c r="AM63" s="33">
        <f>IF(B63="","",IFERROR(INDEX(Channels!$S$5:$S$18,MATCH(DefaultChannel,Channels!$A$5:$A$18,0)),0))</f>
        <v>0</v>
      </c>
      <c r="AN63" s="20">
        <f>IF(B63="","",IFERROR(INDEX(Channels!$T$5:$T$18,MATCH(DefaultChannel,Channels!$A$5:$A$18,0)),0))</f>
        <v>0</v>
      </c>
      <c r="AO63" s="41">
        <f>IF(B63="","",1-TargetRetailMargin-AM63)</f>
        <v>0</v>
      </c>
      <c r="AP63" s="20">
        <f>IF(B63="","",IF(AO63&lt;=0,"",(AL63+AN63)/AO63))</f>
        <v>0</v>
      </c>
      <c r="AQ63" s="20">
        <f>IF(B63="","",IF(AP63="","Check the settings",ROUND(IF(RoundingRule="None",AP63,IF(RoundingRule="Nearest 0.99",MAX(0.99,CEILING(AP63,1)-0.01),IF(RoundingRule="Nearest 0.95",MAX(0.95,CEILING(AP63,1)-0.05),IF(RoundingRule="Nearest 0.50",CEILING(AP63,0.5),IF(RoundingRule="Nearest 1",CEILING(AP63,1),IF(RoundingRule="Nearest 5",CEILING(AP63,5),IF(RoundingRule="Up to whole 1",CEILING(AP63,1),IF(RoundingRule="Up to whole 5",CEILING(AP63,5),ROUND(AP63,2))))))))),2)))</f>
        <v>0</v>
      </c>
      <c r="AR63" s="20">
        <f>IF(B63="","",IF(X63&lt;&gt;"",X63,IF(ISNUMBER(AQ63),AQ63,"")))</f>
        <v>0</v>
      </c>
      <c r="AS63" s="20">
        <f>IF(B63="","",IF(AR63="","",ROUND(AR63-AL63-(AR63*AM63+AN63),2)))</f>
        <v>0</v>
      </c>
      <c r="AT63" s="33">
        <f>IF(B63="","",IF(OR(AR63="",AR63=0),"",AS63/AR63))</f>
        <v>0</v>
      </c>
      <c r="AU63" s="41">
        <f>IF(B63="","",ROUND(AG63/60,3))</f>
        <v>0</v>
      </c>
      <c r="AV63" s="20">
        <f>IF(B63="","",IF(OR(AU63=0,AU63="",AS63=""),"",ROUND((AS63+AI63)/AU63,2)))</f>
        <v>0</v>
      </c>
      <c r="AW63" s="43">
        <f>IF(B63="","",IF(AND(A63&lt;&gt;"",ISERROR(MATCH(A63,Products!$A$5:$A$304,0))),"Check - no such product ID",IF(AF63=0,"Add - no material cost yet",IF(AG63=0,"Add - how long does it take?",IF(AND(A63&lt;&gt;"",COUNTIFS('Material Usage'!$A$5:$A$904,A63)&gt;0),"Check - this product also has a bill of materials",IF(AND(A63&lt;&gt;"",COUNTIFS(Labor!$A$5:$A$304,A63)&gt;0),"Check - this product also has labour lines",IF(AV63&lt;MinimumWage,"Below - pays under minimum wage","OK")))))) )</f>
        <v>0</v>
      </c>
    </row>
    <row r="64" spans="26:49">
      <c r="Z64" s="45">
        <f>IF(B64="","",IF(F64&lt;&gt;"",F64,IFERROR(INDEX(Materials!$V$5:$V$254,MATCH(D64,Materials!$A$5:$A$254,0)),0)))</f>
        <v>0</v>
      </c>
      <c r="AA64" s="36">
        <f>IF(B64="","",ROUND(IF(E64="",0,E64)*(1+IF(G64="",0,G64)),2))</f>
        <v>0</v>
      </c>
      <c r="AB64" s="20">
        <f>IF(B64="","",ROUND(AA64*Z64-IF(E64="",0,E64)*IF(G64="",0,G64)*IF(H64="",0,H64)*Z64,2))</f>
        <v>0</v>
      </c>
      <c r="AC64" s="20">
        <f>IF(B64="","",ROUND(IF(J64="",0,J64)*IF(K64="",0,K64),2))</f>
        <v>0</v>
      </c>
      <c r="AD64" s="20">
        <f>IF(B64="","",ROUND(IF(L64="",0,L64)*IFERROR(INDEX(Materials!$V$5:$V$254,MATCH(M64,Materials!$A$5:$A$254,0)),0),2))</f>
        <v>0</v>
      </c>
      <c r="AE64" s="20">
        <f>IF(B64="","",ROUND(IF(N64="",0,N64)*IFERROR(INDEX(Materials!$V$5:$V$254,MATCH(O64,Materials!$A$5:$A$254,0)),0),2))</f>
        <v>0</v>
      </c>
      <c r="AF64" s="20">
        <f>IF(B64="","",ROUND(AB64+AC64+AD64+AE64+IF(P64="",0,P64),2))</f>
        <v>0</v>
      </c>
      <c r="AG64" s="36">
        <f>IF(B64="","",IF(T64="",0,T64)+IF(U64="",0,U64)+IF(V64="",0,V64))</f>
        <v>0</v>
      </c>
      <c r="AH64" s="20">
        <f>IF(B64="","",IF(W64&lt;&gt;"",W64,LaborCostHour))</f>
        <v>0</v>
      </c>
      <c r="AI64" s="20">
        <f>IF(B64="","",ROUND(AG64/60*AH64,2))</f>
        <v>0</v>
      </c>
      <c r="AJ64" s="20">
        <f>IF(B64="","",ROUND(IF(Q64="",0,Q64)+IF(R64="",0,R64)+IF(S64="",0,S64)+AG64/60*SuppliesPerHour,2))</f>
        <v>0</v>
      </c>
      <c r="AK64" s="33">
        <f>IF(B64="","",IF(OR(AF64="",AF64=0),"",AB64/AF64))</f>
        <v>0</v>
      </c>
      <c r="AL64" s="20">
        <f>IF(B64="","",ROUND(AF64+AI64+AJ64,2))</f>
        <v>0</v>
      </c>
      <c r="AM64" s="33">
        <f>IF(B64="","",IFERROR(INDEX(Channels!$S$5:$S$18,MATCH(DefaultChannel,Channels!$A$5:$A$18,0)),0))</f>
        <v>0</v>
      </c>
      <c r="AN64" s="20">
        <f>IF(B64="","",IFERROR(INDEX(Channels!$T$5:$T$18,MATCH(DefaultChannel,Channels!$A$5:$A$18,0)),0))</f>
        <v>0</v>
      </c>
      <c r="AO64" s="41">
        <f>IF(B64="","",1-TargetRetailMargin-AM64)</f>
        <v>0</v>
      </c>
      <c r="AP64" s="20">
        <f>IF(B64="","",IF(AO64&lt;=0,"",(AL64+AN64)/AO64))</f>
        <v>0</v>
      </c>
      <c r="AQ64" s="20">
        <f>IF(B64="","",IF(AP64="","Check the settings",ROUND(IF(RoundingRule="None",AP64,IF(RoundingRule="Nearest 0.99",MAX(0.99,CEILING(AP64,1)-0.01),IF(RoundingRule="Nearest 0.95",MAX(0.95,CEILING(AP64,1)-0.05),IF(RoundingRule="Nearest 0.50",CEILING(AP64,0.5),IF(RoundingRule="Nearest 1",CEILING(AP64,1),IF(RoundingRule="Nearest 5",CEILING(AP64,5),IF(RoundingRule="Up to whole 1",CEILING(AP64,1),IF(RoundingRule="Up to whole 5",CEILING(AP64,5),ROUND(AP64,2))))))))),2)))</f>
        <v>0</v>
      </c>
      <c r="AR64" s="20">
        <f>IF(B64="","",IF(X64&lt;&gt;"",X64,IF(ISNUMBER(AQ64),AQ64,"")))</f>
        <v>0</v>
      </c>
      <c r="AS64" s="20">
        <f>IF(B64="","",IF(AR64="","",ROUND(AR64-AL64-(AR64*AM64+AN64),2)))</f>
        <v>0</v>
      </c>
      <c r="AT64" s="33">
        <f>IF(B64="","",IF(OR(AR64="",AR64=0),"",AS64/AR64))</f>
        <v>0</v>
      </c>
      <c r="AU64" s="41">
        <f>IF(B64="","",ROUND(AG64/60,3))</f>
        <v>0</v>
      </c>
      <c r="AV64" s="20">
        <f>IF(B64="","",IF(OR(AU64=0,AU64="",AS64=""),"",ROUND((AS64+AI64)/AU64,2)))</f>
        <v>0</v>
      </c>
      <c r="AW64" s="43">
        <f>IF(B64="","",IF(AND(A64&lt;&gt;"",ISERROR(MATCH(A64,Products!$A$5:$A$304,0))),"Check - no such product ID",IF(AF64=0,"Add - no material cost yet",IF(AG64=0,"Add - how long does it take?",IF(AND(A64&lt;&gt;"",COUNTIFS('Material Usage'!$A$5:$A$904,A64)&gt;0),"Check - this product also has a bill of materials",IF(AND(A64&lt;&gt;"",COUNTIFS(Labor!$A$5:$A$304,A64)&gt;0),"Check - this product also has labour lines",IF(AV64&lt;MinimumWage,"Below - pays under minimum wage","OK")))))) )</f>
        <v>0</v>
      </c>
    </row>
    <row r="65" spans="26:49">
      <c r="Z65" s="45">
        <f>IF(B65="","",IF(F65&lt;&gt;"",F65,IFERROR(INDEX(Materials!$V$5:$V$254,MATCH(D65,Materials!$A$5:$A$254,0)),0)))</f>
        <v>0</v>
      </c>
      <c r="AA65" s="36">
        <f>IF(B65="","",ROUND(IF(E65="",0,E65)*(1+IF(G65="",0,G65)),2))</f>
        <v>0</v>
      </c>
      <c r="AB65" s="20">
        <f>IF(B65="","",ROUND(AA65*Z65-IF(E65="",0,E65)*IF(G65="",0,G65)*IF(H65="",0,H65)*Z65,2))</f>
        <v>0</v>
      </c>
      <c r="AC65" s="20">
        <f>IF(B65="","",ROUND(IF(J65="",0,J65)*IF(K65="",0,K65),2))</f>
        <v>0</v>
      </c>
      <c r="AD65" s="20">
        <f>IF(B65="","",ROUND(IF(L65="",0,L65)*IFERROR(INDEX(Materials!$V$5:$V$254,MATCH(M65,Materials!$A$5:$A$254,0)),0),2))</f>
        <v>0</v>
      </c>
      <c r="AE65" s="20">
        <f>IF(B65="","",ROUND(IF(N65="",0,N65)*IFERROR(INDEX(Materials!$V$5:$V$254,MATCH(O65,Materials!$A$5:$A$254,0)),0),2))</f>
        <v>0</v>
      </c>
      <c r="AF65" s="20">
        <f>IF(B65="","",ROUND(AB65+AC65+AD65+AE65+IF(P65="",0,P65),2))</f>
        <v>0</v>
      </c>
      <c r="AG65" s="36">
        <f>IF(B65="","",IF(T65="",0,T65)+IF(U65="",0,U65)+IF(V65="",0,V65))</f>
        <v>0</v>
      </c>
      <c r="AH65" s="20">
        <f>IF(B65="","",IF(W65&lt;&gt;"",W65,LaborCostHour))</f>
        <v>0</v>
      </c>
      <c r="AI65" s="20">
        <f>IF(B65="","",ROUND(AG65/60*AH65,2))</f>
        <v>0</v>
      </c>
      <c r="AJ65" s="20">
        <f>IF(B65="","",ROUND(IF(Q65="",0,Q65)+IF(R65="",0,R65)+IF(S65="",0,S65)+AG65/60*SuppliesPerHour,2))</f>
        <v>0</v>
      </c>
      <c r="AK65" s="33">
        <f>IF(B65="","",IF(OR(AF65="",AF65=0),"",AB65/AF65))</f>
        <v>0</v>
      </c>
      <c r="AL65" s="20">
        <f>IF(B65="","",ROUND(AF65+AI65+AJ65,2))</f>
        <v>0</v>
      </c>
      <c r="AM65" s="33">
        <f>IF(B65="","",IFERROR(INDEX(Channels!$S$5:$S$18,MATCH(DefaultChannel,Channels!$A$5:$A$18,0)),0))</f>
        <v>0</v>
      </c>
      <c r="AN65" s="20">
        <f>IF(B65="","",IFERROR(INDEX(Channels!$T$5:$T$18,MATCH(DefaultChannel,Channels!$A$5:$A$18,0)),0))</f>
        <v>0</v>
      </c>
      <c r="AO65" s="41">
        <f>IF(B65="","",1-TargetRetailMargin-AM65)</f>
        <v>0</v>
      </c>
      <c r="AP65" s="20">
        <f>IF(B65="","",IF(AO65&lt;=0,"",(AL65+AN65)/AO65))</f>
        <v>0</v>
      </c>
      <c r="AQ65" s="20">
        <f>IF(B65="","",IF(AP65="","Check the settings",ROUND(IF(RoundingRule="None",AP65,IF(RoundingRule="Nearest 0.99",MAX(0.99,CEILING(AP65,1)-0.01),IF(RoundingRule="Nearest 0.95",MAX(0.95,CEILING(AP65,1)-0.05),IF(RoundingRule="Nearest 0.50",CEILING(AP65,0.5),IF(RoundingRule="Nearest 1",CEILING(AP65,1),IF(RoundingRule="Nearest 5",CEILING(AP65,5),IF(RoundingRule="Up to whole 1",CEILING(AP65,1),IF(RoundingRule="Up to whole 5",CEILING(AP65,5),ROUND(AP65,2))))))))),2)))</f>
        <v>0</v>
      </c>
      <c r="AR65" s="20">
        <f>IF(B65="","",IF(X65&lt;&gt;"",X65,IF(ISNUMBER(AQ65),AQ65,"")))</f>
        <v>0</v>
      </c>
      <c r="AS65" s="20">
        <f>IF(B65="","",IF(AR65="","",ROUND(AR65-AL65-(AR65*AM65+AN65),2)))</f>
        <v>0</v>
      </c>
      <c r="AT65" s="33">
        <f>IF(B65="","",IF(OR(AR65="",AR65=0),"",AS65/AR65))</f>
        <v>0</v>
      </c>
      <c r="AU65" s="41">
        <f>IF(B65="","",ROUND(AG65/60,3))</f>
        <v>0</v>
      </c>
      <c r="AV65" s="20">
        <f>IF(B65="","",IF(OR(AU65=0,AU65="",AS65=""),"",ROUND((AS65+AI65)/AU65,2)))</f>
        <v>0</v>
      </c>
      <c r="AW65" s="43">
        <f>IF(B65="","",IF(AND(A65&lt;&gt;"",ISERROR(MATCH(A65,Products!$A$5:$A$304,0))),"Check - no such product ID",IF(AF65=0,"Add - no material cost yet",IF(AG65=0,"Add - how long does it take?",IF(AND(A65&lt;&gt;"",COUNTIFS('Material Usage'!$A$5:$A$904,A65)&gt;0),"Check - this product also has a bill of materials",IF(AND(A65&lt;&gt;"",COUNTIFS(Labor!$A$5:$A$304,A65)&gt;0),"Check - this product also has labour lines",IF(AV65&lt;MinimumWage,"Below - pays under minimum wage","OK")))))) )</f>
        <v>0</v>
      </c>
    </row>
    <row r="66" spans="26:49">
      <c r="Z66" s="45">
        <f>IF(B66="","",IF(F66&lt;&gt;"",F66,IFERROR(INDEX(Materials!$V$5:$V$254,MATCH(D66,Materials!$A$5:$A$254,0)),0)))</f>
        <v>0</v>
      </c>
      <c r="AA66" s="36">
        <f>IF(B66="","",ROUND(IF(E66="",0,E66)*(1+IF(G66="",0,G66)),2))</f>
        <v>0</v>
      </c>
      <c r="AB66" s="20">
        <f>IF(B66="","",ROUND(AA66*Z66-IF(E66="",0,E66)*IF(G66="",0,G66)*IF(H66="",0,H66)*Z66,2))</f>
        <v>0</v>
      </c>
      <c r="AC66" s="20">
        <f>IF(B66="","",ROUND(IF(J66="",0,J66)*IF(K66="",0,K66),2))</f>
        <v>0</v>
      </c>
      <c r="AD66" s="20">
        <f>IF(B66="","",ROUND(IF(L66="",0,L66)*IFERROR(INDEX(Materials!$V$5:$V$254,MATCH(M66,Materials!$A$5:$A$254,0)),0),2))</f>
        <v>0</v>
      </c>
      <c r="AE66" s="20">
        <f>IF(B66="","",ROUND(IF(N66="",0,N66)*IFERROR(INDEX(Materials!$V$5:$V$254,MATCH(O66,Materials!$A$5:$A$254,0)),0),2))</f>
        <v>0</v>
      </c>
      <c r="AF66" s="20">
        <f>IF(B66="","",ROUND(AB66+AC66+AD66+AE66+IF(P66="",0,P66),2))</f>
        <v>0</v>
      </c>
      <c r="AG66" s="36">
        <f>IF(B66="","",IF(T66="",0,T66)+IF(U66="",0,U66)+IF(V66="",0,V66))</f>
        <v>0</v>
      </c>
      <c r="AH66" s="20">
        <f>IF(B66="","",IF(W66&lt;&gt;"",W66,LaborCostHour))</f>
        <v>0</v>
      </c>
      <c r="AI66" s="20">
        <f>IF(B66="","",ROUND(AG66/60*AH66,2))</f>
        <v>0</v>
      </c>
      <c r="AJ66" s="20">
        <f>IF(B66="","",ROUND(IF(Q66="",0,Q66)+IF(R66="",0,R66)+IF(S66="",0,S66)+AG66/60*SuppliesPerHour,2))</f>
        <v>0</v>
      </c>
      <c r="AK66" s="33">
        <f>IF(B66="","",IF(OR(AF66="",AF66=0),"",AB66/AF66))</f>
        <v>0</v>
      </c>
      <c r="AL66" s="20">
        <f>IF(B66="","",ROUND(AF66+AI66+AJ66,2))</f>
        <v>0</v>
      </c>
      <c r="AM66" s="33">
        <f>IF(B66="","",IFERROR(INDEX(Channels!$S$5:$S$18,MATCH(DefaultChannel,Channels!$A$5:$A$18,0)),0))</f>
        <v>0</v>
      </c>
      <c r="AN66" s="20">
        <f>IF(B66="","",IFERROR(INDEX(Channels!$T$5:$T$18,MATCH(DefaultChannel,Channels!$A$5:$A$18,0)),0))</f>
        <v>0</v>
      </c>
      <c r="AO66" s="41">
        <f>IF(B66="","",1-TargetRetailMargin-AM66)</f>
        <v>0</v>
      </c>
      <c r="AP66" s="20">
        <f>IF(B66="","",IF(AO66&lt;=0,"",(AL66+AN66)/AO66))</f>
        <v>0</v>
      </c>
      <c r="AQ66" s="20">
        <f>IF(B66="","",IF(AP66="","Check the settings",ROUND(IF(RoundingRule="None",AP66,IF(RoundingRule="Nearest 0.99",MAX(0.99,CEILING(AP66,1)-0.01),IF(RoundingRule="Nearest 0.95",MAX(0.95,CEILING(AP66,1)-0.05),IF(RoundingRule="Nearest 0.50",CEILING(AP66,0.5),IF(RoundingRule="Nearest 1",CEILING(AP66,1),IF(RoundingRule="Nearest 5",CEILING(AP66,5),IF(RoundingRule="Up to whole 1",CEILING(AP66,1),IF(RoundingRule="Up to whole 5",CEILING(AP66,5),ROUND(AP66,2))))))))),2)))</f>
        <v>0</v>
      </c>
      <c r="AR66" s="20">
        <f>IF(B66="","",IF(X66&lt;&gt;"",X66,IF(ISNUMBER(AQ66),AQ66,"")))</f>
        <v>0</v>
      </c>
      <c r="AS66" s="20">
        <f>IF(B66="","",IF(AR66="","",ROUND(AR66-AL66-(AR66*AM66+AN66),2)))</f>
        <v>0</v>
      </c>
      <c r="AT66" s="33">
        <f>IF(B66="","",IF(OR(AR66="",AR66=0),"",AS66/AR66))</f>
        <v>0</v>
      </c>
      <c r="AU66" s="41">
        <f>IF(B66="","",ROUND(AG66/60,3))</f>
        <v>0</v>
      </c>
      <c r="AV66" s="20">
        <f>IF(B66="","",IF(OR(AU66=0,AU66="",AS66=""),"",ROUND((AS66+AI66)/AU66,2)))</f>
        <v>0</v>
      </c>
      <c r="AW66" s="43">
        <f>IF(B66="","",IF(AND(A66&lt;&gt;"",ISERROR(MATCH(A66,Products!$A$5:$A$304,0))),"Check - no such product ID",IF(AF66=0,"Add - no material cost yet",IF(AG66=0,"Add - how long does it take?",IF(AND(A66&lt;&gt;"",COUNTIFS('Material Usage'!$A$5:$A$904,A66)&gt;0),"Check - this product also has a bill of materials",IF(AND(A66&lt;&gt;"",COUNTIFS(Labor!$A$5:$A$304,A66)&gt;0),"Check - this product also has labour lines",IF(AV66&lt;MinimumWage,"Below - pays under minimum wage","OK")))))) )</f>
        <v>0</v>
      </c>
    </row>
    <row r="67" spans="26:49">
      <c r="Z67" s="45">
        <f>IF(B67="","",IF(F67&lt;&gt;"",F67,IFERROR(INDEX(Materials!$V$5:$V$254,MATCH(D67,Materials!$A$5:$A$254,0)),0)))</f>
        <v>0</v>
      </c>
      <c r="AA67" s="36">
        <f>IF(B67="","",ROUND(IF(E67="",0,E67)*(1+IF(G67="",0,G67)),2))</f>
        <v>0</v>
      </c>
      <c r="AB67" s="20">
        <f>IF(B67="","",ROUND(AA67*Z67-IF(E67="",0,E67)*IF(G67="",0,G67)*IF(H67="",0,H67)*Z67,2))</f>
        <v>0</v>
      </c>
      <c r="AC67" s="20">
        <f>IF(B67="","",ROUND(IF(J67="",0,J67)*IF(K67="",0,K67),2))</f>
        <v>0</v>
      </c>
      <c r="AD67" s="20">
        <f>IF(B67="","",ROUND(IF(L67="",0,L67)*IFERROR(INDEX(Materials!$V$5:$V$254,MATCH(M67,Materials!$A$5:$A$254,0)),0),2))</f>
        <v>0</v>
      </c>
      <c r="AE67" s="20">
        <f>IF(B67="","",ROUND(IF(N67="",0,N67)*IFERROR(INDEX(Materials!$V$5:$V$254,MATCH(O67,Materials!$A$5:$A$254,0)),0),2))</f>
        <v>0</v>
      </c>
      <c r="AF67" s="20">
        <f>IF(B67="","",ROUND(AB67+AC67+AD67+AE67+IF(P67="",0,P67),2))</f>
        <v>0</v>
      </c>
      <c r="AG67" s="36">
        <f>IF(B67="","",IF(T67="",0,T67)+IF(U67="",0,U67)+IF(V67="",0,V67))</f>
        <v>0</v>
      </c>
      <c r="AH67" s="20">
        <f>IF(B67="","",IF(W67&lt;&gt;"",W67,LaborCostHour))</f>
        <v>0</v>
      </c>
      <c r="AI67" s="20">
        <f>IF(B67="","",ROUND(AG67/60*AH67,2))</f>
        <v>0</v>
      </c>
      <c r="AJ67" s="20">
        <f>IF(B67="","",ROUND(IF(Q67="",0,Q67)+IF(R67="",0,R67)+IF(S67="",0,S67)+AG67/60*SuppliesPerHour,2))</f>
        <v>0</v>
      </c>
      <c r="AK67" s="33">
        <f>IF(B67="","",IF(OR(AF67="",AF67=0),"",AB67/AF67))</f>
        <v>0</v>
      </c>
      <c r="AL67" s="20">
        <f>IF(B67="","",ROUND(AF67+AI67+AJ67,2))</f>
        <v>0</v>
      </c>
      <c r="AM67" s="33">
        <f>IF(B67="","",IFERROR(INDEX(Channels!$S$5:$S$18,MATCH(DefaultChannel,Channels!$A$5:$A$18,0)),0))</f>
        <v>0</v>
      </c>
      <c r="AN67" s="20">
        <f>IF(B67="","",IFERROR(INDEX(Channels!$T$5:$T$18,MATCH(DefaultChannel,Channels!$A$5:$A$18,0)),0))</f>
        <v>0</v>
      </c>
      <c r="AO67" s="41">
        <f>IF(B67="","",1-TargetRetailMargin-AM67)</f>
        <v>0</v>
      </c>
      <c r="AP67" s="20">
        <f>IF(B67="","",IF(AO67&lt;=0,"",(AL67+AN67)/AO67))</f>
        <v>0</v>
      </c>
      <c r="AQ67" s="20">
        <f>IF(B67="","",IF(AP67="","Check the settings",ROUND(IF(RoundingRule="None",AP67,IF(RoundingRule="Nearest 0.99",MAX(0.99,CEILING(AP67,1)-0.01),IF(RoundingRule="Nearest 0.95",MAX(0.95,CEILING(AP67,1)-0.05),IF(RoundingRule="Nearest 0.50",CEILING(AP67,0.5),IF(RoundingRule="Nearest 1",CEILING(AP67,1),IF(RoundingRule="Nearest 5",CEILING(AP67,5),IF(RoundingRule="Up to whole 1",CEILING(AP67,1),IF(RoundingRule="Up to whole 5",CEILING(AP67,5),ROUND(AP67,2))))))))),2)))</f>
        <v>0</v>
      </c>
      <c r="AR67" s="20">
        <f>IF(B67="","",IF(X67&lt;&gt;"",X67,IF(ISNUMBER(AQ67),AQ67,"")))</f>
        <v>0</v>
      </c>
      <c r="AS67" s="20">
        <f>IF(B67="","",IF(AR67="","",ROUND(AR67-AL67-(AR67*AM67+AN67),2)))</f>
        <v>0</v>
      </c>
      <c r="AT67" s="33">
        <f>IF(B67="","",IF(OR(AR67="",AR67=0),"",AS67/AR67))</f>
        <v>0</v>
      </c>
      <c r="AU67" s="41">
        <f>IF(B67="","",ROUND(AG67/60,3))</f>
        <v>0</v>
      </c>
      <c r="AV67" s="20">
        <f>IF(B67="","",IF(OR(AU67=0,AU67="",AS67=""),"",ROUND((AS67+AI67)/AU67,2)))</f>
        <v>0</v>
      </c>
      <c r="AW67" s="43">
        <f>IF(B67="","",IF(AND(A67&lt;&gt;"",ISERROR(MATCH(A67,Products!$A$5:$A$304,0))),"Check - no such product ID",IF(AF67=0,"Add - no material cost yet",IF(AG67=0,"Add - how long does it take?",IF(AND(A67&lt;&gt;"",COUNTIFS('Material Usage'!$A$5:$A$904,A67)&gt;0),"Check - this product also has a bill of materials",IF(AND(A67&lt;&gt;"",COUNTIFS(Labor!$A$5:$A$304,A67)&gt;0),"Check - this product also has labour lines",IF(AV67&lt;MinimumWage,"Below - pays under minimum wage","OK")))))) )</f>
        <v>0</v>
      </c>
    </row>
    <row r="68" spans="26:49">
      <c r="Z68" s="45">
        <f>IF(B68="","",IF(F68&lt;&gt;"",F68,IFERROR(INDEX(Materials!$V$5:$V$254,MATCH(D68,Materials!$A$5:$A$254,0)),0)))</f>
        <v>0</v>
      </c>
      <c r="AA68" s="36">
        <f>IF(B68="","",ROUND(IF(E68="",0,E68)*(1+IF(G68="",0,G68)),2))</f>
        <v>0</v>
      </c>
      <c r="AB68" s="20">
        <f>IF(B68="","",ROUND(AA68*Z68-IF(E68="",0,E68)*IF(G68="",0,G68)*IF(H68="",0,H68)*Z68,2))</f>
        <v>0</v>
      </c>
      <c r="AC68" s="20">
        <f>IF(B68="","",ROUND(IF(J68="",0,J68)*IF(K68="",0,K68),2))</f>
        <v>0</v>
      </c>
      <c r="AD68" s="20">
        <f>IF(B68="","",ROUND(IF(L68="",0,L68)*IFERROR(INDEX(Materials!$V$5:$V$254,MATCH(M68,Materials!$A$5:$A$254,0)),0),2))</f>
        <v>0</v>
      </c>
      <c r="AE68" s="20">
        <f>IF(B68="","",ROUND(IF(N68="",0,N68)*IFERROR(INDEX(Materials!$V$5:$V$254,MATCH(O68,Materials!$A$5:$A$254,0)),0),2))</f>
        <v>0</v>
      </c>
      <c r="AF68" s="20">
        <f>IF(B68="","",ROUND(AB68+AC68+AD68+AE68+IF(P68="",0,P68),2))</f>
        <v>0</v>
      </c>
      <c r="AG68" s="36">
        <f>IF(B68="","",IF(T68="",0,T68)+IF(U68="",0,U68)+IF(V68="",0,V68))</f>
        <v>0</v>
      </c>
      <c r="AH68" s="20">
        <f>IF(B68="","",IF(W68&lt;&gt;"",W68,LaborCostHour))</f>
        <v>0</v>
      </c>
      <c r="AI68" s="20">
        <f>IF(B68="","",ROUND(AG68/60*AH68,2))</f>
        <v>0</v>
      </c>
      <c r="AJ68" s="20">
        <f>IF(B68="","",ROUND(IF(Q68="",0,Q68)+IF(R68="",0,R68)+IF(S68="",0,S68)+AG68/60*SuppliesPerHour,2))</f>
        <v>0</v>
      </c>
      <c r="AK68" s="33">
        <f>IF(B68="","",IF(OR(AF68="",AF68=0),"",AB68/AF68))</f>
        <v>0</v>
      </c>
      <c r="AL68" s="20">
        <f>IF(B68="","",ROUND(AF68+AI68+AJ68,2))</f>
        <v>0</v>
      </c>
      <c r="AM68" s="33">
        <f>IF(B68="","",IFERROR(INDEX(Channels!$S$5:$S$18,MATCH(DefaultChannel,Channels!$A$5:$A$18,0)),0))</f>
        <v>0</v>
      </c>
      <c r="AN68" s="20">
        <f>IF(B68="","",IFERROR(INDEX(Channels!$T$5:$T$18,MATCH(DefaultChannel,Channels!$A$5:$A$18,0)),0))</f>
        <v>0</v>
      </c>
      <c r="AO68" s="41">
        <f>IF(B68="","",1-TargetRetailMargin-AM68)</f>
        <v>0</v>
      </c>
      <c r="AP68" s="20">
        <f>IF(B68="","",IF(AO68&lt;=0,"",(AL68+AN68)/AO68))</f>
        <v>0</v>
      </c>
      <c r="AQ68" s="20">
        <f>IF(B68="","",IF(AP68="","Check the settings",ROUND(IF(RoundingRule="None",AP68,IF(RoundingRule="Nearest 0.99",MAX(0.99,CEILING(AP68,1)-0.01),IF(RoundingRule="Nearest 0.95",MAX(0.95,CEILING(AP68,1)-0.05),IF(RoundingRule="Nearest 0.50",CEILING(AP68,0.5),IF(RoundingRule="Nearest 1",CEILING(AP68,1),IF(RoundingRule="Nearest 5",CEILING(AP68,5),IF(RoundingRule="Up to whole 1",CEILING(AP68,1),IF(RoundingRule="Up to whole 5",CEILING(AP68,5),ROUND(AP68,2))))))))),2)))</f>
        <v>0</v>
      </c>
      <c r="AR68" s="20">
        <f>IF(B68="","",IF(X68&lt;&gt;"",X68,IF(ISNUMBER(AQ68),AQ68,"")))</f>
        <v>0</v>
      </c>
      <c r="AS68" s="20">
        <f>IF(B68="","",IF(AR68="","",ROUND(AR68-AL68-(AR68*AM68+AN68),2)))</f>
        <v>0</v>
      </c>
      <c r="AT68" s="33">
        <f>IF(B68="","",IF(OR(AR68="",AR68=0),"",AS68/AR68))</f>
        <v>0</v>
      </c>
      <c r="AU68" s="41">
        <f>IF(B68="","",ROUND(AG68/60,3))</f>
        <v>0</v>
      </c>
      <c r="AV68" s="20">
        <f>IF(B68="","",IF(OR(AU68=0,AU68="",AS68=""),"",ROUND((AS68+AI68)/AU68,2)))</f>
        <v>0</v>
      </c>
      <c r="AW68" s="43">
        <f>IF(B68="","",IF(AND(A68&lt;&gt;"",ISERROR(MATCH(A68,Products!$A$5:$A$304,0))),"Check - no such product ID",IF(AF68=0,"Add - no material cost yet",IF(AG68=0,"Add - how long does it take?",IF(AND(A68&lt;&gt;"",COUNTIFS('Material Usage'!$A$5:$A$904,A68)&gt;0),"Check - this product also has a bill of materials",IF(AND(A68&lt;&gt;"",COUNTIFS(Labor!$A$5:$A$304,A68)&gt;0),"Check - this product also has labour lines",IF(AV68&lt;MinimumWage,"Below - pays under minimum wage","OK")))))) )</f>
        <v>0</v>
      </c>
    </row>
    <row r="69" spans="26:49">
      <c r="Z69" s="45">
        <f>IF(B69="","",IF(F69&lt;&gt;"",F69,IFERROR(INDEX(Materials!$V$5:$V$254,MATCH(D69,Materials!$A$5:$A$254,0)),0)))</f>
        <v>0</v>
      </c>
      <c r="AA69" s="36">
        <f>IF(B69="","",ROUND(IF(E69="",0,E69)*(1+IF(G69="",0,G69)),2))</f>
        <v>0</v>
      </c>
      <c r="AB69" s="20">
        <f>IF(B69="","",ROUND(AA69*Z69-IF(E69="",0,E69)*IF(G69="",0,G69)*IF(H69="",0,H69)*Z69,2))</f>
        <v>0</v>
      </c>
      <c r="AC69" s="20">
        <f>IF(B69="","",ROUND(IF(J69="",0,J69)*IF(K69="",0,K69),2))</f>
        <v>0</v>
      </c>
      <c r="AD69" s="20">
        <f>IF(B69="","",ROUND(IF(L69="",0,L69)*IFERROR(INDEX(Materials!$V$5:$V$254,MATCH(M69,Materials!$A$5:$A$254,0)),0),2))</f>
        <v>0</v>
      </c>
      <c r="AE69" s="20">
        <f>IF(B69="","",ROUND(IF(N69="",0,N69)*IFERROR(INDEX(Materials!$V$5:$V$254,MATCH(O69,Materials!$A$5:$A$254,0)),0),2))</f>
        <v>0</v>
      </c>
      <c r="AF69" s="20">
        <f>IF(B69="","",ROUND(AB69+AC69+AD69+AE69+IF(P69="",0,P69),2))</f>
        <v>0</v>
      </c>
      <c r="AG69" s="36">
        <f>IF(B69="","",IF(T69="",0,T69)+IF(U69="",0,U69)+IF(V69="",0,V69))</f>
        <v>0</v>
      </c>
      <c r="AH69" s="20">
        <f>IF(B69="","",IF(W69&lt;&gt;"",W69,LaborCostHour))</f>
        <v>0</v>
      </c>
      <c r="AI69" s="20">
        <f>IF(B69="","",ROUND(AG69/60*AH69,2))</f>
        <v>0</v>
      </c>
      <c r="AJ69" s="20">
        <f>IF(B69="","",ROUND(IF(Q69="",0,Q69)+IF(R69="",0,R69)+IF(S69="",0,S69)+AG69/60*SuppliesPerHour,2))</f>
        <v>0</v>
      </c>
      <c r="AK69" s="33">
        <f>IF(B69="","",IF(OR(AF69="",AF69=0),"",AB69/AF69))</f>
        <v>0</v>
      </c>
      <c r="AL69" s="20">
        <f>IF(B69="","",ROUND(AF69+AI69+AJ69,2))</f>
        <v>0</v>
      </c>
      <c r="AM69" s="33">
        <f>IF(B69="","",IFERROR(INDEX(Channels!$S$5:$S$18,MATCH(DefaultChannel,Channels!$A$5:$A$18,0)),0))</f>
        <v>0</v>
      </c>
      <c r="AN69" s="20">
        <f>IF(B69="","",IFERROR(INDEX(Channels!$T$5:$T$18,MATCH(DefaultChannel,Channels!$A$5:$A$18,0)),0))</f>
        <v>0</v>
      </c>
      <c r="AO69" s="41">
        <f>IF(B69="","",1-TargetRetailMargin-AM69)</f>
        <v>0</v>
      </c>
      <c r="AP69" s="20">
        <f>IF(B69="","",IF(AO69&lt;=0,"",(AL69+AN69)/AO69))</f>
        <v>0</v>
      </c>
      <c r="AQ69" s="20">
        <f>IF(B69="","",IF(AP69="","Check the settings",ROUND(IF(RoundingRule="None",AP69,IF(RoundingRule="Nearest 0.99",MAX(0.99,CEILING(AP69,1)-0.01),IF(RoundingRule="Nearest 0.95",MAX(0.95,CEILING(AP69,1)-0.05),IF(RoundingRule="Nearest 0.50",CEILING(AP69,0.5),IF(RoundingRule="Nearest 1",CEILING(AP69,1),IF(RoundingRule="Nearest 5",CEILING(AP69,5),IF(RoundingRule="Up to whole 1",CEILING(AP69,1),IF(RoundingRule="Up to whole 5",CEILING(AP69,5),ROUND(AP69,2))))))))),2)))</f>
        <v>0</v>
      </c>
      <c r="AR69" s="20">
        <f>IF(B69="","",IF(X69&lt;&gt;"",X69,IF(ISNUMBER(AQ69),AQ69,"")))</f>
        <v>0</v>
      </c>
      <c r="AS69" s="20">
        <f>IF(B69="","",IF(AR69="","",ROUND(AR69-AL69-(AR69*AM69+AN69),2)))</f>
        <v>0</v>
      </c>
      <c r="AT69" s="33">
        <f>IF(B69="","",IF(OR(AR69="",AR69=0),"",AS69/AR69))</f>
        <v>0</v>
      </c>
      <c r="AU69" s="41">
        <f>IF(B69="","",ROUND(AG69/60,3))</f>
        <v>0</v>
      </c>
      <c r="AV69" s="20">
        <f>IF(B69="","",IF(OR(AU69=0,AU69="",AS69=""),"",ROUND((AS69+AI69)/AU69,2)))</f>
        <v>0</v>
      </c>
      <c r="AW69" s="43">
        <f>IF(B69="","",IF(AND(A69&lt;&gt;"",ISERROR(MATCH(A69,Products!$A$5:$A$304,0))),"Check - no such product ID",IF(AF69=0,"Add - no material cost yet",IF(AG69=0,"Add - how long does it take?",IF(AND(A69&lt;&gt;"",COUNTIFS('Material Usage'!$A$5:$A$904,A69)&gt;0),"Check - this product also has a bill of materials",IF(AND(A69&lt;&gt;"",COUNTIFS(Labor!$A$5:$A$304,A69)&gt;0),"Check - this product also has labour lines",IF(AV69&lt;MinimumWage,"Below - pays under minimum wage","OK")))))) )</f>
        <v>0</v>
      </c>
    </row>
    <row r="70" spans="26:49">
      <c r="Z70" s="45">
        <f>IF(B70="","",IF(F70&lt;&gt;"",F70,IFERROR(INDEX(Materials!$V$5:$V$254,MATCH(D70,Materials!$A$5:$A$254,0)),0)))</f>
        <v>0</v>
      </c>
      <c r="AA70" s="36">
        <f>IF(B70="","",ROUND(IF(E70="",0,E70)*(1+IF(G70="",0,G70)),2))</f>
        <v>0</v>
      </c>
      <c r="AB70" s="20">
        <f>IF(B70="","",ROUND(AA70*Z70-IF(E70="",0,E70)*IF(G70="",0,G70)*IF(H70="",0,H70)*Z70,2))</f>
        <v>0</v>
      </c>
      <c r="AC70" s="20">
        <f>IF(B70="","",ROUND(IF(J70="",0,J70)*IF(K70="",0,K70),2))</f>
        <v>0</v>
      </c>
      <c r="AD70" s="20">
        <f>IF(B70="","",ROUND(IF(L70="",0,L70)*IFERROR(INDEX(Materials!$V$5:$V$254,MATCH(M70,Materials!$A$5:$A$254,0)),0),2))</f>
        <v>0</v>
      </c>
      <c r="AE70" s="20">
        <f>IF(B70="","",ROUND(IF(N70="",0,N70)*IFERROR(INDEX(Materials!$V$5:$V$254,MATCH(O70,Materials!$A$5:$A$254,0)),0),2))</f>
        <v>0</v>
      </c>
      <c r="AF70" s="20">
        <f>IF(B70="","",ROUND(AB70+AC70+AD70+AE70+IF(P70="",0,P70),2))</f>
        <v>0</v>
      </c>
      <c r="AG70" s="36">
        <f>IF(B70="","",IF(T70="",0,T70)+IF(U70="",0,U70)+IF(V70="",0,V70))</f>
        <v>0</v>
      </c>
      <c r="AH70" s="20">
        <f>IF(B70="","",IF(W70&lt;&gt;"",W70,LaborCostHour))</f>
        <v>0</v>
      </c>
      <c r="AI70" s="20">
        <f>IF(B70="","",ROUND(AG70/60*AH70,2))</f>
        <v>0</v>
      </c>
      <c r="AJ70" s="20">
        <f>IF(B70="","",ROUND(IF(Q70="",0,Q70)+IF(R70="",0,R70)+IF(S70="",0,S70)+AG70/60*SuppliesPerHour,2))</f>
        <v>0</v>
      </c>
      <c r="AK70" s="33">
        <f>IF(B70="","",IF(OR(AF70="",AF70=0),"",AB70/AF70))</f>
        <v>0</v>
      </c>
      <c r="AL70" s="20">
        <f>IF(B70="","",ROUND(AF70+AI70+AJ70,2))</f>
        <v>0</v>
      </c>
      <c r="AM70" s="33">
        <f>IF(B70="","",IFERROR(INDEX(Channels!$S$5:$S$18,MATCH(DefaultChannel,Channels!$A$5:$A$18,0)),0))</f>
        <v>0</v>
      </c>
      <c r="AN70" s="20">
        <f>IF(B70="","",IFERROR(INDEX(Channels!$T$5:$T$18,MATCH(DefaultChannel,Channels!$A$5:$A$18,0)),0))</f>
        <v>0</v>
      </c>
      <c r="AO70" s="41">
        <f>IF(B70="","",1-TargetRetailMargin-AM70)</f>
        <v>0</v>
      </c>
      <c r="AP70" s="20">
        <f>IF(B70="","",IF(AO70&lt;=0,"",(AL70+AN70)/AO70))</f>
        <v>0</v>
      </c>
      <c r="AQ70" s="20">
        <f>IF(B70="","",IF(AP70="","Check the settings",ROUND(IF(RoundingRule="None",AP70,IF(RoundingRule="Nearest 0.99",MAX(0.99,CEILING(AP70,1)-0.01),IF(RoundingRule="Nearest 0.95",MAX(0.95,CEILING(AP70,1)-0.05),IF(RoundingRule="Nearest 0.50",CEILING(AP70,0.5),IF(RoundingRule="Nearest 1",CEILING(AP70,1),IF(RoundingRule="Nearest 5",CEILING(AP70,5),IF(RoundingRule="Up to whole 1",CEILING(AP70,1),IF(RoundingRule="Up to whole 5",CEILING(AP70,5),ROUND(AP70,2))))))))),2)))</f>
        <v>0</v>
      </c>
      <c r="AR70" s="20">
        <f>IF(B70="","",IF(X70&lt;&gt;"",X70,IF(ISNUMBER(AQ70),AQ70,"")))</f>
        <v>0</v>
      </c>
      <c r="AS70" s="20">
        <f>IF(B70="","",IF(AR70="","",ROUND(AR70-AL70-(AR70*AM70+AN70),2)))</f>
        <v>0</v>
      </c>
      <c r="AT70" s="33">
        <f>IF(B70="","",IF(OR(AR70="",AR70=0),"",AS70/AR70))</f>
        <v>0</v>
      </c>
      <c r="AU70" s="41">
        <f>IF(B70="","",ROUND(AG70/60,3))</f>
        <v>0</v>
      </c>
      <c r="AV70" s="20">
        <f>IF(B70="","",IF(OR(AU70=0,AU70="",AS70=""),"",ROUND((AS70+AI70)/AU70,2)))</f>
        <v>0</v>
      </c>
      <c r="AW70" s="43">
        <f>IF(B70="","",IF(AND(A70&lt;&gt;"",ISERROR(MATCH(A70,Products!$A$5:$A$304,0))),"Check - no such product ID",IF(AF70=0,"Add - no material cost yet",IF(AG70=0,"Add - how long does it take?",IF(AND(A70&lt;&gt;"",COUNTIFS('Material Usage'!$A$5:$A$904,A70)&gt;0),"Check - this product also has a bill of materials",IF(AND(A70&lt;&gt;"",COUNTIFS(Labor!$A$5:$A$304,A70)&gt;0),"Check - this product also has labour lines",IF(AV70&lt;MinimumWage,"Below - pays under minimum wage","OK")))))) )</f>
        <v>0</v>
      </c>
    </row>
    <row r="71" spans="26:49">
      <c r="Z71" s="45">
        <f>IF(B71="","",IF(F71&lt;&gt;"",F71,IFERROR(INDEX(Materials!$V$5:$V$254,MATCH(D71,Materials!$A$5:$A$254,0)),0)))</f>
        <v>0</v>
      </c>
      <c r="AA71" s="36">
        <f>IF(B71="","",ROUND(IF(E71="",0,E71)*(1+IF(G71="",0,G71)),2))</f>
        <v>0</v>
      </c>
      <c r="AB71" s="20">
        <f>IF(B71="","",ROUND(AA71*Z71-IF(E71="",0,E71)*IF(G71="",0,G71)*IF(H71="",0,H71)*Z71,2))</f>
        <v>0</v>
      </c>
      <c r="AC71" s="20">
        <f>IF(B71="","",ROUND(IF(J71="",0,J71)*IF(K71="",0,K71),2))</f>
        <v>0</v>
      </c>
      <c r="AD71" s="20">
        <f>IF(B71="","",ROUND(IF(L71="",0,L71)*IFERROR(INDEX(Materials!$V$5:$V$254,MATCH(M71,Materials!$A$5:$A$254,0)),0),2))</f>
        <v>0</v>
      </c>
      <c r="AE71" s="20">
        <f>IF(B71="","",ROUND(IF(N71="",0,N71)*IFERROR(INDEX(Materials!$V$5:$V$254,MATCH(O71,Materials!$A$5:$A$254,0)),0),2))</f>
        <v>0</v>
      </c>
      <c r="AF71" s="20">
        <f>IF(B71="","",ROUND(AB71+AC71+AD71+AE71+IF(P71="",0,P71),2))</f>
        <v>0</v>
      </c>
      <c r="AG71" s="36">
        <f>IF(B71="","",IF(T71="",0,T71)+IF(U71="",0,U71)+IF(V71="",0,V71))</f>
        <v>0</v>
      </c>
      <c r="AH71" s="20">
        <f>IF(B71="","",IF(W71&lt;&gt;"",W71,LaborCostHour))</f>
        <v>0</v>
      </c>
      <c r="AI71" s="20">
        <f>IF(B71="","",ROUND(AG71/60*AH71,2))</f>
        <v>0</v>
      </c>
      <c r="AJ71" s="20">
        <f>IF(B71="","",ROUND(IF(Q71="",0,Q71)+IF(R71="",0,R71)+IF(S71="",0,S71)+AG71/60*SuppliesPerHour,2))</f>
        <v>0</v>
      </c>
      <c r="AK71" s="33">
        <f>IF(B71="","",IF(OR(AF71="",AF71=0),"",AB71/AF71))</f>
        <v>0</v>
      </c>
      <c r="AL71" s="20">
        <f>IF(B71="","",ROUND(AF71+AI71+AJ71,2))</f>
        <v>0</v>
      </c>
      <c r="AM71" s="33">
        <f>IF(B71="","",IFERROR(INDEX(Channels!$S$5:$S$18,MATCH(DefaultChannel,Channels!$A$5:$A$18,0)),0))</f>
        <v>0</v>
      </c>
      <c r="AN71" s="20">
        <f>IF(B71="","",IFERROR(INDEX(Channels!$T$5:$T$18,MATCH(DefaultChannel,Channels!$A$5:$A$18,0)),0))</f>
        <v>0</v>
      </c>
      <c r="AO71" s="41">
        <f>IF(B71="","",1-TargetRetailMargin-AM71)</f>
        <v>0</v>
      </c>
      <c r="AP71" s="20">
        <f>IF(B71="","",IF(AO71&lt;=0,"",(AL71+AN71)/AO71))</f>
        <v>0</v>
      </c>
      <c r="AQ71" s="20">
        <f>IF(B71="","",IF(AP71="","Check the settings",ROUND(IF(RoundingRule="None",AP71,IF(RoundingRule="Nearest 0.99",MAX(0.99,CEILING(AP71,1)-0.01),IF(RoundingRule="Nearest 0.95",MAX(0.95,CEILING(AP71,1)-0.05),IF(RoundingRule="Nearest 0.50",CEILING(AP71,0.5),IF(RoundingRule="Nearest 1",CEILING(AP71,1),IF(RoundingRule="Nearest 5",CEILING(AP71,5),IF(RoundingRule="Up to whole 1",CEILING(AP71,1),IF(RoundingRule="Up to whole 5",CEILING(AP71,5),ROUND(AP71,2))))))))),2)))</f>
        <v>0</v>
      </c>
      <c r="AR71" s="20">
        <f>IF(B71="","",IF(X71&lt;&gt;"",X71,IF(ISNUMBER(AQ71),AQ71,"")))</f>
        <v>0</v>
      </c>
      <c r="AS71" s="20">
        <f>IF(B71="","",IF(AR71="","",ROUND(AR71-AL71-(AR71*AM71+AN71),2)))</f>
        <v>0</v>
      </c>
      <c r="AT71" s="33">
        <f>IF(B71="","",IF(OR(AR71="",AR71=0),"",AS71/AR71))</f>
        <v>0</v>
      </c>
      <c r="AU71" s="41">
        <f>IF(B71="","",ROUND(AG71/60,3))</f>
        <v>0</v>
      </c>
      <c r="AV71" s="20">
        <f>IF(B71="","",IF(OR(AU71=0,AU71="",AS71=""),"",ROUND((AS71+AI71)/AU71,2)))</f>
        <v>0</v>
      </c>
      <c r="AW71" s="43">
        <f>IF(B71="","",IF(AND(A71&lt;&gt;"",ISERROR(MATCH(A71,Products!$A$5:$A$304,0))),"Check - no such product ID",IF(AF71=0,"Add - no material cost yet",IF(AG71=0,"Add - how long does it take?",IF(AND(A71&lt;&gt;"",COUNTIFS('Material Usage'!$A$5:$A$904,A71)&gt;0),"Check - this product also has a bill of materials",IF(AND(A71&lt;&gt;"",COUNTIFS(Labor!$A$5:$A$304,A71)&gt;0),"Check - this product also has labour lines",IF(AV71&lt;MinimumWage,"Below - pays under minimum wage","OK")))))) )</f>
        <v>0</v>
      </c>
    </row>
    <row r="72" spans="26:49">
      <c r="Z72" s="45">
        <f>IF(B72="","",IF(F72&lt;&gt;"",F72,IFERROR(INDEX(Materials!$V$5:$V$254,MATCH(D72,Materials!$A$5:$A$254,0)),0)))</f>
        <v>0</v>
      </c>
      <c r="AA72" s="36">
        <f>IF(B72="","",ROUND(IF(E72="",0,E72)*(1+IF(G72="",0,G72)),2))</f>
        <v>0</v>
      </c>
      <c r="AB72" s="20">
        <f>IF(B72="","",ROUND(AA72*Z72-IF(E72="",0,E72)*IF(G72="",0,G72)*IF(H72="",0,H72)*Z72,2))</f>
        <v>0</v>
      </c>
      <c r="AC72" s="20">
        <f>IF(B72="","",ROUND(IF(J72="",0,J72)*IF(K72="",0,K72),2))</f>
        <v>0</v>
      </c>
      <c r="AD72" s="20">
        <f>IF(B72="","",ROUND(IF(L72="",0,L72)*IFERROR(INDEX(Materials!$V$5:$V$254,MATCH(M72,Materials!$A$5:$A$254,0)),0),2))</f>
        <v>0</v>
      </c>
      <c r="AE72" s="20">
        <f>IF(B72="","",ROUND(IF(N72="",0,N72)*IFERROR(INDEX(Materials!$V$5:$V$254,MATCH(O72,Materials!$A$5:$A$254,0)),0),2))</f>
        <v>0</v>
      </c>
      <c r="AF72" s="20">
        <f>IF(B72="","",ROUND(AB72+AC72+AD72+AE72+IF(P72="",0,P72),2))</f>
        <v>0</v>
      </c>
      <c r="AG72" s="36">
        <f>IF(B72="","",IF(T72="",0,T72)+IF(U72="",0,U72)+IF(V72="",0,V72))</f>
        <v>0</v>
      </c>
      <c r="AH72" s="20">
        <f>IF(B72="","",IF(W72&lt;&gt;"",W72,LaborCostHour))</f>
        <v>0</v>
      </c>
      <c r="AI72" s="20">
        <f>IF(B72="","",ROUND(AG72/60*AH72,2))</f>
        <v>0</v>
      </c>
      <c r="AJ72" s="20">
        <f>IF(B72="","",ROUND(IF(Q72="",0,Q72)+IF(R72="",0,R72)+IF(S72="",0,S72)+AG72/60*SuppliesPerHour,2))</f>
        <v>0</v>
      </c>
      <c r="AK72" s="33">
        <f>IF(B72="","",IF(OR(AF72="",AF72=0),"",AB72/AF72))</f>
        <v>0</v>
      </c>
      <c r="AL72" s="20">
        <f>IF(B72="","",ROUND(AF72+AI72+AJ72,2))</f>
        <v>0</v>
      </c>
      <c r="AM72" s="33">
        <f>IF(B72="","",IFERROR(INDEX(Channels!$S$5:$S$18,MATCH(DefaultChannel,Channels!$A$5:$A$18,0)),0))</f>
        <v>0</v>
      </c>
      <c r="AN72" s="20">
        <f>IF(B72="","",IFERROR(INDEX(Channels!$T$5:$T$18,MATCH(DefaultChannel,Channels!$A$5:$A$18,0)),0))</f>
        <v>0</v>
      </c>
      <c r="AO72" s="41">
        <f>IF(B72="","",1-TargetRetailMargin-AM72)</f>
        <v>0</v>
      </c>
      <c r="AP72" s="20">
        <f>IF(B72="","",IF(AO72&lt;=0,"",(AL72+AN72)/AO72))</f>
        <v>0</v>
      </c>
      <c r="AQ72" s="20">
        <f>IF(B72="","",IF(AP72="","Check the settings",ROUND(IF(RoundingRule="None",AP72,IF(RoundingRule="Nearest 0.99",MAX(0.99,CEILING(AP72,1)-0.01),IF(RoundingRule="Nearest 0.95",MAX(0.95,CEILING(AP72,1)-0.05),IF(RoundingRule="Nearest 0.50",CEILING(AP72,0.5),IF(RoundingRule="Nearest 1",CEILING(AP72,1),IF(RoundingRule="Nearest 5",CEILING(AP72,5),IF(RoundingRule="Up to whole 1",CEILING(AP72,1),IF(RoundingRule="Up to whole 5",CEILING(AP72,5),ROUND(AP72,2))))))))),2)))</f>
        <v>0</v>
      </c>
      <c r="AR72" s="20">
        <f>IF(B72="","",IF(X72&lt;&gt;"",X72,IF(ISNUMBER(AQ72),AQ72,"")))</f>
        <v>0</v>
      </c>
      <c r="AS72" s="20">
        <f>IF(B72="","",IF(AR72="","",ROUND(AR72-AL72-(AR72*AM72+AN72),2)))</f>
        <v>0</v>
      </c>
      <c r="AT72" s="33">
        <f>IF(B72="","",IF(OR(AR72="",AR72=0),"",AS72/AR72))</f>
        <v>0</v>
      </c>
      <c r="AU72" s="41">
        <f>IF(B72="","",ROUND(AG72/60,3))</f>
        <v>0</v>
      </c>
      <c r="AV72" s="20">
        <f>IF(B72="","",IF(OR(AU72=0,AU72="",AS72=""),"",ROUND((AS72+AI72)/AU72,2)))</f>
        <v>0</v>
      </c>
      <c r="AW72" s="43">
        <f>IF(B72="","",IF(AND(A72&lt;&gt;"",ISERROR(MATCH(A72,Products!$A$5:$A$304,0))),"Check - no such product ID",IF(AF72=0,"Add - no material cost yet",IF(AG72=0,"Add - how long does it take?",IF(AND(A72&lt;&gt;"",COUNTIFS('Material Usage'!$A$5:$A$904,A72)&gt;0),"Check - this product also has a bill of materials",IF(AND(A72&lt;&gt;"",COUNTIFS(Labor!$A$5:$A$304,A72)&gt;0),"Check - this product also has labour lines",IF(AV72&lt;MinimumWage,"Below - pays under minimum wage","OK")))))) )</f>
        <v>0</v>
      </c>
    </row>
    <row r="73" spans="26:49">
      <c r="Z73" s="45">
        <f>IF(B73="","",IF(F73&lt;&gt;"",F73,IFERROR(INDEX(Materials!$V$5:$V$254,MATCH(D73,Materials!$A$5:$A$254,0)),0)))</f>
        <v>0</v>
      </c>
      <c r="AA73" s="36">
        <f>IF(B73="","",ROUND(IF(E73="",0,E73)*(1+IF(G73="",0,G73)),2))</f>
        <v>0</v>
      </c>
      <c r="AB73" s="20">
        <f>IF(B73="","",ROUND(AA73*Z73-IF(E73="",0,E73)*IF(G73="",0,G73)*IF(H73="",0,H73)*Z73,2))</f>
        <v>0</v>
      </c>
      <c r="AC73" s="20">
        <f>IF(B73="","",ROUND(IF(J73="",0,J73)*IF(K73="",0,K73),2))</f>
        <v>0</v>
      </c>
      <c r="AD73" s="20">
        <f>IF(B73="","",ROUND(IF(L73="",0,L73)*IFERROR(INDEX(Materials!$V$5:$V$254,MATCH(M73,Materials!$A$5:$A$254,0)),0),2))</f>
        <v>0</v>
      </c>
      <c r="AE73" s="20">
        <f>IF(B73="","",ROUND(IF(N73="",0,N73)*IFERROR(INDEX(Materials!$V$5:$V$254,MATCH(O73,Materials!$A$5:$A$254,0)),0),2))</f>
        <v>0</v>
      </c>
      <c r="AF73" s="20">
        <f>IF(B73="","",ROUND(AB73+AC73+AD73+AE73+IF(P73="",0,P73),2))</f>
        <v>0</v>
      </c>
      <c r="AG73" s="36">
        <f>IF(B73="","",IF(T73="",0,T73)+IF(U73="",0,U73)+IF(V73="",0,V73))</f>
        <v>0</v>
      </c>
      <c r="AH73" s="20">
        <f>IF(B73="","",IF(W73&lt;&gt;"",W73,LaborCostHour))</f>
        <v>0</v>
      </c>
      <c r="AI73" s="20">
        <f>IF(B73="","",ROUND(AG73/60*AH73,2))</f>
        <v>0</v>
      </c>
      <c r="AJ73" s="20">
        <f>IF(B73="","",ROUND(IF(Q73="",0,Q73)+IF(R73="",0,R73)+IF(S73="",0,S73)+AG73/60*SuppliesPerHour,2))</f>
        <v>0</v>
      </c>
      <c r="AK73" s="33">
        <f>IF(B73="","",IF(OR(AF73="",AF73=0),"",AB73/AF73))</f>
        <v>0</v>
      </c>
      <c r="AL73" s="20">
        <f>IF(B73="","",ROUND(AF73+AI73+AJ73,2))</f>
        <v>0</v>
      </c>
      <c r="AM73" s="33">
        <f>IF(B73="","",IFERROR(INDEX(Channels!$S$5:$S$18,MATCH(DefaultChannel,Channels!$A$5:$A$18,0)),0))</f>
        <v>0</v>
      </c>
      <c r="AN73" s="20">
        <f>IF(B73="","",IFERROR(INDEX(Channels!$T$5:$T$18,MATCH(DefaultChannel,Channels!$A$5:$A$18,0)),0))</f>
        <v>0</v>
      </c>
      <c r="AO73" s="41">
        <f>IF(B73="","",1-TargetRetailMargin-AM73)</f>
        <v>0</v>
      </c>
      <c r="AP73" s="20">
        <f>IF(B73="","",IF(AO73&lt;=0,"",(AL73+AN73)/AO73))</f>
        <v>0</v>
      </c>
      <c r="AQ73" s="20">
        <f>IF(B73="","",IF(AP73="","Check the settings",ROUND(IF(RoundingRule="None",AP73,IF(RoundingRule="Nearest 0.99",MAX(0.99,CEILING(AP73,1)-0.01),IF(RoundingRule="Nearest 0.95",MAX(0.95,CEILING(AP73,1)-0.05),IF(RoundingRule="Nearest 0.50",CEILING(AP73,0.5),IF(RoundingRule="Nearest 1",CEILING(AP73,1),IF(RoundingRule="Nearest 5",CEILING(AP73,5),IF(RoundingRule="Up to whole 1",CEILING(AP73,1),IF(RoundingRule="Up to whole 5",CEILING(AP73,5),ROUND(AP73,2))))))))),2)))</f>
        <v>0</v>
      </c>
      <c r="AR73" s="20">
        <f>IF(B73="","",IF(X73&lt;&gt;"",X73,IF(ISNUMBER(AQ73),AQ73,"")))</f>
        <v>0</v>
      </c>
      <c r="AS73" s="20">
        <f>IF(B73="","",IF(AR73="","",ROUND(AR73-AL73-(AR73*AM73+AN73),2)))</f>
        <v>0</v>
      </c>
      <c r="AT73" s="33">
        <f>IF(B73="","",IF(OR(AR73="",AR73=0),"",AS73/AR73))</f>
        <v>0</v>
      </c>
      <c r="AU73" s="41">
        <f>IF(B73="","",ROUND(AG73/60,3))</f>
        <v>0</v>
      </c>
      <c r="AV73" s="20">
        <f>IF(B73="","",IF(OR(AU73=0,AU73="",AS73=""),"",ROUND((AS73+AI73)/AU73,2)))</f>
        <v>0</v>
      </c>
      <c r="AW73" s="43">
        <f>IF(B73="","",IF(AND(A73&lt;&gt;"",ISERROR(MATCH(A73,Products!$A$5:$A$304,0))),"Check - no such product ID",IF(AF73=0,"Add - no material cost yet",IF(AG73=0,"Add - how long does it take?",IF(AND(A73&lt;&gt;"",COUNTIFS('Material Usage'!$A$5:$A$904,A73)&gt;0),"Check - this product also has a bill of materials",IF(AND(A73&lt;&gt;"",COUNTIFS(Labor!$A$5:$A$304,A73)&gt;0),"Check - this product also has labour lines",IF(AV73&lt;MinimumWage,"Below - pays under minimum wage","OK")))))) )</f>
        <v>0</v>
      </c>
    </row>
    <row r="74" spans="26:49">
      <c r="Z74" s="45">
        <f>IF(B74="","",IF(F74&lt;&gt;"",F74,IFERROR(INDEX(Materials!$V$5:$V$254,MATCH(D74,Materials!$A$5:$A$254,0)),0)))</f>
        <v>0</v>
      </c>
      <c r="AA74" s="36">
        <f>IF(B74="","",ROUND(IF(E74="",0,E74)*(1+IF(G74="",0,G74)),2))</f>
        <v>0</v>
      </c>
      <c r="AB74" s="20">
        <f>IF(B74="","",ROUND(AA74*Z74-IF(E74="",0,E74)*IF(G74="",0,G74)*IF(H74="",0,H74)*Z74,2))</f>
        <v>0</v>
      </c>
      <c r="AC74" s="20">
        <f>IF(B74="","",ROUND(IF(J74="",0,J74)*IF(K74="",0,K74),2))</f>
        <v>0</v>
      </c>
      <c r="AD74" s="20">
        <f>IF(B74="","",ROUND(IF(L74="",0,L74)*IFERROR(INDEX(Materials!$V$5:$V$254,MATCH(M74,Materials!$A$5:$A$254,0)),0),2))</f>
        <v>0</v>
      </c>
      <c r="AE74" s="20">
        <f>IF(B74="","",ROUND(IF(N74="",0,N74)*IFERROR(INDEX(Materials!$V$5:$V$254,MATCH(O74,Materials!$A$5:$A$254,0)),0),2))</f>
        <v>0</v>
      </c>
      <c r="AF74" s="20">
        <f>IF(B74="","",ROUND(AB74+AC74+AD74+AE74+IF(P74="",0,P74),2))</f>
        <v>0</v>
      </c>
      <c r="AG74" s="36">
        <f>IF(B74="","",IF(T74="",0,T74)+IF(U74="",0,U74)+IF(V74="",0,V74))</f>
        <v>0</v>
      </c>
      <c r="AH74" s="20">
        <f>IF(B74="","",IF(W74&lt;&gt;"",W74,LaborCostHour))</f>
        <v>0</v>
      </c>
      <c r="AI74" s="20">
        <f>IF(B74="","",ROUND(AG74/60*AH74,2))</f>
        <v>0</v>
      </c>
      <c r="AJ74" s="20">
        <f>IF(B74="","",ROUND(IF(Q74="",0,Q74)+IF(R74="",0,R74)+IF(S74="",0,S74)+AG74/60*SuppliesPerHour,2))</f>
        <v>0</v>
      </c>
      <c r="AK74" s="33">
        <f>IF(B74="","",IF(OR(AF74="",AF74=0),"",AB74/AF74))</f>
        <v>0</v>
      </c>
      <c r="AL74" s="20">
        <f>IF(B74="","",ROUND(AF74+AI74+AJ74,2))</f>
        <v>0</v>
      </c>
      <c r="AM74" s="33">
        <f>IF(B74="","",IFERROR(INDEX(Channels!$S$5:$S$18,MATCH(DefaultChannel,Channels!$A$5:$A$18,0)),0))</f>
        <v>0</v>
      </c>
      <c r="AN74" s="20">
        <f>IF(B74="","",IFERROR(INDEX(Channels!$T$5:$T$18,MATCH(DefaultChannel,Channels!$A$5:$A$18,0)),0))</f>
        <v>0</v>
      </c>
      <c r="AO74" s="41">
        <f>IF(B74="","",1-TargetRetailMargin-AM74)</f>
        <v>0</v>
      </c>
      <c r="AP74" s="20">
        <f>IF(B74="","",IF(AO74&lt;=0,"",(AL74+AN74)/AO74))</f>
        <v>0</v>
      </c>
      <c r="AQ74" s="20">
        <f>IF(B74="","",IF(AP74="","Check the settings",ROUND(IF(RoundingRule="None",AP74,IF(RoundingRule="Nearest 0.99",MAX(0.99,CEILING(AP74,1)-0.01),IF(RoundingRule="Nearest 0.95",MAX(0.95,CEILING(AP74,1)-0.05),IF(RoundingRule="Nearest 0.50",CEILING(AP74,0.5),IF(RoundingRule="Nearest 1",CEILING(AP74,1),IF(RoundingRule="Nearest 5",CEILING(AP74,5),IF(RoundingRule="Up to whole 1",CEILING(AP74,1),IF(RoundingRule="Up to whole 5",CEILING(AP74,5),ROUND(AP74,2))))))))),2)))</f>
        <v>0</v>
      </c>
      <c r="AR74" s="20">
        <f>IF(B74="","",IF(X74&lt;&gt;"",X74,IF(ISNUMBER(AQ74),AQ74,"")))</f>
        <v>0</v>
      </c>
      <c r="AS74" s="20">
        <f>IF(B74="","",IF(AR74="","",ROUND(AR74-AL74-(AR74*AM74+AN74),2)))</f>
        <v>0</v>
      </c>
      <c r="AT74" s="33">
        <f>IF(B74="","",IF(OR(AR74="",AR74=0),"",AS74/AR74))</f>
        <v>0</v>
      </c>
      <c r="AU74" s="41">
        <f>IF(B74="","",ROUND(AG74/60,3))</f>
        <v>0</v>
      </c>
      <c r="AV74" s="20">
        <f>IF(B74="","",IF(OR(AU74=0,AU74="",AS74=""),"",ROUND((AS74+AI74)/AU74,2)))</f>
        <v>0</v>
      </c>
      <c r="AW74" s="43">
        <f>IF(B74="","",IF(AND(A74&lt;&gt;"",ISERROR(MATCH(A74,Products!$A$5:$A$304,0))),"Check - no such product ID",IF(AF74=0,"Add - no material cost yet",IF(AG74=0,"Add - how long does it take?",IF(AND(A74&lt;&gt;"",COUNTIFS('Material Usage'!$A$5:$A$904,A74)&gt;0),"Check - this product also has a bill of materials",IF(AND(A74&lt;&gt;"",COUNTIFS(Labor!$A$5:$A$304,A74)&gt;0),"Check - this product also has labour lines",IF(AV74&lt;MinimumWage,"Below - pays under minimum wage","OK")))))) )</f>
        <v>0</v>
      </c>
    </row>
    <row r="75" spans="26:49">
      <c r="Z75" s="45">
        <f>IF(B75="","",IF(F75&lt;&gt;"",F75,IFERROR(INDEX(Materials!$V$5:$V$254,MATCH(D75,Materials!$A$5:$A$254,0)),0)))</f>
        <v>0</v>
      </c>
      <c r="AA75" s="36">
        <f>IF(B75="","",ROUND(IF(E75="",0,E75)*(1+IF(G75="",0,G75)),2))</f>
        <v>0</v>
      </c>
      <c r="AB75" s="20">
        <f>IF(B75="","",ROUND(AA75*Z75-IF(E75="",0,E75)*IF(G75="",0,G75)*IF(H75="",0,H75)*Z75,2))</f>
        <v>0</v>
      </c>
      <c r="AC75" s="20">
        <f>IF(B75="","",ROUND(IF(J75="",0,J75)*IF(K75="",0,K75),2))</f>
        <v>0</v>
      </c>
      <c r="AD75" s="20">
        <f>IF(B75="","",ROUND(IF(L75="",0,L75)*IFERROR(INDEX(Materials!$V$5:$V$254,MATCH(M75,Materials!$A$5:$A$254,0)),0),2))</f>
        <v>0</v>
      </c>
      <c r="AE75" s="20">
        <f>IF(B75="","",ROUND(IF(N75="",0,N75)*IFERROR(INDEX(Materials!$V$5:$V$254,MATCH(O75,Materials!$A$5:$A$254,0)),0),2))</f>
        <v>0</v>
      </c>
      <c r="AF75" s="20">
        <f>IF(B75="","",ROUND(AB75+AC75+AD75+AE75+IF(P75="",0,P75),2))</f>
        <v>0</v>
      </c>
      <c r="AG75" s="36">
        <f>IF(B75="","",IF(T75="",0,T75)+IF(U75="",0,U75)+IF(V75="",0,V75))</f>
        <v>0</v>
      </c>
      <c r="AH75" s="20">
        <f>IF(B75="","",IF(W75&lt;&gt;"",W75,LaborCostHour))</f>
        <v>0</v>
      </c>
      <c r="AI75" s="20">
        <f>IF(B75="","",ROUND(AG75/60*AH75,2))</f>
        <v>0</v>
      </c>
      <c r="AJ75" s="20">
        <f>IF(B75="","",ROUND(IF(Q75="",0,Q75)+IF(R75="",0,R75)+IF(S75="",0,S75)+AG75/60*SuppliesPerHour,2))</f>
        <v>0</v>
      </c>
      <c r="AK75" s="33">
        <f>IF(B75="","",IF(OR(AF75="",AF75=0),"",AB75/AF75))</f>
        <v>0</v>
      </c>
      <c r="AL75" s="20">
        <f>IF(B75="","",ROUND(AF75+AI75+AJ75,2))</f>
        <v>0</v>
      </c>
      <c r="AM75" s="33">
        <f>IF(B75="","",IFERROR(INDEX(Channels!$S$5:$S$18,MATCH(DefaultChannel,Channels!$A$5:$A$18,0)),0))</f>
        <v>0</v>
      </c>
      <c r="AN75" s="20">
        <f>IF(B75="","",IFERROR(INDEX(Channels!$T$5:$T$18,MATCH(DefaultChannel,Channels!$A$5:$A$18,0)),0))</f>
        <v>0</v>
      </c>
      <c r="AO75" s="41">
        <f>IF(B75="","",1-TargetRetailMargin-AM75)</f>
        <v>0</v>
      </c>
      <c r="AP75" s="20">
        <f>IF(B75="","",IF(AO75&lt;=0,"",(AL75+AN75)/AO75))</f>
        <v>0</v>
      </c>
      <c r="AQ75" s="20">
        <f>IF(B75="","",IF(AP75="","Check the settings",ROUND(IF(RoundingRule="None",AP75,IF(RoundingRule="Nearest 0.99",MAX(0.99,CEILING(AP75,1)-0.01),IF(RoundingRule="Nearest 0.95",MAX(0.95,CEILING(AP75,1)-0.05),IF(RoundingRule="Nearest 0.50",CEILING(AP75,0.5),IF(RoundingRule="Nearest 1",CEILING(AP75,1),IF(RoundingRule="Nearest 5",CEILING(AP75,5),IF(RoundingRule="Up to whole 1",CEILING(AP75,1),IF(RoundingRule="Up to whole 5",CEILING(AP75,5),ROUND(AP75,2))))))))),2)))</f>
        <v>0</v>
      </c>
      <c r="AR75" s="20">
        <f>IF(B75="","",IF(X75&lt;&gt;"",X75,IF(ISNUMBER(AQ75),AQ75,"")))</f>
        <v>0</v>
      </c>
      <c r="AS75" s="20">
        <f>IF(B75="","",IF(AR75="","",ROUND(AR75-AL75-(AR75*AM75+AN75),2)))</f>
        <v>0</v>
      </c>
      <c r="AT75" s="33">
        <f>IF(B75="","",IF(OR(AR75="",AR75=0),"",AS75/AR75))</f>
        <v>0</v>
      </c>
      <c r="AU75" s="41">
        <f>IF(B75="","",ROUND(AG75/60,3))</f>
        <v>0</v>
      </c>
      <c r="AV75" s="20">
        <f>IF(B75="","",IF(OR(AU75=0,AU75="",AS75=""),"",ROUND((AS75+AI75)/AU75,2)))</f>
        <v>0</v>
      </c>
      <c r="AW75" s="43">
        <f>IF(B75="","",IF(AND(A75&lt;&gt;"",ISERROR(MATCH(A75,Products!$A$5:$A$304,0))),"Check - no such product ID",IF(AF75=0,"Add - no material cost yet",IF(AG75=0,"Add - how long does it take?",IF(AND(A75&lt;&gt;"",COUNTIFS('Material Usage'!$A$5:$A$904,A75)&gt;0),"Check - this product also has a bill of materials",IF(AND(A75&lt;&gt;"",COUNTIFS(Labor!$A$5:$A$304,A75)&gt;0),"Check - this product also has labour lines",IF(AV75&lt;MinimumWage,"Below - pays under minimum wage","OK")))))) )</f>
        <v>0</v>
      </c>
    </row>
    <row r="76" spans="26:49">
      <c r="Z76" s="45">
        <f>IF(B76="","",IF(F76&lt;&gt;"",F76,IFERROR(INDEX(Materials!$V$5:$V$254,MATCH(D76,Materials!$A$5:$A$254,0)),0)))</f>
        <v>0</v>
      </c>
      <c r="AA76" s="36">
        <f>IF(B76="","",ROUND(IF(E76="",0,E76)*(1+IF(G76="",0,G76)),2))</f>
        <v>0</v>
      </c>
      <c r="AB76" s="20">
        <f>IF(B76="","",ROUND(AA76*Z76-IF(E76="",0,E76)*IF(G76="",0,G76)*IF(H76="",0,H76)*Z76,2))</f>
        <v>0</v>
      </c>
      <c r="AC76" s="20">
        <f>IF(B76="","",ROUND(IF(J76="",0,J76)*IF(K76="",0,K76),2))</f>
        <v>0</v>
      </c>
      <c r="AD76" s="20">
        <f>IF(B76="","",ROUND(IF(L76="",0,L76)*IFERROR(INDEX(Materials!$V$5:$V$254,MATCH(M76,Materials!$A$5:$A$254,0)),0),2))</f>
        <v>0</v>
      </c>
      <c r="AE76" s="20">
        <f>IF(B76="","",ROUND(IF(N76="",0,N76)*IFERROR(INDEX(Materials!$V$5:$V$254,MATCH(O76,Materials!$A$5:$A$254,0)),0),2))</f>
        <v>0</v>
      </c>
      <c r="AF76" s="20">
        <f>IF(B76="","",ROUND(AB76+AC76+AD76+AE76+IF(P76="",0,P76),2))</f>
        <v>0</v>
      </c>
      <c r="AG76" s="36">
        <f>IF(B76="","",IF(T76="",0,T76)+IF(U76="",0,U76)+IF(V76="",0,V76))</f>
        <v>0</v>
      </c>
      <c r="AH76" s="20">
        <f>IF(B76="","",IF(W76&lt;&gt;"",W76,LaborCostHour))</f>
        <v>0</v>
      </c>
      <c r="AI76" s="20">
        <f>IF(B76="","",ROUND(AG76/60*AH76,2))</f>
        <v>0</v>
      </c>
      <c r="AJ76" s="20">
        <f>IF(B76="","",ROUND(IF(Q76="",0,Q76)+IF(R76="",0,R76)+IF(S76="",0,S76)+AG76/60*SuppliesPerHour,2))</f>
        <v>0</v>
      </c>
      <c r="AK76" s="33">
        <f>IF(B76="","",IF(OR(AF76="",AF76=0),"",AB76/AF76))</f>
        <v>0</v>
      </c>
      <c r="AL76" s="20">
        <f>IF(B76="","",ROUND(AF76+AI76+AJ76,2))</f>
        <v>0</v>
      </c>
      <c r="AM76" s="33">
        <f>IF(B76="","",IFERROR(INDEX(Channels!$S$5:$S$18,MATCH(DefaultChannel,Channels!$A$5:$A$18,0)),0))</f>
        <v>0</v>
      </c>
      <c r="AN76" s="20">
        <f>IF(B76="","",IFERROR(INDEX(Channels!$T$5:$T$18,MATCH(DefaultChannel,Channels!$A$5:$A$18,0)),0))</f>
        <v>0</v>
      </c>
      <c r="AO76" s="41">
        <f>IF(B76="","",1-TargetRetailMargin-AM76)</f>
        <v>0</v>
      </c>
      <c r="AP76" s="20">
        <f>IF(B76="","",IF(AO76&lt;=0,"",(AL76+AN76)/AO76))</f>
        <v>0</v>
      </c>
      <c r="AQ76" s="20">
        <f>IF(B76="","",IF(AP76="","Check the settings",ROUND(IF(RoundingRule="None",AP76,IF(RoundingRule="Nearest 0.99",MAX(0.99,CEILING(AP76,1)-0.01),IF(RoundingRule="Nearest 0.95",MAX(0.95,CEILING(AP76,1)-0.05),IF(RoundingRule="Nearest 0.50",CEILING(AP76,0.5),IF(RoundingRule="Nearest 1",CEILING(AP76,1),IF(RoundingRule="Nearest 5",CEILING(AP76,5),IF(RoundingRule="Up to whole 1",CEILING(AP76,1),IF(RoundingRule="Up to whole 5",CEILING(AP76,5),ROUND(AP76,2))))))))),2)))</f>
        <v>0</v>
      </c>
      <c r="AR76" s="20">
        <f>IF(B76="","",IF(X76&lt;&gt;"",X76,IF(ISNUMBER(AQ76),AQ76,"")))</f>
        <v>0</v>
      </c>
      <c r="AS76" s="20">
        <f>IF(B76="","",IF(AR76="","",ROUND(AR76-AL76-(AR76*AM76+AN76),2)))</f>
        <v>0</v>
      </c>
      <c r="AT76" s="33">
        <f>IF(B76="","",IF(OR(AR76="",AR76=0),"",AS76/AR76))</f>
        <v>0</v>
      </c>
      <c r="AU76" s="41">
        <f>IF(B76="","",ROUND(AG76/60,3))</f>
        <v>0</v>
      </c>
      <c r="AV76" s="20">
        <f>IF(B76="","",IF(OR(AU76=0,AU76="",AS76=""),"",ROUND((AS76+AI76)/AU76,2)))</f>
        <v>0</v>
      </c>
      <c r="AW76" s="43">
        <f>IF(B76="","",IF(AND(A76&lt;&gt;"",ISERROR(MATCH(A76,Products!$A$5:$A$304,0))),"Check - no such product ID",IF(AF76=0,"Add - no material cost yet",IF(AG76=0,"Add - how long does it take?",IF(AND(A76&lt;&gt;"",COUNTIFS('Material Usage'!$A$5:$A$904,A76)&gt;0),"Check - this product also has a bill of materials",IF(AND(A76&lt;&gt;"",COUNTIFS(Labor!$A$5:$A$304,A76)&gt;0),"Check - this product also has labour lines",IF(AV76&lt;MinimumWage,"Below - pays under minimum wage","OK")))))) )</f>
        <v>0</v>
      </c>
    </row>
    <row r="77" spans="26:49">
      <c r="Z77" s="45">
        <f>IF(B77="","",IF(F77&lt;&gt;"",F77,IFERROR(INDEX(Materials!$V$5:$V$254,MATCH(D77,Materials!$A$5:$A$254,0)),0)))</f>
        <v>0</v>
      </c>
      <c r="AA77" s="36">
        <f>IF(B77="","",ROUND(IF(E77="",0,E77)*(1+IF(G77="",0,G77)),2))</f>
        <v>0</v>
      </c>
      <c r="AB77" s="20">
        <f>IF(B77="","",ROUND(AA77*Z77-IF(E77="",0,E77)*IF(G77="",0,G77)*IF(H77="",0,H77)*Z77,2))</f>
        <v>0</v>
      </c>
      <c r="AC77" s="20">
        <f>IF(B77="","",ROUND(IF(J77="",0,J77)*IF(K77="",0,K77),2))</f>
        <v>0</v>
      </c>
      <c r="AD77" s="20">
        <f>IF(B77="","",ROUND(IF(L77="",0,L77)*IFERROR(INDEX(Materials!$V$5:$V$254,MATCH(M77,Materials!$A$5:$A$254,0)),0),2))</f>
        <v>0</v>
      </c>
      <c r="AE77" s="20">
        <f>IF(B77="","",ROUND(IF(N77="",0,N77)*IFERROR(INDEX(Materials!$V$5:$V$254,MATCH(O77,Materials!$A$5:$A$254,0)),0),2))</f>
        <v>0</v>
      </c>
      <c r="AF77" s="20">
        <f>IF(B77="","",ROUND(AB77+AC77+AD77+AE77+IF(P77="",0,P77),2))</f>
        <v>0</v>
      </c>
      <c r="AG77" s="36">
        <f>IF(B77="","",IF(T77="",0,T77)+IF(U77="",0,U77)+IF(V77="",0,V77))</f>
        <v>0</v>
      </c>
      <c r="AH77" s="20">
        <f>IF(B77="","",IF(W77&lt;&gt;"",W77,LaborCostHour))</f>
        <v>0</v>
      </c>
      <c r="AI77" s="20">
        <f>IF(B77="","",ROUND(AG77/60*AH77,2))</f>
        <v>0</v>
      </c>
      <c r="AJ77" s="20">
        <f>IF(B77="","",ROUND(IF(Q77="",0,Q77)+IF(R77="",0,R77)+IF(S77="",0,S77)+AG77/60*SuppliesPerHour,2))</f>
        <v>0</v>
      </c>
      <c r="AK77" s="33">
        <f>IF(B77="","",IF(OR(AF77="",AF77=0),"",AB77/AF77))</f>
        <v>0</v>
      </c>
      <c r="AL77" s="20">
        <f>IF(B77="","",ROUND(AF77+AI77+AJ77,2))</f>
        <v>0</v>
      </c>
      <c r="AM77" s="33">
        <f>IF(B77="","",IFERROR(INDEX(Channels!$S$5:$S$18,MATCH(DefaultChannel,Channels!$A$5:$A$18,0)),0))</f>
        <v>0</v>
      </c>
      <c r="AN77" s="20">
        <f>IF(B77="","",IFERROR(INDEX(Channels!$T$5:$T$18,MATCH(DefaultChannel,Channels!$A$5:$A$18,0)),0))</f>
        <v>0</v>
      </c>
      <c r="AO77" s="41">
        <f>IF(B77="","",1-TargetRetailMargin-AM77)</f>
        <v>0</v>
      </c>
      <c r="AP77" s="20">
        <f>IF(B77="","",IF(AO77&lt;=0,"",(AL77+AN77)/AO77))</f>
        <v>0</v>
      </c>
      <c r="AQ77" s="20">
        <f>IF(B77="","",IF(AP77="","Check the settings",ROUND(IF(RoundingRule="None",AP77,IF(RoundingRule="Nearest 0.99",MAX(0.99,CEILING(AP77,1)-0.01),IF(RoundingRule="Nearest 0.95",MAX(0.95,CEILING(AP77,1)-0.05),IF(RoundingRule="Nearest 0.50",CEILING(AP77,0.5),IF(RoundingRule="Nearest 1",CEILING(AP77,1),IF(RoundingRule="Nearest 5",CEILING(AP77,5),IF(RoundingRule="Up to whole 1",CEILING(AP77,1),IF(RoundingRule="Up to whole 5",CEILING(AP77,5),ROUND(AP77,2))))))))),2)))</f>
        <v>0</v>
      </c>
      <c r="AR77" s="20">
        <f>IF(B77="","",IF(X77&lt;&gt;"",X77,IF(ISNUMBER(AQ77),AQ77,"")))</f>
        <v>0</v>
      </c>
      <c r="AS77" s="20">
        <f>IF(B77="","",IF(AR77="","",ROUND(AR77-AL77-(AR77*AM77+AN77),2)))</f>
        <v>0</v>
      </c>
      <c r="AT77" s="33">
        <f>IF(B77="","",IF(OR(AR77="",AR77=0),"",AS77/AR77))</f>
        <v>0</v>
      </c>
      <c r="AU77" s="41">
        <f>IF(B77="","",ROUND(AG77/60,3))</f>
        <v>0</v>
      </c>
      <c r="AV77" s="20">
        <f>IF(B77="","",IF(OR(AU77=0,AU77="",AS77=""),"",ROUND((AS77+AI77)/AU77,2)))</f>
        <v>0</v>
      </c>
      <c r="AW77" s="43">
        <f>IF(B77="","",IF(AND(A77&lt;&gt;"",ISERROR(MATCH(A77,Products!$A$5:$A$304,0))),"Check - no such product ID",IF(AF77=0,"Add - no material cost yet",IF(AG77=0,"Add - how long does it take?",IF(AND(A77&lt;&gt;"",COUNTIFS('Material Usage'!$A$5:$A$904,A77)&gt;0),"Check - this product also has a bill of materials",IF(AND(A77&lt;&gt;"",COUNTIFS(Labor!$A$5:$A$304,A77)&gt;0),"Check - this product also has labour lines",IF(AV77&lt;MinimumWage,"Below - pays under minimum wage","OK")))))) )</f>
        <v>0</v>
      </c>
    </row>
    <row r="78" spans="26:49">
      <c r="Z78" s="45">
        <f>IF(B78="","",IF(F78&lt;&gt;"",F78,IFERROR(INDEX(Materials!$V$5:$V$254,MATCH(D78,Materials!$A$5:$A$254,0)),0)))</f>
        <v>0</v>
      </c>
      <c r="AA78" s="36">
        <f>IF(B78="","",ROUND(IF(E78="",0,E78)*(1+IF(G78="",0,G78)),2))</f>
        <v>0</v>
      </c>
      <c r="AB78" s="20">
        <f>IF(B78="","",ROUND(AA78*Z78-IF(E78="",0,E78)*IF(G78="",0,G78)*IF(H78="",0,H78)*Z78,2))</f>
        <v>0</v>
      </c>
      <c r="AC78" s="20">
        <f>IF(B78="","",ROUND(IF(J78="",0,J78)*IF(K78="",0,K78),2))</f>
        <v>0</v>
      </c>
      <c r="AD78" s="20">
        <f>IF(B78="","",ROUND(IF(L78="",0,L78)*IFERROR(INDEX(Materials!$V$5:$V$254,MATCH(M78,Materials!$A$5:$A$254,0)),0),2))</f>
        <v>0</v>
      </c>
      <c r="AE78" s="20">
        <f>IF(B78="","",ROUND(IF(N78="",0,N78)*IFERROR(INDEX(Materials!$V$5:$V$254,MATCH(O78,Materials!$A$5:$A$254,0)),0),2))</f>
        <v>0</v>
      </c>
      <c r="AF78" s="20">
        <f>IF(B78="","",ROUND(AB78+AC78+AD78+AE78+IF(P78="",0,P78),2))</f>
        <v>0</v>
      </c>
      <c r="AG78" s="36">
        <f>IF(B78="","",IF(T78="",0,T78)+IF(U78="",0,U78)+IF(V78="",0,V78))</f>
        <v>0</v>
      </c>
      <c r="AH78" s="20">
        <f>IF(B78="","",IF(W78&lt;&gt;"",W78,LaborCostHour))</f>
        <v>0</v>
      </c>
      <c r="AI78" s="20">
        <f>IF(B78="","",ROUND(AG78/60*AH78,2))</f>
        <v>0</v>
      </c>
      <c r="AJ78" s="20">
        <f>IF(B78="","",ROUND(IF(Q78="",0,Q78)+IF(R78="",0,R78)+IF(S78="",0,S78)+AG78/60*SuppliesPerHour,2))</f>
        <v>0</v>
      </c>
      <c r="AK78" s="33">
        <f>IF(B78="","",IF(OR(AF78="",AF78=0),"",AB78/AF78))</f>
        <v>0</v>
      </c>
      <c r="AL78" s="20">
        <f>IF(B78="","",ROUND(AF78+AI78+AJ78,2))</f>
        <v>0</v>
      </c>
      <c r="AM78" s="33">
        <f>IF(B78="","",IFERROR(INDEX(Channels!$S$5:$S$18,MATCH(DefaultChannel,Channels!$A$5:$A$18,0)),0))</f>
        <v>0</v>
      </c>
      <c r="AN78" s="20">
        <f>IF(B78="","",IFERROR(INDEX(Channels!$T$5:$T$18,MATCH(DefaultChannel,Channels!$A$5:$A$18,0)),0))</f>
        <v>0</v>
      </c>
      <c r="AO78" s="41">
        <f>IF(B78="","",1-TargetRetailMargin-AM78)</f>
        <v>0</v>
      </c>
      <c r="AP78" s="20">
        <f>IF(B78="","",IF(AO78&lt;=0,"",(AL78+AN78)/AO78))</f>
        <v>0</v>
      </c>
      <c r="AQ78" s="20">
        <f>IF(B78="","",IF(AP78="","Check the settings",ROUND(IF(RoundingRule="None",AP78,IF(RoundingRule="Nearest 0.99",MAX(0.99,CEILING(AP78,1)-0.01),IF(RoundingRule="Nearest 0.95",MAX(0.95,CEILING(AP78,1)-0.05),IF(RoundingRule="Nearest 0.50",CEILING(AP78,0.5),IF(RoundingRule="Nearest 1",CEILING(AP78,1),IF(RoundingRule="Nearest 5",CEILING(AP78,5),IF(RoundingRule="Up to whole 1",CEILING(AP78,1),IF(RoundingRule="Up to whole 5",CEILING(AP78,5),ROUND(AP78,2))))))))),2)))</f>
        <v>0</v>
      </c>
      <c r="AR78" s="20">
        <f>IF(B78="","",IF(X78&lt;&gt;"",X78,IF(ISNUMBER(AQ78),AQ78,"")))</f>
        <v>0</v>
      </c>
      <c r="AS78" s="20">
        <f>IF(B78="","",IF(AR78="","",ROUND(AR78-AL78-(AR78*AM78+AN78),2)))</f>
        <v>0</v>
      </c>
      <c r="AT78" s="33">
        <f>IF(B78="","",IF(OR(AR78="",AR78=0),"",AS78/AR78))</f>
        <v>0</v>
      </c>
      <c r="AU78" s="41">
        <f>IF(B78="","",ROUND(AG78/60,3))</f>
        <v>0</v>
      </c>
      <c r="AV78" s="20">
        <f>IF(B78="","",IF(OR(AU78=0,AU78="",AS78=""),"",ROUND((AS78+AI78)/AU78,2)))</f>
        <v>0</v>
      </c>
      <c r="AW78" s="43">
        <f>IF(B78="","",IF(AND(A78&lt;&gt;"",ISERROR(MATCH(A78,Products!$A$5:$A$304,0))),"Check - no such product ID",IF(AF78=0,"Add - no material cost yet",IF(AG78=0,"Add - how long does it take?",IF(AND(A78&lt;&gt;"",COUNTIFS('Material Usage'!$A$5:$A$904,A78)&gt;0),"Check - this product also has a bill of materials",IF(AND(A78&lt;&gt;"",COUNTIFS(Labor!$A$5:$A$304,A78)&gt;0),"Check - this product also has labour lines",IF(AV78&lt;MinimumWage,"Below - pays under minimum wage","OK")))))) )</f>
        <v>0</v>
      </c>
    </row>
    <row r="79" spans="26:49">
      <c r="Z79" s="45">
        <f>IF(B79="","",IF(F79&lt;&gt;"",F79,IFERROR(INDEX(Materials!$V$5:$V$254,MATCH(D79,Materials!$A$5:$A$254,0)),0)))</f>
        <v>0</v>
      </c>
      <c r="AA79" s="36">
        <f>IF(B79="","",ROUND(IF(E79="",0,E79)*(1+IF(G79="",0,G79)),2))</f>
        <v>0</v>
      </c>
      <c r="AB79" s="20">
        <f>IF(B79="","",ROUND(AA79*Z79-IF(E79="",0,E79)*IF(G79="",0,G79)*IF(H79="",0,H79)*Z79,2))</f>
        <v>0</v>
      </c>
      <c r="AC79" s="20">
        <f>IF(B79="","",ROUND(IF(J79="",0,J79)*IF(K79="",0,K79),2))</f>
        <v>0</v>
      </c>
      <c r="AD79" s="20">
        <f>IF(B79="","",ROUND(IF(L79="",0,L79)*IFERROR(INDEX(Materials!$V$5:$V$254,MATCH(M79,Materials!$A$5:$A$254,0)),0),2))</f>
        <v>0</v>
      </c>
      <c r="AE79" s="20">
        <f>IF(B79="","",ROUND(IF(N79="",0,N79)*IFERROR(INDEX(Materials!$V$5:$V$254,MATCH(O79,Materials!$A$5:$A$254,0)),0),2))</f>
        <v>0</v>
      </c>
      <c r="AF79" s="20">
        <f>IF(B79="","",ROUND(AB79+AC79+AD79+AE79+IF(P79="",0,P79),2))</f>
        <v>0</v>
      </c>
      <c r="AG79" s="36">
        <f>IF(B79="","",IF(T79="",0,T79)+IF(U79="",0,U79)+IF(V79="",0,V79))</f>
        <v>0</v>
      </c>
      <c r="AH79" s="20">
        <f>IF(B79="","",IF(W79&lt;&gt;"",W79,LaborCostHour))</f>
        <v>0</v>
      </c>
      <c r="AI79" s="20">
        <f>IF(B79="","",ROUND(AG79/60*AH79,2))</f>
        <v>0</v>
      </c>
      <c r="AJ79" s="20">
        <f>IF(B79="","",ROUND(IF(Q79="",0,Q79)+IF(R79="",0,R79)+IF(S79="",0,S79)+AG79/60*SuppliesPerHour,2))</f>
        <v>0</v>
      </c>
      <c r="AK79" s="33">
        <f>IF(B79="","",IF(OR(AF79="",AF79=0),"",AB79/AF79))</f>
        <v>0</v>
      </c>
      <c r="AL79" s="20">
        <f>IF(B79="","",ROUND(AF79+AI79+AJ79,2))</f>
        <v>0</v>
      </c>
      <c r="AM79" s="33">
        <f>IF(B79="","",IFERROR(INDEX(Channels!$S$5:$S$18,MATCH(DefaultChannel,Channels!$A$5:$A$18,0)),0))</f>
        <v>0</v>
      </c>
      <c r="AN79" s="20">
        <f>IF(B79="","",IFERROR(INDEX(Channels!$T$5:$T$18,MATCH(DefaultChannel,Channels!$A$5:$A$18,0)),0))</f>
        <v>0</v>
      </c>
      <c r="AO79" s="41">
        <f>IF(B79="","",1-TargetRetailMargin-AM79)</f>
        <v>0</v>
      </c>
      <c r="AP79" s="20">
        <f>IF(B79="","",IF(AO79&lt;=0,"",(AL79+AN79)/AO79))</f>
        <v>0</v>
      </c>
      <c r="AQ79" s="20">
        <f>IF(B79="","",IF(AP79="","Check the settings",ROUND(IF(RoundingRule="None",AP79,IF(RoundingRule="Nearest 0.99",MAX(0.99,CEILING(AP79,1)-0.01),IF(RoundingRule="Nearest 0.95",MAX(0.95,CEILING(AP79,1)-0.05),IF(RoundingRule="Nearest 0.50",CEILING(AP79,0.5),IF(RoundingRule="Nearest 1",CEILING(AP79,1),IF(RoundingRule="Nearest 5",CEILING(AP79,5),IF(RoundingRule="Up to whole 1",CEILING(AP79,1),IF(RoundingRule="Up to whole 5",CEILING(AP79,5),ROUND(AP79,2))))))))),2)))</f>
        <v>0</v>
      </c>
      <c r="AR79" s="20">
        <f>IF(B79="","",IF(X79&lt;&gt;"",X79,IF(ISNUMBER(AQ79),AQ79,"")))</f>
        <v>0</v>
      </c>
      <c r="AS79" s="20">
        <f>IF(B79="","",IF(AR79="","",ROUND(AR79-AL79-(AR79*AM79+AN79),2)))</f>
        <v>0</v>
      </c>
      <c r="AT79" s="33">
        <f>IF(B79="","",IF(OR(AR79="",AR79=0),"",AS79/AR79))</f>
        <v>0</v>
      </c>
      <c r="AU79" s="41">
        <f>IF(B79="","",ROUND(AG79/60,3))</f>
        <v>0</v>
      </c>
      <c r="AV79" s="20">
        <f>IF(B79="","",IF(OR(AU79=0,AU79="",AS79=""),"",ROUND((AS79+AI79)/AU79,2)))</f>
        <v>0</v>
      </c>
      <c r="AW79" s="43">
        <f>IF(B79="","",IF(AND(A79&lt;&gt;"",ISERROR(MATCH(A79,Products!$A$5:$A$304,0))),"Check - no such product ID",IF(AF79=0,"Add - no material cost yet",IF(AG79=0,"Add - how long does it take?",IF(AND(A79&lt;&gt;"",COUNTIFS('Material Usage'!$A$5:$A$904,A79)&gt;0),"Check - this product also has a bill of materials",IF(AND(A79&lt;&gt;"",COUNTIFS(Labor!$A$5:$A$304,A79)&gt;0),"Check - this product also has labour lines",IF(AV79&lt;MinimumWage,"Below - pays under minimum wage","OK")))))) )</f>
        <v>0</v>
      </c>
    </row>
    <row r="80" spans="26:49">
      <c r="Z80" s="45">
        <f>IF(B80="","",IF(F80&lt;&gt;"",F80,IFERROR(INDEX(Materials!$V$5:$V$254,MATCH(D80,Materials!$A$5:$A$254,0)),0)))</f>
        <v>0</v>
      </c>
      <c r="AA80" s="36">
        <f>IF(B80="","",ROUND(IF(E80="",0,E80)*(1+IF(G80="",0,G80)),2))</f>
        <v>0</v>
      </c>
      <c r="AB80" s="20">
        <f>IF(B80="","",ROUND(AA80*Z80-IF(E80="",0,E80)*IF(G80="",0,G80)*IF(H80="",0,H80)*Z80,2))</f>
        <v>0</v>
      </c>
      <c r="AC80" s="20">
        <f>IF(B80="","",ROUND(IF(J80="",0,J80)*IF(K80="",0,K80),2))</f>
        <v>0</v>
      </c>
      <c r="AD80" s="20">
        <f>IF(B80="","",ROUND(IF(L80="",0,L80)*IFERROR(INDEX(Materials!$V$5:$V$254,MATCH(M80,Materials!$A$5:$A$254,0)),0),2))</f>
        <v>0</v>
      </c>
      <c r="AE80" s="20">
        <f>IF(B80="","",ROUND(IF(N80="",0,N80)*IFERROR(INDEX(Materials!$V$5:$V$254,MATCH(O80,Materials!$A$5:$A$254,0)),0),2))</f>
        <v>0</v>
      </c>
      <c r="AF80" s="20">
        <f>IF(B80="","",ROUND(AB80+AC80+AD80+AE80+IF(P80="",0,P80),2))</f>
        <v>0</v>
      </c>
      <c r="AG80" s="36">
        <f>IF(B80="","",IF(T80="",0,T80)+IF(U80="",0,U80)+IF(V80="",0,V80))</f>
        <v>0</v>
      </c>
      <c r="AH80" s="20">
        <f>IF(B80="","",IF(W80&lt;&gt;"",W80,LaborCostHour))</f>
        <v>0</v>
      </c>
      <c r="AI80" s="20">
        <f>IF(B80="","",ROUND(AG80/60*AH80,2))</f>
        <v>0</v>
      </c>
      <c r="AJ80" s="20">
        <f>IF(B80="","",ROUND(IF(Q80="",0,Q80)+IF(R80="",0,R80)+IF(S80="",0,S80)+AG80/60*SuppliesPerHour,2))</f>
        <v>0</v>
      </c>
      <c r="AK80" s="33">
        <f>IF(B80="","",IF(OR(AF80="",AF80=0),"",AB80/AF80))</f>
        <v>0</v>
      </c>
      <c r="AL80" s="20">
        <f>IF(B80="","",ROUND(AF80+AI80+AJ80,2))</f>
        <v>0</v>
      </c>
      <c r="AM80" s="33">
        <f>IF(B80="","",IFERROR(INDEX(Channels!$S$5:$S$18,MATCH(DefaultChannel,Channels!$A$5:$A$18,0)),0))</f>
        <v>0</v>
      </c>
      <c r="AN80" s="20">
        <f>IF(B80="","",IFERROR(INDEX(Channels!$T$5:$T$18,MATCH(DefaultChannel,Channels!$A$5:$A$18,0)),0))</f>
        <v>0</v>
      </c>
      <c r="AO80" s="41">
        <f>IF(B80="","",1-TargetRetailMargin-AM80)</f>
        <v>0</v>
      </c>
      <c r="AP80" s="20">
        <f>IF(B80="","",IF(AO80&lt;=0,"",(AL80+AN80)/AO80))</f>
        <v>0</v>
      </c>
      <c r="AQ80" s="20">
        <f>IF(B80="","",IF(AP80="","Check the settings",ROUND(IF(RoundingRule="None",AP80,IF(RoundingRule="Nearest 0.99",MAX(0.99,CEILING(AP80,1)-0.01),IF(RoundingRule="Nearest 0.95",MAX(0.95,CEILING(AP80,1)-0.05),IF(RoundingRule="Nearest 0.50",CEILING(AP80,0.5),IF(RoundingRule="Nearest 1",CEILING(AP80,1),IF(RoundingRule="Nearest 5",CEILING(AP80,5),IF(RoundingRule="Up to whole 1",CEILING(AP80,1),IF(RoundingRule="Up to whole 5",CEILING(AP80,5),ROUND(AP80,2))))))))),2)))</f>
        <v>0</v>
      </c>
      <c r="AR80" s="20">
        <f>IF(B80="","",IF(X80&lt;&gt;"",X80,IF(ISNUMBER(AQ80),AQ80,"")))</f>
        <v>0</v>
      </c>
      <c r="AS80" s="20">
        <f>IF(B80="","",IF(AR80="","",ROUND(AR80-AL80-(AR80*AM80+AN80),2)))</f>
        <v>0</v>
      </c>
      <c r="AT80" s="33">
        <f>IF(B80="","",IF(OR(AR80="",AR80=0),"",AS80/AR80))</f>
        <v>0</v>
      </c>
      <c r="AU80" s="41">
        <f>IF(B80="","",ROUND(AG80/60,3))</f>
        <v>0</v>
      </c>
      <c r="AV80" s="20">
        <f>IF(B80="","",IF(OR(AU80=0,AU80="",AS80=""),"",ROUND((AS80+AI80)/AU80,2)))</f>
        <v>0</v>
      </c>
      <c r="AW80" s="43">
        <f>IF(B80="","",IF(AND(A80&lt;&gt;"",ISERROR(MATCH(A80,Products!$A$5:$A$304,0))),"Check - no such product ID",IF(AF80=0,"Add - no material cost yet",IF(AG80=0,"Add - how long does it take?",IF(AND(A80&lt;&gt;"",COUNTIFS('Material Usage'!$A$5:$A$904,A80)&gt;0),"Check - this product also has a bill of materials",IF(AND(A80&lt;&gt;"",COUNTIFS(Labor!$A$5:$A$304,A80)&gt;0),"Check - this product also has labour lines",IF(AV80&lt;MinimumWage,"Below - pays under minimum wage","OK")))))) )</f>
        <v>0</v>
      </c>
    </row>
    <row r="81" spans="26:49">
      <c r="Z81" s="45">
        <f>IF(B81="","",IF(F81&lt;&gt;"",F81,IFERROR(INDEX(Materials!$V$5:$V$254,MATCH(D81,Materials!$A$5:$A$254,0)),0)))</f>
        <v>0</v>
      </c>
      <c r="AA81" s="36">
        <f>IF(B81="","",ROUND(IF(E81="",0,E81)*(1+IF(G81="",0,G81)),2))</f>
        <v>0</v>
      </c>
      <c r="AB81" s="20">
        <f>IF(B81="","",ROUND(AA81*Z81-IF(E81="",0,E81)*IF(G81="",0,G81)*IF(H81="",0,H81)*Z81,2))</f>
        <v>0</v>
      </c>
      <c r="AC81" s="20">
        <f>IF(B81="","",ROUND(IF(J81="",0,J81)*IF(K81="",0,K81),2))</f>
        <v>0</v>
      </c>
      <c r="AD81" s="20">
        <f>IF(B81="","",ROUND(IF(L81="",0,L81)*IFERROR(INDEX(Materials!$V$5:$V$254,MATCH(M81,Materials!$A$5:$A$254,0)),0),2))</f>
        <v>0</v>
      </c>
      <c r="AE81" s="20">
        <f>IF(B81="","",ROUND(IF(N81="",0,N81)*IFERROR(INDEX(Materials!$V$5:$V$254,MATCH(O81,Materials!$A$5:$A$254,0)),0),2))</f>
        <v>0</v>
      </c>
      <c r="AF81" s="20">
        <f>IF(B81="","",ROUND(AB81+AC81+AD81+AE81+IF(P81="",0,P81),2))</f>
        <v>0</v>
      </c>
      <c r="AG81" s="36">
        <f>IF(B81="","",IF(T81="",0,T81)+IF(U81="",0,U81)+IF(V81="",0,V81))</f>
        <v>0</v>
      </c>
      <c r="AH81" s="20">
        <f>IF(B81="","",IF(W81&lt;&gt;"",W81,LaborCostHour))</f>
        <v>0</v>
      </c>
      <c r="AI81" s="20">
        <f>IF(B81="","",ROUND(AG81/60*AH81,2))</f>
        <v>0</v>
      </c>
      <c r="AJ81" s="20">
        <f>IF(B81="","",ROUND(IF(Q81="",0,Q81)+IF(R81="",0,R81)+IF(S81="",0,S81)+AG81/60*SuppliesPerHour,2))</f>
        <v>0</v>
      </c>
      <c r="AK81" s="33">
        <f>IF(B81="","",IF(OR(AF81="",AF81=0),"",AB81/AF81))</f>
        <v>0</v>
      </c>
      <c r="AL81" s="20">
        <f>IF(B81="","",ROUND(AF81+AI81+AJ81,2))</f>
        <v>0</v>
      </c>
      <c r="AM81" s="33">
        <f>IF(B81="","",IFERROR(INDEX(Channels!$S$5:$S$18,MATCH(DefaultChannel,Channels!$A$5:$A$18,0)),0))</f>
        <v>0</v>
      </c>
      <c r="AN81" s="20">
        <f>IF(B81="","",IFERROR(INDEX(Channels!$T$5:$T$18,MATCH(DefaultChannel,Channels!$A$5:$A$18,0)),0))</f>
        <v>0</v>
      </c>
      <c r="AO81" s="41">
        <f>IF(B81="","",1-TargetRetailMargin-AM81)</f>
        <v>0</v>
      </c>
      <c r="AP81" s="20">
        <f>IF(B81="","",IF(AO81&lt;=0,"",(AL81+AN81)/AO81))</f>
        <v>0</v>
      </c>
      <c r="AQ81" s="20">
        <f>IF(B81="","",IF(AP81="","Check the settings",ROUND(IF(RoundingRule="None",AP81,IF(RoundingRule="Nearest 0.99",MAX(0.99,CEILING(AP81,1)-0.01),IF(RoundingRule="Nearest 0.95",MAX(0.95,CEILING(AP81,1)-0.05),IF(RoundingRule="Nearest 0.50",CEILING(AP81,0.5),IF(RoundingRule="Nearest 1",CEILING(AP81,1),IF(RoundingRule="Nearest 5",CEILING(AP81,5),IF(RoundingRule="Up to whole 1",CEILING(AP81,1),IF(RoundingRule="Up to whole 5",CEILING(AP81,5),ROUND(AP81,2))))))))),2)))</f>
        <v>0</v>
      </c>
      <c r="AR81" s="20">
        <f>IF(B81="","",IF(X81&lt;&gt;"",X81,IF(ISNUMBER(AQ81),AQ81,"")))</f>
        <v>0</v>
      </c>
      <c r="AS81" s="20">
        <f>IF(B81="","",IF(AR81="","",ROUND(AR81-AL81-(AR81*AM81+AN81),2)))</f>
        <v>0</v>
      </c>
      <c r="AT81" s="33">
        <f>IF(B81="","",IF(OR(AR81="",AR81=0),"",AS81/AR81))</f>
        <v>0</v>
      </c>
      <c r="AU81" s="41">
        <f>IF(B81="","",ROUND(AG81/60,3))</f>
        <v>0</v>
      </c>
      <c r="AV81" s="20">
        <f>IF(B81="","",IF(OR(AU81=0,AU81="",AS81=""),"",ROUND((AS81+AI81)/AU81,2)))</f>
        <v>0</v>
      </c>
      <c r="AW81" s="43">
        <f>IF(B81="","",IF(AND(A81&lt;&gt;"",ISERROR(MATCH(A81,Products!$A$5:$A$304,0))),"Check - no such product ID",IF(AF81=0,"Add - no material cost yet",IF(AG81=0,"Add - how long does it take?",IF(AND(A81&lt;&gt;"",COUNTIFS('Material Usage'!$A$5:$A$904,A81)&gt;0),"Check - this product also has a bill of materials",IF(AND(A81&lt;&gt;"",COUNTIFS(Labor!$A$5:$A$304,A81)&gt;0),"Check - this product also has labour lines",IF(AV81&lt;MinimumWage,"Below - pays under minimum wage","OK")))))) )</f>
        <v>0</v>
      </c>
    </row>
    <row r="82" spans="26:49">
      <c r="Z82" s="45">
        <f>IF(B82="","",IF(F82&lt;&gt;"",F82,IFERROR(INDEX(Materials!$V$5:$V$254,MATCH(D82,Materials!$A$5:$A$254,0)),0)))</f>
        <v>0</v>
      </c>
      <c r="AA82" s="36">
        <f>IF(B82="","",ROUND(IF(E82="",0,E82)*(1+IF(G82="",0,G82)),2))</f>
        <v>0</v>
      </c>
      <c r="AB82" s="20">
        <f>IF(B82="","",ROUND(AA82*Z82-IF(E82="",0,E82)*IF(G82="",0,G82)*IF(H82="",0,H82)*Z82,2))</f>
        <v>0</v>
      </c>
      <c r="AC82" s="20">
        <f>IF(B82="","",ROUND(IF(J82="",0,J82)*IF(K82="",0,K82),2))</f>
        <v>0</v>
      </c>
      <c r="AD82" s="20">
        <f>IF(B82="","",ROUND(IF(L82="",0,L82)*IFERROR(INDEX(Materials!$V$5:$V$254,MATCH(M82,Materials!$A$5:$A$254,0)),0),2))</f>
        <v>0</v>
      </c>
      <c r="AE82" s="20">
        <f>IF(B82="","",ROUND(IF(N82="",0,N82)*IFERROR(INDEX(Materials!$V$5:$V$254,MATCH(O82,Materials!$A$5:$A$254,0)),0),2))</f>
        <v>0</v>
      </c>
      <c r="AF82" s="20">
        <f>IF(B82="","",ROUND(AB82+AC82+AD82+AE82+IF(P82="",0,P82),2))</f>
        <v>0</v>
      </c>
      <c r="AG82" s="36">
        <f>IF(B82="","",IF(T82="",0,T82)+IF(U82="",0,U82)+IF(V82="",0,V82))</f>
        <v>0</v>
      </c>
      <c r="AH82" s="20">
        <f>IF(B82="","",IF(W82&lt;&gt;"",W82,LaborCostHour))</f>
        <v>0</v>
      </c>
      <c r="AI82" s="20">
        <f>IF(B82="","",ROUND(AG82/60*AH82,2))</f>
        <v>0</v>
      </c>
      <c r="AJ82" s="20">
        <f>IF(B82="","",ROUND(IF(Q82="",0,Q82)+IF(R82="",0,R82)+IF(S82="",0,S82)+AG82/60*SuppliesPerHour,2))</f>
        <v>0</v>
      </c>
      <c r="AK82" s="33">
        <f>IF(B82="","",IF(OR(AF82="",AF82=0),"",AB82/AF82))</f>
        <v>0</v>
      </c>
      <c r="AL82" s="20">
        <f>IF(B82="","",ROUND(AF82+AI82+AJ82,2))</f>
        <v>0</v>
      </c>
      <c r="AM82" s="33">
        <f>IF(B82="","",IFERROR(INDEX(Channels!$S$5:$S$18,MATCH(DefaultChannel,Channels!$A$5:$A$18,0)),0))</f>
        <v>0</v>
      </c>
      <c r="AN82" s="20">
        <f>IF(B82="","",IFERROR(INDEX(Channels!$T$5:$T$18,MATCH(DefaultChannel,Channels!$A$5:$A$18,0)),0))</f>
        <v>0</v>
      </c>
      <c r="AO82" s="41">
        <f>IF(B82="","",1-TargetRetailMargin-AM82)</f>
        <v>0</v>
      </c>
      <c r="AP82" s="20">
        <f>IF(B82="","",IF(AO82&lt;=0,"",(AL82+AN82)/AO82))</f>
        <v>0</v>
      </c>
      <c r="AQ82" s="20">
        <f>IF(B82="","",IF(AP82="","Check the settings",ROUND(IF(RoundingRule="None",AP82,IF(RoundingRule="Nearest 0.99",MAX(0.99,CEILING(AP82,1)-0.01),IF(RoundingRule="Nearest 0.95",MAX(0.95,CEILING(AP82,1)-0.05),IF(RoundingRule="Nearest 0.50",CEILING(AP82,0.5),IF(RoundingRule="Nearest 1",CEILING(AP82,1),IF(RoundingRule="Nearest 5",CEILING(AP82,5),IF(RoundingRule="Up to whole 1",CEILING(AP82,1),IF(RoundingRule="Up to whole 5",CEILING(AP82,5),ROUND(AP82,2))))))))),2)))</f>
        <v>0</v>
      </c>
      <c r="AR82" s="20">
        <f>IF(B82="","",IF(X82&lt;&gt;"",X82,IF(ISNUMBER(AQ82),AQ82,"")))</f>
        <v>0</v>
      </c>
      <c r="AS82" s="20">
        <f>IF(B82="","",IF(AR82="","",ROUND(AR82-AL82-(AR82*AM82+AN82),2)))</f>
        <v>0</v>
      </c>
      <c r="AT82" s="33">
        <f>IF(B82="","",IF(OR(AR82="",AR82=0),"",AS82/AR82))</f>
        <v>0</v>
      </c>
      <c r="AU82" s="41">
        <f>IF(B82="","",ROUND(AG82/60,3))</f>
        <v>0</v>
      </c>
      <c r="AV82" s="20">
        <f>IF(B82="","",IF(OR(AU82=0,AU82="",AS82=""),"",ROUND((AS82+AI82)/AU82,2)))</f>
        <v>0</v>
      </c>
      <c r="AW82" s="43">
        <f>IF(B82="","",IF(AND(A82&lt;&gt;"",ISERROR(MATCH(A82,Products!$A$5:$A$304,0))),"Check - no such product ID",IF(AF82=0,"Add - no material cost yet",IF(AG82=0,"Add - how long does it take?",IF(AND(A82&lt;&gt;"",COUNTIFS('Material Usage'!$A$5:$A$904,A82)&gt;0),"Check - this product also has a bill of materials",IF(AND(A82&lt;&gt;"",COUNTIFS(Labor!$A$5:$A$304,A82)&gt;0),"Check - this product also has labour lines",IF(AV82&lt;MinimumWage,"Below - pays under minimum wage","OK")))))) )</f>
        <v>0</v>
      </c>
    </row>
    <row r="83" spans="26:49">
      <c r="Z83" s="45">
        <f>IF(B83="","",IF(F83&lt;&gt;"",F83,IFERROR(INDEX(Materials!$V$5:$V$254,MATCH(D83,Materials!$A$5:$A$254,0)),0)))</f>
        <v>0</v>
      </c>
      <c r="AA83" s="36">
        <f>IF(B83="","",ROUND(IF(E83="",0,E83)*(1+IF(G83="",0,G83)),2))</f>
        <v>0</v>
      </c>
      <c r="AB83" s="20">
        <f>IF(B83="","",ROUND(AA83*Z83-IF(E83="",0,E83)*IF(G83="",0,G83)*IF(H83="",0,H83)*Z83,2))</f>
        <v>0</v>
      </c>
      <c r="AC83" s="20">
        <f>IF(B83="","",ROUND(IF(J83="",0,J83)*IF(K83="",0,K83),2))</f>
        <v>0</v>
      </c>
      <c r="AD83" s="20">
        <f>IF(B83="","",ROUND(IF(L83="",0,L83)*IFERROR(INDEX(Materials!$V$5:$V$254,MATCH(M83,Materials!$A$5:$A$254,0)),0),2))</f>
        <v>0</v>
      </c>
      <c r="AE83" s="20">
        <f>IF(B83="","",ROUND(IF(N83="",0,N83)*IFERROR(INDEX(Materials!$V$5:$V$254,MATCH(O83,Materials!$A$5:$A$254,0)),0),2))</f>
        <v>0</v>
      </c>
      <c r="AF83" s="20">
        <f>IF(B83="","",ROUND(AB83+AC83+AD83+AE83+IF(P83="",0,P83),2))</f>
        <v>0</v>
      </c>
      <c r="AG83" s="36">
        <f>IF(B83="","",IF(T83="",0,T83)+IF(U83="",0,U83)+IF(V83="",0,V83))</f>
        <v>0</v>
      </c>
      <c r="AH83" s="20">
        <f>IF(B83="","",IF(W83&lt;&gt;"",W83,LaborCostHour))</f>
        <v>0</v>
      </c>
      <c r="AI83" s="20">
        <f>IF(B83="","",ROUND(AG83/60*AH83,2))</f>
        <v>0</v>
      </c>
      <c r="AJ83" s="20">
        <f>IF(B83="","",ROUND(IF(Q83="",0,Q83)+IF(R83="",0,R83)+IF(S83="",0,S83)+AG83/60*SuppliesPerHour,2))</f>
        <v>0</v>
      </c>
      <c r="AK83" s="33">
        <f>IF(B83="","",IF(OR(AF83="",AF83=0),"",AB83/AF83))</f>
        <v>0</v>
      </c>
      <c r="AL83" s="20">
        <f>IF(B83="","",ROUND(AF83+AI83+AJ83,2))</f>
        <v>0</v>
      </c>
      <c r="AM83" s="33">
        <f>IF(B83="","",IFERROR(INDEX(Channels!$S$5:$S$18,MATCH(DefaultChannel,Channels!$A$5:$A$18,0)),0))</f>
        <v>0</v>
      </c>
      <c r="AN83" s="20">
        <f>IF(B83="","",IFERROR(INDEX(Channels!$T$5:$T$18,MATCH(DefaultChannel,Channels!$A$5:$A$18,0)),0))</f>
        <v>0</v>
      </c>
      <c r="AO83" s="41">
        <f>IF(B83="","",1-TargetRetailMargin-AM83)</f>
        <v>0</v>
      </c>
      <c r="AP83" s="20">
        <f>IF(B83="","",IF(AO83&lt;=0,"",(AL83+AN83)/AO83))</f>
        <v>0</v>
      </c>
      <c r="AQ83" s="20">
        <f>IF(B83="","",IF(AP83="","Check the settings",ROUND(IF(RoundingRule="None",AP83,IF(RoundingRule="Nearest 0.99",MAX(0.99,CEILING(AP83,1)-0.01),IF(RoundingRule="Nearest 0.95",MAX(0.95,CEILING(AP83,1)-0.05),IF(RoundingRule="Nearest 0.50",CEILING(AP83,0.5),IF(RoundingRule="Nearest 1",CEILING(AP83,1),IF(RoundingRule="Nearest 5",CEILING(AP83,5),IF(RoundingRule="Up to whole 1",CEILING(AP83,1),IF(RoundingRule="Up to whole 5",CEILING(AP83,5),ROUND(AP83,2))))))))),2)))</f>
        <v>0</v>
      </c>
      <c r="AR83" s="20">
        <f>IF(B83="","",IF(X83&lt;&gt;"",X83,IF(ISNUMBER(AQ83),AQ83,"")))</f>
        <v>0</v>
      </c>
      <c r="AS83" s="20">
        <f>IF(B83="","",IF(AR83="","",ROUND(AR83-AL83-(AR83*AM83+AN83),2)))</f>
        <v>0</v>
      </c>
      <c r="AT83" s="33">
        <f>IF(B83="","",IF(OR(AR83="",AR83=0),"",AS83/AR83))</f>
        <v>0</v>
      </c>
      <c r="AU83" s="41">
        <f>IF(B83="","",ROUND(AG83/60,3))</f>
        <v>0</v>
      </c>
      <c r="AV83" s="20">
        <f>IF(B83="","",IF(OR(AU83=0,AU83="",AS83=""),"",ROUND((AS83+AI83)/AU83,2)))</f>
        <v>0</v>
      </c>
      <c r="AW83" s="43">
        <f>IF(B83="","",IF(AND(A83&lt;&gt;"",ISERROR(MATCH(A83,Products!$A$5:$A$304,0))),"Check - no such product ID",IF(AF83=0,"Add - no material cost yet",IF(AG83=0,"Add - how long does it take?",IF(AND(A83&lt;&gt;"",COUNTIFS('Material Usage'!$A$5:$A$904,A83)&gt;0),"Check - this product also has a bill of materials",IF(AND(A83&lt;&gt;"",COUNTIFS(Labor!$A$5:$A$304,A83)&gt;0),"Check - this product also has labour lines",IF(AV83&lt;MinimumWage,"Below - pays under minimum wage","OK")))))) )</f>
        <v>0</v>
      </c>
    </row>
    <row r="84" spans="26:49">
      <c r="Z84" s="45">
        <f>IF(B84="","",IF(F84&lt;&gt;"",F84,IFERROR(INDEX(Materials!$V$5:$V$254,MATCH(D84,Materials!$A$5:$A$254,0)),0)))</f>
        <v>0</v>
      </c>
      <c r="AA84" s="36">
        <f>IF(B84="","",ROUND(IF(E84="",0,E84)*(1+IF(G84="",0,G84)),2))</f>
        <v>0</v>
      </c>
      <c r="AB84" s="20">
        <f>IF(B84="","",ROUND(AA84*Z84-IF(E84="",0,E84)*IF(G84="",0,G84)*IF(H84="",0,H84)*Z84,2))</f>
        <v>0</v>
      </c>
      <c r="AC84" s="20">
        <f>IF(B84="","",ROUND(IF(J84="",0,J84)*IF(K84="",0,K84),2))</f>
        <v>0</v>
      </c>
      <c r="AD84" s="20">
        <f>IF(B84="","",ROUND(IF(L84="",0,L84)*IFERROR(INDEX(Materials!$V$5:$V$254,MATCH(M84,Materials!$A$5:$A$254,0)),0),2))</f>
        <v>0</v>
      </c>
      <c r="AE84" s="20">
        <f>IF(B84="","",ROUND(IF(N84="",0,N84)*IFERROR(INDEX(Materials!$V$5:$V$254,MATCH(O84,Materials!$A$5:$A$254,0)),0),2))</f>
        <v>0</v>
      </c>
      <c r="AF84" s="20">
        <f>IF(B84="","",ROUND(AB84+AC84+AD84+AE84+IF(P84="",0,P84),2))</f>
        <v>0</v>
      </c>
      <c r="AG84" s="36">
        <f>IF(B84="","",IF(T84="",0,T84)+IF(U84="",0,U84)+IF(V84="",0,V84))</f>
        <v>0</v>
      </c>
      <c r="AH84" s="20">
        <f>IF(B84="","",IF(W84&lt;&gt;"",W84,LaborCostHour))</f>
        <v>0</v>
      </c>
      <c r="AI84" s="20">
        <f>IF(B84="","",ROUND(AG84/60*AH84,2))</f>
        <v>0</v>
      </c>
      <c r="AJ84" s="20">
        <f>IF(B84="","",ROUND(IF(Q84="",0,Q84)+IF(R84="",0,R84)+IF(S84="",0,S84)+AG84/60*SuppliesPerHour,2))</f>
        <v>0</v>
      </c>
      <c r="AK84" s="33">
        <f>IF(B84="","",IF(OR(AF84="",AF84=0),"",AB84/AF84))</f>
        <v>0</v>
      </c>
      <c r="AL84" s="20">
        <f>IF(B84="","",ROUND(AF84+AI84+AJ84,2))</f>
        <v>0</v>
      </c>
      <c r="AM84" s="33">
        <f>IF(B84="","",IFERROR(INDEX(Channels!$S$5:$S$18,MATCH(DefaultChannel,Channels!$A$5:$A$18,0)),0))</f>
        <v>0</v>
      </c>
      <c r="AN84" s="20">
        <f>IF(B84="","",IFERROR(INDEX(Channels!$T$5:$T$18,MATCH(DefaultChannel,Channels!$A$5:$A$18,0)),0))</f>
        <v>0</v>
      </c>
      <c r="AO84" s="41">
        <f>IF(B84="","",1-TargetRetailMargin-AM84)</f>
        <v>0</v>
      </c>
      <c r="AP84" s="20">
        <f>IF(B84="","",IF(AO84&lt;=0,"",(AL84+AN84)/AO84))</f>
        <v>0</v>
      </c>
      <c r="AQ84" s="20">
        <f>IF(B84="","",IF(AP84="","Check the settings",ROUND(IF(RoundingRule="None",AP84,IF(RoundingRule="Nearest 0.99",MAX(0.99,CEILING(AP84,1)-0.01),IF(RoundingRule="Nearest 0.95",MAX(0.95,CEILING(AP84,1)-0.05),IF(RoundingRule="Nearest 0.50",CEILING(AP84,0.5),IF(RoundingRule="Nearest 1",CEILING(AP84,1),IF(RoundingRule="Nearest 5",CEILING(AP84,5),IF(RoundingRule="Up to whole 1",CEILING(AP84,1),IF(RoundingRule="Up to whole 5",CEILING(AP84,5),ROUND(AP84,2))))))))),2)))</f>
        <v>0</v>
      </c>
      <c r="AR84" s="20">
        <f>IF(B84="","",IF(X84&lt;&gt;"",X84,IF(ISNUMBER(AQ84),AQ84,"")))</f>
        <v>0</v>
      </c>
      <c r="AS84" s="20">
        <f>IF(B84="","",IF(AR84="","",ROUND(AR84-AL84-(AR84*AM84+AN84),2)))</f>
        <v>0</v>
      </c>
      <c r="AT84" s="33">
        <f>IF(B84="","",IF(OR(AR84="",AR84=0),"",AS84/AR84))</f>
        <v>0</v>
      </c>
      <c r="AU84" s="41">
        <f>IF(B84="","",ROUND(AG84/60,3))</f>
        <v>0</v>
      </c>
      <c r="AV84" s="20">
        <f>IF(B84="","",IF(OR(AU84=0,AU84="",AS84=""),"",ROUND((AS84+AI84)/AU84,2)))</f>
        <v>0</v>
      </c>
      <c r="AW84" s="43">
        <f>IF(B84="","",IF(AND(A84&lt;&gt;"",ISERROR(MATCH(A84,Products!$A$5:$A$304,0))),"Check - no such product ID",IF(AF84=0,"Add - no material cost yet",IF(AG84=0,"Add - how long does it take?",IF(AND(A84&lt;&gt;"",COUNTIFS('Material Usage'!$A$5:$A$904,A84)&gt;0),"Check - this product also has a bill of materials",IF(AND(A84&lt;&gt;"",COUNTIFS(Labor!$A$5:$A$304,A84)&gt;0),"Check - this product also has labour lines",IF(AV84&lt;MinimumWage,"Below - pays under minimum wage","OK")))))) )</f>
        <v>0</v>
      </c>
    </row>
  </sheetData>
  <sheetProtection password="EC7C" sheet="1" objects="1" scenarios="1" formatCells="0" formatColumns="0" formatRows="0" insertRows="0" insertHyperlinks="0" deleteRows="0" autoFilter="0"/>
  <autoFilter ref="A4:AW84"/>
  <mergeCells count="13">
    <mergeCell ref="A1:AT1"/>
    <mergeCell ref="AU1:AW1"/>
    <mergeCell ref="A2:AW2"/>
    <mergeCell ref="A3:B3"/>
    <mergeCell ref="C3:D3"/>
    <mergeCell ref="E3:F3"/>
    <mergeCell ref="G3:H3"/>
    <mergeCell ref="I3:J3"/>
    <mergeCell ref="K3:L3"/>
    <mergeCell ref="M3:N3"/>
    <mergeCell ref="O3:P3"/>
    <mergeCell ref="Q3:R3"/>
    <mergeCell ref="S3:AW3"/>
  </mergeCells>
  <conditionalFormatting sqref="AS5:AS84">
    <cfRule type="cellIs" dxfId="5" priority="1" operator="lessThan">
      <formula>0</formula>
    </cfRule>
    <cfRule type="cellIs" dxfId="1" priority="2" operator="greaterThan">
      <formula>0</formula>
    </cfRule>
  </conditionalFormatting>
  <conditionalFormatting sqref="AT5:AT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V5:AV84">
    <cfRule type="cellIs" dxfId="2" priority="6" operator="lessThan">
      <formula>MinimumWage</formula>
    </cfRule>
  </conditionalFormatting>
  <conditionalFormatting sqref="AW5:AW84">
    <cfRule type="beginsWith" dxfId="1" priority="7" operator="beginsWith" text="OK">
      <formula>LEFT(AW5,2)="OK"</formula>
    </cfRule>
    <cfRule type="containsText" dxfId="2" priority="8" operator="containsText" text="Overdue">
      <formula>NOT(ISERROR(SEARCH("Overdue",AW5)))</formula>
    </cfRule>
    <cfRule type="containsText" dxfId="2" priority="9" operator="containsText" text="Late">
      <formula>NOT(ISERROR(SEARCH("Late",AW5)))</formula>
    </cfRule>
    <cfRule type="containsText" dxfId="2" priority="10" operator="containsText" text="Missing">
      <formula>NOT(ISERROR(SEARCH("Missing",AW5)))</formula>
    </cfRule>
    <cfRule type="containsText" dxfId="2" priority="11" operator="containsText" text="Conflict">
      <formula>NOT(ISERROR(SEARCH("Conflict",AW5)))</formula>
    </cfRule>
    <cfRule type="containsText" dxfId="2" priority="12" operator="containsText" text="Clash">
      <formula>NOT(ISERROR(SEARCH("Clash",AW5)))</formula>
    </cfRule>
    <cfRule type="containsText" dxfId="2" priority="13" operator="containsText" text="Expired">
      <formula>NOT(ISERROR(SEARCH("Expired",AW5)))</formula>
    </cfRule>
    <cfRule type="containsText" dxfId="2" priority="14" operator="containsText" text="Duplicate">
      <formula>NOT(ISERROR(SEARCH("Duplicate",AW5)))</formula>
    </cfRule>
    <cfRule type="containsText" dxfId="2" priority="15" operator="containsText" text="Unpaid">
      <formula>NOT(ISERROR(SEARCH("Unpaid",AW5)))</formula>
    </cfRule>
    <cfRule type="containsText" dxfId="2" priority="16" operator="containsText" text="Loss">
      <formula>NOT(ISERROR(SEARCH("Loss",AW5)))</formula>
    </cfRule>
    <cfRule type="containsText" dxfId="2" priority="17" operator="containsText" text="Below">
      <formula>NOT(ISERROR(SEARCH("Below",AW5)))</formula>
    </cfRule>
    <cfRule type="containsText" dxfId="0" priority="18" operator="containsText" text="Action">
      <formula>NOT(ISERROR(SEARCH("Action",AW5)))</formula>
    </cfRule>
    <cfRule type="containsText" dxfId="0" priority="19" operator="containsText" text="Due">
      <formula>NOT(ISERROR(SEARCH("Due",AW5)))</formula>
    </cfRule>
    <cfRule type="containsText" dxfId="0" priority="20" operator="containsText" text="Check">
      <formula>NOT(ISERROR(SEARCH("Check",AW5)))</formula>
    </cfRule>
    <cfRule type="containsText" dxfId="0" priority="21" operator="containsText" text="Chase">
      <formula>NOT(ISERROR(SEARCH("Chase",AW5)))</formula>
    </cfRule>
    <cfRule type="containsText" dxfId="0" priority="22" operator="containsText" text="Assign">
      <formula>NOT(ISERROR(SEARCH("Assign",AW5)))</formula>
    </cfRule>
    <cfRule type="containsText" dxfId="0" priority="23" operator="containsText" text="Confirm">
      <formula>NOT(ISERROR(SEARCH("Confirm",AW5)))</formula>
    </cfRule>
    <cfRule type="containsText" dxfId="0" priority="24" operator="containsText" text="Order">
      <formula>NOT(ISERROR(SEARCH("Order",AW5)))</formula>
    </cfRule>
    <cfRule type="containsText" dxfId="3" priority="25" operator="containsText" text="Today">
      <formula>NOT(ISERROR(SEARCH("Today",AW5)))</formula>
    </cfRule>
    <cfRule type="containsText" dxfId="3" priority="26" operator="containsText" text="Upcoming">
      <formula>NOT(ISERROR(SEARCH("Upcoming",AW5)))</formula>
    </cfRule>
    <cfRule type="containsText" dxfId="3" priority="27" operator="containsText" text="Tomorrow">
      <formula>NOT(ISERROR(SEARCH("Tomorrow",AW5)))</formula>
    </cfRule>
  </conditionalFormatting>
  <dataValidations count="23">
    <dataValidation type="list" allowBlank="1" showInputMessage="1" showErrorMessage="1" sqref="A5:A84">
      <formula1>ProductIDs</formula1>
    </dataValidation>
    <dataValidation type="list" allowBlank="1" showInputMessage="1" showErrorMessage="1" sqref="C5:C84">
      <formula1>MetalList</formula1>
    </dataValidation>
    <dataValidation type="list" allowBlank="1" showInputMessage="1" showErrorMessage="1" promptTitle="Metal material" prompt="The material ID you buy the metal as - sheet, wire, casting grain." sqref="D5:D84">
      <formula1>MaterialIDs</formula1>
    </dataValidation>
    <dataValidation type="decimal" allowBlank="1" showInputMessage="1" showErrorMessage="1" errorTitle="Check the value" error="Enter a number between 0 and 100000." promptTitle="Metal used (g)" prompt="Weigh the finished piece. Add the sprue, the filings and the bits that became scrap in the scrap column." sqref="E5:E84">
      <formula1>0</formula1>
      <formula2>100000</formula2>
    </dataValidation>
    <dataValidation type="decimal" allowBlank="1" showInputMessage="1" showErrorMessage="1" errorTitle="Check the value" error="Enter a number between 0 and 10000." promptTitle="Price a gram" prompt="Override the material price - useful when the metal price has moved since you bought it." sqref="F5:F84">
      <formula1>0</formula1>
      <formula2>10000</formula2>
    </dataValidation>
    <dataValidation type="decimal" allowBlank="1" showInputMessage="1" showErrorMessage="1" errorTitle="Check the value" error="Enter a number between 0 and 1." promptTitle="Scrap / loss" prompt="Filings, cut-offs, failed solders. Real on every soldered piece, and worth recovering." sqref="G5:G84">
      <formula1>0</formula1>
      <formula2>1</formula2>
    </dataValidation>
    <dataValidation type="decimal" allowBlank="1" showInputMessage="1" showErrorMessage="1" errorTitle="Check the value" error="Enter a number between 0 and 1." promptTitle="Scrap recovered" prompt="How much of that scrap you actually send back or re-melt. Credited against the cost." sqref="H5:H84">
      <formula1>0</formula1>
      <formula2>1</formula2>
    </dataValidation>
    <dataValidation type="list" allowBlank="1" showInputMessage="1" showErrorMessage="1" sqref="I5:I84">
      <formula1>StoneList</formula1>
    </dataValidation>
    <dataValidation type="whole" allowBlank="1" showInputMessage="1" showErrorMessage="1" errorTitle="Check the value" error="Enter a number between 0 and 10000." sqref="J5:J84">
      <formula1>0</formula1>
      <formula2>10000</formula2>
    </dataValidation>
    <dataValidation type="decimal" allowBlank="1" showInputMessage="1" showErrorMessage="1" errorTitle="Check the value" error="Enter a number between 0 and 100000." sqref="K5:K84">
      <formula1>0</formula1>
      <formula2>100000</formula2>
    </dataValidation>
    <dataValidation type="decimal" allowBlank="1" showInputMessage="1" showErrorMessage="1" errorTitle="Check the value" error="Enter a number between 0 and 10000." sqref="L5:L84">
      <formula1>0</formula1>
      <formula2>10000</formula2>
    </dataValidation>
    <dataValidation type="list" allowBlank="1" showInputMessage="1" showErrorMessage="1" sqref="M5:M84">
      <formula1>MaterialIDs</formula1>
    </dataValidation>
    <dataValidation type="decimal" allowBlank="1" showInputMessage="1" showErrorMessage="1" errorTitle="Check the value" error="Enter a number between 0 and 10000." sqref="N5:N84">
      <formula1>0</formula1>
      <formula2>10000</formula2>
    </dataValidation>
    <dataValidation type="list" allowBlank="1" showInputMessage="1" showErrorMessage="1" sqref="O5:O84">
      <formula1>MaterialIDs</formula1>
    </dataValidation>
    <dataValidation type="decimal" allowBlank="1" showInputMessage="1" showErrorMessage="1" errorTitle="Check the value" error="Enter a number between 0 and 10000." promptTitle="Findings" prompt="Clasps, jump rings, ear wires, posts and backs. Count them - they are 60 cents each and they are on every piece." sqref="P5:P84">
      <formula1>0</formula1>
      <formula2>10000</formula2>
    </dataValidation>
    <dataValidation type="decimal" allowBlank="1" showInputMessage="1" showErrorMessage="1" errorTitle="Check the value" error="Enter a number between 0 and 10000." promptTitle="Solder &amp; consumables" prompt="Solder, flux, pickle, polishing compound, saw blades." sqref="Q5:Q84">
      <formula1>0</formula1>
      <formula2>10000</formula2>
    </dataValidation>
    <dataValidation type="decimal" allowBlank="1" showInputMessage="1" showErrorMessage="1" errorTitle="Check the value" error="Enter a number between 0 and 10000." sqref="R5:R84">
      <formula1>0</formula1>
      <formula2>10000</formula2>
    </dataValidation>
    <dataValidation type="decimal" allowBlank="1" showInputMessage="1" showErrorMessage="1" errorTitle="Check the value" error="Enter a number between 0 and 10000." promptTitle="Hallmarking" prompt="Per piece, including the courier. Required over the weight threshold in several countries." sqref="S5:S84">
      <formula1>0</formula1>
      <formula2>10000</formula2>
    </dataValidation>
    <dataValidation type="whole" allowBlank="1" showInputMessage="1" showErrorMessage="1" errorTitle="Check the value" error="Enter a number between 0 and 10000." sqref="T5:T84">
      <formula1>0</formula1>
      <formula2>10000</formula2>
    </dataValidation>
    <dataValidation type="whole" allowBlank="1" showInputMessage="1" showErrorMessage="1" errorTitle="Check the value" error="Enter a number between 0 and 10000." promptTitle="Bench minutes" prompt="Sawing, forming, soldering, setting." sqref="U5:U84">
      <formula1>0</formula1>
      <formula2>10000</formula2>
    </dataValidation>
    <dataValidation type="whole" allowBlank="1" showInputMessage="1" showErrorMessage="1" errorTitle="Check the value" error="Enter a number between 0 and 10000." sqref="V5:V84">
      <formula1>0</formula1>
      <formula2>10000</formula2>
    </dataValidation>
    <dataValidation type="decimal" allowBlank="1" showInputMessage="1" showErrorMessage="1" errorTitle="Check the value" error="Enter a number between 0 and 1000." sqref="W5:W84">
      <formula1>0</formula1>
      <formula2>1000</formula2>
    </dataValidation>
    <dataValidation type="decimal" allowBlank="1" showInputMessage="1" showErrorMessage="1" errorTitle="Check the value" error="Enter a number between 0 and 100000." sqref="X5:X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&amp;L&amp;"Calibri,Bold"&amp;12&amp;C&amp;"Calibri,Bold"&amp;11Jewelry&amp;R&amp;"Calibri,Italic"&amp;9Handmade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5E7B5A"/>
    <pageSetUpPr fitToPage="1"/>
  </sheetPr>
  <dimension ref="A1:AX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16.7109375" style="15" customWidth="1"/>
    <col min="4" max="4" width="12.7109375" style="46" customWidth="1"/>
    <col min="5" max="5" width="16.7109375" style="15" customWidth="1"/>
    <col min="6" max="6" width="13.7109375" style="21" customWidth="1"/>
    <col min="7" max="7" width="10.7109375" style="19" customWidth="1"/>
    <col min="8" max="8" width="10.7109375" style="52" customWidth="1"/>
    <col min="9" max="9" width="13.7109375" style="21" customWidth="1"/>
    <col min="10" max="10" width="10.7109375" style="19" customWidth="1"/>
    <col min="11" max="11" width="13.7109375" style="46" customWidth="1"/>
    <col min="12" max="12" width="12.7109375" style="19" customWidth="1"/>
    <col min="13" max="13" width="14.7109375" style="15" customWidth="1"/>
    <col min="14" max="14" width="8.7109375" style="16" customWidth="1"/>
    <col min="15" max="15" width="10.7109375" style="18" customWidth="1"/>
    <col min="16" max="16" width="11.7109375" style="18" customWidth="1"/>
    <col min="17" max="17" width="11.7109375" style="18" customWidth="1"/>
    <col min="18" max="18" width="12.7109375" style="18" customWidth="1"/>
    <col min="19" max="19" width="10.7109375" style="16" customWidth="1"/>
    <col min="20" max="20" width="11.7109375" style="16" customWidth="1"/>
    <col min="21" max="21" width="13.7109375" style="16" customWidth="1"/>
    <col min="22" max="22" width="10.7109375" style="16" customWidth="1"/>
    <col min="23" max="23" width="11.7109375" style="18" customWidth="1"/>
    <col min="24" max="24" width="11.7109375" style="18" customWidth="1"/>
    <col min="25" max="25" width="22.7109375" style="40" customWidth="1"/>
    <col min="26" max="26" width="12.7109375" style="36" customWidth="1"/>
    <col min="27" max="27" width="12.7109375" style="36" hidden="1" customWidth="1"/>
    <col min="28" max="28" width="11.7109375" style="20" customWidth="1"/>
    <col min="29" max="29" width="11.7109375" style="36" hidden="1" customWidth="1"/>
    <col min="30" max="30" width="12.7109375" style="20" customWidth="1"/>
    <col min="31" max="31" width="10.7109375" style="20" customWidth="1"/>
    <col min="32" max="32" width="11.7109375" style="20" customWidth="1"/>
    <col min="33" max="33" width="10.7109375" style="36" customWidth="1"/>
    <col min="34" max="34" width="11.7109375" style="20" hidden="1" customWidth="1"/>
    <col min="35" max="35" width="11.7109375" style="20" customWidth="1"/>
    <col min="36" max="36" width="10.7109375" style="20" hidden="1" customWidth="1"/>
    <col min="37" max="37" width="12.7109375" style="20" hidden="1" customWidth="1"/>
    <col min="38" max="38" width="10.7109375" style="32" hidden="1" customWidth="1"/>
    <col min="39" max="39" width="12.7109375" style="20" customWidth="1"/>
    <col min="40" max="40" width="9.7109375" style="33" hidden="1" customWidth="1"/>
    <col min="41" max="41" width="9.7109375" style="20" hidden="1" customWidth="1"/>
    <col min="42" max="42" width="9.7109375" style="41" hidden="1" customWidth="1"/>
    <col min="43" max="43" width="10.7109375" style="20" hidden="1" customWidth="1"/>
    <col min="44" max="44" width="13.7109375" style="20" customWidth="1"/>
    <col min="45" max="45" width="11.7109375" style="20" customWidth="1"/>
    <col min="46" max="46" width="11.7109375" style="20" customWidth="1"/>
    <col min="47" max="47" width="9.7109375" style="33" customWidth="1"/>
    <col min="48" max="48" width="9.7109375" style="41" hidden="1" customWidth="1"/>
    <col min="49" max="49" width="12.7109375" style="20" customWidth="1"/>
    <col min="50" max="50" width="30.7109375" style="43" customWidth="1"/>
  </cols>
  <sheetData>
    <row r="1" spans="1:50" ht="34" customHeight="1">
      <c r="A1" s="2" t="s">
        <v>1315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3" t="s">
        <v>1</v>
      </c>
      <c r="AW1" s="3"/>
      <c r="AX1" s="3"/>
    </row>
    <row r="2" spans="1:50" ht="18" customHeight="1">
      <c r="A2" s="4" t="s">
        <v>1316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row>
    <row r="3" spans="1:50"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1317</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row>
    <row r="4" spans="1:50" ht="30" customHeight="1">
      <c r="A4" s="8" t="s">
        <v>1229</v>
      </c>
      <c r="B4" s="8" t="s">
        <v>1318</v>
      </c>
      <c r="C4" s="9" t="s">
        <v>647</v>
      </c>
      <c r="D4" s="9" t="s">
        <v>1319</v>
      </c>
      <c r="E4" s="9" t="s">
        <v>1320</v>
      </c>
      <c r="F4" s="9" t="s">
        <v>1321</v>
      </c>
      <c r="G4" s="9" t="s">
        <v>1322</v>
      </c>
      <c r="H4" s="9" t="s">
        <v>1323</v>
      </c>
      <c r="I4" s="9" t="s">
        <v>1324</v>
      </c>
      <c r="J4" s="9" t="s">
        <v>1325</v>
      </c>
      <c r="K4" s="9" t="s">
        <v>1326</v>
      </c>
      <c r="L4" s="9" t="s">
        <v>1327</v>
      </c>
      <c r="M4" s="9" t="s">
        <v>1328</v>
      </c>
      <c r="N4" s="9" t="s">
        <v>662</v>
      </c>
      <c r="O4" s="9" t="s">
        <v>1329</v>
      </c>
      <c r="P4" s="9" t="s">
        <v>1330</v>
      </c>
      <c r="Q4" s="9" t="s">
        <v>1331</v>
      </c>
      <c r="R4" s="9" t="s">
        <v>1332</v>
      </c>
      <c r="S4" s="9" t="s">
        <v>1333</v>
      </c>
      <c r="T4" s="9" t="s">
        <v>1334</v>
      </c>
      <c r="U4" s="9" t="s">
        <v>1335</v>
      </c>
      <c r="V4" s="9" t="s">
        <v>1336</v>
      </c>
      <c r="W4" s="9" t="s">
        <v>767</v>
      </c>
      <c r="X4" s="9" t="s">
        <v>461</v>
      </c>
      <c r="Y4" s="9" t="s">
        <v>466</v>
      </c>
      <c r="Z4" s="9" t="s">
        <v>1337</v>
      </c>
      <c r="AA4" s="9" t="s">
        <v>1338</v>
      </c>
      <c r="AB4" s="9" t="s">
        <v>1339</v>
      </c>
      <c r="AC4" s="9" t="s">
        <v>1340</v>
      </c>
      <c r="AD4" s="9" t="s">
        <v>1341</v>
      </c>
      <c r="AE4" s="9" t="s">
        <v>1342</v>
      </c>
      <c r="AF4" s="9" t="s">
        <v>17</v>
      </c>
      <c r="AG4" s="9" t="s">
        <v>470</v>
      </c>
      <c r="AH4" s="9" t="s">
        <v>771</v>
      </c>
      <c r="AI4" s="9" t="s">
        <v>36</v>
      </c>
      <c r="AJ4" s="9" t="s">
        <v>1253</v>
      </c>
      <c r="AK4" s="9" t="s">
        <v>880</v>
      </c>
      <c r="AL4" s="9" t="s">
        <v>1343</v>
      </c>
      <c r="AM4" s="9" t="s">
        <v>1145</v>
      </c>
      <c r="AN4" s="9" t="s">
        <v>443</v>
      </c>
      <c r="AO4" s="9" t="s">
        <v>481</v>
      </c>
      <c r="AP4" s="9" t="s">
        <v>1055</v>
      </c>
      <c r="AQ4" s="9" t="s">
        <v>1255</v>
      </c>
      <c r="AR4" s="9" t="s">
        <v>487</v>
      </c>
      <c r="AS4" s="9" t="s">
        <v>488</v>
      </c>
      <c r="AT4" s="9" t="s">
        <v>421</v>
      </c>
      <c r="AU4" s="9" t="s">
        <v>42</v>
      </c>
      <c r="AV4" s="9" t="s">
        <v>471</v>
      </c>
      <c r="AW4" s="9" t="s">
        <v>492</v>
      </c>
      <c r="AX4" s="9" t="s">
        <v>729</v>
      </c>
    </row>
    <row r="5" spans="1:50">
      <c r="A5" s="46" t="s">
        <v>1344</v>
      </c>
      <c r="B5" s="15" t="s">
        <v>535</v>
      </c>
      <c r="C5" s="15" t="s">
        <v>1345</v>
      </c>
      <c r="D5" s="46" t="s">
        <v>1346</v>
      </c>
      <c r="E5" s="15" t="s">
        <v>1347</v>
      </c>
      <c r="F5" s="21">
        <v>220</v>
      </c>
      <c r="G5" s="19">
        <v>0.85</v>
      </c>
      <c r="H5" s="52">
        <v>0.9</v>
      </c>
      <c r="J5" s="19">
        <v>0.05</v>
      </c>
      <c r="K5" s="46" t="s">
        <v>1348</v>
      </c>
      <c r="L5" s="19">
        <v>0.09</v>
      </c>
      <c r="M5" s="15" t="s">
        <v>1349</v>
      </c>
      <c r="N5" s="16">
        <v>1</v>
      </c>
      <c r="O5" s="18">
        <v>0.12</v>
      </c>
      <c r="P5" s="18">
        <v>1.75</v>
      </c>
      <c r="Q5" s="18">
        <v>0</v>
      </c>
      <c r="R5" s="18">
        <v>0.24</v>
      </c>
      <c r="S5" s="16">
        <v>12</v>
      </c>
      <c r="T5" s="16">
        <v>55</v>
      </c>
      <c r="U5" s="16">
        <v>6</v>
      </c>
      <c r="V5" s="16">
        <v>10</v>
      </c>
      <c r="X5" s="18">
        <v>32</v>
      </c>
      <c r="Y5" s="40" t="s">
        <v>1350</v>
      </c>
      <c r="Z5" s="36">
        <f>IF(B5="","",IF(I5&lt;&gt;"",I5,ROUND(IF(F5="",0,F5)*IF(G5="",0.85,G5)*IF(H5="",0.9,H5),1)))</f>
        <v>0</v>
      </c>
      <c r="AA5" s="36">
        <f>IF(B5="","",ROUND(Z5*(1+IF(J5="",DefaultWaste,J5)),1))</f>
        <v>0</v>
      </c>
      <c r="AB5" s="20">
        <f>IF(B5="","",ROUND(AA5*IFERROR(INDEX(Materials!$V$5:$V$254,MATCH(D5,Materials!$A$5:$A$254,0)),0),2))</f>
        <v>0</v>
      </c>
      <c r="AC5" s="36">
        <f>IF(B5="","",ROUND(Z5*IF(L5="",0,L5),2))</f>
        <v>0</v>
      </c>
      <c r="AD5" s="20">
        <f>IF(B5="","",ROUND(AC5*IFERROR(INDEX(Materials!$V$5:$V$254,MATCH(K5,Materials!$A$5:$A$254,0)),0),2))</f>
        <v>0</v>
      </c>
      <c r="AE5" s="20">
        <f>IF(B5="","",ROUND(IF(N5="",0,N5)*IF(O5="",0,O5),2))</f>
        <v>0</v>
      </c>
      <c r="AF5" s="20">
        <f>IF(B5="","",ROUND(AB5+AD5+AE5+IF(P5="",0,P5)+IF(Q5="",0,Q5)+IF(R5="",0,R5),2))</f>
        <v>0</v>
      </c>
      <c r="AG5" s="36">
        <f>IF(B5="","",ROUND(IF(U5="",0,U5)+IF(T5="",0,T5)/MAX(1,IF(S5="",DefaultBatchSize,S5)),1))</f>
        <v>0</v>
      </c>
      <c r="AH5" s="20">
        <f>IF(B5="","",IF(W5&lt;&gt;"",W5,LaborCostHour))</f>
        <v>0</v>
      </c>
      <c r="AI5" s="20">
        <f>IF(B5="","",ROUND(AG5/60*AH5,2))</f>
        <v>0</v>
      </c>
      <c r="AJ5" s="20">
        <f>IF(B5="","",ROUND(AG5/60*SuppliesPerHour,2))</f>
        <v>0</v>
      </c>
      <c r="AK5" s="20">
        <f>IF(B5="","",IF(OR(Z5="",Z5=0),"",ROUND(AF5/Z5*100,2)))</f>
        <v>0</v>
      </c>
      <c r="AL5" s="32">
        <f>IF(B5="","",IF(Z5="","",ROUND(Z5/7,0)))</f>
        <v>0</v>
      </c>
      <c r="AM5" s="20">
        <f>IF(B5="","",ROUND(AF5+AI5+AJ5,2))</f>
        <v>0</v>
      </c>
      <c r="AN5" s="33">
        <f>IF(B5="","",IFERROR(INDEX(Channels!$S$5:$S$18,MATCH(DefaultChannel,Channels!$A$5:$A$18,0)),0))</f>
        <v>0</v>
      </c>
      <c r="AO5" s="20">
        <f>IF(B5="","",IFERROR(INDEX(Channels!$T$5:$T$18,MATCH(DefaultChannel,Channels!$A$5:$A$18,0)),0))</f>
        <v>0</v>
      </c>
      <c r="AP5" s="41">
        <f>IF(B5="","",1-TargetRetailMargin-AN5)</f>
        <v>0</v>
      </c>
      <c r="AQ5" s="20">
        <f>IF(B5="","",IF(AP5&lt;=0,"",(AM5+AO5)/AP5))</f>
        <v>0</v>
      </c>
      <c r="AR5" s="20">
        <f>IF(B5="","",IF(AQ5="","Check the settings",ROUND(IF(RoundingRule="None",AQ5,IF(RoundingRule="Nearest 0.99",MAX(0.99,CEILING(AQ5,1)-0.01),IF(RoundingRule="Nearest 0.95",MAX(0.95,CEILING(AQ5,1)-0.05),IF(RoundingRule="Nearest 0.50",CEILING(AQ5,0.5),IF(RoundingRule="Nearest 1",CEILING(AQ5,1),IF(RoundingRule="Nearest 5",CEILING(AQ5,5),IF(RoundingRule="Up to whole 1",CEILING(AQ5,1),IF(RoundingRule="Up to whole 5",CEILING(AQ5,5),ROUND(AQ5,2))))))))),2)))</f>
        <v>0</v>
      </c>
      <c r="AS5" s="20">
        <f>IF(B5="","",IF(X5&lt;&gt;"",X5,IF(ISNUMBER(AR5),AR5,"")))</f>
        <v>0</v>
      </c>
      <c r="AT5" s="20">
        <f>IF(B5="","",IF(AS5="","",ROUND(AS5-AM5-(AS5*AN5+AO5),2)))</f>
        <v>0</v>
      </c>
      <c r="AU5" s="33">
        <f>IF(B5="","",IF(OR(AS5="",AS5=0),"",AT5/AS5))</f>
        <v>0</v>
      </c>
      <c r="AV5" s="41">
        <f>IF(B5="","",ROUND(AG5/60,3))</f>
        <v>0</v>
      </c>
      <c r="AW5" s="20">
        <f>IF(B5="","",IF(OR(AV5=0,AV5="",AT5=""),"",ROUND((AT5+AI5)/AV5,2)))</f>
        <v>0</v>
      </c>
      <c r="AX5" s="43">
        <f>IF(B5="","",IF(AND(A5&lt;&gt;"",ISERROR(MATCH(A5,Products!$A$5:$A$304,0))),"Check - no such product ID",IF(AF5=0,"Add - no material cost yet",IF(AG5=0,"Add - how long does it take?",IF(AND(A5&lt;&gt;"",COUNTIFS('Material Usage'!$A$5:$A$904,A5)&gt;0),"Check - this product also has a bill of materials",IF(AND(A5&lt;&gt;"",COUNTIFS(Labor!$A$5:$A$304,A5)&gt;0),"Check - this product also has labour lines",IF(AW5&lt;MinimumWage,"Below - pays under minimum wage","OK")))))) )</f>
        <v>0</v>
      </c>
    </row>
    <row r="6" spans="1:50">
      <c r="A6" s="46" t="s">
        <v>1351</v>
      </c>
      <c r="B6" s="15" t="s">
        <v>539</v>
      </c>
      <c r="C6" s="15" t="s">
        <v>1345</v>
      </c>
      <c r="D6" s="46" t="s">
        <v>1346</v>
      </c>
      <c r="E6" s="15" t="s">
        <v>1352</v>
      </c>
      <c r="F6" s="21">
        <v>120</v>
      </c>
      <c r="G6" s="19">
        <v>0.88</v>
      </c>
      <c r="H6" s="52">
        <v>0.9</v>
      </c>
      <c r="J6" s="19">
        <v>0.05</v>
      </c>
      <c r="K6" s="46" t="s">
        <v>1353</v>
      </c>
      <c r="L6" s="19">
        <v>0.08</v>
      </c>
      <c r="M6" s="15" t="s">
        <v>1349</v>
      </c>
      <c r="N6" s="16">
        <v>1</v>
      </c>
      <c r="O6" s="18">
        <v>0.12</v>
      </c>
      <c r="P6" s="18">
        <v>0.8</v>
      </c>
      <c r="Q6" s="18">
        <v>0</v>
      </c>
      <c r="R6" s="18">
        <v>0.24</v>
      </c>
      <c r="S6" s="16">
        <v>24</v>
      </c>
      <c r="T6" s="16">
        <v>65</v>
      </c>
      <c r="U6" s="16">
        <v>4</v>
      </c>
      <c r="V6" s="16">
        <v>10</v>
      </c>
      <c r="X6" s="18">
        <v>19</v>
      </c>
      <c r="Y6" s="40" t="s">
        <v>1354</v>
      </c>
      <c r="Z6" s="36">
        <f>IF(B6="","",IF(I6&lt;&gt;"",I6,ROUND(IF(F6="",0,F6)*IF(G6="",0.85,G6)*IF(H6="",0.9,H6),1)))</f>
        <v>0</v>
      </c>
      <c r="AA6" s="36">
        <f>IF(B6="","",ROUND(Z6*(1+IF(J6="",DefaultWaste,J6)),1))</f>
        <v>0</v>
      </c>
      <c r="AB6" s="20">
        <f>IF(B6="","",ROUND(AA6*IFERROR(INDEX(Materials!$V$5:$V$254,MATCH(D6,Materials!$A$5:$A$254,0)),0),2))</f>
        <v>0</v>
      </c>
      <c r="AC6" s="36">
        <f>IF(B6="","",ROUND(Z6*IF(L6="",0,L6),2))</f>
        <v>0</v>
      </c>
      <c r="AD6" s="20">
        <f>IF(B6="","",ROUND(AC6*IFERROR(INDEX(Materials!$V$5:$V$254,MATCH(K6,Materials!$A$5:$A$254,0)),0),2))</f>
        <v>0</v>
      </c>
      <c r="AE6" s="20">
        <f>IF(B6="","",ROUND(IF(N6="",0,N6)*IF(O6="",0,O6),2))</f>
        <v>0</v>
      </c>
      <c r="AF6" s="20">
        <f>IF(B6="","",ROUND(AB6+AD6+AE6+IF(P6="",0,P6)+IF(Q6="",0,Q6)+IF(R6="",0,R6),2))</f>
        <v>0</v>
      </c>
      <c r="AG6" s="36">
        <f>IF(B6="","",ROUND(IF(U6="",0,U6)+IF(T6="",0,T6)/MAX(1,IF(S6="",DefaultBatchSize,S6)),1))</f>
        <v>0</v>
      </c>
      <c r="AH6" s="20">
        <f>IF(B6="","",IF(W6&lt;&gt;"",W6,LaborCostHour))</f>
        <v>0</v>
      </c>
      <c r="AI6" s="20">
        <f>IF(B6="","",ROUND(AG6/60*AH6,2))</f>
        <v>0</v>
      </c>
      <c r="AJ6" s="20">
        <f>IF(B6="","",ROUND(AG6/60*SuppliesPerHour,2))</f>
        <v>0</v>
      </c>
      <c r="AK6" s="20">
        <f>IF(B6="","",IF(OR(Z6="",Z6=0),"",ROUND(AF6/Z6*100,2)))</f>
        <v>0</v>
      </c>
      <c r="AL6" s="32">
        <f>IF(B6="","",IF(Z6="","",ROUND(Z6/7,0)))</f>
        <v>0</v>
      </c>
      <c r="AM6" s="20">
        <f>IF(B6="","",ROUND(AF6+AI6+AJ6,2))</f>
        <v>0</v>
      </c>
      <c r="AN6" s="33">
        <f>IF(B6="","",IFERROR(INDEX(Channels!$S$5:$S$18,MATCH(DefaultChannel,Channels!$A$5:$A$18,0)),0))</f>
        <v>0</v>
      </c>
      <c r="AO6" s="20">
        <f>IF(B6="","",IFERROR(INDEX(Channels!$T$5:$T$18,MATCH(DefaultChannel,Channels!$A$5:$A$18,0)),0))</f>
        <v>0</v>
      </c>
      <c r="AP6" s="41">
        <f>IF(B6="","",1-TargetRetailMargin-AN6)</f>
        <v>0</v>
      </c>
      <c r="AQ6" s="20">
        <f>IF(B6="","",IF(AP6&lt;=0,"",(AM6+AO6)/AP6))</f>
        <v>0</v>
      </c>
      <c r="AR6" s="20">
        <f>IF(B6="","",IF(AQ6="","Check the settings",ROUND(IF(RoundingRule="None",AQ6,IF(RoundingRule="Nearest 0.99",MAX(0.99,CEILING(AQ6,1)-0.01),IF(RoundingRule="Nearest 0.95",MAX(0.95,CEILING(AQ6,1)-0.05),IF(RoundingRule="Nearest 0.50",CEILING(AQ6,0.5),IF(RoundingRule="Nearest 1",CEILING(AQ6,1),IF(RoundingRule="Nearest 5",CEILING(AQ6,5),IF(RoundingRule="Up to whole 1",CEILING(AQ6,1),IF(RoundingRule="Up to whole 5",CEILING(AQ6,5),ROUND(AQ6,2))))))))),2)))</f>
        <v>0</v>
      </c>
      <c r="AS6" s="20">
        <f>IF(B6="","",IF(X6&lt;&gt;"",X6,IF(ISNUMBER(AR6),AR6,"")))</f>
        <v>0</v>
      </c>
      <c r="AT6" s="20">
        <f>IF(B6="","",IF(AS6="","",ROUND(AS6-AM6-(AS6*AN6+AO6),2)))</f>
        <v>0</v>
      </c>
      <c r="AU6" s="33">
        <f>IF(B6="","",IF(OR(AS6="",AS6=0),"",AT6/AS6))</f>
        <v>0</v>
      </c>
      <c r="AV6" s="41">
        <f>IF(B6="","",ROUND(AG6/60,3))</f>
        <v>0</v>
      </c>
      <c r="AW6" s="20">
        <f>IF(B6="","",IF(OR(AV6=0,AV6="",AT6=""),"",ROUND((AT6+AI6)/AV6,2)))</f>
        <v>0</v>
      </c>
      <c r="AX6" s="43">
        <f>IF(B6="","",IF(AND(A6&lt;&gt;"",ISERROR(MATCH(A6,Products!$A$5:$A$304,0))),"Check - no such product ID",IF(AF6=0,"Add - no material cost yet",IF(AG6=0,"Add - how long does it take?",IF(AND(A6&lt;&gt;"",COUNTIFS('Material Usage'!$A$5:$A$904,A6)&gt;0),"Check - this product also has a bill of materials",IF(AND(A6&lt;&gt;"",COUNTIFS(Labor!$A$5:$A$304,A6)&gt;0),"Check - this product also has labour lines",IF(AW6&lt;MinimumWage,"Below - pays under minimum wage","OK")))))) )</f>
        <v>0</v>
      </c>
    </row>
    <row r="7" spans="1:50">
      <c r="B7" s="15" t="s">
        <v>1355</v>
      </c>
      <c r="C7" s="15" t="s">
        <v>1345</v>
      </c>
      <c r="D7" s="46" t="s">
        <v>1346</v>
      </c>
      <c r="E7" s="15" t="s">
        <v>1356</v>
      </c>
      <c r="F7" s="21">
        <v>70</v>
      </c>
      <c r="G7" s="19">
        <v>0.95</v>
      </c>
      <c r="H7" s="52">
        <v>0.9</v>
      </c>
      <c r="J7" s="19">
        <v>0.04</v>
      </c>
      <c r="K7" s="46" t="s">
        <v>1353</v>
      </c>
      <c r="L7" s="19">
        <v>0.1</v>
      </c>
      <c r="M7" s="15" t="s">
        <v>1349</v>
      </c>
      <c r="N7" s="16">
        <v>0</v>
      </c>
      <c r="O7" s="18">
        <v>0</v>
      </c>
      <c r="P7" s="18">
        <v>0.38</v>
      </c>
      <c r="R7" s="18">
        <v>0.18</v>
      </c>
      <c r="S7" s="16">
        <v>36</v>
      </c>
      <c r="T7" s="16">
        <v>50</v>
      </c>
      <c r="U7" s="16">
        <v>2</v>
      </c>
      <c r="V7" s="16">
        <v>7</v>
      </c>
      <c r="X7" s="18">
        <v>8.5</v>
      </c>
      <c r="Y7" s="40" t="s">
        <v>1357</v>
      </c>
      <c r="Z7" s="36">
        <f>IF(B7="","",IF(I7&lt;&gt;"",I7,ROUND(IF(F7="",0,F7)*IF(G7="",0.85,G7)*IF(H7="",0.9,H7),1)))</f>
        <v>0</v>
      </c>
      <c r="AA7" s="36">
        <f>IF(B7="","",ROUND(Z7*(1+IF(J7="",DefaultWaste,J7)),1))</f>
        <v>0</v>
      </c>
      <c r="AB7" s="20">
        <f>IF(B7="","",ROUND(AA7*IFERROR(INDEX(Materials!$V$5:$V$254,MATCH(D7,Materials!$A$5:$A$254,0)),0),2))</f>
        <v>0</v>
      </c>
      <c r="AC7" s="36">
        <f>IF(B7="","",ROUND(Z7*IF(L7="",0,L7),2))</f>
        <v>0</v>
      </c>
      <c r="AD7" s="20">
        <f>IF(B7="","",ROUND(AC7*IFERROR(INDEX(Materials!$V$5:$V$254,MATCH(K7,Materials!$A$5:$A$254,0)),0),2))</f>
        <v>0</v>
      </c>
      <c r="AE7" s="20">
        <f>IF(B7="","",ROUND(IF(N7="",0,N7)*IF(O7="",0,O7),2))</f>
        <v>0</v>
      </c>
      <c r="AF7" s="20">
        <f>IF(B7="","",ROUND(AB7+AD7+AE7+IF(P7="",0,P7)+IF(Q7="",0,Q7)+IF(R7="",0,R7),2))</f>
        <v>0</v>
      </c>
      <c r="AG7" s="36">
        <f>IF(B7="","",ROUND(IF(U7="",0,U7)+IF(T7="",0,T7)/MAX(1,IF(S7="",DefaultBatchSize,S7)),1))</f>
        <v>0</v>
      </c>
      <c r="AH7" s="20">
        <f>IF(B7="","",IF(W7&lt;&gt;"",W7,LaborCostHour))</f>
        <v>0</v>
      </c>
      <c r="AI7" s="20">
        <f>IF(B7="","",ROUND(AG7/60*AH7,2))</f>
        <v>0</v>
      </c>
      <c r="AJ7" s="20">
        <f>IF(B7="","",ROUND(AG7/60*SuppliesPerHour,2))</f>
        <v>0</v>
      </c>
      <c r="AK7" s="20">
        <f>IF(B7="","",IF(OR(Z7="",Z7=0),"",ROUND(AF7/Z7*100,2)))</f>
        <v>0</v>
      </c>
      <c r="AL7" s="32">
        <f>IF(B7="","",IF(Z7="","",ROUND(Z7/7,0)))</f>
        <v>0</v>
      </c>
      <c r="AM7" s="20">
        <f>IF(B7="","",ROUND(AF7+AI7+AJ7,2))</f>
        <v>0</v>
      </c>
      <c r="AN7" s="33">
        <f>IF(B7="","",IFERROR(INDEX(Channels!$S$5:$S$18,MATCH(DefaultChannel,Channels!$A$5:$A$18,0)),0))</f>
        <v>0</v>
      </c>
      <c r="AO7" s="20">
        <f>IF(B7="","",IFERROR(INDEX(Channels!$T$5:$T$18,MATCH(DefaultChannel,Channels!$A$5:$A$18,0)),0))</f>
        <v>0</v>
      </c>
      <c r="AP7" s="41">
        <f>IF(B7="","",1-TargetRetailMargin-AN7)</f>
        <v>0</v>
      </c>
      <c r="AQ7" s="20">
        <f>IF(B7="","",IF(AP7&lt;=0,"",(AM7+AO7)/AP7))</f>
        <v>0</v>
      </c>
      <c r="AR7" s="20">
        <f>IF(B7="","",IF(AQ7="","Check the settings",ROUND(IF(RoundingRule="None",AQ7,IF(RoundingRule="Nearest 0.99",MAX(0.99,CEILING(AQ7,1)-0.01),IF(RoundingRule="Nearest 0.95",MAX(0.95,CEILING(AQ7,1)-0.05),IF(RoundingRule="Nearest 0.50",CEILING(AQ7,0.5),IF(RoundingRule="Nearest 1",CEILING(AQ7,1),IF(RoundingRule="Nearest 5",CEILING(AQ7,5),IF(RoundingRule="Up to whole 1",CEILING(AQ7,1),IF(RoundingRule="Up to whole 5",CEILING(AQ7,5),ROUND(AQ7,2))))))))),2)))</f>
        <v>0</v>
      </c>
      <c r="AS7" s="20">
        <f>IF(B7="","",IF(X7&lt;&gt;"",X7,IF(ISNUMBER(AR7),AR7,"")))</f>
        <v>0</v>
      </c>
      <c r="AT7" s="20">
        <f>IF(B7="","",IF(AS7="","",ROUND(AS7-AM7-(AS7*AN7+AO7),2)))</f>
        <v>0</v>
      </c>
      <c r="AU7" s="33">
        <f>IF(B7="","",IF(OR(AS7="",AS7=0),"",AT7/AS7))</f>
        <v>0</v>
      </c>
      <c r="AV7" s="41">
        <f>IF(B7="","",ROUND(AG7/60,3))</f>
        <v>0</v>
      </c>
      <c r="AW7" s="20">
        <f>IF(B7="","",IF(OR(AV7=0,AV7="",AT7=""),"",ROUND((AT7+AI7)/AV7,2)))</f>
        <v>0</v>
      </c>
      <c r="AX7" s="43">
        <f>IF(B7="","",IF(AND(A7&lt;&gt;"",ISERROR(MATCH(A7,Products!$A$5:$A$304,0))),"Check - no such product ID",IF(AF7=0,"Add - no material cost yet",IF(AG7=0,"Add - how long does it take?",IF(AND(A7&lt;&gt;"",COUNTIFS('Material Usage'!$A$5:$A$904,A7)&gt;0),"Check - this product also has a bill of materials",IF(AND(A7&lt;&gt;"",COUNTIFS(Labor!$A$5:$A$304,A7)&gt;0),"Check - this product also has labour lines",IF(AW7&lt;MinimumWage,"Below - pays under minimum wage","OK")))))) )</f>
        <v>0</v>
      </c>
    </row>
    <row r="8" spans="1:50">
      <c r="Z8" s="36">
        <f>IF(B8="","",IF(I8&lt;&gt;"",I8,ROUND(IF(F8="",0,F8)*IF(G8="",0.85,G8)*IF(H8="",0.9,H8),1)))</f>
        <v>0</v>
      </c>
      <c r="AA8" s="36">
        <f>IF(B8="","",ROUND(Z8*(1+IF(J8="",DefaultWaste,J8)),1))</f>
        <v>0</v>
      </c>
      <c r="AB8" s="20">
        <f>IF(B8="","",ROUND(AA8*IFERROR(INDEX(Materials!$V$5:$V$254,MATCH(D8,Materials!$A$5:$A$254,0)),0),2))</f>
        <v>0</v>
      </c>
      <c r="AC8" s="36">
        <f>IF(B8="","",ROUND(Z8*IF(L8="",0,L8),2))</f>
        <v>0</v>
      </c>
      <c r="AD8" s="20">
        <f>IF(B8="","",ROUND(AC8*IFERROR(INDEX(Materials!$V$5:$V$254,MATCH(K8,Materials!$A$5:$A$254,0)),0),2))</f>
        <v>0</v>
      </c>
      <c r="AE8" s="20">
        <f>IF(B8="","",ROUND(IF(N8="",0,N8)*IF(O8="",0,O8),2))</f>
        <v>0</v>
      </c>
      <c r="AF8" s="20">
        <f>IF(B8="","",ROUND(AB8+AD8+AE8+IF(P8="",0,P8)+IF(Q8="",0,Q8)+IF(R8="",0,R8),2))</f>
        <v>0</v>
      </c>
      <c r="AG8" s="36">
        <f>IF(B8="","",ROUND(IF(U8="",0,U8)+IF(T8="",0,T8)/MAX(1,IF(S8="",DefaultBatchSize,S8)),1))</f>
        <v>0</v>
      </c>
      <c r="AH8" s="20">
        <f>IF(B8="","",IF(W8&lt;&gt;"",W8,LaborCostHour))</f>
        <v>0</v>
      </c>
      <c r="AI8" s="20">
        <f>IF(B8="","",ROUND(AG8/60*AH8,2))</f>
        <v>0</v>
      </c>
      <c r="AJ8" s="20">
        <f>IF(B8="","",ROUND(AG8/60*SuppliesPerHour,2))</f>
        <v>0</v>
      </c>
      <c r="AK8" s="20">
        <f>IF(B8="","",IF(OR(Z8="",Z8=0),"",ROUND(AF8/Z8*100,2)))</f>
        <v>0</v>
      </c>
      <c r="AL8" s="32">
        <f>IF(B8="","",IF(Z8="","",ROUND(Z8/7,0)))</f>
        <v>0</v>
      </c>
      <c r="AM8" s="20">
        <f>IF(B8="","",ROUND(AF8+AI8+AJ8,2))</f>
        <v>0</v>
      </c>
      <c r="AN8" s="33">
        <f>IF(B8="","",IFERROR(INDEX(Channels!$S$5:$S$18,MATCH(DefaultChannel,Channels!$A$5:$A$18,0)),0))</f>
        <v>0</v>
      </c>
      <c r="AO8" s="20">
        <f>IF(B8="","",IFERROR(INDEX(Channels!$T$5:$T$18,MATCH(DefaultChannel,Channels!$A$5:$A$18,0)),0))</f>
        <v>0</v>
      </c>
      <c r="AP8" s="41">
        <f>IF(B8="","",1-TargetRetailMargin-AN8)</f>
        <v>0</v>
      </c>
      <c r="AQ8" s="20">
        <f>IF(B8="","",IF(AP8&lt;=0,"",(AM8+AO8)/AP8))</f>
        <v>0</v>
      </c>
      <c r="AR8" s="20">
        <f>IF(B8="","",IF(AQ8="","Check the settings",ROUND(IF(RoundingRule="None",AQ8,IF(RoundingRule="Nearest 0.99",MAX(0.99,CEILING(AQ8,1)-0.01),IF(RoundingRule="Nearest 0.95",MAX(0.95,CEILING(AQ8,1)-0.05),IF(RoundingRule="Nearest 0.50",CEILING(AQ8,0.5),IF(RoundingRule="Nearest 1",CEILING(AQ8,1),IF(RoundingRule="Nearest 5",CEILING(AQ8,5),IF(RoundingRule="Up to whole 1",CEILING(AQ8,1),IF(RoundingRule="Up to whole 5",CEILING(AQ8,5),ROUND(AQ8,2))))))))),2)))</f>
        <v>0</v>
      </c>
      <c r="AS8" s="20">
        <f>IF(B8="","",IF(X8&lt;&gt;"",X8,IF(ISNUMBER(AR8),AR8,"")))</f>
        <v>0</v>
      </c>
      <c r="AT8" s="20">
        <f>IF(B8="","",IF(AS8="","",ROUND(AS8-AM8-(AS8*AN8+AO8),2)))</f>
        <v>0</v>
      </c>
      <c r="AU8" s="33">
        <f>IF(B8="","",IF(OR(AS8="",AS8=0),"",AT8/AS8))</f>
        <v>0</v>
      </c>
      <c r="AV8" s="41">
        <f>IF(B8="","",ROUND(AG8/60,3))</f>
        <v>0</v>
      </c>
      <c r="AW8" s="20">
        <f>IF(B8="","",IF(OR(AV8=0,AV8="",AT8=""),"",ROUND((AT8+AI8)/AV8,2)))</f>
        <v>0</v>
      </c>
      <c r="AX8" s="43">
        <f>IF(B8="","",IF(AND(A8&lt;&gt;"",ISERROR(MATCH(A8,Products!$A$5:$A$304,0))),"Check - no such product ID",IF(AF8=0,"Add - no material cost yet",IF(AG8=0,"Add - how long does it take?",IF(AND(A8&lt;&gt;"",COUNTIFS('Material Usage'!$A$5:$A$904,A8)&gt;0),"Check - this product also has a bill of materials",IF(AND(A8&lt;&gt;"",COUNTIFS(Labor!$A$5:$A$304,A8)&gt;0),"Check - this product also has labour lines",IF(AW8&lt;MinimumWage,"Below - pays under minimum wage","OK")))))) )</f>
        <v>0</v>
      </c>
    </row>
    <row r="9" spans="1:50">
      <c r="Z9" s="36">
        <f>IF(B9="","",IF(I9&lt;&gt;"",I9,ROUND(IF(F9="",0,F9)*IF(G9="",0.85,G9)*IF(H9="",0.9,H9),1)))</f>
        <v>0</v>
      </c>
      <c r="AA9" s="36">
        <f>IF(B9="","",ROUND(Z9*(1+IF(J9="",DefaultWaste,J9)),1))</f>
        <v>0</v>
      </c>
      <c r="AB9" s="20">
        <f>IF(B9="","",ROUND(AA9*IFERROR(INDEX(Materials!$V$5:$V$254,MATCH(D9,Materials!$A$5:$A$254,0)),0),2))</f>
        <v>0</v>
      </c>
      <c r="AC9" s="36">
        <f>IF(B9="","",ROUND(Z9*IF(L9="",0,L9),2))</f>
        <v>0</v>
      </c>
      <c r="AD9" s="20">
        <f>IF(B9="","",ROUND(AC9*IFERROR(INDEX(Materials!$V$5:$V$254,MATCH(K9,Materials!$A$5:$A$254,0)),0),2))</f>
        <v>0</v>
      </c>
      <c r="AE9" s="20">
        <f>IF(B9="","",ROUND(IF(N9="",0,N9)*IF(O9="",0,O9),2))</f>
        <v>0</v>
      </c>
      <c r="AF9" s="20">
        <f>IF(B9="","",ROUND(AB9+AD9+AE9+IF(P9="",0,P9)+IF(Q9="",0,Q9)+IF(R9="",0,R9),2))</f>
        <v>0</v>
      </c>
      <c r="AG9" s="36">
        <f>IF(B9="","",ROUND(IF(U9="",0,U9)+IF(T9="",0,T9)/MAX(1,IF(S9="",DefaultBatchSize,S9)),1))</f>
        <v>0</v>
      </c>
      <c r="AH9" s="20">
        <f>IF(B9="","",IF(W9&lt;&gt;"",W9,LaborCostHour))</f>
        <v>0</v>
      </c>
      <c r="AI9" s="20">
        <f>IF(B9="","",ROUND(AG9/60*AH9,2))</f>
        <v>0</v>
      </c>
      <c r="AJ9" s="20">
        <f>IF(B9="","",ROUND(AG9/60*SuppliesPerHour,2))</f>
        <v>0</v>
      </c>
      <c r="AK9" s="20">
        <f>IF(B9="","",IF(OR(Z9="",Z9=0),"",ROUND(AF9/Z9*100,2)))</f>
        <v>0</v>
      </c>
      <c r="AL9" s="32">
        <f>IF(B9="","",IF(Z9="","",ROUND(Z9/7,0)))</f>
        <v>0</v>
      </c>
      <c r="AM9" s="20">
        <f>IF(B9="","",ROUND(AF9+AI9+AJ9,2))</f>
        <v>0</v>
      </c>
      <c r="AN9" s="33">
        <f>IF(B9="","",IFERROR(INDEX(Channels!$S$5:$S$18,MATCH(DefaultChannel,Channels!$A$5:$A$18,0)),0))</f>
        <v>0</v>
      </c>
      <c r="AO9" s="20">
        <f>IF(B9="","",IFERROR(INDEX(Channels!$T$5:$T$18,MATCH(DefaultChannel,Channels!$A$5:$A$18,0)),0))</f>
        <v>0</v>
      </c>
      <c r="AP9" s="41">
        <f>IF(B9="","",1-TargetRetailMargin-AN9)</f>
        <v>0</v>
      </c>
      <c r="AQ9" s="20">
        <f>IF(B9="","",IF(AP9&lt;=0,"",(AM9+AO9)/AP9))</f>
        <v>0</v>
      </c>
      <c r="AR9" s="20">
        <f>IF(B9="","",IF(AQ9="","Check the settings",ROUND(IF(RoundingRule="None",AQ9,IF(RoundingRule="Nearest 0.99",MAX(0.99,CEILING(AQ9,1)-0.01),IF(RoundingRule="Nearest 0.95",MAX(0.95,CEILING(AQ9,1)-0.05),IF(RoundingRule="Nearest 0.50",CEILING(AQ9,0.5),IF(RoundingRule="Nearest 1",CEILING(AQ9,1),IF(RoundingRule="Nearest 5",CEILING(AQ9,5),IF(RoundingRule="Up to whole 1",CEILING(AQ9,1),IF(RoundingRule="Up to whole 5",CEILING(AQ9,5),ROUND(AQ9,2))))))))),2)))</f>
        <v>0</v>
      </c>
      <c r="AS9" s="20">
        <f>IF(B9="","",IF(X9&lt;&gt;"",X9,IF(ISNUMBER(AR9),AR9,"")))</f>
        <v>0</v>
      </c>
      <c r="AT9" s="20">
        <f>IF(B9="","",IF(AS9="","",ROUND(AS9-AM9-(AS9*AN9+AO9),2)))</f>
        <v>0</v>
      </c>
      <c r="AU9" s="33">
        <f>IF(B9="","",IF(OR(AS9="",AS9=0),"",AT9/AS9))</f>
        <v>0</v>
      </c>
      <c r="AV9" s="41">
        <f>IF(B9="","",ROUND(AG9/60,3))</f>
        <v>0</v>
      </c>
      <c r="AW9" s="20">
        <f>IF(B9="","",IF(OR(AV9=0,AV9="",AT9=""),"",ROUND((AT9+AI9)/AV9,2)))</f>
        <v>0</v>
      </c>
      <c r="AX9" s="43">
        <f>IF(B9="","",IF(AND(A9&lt;&gt;"",ISERROR(MATCH(A9,Products!$A$5:$A$304,0))),"Check - no such product ID",IF(AF9=0,"Add - no material cost yet",IF(AG9=0,"Add - how long does it take?",IF(AND(A9&lt;&gt;"",COUNTIFS('Material Usage'!$A$5:$A$904,A9)&gt;0),"Check - this product also has a bill of materials",IF(AND(A9&lt;&gt;"",COUNTIFS(Labor!$A$5:$A$304,A9)&gt;0),"Check - this product also has labour lines",IF(AW9&lt;MinimumWage,"Below - pays under minimum wage","OK")))))) )</f>
        <v>0</v>
      </c>
    </row>
    <row r="10" spans="1:50">
      <c r="Z10" s="36">
        <f>IF(B10="","",IF(I10&lt;&gt;"",I10,ROUND(IF(F10="",0,F10)*IF(G10="",0.85,G10)*IF(H10="",0.9,H10),1)))</f>
        <v>0</v>
      </c>
      <c r="AA10" s="36">
        <f>IF(B10="","",ROUND(Z10*(1+IF(J10="",DefaultWaste,J10)),1))</f>
        <v>0</v>
      </c>
      <c r="AB10" s="20">
        <f>IF(B10="","",ROUND(AA10*IFERROR(INDEX(Materials!$V$5:$V$254,MATCH(D10,Materials!$A$5:$A$254,0)),0),2))</f>
        <v>0</v>
      </c>
      <c r="AC10" s="36">
        <f>IF(B10="","",ROUND(Z10*IF(L10="",0,L10),2))</f>
        <v>0</v>
      </c>
      <c r="AD10" s="20">
        <f>IF(B10="","",ROUND(AC10*IFERROR(INDEX(Materials!$V$5:$V$254,MATCH(K10,Materials!$A$5:$A$254,0)),0),2))</f>
        <v>0</v>
      </c>
      <c r="AE10" s="20">
        <f>IF(B10="","",ROUND(IF(N10="",0,N10)*IF(O10="",0,O10),2))</f>
        <v>0</v>
      </c>
      <c r="AF10" s="20">
        <f>IF(B10="","",ROUND(AB10+AD10+AE10+IF(P10="",0,P10)+IF(Q10="",0,Q10)+IF(R10="",0,R10),2))</f>
        <v>0</v>
      </c>
      <c r="AG10" s="36">
        <f>IF(B10="","",ROUND(IF(U10="",0,U10)+IF(T10="",0,T10)/MAX(1,IF(S10="",DefaultBatchSize,S10)),1))</f>
        <v>0</v>
      </c>
      <c r="AH10" s="20">
        <f>IF(B10="","",IF(W10&lt;&gt;"",W10,LaborCostHour))</f>
        <v>0</v>
      </c>
      <c r="AI10" s="20">
        <f>IF(B10="","",ROUND(AG10/60*AH10,2))</f>
        <v>0</v>
      </c>
      <c r="AJ10" s="20">
        <f>IF(B10="","",ROUND(AG10/60*SuppliesPerHour,2))</f>
        <v>0</v>
      </c>
      <c r="AK10" s="20">
        <f>IF(B10="","",IF(OR(Z10="",Z10=0),"",ROUND(AF10/Z10*100,2)))</f>
        <v>0</v>
      </c>
      <c r="AL10" s="32">
        <f>IF(B10="","",IF(Z10="","",ROUND(Z10/7,0)))</f>
        <v>0</v>
      </c>
      <c r="AM10" s="20">
        <f>IF(B10="","",ROUND(AF10+AI10+AJ10,2))</f>
        <v>0</v>
      </c>
      <c r="AN10" s="33">
        <f>IF(B10="","",IFERROR(INDEX(Channels!$S$5:$S$18,MATCH(DefaultChannel,Channels!$A$5:$A$18,0)),0))</f>
        <v>0</v>
      </c>
      <c r="AO10" s="20">
        <f>IF(B10="","",IFERROR(INDEX(Channels!$T$5:$T$18,MATCH(DefaultChannel,Channels!$A$5:$A$18,0)),0))</f>
        <v>0</v>
      </c>
      <c r="AP10" s="41">
        <f>IF(B10="","",1-TargetRetailMargin-AN10)</f>
        <v>0</v>
      </c>
      <c r="AQ10" s="20">
        <f>IF(B10="","",IF(AP10&lt;=0,"",(AM10+AO10)/AP10))</f>
        <v>0</v>
      </c>
      <c r="AR10" s="20">
        <f>IF(B10="","",IF(AQ10="","Check the settings",ROUND(IF(RoundingRule="None",AQ10,IF(RoundingRule="Nearest 0.99",MAX(0.99,CEILING(AQ10,1)-0.01),IF(RoundingRule="Nearest 0.95",MAX(0.95,CEILING(AQ10,1)-0.05),IF(RoundingRule="Nearest 0.50",CEILING(AQ10,0.5),IF(RoundingRule="Nearest 1",CEILING(AQ10,1),IF(RoundingRule="Nearest 5",CEILING(AQ10,5),IF(RoundingRule="Up to whole 1",CEILING(AQ10,1),IF(RoundingRule="Up to whole 5",CEILING(AQ10,5),ROUND(AQ10,2))))))))),2)))</f>
        <v>0</v>
      </c>
      <c r="AS10" s="20">
        <f>IF(B10="","",IF(X10&lt;&gt;"",X10,IF(ISNUMBER(AR10),AR10,"")))</f>
        <v>0</v>
      </c>
      <c r="AT10" s="20">
        <f>IF(B10="","",IF(AS10="","",ROUND(AS10-AM10-(AS10*AN10+AO10),2)))</f>
        <v>0</v>
      </c>
      <c r="AU10" s="33">
        <f>IF(B10="","",IF(OR(AS10="",AS10=0),"",AT10/AS10))</f>
        <v>0</v>
      </c>
      <c r="AV10" s="41">
        <f>IF(B10="","",ROUND(AG10/60,3))</f>
        <v>0</v>
      </c>
      <c r="AW10" s="20">
        <f>IF(B10="","",IF(OR(AV10=0,AV10="",AT10=""),"",ROUND((AT10+AI10)/AV10,2)))</f>
        <v>0</v>
      </c>
      <c r="AX10" s="43">
        <f>IF(B10="","",IF(AND(A10&lt;&gt;"",ISERROR(MATCH(A10,Products!$A$5:$A$304,0))),"Check - no such product ID",IF(AF10=0,"Add - no material cost yet",IF(AG10=0,"Add - how long does it take?",IF(AND(A10&lt;&gt;"",COUNTIFS('Material Usage'!$A$5:$A$904,A10)&gt;0),"Check - this product also has a bill of materials",IF(AND(A10&lt;&gt;"",COUNTIFS(Labor!$A$5:$A$304,A10)&gt;0),"Check - this product also has labour lines",IF(AW10&lt;MinimumWage,"Below - pays under minimum wage","OK")))))) )</f>
        <v>0</v>
      </c>
    </row>
    <row r="11" spans="1:50">
      <c r="Z11" s="36">
        <f>IF(B11="","",IF(I11&lt;&gt;"",I11,ROUND(IF(F11="",0,F11)*IF(G11="",0.85,G11)*IF(H11="",0.9,H11),1)))</f>
        <v>0</v>
      </c>
      <c r="AA11" s="36">
        <f>IF(B11="","",ROUND(Z11*(1+IF(J11="",DefaultWaste,J11)),1))</f>
        <v>0</v>
      </c>
      <c r="AB11" s="20">
        <f>IF(B11="","",ROUND(AA11*IFERROR(INDEX(Materials!$V$5:$V$254,MATCH(D11,Materials!$A$5:$A$254,0)),0),2))</f>
        <v>0</v>
      </c>
      <c r="AC11" s="36">
        <f>IF(B11="","",ROUND(Z11*IF(L11="",0,L11),2))</f>
        <v>0</v>
      </c>
      <c r="AD11" s="20">
        <f>IF(B11="","",ROUND(AC11*IFERROR(INDEX(Materials!$V$5:$V$254,MATCH(K11,Materials!$A$5:$A$254,0)),0),2))</f>
        <v>0</v>
      </c>
      <c r="AE11" s="20">
        <f>IF(B11="","",ROUND(IF(N11="",0,N11)*IF(O11="",0,O11),2))</f>
        <v>0</v>
      </c>
      <c r="AF11" s="20">
        <f>IF(B11="","",ROUND(AB11+AD11+AE11+IF(P11="",0,P11)+IF(Q11="",0,Q11)+IF(R11="",0,R11),2))</f>
        <v>0</v>
      </c>
      <c r="AG11" s="36">
        <f>IF(B11="","",ROUND(IF(U11="",0,U11)+IF(T11="",0,T11)/MAX(1,IF(S11="",DefaultBatchSize,S11)),1))</f>
        <v>0</v>
      </c>
      <c r="AH11" s="20">
        <f>IF(B11="","",IF(W11&lt;&gt;"",W11,LaborCostHour))</f>
        <v>0</v>
      </c>
      <c r="AI11" s="20">
        <f>IF(B11="","",ROUND(AG11/60*AH11,2))</f>
        <v>0</v>
      </c>
      <c r="AJ11" s="20">
        <f>IF(B11="","",ROUND(AG11/60*SuppliesPerHour,2))</f>
        <v>0</v>
      </c>
      <c r="AK11" s="20">
        <f>IF(B11="","",IF(OR(Z11="",Z11=0),"",ROUND(AF11/Z11*100,2)))</f>
        <v>0</v>
      </c>
      <c r="AL11" s="32">
        <f>IF(B11="","",IF(Z11="","",ROUND(Z11/7,0)))</f>
        <v>0</v>
      </c>
      <c r="AM11" s="20">
        <f>IF(B11="","",ROUND(AF11+AI11+AJ11,2))</f>
        <v>0</v>
      </c>
      <c r="AN11" s="33">
        <f>IF(B11="","",IFERROR(INDEX(Channels!$S$5:$S$18,MATCH(DefaultChannel,Channels!$A$5:$A$18,0)),0))</f>
        <v>0</v>
      </c>
      <c r="AO11" s="20">
        <f>IF(B11="","",IFERROR(INDEX(Channels!$T$5:$T$18,MATCH(DefaultChannel,Channels!$A$5:$A$18,0)),0))</f>
        <v>0</v>
      </c>
      <c r="AP11" s="41">
        <f>IF(B11="","",1-TargetRetailMargin-AN11)</f>
        <v>0</v>
      </c>
      <c r="AQ11" s="20">
        <f>IF(B11="","",IF(AP11&lt;=0,"",(AM11+AO11)/AP11))</f>
        <v>0</v>
      </c>
      <c r="AR11" s="20">
        <f>IF(B11="","",IF(AQ11="","Check the settings",ROUND(IF(RoundingRule="None",AQ11,IF(RoundingRule="Nearest 0.99",MAX(0.99,CEILING(AQ11,1)-0.01),IF(RoundingRule="Nearest 0.95",MAX(0.95,CEILING(AQ11,1)-0.05),IF(RoundingRule="Nearest 0.50",CEILING(AQ11,0.5),IF(RoundingRule="Nearest 1",CEILING(AQ11,1),IF(RoundingRule="Nearest 5",CEILING(AQ11,5),IF(RoundingRule="Up to whole 1",CEILING(AQ11,1),IF(RoundingRule="Up to whole 5",CEILING(AQ11,5),ROUND(AQ11,2))))))))),2)))</f>
        <v>0</v>
      </c>
      <c r="AS11" s="20">
        <f>IF(B11="","",IF(X11&lt;&gt;"",X11,IF(ISNUMBER(AR11),AR11,"")))</f>
        <v>0</v>
      </c>
      <c r="AT11" s="20">
        <f>IF(B11="","",IF(AS11="","",ROUND(AS11-AM11-(AS11*AN11+AO11),2)))</f>
        <v>0</v>
      </c>
      <c r="AU11" s="33">
        <f>IF(B11="","",IF(OR(AS11="",AS11=0),"",AT11/AS11))</f>
        <v>0</v>
      </c>
      <c r="AV11" s="41">
        <f>IF(B11="","",ROUND(AG11/60,3))</f>
        <v>0</v>
      </c>
      <c r="AW11" s="20">
        <f>IF(B11="","",IF(OR(AV11=0,AV11="",AT11=""),"",ROUND((AT11+AI11)/AV11,2)))</f>
        <v>0</v>
      </c>
      <c r="AX11" s="43">
        <f>IF(B11="","",IF(AND(A11&lt;&gt;"",ISERROR(MATCH(A11,Products!$A$5:$A$304,0))),"Check - no such product ID",IF(AF11=0,"Add - no material cost yet",IF(AG11=0,"Add - how long does it take?",IF(AND(A11&lt;&gt;"",COUNTIFS('Material Usage'!$A$5:$A$904,A11)&gt;0),"Check - this product also has a bill of materials",IF(AND(A11&lt;&gt;"",COUNTIFS(Labor!$A$5:$A$304,A11)&gt;0),"Check - this product also has labour lines",IF(AW11&lt;MinimumWage,"Below - pays under minimum wage","OK")))))) )</f>
        <v>0</v>
      </c>
    </row>
    <row r="12" spans="1:50">
      <c r="Z12" s="36">
        <f>IF(B12="","",IF(I12&lt;&gt;"",I12,ROUND(IF(F12="",0,F12)*IF(G12="",0.85,G12)*IF(H12="",0.9,H12),1)))</f>
        <v>0</v>
      </c>
      <c r="AA12" s="36">
        <f>IF(B12="","",ROUND(Z12*(1+IF(J12="",DefaultWaste,J12)),1))</f>
        <v>0</v>
      </c>
      <c r="AB12" s="20">
        <f>IF(B12="","",ROUND(AA12*IFERROR(INDEX(Materials!$V$5:$V$254,MATCH(D12,Materials!$A$5:$A$254,0)),0),2))</f>
        <v>0</v>
      </c>
      <c r="AC12" s="36">
        <f>IF(B12="","",ROUND(Z12*IF(L12="",0,L12),2))</f>
        <v>0</v>
      </c>
      <c r="AD12" s="20">
        <f>IF(B12="","",ROUND(AC12*IFERROR(INDEX(Materials!$V$5:$V$254,MATCH(K12,Materials!$A$5:$A$254,0)),0),2))</f>
        <v>0</v>
      </c>
      <c r="AE12" s="20">
        <f>IF(B12="","",ROUND(IF(N12="",0,N12)*IF(O12="",0,O12),2))</f>
        <v>0</v>
      </c>
      <c r="AF12" s="20">
        <f>IF(B12="","",ROUND(AB12+AD12+AE12+IF(P12="",0,P12)+IF(Q12="",0,Q12)+IF(R12="",0,R12),2))</f>
        <v>0</v>
      </c>
      <c r="AG12" s="36">
        <f>IF(B12="","",ROUND(IF(U12="",0,U12)+IF(T12="",0,T12)/MAX(1,IF(S12="",DefaultBatchSize,S12)),1))</f>
        <v>0</v>
      </c>
      <c r="AH12" s="20">
        <f>IF(B12="","",IF(W12&lt;&gt;"",W12,LaborCostHour))</f>
        <v>0</v>
      </c>
      <c r="AI12" s="20">
        <f>IF(B12="","",ROUND(AG12/60*AH12,2))</f>
        <v>0</v>
      </c>
      <c r="AJ12" s="20">
        <f>IF(B12="","",ROUND(AG12/60*SuppliesPerHour,2))</f>
        <v>0</v>
      </c>
      <c r="AK12" s="20">
        <f>IF(B12="","",IF(OR(Z12="",Z12=0),"",ROUND(AF12/Z12*100,2)))</f>
        <v>0</v>
      </c>
      <c r="AL12" s="32">
        <f>IF(B12="","",IF(Z12="","",ROUND(Z12/7,0)))</f>
        <v>0</v>
      </c>
      <c r="AM12" s="20">
        <f>IF(B12="","",ROUND(AF12+AI12+AJ12,2))</f>
        <v>0</v>
      </c>
      <c r="AN12" s="33">
        <f>IF(B12="","",IFERROR(INDEX(Channels!$S$5:$S$18,MATCH(DefaultChannel,Channels!$A$5:$A$18,0)),0))</f>
        <v>0</v>
      </c>
      <c r="AO12" s="20">
        <f>IF(B12="","",IFERROR(INDEX(Channels!$T$5:$T$18,MATCH(DefaultChannel,Channels!$A$5:$A$18,0)),0))</f>
        <v>0</v>
      </c>
      <c r="AP12" s="41">
        <f>IF(B12="","",1-TargetRetailMargin-AN12)</f>
        <v>0</v>
      </c>
      <c r="AQ12" s="20">
        <f>IF(B12="","",IF(AP12&lt;=0,"",(AM12+AO12)/AP12))</f>
        <v>0</v>
      </c>
      <c r="AR12" s="20">
        <f>IF(B12="","",IF(AQ12="","Check the settings",ROUND(IF(RoundingRule="None",AQ12,IF(RoundingRule="Nearest 0.99",MAX(0.99,CEILING(AQ12,1)-0.01),IF(RoundingRule="Nearest 0.95",MAX(0.95,CEILING(AQ12,1)-0.05),IF(RoundingRule="Nearest 0.50",CEILING(AQ12,0.5),IF(RoundingRule="Nearest 1",CEILING(AQ12,1),IF(RoundingRule="Nearest 5",CEILING(AQ12,5),IF(RoundingRule="Up to whole 1",CEILING(AQ12,1),IF(RoundingRule="Up to whole 5",CEILING(AQ12,5),ROUND(AQ12,2))))))))),2)))</f>
        <v>0</v>
      </c>
      <c r="AS12" s="20">
        <f>IF(B12="","",IF(X12&lt;&gt;"",X12,IF(ISNUMBER(AR12),AR12,"")))</f>
        <v>0</v>
      </c>
      <c r="AT12" s="20">
        <f>IF(B12="","",IF(AS12="","",ROUND(AS12-AM12-(AS12*AN12+AO12),2)))</f>
        <v>0</v>
      </c>
      <c r="AU12" s="33">
        <f>IF(B12="","",IF(OR(AS12="",AS12=0),"",AT12/AS12))</f>
        <v>0</v>
      </c>
      <c r="AV12" s="41">
        <f>IF(B12="","",ROUND(AG12/60,3))</f>
        <v>0</v>
      </c>
      <c r="AW12" s="20">
        <f>IF(B12="","",IF(OR(AV12=0,AV12="",AT12=""),"",ROUND((AT12+AI12)/AV12,2)))</f>
        <v>0</v>
      </c>
      <c r="AX12" s="43">
        <f>IF(B12="","",IF(AND(A12&lt;&gt;"",ISERROR(MATCH(A12,Products!$A$5:$A$304,0))),"Check - no such product ID",IF(AF12=0,"Add - no material cost yet",IF(AG12=0,"Add - how long does it take?",IF(AND(A12&lt;&gt;"",COUNTIFS('Material Usage'!$A$5:$A$904,A12)&gt;0),"Check - this product also has a bill of materials",IF(AND(A12&lt;&gt;"",COUNTIFS(Labor!$A$5:$A$304,A12)&gt;0),"Check - this product also has labour lines",IF(AW12&lt;MinimumWage,"Below - pays under minimum wage","OK")))))) )</f>
        <v>0</v>
      </c>
    </row>
    <row r="13" spans="1:50">
      <c r="Z13" s="36">
        <f>IF(B13="","",IF(I13&lt;&gt;"",I13,ROUND(IF(F13="",0,F13)*IF(G13="",0.85,G13)*IF(H13="",0.9,H13),1)))</f>
        <v>0</v>
      </c>
      <c r="AA13" s="36">
        <f>IF(B13="","",ROUND(Z13*(1+IF(J13="",DefaultWaste,J13)),1))</f>
        <v>0</v>
      </c>
      <c r="AB13" s="20">
        <f>IF(B13="","",ROUND(AA13*IFERROR(INDEX(Materials!$V$5:$V$254,MATCH(D13,Materials!$A$5:$A$254,0)),0),2))</f>
        <v>0</v>
      </c>
      <c r="AC13" s="36">
        <f>IF(B13="","",ROUND(Z13*IF(L13="",0,L13),2))</f>
        <v>0</v>
      </c>
      <c r="AD13" s="20">
        <f>IF(B13="","",ROUND(AC13*IFERROR(INDEX(Materials!$V$5:$V$254,MATCH(K13,Materials!$A$5:$A$254,0)),0),2))</f>
        <v>0</v>
      </c>
      <c r="AE13" s="20">
        <f>IF(B13="","",ROUND(IF(N13="",0,N13)*IF(O13="",0,O13),2))</f>
        <v>0</v>
      </c>
      <c r="AF13" s="20">
        <f>IF(B13="","",ROUND(AB13+AD13+AE13+IF(P13="",0,P13)+IF(Q13="",0,Q13)+IF(R13="",0,R13),2))</f>
        <v>0</v>
      </c>
      <c r="AG13" s="36">
        <f>IF(B13="","",ROUND(IF(U13="",0,U13)+IF(T13="",0,T13)/MAX(1,IF(S13="",DefaultBatchSize,S13)),1))</f>
        <v>0</v>
      </c>
      <c r="AH13" s="20">
        <f>IF(B13="","",IF(W13&lt;&gt;"",W13,LaborCostHour))</f>
        <v>0</v>
      </c>
      <c r="AI13" s="20">
        <f>IF(B13="","",ROUND(AG13/60*AH13,2))</f>
        <v>0</v>
      </c>
      <c r="AJ13" s="20">
        <f>IF(B13="","",ROUND(AG13/60*SuppliesPerHour,2))</f>
        <v>0</v>
      </c>
      <c r="AK13" s="20">
        <f>IF(B13="","",IF(OR(Z13="",Z13=0),"",ROUND(AF13/Z13*100,2)))</f>
        <v>0</v>
      </c>
      <c r="AL13" s="32">
        <f>IF(B13="","",IF(Z13="","",ROUND(Z13/7,0)))</f>
        <v>0</v>
      </c>
      <c r="AM13" s="20">
        <f>IF(B13="","",ROUND(AF13+AI13+AJ13,2))</f>
        <v>0</v>
      </c>
      <c r="AN13" s="33">
        <f>IF(B13="","",IFERROR(INDEX(Channels!$S$5:$S$18,MATCH(DefaultChannel,Channels!$A$5:$A$18,0)),0))</f>
        <v>0</v>
      </c>
      <c r="AO13" s="20">
        <f>IF(B13="","",IFERROR(INDEX(Channels!$T$5:$T$18,MATCH(DefaultChannel,Channels!$A$5:$A$18,0)),0))</f>
        <v>0</v>
      </c>
      <c r="AP13" s="41">
        <f>IF(B13="","",1-TargetRetailMargin-AN13)</f>
        <v>0</v>
      </c>
      <c r="AQ13" s="20">
        <f>IF(B13="","",IF(AP13&lt;=0,"",(AM13+AO13)/AP13))</f>
        <v>0</v>
      </c>
      <c r="AR13" s="20">
        <f>IF(B13="","",IF(AQ13="","Check the settings",ROUND(IF(RoundingRule="None",AQ13,IF(RoundingRule="Nearest 0.99",MAX(0.99,CEILING(AQ13,1)-0.01),IF(RoundingRule="Nearest 0.95",MAX(0.95,CEILING(AQ13,1)-0.05),IF(RoundingRule="Nearest 0.50",CEILING(AQ13,0.5),IF(RoundingRule="Nearest 1",CEILING(AQ13,1),IF(RoundingRule="Nearest 5",CEILING(AQ13,5),IF(RoundingRule="Up to whole 1",CEILING(AQ13,1),IF(RoundingRule="Up to whole 5",CEILING(AQ13,5),ROUND(AQ13,2))))))))),2)))</f>
        <v>0</v>
      </c>
      <c r="AS13" s="20">
        <f>IF(B13="","",IF(X13&lt;&gt;"",X13,IF(ISNUMBER(AR13),AR13,"")))</f>
        <v>0</v>
      </c>
      <c r="AT13" s="20">
        <f>IF(B13="","",IF(AS13="","",ROUND(AS13-AM13-(AS13*AN13+AO13),2)))</f>
        <v>0</v>
      </c>
      <c r="AU13" s="33">
        <f>IF(B13="","",IF(OR(AS13="",AS13=0),"",AT13/AS13))</f>
        <v>0</v>
      </c>
      <c r="AV13" s="41">
        <f>IF(B13="","",ROUND(AG13/60,3))</f>
        <v>0</v>
      </c>
      <c r="AW13" s="20">
        <f>IF(B13="","",IF(OR(AV13=0,AV13="",AT13=""),"",ROUND((AT13+AI13)/AV13,2)))</f>
        <v>0</v>
      </c>
      <c r="AX13" s="43">
        <f>IF(B13="","",IF(AND(A13&lt;&gt;"",ISERROR(MATCH(A13,Products!$A$5:$A$304,0))),"Check - no such product ID",IF(AF13=0,"Add - no material cost yet",IF(AG13=0,"Add - how long does it take?",IF(AND(A13&lt;&gt;"",COUNTIFS('Material Usage'!$A$5:$A$904,A13)&gt;0),"Check - this product also has a bill of materials",IF(AND(A13&lt;&gt;"",COUNTIFS(Labor!$A$5:$A$304,A13)&gt;0),"Check - this product also has labour lines",IF(AW13&lt;MinimumWage,"Below - pays under minimum wage","OK")))))) )</f>
        <v>0</v>
      </c>
    </row>
    <row r="14" spans="1:50">
      <c r="Z14" s="36">
        <f>IF(B14="","",IF(I14&lt;&gt;"",I14,ROUND(IF(F14="",0,F14)*IF(G14="",0.85,G14)*IF(H14="",0.9,H14),1)))</f>
        <v>0</v>
      </c>
      <c r="AA14" s="36">
        <f>IF(B14="","",ROUND(Z14*(1+IF(J14="",DefaultWaste,J14)),1))</f>
        <v>0</v>
      </c>
      <c r="AB14" s="20">
        <f>IF(B14="","",ROUND(AA14*IFERROR(INDEX(Materials!$V$5:$V$254,MATCH(D14,Materials!$A$5:$A$254,0)),0),2))</f>
        <v>0</v>
      </c>
      <c r="AC14" s="36">
        <f>IF(B14="","",ROUND(Z14*IF(L14="",0,L14),2))</f>
        <v>0</v>
      </c>
      <c r="AD14" s="20">
        <f>IF(B14="","",ROUND(AC14*IFERROR(INDEX(Materials!$V$5:$V$254,MATCH(K14,Materials!$A$5:$A$254,0)),0),2))</f>
        <v>0</v>
      </c>
      <c r="AE14" s="20">
        <f>IF(B14="","",ROUND(IF(N14="",0,N14)*IF(O14="",0,O14),2))</f>
        <v>0</v>
      </c>
      <c r="AF14" s="20">
        <f>IF(B14="","",ROUND(AB14+AD14+AE14+IF(P14="",0,P14)+IF(Q14="",0,Q14)+IF(R14="",0,R14),2))</f>
        <v>0</v>
      </c>
      <c r="AG14" s="36">
        <f>IF(B14="","",ROUND(IF(U14="",0,U14)+IF(T14="",0,T14)/MAX(1,IF(S14="",DefaultBatchSize,S14)),1))</f>
        <v>0</v>
      </c>
      <c r="AH14" s="20">
        <f>IF(B14="","",IF(W14&lt;&gt;"",W14,LaborCostHour))</f>
        <v>0</v>
      </c>
      <c r="AI14" s="20">
        <f>IF(B14="","",ROUND(AG14/60*AH14,2))</f>
        <v>0</v>
      </c>
      <c r="AJ14" s="20">
        <f>IF(B14="","",ROUND(AG14/60*SuppliesPerHour,2))</f>
        <v>0</v>
      </c>
      <c r="AK14" s="20">
        <f>IF(B14="","",IF(OR(Z14="",Z14=0),"",ROUND(AF14/Z14*100,2)))</f>
        <v>0</v>
      </c>
      <c r="AL14" s="32">
        <f>IF(B14="","",IF(Z14="","",ROUND(Z14/7,0)))</f>
        <v>0</v>
      </c>
      <c r="AM14" s="20">
        <f>IF(B14="","",ROUND(AF14+AI14+AJ14,2))</f>
        <v>0</v>
      </c>
      <c r="AN14" s="33">
        <f>IF(B14="","",IFERROR(INDEX(Channels!$S$5:$S$18,MATCH(DefaultChannel,Channels!$A$5:$A$18,0)),0))</f>
        <v>0</v>
      </c>
      <c r="AO14" s="20">
        <f>IF(B14="","",IFERROR(INDEX(Channels!$T$5:$T$18,MATCH(DefaultChannel,Channels!$A$5:$A$18,0)),0))</f>
        <v>0</v>
      </c>
      <c r="AP14" s="41">
        <f>IF(B14="","",1-TargetRetailMargin-AN14)</f>
        <v>0</v>
      </c>
      <c r="AQ14" s="20">
        <f>IF(B14="","",IF(AP14&lt;=0,"",(AM14+AO14)/AP14))</f>
        <v>0</v>
      </c>
      <c r="AR14" s="20">
        <f>IF(B14="","",IF(AQ14="","Check the settings",ROUND(IF(RoundingRule="None",AQ14,IF(RoundingRule="Nearest 0.99",MAX(0.99,CEILING(AQ14,1)-0.01),IF(RoundingRule="Nearest 0.95",MAX(0.95,CEILING(AQ14,1)-0.05),IF(RoundingRule="Nearest 0.50",CEILING(AQ14,0.5),IF(RoundingRule="Nearest 1",CEILING(AQ14,1),IF(RoundingRule="Nearest 5",CEILING(AQ14,5),IF(RoundingRule="Up to whole 1",CEILING(AQ14,1),IF(RoundingRule="Up to whole 5",CEILING(AQ14,5),ROUND(AQ14,2))))))))),2)))</f>
        <v>0</v>
      </c>
      <c r="AS14" s="20">
        <f>IF(B14="","",IF(X14&lt;&gt;"",X14,IF(ISNUMBER(AR14),AR14,"")))</f>
        <v>0</v>
      </c>
      <c r="AT14" s="20">
        <f>IF(B14="","",IF(AS14="","",ROUND(AS14-AM14-(AS14*AN14+AO14),2)))</f>
        <v>0</v>
      </c>
      <c r="AU14" s="33">
        <f>IF(B14="","",IF(OR(AS14="",AS14=0),"",AT14/AS14))</f>
        <v>0</v>
      </c>
      <c r="AV14" s="41">
        <f>IF(B14="","",ROUND(AG14/60,3))</f>
        <v>0</v>
      </c>
      <c r="AW14" s="20">
        <f>IF(B14="","",IF(OR(AV14=0,AV14="",AT14=""),"",ROUND((AT14+AI14)/AV14,2)))</f>
        <v>0</v>
      </c>
      <c r="AX14" s="43">
        <f>IF(B14="","",IF(AND(A14&lt;&gt;"",ISERROR(MATCH(A14,Products!$A$5:$A$304,0))),"Check - no such product ID",IF(AF14=0,"Add - no material cost yet",IF(AG14=0,"Add - how long does it take?",IF(AND(A14&lt;&gt;"",COUNTIFS('Material Usage'!$A$5:$A$904,A14)&gt;0),"Check - this product also has a bill of materials",IF(AND(A14&lt;&gt;"",COUNTIFS(Labor!$A$5:$A$304,A14)&gt;0),"Check - this product also has labour lines",IF(AW14&lt;MinimumWage,"Below - pays under minimum wage","OK")))))) )</f>
        <v>0</v>
      </c>
    </row>
    <row r="15" spans="1:50">
      <c r="Z15" s="36">
        <f>IF(B15="","",IF(I15&lt;&gt;"",I15,ROUND(IF(F15="",0,F15)*IF(G15="",0.85,G15)*IF(H15="",0.9,H15),1)))</f>
        <v>0</v>
      </c>
      <c r="AA15" s="36">
        <f>IF(B15="","",ROUND(Z15*(1+IF(J15="",DefaultWaste,J15)),1))</f>
        <v>0</v>
      </c>
      <c r="AB15" s="20">
        <f>IF(B15="","",ROUND(AA15*IFERROR(INDEX(Materials!$V$5:$V$254,MATCH(D15,Materials!$A$5:$A$254,0)),0),2))</f>
        <v>0</v>
      </c>
      <c r="AC15" s="36">
        <f>IF(B15="","",ROUND(Z15*IF(L15="",0,L15),2))</f>
        <v>0</v>
      </c>
      <c r="AD15" s="20">
        <f>IF(B15="","",ROUND(AC15*IFERROR(INDEX(Materials!$V$5:$V$254,MATCH(K15,Materials!$A$5:$A$254,0)),0),2))</f>
        <v>0</v>
      </c>
      <c r="AE15" s="20">
        <f>IF(B15="","",ROUND(IF(N15="",0,N15)*IF(O15="",0,O15),2))</f>
        <v>0</v>
      </c>
      <c r="AF15" s="20">
        <f>IF(B15="","",ROUND(AB15+AD15+AE15+IF(P15="",0,P15)+IF(Q15="",0,Q15)+IF(R15="",0,R15),2))</f>
        <v>0</v>
      </c>
      <c r="AG15" s="36">
        <f>IF(B15="","",ROUND(IF(U15="",0,U15)+IF(T15="",0,T15)/MAX(1,IF(S15="",DefaultBatchSize,S15)),1))</f>
        <v>0</v>
      </c>
      <c r="AH15" s="20">
        <f>IF(B15="","",IF(W15&lt;&gt;"",W15,LaborCostHour))</f>
        <v>0</v>
      </c>
      <c r="AI15" s="20">
        <f>IF(B15="","",ROUND(AG15/60*AH15,2))</f>
        <v>0</v>
      </c>
      <c r="AJ15" s="20">
        <f>IF(B15="","",ROUND(AG15/60*SuppliesPerHour,2))</f>
        <v>0</v>
      </c>
      <c r="AK15" s="20">
        <f>IF(B15="","",IF(OR(Z15="",Z15=0),"",ROUND(AF15/Z15*100,2)))</f>
        <v>0</v>
      </c>
      <c r="AL15" s="32">
        <f>IF(B15="","",IF(Z15="","",ROUND(Z15/7,0)))</f>
        <v>0</v>
      </c>
      <c r="AM15" s="20">
        <f>IF(B15="","",ROUND(AF15+AI15+AJ15,2))</f>
        <v>0</v>
      </c>
      <c r="AN15" s="33">
        <f>IF(B15="","",IFERROR(INDEX(Channels!$S$5:$S$18,MATCH(DefaultChannel,Channels!$A$5:$A$18,0)),0))</f>
        <v>0</v>
      </c>
      <c r="AO15" s="20">
        <f>IF(B15="","",IFERROR(INDEX(Channels!$T$5:$T$18,MATCH(DefaultChannel,Channels!$A$5:$A$18,0)),0))</f>
        <v>0</v>
      </c>
      <c r="AP15" s="41">
        <f>IF(B15="","",1-TargetRetailMargin-AN15)</f>
        <v>0</v>
      </c>
      <c r="AQ15" s="20">
        <f>IF(B15="","",IF(AP15&lt;=0,"",(AM15+AO15)/AP15))</f>
        <v>0</v>
      </c>
      <c r="AR15" s="20">
        <f>IF(B15="","",IF(AQ15="","Check the settings",ROUND(IF(RoundingRule="None",AQ15,IF(RoundingRule="Nearest 0.99",MAX(0.99,CEILING(AQ15,1)-0.01),IF(RoundingRule="Nearest 0.95",MAX(0.95,CEILING(AQ15,1)-0.05),IF(RoundingRule="Nearest 0.50",CEILING(AQ15,0.5),IF(RoundingRule="Nearest 1",CEILING(AQ15,1),IF(RoundingRule="Nearest 5",CEILING(AQ15,5),IF(RoundingRule="Up to whole 1",CEILING(AQ15,1),IF(RoundingRule="Up to whole 5",CEILING(AQ15,5),ROUND(AQ15,2))))))))),2)))</f>
        <v>0</v>
      </c>
      <c r="AS15" s="20">
        <f>IF(B15="","",IF(X15&lt;&gt;"",X15,IF(ISNUMBER(AR15),AR15,"")))</f>
        <v>0</v>
      </c>
      <c r="AT15" s="20">
        <f>IF(B15="","",IF(AS15="","",ROUND(AS15-AM15-(AS15*AN15+AO15),2)))</f>
        <v>0</v>
      </c>
      <c r="AU15" s="33">
        <f>IF(B15="","",IF(OR(AS15="",AS15=0),"",AT15/AS15))</f>
        <v>0</v>
      </c>
      <c r="AV15" s="41">
        <f>IF(B15="","",ROUND(AG15/60,3))</f>
        <v>0</v>
      </c>
      <c r="AW15" s="20">
        <f>IF(B15="","",IF(OR(AV15=0,AV15="",AT15=""),"",ROUND((AT15+AI15)/AV15,2)))</f>
        <v>0</v>
      </c>
      <c r="AX15" s="43">
        <f>IF(B15="","",IF(AND(A15&lt;&gt;"",ISERROR(MATCH(A15,Products!$A$5:$A$304,0))),"Check - no such product ID",IF(AF15=0,"Add - no material cost yet",IF(AG15=0,"Add - how long does it take?",IF(AND(A15&lt;&gt;"",COUNTIFS('Material Usage'!$A$5:$A$904,A15)&gt;0),"Check - this product also has a bill of materials",IF(AND(A15&lt;&gt;"",COUNTIFS(Labor!$A$5:$A$304,A15)&gt;0),"Check - this product also has labour lines",IF(AW15&lt;MinimumWage,"Below - pays under minimum wage","OK")))))) )</f>
        <v>0</v>
      </c>
    </row>
    <row r="16" spans="1:50">
      <c r="Z16" s="36">
        <f>IF(B16="","",IF(I16&lt;&gt;"",I16,ROUND(IF(F16="",0,F16)*IF(G16="",0.85,G16)*IF(H16="",0.9,H16),1)))</f>
        <v>0</v>
      </c>
      <c r="AA16" s="36">
        <f>IF(B16="","",ROUND(Z16*(1+IF(J16="",DefaultWaste,J16)),1))</f>
        <v>0</v>
      </c>
      <c r="AB16" s="20">
        <f>IF(B16="","",ROUND(AA16*IFERROR(INDEX(Materials!$V$5:$V$254,MATCH(D16,Materials!$A$5:$A$254,0)),0),2))</f>
        <v>0</v>
      </c>
      <c r="AC16" s="36">
        <f>IF(B16="","",ROUND(Z16*IF(L16="",0,L16),2))</f>
        <v>0</v>
      </c>
      <c r="AD16" s="20">
        <f>IF(B16="","",ROUND(AC16*IFERROR(INDEX(Materials!$V$5:$V$254,MATCH(K16,Materials!$A$5:$A$254,0)),0),2))</f>
        <v>0</v>
      </c>
      <c r="AE16" s="20">
        <f>IF(B16="","",ROUND(IF(N16="",0,N16)*IF(O16="",0,O16),2))</f>
        <v>0</v>
      </c>
      <c r="AF16" s="20">
        <f>IF(B16="","",ROUND(AB16+AD16+AE16+IF(P16="",0,P16)+IF(Q16="",0,Q16)+IF(R16="",0,R16),2))</f>
        <v>0</v>
      </c>
      <c r="AG16" s="36">
        <f>IF(B16="","",ROUND(IF(U16="",0,U16)+IF(T16="",0,T16)/MAX(1,IF(S16="",DefaultBatchSize,S16)),1))</f>
        <v>0</v>
      </c>
      <c r="AH16" s="20">
        <f>IF(B16="","",IF(W16&lt;&gt;"",W16,LaborCostHour))</f>
        <v>0</v>
      </c>
      <c r="AI16" s="20">
        <f>IF(B16="","",ROUND(AG16/60*AH16,2))</f>
        <v>0</v>
      </c>
      <c r="AJ16" s="20">
        <f>IF(B16="","",ROUND(AG16/60*SuppliesPerHour,2))</f>
        <v>0</v>
      </c>
      <c r="AK16" s="20">
        <f>IF(B16="","",IF(OR(Z16="",Z16=0),"",ROUND(AF16/Z16*100,2)))</f>
        <v>0</v>
      </c>
      <c r="AL16" s="32">
        <f>IF(B16="","",IF(Z16="","",ROUND(Z16/7,0)))</f>
        <v>0</v>
      </c>
      <c r="AM16" s="20">
        <f>IF(B16="","",ROUND(AF16+AI16+AJ16,2))</f>
        <v>0</v>
      </c>
      <c r="AN16" s="33">
        <f>IF(B16="","",IFERROR(INDEX(Channels!$S$5:$S$18,MATCH(DefaultChannel,Channels!$A$5:$A$18,0)),0))</f>
        <v>0</v>
      </c>
      <c r="AO16" s="20">
        <f>IF(B16="","",IFERROR(INDEX(Channels!$T$5:$T$18,MATCH(DefaultChannel,Channels!$A$5:$A$18,0)),0))</f>
        <v>0</v>
      </c>
      <c r="AP16" s="41">
        <f>IF(B16="","",1-TargetRetailMargin-AN16)</f>
        <v>0</v>
      </c>
      <c r="AQ16" s="20">
        <f>IF(B16="","",IF(AP16&lt;=0,"",(AM16+AO16)/AP16))</f>
        <v>0</v>
      </c>
      <c r="AR16" s="20">
        <f>IF(B16="","",IF(AQ16="","Check the settings",ROUND(IF(RoundingRule="None",AQ16,IF(RoundingRule="Nearest 0.99",MAX(0.99,CEILING(AQ16,1)-0.01),IF(RoundingRule="Nearest 0.95",MAX(0.95,CEILING(AQ16,1)-0.05),IF(RoundingRule="Nearest 0.50",CEILING(AQ16,0.5),IF(RoundingRule="Nearest 1",CEILING(AQ16,1),IF(RoundingRule="Nearest 5",CEILING(AQ16,5),IF(RoundingRule="Up to whole 1",CEILING(AQ16,1),IF(RoundingRule="Up to whole 5",CEILING(AQ16,5),ROUND(AQ16,2))))))))),2)))</f>
        <v>0</v>
      </c>
      <c r="AS16" s="20">
        <f>IF(B16="","",IF(X16&lt;&gt;"",X16,IF(ISNUMBER(AR16),AR16,"")))</f>
        <v>0</v>
      </c>
      <c r="AT16" s="20">
        <f>IF(B16="","",IF(AS16="","",ROUND(AS16-AM16-(AS16*AN16+AO16),2)))</f>
        <v>0</v>
      </c>
      <c r="AU16" s="33">
        <f>IF(B16="","",IF(OR(AS16="",AS16=0),"",AT16/AS16))</f>
        <v>0</v>
      </c>
      <c r="AV16" s="41">
        <f>IF(B16="","",ROUND(AG16/60,3))</f>
        <v>0</v>
      </c>
      <c r="AW16" s="20">
        <f>IF(B16="","",IF(OR(AV16=0,AV16="",AT16=""),"",ROUND((AT16+AI16)/AV16,2)))</f>
        <v>0</v>
      </c>
      <c r="AX16" s="43">
        <f>IF(B16="","",IF(AND(A16&lt;&gt;"",ISERROR(MATCH(A16,Products!$A$5:$A$304,0))),"Check - no such product ID",IF(AF16=0,"Add - no material cost yet",IF(AG16=0,"Add - how long does it take?",IF(AND(A16&lt;&gt;"",COUNTIFS('Material Usage'!$A$5:$A$904,A16)&gt;0),"Check - this product also has a bill of materials",IF(AND(A16&lt;&gt;"",COUNTIFS(Labor!$A$5:$A$304,A16)&gt;0),"Check - this product also has labour lines",IF(AW16&lt;MinimumWage,"Below - pays under minimum wage","OK")))))) )</f>
        <v>0</v>
      </c>
    </row>
    <row r="17" spans="26:50">
      <c r="Z17" s="36">
        <f>IF(B17="","",IF(I17&lt;&gt;"",I17,ROUND(IF(F17="",0,F17)*IF(G17="",0.85,G17)*IF(H17="",0.9,H17),1)))</f>
        <v>0</v>
      </c>
      <c r="AA17" s="36">
        <f>IF(B17="","",ROUND(Z17*(1+IF(J17="",DefaultWaste,J17)),1))</f>
        <v>0</v>
      </c>
      <c r="AB17" s="20">
        <f>IF(B17="","",ROUND(AA17*IFERROR(INDEX(Materials!$V$5:$V$254,MATCH(D17,Materials!$A$5:$A$254,0)),0),2))</f>
        <v>0</v>
      </c>
      <c r="AC17" s="36">
        <f>IF(B17="","",ROUND(Z17*IF(L17="",0,L17),2))</f>
        <v>0</v>
      </c>
      <c r="AD17" s="20">
        <f>IF(B17="","",ROUND(AC17*IFERROR(INDEX(Materials!$V$5:$V$254,MATCH(K17,Materials!$A$5:$A$254,0)),0),2))</f>
        <v>0</v>
      </c>
      <c r="AE17" s="20">
        <f>IF(B17="","",ROUND(IF(N17="",0,N17)*IF(O17="",0,O17),2))</f>
        <v>0</v>
      </c>
      <c r="AF17" s="20">
        <f>IF(B17="","",ROUND(AB17+AD17+AE17+IF(P17="",0,P17)+IF(Q17="",0,Q17)+IF(R17="",0,R17),2))</f>
        <v>0</v>
      </c>
      <c r="AG17" s="36">
        <f>IF(B17="","",ROUND(IF(U17="",0,U17)+IF(T17="",0,T17)/MAX(1,IF(S17="",DefaultBatchSize,S17)),1))</f>
        <v>0</v>
      </c>
      <c r="AH17" s="20">
        <f>IF(B17="","",IF(W17&lt;&gt;"",W17,LaborCostHour))</f>
        <v>0</v>
      </c>
      <c r="AI17" s="20">
        <f>IF(B17="","",ROUND(AG17/60*AH17,2))</f>
        <v>0</v>
      </c>
      <c r="AJ17" s="20">
        <f>IF(B17="","",ROUND(AG17/60*SuppliesPerHour,2))</f>
        <v>0</v>
      </c>
      <c r="AK17" s="20">
        <f>IF(B17="","",IF(OR(Z17="",Z17=0),"",ROUND(AF17/Z17*100,2)))</f>
        <v>0</v>
      </c>
      <c r="AL17" s="32">
        <f>IF(B17="","",IF(Z17="","",ROUND(Z17/7,0)))</f>
        <v>0</v>
      </c>
      <c r="AM17" s="20">
        <f>IF(B17="","",ROUND(AF17+AI17+AJ17,2))</f>
        <v>0</v>
      </c>
      <c r="AN17" s="33">
        <f>IF(B17="","",IFERROR(INDEX(Channels!$S$5:$S$18,MATCH(DefaultChannel,Channels!$A$5:$A$18,0)),0))</f>
        <v>0</v>
      </c>
      <c r="AO17" s="20">
        <f>IF(B17="","",IFERROR(INDEX(Channels!$T$5:$T$18,MATCH(DefaultChannel,Channels!$A$5:$A$18,0)),0))</f>
        <v>0</v>
      </c>
      <c r="AP17" s="41">
        <f>IF(B17="","",1-TargetRetailMargin-AN17)</f>
        <v>0</v>
      </c>
      <c r="AQ17" s="20">
        <f>IF(B17="","",IF(AP17&lt;=0,"",(AM17+AO17)/AP17))</f>
        <v>0</v>
      </c>
      <c r="AR17" s="20">
        <f>IF(B17="","",IF(AQ17="","Check the settings",ROUND(IF(RoundingRule="None",AQ17,IF(RoundingRule="Nearest 0.99",MAX(0.99,CEILING(AQ17,1)-0.01),IF(RoundingRule="Nearest 0.95",MAX(0.95,CEILING(AQ17,1)-0.05),IF(RoundingRule="Nearest 0.50",CEILING(AQ17,0.5),IF(RoundingRule="Nearest 1",CEILING(AQ17,1),IF(RoundingRule="Nearest 5",CEILING(AQ17,5),IF(RoundingRule="Up to whole 1",CEILING(AQ17,1),IF(RoundingRule="Up to whole 5",CEILING(AQ17,5),ROUND(AQ17,2))))))))),2)))</f>
        <v>0</v>
      </c>
      <c r="AS17" s="20">
        <f>IF(B17="","",IF(X17&lt;&gt;"",X17,IF(ISNUMBER(AR17),AR17,"")))</f>
        <v>0</v>
      </c>
      <c r="AT17" s="20">
        <f>IF(B17="","",IF(AS17="","",ROUND(AS17-AM17-(AS17*AN17+AO17),2)))</f>
        <v>0</v>
      </c>
      <c r="AU17" s="33">
        <f>IF(B17="","",IF(OR(AS17="",AS17=0),"",AT17/AS17))</f>
        <v>0</v>
      </c>
      <c r="AV17" s="41">
        <f>IF(B17="","",ROUND(AG17/60,3))</f>
        <v>0</v>
      </c>
      <c r="AW17" s="20">
        <f>IF(B17="","",IF(OR(AV17=0,AV17="",AT17=""),"",ROUND((AT17+AI17)/AV17,2)))</f>
        <v>0</v>
      </c>
      <c r="AX17" s="43">
        <f>IF(B17="","",IF(AND(A17&lt;&gt;"",ISERROR(MATCH(A17,Products!$A$5:$A$304,0))),"Check - no such product ID",IF(AF17=0,"Add - no material cost yet",IF(AG17=0,"Add - how long does it take?",IF(AND(A17&lt;&gt;"",COUNTIFS('Material Usage'!$A$5:$A$904,A17)&gt;0),"Check - this product also has a bill of materials",IF(AND(A17&lt;&gt;"",COUNTIFS(Labor!$A$5:$A$304,A17)&gt;0),"Check - this product also has labour lines",IF(AW17&lt;MinimumWage,"Below - pays under minimum wage","OK")))))) )</f>
        <v>0</v>
      </c>
    </row>
    <row r="18" spans="26:50">
      <c r="Z18" s="36">
        <f>IF(B18="","",IF(I18&lt;&gt;"",I18,ROUND(IF(F18="",0,F18)*IF(G18="",0.85,G18)*IF(H18="",0.9,H18),1)))</f>
        <v>0</v>
      </c>
      <c r="AA18" s="36">
        <f>IF(B18="","",ROUND(Z18*(1+IF(J18="",DefaultWaste,J18)),1))</f>
        <v>0</v>
      </c>
      <c r="AB18" s="20">
        <f>IF(B18="","",ROUND(AA18*IFERROR(INDEX(Materials!$V$5:$V$254,MATCH(D18,Materials!$A$5:$A$254,0)),0),2))</f>
        <v>0</v>
      </c>
      <c r="AC18" s="36">
        <f>IF(B18="","",ROUND(Z18*IF(L18="",0,L18),2))</f>
        <v>0</v>
      </c>
      <c r="AD18" s="20">
        <f>IF(B18="","",ROUND(AC18*IFERROR(INDEX(Materials!$V$5:$V$254,MATCH(K18,Materials!$A$5:$A$254,0)),0),2))</f>
        <v>0</v>
      </c>
      <c r="AE18" s="20">
        <f>IF(B18="","",ROUND(IF(N18="",0,N18)*IF(O18="",0,O18),2))</f>
        <v>0</v>
      </c>
      <c r="AF18" s="20">
        <f>IF(B18="","",ROUND(AB18+AD18+AE18+IF(P18="",0,P18)+IF(Q18="",0,Q18)+IF(R18="",0,R18),2))</f>
        <v>0</v>
      </c>
      <c r="AG18" s="36">
        <f>IF(B18="","",ROUND(IF(U18="",0,U18)+IF(T18="",0,T18)/MAX(1,IF(S18="",DefaultBatchSize,S18)),1))</f>
        <v>0</v>
      </c>
      <c r="AH18" s="20">
        <f>IF(B18="","",IF(W18&lt;&gt;"",W18,LaborCostHour))</f>
        <v>0</v>
      </c>
      <c r="AI18" s="20">
        <f>IF(B18="","",ROUND(AG18/60*AH18,2))</f>
        <v>0</v>
      </c>
      <c r="AJ18" s="20">
        <f>IF(B18="","",ROUND(AG18/60*SuppliesPerHour,2))</f>
        <v>0</v>
      </c>
      <c r="AK18" s="20">
        <f>IF(B18="","",IF(OR(Z18="",Z18=0),"",ROUND(AF18/Z18*100,2)))</f>
        <v>0</v>
      </c>
      <c r="AL18" s="32">
        <f>IF(B18="","",IF(Z18="","",ROUND(Z18/7,0)))</f>
        <v>0</v>
      </c>
      <c r="AM18" s="20">
        <f>IF(B18="","",ROUND(AF18+AI18+AJ18,2))</f>
        <v>0</v>
      </c>
      <c r="AN18" s="33">
        <f>IF(B18="","",IFERROR(INDEX(Channels!$S$5:$S$18,MATCH(DefaultChannel,Channels!$A$5:$A$18,0)),0))</f>
        <v>0</v>
      </c>
      <c r="AO18" s="20">
        <f>IF(B18="","",IFERROR(INDEX(Channels!$T$5:$T$18,MATCH(DefaultChannel,Channels!$A$5:$A$18,0)),0))</f>
        <v>0</v>
      </c>
      <c r="AP18" s="41">
        <f>IF(B18="","",1-TargetRetailMargin-AN18)</f>
        <v>0</v>
      </c>
      <c r="AQ18" s="20">
        <f>IF(B18="","",IF(AP18&lt;=0,"",(AM18+AO18)/AP18))</f>
        <v>0</v>
      </c>
      <c r="AR18" s="20">
        <f>IF(B18="","",IF(AQ18="","Check the settings",ROUND(IF(RoundingRule="None",AQ18,IF(RoundingRule="Nearest 0.99",MAX(0.99,CEILING(AQ18,1)-0.01),IF(RoundingRule="Nearest 0.95",MAX(0.95,CEILING(AQ18,1)-0.05),IF(RoundingRule="Nearest 0.50",CEILING(AQ18,0.5),IF(RoundingRule="Nearest 1",CEILING(AQ18,1),IF(RoundingRule="Nearest 5",CEILING(AQ18,5),IF(RoundingRule="Up to whole 1",CEILING(AQ18,1),IF(RoundingRule="Up to whole 5",CEILING(AQ18,5),ROUND(AQ18,2))))))))),2)))</f>
        <v>0</v>
      </c>
      <c r="AS18" s="20">
        <f>IF(B18="","",IF(X18&lt;&gt;"",X18,IF(ISNUMBER(AR18),AR18,"")))</f>
        <v>0</v>
      </c>
      <c r="AT18" s="20">
        <f>IF(B18="","",IF(AS18="","",ROUND(AS18-AM18-(AS18*AN18+AO18),2)))</f>
        <v>0</v>
      </c>
      <c r="AU18" s="33">
        <f>IF(B18="","",IF(OR(AS18="",AS18=0),"",AT18/AS18))</f>
        <v>0</v>
      </c>
      <c r="AV18" s="41">
        <f>IF(B18="","",ROUND(AG18/60,3))</f>
        <v>0</v>
      </c>
      <c r="AW18" s="20">
        <f>IF(B18="","",IF(OR(AV18=0,AV18="",AT18=""),"",ROUND((AT18+AI18)/AV18,2)))</f>
        <v>0</v>
      </c>
      <c r="AX18" s="43">
        <f>IF(B18="","",IF(AND(A18&lt;&gt;"",ISERROR(MATCH(A18,Products!$A$5:$A$304,0))),"Check - no such product ID",IF(AF18=0,"Add - no material cost yet",IF(AG18=0,"Add - how long does it take?",IF(AND(A18&lt;&gt;"",COUNTIFS('Material Usage'!$A$5:$A$904,A18)&gt;0),"Check - this product also has a bill of materials",IF(AND(A18&lt;&gt;"",COUNTIFS(Labor!$A$5:$A$304,A18)&gt;0),"Check - this product also has labour lines",IF(AW18&lt;MinimumWage,"Below - pays under minimum wage","OK")))))) )</f>
        <v>0</v>
      </c>
    </row>
    <row r="19" spans="26:50">
      <c r="Z19" s="36">
        <f>IF(B19="","",IF(I19&lt;&gt;"",I19,ROUND(IF(F19="",0,F19)*IF(G19="",0.85,G19)*IF(H19="",0.9,H19),1)))</f>
        <v>0</v>
      </c>
      <c r="AA19" s="36">
        <f>IF(B19="","",ROUND(Z19*(1+IF(J19="",DefaultWaste,J19)),1))</f>
        <v>0</v>
      </c>
      <c r="AB19" s="20">
        <f>IF(B19="","",ROUND(AA19*IFERROR(INDEX(Materials!$V$5:$V$254,MATCH(D19,Materials!$A$5:$A$254,0)),0),2))</f>
        <v>0</v>
      </c>
      <c r="AC19" s="36">
        <f>IF(B19="","",ROUND(Z19*IF(L19="",0,L19),2))</f>
        <v>0</v>
      </c>
      <c r="AD19" s="20">
        <f>IF(B19="","",ROUND(AC19*IFERROR(INDEX(Materials!$V$5:$V$254,MATCH(K19,Materials!$A$5:$A$254,0)),0),2))</f>
        <v>0</v>
      </c>
      <c r="AE19" s="20">
        <f>IF(B19="","",ROUND(IF(N19="",0,N19)*IF(O19="",0,O19),2))</f>
        <v>0</v>
      </c>
      <c r="AF19" s="20">
        <f>IF(B19="","",ROUND(AB19+AD19+AE19+IF(P19="",0,P19)+IF(Q19="",0,Q19)+IF(R19="",0,R19),2))</f>
        <v>0</v>
      </c>
      <c r="AG19" s="36">
        <f>IF(B19="","",ROUND(IF(U19="",0,U19)+IF(T19="",0,T19)/MAX(1,IF(S19="",DefaultBatchSize,S19)),1))</f>
        <v>0</v>
      </c>
      <c r="AH19" s="20">
        <f>IF(B19="","",IF(W19&lt;&gt;"",W19,LaborCostHour))</f>
        <v>0</v>
      </c>
      <c r="AI19" s="20">
        <f>IF(B19="","",ROUND(AG19/60*AH19,2))</f>
        <v>0</v>
      </c>
      <c r="AJ19" s="20">
        <f>IF(B19="","",ROUND(AG19/60*SuppliesPerHour,2))</f>
        <v>0</v>
      </c>
      <c r="AK19" s="20">
        <f>IF(B19="","",IF(OR(Z19="",Z19=0),"",ROUND(AF19/Z19*100,2)))</f>
        <v>0</v>
      </c>
      <c r="AL19" s="32">
        <f>IF(B19="","",IF(Z19="","",ROUND(Z19/7,0)))</f>
        <v>0</v>
      </c>
      <c r="AM19" s="20">
        <f>IF(B19="","",ROUND(AF19+AI19+AJ19,2))</f>
        <v>0</v>
      </c>
      <c r="AN19" s="33">
        <f>IF(B19="","",IFERROR(INDEX(Channels!$S$5:$S$18,MATCH(DefaultChannel,Channels!$A$5:$A$18,0)),0))</f>
        <v>0</v>
      </c>
      <c r="AO19" s="20">
        <f>IF(B19="","",IFERROR(INDEX(Channels!$T$5:$T$18,MATCH(DefaultChannel,Channels!$A$5:$A$18,0)),0))</f>
        <v>0</v>
      </c>
      <c r="AP19" s="41">
        <f>IF(B19="","",1-TargetRetailMargin-AN19)</f>
        <v>0</v>
      </c>
      <c r="AQ19" s="20">
        <f>IF(B19="","",IF(AP19&lt;=0,"",(AM19+AO19)/AP19))</f>
        <v>0</v>
      </c>
      <c r="AR19" s="20">
        <f>IF(B19="","",IF(AQ19="","Check the settings",ROUND(IF(RoundingRule="None",AQ19,IF(RoundingRule="Nearest 0.99",MAX(0.99,CEILING(AQ19,1)-0.01),IF(RoundingRule="Nearest 0.95",MAX(0.95,CEILING(AQ19,1)-0.05),IF(RoundingRule="Nearest 0.50",CEILING(AQ19,0.5),IF(RoundingRule="Nearest 1",CEILING(AQ19,1),IF(RoundingRule="Nearest 5",CEILING(AQ19,5),IF(RoundingRule="Up to whole 1",CEILING(AQ19,1),IF(RoundingRule="Up to whole 5",CEILING(AQ19,5),ROUND(AQ19,2))))))))),2)))</f>
        <v>0</v>
      </c>
      <c r="AS19" s="20">
        <f>IF(B19="","",IF(X19&lt;&gt;"",X19,IF(ISNUMBER(AR19),AR19,"")))</f>
        <v>0</v>
      </c>
      <c r="AT19" s="20">
        <f>IF(B19="","",IF(AS19="","",ROUND(AS19-AM19-(AS19*AN19+AO19),2)))</f>
        <v>0</v>
      </c>
      <c r="AU19" s="33">
        <f>IF(B19="","",IF(OR(AS19="",AS19=0),"",AT19/AS19))</f>
        <v>0</v>
      </c>
      <c r="AV19" s="41">
        <f>IF(B19="","",ROUND(AG19/60,3))</f>
        <v>0</v>
      </c>
      <c r="AW19" s="20">
        <f>IF(B19="","",IF(OR(AV19=0,AV19="",AT19=""),"",ROUND((AT19+AI19)/AV19,2)))</f>
        <v>0</v>
      </c>
      <c r="AX19" s="43">
        <f>IF(B19="","",IF(AND(A19&lt;&gt;"",ISERROR(MATCH(A19,Products!$A$5:$A$304,0))),"Check - no such product ID",IF(AF19=0,"Add - no material cost yet",IF(AG19=0,"Add - how long does it take?",IF(AND(A19&lt;&gt;"",COUNTIFS('Material Usage'!$A$5:$A$904,A19)&gt;0),"Check - this product also has a bill of materials",IF(AND(A19&lt;&gt;"",COUNTIFS(Labor!$A$5:$A$304,A19)&gt;0),"Check - this product also has labour lines",IF(AW19&lt;MinimumWage,"Below - pays under minimum wage","OK")))))) )</f>
        <v>0</v>
      </c>
    </row>
    <row r="20" spans="26:50">
      <c r="Z20" s="36">
        <f>IF(B20="","",IF(I20&lt;&gt;"",I20,ROUND(IF(F20="",0,F20)*IF(G20="",0.85,G20)*IF(H20="",0.9,H20),1)))</f>
        <v>0</v>
      </c>
      <c r="AA20" s="36">
        <f>IF(B20="","",ROUND(Z20*(1+IF(J20="",DefaultWaste,J20)),1))</f>
        <v>0</v>
      </c>
      <c r="AB20" s="20">
        <f>IF(B20="","",ROUND(AA20*IFERROR(INDEX(Materials!$V$5:$V$254,MATCH(D20,Materials!$A$5:$A$254,0)),0),2))</f>
        <v>0</v>
      </c>
      <c r="AC20" s="36">
        <f>IF(B20="","",ROUND(Z20*IF(L20="",0,L20),2))</f>
        <v>0</v>
      </c>
      <c r="AD20" s="20">
        <f>IF(B20="","",ROUND(AC20*IFERROR(INDEX(Materials!$V$5:$V$254,MATCH(K20,Materials!$A$5:$A$254,0)),0),2))</f>
        <v>0</v>
      </c>
      <c r="AE20" s="20">
        <f>IF(B20="","",ROUND(IF(N20="",0,N20)*IF(O20="",0,O20),2))</f>
        <v>0</v>
      </c>
      <c r="AF20" s="20">
        <f>IF(B20="","",ROUND(AB20+AD20+AE20+IF(P20="",0,P20)+IF(Q20="",0,Q20)+IF(R20="",0,R20),2))</f>
        <v>0</v>
      </c>
      <c r="AG20" s="36">
        <f>IF(B20="","",ROUND(IF(U20="",0,U20)+IF(T20="",0,T20)/MAX(1,IF(S20="",DefaultBatchSize,S20)),1))</f>
        <v>0</v>
      </c>
      <c r="AH20" s="20">
        <f>IF(B20="","",IF(W20&lt;&gt;"",W20,LaborCostHour))</f>
        <v>0</v>
      </c>
      <c r="AI20" s="20">
        <f>IF(B20="","",ROUND(AG20/60*AH20,2))</f>
        <v>0</v>
      </c>
      <c r="AJ20" s="20">
        <f>IF(B20="","",ROUND(AG20/60*SuppliesPerHour,2))</f>
        <v>0</v>
      </c>
      <c r="AK20" s="20">
        <f>IF(B20="","",IF(OR(Z20="",Z20=0),"",ROUND(AF20/Z20*100,2)))</f>
        <v>0</v>
      </c>
      <c r="AL20" s="32">
        <f>IF(B20="","",IF(Z20="","",ROUND(Z20/7,0)))</f>
        <v>0</v>
      </c>
      <c r="AM20" s="20">
        <f>IF(B20="","",ROUND(AF20+AI20+AJ20,2))</f>
        <v>0</v>
      </c>
      <c r="AN20" s="33">
        <f>IF(B20="","",IFERROR(INDEX(Channels!$S$5:$S$18,MATCH(DefaultChannel,Channels!$A$5:$A$18,0)),0))</f>
        <v>0</v>
      </c>
      <c r="AO20" s="20">
        <f>IF(B20="","",IFERROR(INDEX(Channels!$T$5:$T$18,MATCH(DefaultChannel,Channels!$A$5:$A$18,0)),0))</f>
        <v>0</v>
      </c>
      <c r="AP20" s="41">
        <f>IF(B20="","",1-TargetRetailMargin-AN20)</f>
        <v>0</v>
      </c>
      <c r="AQ20" s="20">
        <f>IF(B20="","",IF(AP20&lt;=0,"",(AM20+AO20)/AP20))</f>
        <v>0</v>
      </c>
      <c r="AR20" s="20">
        <f>IF(B20="","",IF(AQ20="","Check the settings",ROUND(IF(RoundingRule="None",AQ20,IF(RoundingRule="Nearest 0.99",MAX(0.99,CEILING(AQ20,1)-0.01),IF(RoundingRule="Nearest 0.95",MAX(0.95,CEILING(AQ20,1)-0.05),IF(RoundingRule="Nearest 0.50",CEILING(AQ20,0.5),IF(RoundingRule="Nearest 1",CEILING(AQ20,1),IF(RoundingRule="Nearest 5",CEILING(AQ20,5),IF(RoundingRule="Up to whole 1",CEILING(AQ20,1),IF(RoundingRule="Up to whole 5",CEILING(AQ20,5),ROUND(AQ20,2))))))))),2)))</f>
        <v>0</v>
      </c>
      <c r="AS20" s="20">
        <f>IF(B20="","",IF(X20&lt;&gt;"",X20,IF(ISNUMBER(AR20),AR20,"")))</f>
        <v>0</v>
      </c>
      <c r="AT20" s="20">
        <f>IF(B20="","",IF(AS20="","",ROUND(AS20-AM20-(AS20*AN20+AO20),2)))</f>
        <v>0</v>
      </c>
      <c r="AU20" s="33">
        <f>IF(B20="","",IF(OR(AS20="",AS20=0),"",AT20/AS20))</f>
        <v>0</v>
      </c>
      <c r="AV20" s="41">
        <f>IF(B20="","",ROUND(AG20/60,3))</f>
        <v>0</v>
      </c>
      <c r="AW20" s="20">
        <f>IF(B20="","",IF(OR(AV20=0,AV20="",AT20=""),"",ROUND((AT20+AI20)/AV20,2)))</f>
        <v>0</v>
      </c>
      <c r="AX20" s="43">
        <f>IF(B20="","",IF(AND(A20&lt;&gt;"",ISERROR(MATCH(A20,Products!$A$5:$A$304,0))),"Check - no such product ID",IF(AF20=0,"Add - no material cost yet",IF(AG20=0,"Add - how long does it take?",IF(AND(A20&lt;&gt;"",COUNTIFS('Material Usage'!$A$5:$A$904,A20)&gt;0),"Check - this product also has a bill of materials",IF(AND(A20&lt;&gt;"",COUNTIFS(Labor!$A$5:$A$304,A20)&gt;0),"Check - this product also has labour lines",IF(AW20&lt;MinimumWage,"Below - pays under minimum wage","OK")))))) )</f>
        <v>0</v>
      </c>
    </row>
    <row r="21" spans="26:50">
      <c r="Z21" s="36">
        <f>IF(B21="","",IF(I21&lt;&gt;"",I21,ROUND(IF(F21="",0,F21)*IF(G21="",0.85,G21)*IF(H21="",0.9,H21),1)))</f>
        <v>0</v>
      </c>
      <c r="AA21" s="36">
        <f>IF(B21="","",ROUND(Z21*(1+IF(J21="",DefaultWaste,J21)),1))</f>
        <v>0</v>
      </c>
      <c r="AB21" s="20">
        <f>IF(B21="","",ROUND(AA21*IFERROR(INDEX(Materials!$V$5:$V$254,MATCH(D21,Materials!$A$5:$A$254,0)),0),2))</f>
        <v>0</v>
      </c>
      <c r="AC21" s="36">
        <f>IF(B21="","",ROUND(Z21*IF(L21="",0,L21),2))</f>
        <v>0</v>
      </c>
      <c r="AD21" s="20">
        <f>IF(B21="","",ROUND(AC21*IFERROR(INDEX(Materials!$V$5:$V$254,MATCH(K21,Materials!$A$5:$A$254,0)),0),2))</f>
        <v>0</v>
      </c>
      <c r="AE21" s="20">
        <f>IF(B21="","",ROUND(IF(N21="",0,N21)*IF(O21="",0,O21),2))</f>
        <v>0</v>
      </c>
      <c r="AF21" s="20">
        <f>IF(B21="","",ROUND(AB21+AD21+AE21+IF(P21="",0,P21)+IF(Q21="",0,Q21)+IF(R21="",0,R21),2))</f>
        <v>0</v>
      </c>
      <c r="AG21" s="36">
        <f>IF(B21="","",ROUND(IF(U21="",0,U21)+IF(T21="",0,T21)/MAX(1,IF(S21="",DefaultBatchSize,S21)),1))</f>
        <v>0</v>
      </c>
      <c r="AH21" s="20">
        <f>IF(B21="","",IF(W21&lt;&gt;"",W21,LaborCostHour))</f>
        <v>0</v>
      </c>
      <c r="AI21" s="20">
        <f>IF(B21="","",ROUND(AG21/60*AH21,2))</f>
        <v>0</v>
      </c>
      <c r="AJ21" s="20">
        <f>IF(B21="","",ROUND(AG21/60*SuppliesPerHour,2))</f>
        <v>0</v>
      </c>
      <c r="AK21" s="20">
        <f>IF(B21="","",IF(OR(Z21="",Z21=0),"",ROUND(AF21/Z21*100,2)))</f>
        <v>0</v>
      </c>
      <c r="AL21" s="32">
        <f>IF(B21="","",IF(Z21="","",ROUND(Z21/7,0)))</f>
        <v>0</v>
      </c>
      <c r="AM21" s="20">
        <f>IF(B21="","",ROUND(AF21+AI21+AJ21,2))</f>
        <v>0</v>
      </c>
      <c r="AN21" s="33">
        <f>IF(B21="","",IFERROR(INDEX(Channels!$S$5:$S$18,MATCH(DefaultChannel,Channels!$A$5:$A$18,0)),0))</f>
        <v>0</v>
      </c>
      <c r="AO21" s="20">
        <f>IF(B21="","",IFERROR(INDEX(Channels!$T$5:$T$18,MATCH(DefaultChannel,Channels!$A$5:$A$18,0)),0))</f>
        <v>0</v>
      </c>
      <c r="AP21" s="41">
        <f>IF(B21="","",1-TargetRetailMargin-AN21)</f>
        <v>0</v>
      </c>
      <c r="AQ21" s="20">
        <f>IF(B21="","",IF(AP21&lt;=0,"",(AM21+AO21)/AP21))</f>
        <v>0</v>
      </c>
      <c r="AR21" s="20">
        <f>IF(B21="","",IF(AQ21="","Check the settings",ROUND(IF(RoundingRule="None",AQ21,IF(RoundingRule="Nearest 0.99",MAX(0.99,CEILING(AQ21,1)-0.01),IF(RoundingRule="Nearest 0.95",MAX(0.95,CEILING(AQ21,1)-0.05),IF(RoundingRule="Nearest 0.50",CEILING(AQ21,0.5),IF(RoundingRule="Nearest 1",CEILING(AQ21,1),IF(RoundingRule="Nearest 5",CEILING(AQ21,5),IF(RoundingRule="Up to whole 1",CEILING(AQ21,1),IF(RoundingRule="Up to whole 5",CEILING(AQ21,5),ROUND(AQ21,2))))))))),2)))</f>
        <v>0</v>
      </c>
      <c r="AS21" s="20">
        <f>IF(B21="","",IF(X21&lt;&gt;"",X21,IF(ISNUMBER(AR21),AR21,"")))</f>
        <v>0</v>
      </c>
      <c r="AT21" s="20">
        <f>IF(B21="","",IF(AS21="","",ROUND(AS21-AM21-(AS21*AN21+AO21),2)))</f>
        <v>0</v>
      </c>
      <c r="AU21" s="33">
        <f>IF(B21="","",IF(OR(AS21="",AS21=0),"",AT21/AS21))</f>
        <v>0</v>
      </c>
      <c r="AV21" s="41">
        <f>IF(B21="","",ROUND(AG21/60,3))</f>
        <v>0</v>
      </c>
      <c r="AW21" s="20">
        <f>IF(B21="","",IF(OR(AV21=0,AV21="",AT21=""),"",ROUND((AT21+AI21)/AV21,2)))</f>
        <v>0</v>
      </c>
      <c r="AX21" s="43">
        <f>IF(B21="","",IF(AND(A21&lt;&gt;"",ISERROR(MATCH(A21,Products!$A$5:$A$304,0))),"Check - no such product ID",IF(AF21=0,"Add - no material cost yet",IF(AG21=0,"Add - how long does it take?",IF(AND(A21&lt;&gt;"",COUNTIFS('Material Usage'!$A$5:$A$904,A21)&gt;0),"Check - this product also has a bill of materials",IF(AND(A21&lt;&gt;"",COUNTIFS(Labor!$A$5:$A$304,A21)&gt;0),"Check - this product also has labour lines",IF(AW21&lt;MinimumWage,"Below - pays under minimum wage","OK")))))) )</f>
        <v>0</v>
      </c>
    </row>
    <row r="22" spans="26:50">
      <c r="Z22" s="36">
        <f>IF(B22="","",IF(I22&lt;&gt;"",I22,ROUND(IF(F22="",0,F22)*IF(G22="",0.85,G22)*IF(H22="",0.9,H22),1)))</f>
        <v>0</v>
      </c>
      <c r="AA22" s="36">
        <f>IF(B22="","",ROUND(Z22*(1+IF(J22="",DefaultWaste,J22)),1))</f>
        <v>0</v>
      </c>
      <c r="AB22" s="20">
        <f>IF(B22="","",ROUND(AA22*IFERROR(INDEX(Materials!$V$5:$V$254,MATCH(D22,Materials!$A$5:$A$254,0)),0),2))</f>
        <v>0</v>
      </c>
      <c r="AC22" s="36">
        <f>IF(B22="","",ROUND(Z22*IF(L22="",0,L22),2))</f>
        <v>0</v>
      </c>
      <c r="AD22" s="20">
        <f>IF(B22="","",ROUND(AC22*IFERROR(INDEX(Materials!$V$5:$V$254,MATCH(K22,Materials!$A$5:$A$254,0)),0),2))</f>
        <v>0</v>
      </c>
      <c r="AE22" s="20">
        <f>IF(B22="","",ROUND(IF(N22="",0,N22)*IF(O22="",0,O22),2))</f>
        <v>0</v>
      </c>
      <c r="AF22" s="20">
        <f>IF(B22="","",ROUND(AB22+AD22+AE22+IF(P22="",0,P22)+IF(Q22="",0,Q22)+IF(R22="",0,R22),2))</f>
        <v>0</v>
      </c>
      <c r="AG22" s="36">
        <f>IF(B22="","",ROUND(IF(U22="",0,U22)+IF(T22="",0,T22)/MAX(1,IF(S22="",DefaultBatchSize,S22)),1))</f>
        <v>0</v>
      </c>
      <c r="AH22" s="20">
        <f>IF(B22="","",IF(W22&lt;&gt;"",W22,LaborCostHour))</f>
        <v>0</v>
      </c>
      <c r="AI22" s="20">
        <f>IF(B22="","",ROUND(AG22/60*AH22,2))</f>
        <v>0</v>
      </c>
      <c r="AJ22" s="20">
        <f>IF(B22="","",ROUND(AG22/60*SuppliesPerHour,2))</f>
        <v>0</v>
      </c>
      <c r="AK22" s="20">
        <f>IF(B22="","",IF(OR(Z22="",Z22=0),"",ROUND(AF22/Z22*100,2)))</f>
        <v>0</v>
      </c>
      <c r="AL22" s="32">
        <f>IF(B22="","",IF(Z22="","",ROUND(Z22/7,0)))</f>
        <v>0</v>
      </c>
      <c r="AM22" s="20">
        <f>IF(B22="","",ROUND(AF22+AI22+AJ22,2))</f>
        <v>0</v>
      </c>
      <c r="AN22" s="33">
        <f>IF(B22="","",IFERROR(INDEX(Channels!$S$5:$S$18,MATCH(DefaultChannel,Channels!$A$5:$A$18,0)),0))</f>
        <v>0</v>
      </c>
      <c r="AO22" s="20">
        <f>IF(B22="","",IFERROR(INDEX(Channels!$T$5:$T$18,MATCH(DefaultChannel,Channels!$A$5:$A$18,0)),0))</f>
        <v>0</v>
      </c>
      <c r="AP22" s="41">
        <f>IF(B22="","",1-TargetRetailMargin-AN22)</f>
        <v>0</v>
      </c>
      <c r="AQ22" s="20">
        <f>IF(B22="","",IF(AP22&lt;=0,"",(AM22+AO22)/AP22))</f>
        <v>0</v>
      </c>
      <c r="AR22" s="20">
        <f>IF(B22="","",IF(AQ22="","Check the settings",ROUND(IF(RoundingRule="None",AQ22,IF(RoundingRule="Nearest 0.99",MAX(0.99,CEILING(AQ22,1)-0.01),IF(RoundingRule="Nearest 0.95",MAX(0.95,CEILING(AQ22,1)-0.05),IF(RoundingRule="Nearest 0.50",CEILING(AQ22,0.5),IF(RoundingRule="Nearest 1",CEILING(AQ22,1),IF(RoundingRule="Nearest 5",CEILING(AQ22,5),IF(RoundingRule="Up to whole 1",CEILING(AQ22,1),IF(RoundingRule="Up to whole 5",CEILING(AQ22,5),ROUND(AQ22,2))))))))),2)))</f>
        <v>0</v>
      </c>
      <c r="AS22" s="20">
        <f>IF(B22="","",IF(X22&lt;&gt;"",X22,IF(ISNUMBER(AR22),AR22,"")))</f>
        <v>0</v>
      </c>
      <c r="AT22" s="20">
        <f>IF(B22="","",IF(AS22="","",ROUND(AS22-AM22-(AS22*AN22+AO22),2)))</f>
        <v>0</v>
      </c>
      <c r="AU22" s="33">
        <f>IF(B22="","",IF(OR(AS22="",AS22=0),"",AT22/AS22))</f>
        <v>0</v>
      </c>
      <c r="AV22" s="41">
        <f>IF(B22="","",ROUND(AG22/60,3))</f>
        <v>0</v>
      </c>
      <c r="AW22" s="20">
        <f>IF(B22="","",IF(OR(AV22=0,AV22="",AT22=""),"",ROUND((AT22+AI22)/AV22,2)))</f>
        <v>0</v>
      </c>
      <c r="AX22" s="43">
        <f>IF(B22="","",IF(AND(A22&lt;&gt;"",ISERROR(MATCH(A22,Products!$A$5:$A$304,0))),"Check - no such product ID",IF(AF22=0,"Add - no material cost yet",IF(AG22=0,"Add - how long does it take?",IF(AND(A22&lt;&gt;"",COUNTIFS('Material Usage'!$A$5:$A$904,A22)&gt;0),"Check - this product also has a bill of materials",IF(AND(A22&lt;&gt;"",COUNTIFS(Labor!$A$5:$A$304,A22)&gt;0),"Check - this product also has labour lines",IF(AW22&lt;MinimumWage,"Below - pays under minimum wage","OK")))))) )</f>
        <v>0</v>
      </c>
    </row>
    <row r="23" spans="26:50">
      <c r="Z23" s="36">
        <f>IF(B23="","",IF(I23&lt;&gt;"",I23,ROUND(IF(F23="",0,F23)*IF(G23="",0.85,G23)*IF(H23="",0.9,H23),1)))</f>
        <v>0</v>
      </c>
      <c r="AA23" s="36">
        <f>IF(B23="","",ROUND(Z23*(1+IF(J23="",DefaultWaste,J23)),1))</f>
        <v>0</v>
      </c>
      <c r="AB23" s="20">
        <f>IF(B23="","",ROUND(AA23*IFERROR(INDEX(Materials!$V$5:$V$254,MATCH(D23,Materials!$A$5:$A$254,0)),0),2))</f>
        <v>0</v>
      </c>
      <c r="AC23" s="36">
        <f>IF(B23="","",ROUND(Z23*IF(L23="",0,L23),2))</f>
        <v>0</v>
      </c>
      <c r="AD23" s="20">
        <f>IF(B23="","",ROUND(AC23*IFERROR(INDEX(Materials!$V$5:$V$254,MATCH(K23,Materials!$A$5:$A$254,0)),0),2))</f>
        <v>0</v>
      </c>
      <c r="AE23" s="20">
        <f>IF(B23="","",ROUND(IF(N23="",0,N23)*IF(O23="",0,O23),2))</f>
        <v>0</v>
      </c>
      <c r="AF23" s="20">
        <f>IF(B23="","",ROUND(AB23+AD23+AE23+IF(P23="",0,P23)+IF(Q23="",0,Q23)+IF(R23="",0,R23),2))</f>
        <v>0</v>
      </c>
      <c r="AG23" s="36">
        <f>IF(B23="","",ROUND(IF(U23="",0,U23)+IF(T23="",0,T23)/MAX(1,IF(S23="",DefaultBatchSize,S23)),1))</f>
        <v>0</v>
      </c>
      <c r="AH23" s="20">
        <f>IF(B23="","",IF(W23&lt;&gt;"",W23,LaborCostHour))</f>
        <v>0</v>
      </c>
      <c r="AI23" s="20">
        <f>IF(B23="","",ROUND(AG23/60*AH23,2))</f>
        <v>0</v>
      </c>
      <c r="AJ23" s="20">
        <f>IF(B23="","",ROUND(AG23/60*SuppliesPerHour,2))</f>
        <v>0</v>
      </c>
      <c r="AK23" s="20">
        <f>IF(B23="","",IF(OR(Z23="",Z23=0),"",ROUND(AF23/Z23*100,2)))</f>
        <v>0</v>
      </c>
      <c r="AL23" s="32">
        <f>IF(B23="","",IF(Z23="","",ROUND(Z23/7,0)))</f>
        <v>0</v>
      </c>
      <c r="AM23" s="20">
        <f>IF(B23="","",ROUND(AF23+AI23+AJ23,2))</f>
        <v>0</v>
      </c>
      <c r="AN23" s="33">
        <f>IF(B23="","",IFERROR(INDEX(Channels!$S$5:$S$18,MATCH(DefaultChannel,Channels!$A$5:$A$18,0)),0))</f>
        <v>0</v>
      </c>
      <c r="AO23" s="20">
        <f>IF(B23="","",IFERROR(INDEX(Channels!$T$5:$T$18,MATCH(DefaultChannel,Channels!$A$5:$A$18,0)),0))</f>
        <v>0</v>
      </c>
      <c r="AP23" s="41">
        <f>IF(B23="","",1-TargetRetailMargin-AN23)</f>
        <v>0</v>
      </c>
      <c r="AQ23" s="20">
        <f>IF(B23="","",IF(AP23&lt;=0,"",(AM23+AO23)/AP23))</f>
        <v>0</v>
      </c>
      <c r="AR23" s="20">
        <f>IF(B23="","",IF(AQ23="","Check the settings",ROUND(IF(RoundingRule="None",AQ23,IF(RoundingRule="Nearest 0.99",MAX(0.99,CEILING(AQ23,1)-0.01),IF(RoundingRule="Nearest 0.95",MAX(0.95,CEILING(AQ23,1)-0.05),IF(RoundingRule="Nearest 0.50",CEILING(AQ23,0.5),IF(RoundingRule="Nearest 1",CEILING(AQ23,1),IF(RoundingRule="Nearest 5",CEILING(AQ23,5),IF(RoundingRule="Up to whole 1",CEILING(AQ23,1),IF(RoundingRule="Up to whole 5",CEILING(AQ23,5),ROUND(AQ23,2))))))))),2)))</f>
        <v>0</v>
      </c>
      <c r="AS23" s="20">
        <f>IF(B23="","",IF(X23&lt;&gt;"",X23,IF(ISNUMBER(AR23),AR23,"")))</f>
        <v>0</v>
      </c>
      <c r="AT23" s="20">
        <f>IF(B23="","",IF(AS23="","",ROUND(AS23-AM23-(AS23*AN23+AO23),2)))</f>
        <v>0</v>
      </c>
      <c r="AU23" s="33">
        <f>IF(B23="","",IF(OR(AS23="",AS23=0),"",AT23/AS23))</f>
        <v>0</v>
      </c>
      <c r="AV23" s="41">
        <f>IF(B23="","",ROUND(AG23/60,3))</f>
        <v>0</v>
      </c>
      <c r="AW23" s="20">
        <f>IF(B23="","",IF(OR(AV23=0,AV23="",AT23=""),"",ROUND((AT23+AI23)/AV23,2)))</f>
        <v>0</v>
      </c>
      <c r="AX23" s="43">
        <f>IF(B23="","",IF(AND(A23&lt;&gt;"",ISERROR(MATCH(A23,Products!$A$5:$A$304,0))),"Check - no such product ID",IF(AF23=0,"Add - no material cost yet",IF(AG23=0,"Add - how long does it take?",IF(AND(A23&lt;&gt;"",COUNTIFS('Material Usage'!$A$5:$A$904,A23)&gt;0),"Check - this product also has a bill of materials",IF(AND(A23&lt;&gt;"",COUNTIFS(Labor!$A$5:$A$304,A23)&gt;0),"Check - this product also has labour lines",IF(AW23&lt;MinimumWage,"Below - pays under minimum wage","OK")))))) )</f>
        <v>0</v>
      </c>
    </row>
    <row r="24" spans="26:50">
      <c r="Z24" s="36">
        <f>IF(B24="","",IF(I24&lt;&gt;"",I24,ROUND(IF(F24="",0,F24)*IF(G24="",0.85,G24)*IF(H24="",0.9,H24),1)))</f>
        <v>0</v>
      </c>
      <c r="AA24" s="36">
        <f>IF(B24="","",ROUND(Z24*(1+IF(J24="",DefaultWaste,J24)),1))</f>
        <v>0</v>
      </c>
      <c r="AB24" s="20">
        <f>IF(B24="","",ROUND(AA24*IFERROR(INDEX(Materials!$V$5:$V$254,MATCH(D24,Materials!$A$5:$A$254,0)),0),2))</f>
        <v>0</v>
      </c>
      <c r="AC24" s="36">
        <f>IF(B24="","",ROUND(Z24*IF(L24="",0,L24),2))</f>
        <v>0</v>
      </c>
      <c r="AD24" s="20">
        <f>IF(B24="","",ROUND(AC24*IFERROR(INDEX(Materials!$V$5:$V$254,MATCH(K24,Materials!$A$5:$A$254,0)),0),2))</f>
        <v>0</v>
      </c>
      <c r="AE24" s="20">
        <f>IF(B24="","",ROUND(IF(N24="",0,N24)*IF(O24="",0,O24),2))</f>
        <v>0</v>
      </c>
      <c r="AF24" s="20">
        <f>IF(B24="","",ROUND(AB24+AD24+AE24+IF(P24="",0,P24)+IF(Q24="",0,Q24)+IF(R24="",0,R24),2))</f>
        <v>0</v>
      </c>
      <c r="AG24" s="36">
        <f>IF(B24="","",ROUND(IF(U24="",0,U24)+IF(T24="",0,T24)/MAX(1,IF(S24="",DefaultBatchSize,S24)),1))</f>
        <v>0</v>
      </c>
      <c r="AH24" s="20">
        <f>IF(B24="","",IF(W24&lt;&gt;"",W24,LaborCostHour))</f>
        <v>0</v>
      </c>
      <c r="AI24" s="20">
        <f>IF(B24="","",ROUND(AG24/60*AH24,2))</f>
        <v>0</v>
      </c>
      <c r="AJ24" s="20">
        <f>IF(B24="","",ROUND(AG24/60*SuppliesPerHour,2))</f>
        <v>0</v>
      </c>
      <c r="AK24" s="20">
        <f>IF(B24="","",IF(OR(Z24="",Z24=0),"",ROUND(AF24/Z24*100,2)))</f>
        <v>0</v>
      </c>
      <c r="AL24" s="32">
        <f>IF(B24="","",IF(Z24="","",ROUND(Z24/7,0)))</f>
        <v>0</v>
      </c>
      <c r="AM24" s="20">
        <f>IF(B24="","",ROUND(AF24+AI24+AJ24,2))</f>
        <v>0</v>
      </c>
      <c r="AN24" s="33">
        <f>IF(B24="","",IFERROR(INDEX(Channels!$S$5:$S$18,MATCH(DefaultChannel,Channels!$A$5:$A$18,0)),0))</f>
        <v>0</v>
      </c>
      <c r="AO24" s="20">
        <f>IF(B24="","",IFERROR(INDEX(Channels!$T$5:$T$18,MATCH(DefaultChannel,Channels!$A$5:$A$18,0)),0))</f>
        <v>0</v>
      </c>
      <c r="AP24" s="41">
        <f>IF(B24="","",1-TargetRetailMargin-AN24)</f>
        <v>0</v>
      </c>
      <c r="AQ24" s="20">
        <f>IF(B24="","",IF(AP24&lt;=0,"",(AM24+AO24)/AP24))</f>
        <v>0</v>
      </c>
      <c r="AR24" s="20">
        <f>IF(B24="","",IF(AQ24="","Check the settings",ROUND(IF(RoundingRule="None",AQ24,IF(RoundingRule="Nearest 0.99",MAX(0.99,CEILING(AQ24,1)-0.01),IF(RoundingRule="Nearest 0.95",MAX(0.95,CEILING(AQ24,1)-0.05),IF(RoundingRule="Nearest 0.50",CEILING(AQ24,0.5),IF(RoundingRule="Nearest 1",CEILING(AQ24,1),IF(RoundingRule="Nearest 5",CEILING(AQ24,5),IF(RoundingRule="Up to whole 1",CEILING(AQ24,1),IF(RoundingRule="Up to whole 5",CEILING(AQ24,5),ROUND(AQ24,2))))))))),2)))</f>
        <v>0</v>
      </c>
      <c r="AS24" s="20">
        <f>IF(B24="","",IF(X24&lt;&gt;"",X24,IF(ISNUMBER(AR24),AR24,"")))</f>
        <v>0</v>
      </c>
      <c r="AT24" s="20">
        <f>IF(B24="","",IF(AS24="","",ROUND(AS24-AM24-(AS24*AN24+AO24),2)))</f>
        <v>0</v>
      </c>
      <c r="AU24" s="33">
        <f>IF(B24="","",IF(OR(AS24="",AS24=0),"",AT24/AS24))</f>
        <v>0</v>
      </c>
      <c r="AV24" s="41">
        <f>IF(B24="","",ROUND(AG24/60,3))</f>
        <v>0</v>
      </c>
      <c r="AW24" s="20">
        <f>IF(B24="","",IF(OR(AV24=0,AV24="",AT24=""),"",ROUND((AT24+AI24)/AV24,2)))</f>
        <v>0</v>
      </c>
      <c r="AX24" s="43">
        <f>IF(B24="","",IF(AND(A24&lt;&gt;"",ISERROR(MATCH(A24,Products!$A$5:$A$304,0))),"Check - no such product ID",IF(AF24=0,"Add - no material cost yet",IF(AG24=0,"Add - how long does it take?",IF(AND(A24&lt;&gt;"",COUNTIFS('Material Usage'!$A$5:$A$904,A24)&gt;0),"Check - this product also has a bill of materials",IF(AND(A24&lt;&gt;"",COUNTIFS(Labor!$A$5:$A$304,A24)&gt;0),"Check - this product also has labour lines",IF(AW24&lt;MinimumWage,"Below - pays under minimum wage","OK")))))) )</f>
        <v>0</v>
      </c>
    </row>
    <row r="25" spans="26:50">
      <c r="Z25" s="36">
        <f>IF(B25="","",IF(I25&lt;&gt;"",I25,ROUND(IF(F25="",0,F25)*IF(G25="",0.85,G25)*IF(H25="",0.9,H25),1)))</f>
        <v>0</v>
      </c>
      <c r="AA25" s="36">
        <f>IF(B25="","",ROUND(Z25*(1+IF(J25="",DefaultWaste,J25)),1))</f>
        <v>0</v>
      </c>
      <c r="AB25" s="20">
        <f>IF(B25="","",ROUND(AA25*IFERROR(INDEX(Materials!$V$5:$V$254,MATCH(D25,Materials!$A$5:$A$254,0)),0),2))</f>
        <v>0</v>
      </c>
      <c r="AC25" s="36">
        <f>IF(B25="","",ROUND(Z25*IF(L25="",0,L25),2))</f>
        <v>0</v>
      </c>
      <c r="AD25" s="20">
        <f>IF(B25="","",ROUND(AC25*IFERROR(INDEX(Materials!$V$5:$V$254,MATCH(K25,Materials!$A$5:$A$254,0)),0),2))</f>
        <v>0</v>
      </c>
      <c r="AE25" s="20">
        <f>IF(B25="","",ROUND(IF(N25="",0,N25)*IF(O25="",0,O25),2))</f>
        <v>0</v>
      </c>
      <c r="AF25" s="20">
        <f>IF(B25="","",ROUND(AB25+AD25+AE25+IF(P25="",0,P25)+IF(Q25="",0,Q25)+IF(R25="",0,R25),2))</f>
        <v>0</v>
      </c>
      <c r="AG25" s="36">
        <f>IF(B25="","",ROUND(IF(U25="",0,U25)+IF(T25="",0,T25)/MAX(1,IF(S25="",DefaultBatchSize,S25)),1))</f>
        <v>0</v>
      </c>
      <c r="AH25" s="20">
        <f>IF(B25="","",IF(W25&lt;&gt;"",W25,LaborCostHour))</f>
        <v>0</v>
      </c>
      <c r="AI25" s="20">
        <f>IF(B25="","",ROUND(AG25/60*AH25,2))</f>
        <v>0</v>
      </c>
      <c r="AJ25" s="20">
        <f>IF(B25="","",ROUND(AG25/60*SuppliesPerHour,2))</f>
        <v>0</v>
      </c>
      <c r="AK25" s="20">
        <f>IF(B25="","",IF(OR(Z25="",Z25=0),"",ROUND(AF25/Z25*100,2)))</f>
        <v>0</v>
      </c>
      <c r="AL25" s="32">
        <f>IF(B25="","",IF(Z25="","",ROUND(Z25/7,0)))</f>
        <v>0</v>
      </c>
      <c r="AM25" s="20">
        <f>IF(B25="","",ROUND(AF25+AI25+AJ25,2))</f>
        <v>0</v>
      </c>
      <c r="AN25" s="33">
        <f>IF(B25="","",IFERROR(INDEX(Channels!$S$5:$S$18,MATCH(DefaultChannel,Channels!$A$5:$A$18,0)),0))</f>
        <v>0</v>
      </c>
      <c r="AO25" s="20">
        <f>IF(B25="","",IFERROR(INDEX(Channels!$T$5:$T$18,MATCH(DefaultChannel,Channels!$A$5:$A$18,0)),0))</f>
        <v>0</v>
      </c>
      <c r="AP25" s="41">
        <f>IF(B25="","",1-TargetRetailMargin-AN25)</f>
        <v>0</v>
      </c>
      <c r="AQ25" s="20">
        <f>IF(B25="","",IF(AP25&lt;=0,"",(AM25+AO25)/AP25))</f>
        <v>0</v>
      </c>
      <c r="AR25" s="20">
        <f>IF(B25="","",IF(AQ25="","Check the settings",ROUND(IF(RoundingRule="None",AQ25,IF(RoundingRule="Nearest 0.99",MAX(0.99,CEILING(AQ25,1)-0.01),IF(RoundingRule="Nearest 0.95",MAX(0.95,CEILING(AQ25,1)-0.05),IF(RoundingRule="Nearest 0.50",CEILING(AQ25,0.5),IF(RoundingRule="Nearest 1",CEILING(AQ25,1),IF(RoundingRule="Nearest 5",CEILING(AQ25,5),IF(RoundingRule="Up to whole 1",CEILING(AQ25,1),IF(RoundingRule="Up to whole 5",CEILING(AQ25,5),ROUND(AQ25,2))))))))),2)))</f>
        <v>0</v>
      </c>
      <c r="AS25" s="20">
        <f>IF(B25="","",IF(X25&lt;&gt;"",X25,IF(ISNUMBER(AR25),AR25,"")))</f>
        <v>0</v>
      </c>
      <c r="AT25" s="20">
        <f>IF(B25="","",IF(AS25="","",ROUND(AS25-AM25-(AS25*AN25+AO25),2)))</f>
        <v>0</v>
      </c>
      <c r="AU25" s="33">
        <f>IF(B25="","",IF(OR(AS25="",AS25=0),"",AT25/AS25))</f>
        <v>0</v>
      </c>
      <c r="AV25" s="41">
        <f>IF(B25="","",ROUND(AG25/60,3))</f>
        <v>0</v>
      </c>
      <c r="AW25" s="20">
        <f>IF(B25="","",IF(OR(AV25=0,AV25="",AT25=""),"",ROUND((AT25+AI25)/AV25,2)))</f>
        <v>0</v>
      </c>
      <c r="AX25" s="43">
        <f>IF(B25="","",IF(AND(A25&lt;&gt;"",ISERROR(MATCH(A25,Products!$A$5:$A$304,0))),"Check - no such product ID",IF(AF25=0,"Add - no material cost yet",IF(AG25=0,"Add - how long does it take?",IF(AND(A25&lt;&gt;"",COUNTIFS('Material Usage'!$A$5:$A$904,A25)&gt;0),"Check - this product also has a bill of materials",IF(AND(A25&lt;&gt;"",COUNTIFS(Labor!$A$5:$A$304,A25)&gt;0),"Check - this product also has labour lines",IF(AW25&lt;MinimumWage,"Below - pays under minimum wage","OK")))))) )</f>
        <v>0</v>
      </c>
    </row>
    <row r="26" spans="26:50">
      <c r="Z26" s="36">
        <f>IF(B26="","",IF(I26&lt;&gt;"",I26,ROUND(IF(F26="",0,F26)*IF(G26="",0.85,G26)*IF(H26="",0.9,H26),1)))</f>
        <v>0</v>
      </c>
      <c r="AA26" s="36">
        <f>IF(B26="","",ROUND(Z26*(1+IF(J26="",DefaultWaste,J26)),1))</f>
        <v>0</v>
      </c>
      <c r="AB26" s="20">
        <f>IF(B26="","",ROUND(AA26*IFERROR(INDEX(Materials!$V$5:$V$254,MATCH(D26,Materials!$A$5:$A$254,0)),0),2))</f>
        <v>0</v>
      </c>
      <c r="AC26" s="36">
        <f>IF(B26="","",ROUND(Z26*IF(L26="",0,L26),2))</f>
        <v>0</v>
      </c>
      <c r="AD26" s="20">
        <f>IF(B26="","",ROUND(AC26*IFERROR(INDEX(Materials!$V$5:$V$254,MATCH(K26,Materials!$A$5:$A$254,0)),0),2))</f>
        <v>0</v>
      </c>
      <c r="AE26" s="20">
        <f>IF(B26="","",ROUND(IF(N26="",0,N26)*IF(O26="",0,O26),2))</f>
        <v>0</v>
      </c>
      <c r="AF26" s="20">
        <f>IF(B26="","",ROUND(AB26+AD26+AE26+IF(P26="",0,P26)+IF(Q26="",0,Q26)+IF(R26="",0,R26),2))</f>
        <v>0</v>
      </c>
      <c r="AG26" s="36">
        <f>IF(B26="","",ROUND(IF(U26="",0,U26)+IF(T26="",0,T26)/MAX(1,IF(S26="",DefaultBatchSize,S26)),1))</f>
        <v>0</v>
      </c>
      <c r="AH26" s="20">
        <f>IF(B26="","",IF(W26&lt;&gt;"",W26,LaborCostHour))</f>
        <v>0</v>
      </c>
      <c r="AI26" s="20">
        <f>IF(B26="","",ROUND(AG26/60*AH26,2))</f>
        <v>0</v>
      </c>
      <c r="AJ26" s="20">
        <f>IF(B26="","",ROUND(AG26/60*SuppliesPerHour,2))</f>
        <v>0</v>
      </c>
      <c r="AK26" s="20">
        <f>IF(B26="","",IF(OR(Z26="",Z26=0),"",ROUND(AF26/Z26*100,2)))</f>
        <v>0</v>
      </c>
      <c r="AL26" s="32">
        <f>IF(B26="","",IF(Z26="","",ROUND(Z26/7,0)))</f>
        <v>0</v>
      </c>
      <c r="AM26" s="20">
        <f>IF(B26="","",ROUND(AF26+AI26+AJ26,2))</f>
        <v>0</v>
      </c>
      <c r="AN26" s="33">
        <f>IF(B26="","",IFERROR(INDEX(Channels!$S$5:$S$18,MATCH(DefaultChannel,Channels!$A$5:$A$18,0)),0))</f>
        <v>0</v>
      </c>
      <c r="AO26" s="20">
        <f>IF(B26="","",IFERROR(INDEX(Channels!$T$5:$T$18,MATCH(DefaultChannel,Channels!$A$5:$A$18,0)),0))</f>
        <v>0</v>
      </c>
      <c r="AP26" s="41">
        <f>IF(B26="","",1-TargetRetailMargin-AN26)</f>
        <v>0</v>
      </c>
      <c r="AQ26" s="20">
        <f>IF(B26="","",IF(AP26&lt;=0,"",(AM26+AO26)/AP26))</f>
        <v>0</v>
      </c>
      <c r="AR26" s="20">
        <f>IF(B26="","",IF(AQ26="","Check the settings",ROUND(IF(RoundingRule="None",AQ26,IF(RoundingRule="Nearest 0.99",MAX(0.99,CEILING(AQ26,1)-0.01),IF(RoundingRule="Nearest 0.95",MAX(0.95,CEILING(AQ26,1)-0.05),IF(RoundingRule="Nearest 0.50",CEILING(AQ26,0.5),IF(RoundingRule="Nearest 1",CEILING(AQ26,1),IF(RoundingRule="Nearest 5",CEILING(AQ26,5),IF(RoundingRule="Up to whole 1",CEILING(AQ26,1),IF(RoundingRule="Up to whole 5",CEILING(AQ26,5),ROUND(AQ26,2))))))))),2)))</f>
        <v>0</v>
      </c>
      <c r="AS26" s="20">
        <f>IF(B26="","",IF(X26&lt;&gt;"",X26,IF(ISNUMBER(AR26),AR26,"")))</f>
        <v>0</v>
      </c>
      <c r="AT26" s="20">
        <f>IF(B26="","",IF(AS26="","",ROUND(AS26-AM26-(AS26*AN26+AO26),2)))</f>
        <v>0</v>
      </c>
      <c r="AU26" s="33">
        <f>IF(B26="","",IF(OR(AS26="",AS26=0),"",AT26/AS26))</f>
        <v>0</v>
      </c>
      <c r="AV26" s="41">
        <f>IF(B26="","",ROUND(AG26/60,3))</f>
        <v>0</v>
      </c>
      <c r="AW26" s="20">
        <f>IF(B26="","",IF(OR(AV26=0,AV26="",AT26=""),"",ROUND((AT26+AI26)/AV26,2)))</f>
        <v>0</v>
      </c>
      <c r="AX26" s="43">
        <f>IF(B26="","",IF(AND(A26&lt;&gt;"",ISERROR(MATCH(A26,Products!$A$5:$A$304,0))),"Check - no such product ID",IF(AF26=0,"Add - no material cost yet",IF(AG26=0,"Add - how long does it take?",IF(AND(A26&lt;&gt;"",COUNTIFS('Material Usage'!$A$5:$A$904,A26)&gt;0),"Check - this product also has a bill of materials",IF(AND(A26&lt;&gt;"",COUNTIFS(Labor!$A$5:$A$304,A26)&gt;0),"Check - this product also has labour lines",IF(AW26&lt;MinimumWage,"Below - pays under minimum wage","OK")))))) )</f>
        <v>0</v>
      </c>
    </row>
    <row r="27" spans="26:50">
      <c r="Z27" s="36">
        <f>IF(B27="","",IF(I27&lt;&gt;"",I27,ROUND(IF(F27="",0,F27)*IF(G27="",0.85,G27)*IF(H27="",0.9,H27),1)))</f>
        <v>0</v>
      </c>
      <c r="AA27" s="36">
        <f>IF(B27="","",ROUND(Z27*(1+IF(J27="",DefaultWaste,J27)),1))</f>
        <v>0</v>
      </c>
      <c r="AB27" s="20">
        <f>IF(B27="","",ROUND(AA27*IFERROR(INDEX(Materials!$V$5:$V$254,MATCH(D27,Materials!$A$5:$A$254,0)),0),2))</f>
        <v>0</v>
      </c>
      <c r="AC27" s="36">
        <f>IF(B27="","",ROUND(Z27*IF(L27="",0,L27),2))</f>
        <v>0</v>
      </c>
      <c r="AD27" s="20">
        <f>IF(B27="","",ROUND(AC27*IFERROR(INDEX(Materials!$V$5:$V$254,MATCH(K27,Materials!$A$5:$A$254,0)),0),2))</f>
        <v>0</v>
      </c>
      <c r="AE27" s="20">
        <f>IF(B27="","",ROUND(IF(N27="",0,N27)*IF(O27="",0,O27),2))</f>
        <v>0</v>
      </c>
      <c r="AF27" s="20">
        <f>IF(B27="","",ROUND(AB27+AD27+AE27+IF(P27="",0,P27)+IF(Q27="",0,Q27)+IF(R27="",0,R27),2))</f>
        <v>0</v>
      </c>
      <c r="AG27" s="36">
        <f>IF(B27="","",ROUND(IF(U27="",0,U27)+IF(T27="",0,T27)/MAX(1,IF(S27="",DefaultBatchSize,S27)),1))</f>
        <v>0</v>
      </c>
      <c r="AH27" s="20">
        <f>IF(B27="","",IF(W27&lt;&gt;"",W27,LaborCostHour))</f>
        <v>0</v>
      </c>
      <c r="AI27" s="20">
        <f>IF(B27="","",ROUND(AG27/60*AH27,2))</f>
        <v>0</v>
      </c>
      <c r="AJ27" s="20">
        <f>IF(B27="","",ROUND(AG27/60*SuppliesPerHour,2))</f>
        <v>0</v>
      </c>
      <c r="AK27" s="20">
        <f>IF(B27="","",IF(OR(Z27="",Z27=0),"",ROUND(AF27/Z27*100,2)))</f>
        <v>0</v>
      </c>
      <c r="AL27" s="32">
        <f>IF(B27="","",IF(Z27="","",ROUND(Z27/7,0)))</f>
        <v>0</v>
      </c>
      <c r="AM27" s="20">
        <f>IF(B27="","",ROUND(AF27+AI27+AJ27,2))</f>
        <v>0</v>
      </c>
      <c r="AN27" s="33">
        <f>IF(B27="","",IFERROR(INDEX(Channels!$S$5:$S$18,MATCH(DefaultChannel,Channels!$A$5:$A$18,0)),0))</f>
        <v>0</v>
      </c>
      <c r="AO27" s="20">
        <f>IF(B27="","",IFERROR(INDEX(Channels!$T$5:$T$18,MATCH(DefaultChannel,Channels!$A$5:$A$18,0)),0))</f>
        <v>0</v>
      </c>
      <c r="AP27" s="41">
        <f>IF(B27="","",1-TargetRetailMargin-AN27)</f>
        <v>0</v>
      </c>
      <c r="AQ27" s="20">
        <f>IF(B27="","",IF(AP27&lt;=0,"",(AM27+AO27)/AP27))</f>
        <v>0</v>
      </c>
      <c r="AR27" s="20">
        <f>IF(B27="","",IF(AQ27="","Check the settings",ROUND(IF(RoundingRule="None",AQ27,IF(RoundingRule="Nearest 0.99",MAX(0.99,CEILING(AQ27,1)-0.01),IF(RoundingRule="Nearest 0.95",MAX(0.95,CEILING(AQ27,1)-0.05),IF(RoundingRule="Nearest 0.50",CEILING(AQ27,0.5),IF(RoundingRule="Nearest 1",CEILING(AQ27,1),IF(RoundingRule="Nearest 5",CEILING(AQ27,5),IF(RoundingRule="Up to whole 1",CEILING(AQ27,1),IF(RoundingRule="Up to whole 5",CEILING(AQ27,5),ROUND(AQ27,2))))))))),2)))</f>
        <v>0</v>
      </c>
      <c r="AS27" s="20">
        <f>IF(B27="","",IF(X27&lt;&gt;"",X27,IF(ISNUMBER(AR27),AR27,"")))</f>
        <v>0</v>
      </c>
      <c r="AT27" s="20">
        <f>IF(B27="","",IF(AS27="","",ROUND(AS27-AM27-(AS27*AN27+AO27),2)))</f>
        <v>0</v>
      </c>
      <c r="AU27" s="33">
        <f>IF(B27="","",IF(OR(AS27="",AS27=0),"",AT27/AS27))</f>
        <v>0</v>
      </c>
      <c r="AV27" s="41">
        <f>IF(B27="","",ROUND(AG27/60,3))</f>
        <v>0</v>
      </c>
      <c r="AW27" s="20">
        <f>IF(B27="","",IF(OR(AV27=0,AV27="",AT27=""),"",ROUND((AT27+AI27)/AV27,2)))</f>
        <v>0</v>
      </c>
      <c r="AX27" s="43">
        <f>IF(B27="","",IF(AND(A27&lt;&gt;"",ISERROR(MATCH(A27,Products!$A$5:$A$304,0))),"Check - no such product ID",IF(AF27=0,"Add - no material cost yet",IF(AG27=0,"Add - how long does it take?",IF(AND(A27&lt;&gt;"",COUNTIFS('Material Usage'!$A$5:$A$904,A27)&gt;0),"Check - this product also has a bill of materials",IF(AND(A27&lt;&gt;"",COUNTIFS(Labor!$A$5:$A$304,A27)&gt;0),"Check - this product also has labour lines",IF(AW27&lt;MinimumWage,"Below - pays under minimum wage","OK")))))) )</f>
        <v>0</v>
      </c>
    </row>
    <row r="28" spans="26:50">
      <c r="Z28" s="36">
        <f>IF(B28="","",IF(I28&lt;&gt;"",I28,ROUND(IF(F28="",0,F28)*IF(G28="",0.85,G28)*IF(H28="",0.9,H28),1)))</f>
        <v>0</v>
      </c>
      <c r="AA28" s="36">
        <f>IF(B28="","",ROUND(Z28*(1+IF(J28="",DefaultWaste,J28)),1))</f>
        <v>0</v>
      </c>
      <c r="AB28" s="20">
        <f>IF(B28="","",ROUND(AA28*IFERROR(INDEX(Materials!$V$5:$V$254,MATCH(D28,Materials!$A$5:$A$254,0)),0),2))</f>
        <v>0</v>
      </c>
      <c r="AC28" s="36">
        <f>IF(B28="","",ROUND(Z28*IF(L28="",0,L28),2))</f>
        <v>0</v>
      </c>
      <c r="AD28" s="20">
        <f>IF(B28="","",ROUND(AC28*IFERROR(INDEX(Materials!$V$5:$V$254,MATCH(K28,Materials!$A$5:$A$254,0)),0),2))</f>
        <v>0</v>
      </c>
      <c r="AE28" s="20">
        <f>IF(B28="","",ROUND(IF(N28="",0,N28)*IF(O28="",0,O28),2))</f>
        <v>0</v>
      </c>
      <c r="AF28" s="20">
        <f>IF(B28="","",ROUND(AB28+AD28+AE28+IF(P28="",0,P28)+IF(Q28="",0,Q28)+IF(R28="",0,R28),2))</f>
        <v>0</v>
      </c>
      <c r="AG28" s="36">
        <f>IF(B28="","",ROUND(IF(U28="",0,U28)+IF(T28="",0,T28)/MAX(1,IF(S28="",DefaultBatchSize,S28)),1))</f>
        <v>0</v>
      </c>
      <c r="AH28" s="20">
        <f>IF(B28="","",IF(W28&lt;&gt;"",W28,LaborCostHour))</f>
        <v>0</v>
      </c>
      <c r="AI28" s="20">
        <f>IF(B28="","",ROUND(AG28/60*AH28,2))</f>
        <v>0</v>
      </c>
      <c r="AJ28" s="20">
        <f>IF(B28="","",ROUND(AG28/60*SuppliesPerHour,2))</f>
        <v>0</v>
      </c>
      <c r="AK28" s="20">
        <f>IF(B28="","",IF(OR(Z28="",Z28=0),"",ROUND(AF28/Z28*100,2)))</f>
        <v>0</v>
      </c>
      <c r="AL28" s="32">
        <f>IF(B28="","",IF(Z28="","",ROUND(Z28/7,0)))</f>
        <v>0</v>
      </c>
      <c r="AM28" s="20">
        <f>IF(B28="","",ROUND(AF28+AI28+AJ28,2))</f>
        <v>0</v>
      </c>
      <c r="AN28" s="33">
        <f>IF(B28="","",IFERROR(INDEX(Channels!$S$5:$S$18,MATCH(DefaultChannel,Channels!$A$5:$A$18,0)),0))</f>
        <v>0</v>
      </c>
      <c r="AO28" s="20">
        <f>IF(B28="","",IFERROR(INDEX(Channels!$T$5:$T$18,MATCH(DefaultChannel,Channels!$A$5:$A$18,0)),0))</f>
        <v>0</v>
      </c>
      <c r="AP28" s="41">
        <f>IF(B28="","",1-TargetRetailMargin-AN28)</f>
        <v>0</v>
      </c>
      <c r="AQ28" s="20">
        <f>IF(B28="","",IF(AP28&lt;=0,"",(AM28+AO28)/AP28))</f>
        <v>0</v>
      </c>
      <c r="AR28" s="20">
        <f>IF(B28="","",IF(AQ28="","Check the settings",ROUND(IF(RoundingRule="None",AQ28,IF(RoundingRule="Nearest 0.99",MAX(0.99,CEILING(AQ28,1)-0.01),IF(RoundingRule="Nearest 0.95",MAX(0.95,CEILING(AQ28,1)-0.05),IF(RoundingRule="Nearest 0.50",CEILING(AQ28,0.5),IF(RoundingRule="Nearest 1",CEILING(AQ28,1),IF(RoundingRule="Nearest 5",CEILING(AQ28,5),IF(RoundingRule="Up to whole 1",CEILING(AQ28,1),IF(RoundingRule="Up to whole 5",CEILING(AQ28,5),ROUND(AQ28,2))))))))),2)))</f>
        <v>0</v>
      </c>
      <c r="AS28" s="20">
        <f>IF(B28="","",IF(X28&lt;&gt;"",X28,IF(ISNUMBER(AR28),AR28,"")))</f>
        <v>0</v>
      </c>
      <c r="AT28" s="20">
        <f>IF(B28="","",IF(AS28="","",ROUND(AS28-AM28-(AS28*AN28+AO28),2)))</f>
        <v>0</v>
      </c>
      <c r="AU28" s="33">
        <f>IF(B28="","",IF(OR(AS28="",AS28=0),"",AT28/AS28))</f>
        <v>0</v>
      </c>
      <c r="AV28" s="41">
        <f>IF(B28="","",ROUND(AG28/60,3))</f>
        <v>0</v>
      </c>
      <c r="AW28" s="20">
        <f>IF(B28="","",IF(OR(AV28=0,AV28="",AT28=""),"",ROUND((AT28+AI28)/AV28,2)))</f>
        <v>0</v>
      </c>
      <c r="AX28" s="43">
        <f>IF(B28="","",IF(AND(A28&lt;&gt;"",ISERROR(MATCH(A28,Products!$A$5:$A$304,0))),"Check - no such product ID",IF(AF28=0,"Add - no material cost yet",IF(AG28=0,"Add - how long does it take?",IF(AND(A28&lt;&gt;"",COUNTIFS('Material Usage'!$A$5:$A$904,A28)&gt;0),"Check - this product also has a bill of materials",IF(AND(A28&lt;&gt;"",COUNTIFS(Labor!$A$5:$A$304,A28)&gt;0),"Check - this product also has labour lines",IF(AW28&lt;MinimumWage,"Below - pays under minimum wage","OK")))))) )</f>
        <v>0</v>
      </c>
    </row>
    <row r="29" spans="26:50">
      <c r="Z29" s="36">
        <f>IF(B29="","",IF(I29&lt;&gt;"",I29,ROUND(IF(F29="",0,F29)*IF(G29="",0.85,G29)*IF(H29="",0.9,H29),1)))</f>
        <v>0</v>
      </c>
      <c r="AA29" s="36">
        <f>IF(B29="","",ROUND(Z29*(1+IF(J29="",DefaultWaste,J29)),1))</f>
        <v>0</v>
      </c>
      <c r="AB29" s="20">
        <f>IF(B29="","",ROUND(AA29*IFERROR(INDEX(Materials!$V$5:$V$254,MATCH(D29,Materials!$A$5:$A$254,0)),0),2))</f>
        <v>0</v>
      </c>
      <c r="AC29" s="36">
        <f>IF(B29="","",ROUND(Z29*IF(L29="",0,L29),2))</f>
        <v>0</v>
      </c>
      <c r="AD29" s="20">
        <f>IF(B29="","",ROUND(AC29*IFERROR(INDEX(Materials!$V$5:$V$254,MATCH(K29,Materials!$A$5:$A$254,0)),0),2))</f>
        <v>0</v>
      </c>
      <c r="AE29" s="20">
        <f>IF(B29="","",ROUND(IF(N29="",0,N29)*IF(O29="",0,O29),2))</f>
        <v>0</v>
      </c>
      <c r="AF29" s="20">
        <f>IF(B29="","",ROUND(AB29+AD29+AE29+IF(P29="",0,P29)+IF(Q29="",0,Q29)+IF(R29="",0,R29),2))</f>
        <v>0</v>
      </c>
      <c r="AG29" s="36">
        <f>IF(B29="","",ROUND(IF(U29="",0,U29)+IF(T29="",0,T29)/MAX(1,IF(S29="",DefaultBatchSize,S29)),1))</f>
        <v>0</v>
      </c>
      <c r="AH29" s="20">
        <f>IF(B29="","",IF(W29&lt;&gt;"",W29,LaborCostHour))</f>
        <v>0</v>
      </c>
      <c r="AI29" s="20">
        <f>IF(B29="","",ROUND(AG29/60*AH29,2))</f>
        <v>0</v>
      </c>
      <c r="AJ29" s="20">
        <f>IF(B29="","",ROUND(AG29/60*SuppliesPerHour,2))</f>
        <v>0</v>
      </c>
      <c r="AK29" s="20">
        <f>IF(B29="","",IF(OR(Z29="",Z29=0),"",ROUND(AF29/Z29*100,2)))</f>
        <v>0</v>
      </c>
      <c r="AL29" s="32">
        <f>IF(B29="","",IF(Z29="","",ROUND(Z29/7,0)))</f>
        <v>0</v>
      </c>
      <c r="AM29" s="20">
        <f>IF(B29="","",ROUND(AF29+AI29+AJ29,2))</f>
        <v>0</v>
      </c>
      <c r="AN29" s="33">
        <f>IF(B29="","",IFERROR(INDEX(Channels!$S$5:$S$18,MATCH(DefaultChannel,Channels!$A$5:$A$18,0)),0))</f>
        <v>0</v>
      </c>
      <c r="AO29" s="20">
        <f>IF(B29="","",IFERROR(INDEX(Channels!$T$5:$T$18,MATCH(DefaultChannel,Channels!$A$5:$A$18,0)),0))</f>
        <v>0</v>
      </c>
      <c r="AP29" s="41">
        <f>IF(B29="","",1-TargetRetailMargin-AN29)</f>
        <v>0</v>
      </c>
      <c r="AQ29" s="20">
        <f>IF(B29="","",IF(AP29&lt;=0,"",(AM29+AO29)/AP29))</f>
        <v>0</v>
      </c>
      <c r="AR29" s="20">
        <f>IF(B29="","",IF(AQ29="","Check the settings",ROUND(IF(RoundingRule="None",AQ29,IF(RoundingRule="Nearest 0.99",MAX(0.99,CEILING(AQ29,1)-0.01),IF(RoundingRule="Nearest 0.95",MAX(0.95,CEILING(AQ29,1)-0.05),IF(RoundingRule="Nearest 0.50",CEILING(AQ29,0.5),IF(RoundingRule="Nearest 1",CEILING(AQ29,1),IF(RoundingRule="Nearest 5",CEILING(AQ29,5),IF(RoundingRule="Up to whole 1",CEILING(AQ29,1),IF(RoundingRule="Up to whole 5",CEILING(AQ29,5),ROUND(AQ29,2))))))))),2)))</f>
        <v>0</v>
      </c>
      <c r="AS29" s="20">
        <f>IF(B29="","",IF(X29&lt;&gt;"",X29,IF(ISNUMBER(AR29),AR29,"")))</f>
        <v>0</v>
      </c>
      <c r="AT29" s="20">
        <f>IF(B29="","",IF(AS29="","",ROUND(AS29-AM29-(AS29*AN29+AO29),2)))</f>
        <v>0</v>
      </c>
      <c r="AU29" s="33">
        <f>IF(B29="","",IF(OR(AS29="",AS29=0),"",AT29/AS29))</f>
        <v>0</v>
      </c>
      <c r="AV29" s="41">
        <f>IF(B29="","",ROUND(AG29/60,3))</f>
        <v>0</v>
      </c>
      <c r="AW29" s="20">
        <f>IF(B29="","",IF(OR(AV29=0,AV29="",AT29=""),"",ROUND((AT29+AI29)/AV29,2)))</f>
        <v>0</v>
      </c>
      <c r="AX29" s="43">
        <f>IF(B29="","",IF(AND(A29&lt;&gt;"",ISERROR(MATCH(A29,Products!$A$5:$A$304,0))),"Check - no such product ID",IF(AF29=0,"Add - no material cost yet",IF(AG29=0,"Add - how long does it take?",IF(AND(A29&lt;&gt;"",COUNTIFS('Material Usage'!$A$5:$A$904,A29)&gt;0),"Check - this product also has a bill of materials",IF(AND(A29&lt;&gt;"",COUNTIFS(Labor!$A$5:$A$304,A29)&gt;0),"Check - this product also has labour lines",IF(AW29&lt;MinimumWage,"Below - pays under minimum wage","OK")))))) )</f>
        <v>0</v>
      </c>
    </row>
    <row r="30" spans="26:50">
      <c r="Z30" s="36">
        <f>IF(B30="","",IF(I30&lt;&gt;"",I30,ROUND(IF(F30="",0,F30)*IF(G30="",0.85,G30)*IF(H30="",0.9,H30),1)))</f>
        <v>0</v>
      </c>
      <c r="AA30" s="36">
        <f>IF(B30="","",ROUND(Z30*(1+IF(J30="",DefaultWaste,J30)),1))</f>
        <v>0</v>
      </c>
      <c r="AB30" s="20">
        <f>IF(B30="","",ROUND(AA30*IFERROR(INDEX(Materials!$V$5:$V$254,MATCH(D30,Materials!$A$5:$A$254,0)),0),2))</f>
        <v>0</v>
      </c>
      <c r="AC30" s="36">
        <f>IF(B30="","",ROUND(Z30*IF(L30="",0,L30),2))</f>
        <v>0</v>
      </c>
      <c r="AD30" s="20">
        <f>IF(B30="","",ROUND(AC30*IFERROR(INDEX(Materials!$V$5:$V$254,MATCH(K30,Materials!$A$5:$A$254,0)),0),2))</f>
        <v>0</v>
      </c>
      <c r="AE30" s="20">
        <f>IF(B30="","",ROUND(IF(N30="",0,N30)*IF(O30="",0,O30),2))</f>
        <v>0</v>
      </c>
      <c r="AF30" s="20">
        <f>IF(B30="","",ROUND(AB30+AD30+AE30+IF(P30="",0,P30)+IF(Q30="",0,Q30)+IF(R30="",0,R30),2))</f>
        <v>0</v>
      </c>
      <c r="AG30" s="36">
        <f>IF(B30="","",ROUND(IF(U30="",0,U30)+IF(T30="",0,T30)/MAX(1,IF(S30="",DefaultBatchSize,S30)),1))</f>
        <v>0</v>
      </c>
      <c r="AH30" s="20">
        <f>IF(B30="","",IF(W30&lt;&gt;"",W30,LaborCostHour))</f>
        <v>0</v>
      </c>
      <c r="AI30" s="20">
        <f>IF(B30="","",ROUND(AG30/60*AH30,2))</f>
        <v>0</v>
      </c>
      <c r="AJ30" s="20">
        <f>IF(B30="","",ROUND(AG30/60*SuppliesPerHour,2))</f>
        <v>0</v>
      </c>
      <c r="AK30" s="20">
        <f>IF(B30="","",IF(OR(Z30="",Z30=0),"",ROUND(AF30/Z30*100,2)))</f>
        <v>0</v>
      </c>
      <c r="AL30" s="32">
        <f>IF(B30="","",IF(Z30="","",ROUND(Z30/7,0)))</f>
        <v>0</v>
      </c>
      <c r="AM30" s="20">
        <f>IF(B30="","",ROUND(AF30+AI30+AJ30,2))</f>
        <v>0</v>
      </c>
      <c r="AN30" s="33">
        <f>IF(B30="","",IFERROR(INDEX(Channels!$S$5:$S$18,MATCH(DefaultChannel,Channels!$A$5:$A$18,0)),0))</f>
        <v>0</v>
      </c>
      <c r="AO30" s="20">
        <f>IF(B30="","",IFERROR(INDEX(Channels!$T$5:$T$18,MATCH(DefaultChannel,Channels!$A$5:$A$18,0)),0))</f>
        <v>0</v>
      </c>
      <c r="AP30" s="41">
        <f>IF(B30="","",1-TargetRetailMargin-AN30)</f>
        <v>0</v>
      </c>
      <c r="AQ30" s="20">
        <f>IF(B30="","",IF(AP30&lt;=0,"",(AM30+AO30)/AP30))</f>
        <v>0</v>
      </c>
      <c r="AR30" s="20">
        <f>IF(B30="","",IF(AQ30="","Check the settings",ROUND(IF(RoundingRule="None",AQ30,IF(RoundingRule="Nearest 0.99",MAX(0.99,CEILING(AQ30,1)-0.01),IF(RoundingRule="Nearest 0.95",MAX(0.95,CEILING(AQ30,1)-0.05),IF(RoundingRule="Nearest 0.50",CEILING(AQ30,0.5),IF(RoundingRule="Nearest 1",CEILING(AQ30,1),IF(RoundingRule="Nearest 5",CEILING(AQ30,5),IF(RoundingRule="Up to whole 1",CEILING(AQ30,1),IF(RoundingRule="Up to whole 5",CEILING(AQ30,5),ROUND(AQ30,2))))))))),2)))</f>
        <v>0</v>
      </c>
      <c r="AS30" s="20">
        <f>IF(B30="","",IF(X30&lt;&gt;"",X30,IF(ISNUMBER(AR30),AR30,"")))</f>
        <v>0</v>
      </c>
      <c r="AT30" s="20">
        <f>IF(B30="","",IF(AS30="","",ROUND(AS30-AM30-(AS30*AN30+AO30),2)))</f>
        <v>0</v>
      </c>
      <c r="AU30" s="33">
        <f>IF(B30="","",IF(OR(AS30="",AS30=0),"",AT30/AS30))</f>
        <v>0</v>
      </c>
      <c r="AV30" s="41">
        <f>IF(B30="","",ROUND(AG30/60,3))</f>
        <v>0</v>
      </c>
      <c r="AW30" s="20">
        <f>IF(B30="","",IF(OR(AV30=0,AV30="",AT30=""),"",ROUND((AT30+AI30)/AV30,2)))</f>
        <v>0</v>
      </c>
      <c r="AX30" s="43">
        <f>IF(B30="","",IF(AND(A30&lt;&gt;"",ISERROR(MATCH(A30,Products!$A$5:$A$304,0))),"Check - no such product ID",IF(AF30=0,"Add - no material cost yet",IF(AG30=0,"Add - how long does it take?",IF(AND(A30&lt;&gt;"",COUNTIFS('Material Usage'!$A$5:$A$904,A30)&gt;0),"Check - this product also has a bill of materials",IF(AND(A30&lt;&gt;"",COUNTIFS(Labor!$A$5:$A$304,A30)&gt;0),"Check - this product also has labour lines",IF(AW30&lt;MinimumWage,"Below - pays under minimum wage","OK")))))) )</f>
        <v>0</v>
      </c>
    </row>
    <row r="31" spans="26:50">
      <c r="Z31" s="36">
        <f>IF(B31="","",IF(I31&lt;&gt;"",I31,ROUND(IF(F31="",0,F31)*IF(G31="",0.85,G31)*IF(H31="",0.9,H31),1)))</f>
        <v>0</v>
      </c>
      <c r="AA31" s="36">
        <f>IF(B31="","",ROUND(Z31*(1+IF(J31="",DefaultWaste,J31)),1))</f>
        <v>0</v>
      </c>
      <c r="AB31" s="20">
        <f>IF(B31="","",ROUND(AA31*IFERROR(INDEX(Materials!$V$5:$V$254,MATCH(D31,Materials!$A$5:$A$254,0)),0),2))</f>
        <v>0</v>
      </c>
      <c r="AC31" s="36">
        <f>IF(B31="","",ROUND(Z31*IF(L31="",0,L31),2))</f>
        <v>0</v>
      </c>
      <c r="AD31" s="20">
        <f>IF(B31="","",ROUND(AC31*IFERROR(INDEX(Materials!$V$5:$V$254,MATCH(K31,Materials!$A$5:$A$254,0)),0),2))</f>
        <v>0</v>
      </c>
      <c r="AE31" s="20">
        <f>IF(B31="","",ROUND(IF(N31="",0,N31)*IF(O31="",0,O31),2))</f>
        <v>0</v>
      </c>
      <c r="AF31" s="20">
        <f>IF(B31="","",ROUND(AB31+AD31+AE31+IF(P31="",0,P31)+IF(Q31="",0,Q31)+IF(R31="",0,R31),2))</f>
        <v>0</v>
      </c>
      <c r="AG31" s="36">
        <f>IF(B31="","",ROUND(IF(U31="",0,U31)+IF(T31="",0,T31)/MAX(1,IF(S31="",DefaultBatchSize,S31)),1))</f>
        <v>0</v>
      </c>
      <c r="AH31" s="20">
        <f>IF(B31="","",IF(W31&lt;&gt;"",W31,LaborCostHour))</f>
        <v>0</v>
      </c>
      <c r="AI31" s="20">
        <f>IF(B31="","",ROUND(AG31/60*AH31,2))</f>
        <v>0</v>
      </c>
      <c r="AJ31" s="20">
        <f>IF(B31="","",ROUND(AG31/60*SuppliesPerHour,2))</f>
        <v>0</v>
      </c>
      <c r="AK31" s="20">
        <f>IF(B31="","",IF(OR(Z31="",Z31=0),"",ROUND(AF31/Z31*100,2)))</f>
        <v>0</v>
      </c>
      <c r="AL31" s="32">
        <f>IF(B31="","",IF(Z31="","",ROUND(Z31/7,0)))</f>
        <v>0</v>
      </c>
      <c r="AM31" s="20">
        <f>IF(B31="","",ROUND(AF31+AI31+AJ31,2))</f>
        <v>0</v>
      </c>
      <c r="AN31" s="33">
        <f>IF(B31="","",IFERROR(INDEX(Channels!$S$5:$S$18,MATCH(DefaultChannel,Channels!$A$5:$A$18,0)),0))</f>
        <v>0</v>
      </c>
      <c r="AO31" s="20">
        <f>IF(B31="","",IFERROR(INDEX(Channels!$T$5:$T$18,MATCH(DefaultChannel,Channels!$A$5:$A$18,0)),0))</f>
        <v>0</v>
      </c>
      <c r="AP31" s="41">
        <f>IF(B31="","",1-TargetRetailMargin-AN31)</f>
        <v>0</v>
      </c>
      <c r="AQ31" s="20">
        <f>IF(B31="","",IF(AP31&lt;=0,"",(AM31+AO31)/AP31))</f>
        <v>0</v>
      </c>
      <c r="AR31" s="20">
        <f>IF(B31="","",IF(AQ31="","Check the settings",ROUND(IF(RoundingRule="None",AQ31,IF(RoundingRule="Nearest 0.99",MAX(0.99,CEILING(AQ31,1)-0.01),IF(RoundingRule="Nearest 0.95",MAX(0.95,CEILING(AQ31,1)-0.05),IF(RoundingRule="Nearest 0.50",CEILING(AQ31,0.5),IF(RoundingRule="Nearest 1",CEILING(AQ31,1),IF(RoundingRule="Nearest 5",CEILING(AQ31,5),IF(RoundingRule="Up to whole 1",CEILING(AQ31,1),IF(RoundingRule="Up to whole 5",CEILING(AQ31,5),ROUND(AQ31,2))))))))),2)))</f>
        <v>0</v>
      </c>
      <c r="AS31" s="20">
        <f>IF(B31="","",IF(X31&lt;&gt;"",X31,IF(ISNUMBER(AR31),AR31,"")))</f>
        <v>0</v>
      </c>
      <c r="AT31" s="20">
        <f>IF(B31="","",IF(AS31="","",ROUND(AS31-AM31-(AS31*AN31+AO31),2)))</f>
        <v>0</v>
      </c>
      <c r="AU31" s="33">
        <f>IF(B31="","",IF(OR(AS31="",AS31=0),"",AT31/AS31))</f>
        <v>0</v>
      </c>
      <c r="AV31" s="41">
        <f>IF(B31="","",ROUND(AG31/60,3))</f>
        <v>0</v>
      </c>
      <c r="AW31" s="20">
        <f>IF(B31="","",IF(OR(AV31=0,AV31="",AT31=""),"",ROUND((AT31+AI31)/AV31,2)))</f>
        <v>0</v>
      </c>
      <c r="AX31" s="43">
        <f>IF(B31="","",IF(AND(A31&lt;&gt;"",ISERROR(MATCH(A31,Products!$A$5:$A$304,0))),"Check - no such product ID",IF(AF31=0,"Add - no material cost yet",IF(AG31=0,"Add - how long does it take?",IF(AND(A31&lt;&gt;"",COUNTIFS('Material Usage'!$A$5:$A$904,A31)&gt;0),"Check - this product also has a bill of materials",IF(AND(A31&lt;&gt;"",COUNTIFS(Labor!$A$5:$A$304,A31)&gt;0),"Check - this product also has labour lines",IF(AW31&lt;MinimumWage,"Below - pays under minimum wage","OK")))))) )</f>
        <v>0</v>
      </c>
    </row>
    <row r="32" spans="26:50">
      <c r="Z32" s="36">
        <f>IF(B32="","",IF(I32&lt;&gt;"",I32,ROUND(IF(F32="",0,F32)*IF(G32="",0.85,G32)*IF(H32="",0.9,H32),1)))</f>
        <v>0</v>
      </c>
      <c r="AA32" s="36">
        <f>IF(B32="","",ROUND(Z32*(1+IF(J32="",DefaultWaste,J32)),1))</f>
        <v>0</v>
      </c>
      <c r="AB32" s="20">
        <f>IF(B32="","",ROUND(AA32*IFERROR(INDEX(Materials!$V$5:$V$254,MATCH(D32,Materials!$A$5:$A$254,0)),0),2))</f>
        <v>0</v>
      </c>
      <c r="AC32" s="36">
        <f>IF(B32="","",ROUND(Z32*IF(L32="",0,L32),2))</f>
        <v>0</v>
      </c>
      <c r="AD32" s="20">
        <f>IF(B32="","",ROUND(AC32*IFERROR(INDEX(Materials!$V$5:$V$254,MATCH(K32,Materials!$A$5:$A$254,0)),0),2))</f>
        <v>0</v>
      </c>
      <c r="AE32" s="20">
        <f>IF(B32="","",ROUND(IF(N32="",0,N32)*IF(O32="",0,O32),2))</f>
        <v>0</v>
      </c>
      <c r="AF32" s="20">
        <f>IF(B32="","",ROUND(AB32+AD32+AE32+IF(P32="",0,P32)+IF(Q32="",0,Q32)+IF(R32="",0,R32),2))</f>
        <v>0</v>
      </c>
      <c r="AG32" s="36">
        <f>IF(B32="","",ROUND(IF(U32="",0,U32)+IF(T32="",0,T32)/MAX(1,IF(S32="",DefaultBatchSize,S32)),1))</f>
        <v>0</v>
      </c>
      <c r="AH32" s="20">
        <f>IF(B32="","",IF(W32&lt;&gt;"",W32,LaborCostHour))</f>
        <v>0</v>
      </c>
      <c r="AI32" s="20">
        <f>IF(B32="","",ROUND(AG32/60*AH32,2))</f>
        <v>0</v>
      </c>
      <c r="AJ32" s="20">
        <f>IF(B32="","",ROUND(AG32/60*SuppliesPerHour,2))</f>
        <v>0</v>
      </c>
      <c r="AK32" s="20">
        <f>IF(B32="","",IF(OR(Z32="",Z32=0),"",ROUND(AF32/Z32*100,2)))</f>
        <v>0</v>
      </c>
      <c r="AL32" s="32">
        <f>IF(B32="","",IF(Z32="","",ROUND(Z32/7,0)))</f>
        <v>0</v>
      </c>
      <c r="AM32" s="20">
        <f>IF(B32="","",ROUND(AF32+AI32+AJ32,2))</f>
        <v>0</v>
      </c>
      <c r="AN32" s="33">
        <f>IF(B32="","",IFERROR(INDEX(Channels!$S$5:$S$18,MATCH(DefaultChannel,Channels!$A$5:$A$18,0)),0))</f>
        <v>0</v>
      </c>
      <c r="AO32" s="20">
        <f>IF(B32="","",IFERROR(INDEX(Channels!$T$5:$T$18,MATCH(DefaultChannel,Channels!$A$5:$A$18,0)),0))</f>
        <v>0</v>
      </c>
      <c r="AP32" s="41">
        <f>IF(B32="","",1-TargetRetailMargin-AN32)</f>
        <v>0</v>
      </c>
      <c r="AQ32" s="20">
        <f>IF(B32="","",IF(AP32&lt;=0,"",(AM32+AO32)/AP32))</f>
        <v>0</v>
      </c>
      <c r="AR32" s="20">
        <f>IF(B32="","",IF(AQ32="","Check the settings",ROUND(IF(RoundingRule="None",AQ32,IF(RoundingRule="Nearest 0.99",MAX(0.99,CEILING(AQ32,1)-0.01),IF(RoundingRule="Nearest 0.95",MAX(0.95,CEILING(AQ32,1)-0.05),IF(RoundingRule="Nearest 0.50",CEILING(AQ32,0.5),IF(RoundingRule="Nearest 1",CEILING(AQ32,1),IF(RoundingRule="Nearest 5",CEILING(AQ32,5),IF(RoundingRule="Up to whole 1",CEILING(AQ32,1),IF(RoundingRule="Up to whole 5",CEILING(AQ32,5),ROUND(AQ32,2))))))))),2)))</f>
        <v>0</v>
      </c>
      <c r="AS32" s="20">
        <f>IF(B32="","",IF(X32&lt;&gt;"",X32,IF(ISNUMBER(AR32),AR32,"")))</f>
        <v>0</v>
      </c>
      <c r="AT32" s="20">
        <f>IF(B32="","",IF(AS32="","",ROUND(AS32-AM32-(AS32*AN32+AO32),2)))</f>
        <v>0</v>
      </c>
      <c r="AU32" s="33">
        <f>IF(B32="","",IF(OR(AS32="",AS32=0),"",AT32/AS32))</f>
        <v>0</v>
      </c>
      <c r="AV32" s="41">
        <f>IF(B32="","",ROUND(AG32/60,3))</f>
        <v>0</v>
      </c>
      <c r="AW32" s="20">
        <f>IF(B32="","",IF(OR(AV32=0,AV32="",AT32=""),"",ROUND((AT32+AI32)/AV32,2)))</f>
        <v>0</v>
      </c>
      <c r="AX32" s="43">
        <f>IF(B32="","",IF(AND(A32&lt;&gt;"",ISERROR(MATCH(A32,Products!$A$5:$A$304,0))),"Check - no such product ID",IF(AF32=0,"Add - no material cost yet",IF(AG32=0,"Add - how long does it take?",IF(AND(A32&lt;&gt;"",COUNTIFS('Material Usage'!$A$5:$A$904,A32)&gt;0),"Check - this product also has a bill of materials",IF(AND(A32&lt;&gt;"",COUNTIFS(Labor!$A$5:$A$304,A32)&gt;0),"Check - this product also has labour lines",IF(AW32&lt;MinimumWage,"Below - pays under minimum wage","OK")))))) )</f>
        <v>0</v>
      </c>
    </row>
    <row r="33" spans="26:50">
      <c r="Z33" s="36">
        <f>IF(B33="","",IF(I33&lt;&gt;"",I33,ROUND(IF(F33="",0,F33)*IF(G33="",0.85,G33)*IF(H33="",0.9,H33),1)))</f>
        <v>0</v>
      </c>
      <c r="AA33" s="36">
        <f>IF(B33="","",ROUND(Z33*(1+IF(J33="",DefaultWaste,J33)),1))</f>
        <v>0</v>
      </c>
      <c r="AB33" s="20">
        <f>IF(B33="","",ROUND(AA33*IFERROR(INDEX(Materials!$V$5:$V$254,MATCH(D33,Materials!$A$5:$A$254,0)),0),2))</f>
        <v>0</v>
      </c>
      <c r="AC33" s="36">
        <f>IF(B33="","",ROUND(Z33*IF(L33="",0,L33),2))</f>
        <v>0</v>
      </c>
      <c r="AD33" s="20">
        <f>IF(B33="","",ROUND(AC33*IFERROR(INDEX(Materials!$V$5:$V$254,MATCH(K33,Materials!$A$5:$A$254,0)),0),2))</f>
        <v>0</v>
      </c>
      <c r="AE33" s="20">
        <f>IF(B33="","",ROUND(IF(N33="",0,N33)*IF(O33="",0,O33),2))</f>
        <v>0</v>
      </c>
      <c r="AF33" s="20">
        <f>IF(B33="","",ROUND(AB33+AD33+AE33+IF(P33="",0,P33)+IF(Q33="",0,Q33)+IF(R33="",0,R33),2))</f>
        <v>0</v>
      </c>
      <c r="AG33" s="36">
        <f>IF(B33="","",ROUND(IF(U33="",0,U33)+IF(T33="",0,T33)/MAX(1,IF(S33="",DefaultBatchSize,S33)),1))</f>
        <v>0</v>
      </c>
      <c r="AH33" s="20">
        <f>IF(B33="","",IF(W33&lt;&gt;"",W33,LaborCostHour))</f>
        <v>0</v>
      </c>
      <c r="AI33" s="20">
        <f>IF(B33="","",ROUND(AG33/60*AH33,2))</f>
        <v>0</v>
      </c>
      <c r="AJ33" s="20">
        <f>IF(B33="","",ROUND(AG33/60*SuppliesPerHour,2))</f>
        <v>0</v>
      </c>
      <c r="AK33" s="20">
        <f>IF(B33="","",IF(OR(Z33="",Z33=0),"",ROUND(AF33/Z33*100,2)))</f>
        <v>0</v>
      </c>
      <c r="AL33" s="32">
        <f>IF(B33="","",IF(Z33="","",ROUND(Z33/7,0)))</f>
        <v>0</v>
      </c>
      <c r="AM33" s="20">
        <f>IF(B33="","",ROUND(AF33+AI33+AJ33,2))</f>
        <v>0</v>
      </c>
      <c r="AN33" s="33">
        <f>IF(B33="","",IFERROR(INDEX(Channels!$S$5:$S$18,MATCH(DefaultChannel,Channels!$A$5:$A$18,0)),0))</f>
        <v>0</v>
      </c>
      <c r="AO33" s="20">
        <f>IF(B33="","",IFERROR(INDEX(Channels!$T$5:$T$18,MATCH(DefaultChannel,Channels!$A$5:$A$18,0)),0))</f>
        <v>0</v>
      </c>
      <c r="AP33" s="41">
        <f>IF(B33="","",1-TargetRetailMargin-AN33)</f>
        <v>0</v>
      </c>
      <c r="AQ33" s="20">
        <f>IF(B33="","",IF(AP33&lt;=0,"",(AM33+AO33)/AP33))</f>
        <v>0</v>
      </c>
      <c r="AR33" s="20">
        <f>IF(B33="","",IF(AQ33="","Check the settings",ROUND(IF(RoundingRule="None",AQ33,IF(RoundingRule="Nearest 0.99",MAX(0.99,CEILING(AQ33,1)-0.01),IF(RoundingRule="Nearest 0.95",MAX(0.95,CEILING(AQ33,1)-0.05),IF(RoundingRule="Nearest 0.50",CEILING(AQ33,0.5),IF(RoundingRule="Nearest 1",CEILING(AQ33,1),IF(RoundingRule="Nearest 5",CEILING(AQ33,5),IF(RoundingRule="Up to whole 1",CEILING(AQ33,1),IF(RoundingRule="Up to whole 5",CEILING(AQ33,5),ROUND(AQ33,2))))))))),2)))</f>
        <v>0</v>
      </c>
      <c r="AS33" s="20">
        <f>IF(B33="","",IF(X33&lt;&gt;"",X33,IF(ISNUMBER(AR33),AR33,"")))</f>
        <v>0</v>
      </c>
      <c r="AT33" s="20">
        <f>IF(B33="","",IF(AS33="","",ROUND(AS33-AM33-(AS33*AN33+AO33),2)))</f>
        <v>0</v>
      </c>
      <c r="AU33" s="33">
        <f>IF(B33="","",IF(OR(AS33="",AS33=0),"",AT33/AS33))</f>
        <v>0</v>
      </c>
      <c r="AV33" s="41">
        <f>IF(B33="","",ROUND(AG33/60,3))</f>
        <v>0</v>
      </c>
      <c r="AW33" s="20">
        <f>IF(B33="","",IF(OR(AV33=0,AV33="",AT33=""),"",ROUND((AT33+AI33)/AV33,2)))</f>
        <v>0</v>
      </c>
      <c r="AX33" s="43">
        <f>IF(B33="","",IF(AND(A33&lt;&gt;"",ISERROR(MATCH(A33,Products!$A$5:$A$304,0))),"Check - no such product ID",IF(AF33=0,"Add - no material cost yet",IF(AG33=0,"Add - how long does it take?",IF(AND(A33&lt;&gt;"",COUNTIFS('Material Usage'!$A$5:$A$904,A33)&gt;0),"Check - this product also has a bill of materials",IF(AND(A33&lt;&gt;"",COUNTIFS(Labor!$A$5:$A$304,A33)&gt;0),"Check - this product also has labour lines",IF(AW33&lt;MinimumWage,"Below - pays under minimum wage","OK")))))) )</f>
        <v>0</v>
      </c>
    </row>
    <row r="34" spans="26:50">
      <c r="Z34" s="36">
        <f>IF(B34="","",IF(I34&lt;&gt;"",I34,ROUND(IF(F34="",0,F34)*IF(G34="",0.85,G34)*IF(H34="",0.9,H34),1)))</f>
        <v>0</v>
      </c>
      <c r="AA34" s="36">
        <f>IF(B34="","",ROUND(Z34*(1+IF(J34="",DefaultWaste,J34)),1))</f>
        <v>0</v>
      </c>
      <c r="AB34" s="20">
        <f>IF(B34="","",ROUND(AA34*IFERROR(INDEX(Materials!$V$5:$V$254,MATCH(D34,Materials!$A$5:$A$254,0)),0),2))</f>
        <v>0</v>
      </c>
      <c r="AC34" s="36">
        <f>IF(B34="","",ROUND(Z34*IF(L34="",0,L34),2))</f>
        <v>0</v>
      </c>
      <c r="AD34" s="20">
        <f>IF(B34="","",ROUND(AC34*IFERROR(INDEX(Materials!$V$5:$V$254,MATCH(K34,Materials!$A$5:$A$254,0)),0),2))</f>
        <v>0</v>
      </c>
      <c r="AE34" s="20">
        <f>IF(B34="","",ROUND(IF(N34="",0,N34)*IF(O34="",0,O34),2))</f>
        <v>0</v>
      </c>
      <c r="AF34" s="20">
        <f>IF(B34="","",ROUND(AB34+AD34+AE34+IF(P34="",0,P34)+IF(Q34="",0,Q34)+IF(R34="",0,R34),2))</f>
        <v>0</v>
      </c>
      <c r="AG34" s="36">
        <f>IF(B34="","",ROUND(IF(U34="",0,U34)+IF(T34="",0,T34)/MAX(1,IF(S34="",DefaultBatchSize,S34)),1))</f>
        <v>0</v>
      </c>
      <c r="AH34" s="20">
        <f>IF(B34="","",IF(W34&lt;&gt;"",W34,LaborCostHour))</f>
        <v>0</v>
      </c>
      <c r="AI34" s="20">
        <f>IF(B34="","",ROUND(AG34/60*AH34,2))</f>
        <v>0</v>
      </c>
      <c r="AJ34" s="20">
        <f>IF(B34="","",ROUND(AG34/60*SuppliesPerHour,2))</f>
        <v>0</v>
      </c>
      <c r="AK34" s="20">
        <f>IF(B34="","",IF(OR(Z34="",Z34=0),"",ROUND(AF34/Z34*100,2)))</f>
        <v>0</v>
      </c>
      <c r="AL34" s="32">
        <f>IF(B34="","",IF(Z34="","",ROUND(Z34/7,0)))</f>
        <v>0</v>
      </c>
      <c r="AM34" s="20">
        <f>IF(B34="","",ROUND(AF34+AI34+AJ34,2))</f>
        <v>0</v>
      </c>
      <c r="AN34" s="33">
        <f>IF(B34="","",IFERROR(INDEX(Channels!$S$5:$S$18,MATCH(DefaultChannel,Channels!$A$5:$A$18,0)),0))</f>
        <v>0</v>
      </c>
      <c r="AO34" s="20">
        <f>IF(B34="","",IFERROR(INDEX(Channels!$T$5:$T$18,MATCH(DefaultChannel,Channels!$A$5:$A$18,0)),0))</f>
        <v>0</v>
      </c>
      <c r="AP34" s="41">
        <f>IF(B34="","",1-TargetRetailMargin-AN34)</f>
        <v>0</v>
      </c>
      <c r="AQ34" s="20">
        <f>IF(B34="","",IF(AP34&lt;=0,"",(AM34+AO34)/AP34))</f>
        <v>0</v>
      </c>
      <c r="AR34" s="20">
        <f>IF(B34="","",IF(AQ34="","Check the settings",ROUND(IF(RoundingRule="None",AQ34,IF(RoundingRule="Nearest 0.99",MAX(0.99,CEILING(AQ34,1)-0.01),IF(RoundingRule="Nearest 0.95",MAX(0.95,CEILING(AQ34,1)-0.05),IF(RoundingRule="Nearest 0.50",CEILING(AQ34,0.5),IF(RoundingRule="Nearest 1",CEILING(AQ34,1),IF(RoundingRule="Nearest 5",CEILING(AQ34,5),IF(RoundingRule="Up to whole 1",CEILING(AQ34,1),IF(RoundingRule="Up to whole 5",CEILING(AQ34,5),ROUND(AQ34,2))))))))),2)))</f>
        <v>0</v>
      </c>
      <c r="AS34" s="20">
        <f>IF(B34="","",IF(X34&lt;&gt;"",X34,IF(ISNUMBER(AR34),AR34,"")))</f>
        <v>0</v>
      </c>
      <c r="AT34" s="20">
        <f>IF(B34="","",IF(AS34="","",ROUND(AS34-AM34-(AS34*AN34+AO34),2)))</f>
        <v>0</v>
      </c>
      <c r="AU34" s="33">
        <f>IF(B34="","",IF(OR(AS34="",AS34=0),"",AT34/AS34))</f>
        <v>0</v>
      </c>
      <c r="AV34" s="41">
        <f>IF(B34="","",ROUND(AG34/60,3))</f>
        <v>0</v>
      </c>
      <c r="AW34" s="20">
        <f>IF(B34="","",IF(OR(AV34=0,AV34="",AT34=""),"",ROUND((AT34+AI34)/AV34,2)))</f>
        <v>0</v>
      </c>
      <c r="AX34" s="43">
        <f>IF(B34="","",IF(AND(A34&lt;&gt;"",ISERROR(MATCH(A34,Products!$A$5:$A$304,0))),"Check - no such product ID",IF(AF34=0,"Add - no material cost yet",IF(AG34=0,"Add - how long does it take?",IF(AND(A34&lt;&gt;"",COUNTIFS('Material Usage'!$A$5:$A$904,A34)&gt;0),"Check - this product also has a bill of materials",IF(AND(A34&lt;&gt;"",COUNTIFS(Labor!$A$5:$A$304,A34)&gt;0),"Check - this product also has labour lines",IF(AW34&lt;MinimumWage,"Below - pays under minimum wage","OK")))))) )</f>
        <v>0</v>
      </c>
    </row>
    <row r="35" spans="26:50">
      <c r="Z35" s="36">
        <f>IF(B35="","",IF(I35&lt;&gt;"",I35,ROUND(IF(F35="",0,F35)*IF(G35="",0.85,G35)*IF(H35="",0.9,H35),1)))</f>
        <v>0</v>
      </c>
      <c r="AA35" s="36">
        <f>IF(B35="","",ROUND(Z35*(1+IF(J35="",DefaultWaste,J35)),1))</f>
        <v>0</v>
      </c>
      <c r="AB35" s="20">
        <f>IF(B35="","",ROUND(AA35*IFERROR(INDEX(Materials!$V$5:$V$254,MATCH(D35,Materials!$A$5:$A$254,0)),0),2))</f>
        <v>0</v>
      </c>
      <c r="AC35" s="36">
        <f>IF(B35="","",ROUND(Z35*IF(L35="",0,L35),2))</f>
        <v>0</v>
      </c>
      <c r="AD35" s="20">
        <f>IF(B35="","",ROUND(AC35*IFERROR(INDEX(Materials!$V$5:$V$254,MATCH(K35,Materials!$A$5:$A$254,0)),0),2))</f>
        <v>0</v>
      </c>
      <c r="AE35" s="20">
        <f>IF(B35="","",ROUND(IF(N35="",0,N35)*IF(O35="",0,O35),2))</f>
        <v>0</v>
      </c>
      <c r="AF35" s="20">
        <f>IF(B35="","",ROUND(AB35+AD35+AE35+IF(P35="",0,P35)+IF(Q35="",0,Q35)+IF(R35="",0,R35),2))</f>
        <v>0</v>
      </c>
      <c r="AG35" s="36">
        <f>IF(B35="","",ROUND(IF(U35="",0,U35)+IF(T35="",0,T35)/MAX(1,IF(S35="",DefaultBatchSize,S35)),1))</f>
        <v>0</v>
      </c>
      <c r="AH35" s="20">
        <f>IF(B35="","",IF(W35&lt;&gt;"",W35,LaborCostHour))</f>
        <v>0</v>
      </c>
      <c r="AI35" s="20">
        <f>IF(B35="","",ROUND(AG35/60*AH35,2))</f>
        <v>0</v>
      </c>
      <c r="AJ35" s="20">
        <f>IF(B35="","",ROUND(AG35/60*SuppliesPerHour,2))</f>
        <v>0</v>
      </c>
      <c r="AK35" s="20">
        <f>IF(B35="","",IF(OR(Z35="",Z35=0),"",ROUND(AF35/Z35*100,2)))</f>
        <v>0</v>
      </c>
      <c r="AL35" s="32">
        <f>IF(B35="","",IF(Z35="","",ROUND(Z35/7,0)))</f>
        <v>0</v>
      </c>
      <c r="AM35" s="20">
        <f>IF(B35="","",ROUND(AF35+AI35+AJ35,2))</f>
        <v>0</v>
      </c>
      <c r="AN35" s="33">
        <f>IF(B35="","",IFERROR(INDEX(Channels!$S$5:$S$18,MATCH(DefaultChannel,Channels!$A$5:$A$18,0)),0))</f>
        <v>0</v>
      </c>
      <c r="AO35" s="20">
        <f>IF(B35="","",IFERROR(INDEX(Channels!$T$5:$T$18,MATCH(DefaultChannel,Channels!$A$5:$A$18,0)),0))</f>
        <v>0</v>
      </c>
      <c r="AP35" s="41">
        <f>IF(B35="","",1-TargetRetailMargin-AN35)</f>
        <v>0</v>
      </c>
      <c r="AQ35" s="20">
        <f>IF(B35="","",IF(AP35&lt;=0,"",(AM35+AO35)/AP35))</f>
        <v>0</v>
      </c>
      <c r="AR35" s="20">
        <f>IF(B35="","",IF(AQ35="","Check the settings",ROUND(IF(RoundingRule="None",AQ35,IF(RoundingRule="Nearest 0.99",MAX(0.99,CEILING(AQ35,1)-0.01),IF(RoundingRule="Nearest 0.95",MAX(0.95,CEILING(AQ35,1)-0.05),IF(RoundingRule="Nearest 0.50",CEILING(AQ35,0.5),IF(RoundingRule="Nearest 1",CEILING(AQ35,1),IF(RoundingRule="Nearest 5",CEILING(AQ35,5),IF(RoundingRule="Up to whole 1",CEILING(AQ35,1),IF(RoundingRule="Up to whole 5",CEILING(AQ35,5),ROUND(AQ35,2))))))))),2)))</f>
        <v>0</v>
      </c>
      <c r="AS35" s="20">
        <f>IF(B35="","",IF(X35&lt;&gt;"",X35,IF(ISNUMBER(AR35),AR35,"")))</f>
        <v>0</v>
      </c>
      <c r="AT35" s="20">
        <f>IF(B35="","",IF(AS35="","",ROUND(AS35-AM35-(AS35*AN35+AO35),2)))</f>
        <v>0</v>
      </c>
      <c r="AU35" s="33">
        <f>IF(B35="","",IF(OR(AS35="",AS35=0),"",AT35/AS35))</f>
        <v>0</v>
      </c>
      <c r="AV35" s="41">
        <f>IF(B35="","",ROUND(AG35/60,3))</f>
        <v>0</v>
      </c>
      <c r="AW35" s="20">
        <f>IF(B35="","",IF(OR(AV35=0,AV35="",AT35=""),"",ROUND((AT35+AI35)/AV35,2)))</f>
        <v>0</v>
      </c>
      <c r="AX35" s="43">
        <f>IF(B35="","",IF(AND(A35&lt;&gt;"",ISERROR(MATCH(A35,Products!$A$5:$A$304,0))),"Check - no such product ID",IF(AF35=0,"Add - no material cost yet",IF(AG35=0,"Add - how long does it take?",IF(AND(A35&lt;&gt;"",COUNTIFS('Material Usage'!$A$5:$A$904,A35)&gt;0),"Check - this product also has a bill of materials",IF(AND(A35&lt;&gt;"",COUNTIFS(Labor!$A$5:$A$304,A35)&gt;0),"Check - this product also has labour lines",IF(AW35&lt;MinimumWage,"Below - pays under minimum wage","OK")))))) )</f>
        <v>0</v>
      </c>
    </row>
    <row r="36" spans="26:50">
      <c r="Z36" s="36">
        <f>IF(B36="","",IF(I36&lt;&gt;"",I36,ROUND(IF(F36="",0,F36)*IF(G36="",0.85,G36)*IF(H36="",0.9,H36),1)))</f>
        <v>0</v>
      </c>
      <c r="AA36" s="36">
        <f>IF(B36="","",ROUND(Z36*(1+IF(J36="",DefaultWaste,J36)),1))</f>
        <v>0</v>
      </c>
      <c r="AB36" s="20">
        <f>IF(B36="","",ROUND(AA36*IFERROR(INDEX(Materials!$V$5:$V$254,MATCH(D36,Materials!$A$5:$A$254,0)),0),2))</f>
        <v>0</v>
      </c>
      <c r="AC36" s="36">
        <f>IF(B36="","",ROUND(Z36*IF(L36="",0,L36),2))</f>
        <v>0</v>
      </c>
      <c r="AD36" s="20">
        <f>IF(B36="","",ROUND(AC36*IFERROR(INDEX(Materials!$V$5:$V$254,MATCH(K36,Materials!$A$5:$A$254,0)),0),2))</f>
        <v>0</v>
      </c>
      <c r="AE36" s="20">
        <f>IF(B36="","",ROUND(IF(N36="",0,N36)*IF(O36="",0,O36),2))</f>
        <v>0</v>
      </c>
      <c r="AF36" s="20">
        <f>IF(B36="","",ROUND(AB36+AD36+AE36+IF(P36="",0,P36)+IF(Q36="",0,Q36)+IF(R36="",0,R36),2))</f>
        <v>0</v>
      </c>
      <c r="AG36" s="36">
        <f>IF(B36="","",ROUND(IF(U36="",0,U36)+IF(T36="",0,T36)/MAX(1,IF(S36="",DefaultBatchSize,S36)),1))</f>
        <v>0</v>
      </c>
      <c r="AH36" s="20">
        <f>IF(B36="","",IF(W36&lt;&gt;"",W36,LaborCostHour))</f>
        <v>0</v>
      </c>
      <c r="AI36" s="20">
        <f>IF(B36="","",ROUND(AG36/60*AH36,2))</f>
        <v>0</v>
      </c>
      <c r="AJ36" s="20">
        <f>IF(B36="","",ROUND(AG36/60*SuppliesPerHour,2))</f>
        <v>0</v>
      </c>
      <c r="AK36" s="20">
        <f>IF(B36="","",IF(OR(Z36="",Z36=0),"",ROUND(AF36/Z36*100,2)))</f>
        <v>0</v>
      </c>
      <c r="AL36" s="32">
        <f>IF(B36="","",IF(Z36="","",ROUND(Z36/7,0)))</f>
        <v>0</v>
      </c>
      <c r="AM36" s="20">
        <f>IF(B36="","",ROUND(AF36+AI36+AJ36,2))</f>
        <v>0</v>
      </c>
      <c r="AN36" s="33">
        <f>IF(B36="","",IFERROR(INDEX(Channels!$S$5:$S$18,MATCH(DefaultChannel,Channels!$A$5:$A$18,0)),0))</f>
        <v>0</v>
      </c>
      <c r="AO36" s="20">
        <f>IF(B36="","",IFERROR(INDEX(Channels!$T$5:$T$18,MATCH(DefaultChannel,Channels!$A$5:$A$18,0)),0))</f>
        <v>0</v>
      </c>
      <c r="AP36" s="41">
        <f>IF(B36="","",1-TargetRetailMargin-AN36)</f>
        <v>0</v>
      </c>
      <c r="AQ36" s="20">
        <f>IF(B36="","",IF(AP36&lt;=0,"",(AM36+AO36)/AP36))</f>
        <v>0</v>
      </c>
      <c r="AR36" s="20">
        <f>IF(B36="","",IF(AQ36="","Check the settings",ROUND(IF(RoundingRule="None",AQ36,IF(RoundingRule="Nearest 0.99",MAX(0.99,CEILING(AQ36,1)-0.01),IF(RoundingRule="Nearest 0.95",MAX(0.95,CEILING(AQ36,1)-0.05),IF(RoundingRule="Nearest 0.50",CEILING(AQ36,0.5),IF(RoundingRule="Nearest 1",CEILING(AQ36,1),IF(RoundingRule="Nearest 5",CEILING(AQ36,5),IF(RoundingRule="Up to whole 1",CEILING(AQ36,1),IF(RoundingRule="Up to whole 5",CEILING(AQ36,5),ROUND(AQ36,2))))))))),2)))</f>
        <v>0</v>
      </c>
      <c r="AS36" s="20">
        <f>IF(B36="","",IF(X36&lt;&gt;"",X36,IF(ISNUMBER(AR36),AR36,"")))</f>
        <v>0</v>
      </c>
      <c r="AT36" s="20">
        <f>IF(B36="","",IF(AS36="","",ROUND(AS36-AM36-(AS36*AN36+AO36),2)))</f>
        <v>0</v>
      </c>
      <c r="AU36" s="33">
        <f>IF(B36="","",IF(OR(AS36="",AS36=0),"",AT36/AS36))</f>
        <v>0</v>
      </c>
      <c r="AV36" s="41">
        <f>IF(B36="","",ROUND(AG36/60,3))</f>
        <v>0</v>
      </c>
      <c r="AW36" s="20">
        <f>IF(B36="","",IF(OR(AV36=0,AV36="",AT36=""),"",ROUND((AT36+AI36)/AV36,2)))</f>
        <v>0</v>
      </c>
      <c r="AX36" s="43">
        <f>IF(B36="","",IF(AND(A36&lt;&gt;"",ISERROR(MATCH(A36,Products!$A$5:$A$304,0))),"Check - no such product ID",IF(AF36=0,"Add - no material cost yet",IF(AG36=0,"Add - how long does it take?",IF(AND(A36&lt;&gt;"",COUNTIFS('Material Usage'!$A$5:$A$904,A36)&gt;0),"Check - this product also has a bill of materials",IF(AND(A36&lt;&gt;"",COUNTIFS(Labor!$A$5:$A$304,A36)&gt;0),"Check - this product also has labour lines",IF(AW36&lt;MinimumWage,"Below - pays under minimum wage","OK")))))) )</f>
        <v>0</v>
      </c>
    </row>
    <row r="37" spans="26:50">
      <c r="Z37" s="36">
        <f>IF(B37="","",IF(I37&lt;&gt;"",I37,ROUND(IF(F37="",0,F37)*IF(G37="",0.85,G37)*IF(H37="",0.9,H37),1)))</f>
        <v>0</v>
      </c>
      <c r="AA37" s="36">
        <f>IF(B37="","",ROUND(Z37*(1+IF(J37="",DefaultWaste,J37)),1))</f>
        <v>0</v>
      </c>
      <c r="AB37" s="20">
        <f>IF(B37="","",ROUND(AA37*IFERROR(INDEX(Materials!$V$5:$V$254,MATCH(D37,Materials!$A$5:$A$254,0)),0),2))</f>
        <v>0</v>
      </c>
      <c r="AC37" s="36">
        <f>IF(B37="","",ROUND(Z37*IF(L37="",0,L37),2))</f>
        <v>0</v>
      </c>
      <c r="AD37" s="20">
        <f>IF(B37="","",ROUND(AC37*IFERROR(INDEX(Materials!$V$5:$V$254,MATCH(K37,Materials!$A$5:$A$254,0)),0),2))</f>
        <v>0</v>
      </c>
      <c r="AE37" s="20">
        <f>IF(B37="","",ROUND(IF(N37="",0,N37)*IF(O37="",0,O37),2))</f>
        <v>0</v>
      </c>
      <c r="AF37" s="20">
        <f>IF(B37="","",ROUND(AB37+AD37+AE37+IF(P37="",0,P37)+IF(Q37="",0,Q37)+IF(R37="",0,R37),2))</f>
        <v>0</v>
      </c>
      <c r="AG37" s="36">
        <f>IF(B37="","",ROUND(IF(U37="",0,U37)+IF(T37="",0,T37)/MAX(1,IF(S37="",DefaultBatchSize,S37)),1))</f>
        <v>0</v>
      </c>
      <c r="AH37" s="20">
        <f>IF(B37="","",IF(W37&lt;&gt;"",W37,LaborCostHour))</f>
        <v>0</v>
      </c>
      <c r="AI37" s="20">
        <f>IF(B37="","",ROUND(AG37/60*AH37,2))</f>
        <v>0</v>
      </c>
      <c r="AJ37" s="20">
        <f>IF(B37="","",ROUND(AG37/60*SuppliesPerHour,2))</f>
        <v>0</v>
      </c>
      <c r="AK37" s="20">
        <f>IF(B37="","",IF(OR(Z37="",Z37=0),"",ROUND(AF37/Z37*100,2)))</f>
        <v>0</v>
      </c>
      <c r="AL37" s="32">
        <f>IF(B37="","",IF(Z37="","",ROUND(Z37/7,0)))</f>
        <v>0</v>
      </c>
      <c r="AM37" s="20">
        <f>IF(B37="","",ROUND(AF37+AI37+AJ37,2))</f>
        <v>0</v>
      </c>
      <c r="AN37" s="33">
        <f>IF(B37="","",IFERROR(INDEX(Channels!$S$5:$S$18,MATCH(DefaultChannel,Channels!$A$5:$A$18,0)),0))</f>
        <v>0</v>
      </c>
      <c r="AO37" s="20">
        <f>IF(B37="","",IFERROR(INDEX(Channels!$T$5:$T$18,MATCH(DefaultChannel,Channels!$A$5:$A$18,0)),0))</f>
        <v>0</v>
      </c>
      <c r="AP37" s="41">
        <f>IF(B37="","",1-TargetRetailMargin-AN37)</f>
        <v>0</v>
      </c>
      <c r="AQ37" s="20">
        <f>IF(B37="","",IF(AP37&lt;=0,"",(AM37+AO37)/AP37))</f>
        <v>0</v>
      </c>
      <c r="AR37" s="20">
        <f>IF(B37="","",IF(AQ37="","Check the settings",ROUND(IF(RoundingRule="None",AQ37,IF(RoundingRule="Nearest 0.99",MAX(0.99,CEILING(AQ37,1)-0.01),IF(RoundingRule="Nearest 0.95",MAX(0.95,CEILING(AQ37,1)-0.05),IF(RoundingRule="Nearest 0.50",CEILING(AQ37,0.5),IF(RoundingRule="Nearest 1",CEILING(AQ37,1),IF(RoundingRule="Nearest 5",CEILING(AQ37,5),IF(RoundingRule="Up to whole 1",CEILING(AQ37,1),IF(RoundingRule="Up to whole 5",CEILING(AQ37,5),ROUND(AQ37,2))))))))),2)))</f>
        <v>0</v>
      </c>
      <c r="AS37" s="20">
        <f>IF(B37="","",IF(X37&lt;&gt;"",X37,IF(ISNUMBER(AR37),AR37,"")))</f>
        <v>0</v>
      </c>
      <c r="AT37" s="20">
        <f>IF(B37="","",IF(AS37="","",ROUND(AS37-AM37-(AS37*AN37+AO37),2)))</f>
        <v>0</v>
      </c>
      <c r="AU37" s="33">
        <f>IF(B37="","",IF(OR(AS37="",AS37=0),"",AT37/AS37))</f>
        <v>0</v>
      </c>
      <c r="AV37" s="41">
        <f>IF(B37="","",ROUND(AG37/60,3))</f>
        <v>0</v>
      </c>
      <c r="AW37" s="20">
        <f>IF(B37="","",IF(OR(AV37=0,AV37="",AT37=""),"",ROUND((AT37+AI37)/AV37,2)))</f>
        <v>0</v>
      </c>
      <c r="AX37" s="43">
        <f>IF(B37="","",IF(AND(A37&lt;&gt;"",ISERROR(MATCH(A37,Products!$A$5:$A$304,0))),"Check - no such product ID",IF(AF37=0,"Add - no material cost yet",IF(AG37=0,"Add - how long does it take?",IF(AND(A37&lt;&gt;"",COUNTIFS('Material Usage'!$A$5:$A$904,A37)&gt;0),"Check - this product also has a bill of materials",IF(AND(A37&lt;&gt;"",COUNTIFS(Labor!$A$5:$A$304,A37)&gt;0),"Check - this product also has labour lines",IF(AW37&lt;MinimumWage,"Below - pays under minimum wage","OK")))))) )</f>
        <v>0</v>
      </c>
    </row>
    <row r="38" spans="26:50">
      <c r="Z38" s="36">
        <f>IF(B38="","",IF(I38&lt;&gt;"",I38,ROUND(IF(F38="",0,F38)*IF(G38="",0.85,G38)*IF(H38="",0.9,H38),1)))</f>
        <v>0</v>
      </c>
      <c r="AA38" s="36">
        <f>IF(B38="","",ROUND(Z38*(1+IF(J38="",DefaultWaste,J38)),1))</f>
        <v>0</v>
      </c>
      <c r="AB38" s="20">
        <f>IF(B38="","",ROUND(AA38*IFERROR(INDEX(Materials!$V$5:$V$254,MATCH(D38,Materials!$A$5:$A$254,0)),0),2))</f>
        <v>0</v>
      </c>
      <c r="AC38" s="36">
        <f>IF(B38="","",ROUND(Z38*IF(L38="",0,L38),2))</f>
        <v>0</v>
      </c>
      <c r="AD38" s="20">
        <f>IF(B38="","",ROUND(AC38*IFERROR(INDEX(Materials!$V$5:$V$254,MATCH(K38,Materials!$A$5:$A$254,0)),0),2))</f>
        <v>0</v>
      </c>
      <c r="AE38" s="20">
        <f>IF(B38="","",ROUND(IF(N38="",0,N38)*IF(O38="",0,O38),2))</f>
        <v>0</v>
      </c>
      <c r="AF38" s="20">
        <f>IF(B38="","",ROUND(AB38+AD38+AE38+IF(P38="",0,P38)+IF(Q38="",0,Q38)+IF(R38="",0,R38),2))</f>
        <v>0</v>
      </c>
      <c r="AG38" s="36">
        <f>IF(B38="","",ROUND(IF(U38="",0,U38)+IF(T38="",0,T38)/MAX(1,IF(S38="",DefaultBatchSize,S38)),1))</f>
        <v>0</v>
      </c>
      <c r="AH38" s="20">
        <f>IF(B38="","",IF(W38&lt;&gt;"",W38,LaborCostHour))</f>
        <v>0</v>
      </c>
      <c r="AI38" s="20">
        <f>IF(B38="","",ROUND(AG38/60*AH38,2))</f>
        <v>0</v>
      </c>
      <c r="AJ38" s="20">
        <f>IF(B38="","",ROUND(AG38/60*SuppliesPerHour,2))</f>
        <v>0</v>
      </c>
      <c r="AK38" s="20">
        <f>IF(B38="","",IF(OR(Z38="",Z38=0),"",ROUND(AF38/Z38*100,2)))</f>
        <v>0</v>
      </c>
      <c r="AL38" s="32">
        <f>IF(B38="","",IF(Z38="","",ROUND(Z38/7,0)))</f>
        <v>0</v>
      </c>
      <c r="AM38" s="20">
        <f>IF(B38="","",ROUND(AF38+AI38+AJ38,2))</f>
        <v>0</v>
      </c>
      <c r="AN38" s="33">
        <f>IF(B38="","",IFERROR(INDEX(Channels!$S$5:$S$18,MATCH(DefaultChannel,Channels!$A$5:$A$18,0)),0))</f>
        <v>0</v>
      </c>
      <c r="AO38" s="20">
        <f>IF(B38="","",IFERROR(INDEX(Channels!$T$5:$T$18,MATCH(DefaultChannel,Channels!$A$5:$A$18,0)),0))</f>
        <v>0</v>
      </c>
      <c r="AP38" s="41">
        <f>IF(B38="","",1-TargetRetailMargin-AN38)</f>
        <v>0</v>
      </c>
      <c r="AQ38" s="20">
        <f>IF(B38="","",IF(AP38&lt;=0,"",(AM38+AO38)/AP38))</f>
        <v>0</v>
      </c>
      <c r="AR38" s="20">
        <f>IF(B38="","",IF(AQ38="","Check the settings",ROUND(IF(RoundingRule="None",AQ38,IF(RoundingRule="Nearest 0.99",MAX(0.99,CEILING(AQ38,1)-0.01),IF(RoundingRule="Nearest 0.95",MAX(0.95,CEILING(AQ38,1)-0.05),IF(RoundingRule="Nearest 0.50",CEILING(AQ38,0.5),IF(RoundingRule="Nearest 1",CEILING(AQ38,1),IF(RoundingRule="Nearest 5",CEILING(AQ38,5),IF(RoundingRule="Up to whole 1",CEILING(AQ38,1),IF(RoundingRule="Up to whole 5",CEILING(AQ38,5),ROUND(AQ38,2))))))))),2)))</f>
        <v>0</v>
      </c>
      <c r="AS38" s="20">
        <f>IF(B38="","",IF(X38&lt;&gt;"",X38,IF(ISNUMBER(AR38),AR38,"")))</f>
        <v>0</v>
      </c>
      <c r="AT38" s="20">
        <f>IF(B38="","",IF(AS38="","",ROUND(AS38-AM38-(AS38*AN38+AO38),2)))</f>
        <v>0</v>
      </c>
      <c r="AU38" s="33">
        <f>IF(B38="","",IF(OR(AS38="",AS38=0),"",AT38/AS38))</f>
        <v>0</v>
      </c>
      <c r="AV38" s="41">
        <f>IF(B38="","",ROUND(AG38/60,3))</f>
        <v>0</v>
      </c>
      <c r="AW38" s="20">
        <f>IF(B38="","",IF(OR(AV38=0,AV38="",AT38=""),"",ROUND((AT38+AI38)/AV38,2)))</f>
        <v>0</v>
      </c>
      <c r="AX38" s="43">
        <f>IF(B38="","",IF(AND(A38&lt;&gt;"",ISERROR(MATCH(A38,Products!$A$5:$A$304,0))),"Check - no such product ID",IF(AF38=0,"Add - no material cost yet",IF(AG38=0,"Add - how long does it take?",IF(AND(A38&lt;&gt;"",COUNTIFS('Material Usage'!$A$5:$A$904,A38)&gt;0),"Check - this product also has a bill of materials",IF(AND(A38&lt;&gt;"",COUNTIFS(Labor!$A$5:$A$304,A38)&gt;0),"Check - this product also has labour lines",IF(AW38&lt;MinimumWage,"Below - pays under minimum wage","OK")))))) )</f>
        <v>0</v>
      </c>
    </row>
    <row r="39" spans="26:50">
      <c r="Z39" s="36">
        <f>IF(B39="","",IF(I39&lt;&gt;"",I39,ROUND(IF(F39="",0,F39)*IF(G39="",0.85,G39)*IF(H39="",0.9,H39),1)))</f>
        <v>0</v>
      </c>
      <c r="AA39" s="36">
        <f>IF(B39="","",ROUND(Z39*(1+IF(J39="",DefaultWaste,J39)),1))</f>
        <v>0</v>
      </c>
      <c r="AB39" s="20">
        <f>IF(B39="","",ROUND(AA39*IFERROR(INDEX(Materials!$V$5:$V$254,MATCH(D39,Materials!$A$5:$A$254,0)),0),2))</f>
        <v>0</v>
      </c>
      <c r="AC39" s="36">
        <f>IF(B39="","",ROUND(Z39*IF(L39="",0,L39),2))</f>
        <v>0</v>
      </c>
      <c r="AD39" s="20">
        <f>IF(B39="","",ROUND(AC39*IFERROR(INDEX(Materials!$V$5:$V$254,MATCH(K39,Materials!$A$5:$A$254,0)),0),2))</f>
        <v>0</v>
      </c>
      <c r="AE39" s="20">
        <f>IF(B39="","",ROUND(IF(N39="",0,N39)*IF(O39="",0,O39),2))</f>
        <v>0</v>
      </c>
      <c r="AF39" s="20">
        <f>IF(B39="","",ROUND(AB39+AD39+AE39+IF(P39="",0,P39)+IF(Q39="",0,Q39)+IF(R39="",0,R39),2))</f>
        <v>0</v>
      </c>
      <c r="AG39" s="36">
        <f>IF(B39="","",ROUND(IF(U39="",0,U39)+IF(T39="",0,T39)/MAX(1,IF(S39="",DefaultBatchSize,S39)),1))</f>
        <v>0</v>
      </c>
      <c r="AH39" s="20">
        <f>IF(B39="","",IF(W39&lt;&gt;"",W39,LaborCostHour))</f>
        <v>0</v>
      </c>
      <c r="AI39" s="20">
        <f>IF(B39="","",ROUND(AG39/60*AH39,2))</f>
        <v>0</v>
      </c>
      <c r="AJ39" s="20">
        <f>IF(B39="","",ROUND(AG39/60*SuppliesPerHour,2))</f>
        <v>0</v>
      </c>
      <c r="AK39" s="20">
        <f>IF(B39="","",IF(OR(Z39="",Z39=0),"",ROUND(AF39/Z39*100,2)))</f>
        <v>0</v>
      </c>
      <c r="AL39" s="32">
        <f>IF(B39="","",IF(Z39="","",ROUND(Z39/7,0)))</f>
        <v>0</v>
      </c>
      <c r="AM39" s="20">
        <f>IF(B39="","",ROUND(AF39+AI39+AJ39,2))</f>
        <v>0</v>
      </c>
      <c r="AN39" s="33">
        <f>IF(B39="","",IFERROR(INDEX(Channels!$S$5:$S$18,MATCH(DefaultChannel,Channels!$A$5:$A$18,0)),0))</f>
        <v>0</v>
      </c>
      <c r="AO39" s="20">
        <f>IF(B39="","",IFERROR(INDEX(Channels!$T$5:$T$18,MATCH(DefaultChannel,Channels!$A$5:$A$18,0)),0))</f>
        <v>0</v>
      </c>
      <c r="AP39" s="41">
        <f>IF(B39="","",1-TargetRetailMargin-AN39)</f>
        <v>0</v>
      </c>
      <c r="AQ39" s="20">
        <f>IF(B39="","",IF(AP39&lt;=0,"",(AM39+AO39)/AP39))</f>
        <v>0</v>
      </c>
      <c r="AR39" s="20">
        <f>IF(B39="","",IF(AQ39="","Check the settings",ROUND(IF(RoundingRule="None",AQ39,IF(RoundingRule="Nearest 0.99",MAX(0.99,CEILING(AQ39,1)-0.01),IF(RoundingRule="Nearest 0.95",MAX(0.95,CEILING(AQ39,1)-0.05),IF(RoundingRule="Nearest 0.50",CEILING(AQ39,0.5),IF(RoundingRule="Nearest 1",CEILING(AQ39,1),IF(RoundingRule="Nearest 5",CEILING(AQ39,5),IF(RoundingRule="Up to whole 1",CEILING(AQ39,1),IF(RoundingRule="Up to whole 5",CEILING(AQ39,5),ROUND(AQ39,2))))))))),2)))</f>
        <v>0</v>
      </c>
      <c r="AS39" s="20">
        <f>IF(B39="","",IF(X39&lt;&gt;"",X39,IF(ISNUMBER(AR39),AR39,"")))</f>
        <v>0</v>
      </c>
      <c r="AT39" s="20">
        <f>IF(B39="","",IF(AS39="","",ROUND(AS39-AM39-(AS39*AN39+AO39),2)))</f>
        <v>0</v>
      </c>
      <c r="AU39" s="33">
        <f>IF(B39="","",IF(OR(AS39="",AS39=0),"",AT39/AS39))</f>
        <v>0</v>
      </c>
      <c r="AV39" s="41">
        <f>IF(B39="","",ROUND(AG39/60,3))</f>
        <v>0</v>
      </c>
      <c r="AW39" s="20">
        <f>IF(B39="","",IF(OR(AV39=0,AV39="",AT39=""),"",ROUND((AT39+AI39)/AV39,2)))</f>
        <v>0</v>
      </c>
      <c r="AX39" s="43">
        <f>IF(B39="","",IF(AND(A39&lt;&gt;"",ISERROR(MATCH(A39,Products!$A$5:$A$304,0))),"Check - no such product ID",IF(AF39=0,"Add - no material cost yet",IF(AG39=0,"Add - how long does it take?",IF(AND(A39&lt;&gt;"",COUNTIFS('Material Usage'!$A$5:$A$904,A39)&gt;0),"Check - this product also has a bill of materials",IF(AND(A39&lt;&gt;"",COUNTIFS(Labor!$A$5:$A$304,A39)&gt;0),"Check - this product also has labour lines",IF(AW39&lt;MinimumWage,"Below - pays under minimum wage","OK")))))) )</f>
        <v>0</v>
      </c>
    </row>
    <row r="40" spans="26:50">
      <c r="Z40" s="36">
        <f>IF(B40="","",IF(I40&lt;&gt;"",I40,ROUND(IF(F40="",0,F40)*IF(G40="",0.85,G40)*IF(H40="",0.9,H40),1)))</f>
        <v>0</v>
      </c>
      <c r="AA40" s="36">
        <f>IF(B40="","",ROUND(Z40*(1+IF(J40="",DefaultWaste,J40)),1))</f>
        <v>0</v>
      </c>
      <c r="AB40" s="20">
        <f>IF(B40="","",ROUND(AA40*IFERROR(INDEX(Materials!$V$5:$V$254,MATCH(D40,Materials!$A$5:$A$254,0)),0),2))</f>
        <v>0</v>
      </c>
      <c r="AC40" s="36">
        <f>IF(B40="","",ROUND(Z40*IF(L40="",0,L40),2))</f>
        <v>0</v>
      </c>
      <c r="AD40" s="20">
        <f>IF(B40="","",ROUND(AC40*IFERROR(INDEX(Materials!$V$5:$V$254,MATCH(K40,Materials!$A$5:$A$254,0)),0),2))</f>
        <v>0</v>
      </c>
      <c r="AE40" s="20">
        <f>IF(B40="","",ROUND(IF(N40="",0,N40)*IF(O40="",0,O40),2))</f>
        <v>0</v>
      </c>
      <c r="AF40" s="20">
        <f>IF(B40="","",ROUND(AB40+AD40+AE40+IF(P40="",0,P40)+IF(Q40="",0,Q40)+IF(R40="",0,R40),2))</f>
        <v>0</v>
      </c>
      <c r="AG40" s="36">
        <f>IF(B40="","",ROUND(IF(U40="",0,U40)+IF(T40="",0,T40)/MAX(1,IF(S40="",DefaultBatchSize,S40)),1))</f>
        <v>0</v>
      </c>
      <c r="AH40" s="20">
        <f>IF(B40="","",IF(W40&lt;&gt;"",W40,LaborCostHour))</f>
        <v>0</v>
      </c>
      <c r="AI40" s="20">
        <f>IF(B40="","",ROUND(AG40/60*AH40,2))</f>
        <v>0</v>
      </c>
      <c r="AJ40" s="20">
        <f>IF(B40="","",ROUND(AG40/60*SuppliesPerHour,2))</f>
        <v>0</v>
      </c>
      <c r="AK40" s="20">
        <f>IF(B40="","",IF(OR(Z40="",Z40=0),"",ROUND(AF40/Z40*100,2)))</f>
        <v>0</v>
      </c>
      <c r="AL40" s="32">
        <f>IF(B40="","",IF(Z40="","",ROUND(Z40/7,0)))</f>
        <v>0</v>
      </c>
      <c r="AM40" s="20">
        <f>IF(B40="","",ROUND(AF40+AI40+AJ40,2))</f>
        <v>0</v>
      </c>
      <c r="AN40" s="33">
        <f>IF(B40="","",IFERROR(INDEX(Channels!$S$5:$S$18,MATCH(DefaultChannel,Channels!$A$5:$A$18,0)),0))</f>
        <v>0</v>
      </c>
      <c r="AO40" s="20">
        <f>IF(B40="","",IFERROR(INDEX(Channels!$T$5:$T$18,MATCH(DefaultChannel,Channels!$A$5:$A$18,0)),0))</f>
        <v>0</v>
      </c>
      <c r="AP40" s="41">
        <f>IF(B40="","",1-TargetRetailMargin-AN40)</f>
        <v>0</v>
      </c>
      <c r="AQ40" s="20">
        <f>IF(B40="","",IF(AP40&lt;=0,"",(AM40+AO40)/AP40))</f>
        <v>0</v>
      </c>
      <c r="AR40" s="20">
        <f>IF(B40="","",IF(AQ40="","Check the settings",ROUND(IF(RoundingRule="None",AQ40,IF(RoundingRule="Nearest 0.99",MAX(0.99,CEILING(AQ40,1)-0.01),IF(RoundingRule="Nearest 0.95",MAX(0.95,CEILING(AQ40,1)-0.05),IF(RoundingRule="Nearest 0.50",CEILING(AQ40,0.5),IF(RoundingRule="Nearest 1",CEILING(AQ40,1),IF(RoundingRule="Nearest 5",CEILING(AQ40,5),IF(RoundingRule="Up to whole 1",CEILING(AQ40,1),IF(RoundingRule="Up to whole 5",CEILING(AQ40,5),ROUND(AQ40,2))))))))),2)))</f>
        <v>0</v>
      </c>
      <c r="AS40" s="20">
        <f>IF(B40="","",IF(X40&lt;&gt;"",X40,IF(ISNUMBER(AR40),AR40,"")))</f>
        <v>0</v>
      </c>
      <c r="AT40" s="20">
        <f>IF(B40="","",IF(AS40="","",ROUND(AS40-AM40-(AS40*AN40+AO40),2)))</f>
        <v>0</v>
      </c>
      <c r="AU40" s="33">
        <f>IF(B40="","",IF(OR(AS40="",AS40=0),"",AT40/AS40))</f>
        <v>0</v>
      </c>
      <c r="AV40" s="41">
        <f>IF(B40="","",ROUND(AG40/60,3))</f>
        <v>0</v>
      </c>
      <c r="AW40" s="20">
        <f>IF(B40="","",IF(OR(AV40=0,AV40="",AT40=""),"",ROUND((AT40+AI40)/AV40,2)))</f>
        <v>0</v>
      </c>
      <c r="AX40" s="43">
        <f>IF(B40="","",IF(AND(A40&lt;&gt;"",ISERROR(MATCH(A40,Products!$A$5:$A$304,0))),"Check - no such product ID",IF(AF40=0,"Add - no material cost yet",IF(AG40=0,"Add - how long does it take?",IF(AND(A40&lt;&gt;"",COUNTIFS('Material Usage'!$A$5:$A$904,A40)&gt;0),"Check - this product also has a bill of materials",IF(AND(A40&lt;&gt;"",COUNTIFS(Labor!$A$5:$A$304,A40)&gt;0),"Check - this product also has labour lines",IF(AW40&lt;MinimumWage,"Below - pays under minimum wage","OK")))))) )</f>
        <v>0</v>
      </c>
    </row>
    <row r="41" spans="26:50">
      <c r="Z41" s="36">
        <f>IF(B41="","",IF(I41&lt;&gt;"",I41,ROUND(IF(F41="",0,F41)*IF(G41="",0.85,G41)*IF(H41="",0.9,H41),1)))</f>
        <v>0</v>
      </c>
      <c r="AA41" s="36">
        <f>IF(B41="","",ROUND(Z41*(1+IF(J41="",DefaultWaste,J41)),1))</f>
        <v>0</v>
      </c>
      <c r="AB41" s="20">
        <f>IF(B41="","",ROUND(AA41*IFERROR(INDEX(Materials!$V$5:$V$254,MATCH(D41,Materials!$A$5:$A$254,0)),0),2))</f>
        <v>0</v>
      </c>
      <c r="AC41" s="36">
        <f>IF(B41="","",ROUND(Z41*IF(L41="",0,L41),2))</f>
        <v>0</v>
      </c>
      <c r="AD41" s="20">
        <f>IF(B41="","",ROUND(AC41*IFERROR(INDEX(Materials!$V$5:$V$254,MATCH(K41,Materials!$A$5:$A$254,0)),0),2))</f>
        <v>0</v>
      </c>
      <c r="AE41" s="20">
        <f>IF(B41="","",ROUND(IF(N41="",0,N41)*IF(O41="",0,O41),2))</f>
        <v>0</v>
      </c>
      <c r="AF41" s="20">
        <f>IF(B41="","",ROUND(AB41+AD41+AE41+IF(P41="",0,P41)+IF(Q41="",0,Q41)+IF(R41="",0,R41),2))</f>
        <v>0</v>
      </c>
      <c r="AG41" s="36">
        <f>IF(B41="","",ROUND(IF(U41="",0,U41)+IF(T41="",0,T41)/MAX(1,IF(S41="",DefaultBatchSize,S41)),1))</f>
        <v>0</v>
      </c>
      <c r="AH41" s="20">
        <f>IF(B41="","",IF(W41&lt;&gt;"",W41,LaborCostHour))</f>
        <v>0</v>
      </c>
      <c r="AI41" s="20">
        <f>IF(B41="","",ROUND(AG41/60*AH41,2))</f>
        <v>0</v>
      </c>
      <c r="AJ41" s="20">
        <f>IF(B41="","",ROUND(AG41/60*SuppliesPerHour,2))</f>
        <v>0</v>
      </c>
      <c r="AK41" s="20">
        <f>IF(B41="","",IF(OR(Z41="",Z41=0),"",ROUND(AF41/Z41*100,2)))</f>
        <v>0</v>
      </c>
      <c r="AL41" s="32">
        <f>IF(B41="","",IF(Z41="","",ROUND(Z41/7,0)))</f>
        <v>0</v>
      </c>
      <c r="AM41" s="20">
        <f>IF(B41="","",ROUND(AF41+AI41+AJ41,2))</f>
        <v>0</v>
      </c>
      <c r="AN41" s="33">
        <f>IF(B41="","",IFERROR(INDEX(Channels!$S$5:$S$18,MATCH(DefaultChannel,Channels!$A$5:$A$18,0)),0))</f>
        <v>0</v>
      </c>
      <c r="AO41" s="20">
        <f>IF(B41="","",IFERROR(INDEX(Channels!$T$5:$T$18,MATCH(DefaultChannel,Channels!$A$5:$A$18,0)),0))</f>
        <v>0</v>
      </c>
      <c r="AP41" s="41">
        <f>IF(B41="","",1-TargetRetailMargin-AN41)</f>
        <v>0</v>
      </c>
      <c r="AQ41" s="20">
        <f>IF(B41="","",IF(AP41&lt;=0,"",(AM41+AO41)/AP41))</f>
        <v>0</v>
      </c>
      <c r="AR41" s="20">
        <f>IF(B41="","",IF(AQ41="","Check the settings",ROUND(IF(RoundingRule="None",AQ41,IF(RoundingRule="Nearest 0.99",MAX(0.99,CEILING(AQ41,1)-0.01),IF(RoundingRule="Nearest 0.95",MAX(0.95,CEILING(AQ41,1)-0.05),IF(RoundingRule="Nearest 0.50",CEILING(AQ41,0.5),IF(RoundingRule="Nearest 1",CEILING(AQ41,1),IF(RoundingRule="Nearest 5",CEILING(AQ41,5),IF(RoundingRule="Up to whole 1",CEILING(AQ41,1),IF(RoundingRule="Up to whole 5",CEILING(AQ41,5),ROUND(AQ41,2))))))))),2)))</f>
        <v>0</v>
      </c>
      <c r="AS41" s="20">
        <f>IF(B41="","",IF(X41&lt;&gt;"",X41,IF(ISNUMBER(AR41),AR41,"")))</f>
        <v>0</v>
      </c>
      <c r="AT41" s="20">
        <f>IF(B41="","",IF(AS41="","",ROUND(AS41-AM41-(AS41*AN41+AO41),2)))</f>
        <v>0</v>
      </c>
      <c r="AU41" s="33">
        <f>IF(B41="","",IF(OR(AS41="",AS41=0),"",AT41/AS41))</f>
        <v>0</v>
      </c>
      <c r="AV41" s="41">
        <f>IF(B41="","",ROUND(AG41/60,3))</f>
        <v>0</v>
      </c>
      <c r="AW41" s="20">
        <f>IF(B41="","",IF(OR(AV41=0,AV41="",AT41=""),"",ROUND((AT41+AI41)/AV41,2)))</f>
        <v>0</v>
      </c>
      <c r="AX41" s="43">
        <f>IF(B41="","",IF(AND(A41&lt;&gt;"",ISERROR(MATCH(A41,Products!$A$5:$A$304,0))),"Check - no such product ID",IF(AF41=0,"Add - no material cost yet",IF(AG41=0,"Add - how long does it take?",IF(AND(A41&lt;&gt;"",COUNTIFS('Material Usage'!$A$5:$A$904,A41)&gt;0),"Check - this product also has a bill of materials",IF(AND(A41&lt;&gt;"",COUNTIFS(Labor!$A$5:$A$304,A41)&gt;0),"Check - this product also has labour lines",IF(AW41&lt;MinimumWage,"Below - pays under minimum wage","OK")))))) )</f>
        <v>0</v>
      </c>
    </row>
    <row r="42" spans="26:50">
      <c r="Z42" s="36">
        <f>IF(B42="","",IF(I42&lt;&gt;"",I42,ROUND(IF(F42="",0,F42)*IF(G42="",0.85,G42)*IF(H42="",0.9,H42),1)))</f>
        <v>0</v>
      </c>
      <c r="AA42" s="36">
        <f>IF(B42="","",ROUND(Z42*(1+IF(J42="",DefaultWaste,J42)),1))</f>
        <v>0</v>
      </c>
      <c r="AB42" s="20">
        <f>IF(B42="","",ROUND(AA42*IFERROR(INDEX(Materials!$V$5:$V$254,MATCH(D42,Materials!$A$5:$A$254,0)),0),2))</f>
        <v>0</v>
      </c>
      <c r="AC42" s="36">
        <f>IF(B42="","",ROUND(Z42*IF(L42="",0,L42),2))</f>
        <v>0</v>
      </c>
      <c r="AD42" s="20">
        <f>IF(B42="","",ROUND(AC42*IFERROR(INDEX(Materials!$V$5:$V$254,MATCH(K42,Materials!$A$5:$A$254,0)),0),2))</f>
        <v>0</v>
      </c>
      <c r="AE42" s="20">
        <f>IF(B42="","",ROUND(IF(N42="",0,N42)*IF(O42="",0,O42),2))</f>
        <v>0</v>
      </c>
      <c r="AF42" s="20">
        <f>IF(B42="","",ROUND(AB42+AD42+AE42+IF(P42="",0,P42)+IF(Q42="",0,Q42)+IF(R42="",0,R42),2))</f>
        <v>0</v>
      </c>
      <c r="AG42" s="36">
        <f>IF(B42="","",ROUND(IF(U42="",0,U42)+IF(T42="",0,T42)/MAX(1,IF(S42="",DefaultBatchSize,S42)),1))</f>
        <v>0</v>
      </c>
      <c r="AH42" s="20">
        <f>IF(B42="","",IF(W42&lt;&gt;"",W42,LaborCostHour))</f>
        <v>0</v>
      </c>
      <c r="AI42" s="20">
        <f>IF(B42="","",ROUND(AG42/60*AH42,2))</f>
        <v>0</v>
      </c>
      <c r="AJ42" s="20">
        <f>IF(B42="","",ROUND(AG42/60*SuppliesPerHour,2))</f>
        <v>0</v>
      </c>
      <c r="AK42" s="20">
        <f>IF(B42="","",IF(OR(Z42="",Z42=0),"",ROUND(AF42/Z42*100,2)))</f>
        <v>0</v>
      </c>
      <c r="AL42" s="32">
        <f>IF(B42="","",IF(Z42="","",ROUND(Z42/7,0)))</f>
        <v>0</v>
      </c>
      <c r="AM42" s="20">
        <f>IF(B42="","",ROUND(AF42+AI42+AJ42,2))</f>
        <v>0</v>
      </c>
      <c r="AN42" s="33">
        <f>IF(B42="","",IFERROR(INDEX(Channels!$S$5:$S$18,MATCH(DefaultChannel,Channels!$A$5:$A$18,0)),0))</f>
        <v>0</v>
      </c>
      <c r="AO42" s="20">
        <f>IF(B42="","",IFERROR(INDEX(Channels!$T$5:$T$18,MATCH(DefaultChannel,Channels!$A$5:$A$18,0)),0))</f>
        <v>0</v>
      </c>
      <c r="AP42" s="41">
        <f>IF(B42="","",1-TargetRetailMargin-AN42)</f>
        <v>0</v>
      </c>
      <c r="AQ42" s="20">
        <f>IF(B42="","",IF(AP42&lt;=0,"",(AM42+AO42)/AP42))</f>
        <v>0</v>
      </c>
      <c r="AR42" s="20">
        <f>IF(B42="","",IF(AQ42="","Check the settings",ROUND(IF(RoundingRule="None",AQ42,IF(RoundingRule="Nearest 0.99",MAX(0.99,CEILING(AQ42,1)-0.01),IF(RoundingRule="Nearest 0.95",MAX(0.95,CEILING(AQ42,1)-0.05),IF(RoundingRule="Nearest 0.50",CEILING(AQ42,0.5),IF(RoundingRule="Nearest 1",CEILING(AQ42,1),IF(RoundingRule="Nearest 5",CEILING(AQ42,5),IF(RoundingRule="Up to whole 1",CEILING(AQ42,1),IF(RoundingRule="Up to whole 5",CEILING(AQ42,5),ROUND(AQ42,2))))))))),2)))</f>
        <v>0</v>
      </c>
      <c r="AS42" s="20">
        <f>IF(B42="","",IF(X42&lt;&gt;"",X42,IF(ISNUMBER(AR42),AR42,"")))</f>
        <v>0</v>
      </c>
      <c r="AT42" s="20">
        <f>IF(B42="","",IF(AS42="","",ROUND(AS42-AM42-(AS42*AN42+AO42),2)))</f>
        <v>0</v>
      </c>
      <c r="AU42" s="33">
        <f>IF(B42="","",IF(OR(AS42="",AS42=0),"",AT42/AS42))</f>
        <v>0</v>
      </c>
      <c r="AV42" s="41">
        <f>IF(B42="","",ROUND(AG42/60,3))</f>
        <v>0</v>
      </c>
      <c r="AW42" s="20">
        <f>IF(B42="","",IF(OR(AV42=0,AV42="",AT42=""),"",ROUND((AT42+AI42)/AV42,2)))</f>
        <v>0</v>
      </c>
      <c r="AX42" s="43">
        <f>IF(B42="","",IF(AND(A42&lt;&gt;"",ISERROR(MATCH(A42,Products!$A$5:$A$304,0))),"Check - no such product ID",IF(AF42=0,"Add - no material cost yet",IF(AG42=0,"Add - how long does it take?",IF(AND(A42&lt;&gt;"",COUNTIFS('Material Usage'!$A$5:$A$904,A42)&gt;0),"Check - this product also has a bill of materials",IF(AND(A42&lt;&gt;"",COUNTIFS(Labor!$A$5:$A$304,A42)&gt;0),"Check - this product also has labour lines",IF(AW42&lt;MinimumWage,"Below - pays under minimum wage","OK")))))) )</f>
        <v>0</v>
      </c>
    </row>
    <row r="43" spans="26:50">
      <c r="Z43" s="36">
        <f>IF(B43="","",IF(I43&lt;&gt;"",I43,ROUND(IF(F43="",0,F43)*IF(G43="",0.85,G43)*IF(H43="",0.9,H43),1)))</f>
        <v>0</v>
      </c>
      <c r="AA43" s="36">
        <f>IF(B43="","",ROUND(Z43*(1+IF(J43="",DefaultWaste,J43)),1))</f>
        <v>0</v>
      </c>
      <c r="AB43" s="20">
        <f>IF(B43="","",ROUND(AA43*IFERROR(INDEX(Materials!$V$5:$V$254,MATCH(D43,Materials!$A$5:$A$254,0)),0),2))</f>
        <v>0</v>
      </c>
      <c r="AC43" s="36">
        <f>IF(B43="","",ROUND(Z43*IF(L43="",0,L43),2))</f>
        <v>0</v>
      </c>
      <c r="AD43" s="20">
        <f>IF(B43="","",ROUND(AC43*IFERROR(INDEX(Materials!$V$5:$V$254,MATCH(K43,Materials!$A$5:$A$254,0)),0),2))</f>
        <v>0</v>
      </c>
      <c r="AE43" s="20">
        <f>IF(B43="","",ROUND(IF(N43="",0,N43)*IF(O43="",0,O43),2))</f>
        <v>0</v>
      </c>
      <c r="AF43" s="20">
        <f>IF(B43="","",ROUND(AB43+AD43+AE43+IF(P43="",0,P43)+IF(Q43="",0,Q43)+IF(R43="",0,R43),2))</f>
        <v>0</v>
      </c>
      <c r="AG43" s="36">
        <f>IF(B43="","",ROUND(IF(U43="",0,U43)+IF(T43="",0,T43)/MAX(1,IF(S43="",DefaultBatchSize,S43)),1))</f>
        <v>0</v>
      </c>
      <c r="AH43" s="20">
        <f>IF(B43="","",IF(W43&lt;&gt;"",W43,LaborCostHour))</f>
        <v>0</v>
      </c>
      <c r="AI43" s="20">
        <f>IF(B43="","",ROUND(AG43/60*AH43,2))</f>
        <v>0</v>
      </c>
      <c r="AJ43" s="20">
        <f>IF(B43="","",ROUND(AG43/60*SuppliesPerHour,2))</f>
        <v>0</v>
      </c>
      <c r="AK43" s="20">
        <f>IF(B43="","",IF(OR(Z43="",Z43=0),"",ROUND(AF43/Z43*100,2)))</f>
        <v>0</v>
      </c>
      <c r="AL43" s="32">
        <f>IF(B43="","",IF(Z43="","",ROUND(Z43/7,0)))</f>
        <v>0</v>
      </c>
      <c r="AM43" s="20">
        <f>IF(B43="","",ROUND(AF43+AI43+AJ43,2))</f>
        <v>0</v>
      </c>
      <c r="AN43" s="33">
        <f>IF(B43="","",IFERROR(INDEX(Channels!$S$5:$S$18,MATCH(DefaultChannel,Channels!$A$5:$A$18,0)),0))</f>
        <v>0</v>
      </c>
      <c r="AO43" s="20">
        <f>IF(B43="","",IFERROR(INDEX(Channels!$T$5:$T$18,MATCH(DefaultChannel,Channels!$A$5:$A$18,0)),0))</f>
        <v>0</v>
      </c>
      <c r="AP43" s="41">
        <f>IF(B43="","",1-TargetRetailMargin-AN43)</f>
        <v>0</v>
      </c>
      <c r="AQ43" s="20">
        <f>IF(B43="","",IF(AP43&lt;=0,"",(AM43+AO43)/AP43))</f>
        <v>0</v>
      </c>
      <c r="AR43" s="20">
        <f>IF(B43="","",IF(AQ43="","Check the settings",ROUND(IF(RoundingRule="None",AQ43,IF(RoundingRule="Nearest 0.99",MAX(0.99,CEILING(AQ43,1)-0.01),IF(RoundingRule="Nearest 0.95",MAX(0.95,CEILING(AQ43,1)-0.05),IF(RoundingRule="Nearest 0.50",CEILING(AQ43,0.5),IF(RoundingRule="Nearest 1",CEILING(AQ43,1),IF(RoundingRule="Nearest 5",CEILING(AQ43,5),IF(RoundingRule="Up to whole 1",CEILING(AQ43,1),IF(RoundingRule="Up to whole 5",CEILING(AQ43,5),ROUND(AQ43,2))))))))),2)))</f>
        <v>0</v>
      </c>
      <c r="AS43" s="20">
        <f>IF(B43="","",IF(X43&lt;&gt;"",X43,IF(ISNUMBER(AR43),AR43,"")))</f>
        <v>0</v>
      </c>
      <c r="AT43" s="20">
        <f>IF(B43="","",IF(AS43="","",ROUND(AS43-AM43-(AS43*AN43+AO43),2)))</f>
        <v>0</v>
      </c>
      <c r="AU43" s="33">
        <f>IF(B43="","",IF(OR(AS43="",AS43=0),"",AT43/AS43))</f>
        <v>0</v>
      </c>
      <c r="AV43" s="41">
        <f>IF(B43="","",ROUND(AG43/60,3))</f>
        <v>0</v>
      </c>
      <c r="AW43" s="20">
        <f>IF(B43="","",IF(OR(AV43=0,AV43="",AT43=""),"",ROUND((AT43+AI43)/AV43,2)))</f>
        <v>0</v>
      </c>
      <c r="AX43" s="43">
        <f>IF(B43="","",IF(AND(A43&lt;&gt;"",ISERROR(MATCH(A43,Products!$A$5:$A$304,0))),"Check - no such product ID",IF(AF43=0,"Add - no material cost yet",IF(AG43=0,"Add - how long does it take?",IF(AND(A43&lt;&gt;"",COUNTIFS('Material Usage'!$A$5:$A$904,A43)&gt;0),"Check - this product also has a bill of materials",IF(AND(A43&lt;&gt;"",COUNTIFS(Labor!$A$5:$A$304,A43)&gt;0),"Check - this product also has labour lines",IF(AW43&lt;MinimumWage,"Below - pays under minimum wage","OK")))))) )</f>
        <v>0</v>
      </c>
    </row>
    <row r="44" spans="26:50">
      <c r="Z44" s="36">
        <f>IF(B44="","",IF(I44&lt;&gt;"",I44,ROUND(IF(F44="",0,F44)*IF(G44="",0.85,G44)*IF(H44="",0.9,H44),1)))</f>
        <v>0</v>
      </c>
      <c r="AA44" s="36">
        <f>IF(B44="","",ROUND(Z44*(1+IF(J44="",DefaultWaste,J44)),1))</f>
        <v>0</v>
      </c>
      <c r="AB44" s="20">
        <f>IF(B44="","",ROUND(AA44*IFERROR(INDEX(Materials!$V$5:$V$254,MATCH(D44,Materials!$A$5:$A$254,0)),0),2))</f>
        <v>0</v>
      </c>
      <c r="AC44" s="36">
        <f>IF(B44="","",ROUND(Z44*IF(L44="",0,L44),2))</f>
        <v>0</v>
      </c>
      <c r="AD44" s="20">
        <f>IF(B44="","",ROUND(AC44*IFERROR(INDEX(Materials!$V$5:$V$254,MATCH(K44,Materials!$A$5:$A$254,0)),0),2))</f>
        <v>0</v>
      </c>
      <c r="AE44" s="20">
        <f>IF(B44="","",ROUND(IF(N44="",0,N44)*IF(O44="",0,O44),2))</f>
        <v>0</v>
      </c>
      <c r="AF44" s="20">
        <f>IF(B44="","",ROUND(AB44+AD44+AE44+IF(P44="",0,P44)+IF(Q44="",0,Q44)+IF(R44="",0,R44),2))</f>
        <v>0</v>
      </c>
      <c r="AG44" s="36">
        <f>IF(B44="","",ROUND(IF(U44="",0,U44)+IF(T44="",0,T44)/MAX(1,IF(S44="",DefaultBatchSize,S44)),1))</f>
        <v>0</v>
      </c>
      <c r="AH44" s="20">
        <f>IF(B44="","",IF(W44&lt;&gt;"",W44,LaborCostHour))</f>
        <v>0</v>
      </c>
      <c r="AI44" s="20">
        <f>IF(B44="","",ROUND(AG44/60*AH44,2))</f>
        <v>0</v>
      </c>
      <c r="AJ44" s="20">
        <f>IF(B44="","",ROUND(AG44/60*SuppliesPerHour,2))</f>
        <v>0</v>
      </c>
      <c r="AK44" s="20">
        <f>IF(B44="","",IF(OR(Z44="",Z44=0),"",ROUND(AF44/Z44*100,2)))</f>
        <v>0</v>
      </c>
      <c r="AL44" s="32">
        <f>IF(B44="","",IF(Z44="","",ROUND(Z44/7,0)))</f>
        <v>0</v>
      </c>
      <c r="AM44" s="20">
        <f>IF(B44="","",ROUND(AF44+AI44+AJ44,2))</f>
        <v>0</v>
      </c>
      <c r="AN44" s="33">
        <f>IF(B44="","",IFERROR(INDEX(Channels!$S$5:$S$18,MATCH(DefaultChannel,Channels!$A$5:$A$18,0)),0))</f>
        <v>0</v>
      </c>
      <c r="AO44" s="20">
        <f>IF(B44="","",IFERROR(INDEX(Channels!$T$5:$T$18,MATCH(DefaultChannel,Channels!$A$5:$A$18,0)),0))</f>
        <v>0</v>
      </c>
      <c r="AP44" s="41">
        <f>IF(B44="","",1-TargetRetailMargin-AN44)</f>
        <v>0</v>
      </c>
      <c r="AQ44" s="20">
        <f>IF(B44="","",IF(AP44&lt;=0,"",(AM44+AO44)/AP44))</f>
        <v>0</v>
      </c>
      <c r="AR44" s="20">
        <f>IF(B44="","",IF(AQ44="","Check the settings",ROUND(IF(RoundingRule="None",AQ44,IF(RoundingRule="Nearest 0.99",MAX(0.99,CEILING(AQ44,1)-0.01),IF(RoundingRule="Nearest 0.95",MAX(0.95,CEILING(AQ44,1)-0.05),IF(RoundingRule="Nearest 0.50",CEILING(AQ44,0.5),IF(RoundingRule="Nearest 1",CEILING(AQ44,1),IF(RoundingRule="Nearest 5",CEILING(AQ44,5),IF(RoundingRule="Up to whole 1",CEILING(AQ44,1),IF(RoundingRule="Up to whole 5",CEILING(AQ44,5),ROUND(AQ44,2))))))))),2)))</f>
        <v>0</v>
      </c>
      <c r="AS44" s="20">
        <f>IF(B44="","",IF(X44&lt;&gt;"",X44,IF(ISNUMBER(AR44),AR44,"")))</f>
        <v>0</v>
      </c>
      <c r="AT44" s="20">
        <f>IF(B44="","",IF(AS44="","",ROUND(AS44-AM44-(AS44*AN44+AO44),2)))</f>
        <v>0</v>
      </c>
      <c r="AU44" s="33">
        <f>IF(B44="","",IF(OR(AS44="",AS44=0),"",AT44/AS44))</f>
        <v>0</v>
      </c>
      <c r="AV44" s="41">
        <f>IF(B44="","",ROUND(AG44/60,3))</f>
        <v>0</v>
      </c>
      <c r="AW44" s="20">
        <f>IF(B44="","",IF(OR(AV44=0,AV44="",AT44=""),"",ROUND((AT44+AI44)/AV44,2)))</f>
        <v>0</v>
      </c>
      <c r="AX44" s="43">
        <f>IF(B44="","",IF(AND(A44&lt;&gt;"",ISERROR(MATCH(A44,Products!$A$5:$A$304,0))),"Check - no such product ID",IF(AF44=0,"Add - no material cost yet",IF(AG44=0,"Add - how long does it take?",IF(AND(A44&lt;&gt;"",COUNTIFS('Material Usage'!$A$5:$A$904,A44)&gt;0),"Check - this product also has a bill of materials",IF(AND(A44&lt;&gt;"",COUNTIFS(Labor!$A$5:$A$304,A44)&gt;0),"Check - this product also has labour lines",IF(AW44&lt;MinimumWage,"Below - pays under minimum wage","OK")))))) )</f>
        <v>0</v>
      </c>
    </row>
    <row r="45" spans="26:50">
      <c r="Z45" s="36">
        <f>IF(B45="","",IF(I45&lt;&gt;"",I45,ROUND(IF(F45="",0,F45)*IF(G45="",0.85,G45)*IF(H45="",0.9,H45),1)))</f>
        <v>0</v>
      </c>
      <c r="AA45" s="36">
        <f>IF(B45="","",ROUND(Z45*(1+IF(J45="",DefaultWaste,J45)),1))</f>
        <v>0</v>
      </c>
      <c r="AB45" s="20">
        <f>IF(B45="","",ROUND(AA45*IFERROR(INDEX(Materials!$V$5:$V$254,MATCH(D45,Materials!$A$5:$A$254,0)),0),2))</f>
        <v>0</v>
      </c>
      <c r="AC45" s="36">
        <f>IF(B45="","",ROUND(Z45*IF(L45="",0,L45),2))</f>
        <v>0</v>
      </c>
      <c r="AD45" s="20">
        <f>IF(B45="","",ROUND(AC45*IFERROR(INDEX(Materials!$V$5:$V$254,MATCH(K45,Materials!$A$5:$A$254,0)),0),2))</f>
        <v>0</v>
      </c>
      <c r="AE45" s="20">
        <f>IF(B45="","",ROUND(IF(N45="",0,N45)*IF(O45="",0,O45),2))</f>
        <v>0</v>
      </c>
      <c r="AF45" s="20">
        <f>IF(B45="","",ROUND(AB45+AD45+AE45+IF(P45="",0,P45)+IF(Q45="",0,Q45)+IF(R45="",0,R45),2))</f>
        <v>0</v>
      </c>
      <c r="AG45" s="36">
        <f>IF(B45="","",ROUND(IF(U45="",0,U45)+IF(T45="",0,T45)/MAX(1,IF(S45="",DefaultBatchSize,S45)),1))</f>
        <v>0</v>
      </c>
      <c r="AH45" s="20">
        <f>IF(B45="","",IF(W45&lt;&gt;"",W45,LaborCostHour))</f>
        <v>0</v>
      </c>
      <c r="AI45" s="20">
        <f>IF(B45="","",ROUND(AG45/60*AH45,2))</f>
        <v>0</v>
      </c>
      <c r="AJ45" s="20">
        <f>IF(B45="","",ROUND(AG45/60*SuppliesPerHour,2))</f>
        <v>0</v>
      </c>
      <c r="AK45" s="20">
        <f>IF(B45="","",IF(OR(Z45="",Z45=0),"",ROUND(AF45/Z45*100,2)))</f>
        <v>0</v>
      </c>
      <c r="AL45" s="32">
        <f>IF(B45="","",IF(Z45="","",ROUND(Z45/7,0)))</f>
        <v>0</v>
      </c>
      <c r="AM45" s="20">
        <f>IF(B45="","",ROUND(AF45+AI45+AJ45,2))</f>
        <v>0</v>
      </c>
      <c r="AN45" s="33">
        <f>IF(B45="","",IFERROR(INDEX(Channels!$S$5:$S$18,MATCH(DefaultChannel,Channels!$A$5:$A$18,0)),0))</f>
        <v>0</v>
      </c>
      <c r="AO45" s="20">
        <f>IF(B45="","",IFERROR(INDEX(Channels!$T$5:$T$18,MATCH(DefaultChannel,Channels!$A$5:$A$18,0)),0))</f>
        <v>0</v>
      </c>
      <c r="AP45" s="41">
        <f>IF(B45="","",1-TargetRetailMargin-AN45)</f>
        <v>0</v>
      </c>
      <c r="AQ45" s="20">
        <f>IF(B45="","",IF(AP45&lt;=0,"",(AM45+AO45)/AP45))</f>
        <v>0</v>
      </c>
      <c r="AR45" s="20">
        <f>IF(B45="","",IF(AQ45="","Check the settings",ROUND(IF(RoundingRule="None",AQ45,IF(RoundingRule="Nearest 0.99",MAX(0.99,CEILING(AQ45,1)-0.01),IF(RoundingRule="Nearest 0.95",MAX(0.95,CEILING(AQ45,1)-0.05),IF(RoundingRule="Nearest 0.50",CEILING(AQ45,0.5),IF(RoundingRule="Nearest 1",CEILING(AQ45,1),IF(RoundingRule="Nearest 5",CEILING(AQ45,5),IF(RoundingRule="Up to whole 1",CEILING(AQ45,1),IF(RoundingRule="Up to whole 5",CEILING(AQ45,5),ROUND(AQ45,2))))))))),2)))</f>
        <v>0</v>
      </c>
      <c r="AS45" s="20">
        <f>IF(B45="","",IF(X45&lt;&gt;"",X45,IF(ISNUMBER(AR45),AR45,"")))</f>
        <v>0</v>
      </c>
      <c r="AT45" s="20">
        <f>IF(B45="","",IF(AS45="","",ROUND(AS45-AM45-(AS45*AN45+AO45),2)))</f>
        <v>0</v>
      </c>
      <c r="AU45" s="33">
        <f>IF(B45="","",IF(OR(AS45="",AS45=0),"",AT45/AS45))</f>
        <v>0</v>
      </c>
      <c r="AV45" s="41">
        <f>IF(B45="","",ROUND(AG45/60,3))</f>
        <v>0</v>
      </c>
      <c r="AW45" s="20">
        <f>IF(B45="","",IF(OR(AV45=0,AV45="",AT45=""),"",ROUND((AT45+AI45)/AV45,2)))</f>
        <v>0</v>
      </c>
      <c r="AX45" s="43">
        <f>IF(B45="","",IF(AND(A45&lt;&gt;"",ISERROR(MATCH(A45,Products!$A$5:$A$304,0))),"Check - no such product ID",IF(AF45=0,"Add - no material cost yet",IF(AG45=0,"Add - how long does it take?",IF(AND(A45&lt;&gt;"",COUNTIFS('Material Usage'!$A$5:$A$904,A45)&gt;0),"Check - this product also has a bill of materials",IF(AND(A45&lt;&gt;"",COUNTIFS(Labor!$A$5:$A$304,A45)&gt;0),"Check - this product also has labour lines",IF(AW45&lt;MinimumWage,"Below - pays under minimum wage","OK")))))) )</f>
        <v>0</v>
      </c>
    </row>
    <row r="46" spans="26:50">
      <c r="Z46" s="36">
        <f>IF(B46="","",IF(I46&lt;&gt;"",I46,ROUND(IF(F46="",0,F46)*IF(G46="",0.85,G46)*IF(H46="",0.9,H46),1)))</f>
        <v>0</v>
      </c>
      <c r="AA46" s="36">
        <f>IF(B46="","",ROUND(Z46*(1+IF(J46="",DefaultWaste,J46)),1))</f>
        <v>0</v>
      </c>
      <c r="AB46" s="20">
        <f>IF(B46="","",ROUND(AA46*IFERROR(INDEX(Materials!$V$5:$V$254,MATCH(D46,Materials!$A$5:$A$254,0)),0),2))</f>
        <v>0</v>
      </c>
      <c r="AC46" s="36">
        <f>IF(B46="","",ROUND(Z46*IF(L46="",0,L46),2))</f>
        <v>0</v>
      </c>
      <c r="AD46" s="20">
        <f>IF(B46="","",ROUND(AC46*IFERROR(INDEX(Materials!$V$5:$V$254,MATCH(K46,Materials!$A$5:$A$254,0)),0),2))</f>
        <v>0</v>
      </c>
      <c r="AE46" s="20">
        <f>IF(B46="","",ROUND(IF(N46="",0,N46)*IF(O46="",0,O46),2))</f>
        <v>0</v>
      </c>
      <c r="AF46" s="20">
        <f>IF(B46="","",ROUND(AB46+AD46+AE46+IF(P46="",0,P46)+IF(Q46="",0,Q46)+IF(R46="",0,R46),2))</f>
        <v>0</v>
      </c>
      <c r="AG46" s="36">
        <f>IF(B46="","",ROUND(IF(U46="",0,U46)+IF(T46="",0,T46)/MAX(1,IF(S46="",DefaultBatchSize,S46)),1))</f>
        <v>0</v>
      </c>
      <c r="AH46" s="20">
        <f>IF(B46="","",IF(W46&lt;&gt;"",W46,LaborCostHour))</f>
        <v>0</v>
      </c>
      <c r="AI46" s="20">
        <f>IF(B46="","",ROUND(AG46/60*AH46,2))</f>
        <v>0</v>
      </c>
      <c r="AJ46" s="20">
        <f>IF(B46="","",ROUND(AG46/60*SuppliesPerHour,2))</f>
        <v>0</v>
      </c>
      <c r="AK46" s="20">
        <f>IF(B46="","",IF(OR(Z46="",Z46=0),"",ROUND(AF46/Z46*100,2)))</f>
        <v>0</v>
      </c>
      <c r="AL46" s="32">
        <f>IF(B46="","",IF(Z46="","",ROUND(Z46/7,0)))</f>
        <v>0</v>
      </c>
      <c r="AM46" s="20">
        <f>IF(B46="","",ROUND(AF46+AI46+AJ46,2))</f>
        <v>0</v>
      </c>
      <c r="AN46" s="33">
        <f>IF(B46="","",IFERROR(INDEX(Channels!$S$5:$S$18,MATCH(DefaultChannel,Channels!$A$5:$A$18,0)),0))</f>
        <v>0</v>
      </c>
      <c r="AO46" s="20">
        <f>IF(B46="","",IFERROR(INDEX(Channels!$T$5:$T$18,MATCH(DefaultChannel,Channels!$A$5:$A$18,0)),0))</f>
        <v>0</v>
      </c>
      <c r="AP46" s="41">
        <f>IF(B46="","",1-TargetRetailMargin-AN46)</f>
        <v>0</v>
      </c>
      <c r="AQ46" s="20">
        <f>IF(B46="","",IF(AP46&lt;=0,"",(AM46+AO46)/AP46))</f>
        <v>0</v>
      </c>
      <c r="AR46" s="20">
        <f>IF(B46="","",IF(AQ46="","Check the settings",ROUND(IF(RoundingRule="None",AQ46,IF(RoundingRule="Nearest 0.99",MAX(0.99,CEILING(AQ46,1)-0.01),IF(RoundingRule="Nearest 0.95",MAX(0.95,CEILING(AQ46,1)-0.05),IF(RoundingRule="Nearest 0.50",CEILING(AQ46,0.5),IF(RoundingRule="Nearest 1",CEILING(AQ46,1),IF(RoundingRule="Nearest 5",CEILING(AQ46,5),IF(RoundingRule="Up to whole 1",CEILING(AQ46,1),IF(RoundingRule="Up to whole 5",CEILING(AQ46,5),ROUND(AQ46,2))))))))),2)))</f>
        <v>0</v>
      </c>
      <c r="AS46" s="20">
        <f>IF(B46="","",IF(X46&lt;&gt;"",X46,IF(ISNUMBER(AR46),AR46,"")))</f>
        <v>0</v>
      </c>
      <c r="AT46" s="20">
        <f>IF(B46="","",IF(AS46="","",ROUND(AS46-AM46-(AS46*AN46+AO46),2)))</f>
        <v>0</v>
      </c>
      <c r="AU46" s="33">
        <f>IF(B46="","",IF(OR(AS46="",AS46=0),"",AT46/AS46))</f>
        <v>0</v>
      </c>
      <c r="AV46" s="41">
        <f>IF(B46="","",ROUND(AG46/60,3))</f>
        <v>0</v>
      </c>
      <c r="AW46" s="20">
        <f>IF(B46="","",IF(OR(AV46=0,AV46="",AT46=""),"",ROUND((AT46+AI46)/AV46,2)))</f>
        <v>0</v>
      </c>
      <c r="AX46" s="43">
        <f>IF(B46="","",IF(AND(A46&lt;&gt;"",ISERROR(MATCH(A46,Products!$A$5:$A$304,0))),"Check - no such product ID",IF(AF46=0,"Add - no material cost yet",IF(AG46=0,"Add - how long does it take?",IF(AND(A46&lt;&gt;"",COUNTIFS('Material Usage'!$A$5:$A$904,A46)&gt;0),"Check - this product also has a bill of materials",IF(AND(A46&lt;&gt;"",COUNTIFS(Labor!$A$5:$A$304,A46)&gt;0),"Check - this product also has labour lines",IF(AW46&lt;MinimumWage,"Below - pays under minimum wage","OK")))))) )</f>
        <v>0</v>
      </c>
    </row>
    <row r="47" spans="26:50">
      <c r="Z47" s="36">
        <f>IF(B47="","",IF(I47&lt;&gt;"",I47,ROUND(IF(F47="",0,F47)*IF(G47="",0.85,G47)*IF(H47="",0.9,H47),1)))</f>
        <v>0</v>
      </c>
      <c r="AA47" s="36">
        <f>IF(B47="","",ROUND(Z47*(1+IF(J47="",DefaultWaste,J47)),1))</f>
        <v>0</v>
      </c>
      <c r="AB47" s="20">
        <f>IF(B47="","",ROUND(AA47*IFERROR(INDEX(Materials!$V$5:$V$254,MATCH(D47,Materials!$A$5:$A$254,0)),0),2))</f>
        <v>0</v>
      </c>
      <c r="AC47" s="36">
        <f>IF(B47="","",ROUND(Z47*IF(L47="",0,L47),2))</f>
        <v>0</v>
      </c>
      <c r="AD47" s="20">
        <f>IF(B47="","",ROUND(AC47*IFERROR(INDEX(Materials!$V$5:$V$254,MATCH(K47,Materials!$A$5:$A$254,0)),0),2))</f>
        <v>0</v>
      </c>
      <c r="AE47" s="20">
        <f>IF(B47="","",ROUND(IF(N47="",0,N47)*IF(O47="",0,O47),2))</f>
        <v>0</v>
      </c>
      <c r="AF47" s="20">
        <f>IF(B47="","",ROUND(AB47+AD47+AE47+IF(P47="",0,P47)+IF(Q47="",0,Q47)+IF(R47="",0,R47),2))</f>
        <v>0</v>
      </c>
      <c r="AG47" s="36">
        <f>IF(B47="","",ROUND(IF(U47="",0,U47)+IF(T47="",0,T47)/MAX(1,IF(S47="",DefaultBatchSize,S47)),1))</f>
        <v>0</v>
      </c>
      <c r="AH47" s="20">
        <f>IF(B47="","",IF(W47&lt;&gt;"",W47,LaborCostHour))</f>
        <v>0</v>
      </c>
      <c r="AI47" s="20">
        <f>IF(B47="","",ROUND(AG47/60*AH47,2))</f>
        <v>0</v>
      </c>
      <c r="AJ47" s="20">
        <f>IF(B47="","",ROUND(AG47/60*SuppliesPerHour,2))</f>
        <v>0</v>
      </c>
      <c r="AK47" s="20">
        <f>IF(B47="","",IF(OR(Z47="",Z47=0),"",ROUND(AF47/Z47*100,2)))</f>
        <v>0</v>
      </c>
      <c r="AL47" s="32">
        <f>IF(B47="","",IF(Z47="","",ROUND(Z47/7,0)))</f>
        <v>0</v>
      </c>
      <c r="AM47" s="20">
        <f>IF(B47="","",ROUND(AF47+AI47+AJ47,2))</f>
        <v>0</v>
      </c>
      <c r="AN47" s="33">
        <f>IF(B47="","",IFERROR(INDEX(Channels!$S$5:$S$18,MATCH(DefaultChannel,Channels!$A$5:$A$18,0)),0))</f>
        <v>0</v>
      </c>
      <c r="AO47" s="20">
        <f>IF(B47="","",IFERROR(INDEX(Channels!$T$5:$T$18,MATCH(DefaultChannel,Channels!$A$5:$A$18,0)),0))</f>
        <v>0</v>
      </c>
      <c r="AP47" s="41">
        <f>IF(B47="","",1-TargetRetailMargin-AN47)</f>
        <v>0</v>
      </c>
      <c r="AQ47" s="20">
        <f>IF(B47="","",IF(AP47&lt;=0,"",(AM47+AO47)/AP47))</f>
        <v>0</v>
      </c>
      <c r="AR47" s="20">
        <f>IF(B47="","",IF(AQ47="","Check the settings",ROUND(IF(RoundingRule="None",AQ47,IF(RoundingRule="Nearest 0.99",MAX(0.99,CEILING(AQ47,1)-0.01),IF(RoundingRule="Nearest 0.95",MAX(0.95,CEILING(AQ47,1)-0.05),IF(RoundingRule="Nearest 0.50",CEILING(AQ47,0.5),IF(RoundingRule="Nearest 1",CEILING(AQ47,1),IF(RoundingRule="Nearest 5",CEILING(AQ47,5),IF(RoundingRule="Up to whole 1",CEILING(AQ47,1),IF(RoundingRule="Up to whole 5",CEILING(AQ47,5),ROUND(AQ47,2))))))))),2)))</f>
        <v>0</v>
      </c>
      <c r="AS47" s="20">
        <f>IF(B47="","",IF(X47&lt;&gt;"",X47,IF(ISNUMBER(AR47),AR47,"")))</f>
        <v>0</v>
      </c>
      <c r="AT47" s="20">
        <f>IF(B47="","",IF(AS47="","",ROUND(AS47-AM47-(AS47*AN47+AO47),2)))</f>
        <v>0</v>
      </c>
      <c r="AU47" s="33">
        <f>IF(B47="","",IF(OR(AS47="",AS47=0),"",AT47/AS47))</f>
        <v>0</v>
      </c>
      <c r="AV47" s="41">
        <f>IF(B47="","",ROUND(AG47/60,3))</f>
        <v>0</v>
      </c>
      <c r="AW47" s="20">
        <f>IF(B47="","",IF(OR(AV47=0,AV47="",AT47=""),"",ROUND((AT47+AI47)/AV47,2)))</f>
        <v>0</v>
      </c>
      <c r="AX47" s="43">
        <f>IF(B47="","",IF(AND(A47&lt;&gt;"",ISERROR(MATCH(A47,Products!$A$5:$A$304,0))),"Check - no such product ID",IF(AF47=0,"Add - no material cost yet",IF(AG47=0,"Add - how long does it take?",IF(AND(A47&lt;&gt;"",COUNTIFS('Material Usage'!$A$5:$A$904,A47)&gt;0),"Check - this product also has a bill of materials",IF(AND(A47&lt;&gt;"",COUNTIFS(Labor!$A$5:$A$304,A47)&gt;0),"Check - this product also has labour lines",IF(AW47&lt;MinimumWage,"Below - pays under minimum wage","OK")))))) )</f>
        <v>0</v>
      </c>
    </row>
    <row r="48" spans="26:50">
      <c r="Z48" s="36">
        <f>IF(B48="","",IF(I48&lt;&gt;"",I48,ROUND(IF(F48="",0,F48)*IF(G48="",0.85,G48)*IF(H48="",0.9,H48),1)))</f>
        <v>0</v>
      </c>
      <c r="AA48" s="36">
        <f>IF(B48="","",ROUND(Z48*(1+IF(J48="",DefaultWaste,J48)),1))</f>
        <v>0</v>
      </c>
      <c r="AB48" s="20">
        <f>IF(B48="","",ROUND(AA48*IFERROR(INDEX(Materials!$V$5:$V$254,MATCH(D48,Materials!$A$5:$A$254,0)),0),2))</f>
        <v>0</v>
      </c>
      <c r="AC48" s="36">
        <f>IF(B48="","",ROUND(Z48*IF(L48="",0,L48),2))</f>
        <v>0</v>
      </c>
      <c r="AD48" s="20">
        <f>IF(B48="","",ROUND(AC48*IFERROR(INDEX(Materials!$V$5:$V$254,MATCH(K48,Materials!$A$5:$A$254,0)),0),2))</f>
        <v>0</v>
      </c>
      <c r="AE48" s="20">
        <f>IF(B48="","",ROUND(IF(N48="",0,N48)*IF(O48="",0,O48),2))</f>
        <v>0</v>
      </c>
      <c r="AF48" s="20">
        <f>IF(B48="","",ROUND(AB48+AD48+AE48+IF(P48="",0,P48)+IF(Q48="",0,Q48)+IF(R48="",0,R48),2))</f>
        <v>0</v>
      </c>
      <c r="AG48" s="36">
        <f>IF(B48="","",ROUND(IF(U48="",0,U48)+IF(T48="",0,T48)/MAX(1,IF(S48="",DefaultBatchSize,S48)),1))</f>
        <v>0</v>
      </c>
      <c r="AH48" s="20">
        <f>IF(B48="","",IF(W48&lt;&gt;"",W48,LaborCostHour))</f>
        <v>0</v>
      </c>
      <c r="AI48" s="20">
        <f>IF(B48="","",ROUND(AG48/60*AH48,2))</f>
        <v>0</v>
      </c>
      <c r="AJ48" s="20">
        <f>IF(B48="","",ROUND(AG48/60*SuppliesPerHour,2))</f>
        <v>0</v>
      </c>
      <c r="AK48" s="20">
        <f>IF(B48="","",IF(OR(Z48="",Z48=0),"",ROUND(AF48/Z48*100,2)))</f>
        <v>0</v>
      </c>
      <c r="AL48" s="32">
        <f>IF(B48="","",IF(Z48="","",ROUND(Z48/7,0)))</f>
        <v>0</v>
      </c>
      <c r="AM48" s="20">
        <f>IF(B48="","",ROUND(AF48+AI48+AJ48,2))</f>
        <v>0</v>
      </c>
      <c r="AN48" s="33">
        <f>IF(B48="","",IFERROR(INDEX(Channels!$S$5:$S$18,MATCH(DefaultChannel,Channels!$A$5:$A$18,0)),0))</f>
        <v>0</v>
      </c>
      <c r="AO48" s="20">
        <f>IF(B48="","",IFERROR(INDEX(Channels!$T$5:$T$18,MATCH(DefaultChannel,Channels!$A$5:$A$18,0)),0))</f>
        <v>0</v>
      </c>
      <c r="AP48" s="41">
        <f>IF(B48="","",1-TargetRetailMargin-AN48)</f>
        <v>0</v>
      </c>
      <c r="AQ48" s="20">
        <f>IF(B48="","",IF(AP48&lt;=0,"",(AM48+AO48)/AP48))</f>
        <v>0</v>
      </c>
      <c r="AR48" s="20">
        <f>IF(B48="","",IF(AQ48="","Check the settings",ROUND(IF(RoundingRule="None",AQ48,IF(RoundingRule="Nearest 0.99",MAX(0.99,CEILING(AQ48,1)-0.01),IF(RoundingRule="Nearest 0.95",MAX(0.95,CEILING(AQ48,1)-0.05),IF(RoundingRule="Nearest 0.50",CEILING(AQ48,0.5),IF(RoundingRule="Nearest 1",CEILING(AQ48,1),IF(RoundingRule="Nearest 5",CEILING(AQ48,5),IF(RoundingRule="Up to whole 1",CEILING(AQ48,1),IF(RoundingRule="Up to whole 5",CEILING(AQ48,5),ROUND(AQ48,2))))))))),2)))</f>
        <v>0</v>
      </c>
      <c r="AS48" s="20">
        <f>IF(B48="","",IF(X48&lt;&gt;"",X48,IF(ISNUMBER(AR48),AR48,"")))</f>
        <v>0</v>
      </c>
      <c r="AT48" s="20">
        <f>IF(B48="","",IF(AS48="","",ROUND(AS48-AM48-(AS48*AN48+AO48),2)))</f>
        <v>0</v>
      </c>
      <c r="AU48" s="33">
        <f>IF(B48="","",IF(OR(AS48="",AS48=0),"",AT48/AS48))</f>
        <v>0</v>
      </c>
      <c r="AV48" s="41">
        <f>IF(B48="","",ROUND(AG48/60,3))</f>
        <v>0</v>
      </c>
      <c r="AW48" s="20">
        <f>IF(B48="","",IF(OR(AV48=0,AV48="",AT48=""),"",ROUND((AT48+AI48)/AV48,2)))</f>
        <v>0</v>
      </c>
      <c r="AX48" s="43">
        <f>IF(B48="","",IF(AND(A48&lt;&gt;"",ISERROR(MATCH(A48,Products!$A$5:$A$304,0))),"Check - no such product ID",IF(AF48=0,"Add - no material cost yet",IF(AG48=0,"Add - how long does it take?",IF(AND(A48&lt;&gt;"",COUNTIFS('Material Usage'!$A$5:$A$904,A48)&gt;0),"Check - this product also has a bill of materials",IF(AND(A48&lt;&gt;"",COUNTIFS(Labor!$A$5:$A$304,A48)&gt;0),"Check - this product also has labour lines",IF(AW48&lt;MinimumWage,"Below - pays under minimum wage","OK")))))) )</f>
        <v>0</v>
      </c>
    </row>
    <row r="49" spans="26:50">
      <c r="Z49" s="36">
        <f>IF(B49="","",IF(I49&lt;&gt;"",I49,ROUND(IF(F49="",0,F49)*IF(G49="",0.85,G49)*IF(H49="",0.9,H49),1)))</f>
        <v>0</v>
      </c>
      <c r="AA49" s="36">
        <f>IF(B49="","",ROUND(Z49*(1+IF(J49="",DefaultWaste,J49)),1))</f>
        <v>0</v>
      </c>
      <c r="AB49" s="20">
        <f>IF(B49="","",ROUND(AA49*IFERROR(INDEX(Materials!$V$5:$V$254,MATCH(D49,Materials!$A$5:$A$254,0)),0),2))</f>
        <v>0</v>
      </c>
      <c r="AC49" s="36">
        <f>IF(B49="","",ROUND(Z49*IF(L49="",0,L49),2))</f>
        <v>0</v>
      </c>
      <c r="AD49" s="20">
        <f>IF(B49="","",ROUND(AC49*IFERROR(INDEX(Materials!$V$5:$V$254,MATCH(K49,Materials!$A$5:$A$254,0)),0),2))</f>
        <v>0</v>
      </c>
      <c r="AE49" s="20">
        <f>IF(B49="","",ROUND(IF(N49="",0,N49)*IF(O49="",0,O49),2))</f>
        <v>0</v>
      </c>
      <c r="AF49" s="20">
        <f>IF(B49="","",ROUND(AB49+AD49+AE49+IF(P49="",0,P49)+IF(Q49="",0,Q49)+IF(R49="",0,R49),2))</f>
        <v>0</v>
      </c>
      <c r="AG49" s="36">
        <f>IF(B49="","",ROUND(IF(U49="",0,U49)+IF(T49="",0,T49)/MAX(1,IF(S49="",DefaultBatchSize,S49)),1))</f>
        <v>0</v>
      </c>
      <c r="AH49" s="20">
        <f>IF(B49="","",IF(W49&lt;&gt;"",W49,LaborCostHour))</f>
        <v>0</v>
      </c>
      <c r="AI49" s="20">
        <f>IF(B49="","",ROUND(AG49/60*AH49,2))</f>
        <v>0</v>
      </c>
      <c r="AJ49" s="20">
        <f>IF(B49="","",ROUND(AG49/60*SuppliesPerHour,2))</f>
        <v>0</v>
      </c>
      <c r="AK49" s="20">
        <f>IF(B49="","",IF(OR(Z49="",Z49=0),"",ROUND(AF49/Z49*100,2)))</f>
        <v>0</v>
      </c>
      <c r="AL49" s="32">
        <f>IF(B49="","",IF(Z49="","",ROUND(Z49/7,0)))</f>
        <v>0</v>
      </c>
      <c r="AM49" s="20">
        <f>IF(B49="","",ROUND(AF49+AI49+AJ49,2))</f>
        <v>0</v>
      </c>
      <c r="AN49" s="33">
        <f>IF(B49="","",IFERROR(INDEX(Channels!$S$5:$S$18,MATCH(DefaultChannel,Channels!$A$5:$A$18,0)),0))</f>
        <v>0</v>
      </c>
      <c r="AO49" s="20">
        <f>IF(B49="","",IFERROR(INDEX(Channels!$T$5:$T$18,MATCH(DefaultChannel,Channels!$A$5:$A$18,0)),0))</f>
        <v>0</v>
      </c>
      <c r="AP49" s="41">
        <f>IF(B49="","",1-TargetRetailMargin-AN49)</f>
        <v>0</v>
      </c>
      <c r="AQ49" s="20">
        <f>IF(B49="","",IF(AP49&lt;=0,"",(AM49+AO49)/AP49))</f>
        <v>0</v>
      </c>
      <c r="AR49" s="20">
        <f>IF(B49="","",IF(AQ49="","Check the settings",ROUND(IF(RoundingRule="None",AQ49,IF(RoundingRule="Nearest 0.99",MAX(0.99,CEILING(AQ49,1)-0.01),IF(RoundingRule="Nearest 0.95",MAX(0.95,CEILING(AQ49,1)-0.05),IF(RoundingRule="Nearest 0.50",CEILING(AQ49,0.5),IF(RoundingRule="Nearest 1",CEILING(AQ49,1),IF(RoundingRule="Nearest 5",CEILING(AQ49,5),IF(RoundingRule="Up to whole 1",CEILING(AQ49,1),IF(RoundingRule="Up to whole 5",CEILING(AQ49,5),ROUND(AQ49,2))))))))),2)))</f>
        <v>0</v>
      </c>
      <c r="AS49" s="20">
        <f>IF(B49="","",IF(X49&lt;&gt;"",X49,IF(ISNUMBER(AR49),AR49,"")))</f>
        <v>0</v>
      </c>
      <c r="AT49" s="20">
        <f>IF(B49="","",IF(AS49="","",ROUND(AS49-AM49-(AS49*AN49+AO49),2)))</f>
        <v>0</v>
      </c>
      <c r="AU49" s="33">
        <f>IF(B49="","",IF(OR(AS49="",AS49=0),"",AT49/AS49))</f>
        <v>0</v>
      </c>
      <c r="AV49" s="41">
        <f>IF(B49="","",ROUND(AG49/60,3))</f>
        <v>0</v>
      </c>
      <c r="AW49" s="20">
        <f>IF(B49="","",IF(OR(AV49=0,AV49="",AT49=""),"",ROUND((AT49+AI49)/AV49,2)))</f>
        <v>0</v>
      </c>
      <c r="AX49" s="43">
        <f>IF(B49="","",IF(AND(A49&lt;&gt;"",ISERROR(MATCH(A49,Products!$A$5:$A$304,0))),"Check - no such product ID",IF(AF49=0,"Add - no material cost yet",IF(AG49=0,"Add - how long does it take?",IF(AND(A49&lt;&gt;"",COUNTIFS('Material Usage'!$A$5:$A$904,A49)&gt;0),"Check - this product also has a bill of materials",IF(AND(A49&lt;&gt;"",COUNTIFS(Labor!$A$5:$A$304,A49)&gt;0),"Check - this product also has labour lines",IF(AW49&lt;MinimumWage,"Below - pays under minimum wage","OK")))))) )</f>
        <v>0</v>
      </c>
    </row>
    <row r="50" spans="26:50">
      <c r="Z50" s="36">
        <f>IF(B50="","",IF(I50&lt;&gt;"",I50,ROUND(IF(F50="",0,F50)*IF(G50="",0.85,G50)*IF(H50="",0.9,H50),1)))</f>
        <v>0</v>
      </c>
      <c r="AA50" s="36">
        <f>IF(B50="","",ROUND(Z50*(1+IF(J50="",DefaultWaste,J50)),1))</f>
        <v>0</v>
      </c>
      <c r="AB50" s="20">
        <f>IF(B50="","",ROUND(AA50*IFERROR(INDEX(Materials!$V$5:$V$254,MATCH(D50,Materials!$A$5:$A$254,0)),0),2))</f>
        <v>0</v>
      </c>
      <c r="AC50" s="36">
        <f>IF(B50="","",ROUND(Z50*IF(L50="",0,L50),2))</f>
        <v>0</v>
      </c>
      <c r="AD50" s="20">
        <f>IF(B50="","",ROUND(AC50*IFERROR(INDEX(Materials!$V$5:$V$254,MATCH(K50,Materials!$A$5:$A$254,0)),0),2))</f>
        <v>0</v>
      </c>
      <c r="AE50" s="20">
        <f>IF(B50="","",ROUND(IF(N50="",0,N50)*IF(O50="",0,O50),2))</f>
        <v>0</v>
      </c>
      <c r="AF50" s="20">
        <f>IF(B50="","",ROUND(AB50+AD50+AE50+IF(P50="",0,P50)+IF(Q50="",0,Q50)+IF(R50="",0,R50),2))</f>
        <v>0</v>
      </c>
      <c r="AG50" s="36">
        <f>IF(B50="","",ROUND(IF(U50="",0,U50)+IF(T50="",0,T50)/MAX(1,IF(S50="",DefaultBatchSize,S50)),1))</f>
        <v>0</v>
      </c>
      <c r="AH50" s="20">
        <f>IF(B50="","",IF(W50&lt;&gt;"",W50,LaborCostHour))</f>
        <v>0</v>
      </c>
      <c r="AI50" s="20">
        <f>IF(B50="","",ROUND(AG50/60*AH50,2))</f>
        <v>0</v>
      </c>
      <c r="AJ50" s="20">
        <f>IF(B50="","",ROUND(AG50/60*SuppliesPerHour,2))</f>
        <v>0</v>
      </c>
      <c r="AK50" s="20">
        <f>IF(B50="","",IF(OR(Z50="",Z50=0),"",ROUND(AF50/Z50*100,2)))</f>
        <v>0</v>
      </c>
      <c r="AL50" s="32">
        <f>IF(B50="","",IF(Z50="","",ROUND(Z50/7,0)))</f>
        <v>0</v>
      </c>
      <c r="AM50" s="20">
        <f>IF(B50="","",ROUND(AF50+AI50+AJ50,2))</f>
        <v>0</v>
      </c>
      <c r="AN50" s="33">
        <f>IF(B50="","",IFERROR(INDEX(Channels!$S$5:$S$18,MATCH(DefaultChannel,Channels!$A$5:$A$18,0)),0))</f>
        <v>0</v>
      </c>
      <c r="AO50" s="20">
        <f>IF(B50="","",IFERROR(INDEX(Channels!$T$5:$T$18,MATCH(DefaultChannel,Channels!$A$5:$A$18,0)),0))</f>
        <v>0</v>
      </c>
      <c r="AP50" s="41">
        <f>IF(B50="","",1-TargetRetailMargin-AN50)</f>
        <v>0</v>
      </c>
      <c r="AQ50" s="20">
        <f>IF(B50="","",IF(AP50&lt;=0,"",(AM50+AO50)/AP50))</f>
        <v>0</v>
      </c>
      <c r="AR50" s="20">
        <f>IF(B50="","",IF(AQ50="","Check the settings",ROUND(IF(RoundingRule="None",AQ50,IF(RoundingRule="Nearest 0.99",MAX(0.99,CEILING(AQ50,1)-0.01),IF(RoundingRule="Nearest 0.95",MAX(0.95,CEILING(AQ50,1)-0.05),IF(RoundingRule="Nearest 0.50",CEILING(AQ50,0.5),IF(RoundingRule="Nearest 1",CEILING(AQ50,1),IF(RoundingRule="Nearest 5",CEILING(AQ50,5),IF(RoundingRule="Up to whole 1",CEILING(AQ50,1),IF(RoundingRule="Up to whole 5",CEILING(AQ50,5),ROUND(AQ50,2))))))))),2)))</f>
        <v>0</v>
      </c>
      <c r="AS50" s="20">
        <f>IF(B50="","",IF(X50&lt;&gt;"",X50,IF(ISNUMBER(AR50),AR50,"")))</f>
        <v>0</v>
      </c>
      <c r="AT50" s="20">
        <f>IF(B50="","",IF(AS50="","",ROUND(AS50-AM50-(AS50*AN50+AO50),2)))</f>
        <v>0</v>
      </c>
      <c r="AU50" s="33">
        <f>IF(B50="","",IF(OR(AS50="",AS50=0),"",AT50/AS50))</f>
        <v>0</v>
      </c>
      <c r="AV50" s="41">
        <f>IF(B50="","",ROUND(AG50/60,3))</f>
        <v>0</v>
      </c>
      <c r="AW50" s="20">
        <f>IF(B50="","",IF(OR(AV50=0,AV50="",AT50=""),"",ROUND((AT50+AI50)/AV50,2)))</f>
        <v>0</v>
      </c>
      <c r="AX50" s="43">
        <f>IF(B50="","",IF(AND(A50&lt;&gt;"",ISERROR(MATCH(A50,Products!$A$5:$A$304,0))),"Check - no such product ID",IF(AF50=0,"Add - no material cost yet",IF(AG50=0,"Add - how long does it take?",IF(AND(A50&lt;&gt;"",COUNTIFS('Material Usage'!$A$5:$A$904,A50)&gt;0),"Check - this product also has a bill of materials",IF(AND(A50&lt;&gt;"",COUNTIFS(Labor!$A$5:$A$304,A50)&gt;0),"Check - this product also has labour lines",IF(AW50&lt;MinimumWage,"Below - pays under minimum wage","OK")))))) )</f>
        <v>0</v>
      </c>
    </row>
    <row r="51" spans="26:50">
      <c r="Z51" s="36">
        <f>IF(B51="","",IF(I51&lt;&gt;"",I51,ROUND(IF(F51="",0,F51)*IF(G51="",0.85,G51)*IF(H51="",0.9,H51),1)))</f>
        <v>0</v>
      </c>
      <c r="AA51" s="36">
        <f>IF(B51="","",ROUND(Z51*(1+IF(J51="",DefaultWaste,J51)),1))</f>
        <v>0</v>
      </c>
      <c r="AB51" s="20">
        <f>IF(B51="","",ROUND(AA51*IFERROR(INDEX(Materials!$V$5:$V$254,MATCH(D51,Materials!$A$5:$A$254,0)),0),2))</f>
        <v>0</v>
      </c>
      <c r="AC51" s="36">
        <f>IF(B51="","",ROUND(Z51*IF(L51="",0,L51),2))</f>
        <v>0</v>
      </c>
      <c r="AD51" s="20">
        <f>IF(B51="","",ROUND(AC51*IFERROR(INDEX(Materials!$V$5:$V$254,MATCH(K51,Materials!$A$5:$A$254,0)),0),2))</f>
        <v>0</v>
      </c>
      <c r="AE51" s="20">
        <f>IF(B51="","",ROUND(IF(N51="",0,N51)*IF(O51="",0,O51),2))</f>
        <v>0</v>
      </c>
      <c r="AF51" s="20">
        <f>IF(B51="","",ROUND(AB51+AD51+AE51+IF(P51="",0,P51)+IF(Q51="",0,Q51)+IF(R51="",0,R51),2))</f>
        <v>0</v>
      </c>
      <c r="AG51" s="36">
        <f>IF(B51="","",ROUND(IF(U51="",0,U51)+IF(T51="",0,T51)/MAX(1,IF(S51="",DefaultBatchSize,S51)),1))</f>
        <v>0</v>
      </c>
      <c r="AH51" s="20">
        <f>IF(B51="","",IF(W51&lt;&gt;"",W51,LaborCostHour))</f>
        <v>0</v>
      </c>
      <c r="AI51" s="20">
        <f>IF(B51="","",ROUND(AG51/60*AH51,2))</f>
        <v>0</v>
      </c>
      <c r="AJ51" s="20">
        <f>IF(B51="","",ROUND(AG51/60*SuppliesPerHour,2))</f>
        <v>0</v>
      </c>
      <c r="AK51" s="20">
        <f>IF(B51="","",IF(OR(Z51="",Z51=0),"",ROUND(AF51/Z51*100,2)))</f>
        <v>0</v>
      </c>
      <c r="AL51" s="32">
        <f>IF(B51="","",IF(Z51="","",ROUND(Z51/7,0)))</f>
        <v>0</v>
      </c>
      <c r="AM51" s="20">
        <f>IF(B51="","",ROUND(AF51+AI51+AJ51,2))</f>
        <v>0</v>
      </c>
      <c r="AN51" s="33">
        <f>IF(B51="","",IFERROR(INDEX(Channels!$S$5:$S$18,MATCH(DefaultChannel,Channels!$A$5:$A$18,0)),0))</f>
        <v>0</v>
      </c>
      <c r="AO51" s="20">
        <f>IF(B51="","",IFERROR(INDEX(Channels!$T$5:$T$18,MATCH(DefaultChannel,Channels!$A$5:$A$18,0)),0))</f>
        <v>0</v>
      </c>
      <c r="AP51" s="41">
        <f>IF(B51="","",1-TargetRetailMargin-AN51)</f>
        <v>0</v>
      </c>
      <c r="AQ51" s="20">
        <f>IF(B51="","",IF(AP51&lt;=0,"",(AM51+AO51)/AP51))</f>
        <v>0</v>
      </c>
      <c r="AR51" s="20">
        <f>IF(B51="","",IF(AQ51="","Check the settings",ROUND(IF(RoundingRule="None",AQ51,IF(RoundingRule="Nearest 0.99",MAX(0.99,CEILING(AQ51,1)-0.01),IF(RoundingRule="Nearest 0.95",MAX(0.95,CEILING(AQ51,1)-0.05),IF(RoundingRule="Nearest 0.50",CEILING(AQ51,0.5),IF(RoundingRule="Nearest 1",CEILING(AQ51,1),IF(RoundingRule="Nearest 5",CEILING(AQ51,5),IF(RoundingRule="Up to whole 1",CEILING(AQ51,1),IF(RoundingRule="Up to whole 5",CEILING(AQ51,5),ROUND(AQ51,2))))))))),2)))</f>
        <v>0</v>
      </c>
      <c r="AS51" s="20">
        <f>IF(B51="","",IF(X51&lt;&gt;"",X51,IF(ISNUMBER(AR51),AR51,"")))</f>
        <v>0</v>
      </c>
      <c r="AT51" s="20">
        <f>IF(B51="","",IF(AS51="","",ROUND(AS51-AM51-(AS51*AN51+AO51),2)))</f>
        <v>0</v>
      </c>
      <c r="AU51" s="33">
        <f>IF(B51="","",IF(OR(AS51="",AS51=0),"",AT51/AS51))</f>
        <v>0</v>
      </c>
      <c r="AV51" s="41">
        <f>IF(B51="","",ROUND(AG51/60,3))</f>
        <v>0</v>
      </c>
      <c r="AW51" s="20">
        <f>IF(B51="","",IF(OR(AV51=0,AV51="",AT51=""),"",ROUND((AT51+AI51)/AV51,2)))</f>
        <v>0</v>
      </c>
      <c r="AX51" s="43">
        <f>IF(B51="","",IF(AND(A51&lt;&gt;"",ISERROR(MATCH(A51,Products!$A$5:$A$304,0))),"Check - no such product ID",IF(AF51=0,"Add - no material cost yet",IF(AG51=0,"Add - how long does it take?",IF(AND(A51&lt;&gt;"",COUNTIFS('Material Usage'!$A$5:$A$904,A51)&gt;0),"Check - this product also has a bill of materials",IF(AND(A51&lt;&gt;"",COUNTIFS(Labor!$A$5:$A$304,A51)&gt;0),"Check - this product also has labour lines",IF(AW51&lt;MinimumWage,"Below - pays under minimum wage","OK")))))) )</f>
        <v>0</v>
      </c>
    </row>
    <row r="52" spans="26:50">
      <c r="Z52" s="36">
        <f>IF(B52="","",IF(I52&lt;&gt;"",I52,ROUND(IF(F52="",0,F52)*IF(G52="",0.85,G52)*IF(H52="",0.9,H52),1)))</f>
        <v>0</v>
      </c>
      <c r="AA52" s="36">
        <f>IF(B52="","",ROUND(Z52*(1+IF(J52="",DefaultWaste,J52)),1))</f>
        <v>0</v>
      </c>
      <c r="AB52" s="20">
        <f>IF(B52="","",ROUND(AA52*IFERROR(INDEX(Materials!$V$5:$V$254,MATCH(D52,Materials!$A$5:$A$254,0)),0),2))</f>
        <v>0</v>
      </c>
      <c r="AC52" s="36">
        <f>IF(B52="","",ROUND(Z52*IF(L52="",0,L52),2))</f>
        <v>0</v>
      </c>
      <c r="AD52" s="20">
        <f>IF(B52="","",ROUND(AC52*IFERROR(INDEX(Materials!$V$5:$V$254,MATCH(K52,Materials!$A$5:$A$254,0)),0),2))</f>
        <v>0</v>
      </c>
      <c r="AE52" s="20">
        <f>IF(B52="","",ROUND(IF(N52="",0,N52)*IF(O52="",0,O52),2))</f>
        <v>0</v>
      </c>
      <c r="AF52" s="20">
        <f>IF(B52="","",ROUND(AB52+AD52+AE52+IF(P52="",0,P52)+IF(Q52="",0,Q52)+IF(R52="",0,R52),2))</f>
        <v>0</v>
      </c>
      <c r="AG52" s="36">
        <f>IF(B52="","",ROUND(IF(U52="",0,U52)+IF(T52="",0,T52)/MAX(1,IF(S52="",DefaultBatchSize,S52)),1))</f>
        <v>0</v>
      </c>
      <c r="AH52" s="20">
        <f>IF(B52="","",IF(W52&lt;&gt;"",W52,LaborCostHour))</f>
        <v>0</v>
      </c>
      <c r="AI52" s="20">
        <f>IF(B52="","",ROUND(AG52/60*AH52,2))</f>
        <v>0</v>
      </c>
      <c r="AJ52" s="20">
        <f>IF(B52="","",ROUND(AG52/60*SuppliesPerHour,2))</f>
        <v>0</v>
      </c>
      <c r="AK52" s="20">
        <f>IF(B52="","",IF(OR(Z52="",Z52=0),"",ROUND(AF52/Z52*100,2)))</f>
        <v>0</v>
      </c>
      <c r="AL52" s="32">
        <f>IF(B52="","",IF(Z52="","",ROUND(Z52/7,0)))</f>
        <v>0</v>
      </c>
      <c r="AM52" s="20">
        <f>IF(B52="","",ROUND(AF52+AI52+AJ52,2))</f>
        <v>0</v>
      </c>
      <c r="AN52" s="33">
        <f>IF(B52="","",IFERROR(INDEX(Channels!$S$5:$S$18,MATCH(DefaultChannel,Channels!$A$5:$A$18,0)),0))</f>
        <v>0</v>
      </c>
      <c r="AO52" s="20">
        <f>IF(B52="","",IFERROR(INDEX(Channels!$T$5:$T$18,MATCH(DefaultChannel,Channels!$A$5:$A$18,0)),0))</f>
        <v>0</v>
      </c>
      <c r="AP52" s="41">
        <f>IF(B52="","",1-TargetRetailMargin-AN52)</f>
        <v>0</v>
      </c>
      <c r="AQ52" s="20">
        <f>IF(B52="","",IF(AP52&lt;=0,"",(AM52+AO52)/AP52))</f>
        <v>0</v>
      </c>
      <c r="AR52" s="20">
        <f>IF(B52="","",IF(AQ52="","Check the settings",ROUND(IF(RoundingRule="None",AQ52,IF(RoundingRule="Nearest 0.99",MAX(0.99,CEILING(AQ52,1)-0.01),IF(RoundingRule="Nearest 0.95",MAX(0.95,CEILING(AQ52,1)-0.05),IF(RoundingRule="Nearest 0.50",CEILING(AQ52,0.5),IF(RoundingRule="Nearest 1",CEILING(AQ52,1),IF(RoundingRule="Nearest 5",CEILING(AQ52,5),IF(RoundingRule="Up to whole 1",CEILING(AQ52,1),IF(RoundingRule="Up to whole 5",CEILING(AQ52,5),ROUND(AQ52,2))))))))),2)))</f>
        <v>0</v>
      </c>
      <c r="AS52" s="20">
        <f>IF(B52="","",IF(X52&lt;&gt;"",X52,IF(ISNUMBER(AR52),AR52,"")))</f>
        <v>0</v>
      </c>
      <c r="AT52" s="20">
        <f>IF(B52="","",IF(AS52="","",ROUND(AS52-AM52-(AS52*AN52+AO52),2)))</f>
        <v>0</v>
      </c>
      <c r="AU52" s="33">
        <f>IF(B52="","",IF(OR(AS52="",AS52=0),"",AT52/AS52))</f>
        <v>0</v>
      </c>
      <c r="AV52" s="41">
        <f>IF(B52="","",ROUND(AG52/60,3))</f>
        <v>0</v>
      </c>
      <c r="AW52" s="20">
        <f>IF(B52="","",IF(OR(AV52=0,AV52="",AT52=""),"",ROUND((AT52+AI52)/AV52,2)))</f>
        <v>0</v>
      </c>
      <c r="AX52" s="43">
        <f>IF(B52="","",IF(AND(A52&lt;&gt;"",ISERROR(MATCH(A52,Products!$A$5:$A$304,0))),"Check - no such product ID",IF(AF52=0,"Add - no material cost yet",IF(AG52=0,"Add - how long does it take?",IF(AND(A52&lt;&gt;"",COUNTIFS('Material Usage'!$A$5:$A$904,A52)&gt;0),"Check - this product also has a bill of materials",IF(AND(A52&lt;&gt;"",COUNTIFS(Labor!$A$5:$A$304,A52)&gt;0),"Check - this product also has labour lines",IF(AW52&lt;MinimumWage,"Below - pays under minimum wage","OK")))))) )</f>
        <v>0</v>
      </c>
    </row>
    <row r="53" spans="26:50">
      <c r="Z53" s="36">
        <f>IF(B53="","",IF(I53&lt;&gt;"",I53,ROUND(IF(F53="",0,F53)*IF(G53="",0.85,G53)*IF(H53="",0.9,H53),1)))</f>
        <v>0</v>
      </c>
      <c r="AA53" s="36">
        <f>IF(B53="","",ROUND(Z53*(1+IF(J53="",DefaultWaste,J53)),1))</f>
        <v>0</v>
      </c>
      <c r="AB53" s="20">
        <f>IF(B53="","",ROUND(AA53*IFERROR(INDEX(Materials!$V$5:$V$254,MATCH(D53,Materials!$A$5:$A$254,0)),0),2))</f>
        <v>0</v>
      </c>
      <c r="AC53" s="36">
        <f>IF(B53="","",ROUND(Z53*IF(L53="",0,L53),2))</f>
        <v>0</v>
      </c>
      <c r="AD53" s="20">
        <f>IF(B53="","",ROUND(AC53*IFERROR(INDEX(Materials!$V$5:$V$254,MATCH(K53,Materials!$A$5:$A$254,0)),0),2))</f>
        <v>0</v>
      </c>
      <c r="AE53" s="20">
        <f>IF(B53="","",ROUND(IF(N53="",0,N53)*IF(O53="",0,O53),2))</f>
        <v>0</v>
      </c>
      <c r="AF53" s="20">
        <f>IF(B53="","",ROUND(AB53+AD53+AE53+IF(P53="",0,P53)+IF(Q53="",0,Q53)+IF(R53="",0,R53),2))</f>
        <v>0</v>
      </c>
      <c r="AG53" s="36">
        <f>IF(B53="","",ROUND(IF(U53="",0,U53)+IF(T53="",0,T53)/MAX(1,IF(S53="",DefaultBatchSize,S53)),1))</f>
        <v>0</v>
      </c>
      <c r="AH53" s="20">
        <f>IF(B53="","",IF(W53&lt;&gt;"",W53,LaborCostHour))</f>
        <v>0</v>
      </c>
      <c r="AI53" s="20">
        <f>IF(B53="","",ROUND(AG53/60*AH53,2))</f>
        <v>0</v>
      </c>
      <c r="AJ53" s="20">
        <f>IF(B53="","",ROUND(AG53/60*SuppliesPerHour,2))</f>
        <v>0</v>
      </c>
      <c r="AK53" s="20">
        <f>IF(B53="","",IF(OR(Z53="",Z53=0),"",ROUND(AF53/Z53*100,2)))</f>
        <v>0</v>
      </c>
      <c r="AL53" s="32">
        <f>IF(B53="","",IF(Z53="","",ROUND(Z53/7,0)))</f>
        <v>0</v>
      </c>
      <c r="AM53" s="20">
        <f>IF(B53="","",ROUND(AF53+AI53+AJ53,2))</f>
        <v>0</v>
      </c>
      <c r="AN53" s="33">
        <f>IF(B53="","",IFERROR(INDEX(Channels!$S$5:$S$18,MATCH(DefaultChannel,Channels!$A$5:$A$18,0)),0))</f>
        <v>0</v>
      </c>
      <c r="AO53" s="20">
        <f>IF(B53="","",IFERROR(INDEX(Channels!$T$5:$T$18,MATCH(DefaultChannel,Channels!$A$5:$A$18,0)),0))</f>
        <v>0</v>
      </c>
      <c r="AP53" s="41">
        <f>IF(B53="","",1-TargetRetailMargin-AN53)</f>
        <v>0</v>
      </c>
      <c r="AQ53" s="20">
        <f>IF(B53="","",IF(AP53&lt;=0,"",(AM53+AO53)/AP53))</f>
        <v>0</v>
      </c>
      <c r="AR53" s="20">
        <f>IF(B53="","",IF(AQ53="","Check the settings",ROUND(IF(RoundingRule="None",AQ53,IF(RoundingRule="Nearest 0.99",MAX(0.99,CEILING(AQ53,1)-0.01),IF(RoundingRule="Nearest 0.95",MAX(0.95,CEILING(AQ53,1)-0.05),IF(RoundingRule="Nearest 0.50",CEILING(AQ53,0.5),IF(RoundingRule="Nearest 1",CEILING(AQ53,1),IF(RoundingRule="Nearest 5",CEILING(AQ53,5),IF(RoundingRule="Up to whole 1",CEILING(AQ53,1),IF(RoundingRule="Up to whole 5",CEILING(AQ53,5),ROUND(AQ53,2))))))))),2)))</f>
        <v>0</v>
      </c>
      <c r="AS53" s="20">
        <f>IF(B53="","",IF(X53&lt;&gt;"",X53,IF(ISNUMBER(AR53),AR53,"")))</f>
        <v>0</v>
      </c>
      <c r="AT53" s="20">
        <f>IF(B53="","",IF(AS53="","",ROUND(AS53-AM53-(AS53*AN53+AO53),2)))</f>
        <v>0</v>
      </c>
      <c r="AU53" s="33">
        <f>IF(B53="","",IF(OR(AS53="",AS53=0),"",AT53/AS53))</f>
        <v>0</v>
      </c>
      <c r="AV53" s="41">
        <f>IF(B53="","",ROUND(AG53/60,3))</f>
        <v>0</v>
      </c>
      <c r="AW53" s="20">
        <f>IF(B53="","",IF(OR(AV53=0,AV53="",AT53=""),"",ROUND((AT53+AI53)/AV53,2)))</f>
        <v>0</v>
      </c>
      <c r="AX53" s="43">
        <f>IF(B53="","",IF(AND(A53&lt;&gt;"",ISERROR(MATCH(A53,Products!$A$5:$A$304,0))),"Check - no such product ID",IF(AF53=0,"Add - no material cost yet",IF(AG53=0,"Add - how long does it take?",IF(AND(A53&lt;&gt;"",COUNTIFS('Material Usage'!$A$5:$A$904,A53)&gt;0),"Check - this product also has a bill of materials",IF(AND(A53&lt;&gt;"",COUNTIFS(Labor!$A$5:$A$304,A53)&gt;0),"Check - this product also has labour lines",IF(AW53&lt;MinimumWage,"Below - pays under minimum wage","OK")))))) )</f>
        <v>0</v>
      </c>
    </row>
    <row r="54" spans="26:50">
      <c r="Z54" s="36">
        <f>IF(B54="","",IF(I54&lt;&gt;"",I54,ROUND(IF(F54="",0,F54)*IF(G54="",0.85,G54)*IF(H54="",0.9,H54),1)))</f>
        <v>0</v>
      </c>
      <c r="AA54" s="36">
        <f>IF(B54="","",ROUND(Z54*(1+IF(J54="",DefaultWaste,J54)),1))</f>
        <v>0</v>
      </c>
      <c r="AB54" s="20">
        <f>IF(B54="","",ROUND(AA54*IFERROR(INDEX(Materials!$V$5:$V$254,MATCH(D54,Materials!$A$5:$A$254,0)),0),2))</f>
        <v>0</v>
      </c>
      <c r="AC54" s="36">
        <f>IF(B54="","",ROUND(Z54*IF(L54="",0,L54),2))</f>
        <v>0</v>
      </c>
      <c r="AD54" s="20">
        <f>IF(B54="","",ROUND(AC54*IFERROR(INDEX(Materials!$V$5:$V$254,MATCH(K54,Materials!$A$5:$A$254,0)),0),2))</f>
        <v>0</v>
      </c>
      <c r="AE54" s="20">
        <f>IF(B54="","",ROUND(IF(N54="",0,N54)*IF(O54="",0,O54),2))</f>
        <v>0</v>
      </c>
      <c r="AF54" s="20">
        <f>IF(B54="","",ROUND(AB54+AD54+AE54+IF(P54="",0,P54)+IF(Q54="",0,Q54)+IF(R54="",0,R54),2))</f>
        <v>0</v>
      </c>
      <c r="AG54" s="36">
        <f>IF(B54="","",ROUND(IF(U54="",0,U54)+IF(T54="",0,T54)/MAX(1,IF(S54="",DefaultBatchSize,S54)),1))</f>
        <v>0</v>
      </c>
      <c r="AH54" s="20">
        <f>IF(B54="","",IF(W54&lt;&gt;"",W54,LaborCostHour))</f>
        <v>0</v>
      </c>
      <c r="AI54" s="20">
        <f>IF(B54="","",ROUND(AG54/60*AH54,2))</f>
        <v>0</v>
      </c>
      <c r="AJ54" s="20">
        <f>IF(B54="","",ROUND(AG54/60*SuppliesPerHour,2))</f>
        <v>0</v>
      </c>
      <c r="AK54" s="20">
        <f>IF(B54="","",IF(OR(Z54="",Z54=0),"",ROUND(AF54/Z54*100,2)))</f>
        <v>0</v>
      </c>
      <c r="AL54" s="32">
        <f>IF(B54="","",IF(Z54="","",ROUND(Z54/7,0)))</f>
        <v>0</v>
      </c>
      <c r="AM54" s="20">
        <f>IF(B54="","",ROUND(AF54+AI54+AJ54,2))</f>
        <v>0</v>
      </c>
      <c r="AN54" s="33">
        <f>IF(B54="","",IFERROR(INDEX(Channels!$S$5:$S$18,MATCH(DefaultChannel,Channels!$A$5:$A$18,0)),0))</f>
        <v>0</v>
      </c>
      <c r="AO54" s="20">
        <f>IF(B54="","",IFERROR(INDEX(Channels!$T$5:$T$18,MATCH(DefaultChannel,Channels!$A$5:$A$18,0)),0))</f>
        <v>0</v>
      </c>
      <c r="AP54" s="41">
        <f>IF(B54="","",1-TargetRetailMargin-AN54)</f>
        <v>0</v>
      </c>
      <c r="AQ54" s="20">
        <f>IF(B54="","",IF(AP54&lt;=0,"",(AM54+AO54)/AP54))</f>
        <v>0</v>
      </c>
      <c r="AR54" s="20">
        <f>IF(B54="","",IF(AQ54="","Check the settings",ROUND(IF(RoundingRule="None",AQ54,IF(RoundingRule="Nearest 0.99",MAX(0.99,CEILING(AQ54,1)-0.01),IF(RoundingRule="Nearest 0.95",MAX(0.95,CEILING(AQ54,1)-0.05),IF(RoundingRule="Nearest 0.50",CEILING(AQ54,0.5),IF(RoundingRule="Nearest 1",CEILING(AQ54,1),IF(RoundingRule="Nearest 5",CEILING(AQ54,5),IF(RoundingRule="Up to whole 1",CEILING(AQ54,1),IF(RoundingRule="Up to whole 5",CEILING(AQ54,5),ROUND(AQ54,2))))))))),2)))</f>
        <v>0</v>
      </c>
      <c r="AS54" s="20">
        <f>IF(B54="","",IF(X54&lt;&gt;"",X54,IF(ISNUMBER(AR54),AR54,"")))</f>
        <v>0</v>
      </c>
      <c r="AT54" s="20">
        <f>IF(B54="","",IF(AS54="","",ROUND(AS54-AM54-(AS54*AN54+AO54),2)))</f>
        <v>0</v>
      </c>
      <c r="AU54" s="33">
        <f>IF(B54="","",IF(OR(AS54="",AS54=0),"",AT54/AS54))</f>
        <v>0</v>
      </c>
      <c r="AV54" s="41">
        <f>IF(B54="","",ROUND(AG54/60,3))</f>
        <v>0</v>
      </c>
      <c r="AW54" s="20">
        <f>IF(B54="","",IF(OR(AV54=0,AV54="",AT54=""),"",ROUND((AT54+AI54)/AV54,2)))</f>
        <v>0</v>
      </c>
      <c r="AX54" s="43">
        <f>IF(B54="","",IF(AND(A54&lt;&gt;"",ISERROR(MATCH(A54,Products!$A$5:$A$304,0))),"Check - no such product ID",IF(AF54=0,"Add - no material cost yet",IF(AG54=0,"Add - how long does it take?",IF(AND(A54&lt;&gt;"",COUNTIFS('Material Usage'!$A$5:$A$904,A54)&gt;0),"Check - this product also has a bill of materials",IF(AND(A54&lt;&gt;"",COUNTIFS(Labor!$A$5:$A$304,A54)&gt;0),"Check - this product also has labour lines",IF(AW54&lt;MinimumWage,"Below - pays under minimum wage","OK")))))) )</f>
        <v>0</v>
      </c>
    </row>
    <row r="55" spans="26:50">
      <c r="Z55" s="36">
        <f>IF(B55="","",IF(I55&lt;&gt;"",I55,ROUND(IF(F55="",0,F55)*IF(G55="",0.85,G55)*IF(H55="",0.9,H55),1)))</f>
        <v>0</v>
      </c>
      <c r="AA55" s="36">
        <f>IF(B55="","",ROUND(Z55*(1+IF(J55="",DefaultWaste,J55)),1))</f>
        <v>0</v>
      </c>
      <c r="AB55" s="20">
        <f>IF(B55="","",ROUND(AA55*IFERROR(INDEX(Materials!$V$5:$V$254,MATCH(D55,Materials!$A$5:$A$254,0)),0),2))</f>
        <v>0</v>
      </c>
      <c r="AC55" s="36">
        <f>IF(B55="","",ROUND(Z55*IF(L55="",0,L55),2))</f>
        <v>0</v>
      </c>
      <c r="AD55" s="20">
        <f>IF(B55="","",ROUND(AC55*IFERROR(INDEX(Materials!$V$5:$V$254,MATCH(K55,Materials!$A$5:$A$254,0)),0),2))</f>
        <v>0</v>
      </c>
      <c r="AE55" s="20">
        <f>IF(B55="","",ROUND(IF(N55="",0,N55)*IF(O55="",0,O55),2))</f>
        <v>0</v>
      </c>
      <c r="AF55" s="20">
        <f>IF(B55="","",ROUND(AB55+AD55+AE55+IF(P55="",0,P55)+IF(Q55="",0,Q55)+IF(R55="",0,R55),2))</f>
        <v>0</v>
      </c>
      <c r="AG55" s="36">
        <f>IF(B55="","",ROUND(IF(U55="",0,U55)+IF(T55="",0,T55)/MAX(1,IF(S55="",DefaultBatchSize,S55)),1))</f>
        <v>0</v>
      </c>
      <c r="AH55" s="20">
        <f>IF(B55="","",IF(W55&lt;&gt;"",W55,LaborCostHour))</f>
        <v>0</v>
      </c>
      <c r="AI55" s="20">
        <f>IF(B55="","",ROUND(AG55/60*AH55,2))</f>
        <v>0</v>
      </c>
      <c r="AJ55" s="20">
        <f>IF(B55="","",ROUND(AG55/60*SuppliesPerHour,2))</f>
        <v>0</v>
      </c>
      <c r="AK55" s="20">
        <f>IF(B55="","",IF(OR(Z55="",Z55=0),"",ROUND(AF55/Z55*100,2)))</f>
        <v>0</v>
      </c>
      <c r="AL55" s="32">
        <f>IF(B55="","",IF(Z55="","",ROUND(Z55/7,0)))</f>
        <v>0</v>
      </c>
      <c r="AM55" s="20">
        <f>IF(B55="","",ROUND(AF55+AI55+AJ55,2))</f>
        <v>0</v>
      </c>
      <c r="AN55" s="33">
        <f>IF(B55="","",IFERROR(INDEX(Channels!$S$5:$S$18,MATCH(DefaultChannel,Channels!$A$5:$A$18,0)),0))</f>
        <v>0</v>
      </c>
      <c r="AO55" s="20">
        <f>IF(B55="","",IFERROR(INDEX(Channels!$T$5:$T$18,MATCH(DefaultChannel,Channels!$A$5:$A$18,0)),0))</f>
        <v>0</v>
      </c>
      <c r="AP55" s="41">
        <f>IF(B55="","",1-TargetRetailMargin-AN55)</f>
        <v>0</v>
      </c>
      <c r="AQ55" s="20">
        <f>IF(B55="","",IF(AP55&lt;=0,"",(AM55+AO55)/AP55))</f>
        <v>0</v>
      </c>
      <c r="AR55" s="20">
        <f>IF(B55="","",IF(AQ55="","Check the settings",ROUND(IF(RoundingRule="None",AQ55,IF(RoundingRule="Nearest 0.99",MAX(0.99,CEILING(AQ55,1)-0.01),IF(RoundingRule="Nearest 0.95",MAX(0.95,CEILING(AQ55,1)-0.05),IF(RoundingRule="Nearest 0.50",CEILING(AQ55,0.5),IF(RoundingRule="Nearest 1",CEILING(AQ55,1),IF(RoundingRule="Nearest 5",CEILING(AQ55,5),IF(RoundingRule="Up to whole 1",CEILING(AQ55,1),IF(RoundingRule="Up to whole 5",CEILING(AQ55,5),ROUND(AQ55,2))))))))),2)))</f>
        <v>0</v>
      </c>
      <c r="AS55" s="20">
        <f>IF(B55="","",IF(X55&lt;&gt;"",X55,IF(ISNUMBER(AR55),AR55,"")))</f>
        <v>0</v>
      </c>
      <c r="AT55" s="20">
        <f>IF(B55="","",IF(AS55="","",ROUND(AS55-AM55-(AS55*AN55+AO55),2)))</f>
        <v>0</v>
      </c>
      <c r="AU55" s="33">
        <f>IF(B55="","",IF(OR(AS55="",AS55=0),"",AT55/AS55))</f>
        <v>0</v>
      </c>
      <c r="AV55" s="41">
        <f>IF(B55="","",ROUND(AG55/60,3))</f>
        <v>0</v>
      </c>
      <c r="AW55" s="20">
        <f>IF(B55="","",IF(OR(AV55=0,AV55="",AT55=""),"",ROUND((AT55+AI55)/AV55,2)))</f>
        <v>0</v>
      </c>
      <c r="AX55" s="43">
        <f>IF(B55="","",IF(AND(A55&lt;&gt;"",ISERROR(MATCH(A55,Products!$A$5:$A$304,0))),"Check - no such product ID",IF(AF55=0,"Add - no material cost yet",IF(AG55=0,"Add - how long does it take?",IF(AND(A55&lt;&gt;"",COUNTIFS('Material Usage'!$A$5:$A$904,A55)&gt;0),"Check - this product also has a bill of materials",IF(AND(A55&lt;&gt;"",COUNTIFS(Labor!$A$5:$A$304,A55)&gt;0),"Check - this product also has labour lines",IF(AW55&lt;MinimumWage,"Below - pays under minimum wage","OK")))))) )</f>
        <v>0</v>
      </c>
    </row>
    <row r="56" spans="26:50">
      <c r="Z56" s="36">
        <f>IF(B56="","",IF(I56&lt;&gt;"",I56,ROUND(IF(F56="",0,F56)*IF(G56="",0.85,G56)*IF(H56="",0.9,H56),1)))</f>
        <v>0</v>
      </c>
      <c r="AA56" s="36">
        <f>IF(B56="","",ROUND(Z56*(1+IF(J56="",DefaultWaste,J56)),1))</f>
        <v>0</v>
      </c>
      <c r="AB56" s="20">
        <f>IF(B56="","",ROUND(AA56*IFERROR(INDEX(Materials!$V$5:$V$254,MATCH(D56,Materials!$A$5:$A$254,0)),0),2))</f>
        <v>0</v>
      </c>
      <c r="AC56" s="36">
        <f>IF(B56="","",ROUND(Z56*IF(L56="",0,L56),2))</f>
        <v>0</v>
      </c>
      <c r="AD56" s="20">
        <f>IF(B56="","",ROUND(AC56*IFERROR(INDEX(Materials!$V$5:$V$254,MATCH(K56,Materials!$A$5:$A$254,0)),0),2))</f>
        <v>0</v>
      </c>
      <c r="AE56" s="20">
        <f>IF(B56="","",ROUND(IF(N56="",0,N56)*IF(O56="",0,O56),2))</f>
        <v>0</v>
      </c>
      <c r="AF56" s="20">
        <f>IF(B56="","",ROUND(AB56+AD56+AE56+IF(P56="",0,P56)+IF(Q56="",0,Q56)+IF(R56="",0,R56),2))</f>
        <v>0</v>
      </c>
      <c r="AG56" s="36">
        <f>IF(B56="","",ROUND(IF(U56="",0,U56)+IF(T56="",0,T56)/MAX(1,IF(S56="",DefaultBatchSize,S56)),1))</f>
        <v>0</v>
      </c>
      <c r="AH56" s="20">
        <f>IF(B56="","",IF(W56&lt;&gt;"",W56,LaborCostHour))</f>
        <v>0</v>
      </c>
      <c r="AI56" s="20">
        <f>IF(B56="","",ROUND(AG56/60*AH56,2))</f>
        <v>0</v>
      </c>
      <c r="AJ56" s="20">
        <f>IF(B56="","",ROUND(AG56/60*SuppliesPerHour,2))</f>
        <v>0</v>
      </c>
      <c r="AK56" s="20">
        <f>IF(B56="","",IF(OR(Z56="",Z56=0),"",ROUND(AF56/Z56*100,2)))</f>
        <v>0</v>
      </c>
      <c r="AL56" s="32">
        <f>IF(B56="","",IF(Z56="","",ROUND(Z56/7,0)))</f>
        <v>0</v>
      </c>
      <c r="AM56" s="20">
        <f>IF(B56="","",ROUND(AF56+AI56+AJ56,2))</f>
        <v>0</v>
      </c>
      <c r="AN56" s="33">
        <f>IF(B56="","",IFERROR(INDEX(Channels!$S$5:$S$18,MATCH(DefaultChannel,Channels!$A$5:$A$18,0)),0))</f>
        <v>0</v>
      </c>
      <c r="AO56" s="20">
        <f>IF(B56="","",IFERROR(INDEX(Channels!$T$5:$T$18,MATCH(DefaultChannel,Channels!$A$5:$A$18,0)),0))</f>
        <v>0</v>
      </c>
      <c r="AP56" s="41">
        <f>IF(B56="","",1-TargetRetailMargin-AN56)</f>
        <v>0</v>
      </c>
      <c r="AQ56" s="20">
        <f>IF(B56="","",IF(AP56&lt;=0,"",(AM56+AO56)/AP56))</f>
        <v>0</v>
      </c>
      <c r="AR56" s="20">
        <f>IF(B56="","",IF(AQ56="","Check the settings",ROUND(IF(RoundingRule="None",AQ56,IF(RoundingRule="Nearest 0.99",MAX(0.99,CEILING(AQ56,1)-0.01),IF(RoundingRule="Nearest 0.95",MAX(0.95,CEILING(AQ56,1)-0.05),IF(RoundingRule="Nearest 0.50",CEILING(AQ56,0.5),IF(RoundingRule="Nearest 1",CEILING(AQ56,1),IF(RoundingRule="Nearest 5",CEILING(AQ56,5),IF(RoundingRule="Up to whole 1",CEILING(AQ56,1),IF(RoundingRule="Up to whole 5",CEILING(AQ56,5),ROUND(AQ56,2))))))))),2)))</f>
        <v>0</v>
      </c>
      <c r="AS56" s="20">
        <f>IF(B56="","",IF(X56&lt;&gt;"",X56,IF(ISNUMBER(AR56),AR56,"")))</f>
        <v>0</v>
      </c>
      <c r="AT56" s="20">
        <f>IF(B56="","",IF(AS56="","",ROUND(AS56-AM56-(AS56*AN56+AO56),2)))</f>
        <v>0</v>
      </c>
      <c r="AU56" s="33">
        <f>IF(B56="","",IF(OR(AS56="",AS56=0),"",AT56/AS56))</f>
        <v>0</v>
      </c>
      <c r="AV56" s="41">
        <f>IF(B56="","",ROUND(AG56/60,3))</f>
        <v>0</v>
      </c>
      <c r="AW56" s="20">
        <f>IF(B56="","",IF(OR(AV56=0,AV56="",AT56=""),"",ROUND((AT56+AI56)/AV56,2)))</f>
        <v>0</v>
      </c>
      <c r="AX56" s="43">
        <f>IF(B56="","",IF(AND(A56&lt;&gt;"",ISERROR(MATCH(A56,Products!$A$5:$A$304,0))),"Check - no such product ID",IF(AF56=0,"Add - no material cost yet",IF(AG56=0,"Add - how long does it take?",IF(AND(A56&lt;&gt;"",COUNTIFS('Material Usage'!$A$5:$A$904,A56)&gt;0),"Check - this product also has a bill of materials",IF(AND(A56&lt;&gt;"",COUNTIFS(Labor!$A$5:$A$304,A56)&gt;0),"Check - this product also has labour lines",IF(AW56&lt;MinimumWage,"Below - pays under minimum wage","OK")))))) )</f>
        <v>0</v>
      </c>
    </row>
    <row r="57" spans="26:50">
      <c r="Z57" s="36">
        <f>IF(B57="","",IF(I57&lt;&gt;"",I57,ROUND(IF(F57="",0,F57)*IF(G57="",0.85,G57)*IF(H57="",0.9,H57),1)))</f>
        <v>0</v>
      </c>
      <c r="AA57" s="36">
        <f>IF(B57="","",ROUND(Z57*(1+IF(J57="",DefaultWaste,J57)),1))</f>
        <v>0</v>
      </c>
      <c r="AB57" s="20">
        <f>IF(B57="","",ROUND(AA57*IFERROR(INDEX(Materials!$V$5:$V$254,MATCH(D57,Materials!$A$5:$A$254,0)),0),2))</f>
        <v>0</v>
      </c>
      <c r="AC57" s="36">
        <f>IF(B57="","",ROUND(Z57*IF(L57="",0,L57),2))</f>
        <v>0</v>
      </c>
      <c r="AD57" s="20">
        <f>IF(B57="","",ROUND(AC57*IFERROR(INDEX(Materials!$V$5:$V$254,MATCH(K57,Materials!$A$5:$A$254,0)),0),2))</f>
        <v>0</v>
      </c>
      <c r="AE57" s="20">
        <f>IF(B57="","",ROUND(IF(N57="",0,N57)*IF(O57="",0,O57),2))</f>
        <v>0</v>
      </c>
      <c r="AF57" s="20">
        <f>IF(B57="","",ROUND(AB57+AD57+AE57+IF(P57="",0,P57)+IF(Q57="",0,Q57)+IF(R57="",0,R57),2))</f>
        <v>0</v>
      </c>
      <c r="AG57" s="36">
        <f>IF(B57="","",ROUND(IF(U57="",0,U57)+IF(T57="",0,T57)/MAX(1,IF(S57="",DefaultBatchSize,S57)),1))</f>
        <v>0</v>
      </c>
      <c r="AH57" s="20">
        <f>IF(B57="","",IF(W57&lt;&gt;"",W57,LaborCostHour))</f>
        <v>0</v>
      </c>
      <c r="AI57" s="20">
        <f>IF(B57="","",ROUND(AG57/60*AH57,2))</f>
        <v>0</v>
      </c>
      <c r="AJ57" s="20">
        <f>IF(B57="","",ROUND(AG57/60*SuppliesPerHour,2))</f>
        <v>0</v>
      </c>
      <c r="AK57" s="20">
        <f>IF(B57="","",IF(OR(Z57="",Z57=0),"",ROUND(AF57/Z57*100,2)))</f>
        <v>0</v>
      </c>
      <c r="AL57" s="32">
        <f>IF(B57="","",IF(Z57="","",ROUND(Z57/7,0)))</f>
        <v>0</v>
      </c>
      <c r="AM57" s="20">
        <f>IF(B57="","",ROUND(AF57+AI57+AJ57,2))</f>
        <v>0</v>
      </c>
      <c r="AN57" s="33">
        <f>IF(B57="","",IFERROR(INDEX(Channels!$S$5:$S$18,MATCH(DefaultChannel,Channels!$A$5:$A$18,0)),0))</f>
        <v>0</v>
      </c>
      <c r="AO57" s="20">
        <f>IF(B57="","",IFERROR(INDEX(Channels!$T$5:$T$18,MATCH(DefaultChannel,Channels!$A$5:$A$18,0)),0))</f>
        <v>0</v>
      </c>
      <c r="AP57" s="41">
        <f>IF(B57="","",1-TargetRetailMargin-AN57)</f>
        <v>0</v>
      </c>
      <c r="AQ57" s="20">
        <f>IF(B57="","",IF(AP57&lt;=0,"",(AM57+AO57)/AP57))</f>
        <v>0</v>
      </c>
      <c r="AR57" s="20">
        <f>IF(B57="","",IF(AQ57="","Check the settings",ROUND(IF(RoundingRule="None",AQ57,IF(RoundingRule="Nearest 0.99",MAX(0.99,CEILING(AQ57,1)-0.01),IF(RoundingRule="Nearest 0.95",MAX(0.95,CEILING(AQ57,1)-0.05),IF(RoundingRule="Nearest 0.50",CEILING(AQ57,0.5),IF(RoundingRule="Nearest 1",CEILING(AQ57,1),IF(RoundingRule="Nearest 5",CEILING(AQ57,5),IF(RoundingRule="Up to whole 1",CEILING(AQ57,1),IF(RoundingRule="Up to whole 5",CEILING(AQ57,5),ROUND(AQ57,2))))))))),2)))</f>
        <v>0</v>
      </c>
      <c r="AS57" s="20">
        <f>IF(B57="","",IF(X57&lt;&gt;"",X57,IF(ISNUMBER(AR57),AR57,"")))</f>
        <v>0</v>
      </c>
      <c r="AT57" s="20">
        <f>IF(B57="","",IF(AS57="","",ROUND(AS57-AM57-(AS57*AN57+AO57),2)))</f>
        <v>0</v>
      </c>
      <c r="AU57" s="33">
        <f>IF(B57="","",IF(OR(AS57="",AS57=0),"",AT57/AS57))</f>
        <v>0</v>
      </c>
      <c r="AV57" s="41">
        <f>IF(B57="","",ROUND(AG57/60,3))</f>
        <v>0</v>
      </c>
      <c r="AW57" s="20">
        <f>IF(B57="","",IF(OR(AV57=0,AV57="",AT57=""),"",ROUND((AT57+AI57)/AV57,2)))</f>
        <v>0</v>
      </c>
      <c r="AX57" s="43">
        <f>IF(B57="","",IF(AND(A57&lt;&gt;"",ISERROR(MATCH(A57,Products!$A$5:$A$304,0))),"Check - no such product ID",IF(AF57=0,"Add - no material cost yet",IF(AG57=0,"Add - how long does it take?",IF(AND(A57&lt;&gt;"",COUNTIFS('Material Usage'!$A$5:$A$904,A57)&gt;0),"Check - this product also has a bill of materials",IF(AND(A57&lt;&gt;"",COUNTIFS(Labor!$A$5:$A$304,A57)&gt;0),"Check - this product also has labour lines",IF(AW57&lt;MinimumWage,"Below - pays under minimum wage","OK")))))) )</f>
        <v>0</v>
      </c>
    </row>
    <row r="58" spans="26:50">
      <c r="Z58" s="36">
        <f>IF(B58="","",IF(I58&lt;&gt;"",I58,ROUND(IF(F58="",0,F58)*IF(G58="",0.85,G58)*IF(H58="",0.9,H58),1)))</f>
        <v>0</v>
      </c>
      <c r="AA58" s="36">
        <f>IF(B58="","",ROUND(Z58*(1+IF(J58="",DefaultWaste,J58)),1))</f>
        <v>0</v>
      </c>
      <c r="AB58" s="20">
        <f>IF(B58="","",ROUND(AA58*IFERROR(INDEX(Materials!$V$5:$V$254,MATCH(D58,Materials!$A$5:$A$254,0)),0),2))</f>
        <v>0</v>
      </c>
      <c r="AC58" s="36">
        <f>IF(B58="","",ROUND(Z58*IF(L58="",0,L58),2))</f>
        <v>0</v>
      </c>
      <c r="AD58" s="20">
        <f>IF(B58="","",ROUND(AC58*IFERROR(INDEX(Materials!$V$5:$V$254,MATCH(K58,Materials!$A$5:$A$254,0)),0),2))</f>
        <v>0</v>
      </c>
      <c r="AE58" s="20">
        <f>IF(B58="","",ROUND(IF(N58="",0,N58)*IF(O58="",0,O58),2))</f>
        <v>0</v>
      </c>
      <c r="AF58" s="20">
        <f>IF(B58="","",ROUND(AB58+AD58+AE58+IF(P58="",0,P58)+IF(Q58="",0,Q58)+IF(R58="",0,R58),2))</f>
        <v>0</v>
      </c>
      <c r="AG58" s="36">
        <f>IF(B58="","",ROUND(IF(U58="",0,U58)+IF(T58="",0,T58)/MAX(1,IF(S58="",DefaultBatchSize,S58)),1))</f>
        <v>0</v>
      </c>
      <c r="AH58" s="20">
        <f>IF(B58="","",IF(W58&lt;&gt;"",W58,LaborCostHour))</f>
        <v>0</v>
      </c>
      <c r="AI58" s="20">
        <f>IF(B58="","",ROUND(AG58/60*AH58,2))</f>
        <v>0</v>
      </c>
      <c r="AJ58" s="20">
        <f>IF(B58="","",ROUND(AG58/60*SuppliesPerHour,2))</f>
        <v>0</v>
      </c>
      <c r="AK58" s="20">
        <f>IF(B58="","",IF(OR(Z58="",Z58=0),"",ROUND(AF58/Z58*100,2)))</f>
        <v>0</v>
      </c>
      <c r="AL58" s="32">
        <f>IF(B58="","",IF(Z58="","",ROUND(Z58/7,0)))</f>
        <v>0</v>
      </c>
      <c r="AM58" s="20">
        <f>IF(B58="","",ROUND(AF58+AI58+AJ58,2))</f>
        <v>0</v>
      </c>
      <c r="AN58" s="33">
        <f>IF(B58="","",IFERROR(INDEX(Channels!$S$5:$S$18,MATCH(DefaultChannel,Channels!$A$5:$A$18,0)),0))</f>
        <v>0</v>
      </c>
      <c r="AO58" s="20">
        <f>IF(B58="","",IFERROR(INDEX(Channels!$T$5:$T$18,MATCH(DefaultChannel,Channels!$A$5:$A$18,0)),0))</f>
        <v>0</v>
      </c>
      <c r="AP58" s="41">
        <f>IF(B58="","",1-TargetRetailMargin-AN58)</f>
        <v>0</v>
      </c>
      <c r="AQ58" s="20">
        <f>IF(B58="","",IF(AP58&lt;=0,"",(AM58+AO58)/AP58))</f>
        <v>0</v>
      </c>
      <c r="AR58" s="20">
        <f>IF(B58="","",IF(AQ58="","Check the settings",ROUND(IF(RoundingRule="None",AQ58,IF(RoundingRule="Nearest 0.99",MAX(0.99,CEILING(AQ58,1)-0.01),IF(RoundingRule="Nearest 0.95",MAX(0.95,CEILING(AQ58,1)-0.05),IF(RoundingRule="Nearest 0.50",CEILING(AQ58,0.5),IF(RoundingRule="Nearest 1",CEILING(AQ58,1),IF(RoundingRule="Nearest 5",CEILING(AQ58,5),IF(RoundingRule="Up to whole 1",CEILING(AQ58,1),IF(RoundingRule="Up to whole 5",CEILING(AQ58,5),ROUND(AQ58,2))))))))),2)))</f>
        <v>0</v>
      </c>
      <c r="AS58" s="20">
        <f>IF(B58="","",IF(X58&lt;&gt;"",X58,IF(ISNUMBER(AR58),AR58,"")))</f>
        <v>0</v>
      </c>
      <c r="AT58" s="20">
        <f>IF(B58="","",IF(AS58="","",ROUND(AS58-AM58-(AS58*AN58+AO58),2)))</f>
        <v>0</v>
      </c>
      <c r="AU58" s="33">
        <f>IF(B58="","",IF(OR(AS58="",AS58=0),"",AT58/AS58))</f>
        <v>0</v>
      </c>
      <c r="AV58" s="41">
        <f>IF(B58="","",ROUND(AG58/60,3))</f>
        <v>0</v>
      </c>
      <c r="AW58" s="20">
        <f>IF(B58="","",IF(OR(AV58=0,AV58="",AT58=""),"",ROUND((AT58+AI58)/AV58,2)))</f>
        <v>0</v>
      </c>
      <c r="AX58" s="43">
        <f>IF(B58="","",IF(AND(A58&lt;&gt;"",ISERROR(MATCH(A58,Products!$A$5:$A$304,0))),"Check - no such product ID",IF(AF58=0,"Add - no material cost yet",IF(AG58=0,"Add - how long does it take?",IF(AND(A58&lt;&gt;"",COUNTIFS('Material Usage'!$A$5:$A$904,A58)&gt;0),"Check - this product also has a bill of materials",IF(AND(A58&lt;&gt;"",COUNTIFS(Labor!$A$5:$A$304,A58)&gt;0),"Check - this product also has labour lines",IF(AW58&lt;MinimumWage,"Below - pays under minimum wage","OK")))))) )</f>
        <v>0</v>
      </c>
    </row>
    <row r="59" spans="26:50">
      <c r="Z59" s="36">
        <f>IF(B59="","",IF(I59&lt;&gt;"",I59,ROUND(IF(F59="",0,F59)*IF(G59="",0.85,G59)*IF(H59="",0.9,H59),1)))</f>
        <v>0</v>
      </c>
      <c r="AA59" s="36">
        <f>IF(B59="","",ROUND(Z59*(1+IF(J59="",DefaultWaste,J59)),1))</f>
        <v>0</v>
      </c>
      <c r="AB59" s="20">
        <f>IF(B59="","",ROUND(AA59*IFERROR(INDEX(Materials!$V$5:$V$254,MATCH(D59,Materials!$A$5:$A$254,0)),0),2))</f>
        <v>0</v>
      </c>
      <c r="AC59" s="36">
        <f>IF(B59="","",ROUND(Z59*IF(L59="",0,L59),2))</f>
        <v>0</v>
      </c>
      <c r="AD59" s="20">
        <f>IF(B59="","",ROUND(AC59*IFERROR(INDEX(Materials!$V$5:$V$254,MATCH(K59,Materials!$A$5:$A$254,0)),0),2))</f>
        <v>0</v>
      </c>
      <c r="AE59" s="20">
        <f>IF(B59="","",ROUND(IF(N59="",0,N59)*IF(O59="",0,O59),2))</f>
        <v>0</v>
      </c>
      <c r="AF59" s="20">
        <f>IF(B59="","",ROUND(AB59+AD59+AE59+IF(P59="",0,P59)+IF(Q59="",0,Q59)+IF(R59="",0,R59),2))</f>
        <v>0</v>
      </c>
      <c r="AG59" s="36">
        <f>IF(B59="","",ROUND(IF(U59="",0,U59)+IF(T59="",0,T59)/MAX(1,IF(S59="",DefaultBatchSize,S59)),1))</f>
        <v>0</v>
      </c>
      <c r="AH59" s="20">
        <f>IF(B59="","",IF(W59&lt;&gt;"",W59,LaborCostHour))</f>
        <v>0</v>
      </c>
      <c r="AI59" s="20">
        <f>IF(B59="","",ROUND(AG59/60*AH59,2))</f>
        <v>0</v>
      </c>
      <c r="AJ59" s="20">
        <f>IF(B59="","",ROUND(AG59/60*SuppliesPerHour,2))</f>
        <v>0</v>
      </c>
      <c r="AK59" s="20">
        <f>IF(B59="","",IF(OR(Z59="",Z59=0),"",ROUND(AF59/Z59*100,2)))</f>
        <v>0</v>
      </c>
      <c r="AL59" s="32">
        <f>IF(B59="","",IF(Z59="","",ROUND(Z59/7,0)))</f>
        <v>0</v>
      </c>
      <c r="AM59" s="20">
        <f>IF(B59="","",ROUND(AF59+AI59+AJ59,2))</f>
        <v>0</v>
      </c>
      <c r="AN59" s="33">
        <f>IF(B59="","",IFERROR(INDEX(Channels!$S$5:$S$18,MATCH(DefaultChannel,Channels!$A$5:$A$18,0)),0))</f>
        <v>0</v>
      </c>
      <c r="AO59" s="20">
        <f>IF(B59="","",IFERROR(INDEX(Channels!$T$5:$T$18,MATCH(DefaultChannel,Channels!$A$5:$A$18,0)),0))</f>
        <v>0</v>
      </c>
      <c r="AP59" s="41">
        <f>IF(B59="","",1-TargetRetailMargin-AN59)</f>
        <v>0</v>
      </c>
      <c r="AQ59" s="20">
        <f>IF(B59="","",IF(AP59&lt;=0,"",(AM59+AO59)/AP59))</f>
        <v>0</v>
      </c>
      <c r="AR59" s="20">
        <f>IF(B59="","",IF(AQ59="","Check the settings",ROUND(IF(RoundingRule="None",AQ59,IF(RoundingRule="Nearest 0.99",MAX(0.99,CEILING(AQ59,1)-0.01),IF(RoundingRule="Nearest 0.95",MAX(0.95,CEILING(AQ59,1)-0.05),IF(RoundingRule="Nearest 0.50",CEILING(AQ59,0.5),IF(RoundingRule="Nearest 1",CEILING(AQ59,1),IF(RoundingRule="Nearest 5",CEILING(AQ59,5),IF(RoundingRule="Up to whole 1",CEILING(AQ59,1),IF(RoundingRule="Up to whole 5",CEILING(AQ59,5),ROUND(AQ59,2))))))))),2)))</f>
        <v>0</v>
      </c>
      <c r="AS59" s="20">
        <f>IF(B59="","",IF(X59&lt;&gt;"",X59,IF(ISNUMBER(AR59),AR59,"")))</f>
        <v>0</v>
      </c>
      <c r="AT59" s="20">
        <f>IF(B59="","",IF(AS59="","",ROUND(AS59-AM59-(AS59*AN59+AO59),2)))</f>
        <v>0</v>
      </c>
      <c r="AU59" s="33">
        <f>IF(B59="","",IF(OR(AS59="",AS59=0),"",AT59/AS59))</f>
        <v>0</v>
      </c>
      <c r="AV59" s="41">
        <f>IF(B59="","",ROUND(AG59/60,3))</f>
        <v>0</v>
      </c>
      <c r="AW59" s="20">
        <f>IF(B59="","",IF(OR(AV59=0,AV59="",AT59=""),"",ROUND((AT59+AI59)/AV59,2)))</f>
        <v>0</v>
      </c>
      <c r="AX59" s="43">
        <f>IF(B59="","",IF(AND(A59&lt;&gt;"",ISERROR(MATCH(A59,Products!$A$5:$A$304,0))),"Check - no such product ID",IF(AF59=0,"Add - no material cost yet",IF(AG59=0,"Add - how long does it take?",IF(AND(A59&lt;&gt;"",COUNTIFS('Material Usage'!$A$5:$A$904,A59)&gt;0),"Check - this product also has a bill of materials",IF(AND(A59&lt;&gt;"",COUNTIFS(Labor!$A$5:$A$304,A59)&gt;0),"Check - this product also has labour lines",IF(AW59&lt;MinimumWage,"Below - pays under minimum wage","OK")))))) )</f>
        <v>0</v>
      </c>
    </row>
    <row r="60" spans="26:50">
      <c r="Z60" s="36">
        <f>IF(B60="","",IF(I60&lt;&gt;"",I60,ROUND(IF(F60="",0,F60)*IF(G60="",0.85,G60)*IF(H60="",0.9,H60),1)))</f>
        <v>0</v>
      </c>
      <c r="AA60" s="36">
        <f>IF(B60="","",ROUND(Z60*(1+IF(J60="",DefaultWaste,J60)),1))</f>
        <v>0</v>
      </c>
      <c r="AB60" s="20">
        <f>IF(B60="","",ROUND(AA60*IFERROR(INDEX(Materials!$V$5:$V$254,MATCH(D60,Materials!$A$5:$A$254,0)),0),2))</f>
        <v>0</v>
      </c>
      <c r="AC60" s="36">
        <f>IF(B60="","",ROUND(Z60*IF(L60="",0,L60),2))</f>
        <v>0</v>
      </c>
      <c r="AD60" s="20">
        <f>IF(B60="","",ROUND(AC60*IFERROR(INDEX(Materials!$V$5:$V$254,MATCH(K60,Materials!$A$5:$A$254,0)),0),2))</f>
        <v>0</v>
      </c>
      <c r="AE60" s="20">
        <f>IF(B60="","",ROUND(IF(N60="",0,N60)*IF(O60="",0,O60),2))</f>
        <v>0</v>
      </c>
      <c r="AF60" s="20">
        <f>IF(B60="","",ROUND(AB60+AD60+AE60+IF(P60="",0,P60)+IF(Q60="",0,Q60)+IF(R60="",0,R60),2))</f>
        <v>0</v>
      </c>
      <c r="AG60" s="36">
        <f>IF(B60="","",ROUND(IF(U60="",0,U60)+IF(T60="",0,T60)/MAX(1,IF(S60="",DefaultBatchSize,S60)),1))</f>
        <v>0</v>
      </c>
      <c r="AH60" s="20">
        <f>IF(B60="","",IF(W60&lt;&gt;"",W60,LaborCostHour))</f>
        <v>0</v>
      </c>
      <c r="AI60" s="20">
        <f>IF(B60="","",ROUND(AG60/60*AH60,2))</f>
        <v>0</v>
      </c>
      <c r="AJ60" s="20">
        <f>IF(B60="","",ROUND(AG60/60*SuppliesPerHour,2))</f>
        <v>0</v>
      </c>
      <c r="AK60" s="20">
        <f>IF(B60="","",IF(OR(Z60="",Z60=0),"",ROUND(AF60/Z60*100,2)))</f>
        <v>0</v>
      </c>
      <c r="AL60" s="32">
        <f>IF(B60="","",IF(Z60="","",ROUND(Z60/7,0)))</f>
        <v>0</v>
      </c>
      <c r="AM60" s="20">
        <f>IF(B60="","",ROUND(AF60+AI60+AJ60,2))</f>
        <v>0</v>
      </c>
      <c r="AN60" s="33">
        <f>IF(B60="","",IFERROR(INDEX(Channels!$S$5:$S$18,MATCH(DefaultChannel,Channels!$A$5:$A$18,0)),0))</f>
        <v>0</v>
      </c>
      <c r="AO60" s="20">
        <f>IF(B60="","",IFERROR(INDEX(Channels!$T$5:$T$18,MATCH(DefaultChannel,Channels!$A$5:$A$18,0)),0))</f>
        <v>0</v>
      </c>
      <c r="AP60" s="41">
        <f>IF(B60="","",1-TargetRetailMargin-AN60)</f>
        <v>0</v>
      </c>
      <c r="AQ60" s="20">
        <f>IF(B60="","",IF(AP60&lt;=0,"",(AM60+AO60)/AP60))</f>
        <v>0</v>
      </c>
      <c r="AR60" s="20">
        <f>IF(B60="","",IF(AQ60="","Check the settings",ROUND(IF(RoundingRule="None",AQ60,IF(RoundingRule="Nearest 0.99",MAX(0.99,CEILING(AQ60,1)-0.01),IF(RoundingRule="Nearest 0.95",MAX(0.95,CEILING(AQ60,1)-0.05),IF(RoundingRule="Nearest 0.50",CEILING(AQ60,0.5),IF(RoundingRule="Nearest 1",CEILING(AQ60,1),IF(RoundingRule="Nearest 5",CEILING(AQ60,5),IF(RoundingRule="Up to whole 1",CEILING(AQ60,1),IF(RoundingRule="Up to whole 5",CEILING(AQ60,5),ROUND(AQ60,2))))))))),2)))</f>
        <v>0</v>
      </c>
      <c r="AS60" s="20">
        <f>IF(B60="","",IF(X60&lt;&gt;"",X60,IF(ISNUMBER(AR60),AR60,"")))</f>
        <v>0</v>
      </c>
      <c r="AT60" s="20">
        <f>IF(B60="","",IF(AS60="","",ROUND(AS60-AM60-(AS60*AN60+AO60),2)))</f>
        <v>0</v>
      </c>
      <c r="AU60" s="33">
        <f>IF(B60="","",IF(OR(AS60="",AS60=0),"",AT60/AS60))</f>
        <v>0</v>
      </c>
      <c r="AV60" s="41">
        <f>IF(B60="","",ROUND(AG60/60,3))</f>
        <v>0</v>
      </c>
      <c r="AW60" s="20">
        <f>IF(B60="","",IF(OR(AV60=0,AV60="",AT60=""),"",ROUND((AT60+AI60)/AV60,2)))</f>
        <v>0</v>
      </c>
      <c r="AX60" s="43">
        <f>IF(B60="","",IF(AND(A60&lt;&gt;"",ISERROR(MATCH(A60,Products!$A$5:$A$304,0))),"Check - no such product ID",IF(AF60=0,"Add - no material cost yet",IF(AG60=0,"Add - how long does it take?",IF(AND(A60&lt;&gt;"",COUNTIFS('Material Usage'!$A$5:$A$904,A60)&gt;0),"Check - this product also has a bill of materials",IF(AND(A60&lt;&gt;"",COUNTIFS(Labor!$A$5:$A$304,A60)&gt;0),"Check - this product also has labour lines",IF(AW60&lt;MinimumWage,"Below - pays under minimum wage","OK")))))) )</f>
        <v>0</v>
      </c>
    </row>
    <row r="61" spans="26:50">
      <c r="Z61" s="36">
        <f>IF(B61="","",IF(I61&lt;&gt;"",I61,ROUND(IF(F61="",0,F61)*IF(G61="",0.85,G61)*IF(H61="",0.9,H61),1)))</f>
        <v>0</v>
      </c>
      <c r="AA61" s="36">
        <f>IF(B61="","",ROUND(Z61*(1+IF(J61="",DefaultWaste,J61)),1))</f>
        <v>0</v>
      </c>
      <c r="AB61" s="20">
        <f>IF(B61="","",ROUND(AA61*IFERROR(INDEX(Materials!$V$5:$V$254,MATCH(D61,Materials!$A$5:$A$254,0)),0),2))</f>
        <v>0</v>
      </c>
      <c r="AC61" s="36">
        <f>IF(B61="","",ROUND(Z61*IF(L61="",0,L61),2))</f>
        <v>0</v>
      </c>
      <c r="AD61" s="20">
        <f>IF(B61="","",ROUND(AC61*IFERROR(INDEX(Materials!$V$5:$V$254,MATCH(K61,Materials!$A$5:$A$254,0)),0),2))</f>
        <v>0</v>
      </c>
      <c r="AE61" s="20">
        <f>IF(B61="","",ROUND(IF(N61="",0,N61)*IF(O61="",0,O61),2))</f>
        <v>0</v>
      </c>
      <c r="AF61" s="20">
        <f>IF(B61="","",ROUND(AB61+AD61+AE61+IF(P61="",0,P61)+IF(Q61="",0,Q61)+IF(R61="",0,R61),2))</f>
        <v>0</v>
      </c>
      <c r="AG61" s="36">
        <f>IF(B61="","",ROUND(IF(U61="",0,U61)+IF(T61="",0,T61)/MAX(1,IF(S61="",DefaultBatchSize,S61)),1))</f>
        <v>0</v>
      </c>
      <c r="AH61" s="20">
        <f>IF(B61="","",IF(W61&lt;&gt;"",W61,LaborCostHour))</f>
        <v>0</v>
      </c>
      <c r="AI61" s="20">
        <f>IF(B61="","",ROUND(AG61/60*AH61,2))</f>
        <v>0</v>
      </c>
      <c r="AJ61" s="20">
        <f>IF(B61="","",ROUND(AG61/60*SuppliesPerHour,2))</f>
        <v>0</v>
      </c>
      <c r="AK61" s="20">
        <f>IF(B61="","",IF(OR(Z61="",Z61=0),"",ROUND(AF61/Z61*100,2)))</f>
        <v>0</v>
      </c>
      <c r="AL61" s="32">
        <f>IF(B61="","",IF(Z61="","",ROUND(Z61/7,0)))</f>
        <v>0</v>
      </c>
      <c r="AM61" s="20">
        <f>IF(B61="","",ROUND(AF61+AI61+AJ61,2))</f>
        <v>0</v>
      </c>
      <c r="AN61" s="33">
        <f>IF(B61="","",IFERROR(INDEX(Channels!$S$5:$S$18,MATCH(DefaultChannel,Channels!$A$5:$A$18,0)),0))</f>
        <v>0</v>
      </c>
      <c r="AO61" s="20">
        <f>IF(B61="","",IFERROR(INDEX(Channels!$T$5:$T$18,MATCH(DefaultChannel,Channels!$A$5:$A$18,0)),0))</f>
        <v>0</v>
      </c>
      <c r="AP61" s="41">
        <f>IF(B61="","",1-TargetRetailMargin-AN61)</f>
        <v>0</v>
      </c>
      <c r="AQ61" s="20">
        <f>IF(B61="","",IF(AP61&lt;=0,"",(AM61+AO61)/AP61))</f>
        <v>0</v>
      </c>
      <c r="AR61" s="20">
        <f>IF(B61="","",IF(AQ61="","Check the settings",ROUND(IF(RoundingRule="None",AQ61,IF(RoundingRule="Nearest 0.99",MAX(0.99,CEILING(AQ61,1)-0.01),IF(RoundingRule="Nearest 0.95",MAX(0.95,CEILING(AQ61,1)-0.05),IF(RoundingRule="Nearest 0.50",CEILING(AQ61,0.5),IF(RoundingRule="Nearest 1",CEILING(AQ61,1),IF(RoundingRule="Nearest 5",CEILING(AQ61,5),IF(RoundingRule="Up to whole 1",CEILING(AQ61,1),IF(RoundingRule="Up to whole 5",CEILING(AQ61,5),ROUND(AQ61,2))))))))),2)))</f>
        <v>0</v>
      </c>
      <c r="AS61" s="20">
        <f>IF(B61="","",IF(X61&lt;&gt;"",X61,IF(ISNUMBER(AR61),AR61,"")))</f>
        <v>0</v>
      </c>
      <c r="AT61" s="20">
        <f>IF(B61="","",IF(AS61="","",ROUND(AS61-AM61-(AS61*AN61+AO61),2)))</f>
        <v>0</v>
      </c>
      <c r="AU61" s="33">
        <f>IF(B61="","",IF(OR(AS61="",AS61=0),"",AT61/AS61))</f>
        <v>0</v>
      </c>
      <c r="AV61" s="41">
        <f>IF(B61="","",ROUND(AG61/60,3))</f>
        <v>0</v>
      </c>
      <c r="AW61" s="20">
        <f>IF(B61="","",IF(OR(AV61=0,AV61="",AT61=""),"",ROUND((AT61+AI61)/AV61,2)))</f>
        <v>0</v>
      </c>
      <c r="AX61" s="43">
        <f>IF(B61="","",IF(AND(A61&lt;&gt;"",ISERROR(MATCH(A61,Products!$A$5:$A$304,0))),"Check - no such product ID",IF(AF61=0,"Add - no material cost yet",IF(AG61=0,"Add - how long does it take?",IF(AND(A61&lt;&gt;"",COUNTIFS('Material Usage'!$A$5:$A$904,A61)&gt;0),"Check - this product also has a bill of materials",IF(AND(A61&lt;&gt;"",COUNTIFS(Labor!$A$5:$A$304,A61)&gt;0),"Check - this product also has labour lines",IF(AW61&lt;MinimumWage,"Below - pays under minimum wage","OK")))))) )</f>
        <v>0</v>
      </c>
    </row>
    <row r="62" spans="26:50">
      <c r="Z62" s="36">
        <f>IF(B62="","",IF(I62&lt;&gt;"",I62,ROUND(IF(F62="",0,F62)*IF(G62="",0.85,G62)*IF(H62="",0.9,H62),1)))</f>
        <v>0</v>
      </c>
      <c r="AA62" s="36">
        <f>IF(B62="","",ROUND(Z62*(1+IF(J62="",DefaultWaste,J62)),1))</f>
        <v>0</v>
      </c>
      <c r="AB62" s="20">
        <f>IF(B62="","",ROUND(AA62*IFERROR(INDEX(Materials!$V$5:$V$254,MATCH(D62,Materials!$A$5:$A$254,0)),0),2))</f>
        <v>0</v>
      </c>
      <c r="AC62" s="36">
        <f>IF(B62="","",ROUND(Z62*IF(L62="",0,L62),2))</f>
        <v>0</v>
      </c>
      <c r="AD62" s="20">
        <f>IF(B62="","",ROUND(AC62*IFERROR(INDEX(Materials!$V$5:$V$254,MATCH(K62,Materials!$A$5:$A$254,0)),0),2))</f>
        <v>0</v>
      </c>
      <c r="AE62" s="20">
        <f>IF(B62="","",ROUND(IF(N62="",0,N62)*IF(O62="",0,O62),2))</f>
        <v>0</v>
      </c>
      <c r="AF62" s="20">
        <f>IF(B62="","",ROUND(AB62+AD62+AE62+IF(P62="",0,P62)+IF(Q62="",0,Q62)+IF(R62="",0,R62),2))</f>
        <v>0</v>
      </c>
      <c r="AG62" s="36">
        <f>IF(B62="","",ROUND(IF(U62="",0,U62)+IF(T62="",0,T62)/MAX(1,IF(S62="",DefaultBatchSize,S62)),1))</f>
        <v>0</v>
      </c>
      <c r="AH62" s="20">
        <f>IF(B62="","",IF(W62&lt;&gt;"",W62,LaborCostHour))</f>
        <v>0</v>
      </c>
      <c r="AI62" s="20">
        <f>IF(B62="","",ROUND(AG62/60*AH62,2))</f>
        <v>0</v>
      </c>
      <c r="AJ62" s="20">
        <f>IF(B62="","",ROUND(AG62/60*SuppliesPerHour,2))</f>
        <v>0</v>
      </c>
      <c r="AK62" s="20">
        <f>IF(B62="","",IF(OR(Z62="",Z62=0),"",ROUND(AF62/Z62*100,2)))</f>
        <v>0</v>
      </c>
      <c r="AL62" s="32">
        <f>IF(B62="","",IF(Z62="","",ROUND(Z62/7,0)))</f>
        <v>0</v>
      </c>
      <c r="AM62" s="20">
        <f>IF(B62="","",ROUND(AF62+AI62+AJ62,2))</f>
        <v>0</v>
      </c>
      <c r="AN62" s="33">
        <f>IF(B62="","",IFERROR(INDEX(Channels!$S$5:$S$18,MATCH(DefaultChannel,Channels!$A$5:$A$18,0)),0))</f>
        <v>0</v>
      </c>
      <c r="AO62" s="20">
        <f>IF(B62="","",IFERROR(INDEX(Channels!$T$5:$T$18,MATCH(DefaultChannel,Channels!$A$5:$A$18,0)),0))</f>
        <v>0</v>
      </c>
      <c r="AP62" s="41">
        <f>IF(B62="","",1-TargetRetailMargin-AN62)</f>
        <v>0</v>
      </c>
      <c r="AQ62" s="20">
        <f>IF(B62="","",IF(AP62&lt;=0,"",(AM62+AO62)/AP62))</f>
        <v>0</v>
      </c>
      <c r="AR62" s="20">
        <f>IF(B62="","",IF(AQ62="","Check the settings",ROUND(IF(RoundingRule="None",AQ62,IF(RoundingRule="Nearest 0.99",MAX(0.99,CEILING(AQ62,1)-0.01),IF(RoundingRule="Nearest 0.95",MAX(0.95,CEILING(AQ62,1)-0.05),IF(RoundingRule="Nearest 0.50",CEILING(AQ62,0.5),IF(RoundingRule="Nearest 1",CEILING(AQ62,1),IF(RoundingRule="Nearest 5",CEILING(AQ62,5),IF(RoundingRule="Up to whole 1",CEILING(AQ62,1),IF(RoundingRule="Up to whole 5",CEILING(AQ62,5),ROUND(AQ62,2))))))))),2)))</f>
        <v>0</v>
      </c>
      <c r="AS62" s="20">
        <f>IF(B62="","",IF(X62&lt;&gt;"",X62,IF(ISNUMBER(AR62),AR62,"")))</f>
        <v>0</v>
      </c>
      <c r="AT62" s="20">
        <f>IF(B62="","",IF(AS62="","",ROUND(AS62-AM62-(AS62*AN62+AO62),2)))</f>
        <v>0</v>
      </c>
      <c r="AU62" s="33">
        <f>IF(B62="","",IF(OR(AS62="",AS62=0),"",AT62/AS62))</f>
        <v>0</v>
      </c>
      <c r="AV62" s="41">
        <f>IF(B62="","",ROUND(AG62/60,3))</f>
        <v>0</v>
      </c>
      <c r="AW62" s="20">
        <f>IF(B62="","",IF(OR(AV62=0,AV62="",AT62=""),"",ROUND((AT62+AI62)/AV62,2)))</f>
        <v>0</v>
      </c>
      <c r="AX62" s="43">
        <f>IF(B62="","",IF(AND(A62&lt;&gt;"",ISERROR(MATCH(A62,Products!$A$5:$A$304,0))),"Check - no such product ID",IF(AF62=0,"Add - no material cost yet",IF(AG62=0,"Add - how long does it take?",IF(AND(A62&lt;&gt;"",COUNTIFS('Material Usage'!$A$5:$A$904,A62)&gt;0),"Check - this product also has a bill of materials",IF(AND(A62&lt;&gt;"",COUNTIFS(Labor!$A$5:$A$304,A62)&gt;0),"Check - this product also has labour lines",IF(AW62&lt;MinimumWage,"Below - pays under minimum wage","OK")))))) )</f>
        <v>0</v>
      </c>
    </row>
    <row r="63" spans="26:50">
      <c r="Z63" s="36">
        <f>IF(B63="","",IF(I63&lt;&gt;"",I63,ROUND(IF(F63="",0,F63)*IF(G63="",0.85,G63)*IF(H63="",0.9,H63),1)))</f>
        <v>0</v>
      </c>
      <c r="AA63" s="36">
        <f>IF(B63="","",ROUND(Z63*(1+IF(J63="",DefaultWaste,J63)),1))</f>
        <v>0</v>
      </c>
      <c r="AB63" s="20">
        <f>IF(B63="","",ROUND(AA63*IFERROR(INDEX(Materials!$V$5:$V$254,MATCH(D63,Materials!$A$5:$A$254,0)),0),2))</f>
        <v>0</v>
      </c>
      <c r="AC63" s="36">
        <f>IF(B63="","",ROUND(Z63*IF(L63="",0,L63),2))</f>
        <v>0</v>
      </c>
      <c r="AD63" s="20">
        <f>IF(B63="","",ROUND(AC63*IFERROR(INDEX(Materials!$V$5:$V$254,MATCH(K63,Materials!$A$5:$A$254,0)),0),2))</f>
        <v>0</v>
      </c>
      <c r="AE63" s="20">
        <f>IF(B63="","",ROUND(IF(N63="",0,N63)*IF(O63="",0,O63),2))</f>
        <v>0</v>
      </c>
      <c r="AF63" s="20">
        <f>IF(B63="","",ROUND(AB63+AD63+AE63+IF(P63="",0,P63)+IF(Q63="",0,Q63)+IF(R63="",0,R63),2))</f>
        <v>0</v>
      </c>
      <c r="AG63" s="36">
        <f>IF(B63="","",ROUND(IF(U63="",0,U63)+IF(T63="",0,T63)/MAX(1,IF(S63="",DefaultBatchSize,S63)),1))</f>
        <v>0</v>
      </c>
      <c r="AH63" s="20">
        <f>IF(B63="","",IF(W63&lt;&gt;"",W63,LaborCostHour))</f>
        <v>0</v>
      </c>
      <c r="AI63" s="20">
        <f>IF(B63="","",ROUND(AG63/60*AH63,2))</f>
        <v>0</v>
      </c>
      <c r="AJ63" s="20">
        <f>IF(B63="","",ROUND(AG63/60*SuppliesPerHour,2))</f>
        <v>0</v>
      </c>
      <c r="AK63" s="20">
        <f>IF(B63="","",IF(OR(Z63="",Z63=0),"",ROUND(AF63/Z63*100,2)))</f>
        <v>0</v>
      </c>
      <c r="AL63" s="32">
        <f>IF(B63="","",IF(Z63="","",ROUND(Z63/7,0)))</f>
        <v>0</v>
      </c>
      <c r="AM63" s="20">
        <f>IF(B63="","",ROUND(AF63+AI63+AJ63,2))</f>
        <v>0</v>
      </c>
      <c r="AN63" s="33">
        <f>IF(B63="","",IFERROR(INDEX(Channels!$S$5:$S$18,MATCH(DefaultChannel,Channels!$A$5:$A$18,0)),0))</f>
        <v>0</v>
      </c>
      <c r="AO63" s="20">
        <f>IF(B63="","",IFERROR(INDEX(Channels!$T$5:$T$18,MATCH(DefaultChannel,Channels!$A$5:$A$18,0)),0))</f>
        <v>0</v>
      </c>
      <c r="AP63" s="41">
        <f>IF(B63="","",1-TargetRetailMargin-AN63)</f>
        <v>0</v>
      </c>
      <c r="AQ63" s="20">
        <f>IF(B63="","",IF(AP63&lt;=0,"",(AM63+AO63)/AP63))</f>
        <v>0</v>
      </c>
      <c r="AR63" s="20">
        <f>IF(B63="","",IF(AQ63="","Check the settings",ROUND(IF(RoundingRule="None",AQ63,IF(RoundingRule="Nearest 0.99",MAX(0.99,CEILING(AQ63,1)-0.01),IF(RoundingRule="Nearest 0.95",MAX(0.95,CEILING(AQ63,1)-0.05),IF(RoundingRule="Nearest 0.50",CEILING(AQ63,0.5),IF(RoundingRule="Nearest 1",CEILING(AQ63,1),IF(RoundingRule="Nearest 5",CEILING(AQ63,5),IF(RoundingRule="Up to whole 1",CEILING(AQ63,1),IF(RoundingRule="Up to whole 5",CEILING(AQ63,5),ROUND(AQ63,2))))))))),2)))</f>
        <v>0</v>
      </c>
      <c r="AS63" s="20">
        <f>IF(B63="","",IF(X63&lt;&gt;"",X63,IF(ISNUMBER(AR63),AR63,"")))</f>
        <v>0</v>
      </c>
      <c r="AT63" s="20">
        <f>IF(B63="","",IF(AS63="","",ROUND(AS63-AM63-(AS63*AN63+AO63),2)))</f>
        <v>0</v>
      </c>
      <c r="AU63" s="33">
        <f>IF(B63="","",IF(OR(AS63="",AS63=0),"",AT63/AS63))</f>
        <v>0</v>
      </c>
      <c r="AV63" s="41">
        <f>IF(B63="","",ROUND(AG63/60,3))</f>
        <v>0</v>
      </c>
      <c r="AW63" s="20">
        <f>IF(B63="","",IF(OR(AV63=0,AV63="",AT63=""),"",ROUND((AT63+AI63)/AV63,2)))</f>
        <v>0</v>
      </c>
      <c r="AX63" s="43">
        <f>IF(B63="","",IF(AND(A63&lt;&gt;"",ISERROR(MATCH(A63,Products!$A$5:$A$304,0))),"Check - no such product ID",IF(AF63=0,"Add - no material cost yet",IF(AG63=0,"Add - how long does it take?",IF(AND(A63&lt;&gt;"",COUNTIFS('Material Usage'!$A$5:$A$904,A63)&gt;0),"Check - this product also has a bill of materials",IF(AND(A63&lt;&gt;"",COUNTIFS(Labor!$A$5:$A$304,A63)&gt;0),"Check - this product also has labour lines",IF(AW63&lt;MinimumWage,"Below - pays under minimum wage","OK")))))) )</f>
        <v>0</v>
      </c>
    </row>
    <row r="64" spans="26:50">
      <c r="Z64" s="36">
        <f>IF(B64="","",IF(I64&lt;&gt;"",I64,ROUND(IF(F64="",0,F64)*IF(G64="",0.85,G64)*IF(H64="",0.9,H64),1)))</f>
        <v>0</v>
      </c>
      <c r="AA64" s="36">
        <f>IF(B64="","",ROUND(Z64*(1+IF(J64="",DefaultWaste,J64)),1))</f>
        <v>0</v>
      </c>
      <c r="AB64" s="20">
        <f>IF(B64="","",ROUND(AA64*IFERROR(INDEX(Materials!$V$5:$V$254,MATCH(D64,Materials!$A$5:$A$254,0)),0),2))</f>
        <v>0</v>
      </c>
      <c r="AC64" s="36">
        <f>IF(B64="","",ROUND(Z64*IF(L64="",0,L64),2))</f>
        <v>0</v>
      </c>
      <c r="AD64" s="20">
        <f>IF(B64="","",ROUND(AC64*IFERROR(INDEX(Materials!$V$5:$V$254,MATCH(K64,Materials!$A$5:$A$254,0)),0),2))</f>
        <v>0</v>
      </c>
      <c r="AE64" s="20">
        <f>IF(B64="","",ROUND(IF(N64="",0,N64)*IF(O64="",0,O64),2))</f>
        <v>0</v>
      </c>
      <c r="AF64" s="20">
        <f>IF(B64="","",ROUND(AB64+AD64+AE64+IF(P64="",0,P64)+IF(Q64="",0,Q64)+IF(R64="",0,R64),2))</f>
        <v>0</v>
      </c>
      <c r="AG64" s="36">
        <f>IF(B64="","",ROUND(IF(U64="",0,U64)+IF(T64="",0,T64)/MAX(1,IF(S64="",DefaultBatchSize,S64)),1))</f>
        <v>0</v>
      </c>
      <c r="AH64" s="20">
        <f>IF(B64="","",IF(W64&lt;&gt;"",W64,LaborCostHour))</f>
        <v>0</v>
      </c>
      <c r="AI64" s="20">
        <f>IF(B64="","",ROUND(AG64/60*AH64,2))</f>
        <v>0</v>
      </c>
      <c r="AJ64" s="20">
        <f>IF(B64="","",ROUND(AG64/60*SuppliesPerHour,2))</f>
        <v>0</v>
      </c>
      <c r="AK64" s="20">
        <f>IF(B64="","",IF(OR(Z64="",Z64=0),"",ROUND(AF64/Z64*100,2)))</f>
        <v>0</v>
      </c>
      <c r="AL64" s="32">
        <f>IF(B64="","",IF(Z64="","",ROUND(Z64/7,0)))</f>
        <v>0</v>
      </c>
      <c r="AM64" s="20">
        <f>IF(B64="","",ROUND(AF64+AI64+AJ64,2))</f>
        <v>0</v>
      </c>
      <c r="AN64" s="33">
        <f>IF(B64="","",IFERROR(INDEX(Channels!$S$5:$S$18,MATCH(DefaultChannel,Channels!$A$5:$A$18,0)),0))</f>
        <v>0</v>
      </c>
      <c r="AO64" s="20">
        <f>IF(B64="","",IFERROR(INDEX(Channels!$T$5:$T$18,MATCH(DefaultChannel,Channels!$A$5:$A$18,0)),0))</f>
        <v>0</v>
      </c>
      <c r="AP64" s="41">
        <f>IF(B64="","",1-TargetRetailMargin-AN64)</f>
        <v>0</v>
      </c>
      <c r="AQ64" s="20">
        <f>IF(B64="","",IF(AP64&lt;=0,"",(AM64+AO64)/AP64))</f>
        <v>0</v>
      </c>
      <c r="AR64" s="20">
        <f>IF(B64="","",IF(AQ64="","Check the settings",ROUND(IF(RoundingRule="None",AQ64,IF(RoundingRule="Nearest 0.99",MAX(0.99,CEILING(AQ64,1)-0.01),IF(RoundingRule="Nearest 0.95",MAX(0.95,CEILING(AQ64,1)-0.05),IF(RoundingRule="Nearest 0.50",CEILING(AQ64,0.5),IF(RoundingRule="Nearest 1",CEILING(AQ64,1),IF(RoundingRule="Nearest 5",CEILING(AQ64,5),IF(RoundingRule="Up to whole 1",CEILING(AQ64,1),IF(RoundingRule="Up to whole 5",CEILING(AQ64,5),ROUND(AQ64,2))))))))),2)))</f>
        <v>0</v>
      </c>
      <c r="AS64" s="20">
        <f>IF(B64="","",IF(X64&lt;&gt;"",X64,IF(ISNUMBER(AR64),AR64,"")))</f>
        <v>0</v>
      </c>
      <c r="AT64" s="20">
        <f>IF(B64="","",IF(AS64="","",ROUND(AS64-AM64-(AS64*AN64+AO64),2)))</f>
        <v>0</v>
      </c>
      <c r="AU64" s="33">
        <f>IF(B64="","",IF(OR(AS64="",AS64=0),"",AT64/AS64))</f>
        <v>0</v>
      </c>
      <c r="AV64" s="41">
        <f>IF(B64="","",ROUND(AG64/60,3))</f>
        <v>0</v>
      </c>
      <c r="AW64" s="20">
        <f>IF(B64="","",IF(OR(AV64=0,AV64="",AT64=""),"",ROUND((AT64+AI64)/AV64,2)))</f>
        <v>0</v>
      </c>
      <c r="AX64" s="43">
        <f>IF(B64="","",IF(AND(A64&lt;&gt;"",ISERROR(MATCH(A64,Products!$A$5:$A$304,0))),"Check - no such product ID",IF(AF64=0,"Add - no material cost yet",IF(AG64=0,"Add - how long does it take?",IF(AND(A64&lt;&gt;"",COUNTIFS('Material Usage'!$A$5:$A$904,A64)&gt;0),"Check - this product also has a bill of materials",IF(AND(A64&lt;&gt;"",COUNTIFS(Labor!$A$5:$A$304,A64)&gt;0),"Check - this product also has labour lines",IF(AW64&lt;MinimumWage,"Below - pays under minimum wage","OK")))))) )</f>
        <v>0</v>
      </c>
    </row>
    <row r="65" spans="26:50">
      <c r="Z65" s="36">
        <f>IF(B65="","",IF(I65&lt;&gt;"",I65,ROUND(IF(F65="",0,F65)*IF(G65="",0.85,G65)*IF(H65="",0.9,H65),1)))</f>
        <v>0</v>
      </c>
      <c r="AA65" s="36">
        <f>IF(B65="","",ROUND(Z65*(1+IF(J65="",DefaultWaste,J65)),1))</f>
        <v>0</v>
      </c>
      <c r="AB65" s="20">
        <f>IF(B65="","",ROUND(AA65*IFERROR(INDEX(Materials!$V$5:$V$254,MATCH(D65,Materials!$A$5:$A$254,0)),0),2))</f>
        <v>0</v>
      </c>
      <c r="AC65" s="36">
        <f>IF(B65="","",ROUND(Z65*IF(L65="",0,L65),2))</f>
        <v>0</v>
      </c>
      <c r="AD65" s="20">
        <f>IF(B65="","",ROUND(AC65*IFERROR(INDEX(Materials!$V$5:$V$254,MATCH(K65,Materials!$A$5:$A$254,0)),0),2))</f>
        <v>0</v>
      </c>
      <c r="AE65" s="20">
        <f>IF(B65="","",ROUND(IF(N65="",0,N65)*IF(O65="",0,O65),2))</f>
        <v>0</v>
      </c>
      <c r="AF65" s="20">
        <f>IF(B65="","",ROUND(AB65+AD65+AE65+IF(P65="",0,P65)+IF(Q65="",0,Q65)+IF(R65="",0,R65),2))</f>
        <v>0</v>
      </c>
      <c r="AG65" s="36">
        <f>IF(B65="","",ROUND(IF(U65="",0,U65)+IF(T65="",0,T65)/MAX(1,IF(S65="",DefaultBatchSize,S65)),1))</f>
        <v>0</v>
      </c>
      <c r="AH65" s="20">
        <f>IF(B65="","",IF(W65&lt;&gt;"",W65,LaborCostHour))</f>
        <v>0</v>
      </c>
      <c r="AI65" s="20">
        <f>IF(B65="","",ROUND(AG65/60*AH65,2))</f>
        <v>0</v>
      </c>
      <c r="AJ65" s="20">
        <f>IF(B65="","",ROUND(AG65/60*SuppliesPerHour,2))</f>
        <v>0</v>
      </c>
      <c r="AK65" s="20">
        <f>IF(B65="","",IF(OR(Z65="",Z65=0),"",ROUND(AF65/Z65*100,2)))</f>
        <v>0</v>
      </c>
      <c r="AL65" s="32">
        <f>IF(B65="","",IF(Z65="","",ROUND(Z65/7,0)))</f>
        <v>0</v>
      </c>
      <c r="AM65" s="20">
        <f>IF(B65="","",ROUND(AF65+AI65+AJ65,2))</f>
        <v>0</v>
      </c>
      <c r="AN65" s="33">
        <f>IF(B65="","",IFERROR(INDEX(Channels!$S$5:$S$18,MATCH(DefaultChannel,Channels!$A$5:$A$18,0)),0))</f>
        <v>0</v>
      </c>
      <c r="AO65" s="20">
        <f>IF(B65="","",IFERROR(INDEX(Channels!$T$5:$T$18,MATCH(DefaultChannel,Channels!$A$5:$A$18,0)),0))</f>
        <v>0</v>
      </c>
      <c r="AP65" s="41">
        <f>IF(B65="","",1-TargetRetailMargin-AN65)</f>
        <v>0</v>
      </c>
      <c r="AQ65" s="20">
        <f>IF(B65="","",IF(AP65&lt;=0,"",(AM65+AO65)/AP65))</f>
        <v>0</v>
      </c>
      <c r="AR65" s="20">
        <f>IF(B65="","",IF(AQ65="","Check the settings",ROUND(IF(RoundingRule="None",AQ65,IF(RoundingRule="Nearest 0.99",MAX(0.99,CEILING(AQ65,1)-0.01),IF(RoundingRule="Nearest 0.95",MAX(0.95,CEILING(AQ65,1)-0.05),IF(RoundingRule="Nearest 0.50",CEILING(AQ65,0.5),IF(RoundingRule="Nearest 1",CEILING(AQ65,1),IF(RoundingRule="Nearest 5",CEILING(AQ65,5),IF(RoundingRule="Up to whole 1",CEILING(AQ65,1),IF(RoundingRule="Up to whole 5",CEILING(AQ65,5),ROUND(AQ65,2))))))))),2)))</f>
        <v>0</v>
      </c>
      <c r="AS65" s="20">
        <f>IF(B65="","",IF(X65&lt;&gt;"",X65,IF(ISNUMBER(AR65),AR65,"")))</f>
        <v>0</v>
      </c>
      <c r="AT65" s="20">
        <f>IF(B65="","",IF(AS65="","",ROUND(AS65-AM65-(AS65*AN65+AO65),2)))</f>
        <v>0</v>
      </c>
      <c r="AU65" s="33">
        <f>IF(B65="","",IF(OR(AS65="",AS65=0),"",AT65/AS65))</f>
        <v>0</v>
      </c>
      <c r="AV65" s="41">
        <f>IF(B65="","",ROUND(AG65/60,3))</f>
        <v>0</v>
      </c>
      <c r="AW65" s="20">
        <f>IF(B65="","",IF(OR(AV65=0,AV65="",AT65=""),"",ROUND((AT65+AI65)/AV65,2)))</f>
        <v>0</v>
      </c>
      <c r="AX65" s="43">
        <f>IF(B65="","",IF(AND(A65&lt;&gt;"",ISERROR(MATCH(A65,Products!$A$5:$A$304,0))),"Check - no such product ID",IF(AF65=0,"Add - no material cost yet",IF(AG65=0,"Add - how long does it take?",IF(AND(A65&lt;&gt;"",COUNTIFS('Material Usage'!$A$5:$A$904,A65)&gt;0),"Check - this product also has a bill of materials",IF(AND(A65&lt;&gt;"",COUNTIFS(Labor!$A$5:$A$304,A65)&gt;0),"Check - this product also has labour lines",IF(AW65&lt;MinimumWage,"Below - pays under minimum wage","OK")))))) )</f>
        <v>0</v>
      </c>
    </row>
    <row r="66" spans="26:50">
      <c r="Z66" s="36">
        <f>IF(B66="","",IF(I66&lt;&gt;"",I66,ROUND(IF(F66="",0,F66)*IF(G66="",0.85,G66)*IF(H66="",0.9,H66),1)))</f>
        <v>0</v>
      </c>
      <c r="AA66" s="36">
        <f>IF(B66="","",ROUND(Z66*(1+IF(J66="",DefaultWaste,J66)),1))</f>
        <v>0</v>
      </c>
      <c r="AB66" s="20">
        <f>IF(B66="","",ROUND(AA66*IFERROR(INDEX(Materials!$V$5:$V$254,MATCH(D66,Materials!$A$5:$A$254,0)),0),2))</f>
        <v>0</v>
      </c>
      <c r="AC66" s="36">
        <f>IF(B66="","",ROUND(Z66*IF(L66="",0,L66),2))</f>
        <v>0</v>
      </c>
      <c r="AD66" s="20">
        <f>IF(B66="","",ROUND(AC66*IFERROR(INDEX(Materials!$V$5:$V$254,MATCH(K66,Materials!$A$5:$A$254,0)),0),2))</f>
        <v>0</v>
      </c>
      <c r="AE66" s="20">
        <f>IF(B66="","",ROUND(IF(N66="",0,N66)*IF(O66="",0,O66),2))</f>
        <v>0</v>
      </c>
      <c r="AF66" s="20">
        <f>IF(B66="","",ROUND(AB66+AD66+AE66+IF(P66="",0,P66)+IF(Q66="",0,Q66)+IF(R66="",0,R66),2))</f>
        <v>0</v>
      </c>
      <c r="AG66" s="36">
        <f>IF(B66="","",ROUND(IF(U66="",0,U66)+IF(T66="",0,T66)/MAX(1,IF(S66="",DefaultBatchSize,S66)),1))</f>
        <v>0</v>
      </c>
      <c r="AH66" s="20">
        <f>IF(B66="","",IF(W66&lt;&gt;"",W66,LaborCostHour))</f>
        <v>0</v>
      </c>
      <c r="AI66" s="20">
        <f>IF(B66="","",ROUND(AG66/60*AH66,2))</f>
        <v>0</v>
      </c>
      <c r="AJ66" s="20">
        <f>IF(B66="","",ROUND(AG66/60*SuppliesPerHour,2))</f>
        <v>0</v>
      </c>
      <c r="AK66" s="20">
        <f>IF(B66="","",IF(OR(Z66="",Z66=0),"",ROUND(AF66/Z66*100,2)))</f>
        <v>0</v>
      </c>
      <c r="AL66" s="32">
        <f>IF(B66="","",IF(Z66="","",ROUND(Z66/7,0)))</f>
        <v>0</v>
      </c>
      <c r="AM66" s="20">
        <f>IF(B66="","",ROUND(AF66+AI66+AJ66,2))</f>
        <v>0</v>
      </c>
      <c r="AN66" s="33">
        <f>IF(B66="","",IFERROR(INDEX(Channels!$S$5:$S$18,MATCH(DefaultChannel,Channels!$A$5:$A$18,0)),0))</f>
        <v>0</v>
      </c>
      <c r="AO66" s="20">
        <f>IF(B66="","",IFERROR(INDEX(Channels!$T$5:$T$18,MATCH(DefaultChannel,Channels!$A$5:$A$18,0)),0))</f>
        <v>0</v>
      </c>
      <c r="AP66" s="41">
        <f>IF(B66="","",1-TargetRetailMargin-AN66)</f>
        <v>0</v>
      </c>
      <c r="AQ66" s="20">
        <f>IF(B66="","",IF(AP66&lt;=0,"",(AM66+AO66)/AP66))</f>
        <v>0</v>
      </c>
      <c r="AR66" s="20">
        <f>IF(B66="","",IF(AQ66="","Check the settings",ROUND(IF(RoundingRule="None",AQ66,IF(RoundingRule="Nearest 0.99",MAX(0.99,CEILING(AQ66,1)-0.01),IF(RoundingRule="Nearest 0.95",MAX(0.95,CEILING(AQ66,1)-0.05),IF(RoundingRule="Nearest 0.50",CEILING(AQ66,0.5),IF(RoundingRule="Nearest 1",CEILING(AQ66,1),IF(RoundingRule="Nearest 5",CEILING(AQ66,5),IF(RoundingRule="Up to whole 1",CEILING(AQ66,1),IF(RoundingRule="Up to whole 5",CEILING(AQ66,5),ROUND(AQ66,2))))))))),2)))</f>
        <v>0</v>
      </c>
      <c r="AS66" s="20">
        <f>IF(B66="","",IF(X66&lt;&gt;"",X66,IF(ISNUMBER(AR66),AR66,"")))</f>
        <v>0</v>
      </c>
      <c r="AT66" s="20">
        <f>IF(B66="","",IF(AS66="","",ROUND(AS66-AM66-(AS66*AN66+AO66),2)))</f>
        <v>0</v>
      </c>
      <c r="AU66" s="33">
        <f>IF(B66="","",IF(OR(AS66="",AS66=0),"",AT66/AS66))</f>
        <v>0</v>
      </c>
      <c r="AV66" s="41">
        <f>IF(B66="","",ROUND(AG66/60,3))</f>
        <v>0</v>
      </c>
      <c r="AW66" s="20">
        <f>IF(B66="","",IF(OR(AV66=0,AV66="",AT66=""),"",ROUND((AT66+AI66)/AV66,2)))</f>
        <v>0</v>
      </c>
      <c r="AX66" s="43">
        <f>IF(B66="","",IF(AND(A66&lt;&gt;"",ISERROR(MATCH(A66,Products!$A$5:$A$304,0))),"Check - no such product ID",IF(AF66=0,"Add - no material cost yet",IF(AG66=0,"Add - how long does it take?",IF(AND(A66&lt;&gt;"",COUNTIFS('Material Usage'!$A$5:$A$904,A66)&gt;0),"Check - this product also has a bill of materials",IF(AND(A66&lt;&gt;"",COUNTIFS(Labor!$A$5:$A$304,A66)&gt;0),"Check - this product also has labour lines",IF(AW66&lt;MinimumWage,"Below - pays under minimum wage","OK")))))) )</f>
        <v>0</v>
      </c>
    </row>
    <row r="67" spans="26:50">
      <c r="Z67" s="36">
        <f>IF(B67="","",IF(I67&lt;&gt;"",I67,ROUND(IF(F67="",0,F67)*IF(G67="",0.85,G67)*IF(H67="",0.9,H67),1)))</f>
        <v>0</v>
      </c>
      <c r="AA67" s="36">
        <f>IF(B67="","",ROUND(Z67*(1+IF(J67="",DefaultWaste,J67)),1))</f>
        <v>0</v>
      </c>
      <c r="AB67" s="20">
        <f>IF(B67="","",ROUND(AA67*IFERROR(INDEX(Materials!$V$5:$V$254,MATCH(D67,Materials!$A$5:$A$254,0)),0),2))</f>
        <v>0</v>
      </c>
      <c r="AC67" s="36">
        <f>IF(B67="","",ROUND(Z67*IF(L67="",0,L67),2))</f>
        <v>0</v>
      </c>
      <c r="AD67" s="20">
        <f>IF(B67="","",ROUND(AC67*IFERROR(INDEX(Materials!$V$5:$V$254,MATCH(K67,Materials!$A$5:$A$254,0)),0),2))</f>
        <v>0</v>
      </c>
      <c r="AE67" s="20">
        <f>IF(B67="","",ROUND(IF(N67="",0,N67)*IF(O67="",0,O67),2))</f>
        <v>0</v>
      </c>
      <c r="AF67" s="20">
        <f>IF(B67="","",ROUND(AB67+AD67+AE67+IF(P67="",0,P67)+IF(Q67="",0,Q67)+IF(R67="",0,R67),2))</f>
        <v>0</v>
      </c>
      <c r="AG67" s="36">
        <f>IF(B67="","",ROUND(IF(U67="",0,U67)+IF(T67="",0,T67)/MAX(1,IF(S67="",DefaultBatchSize,S67)),1))</f>
        <v>0</v>
      </c>
      <c r="AH67" s="20">
        <f>IF(B67="","",IF(W67&lt;&gt;"",W67,LaborCostHour))</f>
        <v>0</v>
      </c>
      <c r="AI67" s="20">
        <f>IF(B67="","",ROUND(AG67/60*AH67,2))</f>
        <v>0</v>
      </c>
      <c r="AJ67" s="20">
        <f>IF(B67="","",ROUND(AG67/60*SuppliesPerHour,2))</f>
        <v>0</v>
      </c>
      <c r="AK67" s="20">
        <f>IF(B67="","",IF(OR(Z67="",Z67=0),"",ROUND(AF67/Z67*100,2)))</f>
        <v>0</v>
      </c>
      <c r="AL67" s="32">
        <f>IF(B67="","",IF(Z67="","",ROUND(Z67/7,0)))</f>
        <v>0</v>
      </c>
      <c r="AM67" s="20">
        <f>IF(B67="","",ROUND(AF67+AI67+AJ67,2))</f>
        <v>0</v>
      </c>
      <c r="AN67" s="33">
        <f>IF(B67="","",IFERROR(INDEX(Channels!$S$5:$S$18,MATCH(DefaultChannel,Channels!$A$5:$A$18,0)),0))</f>
        <v>0</v>
      </c>
      <c r="AO67" s="20">
        <f>IF(B67="","",IFERROR(INDEX(Channels!$T$5:$T$18,MATCH(DefaultChannel,Channels!$A$5:$A$18,0)),0))</f>
        <v>0</v>
      </c>
      <c r="AP67" s="41">
        <f>IF(B67="","",1-TargetRetailMargin-AN67)</f>
        <v>0</v>
      </c>
      <c r="AQ67" s="20">
        <f>IF(B67="","",IF(AP67&lt;=0,"",(AM67+AO67)/AP67))</f>
        <v>0</v>
      </c>
      <c r="AR67" s="20">
        <f>IF(B67="","",IF(AQ67="","Check the settings",ROUND(IF(RoundingRule="None",AQ67,IF(RoundingRule="Nearest 0.99",MAX(0.99,CEILING(AQ67,1)-0.01),IF(RoundingRule="Nearest 0.95",MAX(0.95,CEILING(AQ67,1)-0.05),IF(RoundingRule="Nearest 0.50",CEILING(AQ67,0.5),IF(RoundingRule="Nearest 1",CEILING(AQ67,1),IF(RoundingRule="Nearest 5",CEILING(AQ67,5),IF(RoundingRule="Up to whole 1",CEILING(AQ67,1),IF(RoundingRule="Up to whole 5",CEILING(AQ67,5),ROUND(AQ67,2))))))))),2)))</f>
        <v>0</v>
      </c>
      <c r="AS67" s="20">
        <f>IF(B67="","",IF(X67&lt;&gt;"",X67,IF(ISNUMBER(AR67),AR67,"")))</f>
        <v>0</v>
      </c>
      <c r="AT67" s="20">
        <f>IF(B67="","",IF(AS67="","",ROUND(AS67-AM67-(AS67*AN67+AO67),2)))</f>
        <v>0</v>
      </c>
      <c r="AU67" s="33">
        <f>IF(B67="","",IF(OR(AS67="",AS67=0),"",AT67/AS67))</f>
        <v>0</v>
      </c>
      <c r="AV67" s="41">
        <f>IF(B67="","",ROUND(AG67/60,3))</f>
        <v>0</v>
      </c>
      <c r="AW67" s="20">
        <f>IF(B67="","",IF(OR(AV67=0,AV67="",AT67=""),"",ROUND((AT67+AI67)/AV67,2)))</f>
        <v>0</v>
      </c>
      <c r="AX67" s="43">
        <f>IF(B67="","",IF(AND(A67&lt;&gt;"",ISERROR(MATCH(A67,Products!$A$5:$A$304,0))),"Check - no such product ID",IF(AF67=0,"Add - no material cost yet",IF(AG67=0,"Add - how long does it take?",IF(AND(A67&lt;&gt;"",COUNTIFS('Material Usage'!$A$5:$A$904,A67)&gt;0),"Check - this product also has a bill of materials",IF(AND(A67&lt;&gt;"",COUNTIFS(Labor!$A$5:$A$304,A67)&gt;0),"Check - this product also has labour lines",IF(AW67&lt;MinimumWage,"Below - pays under minimum wage","OK")))))) )</f>
        <v>0</v>
      </c>
    </row>
    <row r="68" spans="26:50">
      <c r="Z68" s="36">
        <f>IF(B68="","",IF(I68&lt;&gt;"",I68,ROUND(IF(F68="",0,F68)*IF(G68="",0.85,G68)*IF(H68="",0.9,H68),1)))</f>
        <v>0</v>
      </c>
      <c r="AA68" s="36">
        <f>IF(B68="","",ROUND(Z68*(1+IF(J68="",DefaultWaste,J68)),1))</f>
        <v>0</v>
      </c>
      <c r="AB68" s="20">
        <f>IF(B68="","",ROUND(AA68*IFERROR(INDEX(Materials!$V$5:$V$254,MATCH(D68,Materials!$A$5:$A$254,0)),0),2))</f>
        <v>0</v>
      </c>
      <c r="AC68" s="36">
        <f>IF(B68="","",ROUND(Z68*IF(L68="",0,L68),2))</f>
        <v>0</v>
      </c>
      <c r="AD68" s="20">
        <f>IF(B68="","",ROUND(AC68*IFERROR(INDEX(Materials!$V$5:$V$254,MATCH(K68,Materials!$A$5:$A$254,0)),0),2))</f>
        <v>0</v>
      </c>
      <c r="AE68" s="20">
        <f>IF(B68="","",ROUND(IF(N68="",0,N68)*IF(O68="",0,O68),2))</f>
        <v>0</v>
      </c>
      <c r="AF68" s="20">
        <f>IF(B68="","",ROUND(AB68+AD68+AE68+IF(P68="",0,P68)+IF(Q68="",0,Q68)+IF(R68="",0,R68),2))</f>
        <v>0</v>
      </c>
      <c r="AG68" s="36">
        <f>IF(B68="","",ROUND(IF(U68="",0,U68)+IF(T68="",0,T68)/MAX(1,IF(S68="",DefaultBatchSize,S68)),1))</f>
        <v>0</v>
      </c>
      <c r="AH68" s="20">
        <f>IF(B68="","",IF(W68&lt;&gt;"",W68,LaborCostHour))</f>
        <v>0</v>
      </c>
      <c r="AI68" s="20">
        <f>IF(B68="","",ROUND(AG68/60*AH68,2))</f>
        <v>0</v>
      </c>
      <c r="AJ68" s="20">
        <f>IF(B68="","",ROUND(AG68/60*SuppliesPerHour,2))</f>
        <v>0</v>
      </c>
      <c r="AK68" s="20">
        <f>IF(B68="","",IF(OR(Z68="",Z68=0),"",ROUND(AF68/Z68*100,2)))</f>
        <v>0</v>
      </c>
      <c r="AL68" s="32">
        <f>IF(B68="","",IF(Z68="","",ROUND(Z68/7,0)))</f>
        <v>0</v>
      </c>
      <c r="AM68" s="20">
        <f>IF(B68="","",ROUND(AF68+AI68+AJ68,2))</f>
        <v>0</v>
      </c>
      <c r="AN68" s="33">
        <f>IF(B68="","",IFERROR(INDEX(Channels!$S$5:$S$18,MATCH(DefaultChannel,Channels!$A$5:$A$18,0)),0))</f>
        <v>0</v>
      </c>
      <c r="AO68" s="20">
        <f>IF(B68="","",IFERROR(INDEX(Channels!$T$5:$T$18,MATCH(DefaultChannel,Channels!$A$5:$A$18,0)),0))</f>
        <v>0</v>
      </c>
      <c r="AP68" s="41">
        <f>IF(B68="","",1-TargetRetailMargin-AN68)</f>
        <v>0</v>
      </c>
      <c r="AQ68" s="20">
        <f>IF(B68="","",IF(AP68&lt;=0,"",(AM68+AO68)/AP68))</f>
        <v>0</v>
      </c>
      <c r="AR68" s="20">
        <f>IF(B68="","",IF(AQ68="","Check the settings",ROUND(IF(RoundingRule="None",AQ68,IF(RoundingRule="Nearest 0.99",MAX(0.99,CEILING(AQ68,1)-0.01),IF(RoundingRule="Nearest 0.95",MAX(0.95,CEILING(AQ68,1)-0.05),IF(RoundingRule="Nearest 0.50",CEILING(AQ68,0.5),IF(RoundingRule="Nearest 1",CEILING(AQ68,1),IF(RoundingRule="Nearest 5",CEILING(AQ68,5),IF(RoundingRule="Up to whole 1",CEILING(AQ68,1),IF(RoundingRule="Up to whole 5",CEILING(AQ68,5),ROUND(AQ68,2))))))))),2)))</f>
        <v>0</v>
      </c>
      <c r="AS68" s="20">
        <f>IF(B68="","",IF(X68&lt;&gt;"",X68,IF(ISNUMBER(AR68),AR68,"")))</f>
        <v>0</v>
      </c>
      <c r="AT68" s="20">
        <f>IF(B68="","",IF(AS68="","",ROUND(AS68-AM68-(AS68*AN68+AO68),2)))</f>
        <v>0</v>
      </c>
      <c r="AU68" s="33">
        <f>IF(B68="","",IF(OR(AS68="",AS68=0),"",AT68/AS68))</f>
        <v>0</v>
      </c>
      <c r="AV68" s="41">
        <f>IF(B68="","",ROUND(AG68/60,3))</f>
        <v>0</v>
      </c>
      <c r="AW68" s="20">
        <f>IF(B68="","",IF(OR(AV68=0,AV68="",AT68=""),"",ROUND((AT68+AI68)/AV68,2)))</f>
        <v>0</v>
      </c>
      <c r="AX68" s="43">
        <f>IF(B68="","",IF(AND(A68&lt;&gt;"",ISERROR(MATCH(A68,Products!$A$5:$A$304,0))),"Check - no such product ID",IF(AF68=0,"Add - no material cost yet",IF(AG68=0,"Add - how long does it take?",IF(AND(A68&lt;&gt;"",COUNTIFS('Material Usage'!$A$5:$A$904,A68)&gt;0),"Check - this product also has a bill of materials",IF(AND(A68&lt;&gt;"",COUNTIFS(Labor!$A$5:$A$304,A68)&gt;0),"Check - this product also has labour lines",IF(AW68&lt;MinimumWage,"Below - pays under minimum wage","OK")))))) )</f>
        <v>0</v>
      </c>
    </row>
    <row r="69" spans="26:50">
      <c r="Z69" s="36">
        <f>IF(B69="","",IF(I69&lt;&gt;"",I69,ROUND(IF(F69="",0,F69)*IF(G69="",0.85,G69)*IF(H69="",0.9,H69),1)))</f>
        <v>0</v>
      </c>
      <c r="AA69" s="36">
        <f>IF(B69="","",ROUND(Z69*(1+IF(J69="",DefaultWaste,J69)),1))</f>
        <v>0</v>
      </c>
      <c r="AB69" s="20">
        <f>IF(B69="","",ROUND(AA69*IFERROR(INDEX(Materials!$V$5:$V$254,MATCH(D69,Materials!$A$5:$A$254,0)),0),2))</f>
        <v>0</v>
      </c>
      <c r="AC69" s="36">
        <f>IF(B69="","",ROUND(Z69*IF(L69="",0,L69),2))</f>
        <v>0</v>
      </c>
      <c r="AD69" s="20">
        <f>IF(B69="","",ROUND(AC69*IFERROR(INDEX(Materials!$V$5:$V$254,MATCH(K69,Materials!$A$5:$A$254,0)),0),2))</f>
        <v>0</v>
      </c>
      <c r="AE69" s="20">
        <f>IF(B69="","",ROUND(IF(N69="",0,N69)*IF(O69="",0,O69),2))</f>
        <v>0</v>
      </c>
      <c r="AF69" s="20">
        <f>IF(B69="","",ROUND(AB69+AD69+AE69+IF(P69="",0,P69)+IF(Q69="",0,Q69)+IF(R69="",0,R69),2))</f>
        <v>0</v>
      </c>
      <c r="AG69" s="36">
        <f>IF(B69="","",ROUND(IF(U69="",0,U69)+IF(T69="",0,T69)/MAX(1,IF(S69="",DefaultBatchSize,S69)),1))</f>
        <v>0</v>
      </c>
      <c r="AH69" s="20">
        <f>IF(B69="","",IF(W69&lt;&gt;"",W69,LaborCostHour))</f>
        <v>0</v>
      </c>
      <c r="AI69" s="20">
        <f>IF(B69="","",ROUND(AG69/60*AH69,2))</f>
        <v>0</v>
      </c>
      <c r="AJ69" s="20">
        <f>IF(B69="","",ROUND(AG69/60*SuppliesPerHour,2))</f>
        <v>0</v>
      </c>
      <c r="AK69" s="20">
        <f>IF(B69="","",IF(OR(Z69="",Z69=0),"",ROUND(AF69/Z69*100,2)))</f>
        <v>0</v>
      </c>
      <c r="AL69" s="32">
        <f>IF(B69="","",IF(Z69="","",ROUND(Z69/7,0)))</f>
        <v>0</v>
      </c>
      <c r="AM69" s="20">
        <f>IF(B69="","",ROUND(AF69+AI69+AJ69,2))</f>
        <v>0</v>
      </c>
      <c r="AN69" s="33">
        <f>IF(B69="","",IFERROR(INDEX(Channels!$S$5:$S$18,MATCH(DefaultChannel,Channels!$A$5:$A$18,0)),0))</f>
        <v>0</v>
      </c>
      <c r="AO69" s="20">
        <f>IF(B69="","",IFERROR(INDEX(Channels!$T$5:$T$18,MATCH(DefaultChannel,Channels!$A$5:$A$18,0)),0))</f>
        <v>0</v>
      </c>
      <c r="AP69" s="41">
        <f>IF(B69="","",1-TargetRetailMargin-AN69)</f>
        <v>0</v>
      </c>
      <c r="AQ69" s="20">
        <f>IF(B69="","",IF(AP69&lt;=0,"",(AM69+AO69)/AP69))</f>
        <v>0</v>
      </c>
      <c r="AR69" s="20">
        <f>IF(B69="","",IF(AQ69="","Check the settings",ROUND(IF(RoundingRule="None",AQ69,IF(RoundingRule="Nearest 0.99",MAX(0.99,CEILING(AQ69,1)-0.01),IF(RoundingRule="Nearest 0.95",MAX(0.95,CEILING(AQ69,1)-0.05),IF(RoundingRule="Nearest 0.50",CEILING(AQ69,0.5),IF(RoundingRule="Nearest 1",CEILING(AQ69,1),IF(RoundingRule="Nearest 5",CEILING(AQ69,5),IF(RoundingRule="Up to whole 1",CEILING(AQ69,1),IF(RoundingRule="Up to whole 5",CEILING(AQ69,5),ROUND(AQ69,2))))))))),2)))</f>
        <v>0</v>
      </c>
      <c r="AS69" s="20">
        <f>IF(B69="","",IF(X69&lt;&gt;"",X69,IF(ISNUMBER(AR69),AR69,"")))</f>
        <v>0</v>
      </c>
      <c r="AT69" s="20">
        <f>IF(B69="","",IF(AS69="","",ROUND(AS69-AM69-(AS69*AN69+AO69),2)))</f>
        <v>0</v>
      </c>
      <c r="AU69" s="33">
        <f>IF(B69="","",IF(OR(AS69="",AS69=0),"",AT69/AS69))</f>
        <v>0</v>
      </c>
      <c r="AV69" s="41">
        <f>IF(B69="","",ROUND(AG69/60,3))</f>
        <v>0</v>
      </c>
      <c r="AW69" s="20">
        <f>IF(B69="","",IF(OR(AV69=0,AV69="",AT69=""),"",ROUND((AT69+AI69)/AV69,2)))</f>
        <v>0</v>
      </c>
      <c r="AX69" s="43">
        <f>IF(B69="","",IF(AND(A69&lt;&gt;"",ISERROR(MATCH(A69,Products!$A$5:$A$304,0))),"Check - no such product ID",IF(AF69=0,"Add - no material cost yet",IF(AG69=0,"Add - how long does it take?",IF(AND(A69&lt;&gt;"",COUNTIFS('Material Usage'!$A$5:$A$904,A69)&gt;0),"Check - this product also has a bill of materials",IF(AND(A69&lt;&gt;"",COUNTIFS(Labor!$A$5:$A$304,A69)&gt;0),"Check - this product also has labour lines",IF(AW69&lt;MinimumWage,"Below - pays under minimum wage","OK")))))) )</f>
        <v>0</v>
      </c>
    </row>
    <row r="70" spans="26:50">
      <c r="Z70" s="36">
        <f>IF(B70="","",IF(I70&lt;&gt;"",I70,ROUND(IF(F70="",0,F70)*IF(G70="",0.85,G70)*IF(H70="",0.9,H70),1)))</f>
        <v>0</v>
      </c>
      <c r="AA70" s="36">
        <f>IF(B70="","",ROUND(Z70*(1+IF(J70="",DefaultWaste,J70)),1))</f>
        <v>0</v>
      </c>
      <c r="AB70" s="20">
        <f>IF(B70="","",ROUND(AA70*IFERROR(INDEX(Materials!$V$5:$V$254,MATCH(D70,Materials!$A$5:$A$254,0)),0),2))</f>
        <v>0</v>
      </c>
      <c r="AC70" s="36">
        <f>IF(B70="","",ROUND(Z70*IF(L70="",0,L70),2))</f>
        <v>0</v>
      </c>
      <c r="AD70" s="20">
        <f>IF(B70="","",ROUND(AC70*IFERROR(INDEX(Materials!$V$5:$V$254,MATCH(K70,Materials!$A$5:$A$254,0)),0),2))</f>
        <v>0</v>
      </c>
      <c r="AE70" s="20">
        <f>IF(B70="","",ROUND(IF(N70="",0,N70)*IF(O70="",0,O70),2))</f>
        <v>0</v>
      </c>
      <c r="AF70" s="20">
        <f>IF(B70="","",ROUND(AB70+AD70+AE70+IF(P70="",0,P70)+IF(Q70="",0,Q70)+IF(R70="",0,R70),2))</f>
        <v>0</v>
      </c>
      <c r="AG70" s="36">
        <f>IF(B70="","",ROUND(IF(U70="",0,U70)+IF(T70="",0,T70)/MAX(1,IF(S70="",DefaultBatchSize,S70)),1))</f>
        <v>0</v>
      </c>
      <c r="AH70" s="20">
        <f>IF(B70="","",IF(W70&lt;&gt;"",W70,LaborCostHour))</f>
        <v>0</v>
      </c>
      <c r="AI70" s="20">
        <f>IF(B70="","",ROUND(AG70/60*AH70,2))</f>
        <v>0</v>
      </c>
      <c r="AJ70" s="20">
        <f>IF(B70="","",ROUND(AG70/60*SuppliesPerHour,2))</f>
        <v>0</v>
      </c>
      <c r="AK70" s="20">
        <f>IF(B70="","",IF(OR(Z70="",Z70=0),"",ROUND(AF70/Z70*100,2)))</f>
        <v>0</v>
      </c>
      <c r="AL70" s="32">
        <f>IF(B70="","",IF(Z70="","",ROUND(Z70/7,0)))</f>
        <v>0</v>
      </c>
      <c r="AM70" s="20">
        <f>IF(B70="","",ROUND(AF70+AI70+AJ70,2))</f>
        <v>0</v>
      </c>
      <c r="AN70" s="33">
        <f>IF(B70="","",IFERROR(INDEX(Channels!$S$5:$S$18,MATCH(DefaultChannel,Channels!$A$5:$A$18,0)),0))</f>
        <v>0</v>
      </c>
      <c r="AO70" s="20">
        <f>IF(B70="","",IFERROR(INDEX(Channels!$T$5:$T$18,MATCH(DefaultChannel,Channels!$A$5:$A$18,0)),0))</f>
        <v>0</v>
      </c>
      <c r="AP70" s="41">
        <f>IF(B70="","",1-TargetRetailMargin-AN70)</f>
        <v>0</v>
      </c>
      <c r="AQ70" s="20">
        <f>IF(B70="","",IF(AP70&lt;=0,"",(AM70+AO70)/AP70))</f>
        <v>0</v>
      </c>
      <c r="AR70" s="20">
        <f>IF(B70="","",IF(AQ70="","Check the settings",ROUND(IF(RoundingRule="None",AQ70,IF(RoundingRule="Nearest 0.99",MAX(0.99,CEILING(AQ70,1)-0.01),IF(RoundingRule="Nearest 0.95",MAX(0.95,CEILING(AQ70,1)-0.05),IF(RoundingRule="Nearest 0.50",CEILING(AQ70,0.5),IF(RoundingRule="Nearest 1",CEILING(AQ70,1),IF(RoundingRule="Nearest 5",CEILING(AQ70,5),IF(RoundingRule="Up to whole 1",CEILING(AQ70,1),IF(RoundingRule="Up to whole 5",CEILING(AQ70,5),ROUND(AQ70,2))))))))),2)))</f>
        <v>0</v>
      </c>
      <c r="AS70" s="20">
        <f>IF(B70="","",IF(X70&lt;&gt;"",X70,IF(ISNUMBER(AR70),AR70,"")))</f>
        <v>0</v>
      </c>
      <c r="AT70" s="20">
        <f>IF(B70="","",IF(AS70="","",ROUND(AS70-AM70-(AS70*AN70+AO70),2)))</f>
        <v>0</v>
      </c>
      <c r="AU70" s="33">
        <f>IF(B70="","",IF(OR(AS70="",AS70=0),"",AT70/AS70))</f>
        <v>0</v>
      </c>
      <c r="AV70" s="41">
        <f>IF(B70="","",ROUND(AG70/60,3))</f>
        <v>0</v>
      </c>
      <c r="AW70" s="20">
        <f>IF(B70="","",IF(OR(AV70=0,AV70="",AT70=""),"",ROUND((AT70+AI70)/AV70,2)))</f>
        <v>0</v>
      </c>
      <c r="AX70" s="43">
        <f>IF(B70="","",IF(AND(A70&lt;&gt;"",ISERROR(MATCH(A70,Products!$A$5:$A$304,0))),"Check - no such product ID",IF(AF70=0,"Add - no material cost yet",IF(AG70=0,"Add - how long does it take?",IF(AND(A70&lt;&gt;"",COUNTIFS('Material Usage'!$A$5:$A$904,A70)&gt;0),"Check - this product also has a bill of materials",IF(AND(A70&lt;&gt;"",COUNTIFS(Labor!$A$5:$A$304,A70)&gt;0),"Check - this product also has labour lines",IF(AW70&lt;MinimumWage,"Below - pays under minimum wage","OK")))))) )</f>
        <v>0</v>
      </c>
    </row>
    <row r="71" spans="26:50">
      <c r="Z71" s="36">
        <f>IF(B71="","",IF(I71&lt;&gt;"",I71,ROUND(IF(F71="",0,F71)*IF(G71="",0.85,G71)*IF(H71="",0.9,H71),1)))</f>
        <v>0</v>
      </c>
      <c r="AA71" s="36">
        <f>IF(B71="","",ROUND(Z71*(1+IF(J71="",DefaultWaste,J71)),1))</f>
        <v>0</v>
      </c>
      <c r="AB71" s="20">
        <f>IF(B71="","",ROUND(AA71*IFERROR(INDEX(Materials!$V$5:$V$254,MATCH(D71,Materials!$A$5:$A$254,0)),0),2))</f>
        <v>0</v>
      </c>
      <c r="AC71" s="36">
        <f>IF(B71="","",ROUND(Z71*IF(L71="",0,L71),2))</f>
        <v>0</v>
      </c>
      <c r="AD71" s="20">
        <f>IF(B71="","",ROUND(AC71*IFERROR(INDEX(Materials!$V$5:$V$254,MATCH(K71,Materials!$A$5:$A$254,0)),0),2))</f>
        <v>0</v>
      </c>
      <c r="AE71" s="20">
        <f>IF(B71="","",ROUND(IF(N71="",0,N71)*IF(O71="",0,O71),2))</f>
        <v>0</v>
      </c>
      <c r="AF71" s="20">
        <f>IF(B71="","",ROUND(AB71+AD71+AE71+IF(P71="",0,P71)+IF(Q71="",0,Q71)+IF(R71="",0,R71),2))</f>
        <v>0</v>
      </c>
      <c r="AG71" s="36">
        <f>IF(B71="","",ROUND(IF(U71="",0,U71)+IF(T71="",0,T71)/MAX(1,IF(S71="",DefaultBatchSize,S71)),1))</f>
        <v>0</v>
      </c>
      <c r="AH71" s="20">
        <f>IF(B71="","",IF(W71&lt;&gt;"",W71,LaborCostHour))</f>
        <v>0</v>
      </c>
      <c r="AI71" s="20">
        <f>IF(B71="","",ROUND(AG71/60*AH71,2))</f>
        <v>0</v>
      </c>
      <c r="AJ71" s="20">
        <f>IF(B71="","",ROUND(AG71/60*SuppliesPerHour,2))</f>
        <v>0</v>
      </c>
      <c r="AK71" s="20">
        <f>IF(B71="","",IF(OR(Z71="",Z71=0),"",ROUND(AF71/Z71*100,2)))</f>
        <v>0</v>
      </c>
      <c r="AL71" s="32">
        <f>IF(B71="","",IF(Z71="","",ROUND(Z71/7,0)))</f>
        <v>0</v>
      </c>
      <c r="AM71" s="20">
        <f>IF(B71="","",ROUND(AF71+AI71+AJ71,2))</f>
        <v>0</v>
      </c>
      <c r="AN71" s="33">
        <f>IF(B71="","",IFERROR(INDEX(Channels!$S$5:$S$18,MATCH(DefaultChannel,Channels!$A$5:$A$18,0)),0))</f>
        <v>0</v>
      </c>
      <c r="AO71" s="20">
        <f>IF(B71="","",IFERROR(INDEX(Channels!$T$5:$T$18,MATCH(DefaultChannel,Channels!$A$5:$A$18,0)),0))</f>
        <v>0</v>
      </c>
      <c r="AP71" s="41">
        <f>IF(B71="","",1-TargetRetailMargin-AN71)</f>
        <v>0</v>
      </c>
      <c r="AQ71" s="20">
        <f>IF(B71="","",IF(AP71&lt;=0,"",(AM71+AO71)/AP71))</f>
        <v>0</v>
      </c>
      <c r="AR71" s="20">
        <f>IF(B71="","",IF(AQ71="","Check the settings",ROUND(IF(RoundingRule="None",AQ71,IF(RoundingRule="Nearest 0.99",MAX(0.99,CEILING(AQ71,1)-0.01),IF(RoundingRule="Nearest 0.95",MAX(0.95,CEILING(AQ71,1)-0.05),IF(RoundingRule="Nearest 0.50",CEILING(AQ71,0.5),IF(RoundingRule="Nearest 1",CEILING(AQ71,1),IF(RoundingRule="Nearest 5",CEILING(AQ71,5),IF(RoundingRule="Up to whole 1",CEILING(AQ71,1),IF(RoundingRule="Up to whole 5",CEILING(AQ71,5),ROUND(AQ71,2))))))))),2)))</f>
        <v>0</v>
      </c>
      <c r="AS71" s="20">
        <f>IF(B71="","",IF(X71&lt;&gt;"",X71,IF(ISNUMBER(AR71),AR71,"")))</f>
        <v>0</v>
      </c>
      <c r="AT71" s="20">
        <f>IF(B71="","",IF(AS71="","",ROUND(AS71-AM71-(AS71*AN71+AO71),2)))</f>
        <v>0</v>
      </c>
      <c r="AU71" s="33">
        <f>IF(B71="","",IF(OR(AS71="",AS71=0),"",AT71/AS71))</f>
        <v>0</v>
      </c>
      <c r="AV71" s="41">
        <f>IF(B71="","",ROUND(AG71/60,3))</f>
        <v>0</v>
      </c>
      <c r="AW71" s="20">
        <f>IF(B71="","",IF(OR(AV71=0,AV71="",AT71=""),"",ROUND((AT71+AI71)/AV71,2)))</f>
        <v>0</v>
      </c>
      <c r="AX71" s="43">
        <f>IF(B71="","",IF(AND(A71&lt;&gt;"",ISERROR(MATCH(A71,Products!$A$5:$A$304,0))),"Check - no such product ID",IF(AF71=0,"Add - no material cost yet",IF(AG71=0,"Add - how long does it take?",IF(AND(A71&lt;&gt;"",COUNTIFS('Material Usage'!$A$5:$A$904,A71)&gt;0),"Check - this product also has a bill of materials",IF(AND(A71&lt;&gt;"",COUNTIFS(Labor!$A$5:$A$304,A71)&gt;0),"Check - this product also has labour lines",IF(AW71&lt;MinimumWage,"Below - pays under minimum wage","OK")))))) )</f>
        <v>0</v>
      </c>
    </row>
    <row r="72" spans="26:50">
      <c r="Z72" s="36">
        <f>IF(B72="","",IF(I72&lt;&gt;"",I72,ROUND(IF(F72="",0,F72)*IF(G72="",0.85,G72)*IF(H72="",0.9,H72),1)))</f>
        <v>0</v>
      </c>
      <c r="AA72" s="36">
        <f>IF(B72="","",ROUND(Z72*(1+IF(J72="",DefaultWaste,J72)),1))</f>
        <v>0</v>
      </c>
      <c r="AB72" s="20">
        <f>IF(B72="","",ROUND(AA72*IFERROR(INDEX(Materials!$V$5:$V$254,MATCH(D72,Materials!$A$5:$A$254,0)),0),2))</f>
        <v>0</v>
      </c>
      <c r="AC72" s="36">
        <f>IF(B72="","",ROUND(Z72*IF(L72="",0,L72),2))</f>
        <v>0</v>
      </c>
      <c r="AD72" s="20">
        <f>IF(B72="","",ROUND(AC72*IFERROR(INDEX(Materials!$V$5:$V$254,MATCH(K72,Materials!$A$5:$A$254,0)),0),2))</f>
        <v>0</v>
      </c>
      <c r="AE72" s="20">
        <f>IF(B72="","",ROUND(IF(N72="",0,N72)*IF(O72="",0,O72),2))</f>
        <v>0</v>
      </c>
      <c r="AF72" s="20">
        <f>IF(B72="","",ROUND(AB72+AD72+AE72+IF(P72="",0,P72)+IF(Q72="",0,Q72)+IF(R72="",0,R72),2))</f>
        <v>0</v>
      </c>
      <c r="AG72" s="36">
        <f>IF(B72="","",ROUND(IF(U72="",0,U72)+IF(T72="",0,T72)/MAX(1,IF(S72="",DefaultBatchSize,S72)),1))</f>
        <v>0</v>
      </c>
      <c r="AH72" s="20">
        <f>IF(B72="","",IF(W72&lt;&gt;"",W72,LaborCostHour))</f>
        <v>0</v>
      </c>
      <c r="AI72" s="20">
        <f>IF(B72="","",ROUND(AG72/60*AH72,2))</f>
        <v>0</v>
      </c>
      <c r="AJ72" s="20">
        <f>IF(B72="","",ROUND(AG72/60*SuppliesPerHour,2))</f>
        <v>0</v>
      </c>
      <c r="AK72" s="20">
        <f>IF(B72="","",IF(OR(Z72="",Z72=0),"",ROUND(AF72/Z72*100,2)))</f>
        <v>0</v>
      </c>
      <c r="AL72" s="32">
        <f>IF(B72="","",IF(Z72="","",ROUND(Z72/7,0)))</f>
        <v>0</v>
      </c>
      <c r="AM72" s="20">
        <f>IF(B72="","",ROUND(AF72+AI72+AJ72,2))</f>
        <v>0</v>
      </c>
      <c r="AN72" s="33">
        <f>IF(B72="","",IFERROR(INDEX(Channels!$S$5:$S$18,MATCH(DefaultChannel,Channels!$A$5:$A$18,0)),0))</f>
        <v>0</v>
      </c>
      <c r="AO72" s="20">
        <f>IF(B72="","",IFERROR(INDEX(Channels!$T$5:$T$18,MATCH(DefaultChannel,Channels!$A$5:$A$18,0)),0))</f>
        <v>0</v>
      </c>
      <c r="AP72" s="41">
        <f>IF(B72="","",1-TargetRetailMargin-AN72)</f>
        <v>0</v>
      </c>
      <c r="AQ72" s="20">
        <f>IF(B72="","",IF(AP72&lt;=0,"",(AM72+AO72)/AP72))</f>
        <v>0</v>
      </c>
      <c r="AR72" s="20">
        <f>IF(B72="","",IF(AQ72="","Check the settings",ROUND(IF(RoundingRule="None",AQ72,IF(RoundingRule="Nearest 0.99",MAX(0.99,CEILING(AQ72,1)-0.01),IF(RoundingRule="Nearest 0.95",MAX(0.95,CEILING(AQ72,1)-0.05),IF(RoundingRule="Nearest 0.50",CEILING(AQ72,0.5),IF(RoundingRule="Nearest 1",CEILING(AQ72,1),IF(RoundingRule="Nearest 5",CEILING(AQ72,5),IF(RoundingRule="Up to whole 1",CEILING(AQ72,1),IF(RoundingRule="Up to whole 5",CEILING(AQ72,5),ROUND(AQ72,2))))))))),2)))</f>
        <v>0</v>
      </c>
      <c r="AS72" s="20">
        <f>IF(B72="","",IF(X72&lt;&gt;"",X72,IF(ISNUMBER(AR72),AR72,"")))</f>
        <v>0</v>
      </c>
      <c r="AT72" s="20">
        <f>IF(B72="","",IF(AS72="","",ROUND(AS72-AM72-(AS72*AN72+AO72),2)))</f>
        <v>0</v>
      </c>
      <c r="AU72" s="33">
        <f>IF(B72="","",IF(OR(AS72="",AS72=0),"",AT72/AS72))</f>
        <v>0</v>
      </c>
      <c r="AV72" s="41">
        <f>IF(B72="","",ROUND(AG72/60,3))</f>
        <v>0</v>
      </c>
      <c r="AW72" s="20">
        <f>IF(B72="","",IF(OR(AV72=0,AV72="",AT72=""),"",ROUND((AT72+AI72)/AV72,2)))</f>
        <v>0</v>
      </c>
      <c r="AX72" s="43">
        <f>IF(B72="","",IF(AND(A72&lt;&gt;"",ISERROR(MATCH(A72,Products!$A$5:$A$304,0))),"Check - no such product ID",IF(AF72=0,"Add - no material cost yet",IF(AG72=0,"Add - how long does it take?",IF(AND(A72&lt;&gt;"",COUNTIFS('Material Usage'!$A$5:$A$904,A72)&gt;0),"Check - this product also has a bill of materials",IF(AND(A72&lt;&gt;"",COUNTIFS(Labor!$A$5:$A$304,A72)&gt;0),"Check - this product also has labour lines",IF(AW72&lt;MinimumWage,"Below - pays under minimum wage","OK")))))) )</f>
        <v>0</v>
      </c>
    </row>
    <row r="73" spans="26:50">
      <c r="Z73" s="36">
        <f>IF(B73="","",IF(I73&lt;&gt;"",I73,ROUND(IF(F73="",0,F73)*IF(G73="",0.85,G73)*IF(H73="",0.9,H73),1)))</f>
        <v>0</v>
      </c>
      <c r="AA73" s="36">
        <f>IF(B73="","",ROUND(Z73*(1+IF(J73="",DefaultWaste,J73)),1))</f>
        <v>0</v>
      </c>
      <c r="AB73" s="20">
        <f>IF(B73="","",ROUND(AA73*IFERROR(INDEX(Materials!$V$5:$V$254,MATCH(D73,Materials!$A$5:$A$254,0)),0),2))</f>
        <v>0</v>
      </c>
      <c r="AC73" s="36">
        <f>IF(B73="","",ROUND(Z73*IF(L73="",0,L73),2))</f>
        <v>0</v>
      </c>
      <c r="AD73" s="20">
        <f>IF(B73="","",ROUND(AC73*IFERROR(INDEX(Materials!$V$5:$V$254,MATCH(K73,Materials!$A$5:$A$254,0)),0),2))</f>
        <v>0</v>
      </c>
      <c r="AE73" s="20">
        <f>IF(B73="","",ROUND(IF(N73="",0,N73)*IF(O73="",0,O73),2))</f>
        <v>0</v>
      </c>
      <c r="AF73" s="20">
        <f>IF(B73="","",ROUND(AB73+AD73+AE73+IF(P73="",0,P73)+IF(Q73="",0,Q73)+IF(R73="",0,R73),2))</f>
        <v>0</v>
      </c>
      <c r="AG73" s="36">
        <f>IF(B73="","",ROUND(IF(U73="",0,U73)+IF(T73="",0,T73)/MAX(1,IF(S73="",DefaultBatchSize,S73)),1))</f>
        <v>0</v>
      </c>
      <c r="AH73" s="20">
        <f>IF(B73="","",IF(W73&lt;&gt;"",W73,LaborCostHour))</f>
        <v>0</v>
      </c>
      <c r="AI73" s="20">
        <f>IF(B73="","",ROUND(AG73/60*AH73,2))</f>
        <v>0</v>
      </c>
      <c r="AJ73" s="20">
        <f>IF(B73="","",ROUND(AG73/60*SuppliesPerHour,2))</f>
        <v>0</v>
      </c>
      <c r="AK73" s="20">
        <f>IF(B73="","",IF(OR(Z73="",Z73=0),"",ROUND(AF73/Z73*100,2)))</f>
        <v>0</v>
      </c>
      <c r="AL73" s="32">
        <f>IF(B73="","",IF(Z73="","",ROUND(Z73/7,0)))</f>
        <v>0</v>
      </c>
      <c r="AM73" s="20">
        <f>IF(B73="","",ROUND(AF73+AI73+AJ73,2))</f>
        <v>0</v>
      </c>
      <c r="AN73" s="33">
        <f>IF(B73="","",IFERROR(INDEX(Channels!$S$5:$S$18,MATCH(DefaultChannel,Channels!$A$5:$A$18,0)),0))</f>
        <v>0</v>
      </c>
      <c r="AO73" s="20">
        <f>IF(B73="","",IFERROR(INDEX(Channels!$T$5:$T$18,MATCH(DefaultChannel,Channels!$A$5:$A$18,0)),0))</f>
        <v>0</v>
      </c>
      <c r="AP73" s="41">
        <f>IF(B73="","",1-TargetRetailMargin-AN73)</f>
        <v>0</v>
      </c>
      <c r="AQ73" s="20">
        <f>IF(B73="","",IF(AP73&lt;=0,"",(AM73+AO73)/AP73))</f>
        <v>0</v>
      </c>
      <c r="AR73" s="20">
        <f>IF(B73="","",IF(AQ73="","Check the settings",ROUND(IF(RoundingRule="None",AQ73,IF(RoundingRule="Nearest 0.99",MAX(0.99,CEILING(AQ73,1)-0.01),IF(RoundingRule="Nearest 0.95",MAX(0.95,CEILING(AQ73,1)-0.05),IF(RoundingRule="Nearest 0.50",CEILING(AQ73,0.5),IF(RoundingRule="Nearest 1",CEILING(AQ73,1),IF(RoundingRule="Nearest 5",CEILING(AQ73,5),IF(RoundingRule="Up to whole 1",CEILING(AQ73,1),IF(RoundingRule="Up to whole 5",CEILING(AQ73,5),ROUND(AQ73,2))))))))),2)))</f>
        <v>0</v>
      </c>
      <c r="AS73" s="20">
        <f>IF(B73="","",IF(X73&lt;&gt;"",X73,IF(ISNUMBER(AR73),AR73,"")))</f>
        <v>0</v>
      </c>
      <c r="AT73" s="20">
        <f>IF(B73="","",IF(AS73="","",ROUND(AS73-AM73-(AS73*AN73+AO73),2)))</f>
        <v>0</v>
      </c>
      <c r="AU73" s="33">
        <f>IF(B73="","",IF(OR(AS73="",AS73=0),"",AT73/AS73))</f>
        <v>0</v>
      </c>
      <c r="AV73" s="41">
        <f>IF(B73="","",ROUND(AG73/60,3))</f>
        <v>0</v>
      </c>
      <c r="AW73" s="20">
        <f>IF(B73="","",IF(OR(AV73=0,AV73="",AT73=""),"",ROUND((AT73+AI73)/AV73,2)))</f>
        <v>0</v>
      </c>
      <c r="AX73" s="43">
        <f>IF(B73="","",IF(AND(A73&lt;&gt;"",ISERROR(MATCH(A73,Products!$A$5:$A$304,0))),"Check - no such product ID",IF(AF73=0,"Add - no material cost yet",IF(AG73=0,"Add - how long does it take?",IF(AND(A73&lt;&gt;"",COUNTIFS('Material Usage'!$A$5:$A$904,A73)&gt;0),"Check - this product also has a bill of materials",IF(AND(A73&lt;&gt;"",COUNTIFS(Labor!$A$5:$A$304,A73)&gt;0),"Check - this product also has labour lines",IF(AW73&lt;MinimumWage,"Below - pays under minimum wage","OK")))))) )</f>
        <v>0</v>
      </c>
    </row>
    <row r="74" spans="26:50">
      <c r="Z74" s="36">
        <f>IF(B74="","",IF(I74&lt;&gt;"",I74,ROUND(IF(F74="",0,F74)*IF(G74="",0.85,G74)*IF(H74="",0.9,H74),1)))</f>
        <v>0</v>
      </c>
      <c r="AA74" s="36">
        <f>IF(B74="","",ROUND(Z74*(1+IF(J74="",DefaultWaste,J74)),1))</f>
        <v>0</v>
      </c>
      <c r="AB74" s="20">
        <f>IF(B74="","",ROUND(AA74*IFERROR(INDEX(Materials!$V$5:$V$254,MATCH(D74,Materials!$A$5:$A$254,0)),0),2))</f>
        <v>0</v>
      </c>
      <c r="AC74" s="36">
        <f>IF(B74="","",ROUND(Z74*IF(L74="",0,L74),2))</f>
        <v>0</v>
      </c>
      <c r="AD74" s="20">
        <f>IF(B74="","",ROUND(AC74*IFERROR(INDEX(Materials!$V$5:$V$254,MATCH(K74,Materials!$A$5:$A$254,0)),0),2))</f>
        <v>0</v>
      </c>
      <c r="AE74" s="20">
        <f>IF(B74="","",ROUND(IF(N74="",0,N74)*IF(O74="",0,O74),2))</f>
        <v>0</v>
      </c>
      <c r="AF74" s="20">
        <f>IF(B74="","",ROUND(AB74+AD74+AE74+IF(P74="",0,P74)+IF(Q74="",0,Q74)+IF(R74="",0,R74),2))</f>
        <v>0</v>
      </c>
      <c r="AG74" s="36">
        <f>IF(B74="","",ROUND(IF(U74="",0,U74)+IF(T74="",0,T74)/MAX(1,IF(S74="",DefaultBatchSize,S74)),1))</f>
        <v>0</v>
      </c>
      <c r="AH74" s="20">
        <f>IF(B74="","",IF(W74&lt;&gt;"",W74,LaborCostHour))</f>
        <v>0</v>
      </c>
      <c r="AI74" s="20">
        <f>IF(B74="","",ROUND(AG74/60*AH74,2))</f>
        <v>0</v>
      </c>
      <c r="AJ74" s="20">
        <f>IF(B74="","",ROUND(AG74/60*SuppliesPerHour,2))</f>
        <v>0</v>
      </c>
      <c r="AK74" s="20">
        <f>IF(B74="","",IF(OR(Z74="",Z74=0),"",ROUND(AF74/Z74*100,2)))</f>
        <v>0</v>
      </c>
      <c r="AL74" s="32">
        <f>IF(B74="","",IF(Z74="","",ROUND(Z74/7,0)))</f>
        <v>0</v>
      </c>
      <c r="AM74" s="20">
        <f>IF(B74="","",ROUND(AF74+AI74+AJ74,2))</f>
        <v>0</v>
      </c>
      <c r="AN74" s="33">
        <f>IF(B74="","",IFERROR(INDEX(Channels!$S$5:$S$18,MATCH(DefaultChannel,Channels!$A$5:$A$18,0)),0))</f>
        <v>0</v>
      </c>
      <c r="AO74" s="20">
        <f>IF(B74="","",IFERROR(INDEX(Channels!$T$5:$T$18,MATCH(DefaultChannel,Channels!$A$5:$A$18,0)),0))</f>
        <v>0</v>
      </c>
      <c r="AP74" s="41">
        <f>IF(B74="","",1-TargetRetailMargin-AN74)</f>
        <v>0</v>
      </c>
      <c r="AQ74" s="20">
        <f>IF(B74="","",IF(AP74&lt;=0,"",(AM74+AO74)/AP74))</f>
        <v>0</v>
      </c>
      <c r="AR74" s="20">
        <f>IF(B74="","",IF(AQ74="","Check the settings",ROUND(IF(RoundingRule="None",AQ74,IF(RoundingRule="Nearest 0.99",MAX(0.99,CEILING(AQ74,1)-0.01),IF(RoundingRule="Nearest 0.95",MAX(0.95,CEILING(AQ74,1)-0.05),IF(RoundingRule="Nearest 0.50",CEILING(AQ74,0.5),IF(RoundingRule="Nearest 1",CEILING(AQ74,1),IF(RoundingRule="Nearest 5",CEILING(AQ74,5),IF(RoundingRule="Up to whole 1",CEILING(AQ74,1),IF(RoundingRule="Up to whole 5",CEILING(AQ74,5),ROUND(AQ74,2))))))))),2)))</f>
        <v>0</v>
      </c>
      <c r="AS74" s="20">
        <f>IF(B74="","",IF(X74&lt;&gt;"",X74,IF(ISNUMBER(AR74),AR74,"")))</f>
        <v>0</v>
      </c>
      <c r="AT74" s="20">
        <f>IF(B74="","",IF(AS74="","",ROUND(AS74-AM74-(AS74*AN74+AO74),2)))</f>
        <v>0</v>
      </c>
      <c r="AU74" s="33">
        <f>IF(B74="","",IF(OR(AS74="",AS74=0),"",AT74/AS74))</f>
        <v>0</v>
      </c>
      <c r="AV74" s="41">
        <f>IF(B74="","",ROUND(AG74/60,3))</f>
        <v>0</v>
      </c>
      <c r="AW74" s="20">
        <f>IF(B74="","",IF(OR(AV74=0,AV74="",AT74=""),"",ROUND((AT74+AI74)/AV74,2)))</f>
        <v>0</v>
      </c>
      <c r="AX74" s="43">
        <f>IF(B74="","",IF(AND(A74&lt;&gt;"",ISERROR(MATCH(A74,Products!$A$5:$A$304,0))),"Check - no such product ID",IF(AF74=0,"Add - no material cost yet",IF(AG74=0,"Add - how long does it take?",IF(AND(A74&lt;&gt;"",COUNTIFS('Material Usage'!$A$5:$A$904,A74)&gt;0),"Check - this product also has a bill of materials",IF(AND(A74&lt;&gt;"",COUNTIFS(Labor!$A$5:$A$304,A74)&gt;0),"Check - this product also has labour lines",IF(AW74&lt;MinimumWage,"Below - pays under minimum wage","OK")))))) )</f>
        <v>0</v>
      </c>
    </row>
    <row r="75" spans="26:50">
      <c r="Z75" s="36">
        <f>IF(B75="","",IF(I75&lt;&gt;"",I75,ROUND(IF(F75="",0,F75)*IF(G75="",0.85,G75)*IF(H75="",0.9,H75),1)))</f>
        <v>0</v>
      </c>
      <c r="AA75" s="36">
        <f>IF(B75="","",ROUND(Z75*(1+IF(J75="",DefaultWaste,J75)),1))</f>
        <v>0</v>
      </c>
      <c r="AB75" s="20">
        <f>IF(B75="","",ROUND(AA75*IFERROR(INDEX(Materials!$V$5:$V$254,MATCH(D75,Materials!$A$5:$A$254,0)),0),2))</f>
        <v>0</v>
      </c>
      <c r="AC75" s="36">
        <f>IF(B75="","",ROUND(Z75*IF(L75="",0,L75),2))</f>
        <v>0</v>
      </c>
      <c r="AD75" s="20">
        <f>IF(B75="","",ROUND(AC75*IFERROR(INDEX(Materials!$V$5:$V$254,MATCH(K75,Materials!$A$5:$A$254,0)),0),2))</f>
        <v>0</v>
      </c>
      <c r="AE75" s="20">
        <f>IF(B75="","",ROUND(IF(N75="",0,N75)*IF(O75="",0,O75),2))</f>
        <v>0</v>
      </c>
      <c r="AF75" s="20">
        <f>IF(B75="","",ROUND(AB75+AD75+AE75+IF(P75="",0,P75)+IF(Q75="",0,Q75)+IF(R75="",0,R75),2))</f>
        <v>0</v>
      </c>
      <c r="AG75" s="36">
        <f>IF(B75="","",ROUND(IF(U75="",0,U75)+IF(T75="",0,T75)/MAX(1,IF(S75="",DefaultBatchSize,S75)),1))</f>
        <v>0</v>
      </c>
      <c r="AH75" s="20">
        <f>IF(B75="","",IF(W75&lt;&gt;"",W75,LaborCostHour))</f>
        <v>0</v>
      </c>
      <c r="AI75" s="20">
        <f>IF(B75="","",ROUND(AG75/60*AH75,2))</f>
        <v>0</v>
      </c>
      <c r="AJ75" s="20">
        <f>IF(B75="","",ROUND(AG75/60*SuppliesPerHour,2))</f>
        <v>0</v>
      </c>
      <c r="AK75" s="20">
        <f>IF(B75="","",IF(OR(Z75="",Z75=0),"",ROUND(AF75/Z75*100,2)))</f>
        <v>0</v>
      </c>
      <c r="AL75" s="32">
        <f>IF(B75="","",IF(Z75="","",ROUND(Z75/7,0)))</f>
        <v>0</v>
      </c>
      <c r="AM75" s="20">
        <f>IF(B75="","",ROUND(AF75+AI75+AJ75,2))</f>
        <v>0</v>
      </c>
      <c r="AN75" s="33">
        <f>IF(B75="","",IFERROR(INDEX(Channels!$S$5:$S$18,MATCH(DefaultChannel,Channels!$A$5:$A$18,0)),0))</f>
        <v>0</v>
      </c>
      <c r="AO75" s="20">
        <f>IF(B75="","",IFERROR(INDEX(Channels!$T$5:$T$18,MATCH(DefaultChannel,Channels!$A$5:$A$18,0)),0))</f>
        <v>0</v>
      </c>
      <c r="AP75" s="41">
        <f>IF(B75="","",1-TargetRetailMargin-AN75)</f>
        <v>0</v>
      </c>
      <c r="AQ75" s="20">
        <f>IF(B75="","",IF(AP75&lt;=0,"",(AM75+AO75)/AP75))</f>
        <v>0</v>
      </c>
      <c r="AR75" s="20">
        <f>IF(B75="","",IF(AQ75="","Check the settings",ROUND(IF(RoundingRule="None",AQ75,IF(RoundingRule="Nearest 0.99",MAX(0.99,CEILING(AQ75,1)-0.01),IF(RoundingRule="Nearest 0.95",MAX(0.95,CEILING(AQ75,1)-0.05),IF(RoundingRule="Nearest 0.50",CEILING(AQ75,0.5),IF(RoundingRule="Nearest 1",CEILING(AQ75,1),IF(RoundingRule="Nearest 5",CEILING(AQ75,5),IF(RoundingRule="Up to whole 1",CEILING(AQ75,1),IF(RoundingRule="Up to whole 5",CEILING(AQ75,5),ROUND(AQ75,2))))))))),2)))</f>
        <v>0</v>
      </c>
      <c r="AS75" s="20">
        <f>IF(B75="","",IF(X75&lt;&gt;"",X75,IF(ISNUMBER(AR75),AR75,"")))</f>
        <v>0</v>
      </c>
      <c r="AT75" s="20">
        <f>IF(B75="","",IF(AS75="","",ROUND(AS75-AM75-(AS75*AN75+AO75),2)))</f>
        <v>0</v>
      </c>
      <c r="AU75" s="33">
        <f>IF(B75="","",IF(OR(AS75="",AS75=0),"",AT75/AS75))</f>
        <v>0</v>
      </c>
      <c r="AV75" s="41">
        <f>IF(B75="","",ROUND(AG75/60,3))</f>
        <v>0</v>
      </c>
      <c r="AW75" s="20">
        <f>IF(B75="","",IF(OR(AV75=0,AV75="",AT75=""),"",ROUND((AT75+AI75)/AV75,2)))</f>
        <v>0</v>
      </c>
      <c r="AX75" s="43">
        <f>IF(B75="","",IF(AND(A75&lt;&gt;"",ISERROR(MATCH(A75,Products!$A$5:$A$304,0))),"Check - no such product ID",IF(AF75=0,"Add - no material cost yet",IF(AG75=0,"Add - how long does it take?",IF(AND(A75&lt;&gt;"",COUNTIFS('Material Usage'!$A$5:$A$904,A75)&gt;0),"Check - this product also has a bill of materials",IF(AND(A75&lt;&gt;"",COUNTIFS(Labor!$A$5:$A$304,A75)&gt;0),"Check - this product also has labour lines",IF(AW75&lt;MinimumWage,"Below - pays under minimum wage","OK")))))) )</f>
        <v>0</v>
      </c>
    </row>
    <row r="76" spans="26:50">
      <c r="Z76" s="36">
        <f>IF(B76="","",IF(I76&lt;&gt;"",I76,ROUND(IF(F76="",0,F76)*IF(G76="",0.85,G76)*IF(H76="",0.9,H76),1)))</f>
        <v>0</v>
      </c>
      <c r="AA76" s="36">
        <f>IF(B76="","",ROUND(Z76*(1+IF(J76="",DefaultWaste,J76)),1))</f>
        <v>0</v>
      </c>
      <c r="AB76" s="20">
        <f>IF(B76="","",ROUND(AA76*IFERROR(INDEX(Materials!$V$5:$V$254,MATCH(D76,Materials!$A$5:$A$254,0)),0),2))</f>
        <v>0</v>
      </c>
      <c r="AC76" s="36">
        <f>IF(B76="","",ROUND(Z76*IF(L76="",0,L76),2))</f>
        <v>0</v>
      </c>
      <c r="AD76" s="20">
        <f>IF(B76="","",ROUND(AC76*IFERROR(INDEX(Materials!$V$5:$V$254,MATCH(K76,Materials!$A$5:$A$254,0)),0),2))</f>
        <v>0</v>
      </c>
      <c r="AE76" s="20">
        <f>IF(B76="","",ROUND(IF(N76="",0,N76)*IF(O76="",0,O76),2))</f>
        <v>0</v>
      </c>
      <c r="AF76" s="20">
        <f>IF(B76="","",ROUND(AB76+AD76+AE76+IF(P76="",0,P76)+IF(Q76="",0,Q76)+IF(R76="",0,R76),2))</f>
        <v>0</v>
      </c>
      <c r="AG76" s="36">
        <f>IF(B76="","",ROUND(IF(U76="",0,U76)+IF(T76="",0,T76)/MAX(1,IF(S76="",DefaultBatchSize,S76)),1))</f>
        <v>0</v>
      </c>
      <c r="AH76" s="20">
        <f>IF(B76="","",IF(W76&lt;&gt;"",W76,LaborCostHour))</f>
        <v>0</v>
      </c>
      <c r="AI76" s="20">
        <f>IF(B76="","",ROUND(AG76/60*AH76,2))</f>
        <v>0</v>
      </c>
      <c r="AJ76" s="20">
        <f>IF(B76="","",ROUND(AG76/60*SuppliesPerHour,2))</f>
        <v>0</v>
      </c>
      <c r="AK76" s="20">
        <f>IF(B76="","",IF(OR(Z76="",Z76=0),"",ROUND(AF76/Z76*100,2)))</f>
        <v>0</v>
      </c>
      <c r="AL76" s="32">
        <f>IF(B76="","",IF(Z76="","",ROUND(Z76/7,0)))</f>
        <v>0</v>
      </c>
      <c r="AM76" s="20">
        <f>IF(B76="","",ROUND(AF76+AI76+AJ76,2))</f>
        <v>0</v>
      </c>
      <c r="AN76" s="33">
        <f>IF(B76="","",IFERROR(INDEX(Channels!$S$5:$S$18,MATCH(DefaultChannel,Channels!$A$5:$A$18,0)),0))</f>
        <v>0</v>
      </c>
      <c r="AO76" s="20">
        <f>IF(B76="","",IFERROR(INDEX(Channels!$T$5:$T$18,MATCH(DefaultChannel,Channels!$A$5:$A$18,0)),0))</f>
        <v>0</v>
      </c>
      <c r="AP76" s="41">
        <f>IF(B76="","",1-TargetRetailMargin-AN76)</f>
        <v>0</v>
      </c>
      <c r="AQ76" s="20">
        <f>IF(B76="","",IF(AP76&lt;=0,"",(AM76+AO76)/AP76))</f>
        <v>0</v>
      </c>
      <c r="AR76" s="20">
        <f>IF(B76="","",IF(AQ76="","Check the settings",ROUND(IF(RoundingRule="None",AQ76,IF(RoundingRule="Nearest 0.99",MAX(0.99,CEILING(AQ76,1)-0.01),IF(RoundingRule="Nearest 0.95",MAX(0.95,CEILING(AQ76,1)-0.05),IF(RoundingRule="Nearest 0.50",CEILING(AQ76,0.5),IF(RoundingRule="Nearest 1",CEILING(AQ76,1),IF(RoundingRule="Nearest 5",CEILING(AQ76,5),IF(RoundingRule="Up to whole 1",CEILING(AQ76,1),IF(RoundingRule="Up to whole 5",CEILING(AQ76,5),ROUND(AQ76,2))))))))),2)))</f>
        <v>0</v>
      </c>
      <c r="AS76" s="20">
        <f>IF(B76="","",IF(X76&lt;&gt;"",X76,IF(ISNUMBER(AR76),AR76,"")))</f>
        <v>0</v>
      </c>
      <c r="AT76" s="20">
        <f>IF(B76="","",IF(AS76="","",ROUND(AS76-AM76-(AS76*AN76+AO76),2)))</f>
        <v>0</v>
      </c>
      <c r="AU76" s="33">
        <f>IF(B76="","",IF(OR(AS76="",AS76=0),"",AT76/AS76))</f>
        <v>0</v>
      </c>
      <c r="AV76" s="41">
        <f>IF(B76="","",ROUND(AG76/60,3))</f>
        <v>0</v>
      </c>
      <c r="AW76" s="20">
        <f>IF(B76="","",IF(OR(AV76=0,AV76="",AT76=""),"",ROUND((AT76+AI76)/AV76,2)))</f>
        <v>0</v>
      </c>
      <c r="AX76" s="43">
        <f>IF(B76="","",IF(AND(A76&lt;&gt;"",ISERROR(MATCH(A76,Products!$A$5:$A$304,0))),"Check - no such product ID",IF(AF76=0,"Add - no material cost yet",IF(AG76=0,"Add - how long does it take?",IF(AND(A76&lt;&gt;"",COUNTIFS('Material Usage'!$A$5:$A$904,A76)&gt;0),"Check - this product also has a bill of materials",IF(AND(A76&lt;&gt;"",COUNTIFS(Labor!$A$5:$A$304,A76)&gt;0),"Check - this product also has labour lines",IF(AW76&lt;MinimumWage,"Below - pays under minimum wage","OK")))))) )</f>
        <v>0</v>
      </c>
    </row>
    <row r="77" spans="26:50">
      <c r="Z77" s="36">
        <f>IF(B77="","",IF(I77&lt;&gt;"",I77,ROUND(IF(F77="",0,F77)*IF(G77="",0.85,G77)*IF(H77="",0.9,H77),1)))</f>
        <v>0</v>
      </c>
      <c r="AA77" s="36">
        <f>IF(B77="","",ROUND(Z77*(1+IF(J77="",DefaultWaste,J77)),1))</f>
        <v>0</v>
      </c>
      <c r="AB77" s="20">
        <f>IF(B77="","",ROUND(AA77*IFERROR(INDEX(Materials!$V$5:$V$254,MATCH(D77,Materials!$A$5:$A$254,0)),0),2))</f>
        <v>0</v>
      </c>
      <c r="AC77" s="36">
        <f>IF(B77="","",ROUND(Z77*IF(L77="",0,L77),2))</f>
        <v>0</v>
      </c>
      <c r="AD77" s="20">
        <f>IF(B77="","",ROUND(AC77*IFERROR(INDEX(Materials!$V$5:$V$254,MATCH(K77,Materials!$A$5:$A$254,0)),0),2))</f>
        <v>0</v>
      </c>
      <c r="AE77" s="20">
        <f>IF(B77="","",ROUND(IF(N77="",0,N77)*IF(O77="",0,O77),2))</f>
        <v>0</v>
      </c>
      <c r="AF77" s="20">
        <f>IF(B77="","",ROUND(AB77+AD77+AE77+IF(P77="",0,P77)+IF(Q77="",0,Q77)+IF(R77="",0,R77),2))</f>
        <v>0</v>
      </c>
      <c r="AG77" s="36">
        <f>IF(B77="","",ROUND(IF(U77="",0,U77)+IF(T77="",0,T77)/MAX(1,IF(S77="",DefaultBatchSize,S77)),1))</f>
        <v>0</v>
      </c>
      <c r="AH77" s="20">
        <f>IF(B77="","",IF(W77&lt;&gt;"",W77,LaborCostHour))</f>
        <v>0</v>
      </c>
      <c r="AI77" s="20">
        <f>IF(B77="","",ROUND(AG77/60*AH77,2))</f>
        <v>0</v>
      </c>
      <c r="AJ77" s="20">
        <f>IF(B77="","",ROUND(AG77/60*SuppliesPerHour,2))</f>
        <v>0</v>
      </c>
      <c r="AK77" s="20">
        <f>IF(B77="","",IF(OR(Z77="",Z77=0),"",ROUND(AF77/Z77*100,2)))</f>
        <v>0</v>
      </c>
      <c r="AL77" s="32">
        <f>IF(B77="","",IF(Z77="","",ROUND(Z77/7,0)))</f>
        <v>0</v>
      </c>
      <c r="AM77" s="20">
        <f>IF(B77="","",ROUND(AF77+AI77+AJ77,2))</f>
        <v>0</v>
      </c>
      <c r="AN77" s="33">
        <f>IF(B77="","",IFERROR(INDEX(Channels!$S$5:$S$18,MATCH(DefaultChannel,Channels!$A$5:$A$18,0)),0))</f>
        <v>0</v>
      </c>
      <c r="AO77" s="20">
        <f>IF(B77="","",IFERROR(INDEX(Channels!$T$5:$T$18,MATCH(DefaultChannel,Channels!$A$5:$A$18,0)),0))</f>
        <v>0</v>
      </c>
      <c r="AP77" s="41">
        <f>IF(B77="","",1-TargetRetailMargin-AN77)</f>
        <v>0</v>
      </c>
      <c r="AQ77" s="20">
        <f>IF(B77="","",IF(AP77&lt;=0,"",(AM77+AO77)/AP77))</f>
        <v>0</v>
      </c>
      <c r="AR77" s="20">
        <f>IF(B77="","",IF(AQ77="","Check the settings",ROUND(IF(RoundingRule="None",AQ77,IF(RoundingRule="Nearest 0.99",MAX(0.99,CEILING(AQ77,1)-0.01),IF(RoundingRule="Nearest 0.95",MAX(0.95,CEILING(AQ77,1)-0.05),IF(RoundingRule="Nearest 0.50",CEILING(AQ77,0.5),IF(RoundingRule="Nearest 1",CEILING(AQ77,1),IF(RoundingRule="Nearest 5",CEILING(AQ77,5),IF(RoundingRule="Up to whole 1",CEILING(AQ77,1),IF(RoundingRule="Up to whole 5",CEILING(AQ77,5),ROUND(AQ77,2))))))))),2)))</f>
        <v>0</v>
      </c>
      <c r="AS77" s="20">
        <f>IF(B77="","",IF(X77&lt;&gt;"",X77,IF(ISNUMBER(AR77),AR77,"")))</f>
        <v>0</v>
      </c>
      <c r="AT77" s="20">
        <f>IF(B77="","",IF(AS77="","",ROUND(AS77-AM77-(AS77*AN77+AO77),2)))</f>
        <v>0</v>
      </c>
      <c r="AU77" s="33">
        <f>IF(B77="","",IF(OR(AS77="",AS77=0),"",AT77/AS77))</f>
        <v>0</v>
      </c>
      <c r="AV77" s="41">
        <f>IF(B77="","",ROUND(AG77/60,3))</f>
        <v>0</v>
      </c>
      <c r="AW77" s="20">
        <f>IF(B77="","",IF(OR(AV77=0,AV77="",AT77=""),"",ROUND((AT77+AI77)/AV77,2)))</f>
        <v>0</v>
      </c>
      <c r="AX77" s="43">
        <f>IF(B77="","",IF(AND(A77&lt;&gt;"",ISERROR(MATCH(A77,Products!$A$5:$A$304,0))),"Check - no such product ID",IF(AF77=0,"Add - no material cost yet",IF(AG77=0,"Add - how long does it take?",IF(AND(A77&lt;&gt;"",COUNTIFS('Material Usage'!$A$5:$A$904,A77)&gt;0),"Check - this product also has a bill of materials",IF(AND(A77&lt;&gt;"",COUNTIFS(Labor!$A$5:$A$304,A77)&gt;0),"Check - this product also has labour lines",IF(AW77&lt;MinimumWage,"Below - pays under minimum wage","OK")))))) )</f>
        <v>0</v>
      </c>
    </row>
    <row r="78" spans="26:50">
      <c r="Z78" s="36">
        <f>IF(B78="","",IF(I78&lt;&gt;"",I78,ROUND(IF(F78="",0,F78)*IF(G78="",0.85,G78)*IF(H78="",0.9,H78),1)))</f>
        <v>0</v>
      </c>
      <c r="AA78" s="36">
        <f>IF(B78="","",ROUND(Z78*(1+IF(J78="",DefaultWaste,J78)),1))</f>
        <v>0</v>
      </c>
      <c r="AB78" s="20">
        <f>IF(B78="","",ROUND(AA78*IFERROR(INDEX(Materials!$V$5:$V$254,MATCH(D78,Materials!$A$5:$A$254,0)),0),2))</f>
        <v>0</v>
      </c>
      <c r="AC78" s="36">
        <f>IF(B78="","",ROUND(Z78*IF(L78="",0,L78),2))</f>
        <v>0</v>
      </c>
      <c r="AD78" s="20">
        <f>IF(B78="","",ROUND(AC78*IFERROR(INDEX(Materials!$V$5:$V$254,MATCH(K78,Materials!$A$5:$A$254,0)),0),2))</f>
        <v>0</v>
      </c>
      <c r="AE78" s="20">
        <f>IF(B78="","",ROUND(IF(N78="",0,N78)*IF(O78="",0,O78),2))</f>
        <v>0</v>
      </c>
      <c r="AF78" s="20">
        <f>IF(B78="","",ROUND(AB78+AD78+AE78+IF(P78="",0,P78)+IF(Q78="",0,Q78)+IF(R78="",0,R78),2))</f>
        <v>0</v>
      </c>
      <c r="AG78" s="36">
        <f>IF(B78="","",ROUND(IF(U78="",0,U78)+IF(T78="",0,T78)/MAX(1,IF(S78="",DefaultBatchSize,S78)),1))</f>
        <v>0</v>
      </c>
      <c r="AH78" s="20">
        <f>IF(B78="","",IF(W78&lt;&gt;"",W78,LaborCostHour))</f>
        <v>0</v>
      </c>
      <c r="AI78" s="20">
        <f>IF(B78="","",ROUND(AG78/60*AH78,2))</f>
        <v>0</v>
      </c>
      <c r="AJ78" s="20">
        <f>IF(B78="","",ROUND(AG78/60*SuppliesPerHour,2))</f>
        <v>0</v>
      </c>
      <c r="AK78" s="20">
        <f>IF(B78="","",IF(OR(Z78="",Z78=0),"",ROUND(AF78/Z78*100,2)))</f>
        <v>0</v>
      </c>
      <c r="AL78" s="32">
        <f>IF(B78="","",IF(Z78="","",ROUND(Z78/7,0)))</f>
        <v>0</v>
      </c>
      <c r="AM78" s="20">
        <f>IF(B78="","",ROUND(AF78+AI78+AJ78,2))</f>
        <v>0</v>
      </c>
      <c r="AN78" s="33">
        <f>IF(B78="","",IFERROR(INDEX(Channels!$S$5:$S$18,MATCH(DefaultChannel,Channels!$A$5:$A$18,0)),0))</f>
        <v>0</v>
      </c>
      <c r="AO78" s="20">
        <f>IF(B78="","",IFERROR(INDEX(Channels!$T$5:$T$18,MATCH(DefaultChannel,Channels!$A$5:$A$18,0)),0))</f>
        <v>0</v>
      </c>
      <c r="AP78" s="41">
        <f>IF(B78="","",1-TargetRetailMargin-AN78)</f>
        <v>0</v>
      </c>
      <c r="AQ78" s="20">
        <f>IF(B78="","",IF(AP78&lt;=0,"",(AM78+AO78)/AP78))</f>
        <v>0</v>
      </c>
      <c r="AR78" s="20">
        <f>IF(B78="","",IF(AQ78="","Check the settings",ROUND(IF(RoundingRule="None",AQ78,IF(RoundingRule="Nearest 0.99",MAX(0.99,CEILING(AQ78,1)-0.01),IF(RoundingRule="Nearest 0.95",MAX(0.95,CEILING(AQ78,1)-0.05),IF(RoundingRule="Nearest 0.50",CEILING(AQ78,0.5),IF(RoundingRule="Nearest 1",CEILING(AQ78,1),IF(RoundingRule="Nearest 5",CEILING(AQ78,5),IF(RoundingRule="Up to whole 1",CEILING(AQ78,1),IF(RoundingRule="Up to whole 5",CEILING(AQ78,5),ROUND(AQ78,2))))))))),2)))</f>
        <v>0</v>
      </c>
      <c r="AS78" s="20">
        <f>IF(B78="","",IF(X78&lt;&gt;"",X78,IF(ISNUMBER(AR78),AR78,"")))</f>
        <v>0</v>
      </c>
      <c r="AT78" s="20">
        <f>IF(B78="","",IF(AS78="","",ROUND(AS78-AM78-(AS78*AN78+AO78),2)))</f>
        <v>0</v>
      </c>
      <c r="AU78" s="33">
        <f>IF(B78="","",IF(OR(AS78="",AS78=0),"",AT78/AS78))</f>
        <v>0</v>
      </c>
      <c r="AV78" s="41">
        <f>IF(B78="","",ROUND(AG78/60,3))</f>
        <v>0</v>
      </c>
      <c r="AW78" s="20">
        <f>IF(B78="","",IF(OR(AV78=0,AV78="",AT78=""),"",ROUND((AT78+AI78)/AV78,2)))</f>
        <v>0</v>
      </c>
      <c r="AX78" s="43">
        <f>IF(B78="","",IF(AND(A78&lt;&gt;"",ISERROR(MATCH(A78,Products!$A$5:$A$304,0))),"Check - no such product ID",IF(AF78=0,"Add - no material cost yet",IF(AG78=0,"Add - how long does it take?",IF(AND(A78&lt;&gt;"",COUNTIFS('Material Usage'!$A$5:$A$904,A78)&gt;0),"Check - this product also has a bill of materials",IF(AND(A78&lt;&gt;"",COUNTIFS(Labor!$A$5:$A$304,A78)&gt;0),"Check - this product also has labour lines",IF(AW78&lt;MinimumWage,"Below - pays under minimum wage","OK")))))) )</f>
        <v>0</v>
      </c>
    </row>
    <row r="79" spans="26:50">
      <c r="Z79" s="36">
        <f>IF(B79="","",IF(I79&lt;&gt;"",I79,ROUND(IF(F79="",0,F79)*IF(G79="",0.85,G79)*IF(H79="",0.9,H79),1)))</f>
        <v>0</v>
      </c>
      <c r="AA79" s="36">
        <f>IF(B79="","",ROUND(Z79*(1+IF(J79="",DefaultWaste,J79)),1))</f>
        <v>0</v>
      </c>
      <c r="AB79" s="20">
        <f>IF(B79="","",ROUND(AA79*IFERROR(INDEX(Materials!$V$5:$V$254,MATCH(D79,Materials!$A$5:$A$254,0)),0),2))</f>
        <v>0</v>
      </c>
      <c r="AC79" s="36">
        <f>IF(B79="","",ROUND(Z79*IF(L79="",0,L79),2))</f>
        <v>0</v>
      </c>
      <c r="AD79" s="20">
        <f>IF(B79="","",ROUND(AC79*IFERROR(INDEX(Materials!$V$5:$V$254,MATCH(K79,Materials!$A$5:$A$254,0)),0),2))</f>
        <v>0</v>
      </c>
      <c r="AE79" s="20">
        <f>IF(B79="","",ROUND(IF(N79="",0,N79)*IF(O79="",0,O79),2))</f>
        <v>0</v>
      </c>
      <c r="AF79" s="20">
        <f>IF(B79="","",ROUND(AB79+AD79+AE79+IF(P79="",0,P79)+IF(Q79="",0,Q79)+IF(R79="",0,R79),2))</f>
        <v>0</v>
      </c>
      <c r="AG79" s="36">
        <f>IF(B79="","",ROUND(IF(U79="",0,U79)+IF(T79="",0,T79)/MAX(1,IF(S79="",DefaultBatchSize,S79)),1))</f>
        <v>0</v>
      </c>
      <c r="AH79" s="20">
        <f>IF(B79="","",IF(W79&lt;&gt;"",W79,LaborCostHour))</f>
        <v>0</v>
      </c>
      <c r="AI79" s="20">
        <f>IF(B79="","",ROUND(AG79/60*AH79,2))</f>
        <v>0</v>
      </c>
      <c r="AJ79" s="20">
        <f>IF(B79="","",ROUND(AG79/60*SuppliesPerHour,2))</f>
        <v>0</v>
      </c>
      <c r="AK79" s="20">
        <f>IF(B79="","",IF(OR(Z79="",Z79=0),"",ROUND(AF79/Z79*100,2)))</f>
        <v>0</v>
      </c>
      <c r="AL79" s="32">
        <f>IF(B79="","",IF(Z79="","",ROUND(Z79/7,0)))</f>
        <v>0</v>
      </c>
      <c r="AM79" s="20">
        <f>IF(B79="","",ROUND(AF79+AI79+AJ79,2))</f>
        <v>0</v>
      </c>
      <c r="AN79" s="33">
        <f>IF(B79="","",IFERROR(INDEX(Channels!$S$5:$S$18,MATCH(DefaultChannel,Channels!$A$5:$A$18,0)),0))</f>
        <v>0</v>
      </c>
      <c r="AO79" s="20">
        <f>IF(B79="","",IFERROR(INDEX(Channels!$T$5:$T$18,MATCH(DefaultChannel,Channels!$A$5:$A$18,0)),0))</f>
        <v>0</v>
      </c>
      <c r="AP79" s="41">
        <f>IF(B79="","",1-TargetRetailMargin-AN79)</f>
        <v>0</v>
      </c>
      <c r="AQ79" s="20">
        <f>IF(B79="","",IF(AP79&lt;=0,"",(AM79+AO79)/AP79))</f>
        <v>0</v>
      </c>
      <c r="AR79" s="20">
        <f>IF(B79="","",IF(AQ79="","Check the settings",ROUND(IF(RoundingRule="None",AQ79,IF(RoundingRule="Nearest 0.99",MAX(0.99,CEILING(AQ79,1)-0.01),IF(RoundingRule="Nearest 0.95",MAX(0.95,CEILING(AQ79,1)-0.05),IF(RoundingRule="Nearest 0.50",CEILING(AQ79,0.5),IF(RoundingRule="Nearest 1",CEILING(AQ79,1),IF(RoundingRule="Nearest 5",CEILING(AQ79,5),IF(RoundingRule="Up to whole 1",CEILING(AQ79,1),IF(RoundingRule="Up to whole 5",CEILING(AQ79,5),ROUND(AQ79,2))))))))),2)))</f>
        <v>0</v>
      </c>
      <c r="AS79" s="20">
        <f>IF(B79="","",IF(X79&lt;&gt;"",X79,IF(ISNUMBER(AR79),AR79,"")))</f>
        <v>0</v>
      </c>
      <c r="AT79" s="20">
        <f>IF(B79="","",IF(AS79="","",ROUND(AS79-AM79-(AS79*AN79+AO79),2)))</f>
        <v>0</v>
      </c>
      <c r="AU79" s="33">
        <f>IF(B79="","",IF(OR(AS79="",AS79=0),"",AT79/AS79))</f>
        <v>0</v>
      </c>
      <c r="AV79" s="41">
        <f>IF(B79="","",ROUND(AG79/60,3))</f>
        <v>0</v>
      </c>
      <c r="AW79" s="20">
        <f>IF(B79="","",IF(OR(AV79=0,AV79="",AT79=""),"",ROUND((AT79+AI79)/AV79,2)))</f>
        <v>0</v>
      </c>
      <c r="AX79" s="43">
        <f>IF(B79="","",IF(AND(A79&lt;&gt;"",ISERROR(MATCH(A79,Products!$A$5:$A$304,0))),"Check - no such product ID",IF(AF79=0,"Add - no material cost yet",IF(AG79=0,"Add - how long does it take?",IF(AND(A79&lt;&gt;"",COUNTIFS('Material Usage'!$A$5:$A$904,A79)&gt;0),"Check - this product also has a bill of materials",IF(AND(A79&lt;&gt;"",COUNTIFS(Labor!$A$5:$A$304,A79)&gt;0),"Check - this product also has labour lines",IF(AW79&lt;MinimumWage,"Below - pays under minimum wage","OK")))))) )</f>
        <v>0</v>
      </c>
    </row>
    <row r="80" spans="26:50">
      <c r="Z80" s="36">
        <f>IF(B80="","",IF(I80&lt;&gt;"",I80,ROUND(IF(F80="",0,F80)*IF(G80="",0.85,G80)*IF(H80="",0.9,H80),1)))</f>
        <v>0</v>
      </c>
      <c r="AA80" s="36">
        <f>IF(B80="","",ROUND(Z80*(1+IF(J80="",DefaultWaste,J80)),1))</f>
        <v>0</v>
      </c>
      <c r="AB80" s="20">
        <f>IF(B80="","",ROUND(AA80*IFERROR(INDEX(Materials!$V$5:$V$254,MATCH(D80,Materials!$A$5:$A$254,0)),0),2))</f>
        <v>0</v>
      </c>
      <c r="AC80" s="36">
        <f>IF(B80="","",ROUND(Z80*IF(L80="",0,L80),2))</f>
        <v>0</v>
      </c>
      <c r="AD80" s="20">
        <f>IF(B80="","",ROUND(AC80*IFERROR(INDEX(Materials!$V$5:$V$254,MATCH(K80,Materials!$A$5:$A$254,0)),0),2))</f>
        <v>0</v>
      </c>
      <c r="AE80" s="20">
        <f>IF(B80="","",ROUND(IF(N80="",0,N80)*IF(O80="",0,O80),2))</f>
        <v>0</v>
      </c>
      <c r="AF80" s="20">
        <f>IF(B80="","",ROUND(AB80+AD80+AE80+IF(P80="",0,P80)+IF(Q80="",0,Q80)+IF(R80="",0,R80),2))</f>
        <v>0</v>
      </c>
      <c r="AG80" s="36">
        <f>IF(B80="","",ROUND(IF(U80="",0,U80)+IF(T80="",0,T80)/MAX(1,IF(S80="",DefaultBatchSize,S80)),1))</f>
        <v>0</v>
      </c>
      <c r="AH80" s="20">
        <f>IF(B80="","",IF(W80&lt;&gt;"",W80,LaborCostHour))</f>
        <v>0</v>
      </c>
      <c r="AI80" s="20">
        <f>IF(B80="","",ROUND(AG80/60*AH80,2))</f>
        <v>0</v>
      </c>
      <c r="AJ80" s="20">
        <f>IF(B80="","",ROUND(AG80/60*SuppliesPerHour,2))</f>
        <v>0</v>
      </c>
      <c r="AK80" s="20">
        <f>IF(B80="","",IF(OR(Z80="",Z80=0),"",ROUND(AF80/Z80*100,2)))</f>
        <v>0</v>
      </c>
      <c r="AL80" s="32">
        <f>IF(B80="","",IF(Z80="","",ROUND(Z80/7,0)))</f>
        <v>0</v>
      </c>
      <c r="AM80" s="20">
        <f>IF(B80="","",ROUND(AF80+AI80+AJ80,2))</f>
        <v>0</v>
      </c>
      <c r="AN80" s="33">
        <f>IF(B80="","",IFERROR(INDEX(Channels!$S$5:$S$18,MATCH(DefaultChannel,Channels!$A$5:$A$18,0)),0))</f>
        <v>0</v>
      </c>
      <c r="AO80" s="20">
        <f>IF(B80="","",IFERROR(INDEX(Channels!$T$5:$T$18,MATCH(DefaultChannel,Channels!$A$5:$A$18,0)),0))</f>
        <v>0</v>
      </c>
      <c r="AP80" s="41">
        <f>IF(B80="","",1-TargetRetailMargin-AN80)</f>
        <v>0</v>
      </c>
      <c r="AQ80" s="20">
        <f>IF(B80="","",IF(AP80&lt;=0,"",(AM80+AO80)/AP80))</f>
        <v>0</v>
      </c>
      <c r="AR80" s="20">
        <f>IF(B80="","",IF(AQ80="","Check the settings",ROUND(IF(RoundingRule="None",AQ80,IF(RoundingRule="Nearest 0.99",MAX(0.99,CEILING(AQ80,1)-0.01),IF(RoundingRule="Nearest 0.95",MAX(0.95,CEILING(AQ80,1)-0.05),IF(RoundingRule="Nearest 0.50",CEILING(AQ80,0.5),IF(RoundingRule="Nearest 1",CEILING(AQ80,1),IF(RoundingRule="Nearest 5",CEILING(AQ80,5),IF(RoundingRule="Up to whole 1",CEILING(AQ80,1),IF(RoundingRule="Up to whole 5",CEILING(AQ80,5),ROUND(AQ80,2))))))))),2)))</f>
        <v>0</v>
      </c>
      <c r="AS80" s="20">
        <f>IF(B80="","",IF(X80&lt;&gt;"",X80,IF(ISNUMBER(AR80),AR80,"")))</f>
        <v>0</v>
      </c>
      <c r="AT80" s="20">
        <f>IF(B80="","",IF(AS80="","",ROUND(AS80-AM80-(AS80*AN80+AO80),2)))</f>
        <v>0</v>
      </c>
      <c r="AU80" s="33">
        <f>IF(B80="","",IF(OR(AS80="",AS80=0),"",AT80/AS80))</f>
        <v>0</v>
      </c>
      <c r="AV80" s="41">
        <f>IF(B80="","",ROUND(AG80/60,3))</f>
        <v>0</v>
      </c>
      <c r="AW80" s="20">
        <f>IF(B80="","",IF(OR(AV80=0,AV80="",AT80=""),"",ROUND((AT80+AI80)/AV80,2)))</f>
        <v>0</v>
      </c>
      <c r="AX80" s="43">
        <f>IF(B80="","",IF(AND(A80&lt;&gt;"",ISERROR(MATCH(A80,Products!$A$5:$A$304,0))),"Check - no such product ID",IF(AF80=0,"Add - no material cost yet",IF(AG80=0,"Add - how long does it take?",IF(AND(A80&lt;&gt;"",COUNTIFS('Material Usage'!$A$5:$A$904,A80)&gt;0),"Check - this product also has a bill of materials",IF(AND(A80&lt;&gt;"",COUNTIFS(Labor!$A$5:$A$304,A80)&gt;0),"Check - this product also has labour lines",IF(AW80&lt;MinimumWage,"Below - pays under minimum wage","OK")))))) )</f>
        <v>0</v>
      </c>
    </row>
    <row r="81" spans="26:50">
      <c r="Z81" s="36">
        <f>IF(B81="","",IF(I81&lt;&gt;"",I81,ROUND(IF(F81="",0,F81)*IF(G81="",0.85,G81)*IF(H81="",0.9,H81),1)))</f>
        <v>0</v>
      </c>
      <c r="AA81" s="36">
        <f>IF(B81="","",ROUND(Z81*(1+IF(J81="",DefaultWaste,J81)),1))</f>
        <v>0</v>
      </c>
      <c r="AB81" s="20">
        <f>IF(B81="","",ROUND(AA81*IFERROR(INDEX(Materials!$V$5:$V$254,MATCH(D81,Materials!$A$5:$A$254,0)),0),2))</f>
        <v>0</v>
      </c>
      <c r="AC81" s="36">
        <f>IF(B81="","",ROUND(Z81*IF(L81="",0,L81),2))</f>
        <v>0</v>
      </c>
      <c r="AD81" s="20">
        <f>IF(B81="","",ROUND(AC81*IFERROR(INDEX(Materials!$V$5:$V$254,MATCH(K81,Materials!$A$5:$A$254,0)),0),2))</f>
        <v>0</v>
      </c>
      <c r="AE81" s="20">
        <f>IF(B81="","",ROUND(IF(N81="",0,N81)*IF(O81="",0,O81),2))</f>
        <v>0</v>
      </c>
      <c r="AF81" s="20">
        <f>IF(B81="","",ROUND(AB81+AD81+AE81+IF(P81="",0,P81)+IF(Q81="",0,Q81)+IF(R81="",0,R81),2))</f>
        <v>0</v>
      </c>
      <c r="AG81" s="36">
        <f>IF(B81="","",ROUND(IF(U81="",0,U81)+IF(T81="",0,T81)/MAX(1,IF(S81="",DefaultBatchSize,S81)),1))</f>
        <v>0</v>
      </c>
      <c r="AH81" s="20">
        <f>IF(B81="","",IF(W81&lt;&gt;"",W81,LaborCostHour))</f>
        <v>0</v>
      </c>
      <c r="AI81" s="20">
        <f>IF(B81="","",ROUND(AG81/60*AH81,2))</f>
        <v>0</v>
      </c>
      <c r="AJ81" s="20">
        <f>IF(B81="","",ROUND(AG81/60*SuppliesPerHour,2))</f>
        <v>0</v>
      </c>
      <c r="AK81" s="20">
        <f>IF(B81="","",IF(OR(Z81="",Z81=0),"",ROUND(AF81/Z81*100,2)))</f>
        <v>0</v>
      </c>
      <c r="AL81" s="32">
        <f>IF(B81="","",IF(Z81="","",ROUND(Z81/7,0)))</f>
        <v>0</v>
      </c>
      <c r="AM81" s="20">
        <f>IF(B81="","",ROUND(AF81+AI81+AJ81,2))</f>
        <v>0</v>
      </c>
      <c r="AN81" s="33">
        <f>IF(B81="","",IFERROR(INDEX(Channels!$S$5:$S$18,MATCH(DefaultChannel,Channels!$A$5:$A$18,0)),0))</f>
        <v>0</v>
      </c>
      <c r="AO81" s="20">
        <f>IF(B81="","",IFERROR(INDEX(Channels!$T$5:$T$18,MATCH(DefaultChannel,Channels!$A$5:$A$18,0)),0))</f>
        <v>0</v>
      </c>
      <c r="AP81" s="41">
        <f>IF(B81="","",1-TargetRetailMargin-AN81)</f>
        <v>0</v>
      </c>
      <c r="AQ81" s="20">
        <f>IF(B81="","",IF(AP81&lt;=0,"",(AM81+AO81)/AP81))</f>
        <v>0</v>
      </c>
      <c r="AR81" s="20">
        <f>IF(B81="","",IF(AQ81="","Check the settings",ROUND(IF(RoundingRule="None",AQ81,IF(RoundingRule="Nearest 0.99",MAX(0.99,CEILING(AQ81,1)-0.01),IF(RoundingRule="Nearest 0.95",MAX(0.95,CEILING(AQ81,1)-0.05),IF(RoundingRule="Nearest 0.50",CEILING(AQ81,0.5),IF(RoundingRule="Nearest 1",CEILING(AQ81,1),IF(RoundingRule="Nearest 5",CEILING(AQ81,5),IF(RoundingRule="Up to whole 1",CEILING(AQ81,1),IF(RoundingRule="Up to whole 5",CEILING(AQ81,5),ROUND(AQ81,2))))))))),2)))</f>
        <v>0</v>
      </c>
      <c r="AS81" s="20">
        <f>IF(B81="","",IF(X81&lt;&gt;"",X81,IF(ISNUMBER(AR81),AR81,"")))</f>
        <v>0</v>
      </c>
      <c r="AT81" s="20">
        <f>IF(B81="","",IF(AS81="","",ROUND(AS81-AM81-(AS81*AN81+AO81),2)))</f>
        <v>0</v>
      </c>
      <c r="AU81" s="33">
        <f>IF(B81="","",IF(OR(AS81="",AS81=0),"",AT81/AS81))</f>
        <v>0</v>
      </c>
      <c r="AV81" s="41">
        <f>IF(B81="","",ROUND(AG81/60,3))</f>
        <v>0</v>
      </c>
      <c r="AW81" s="20">
        <f>IF(B81="","",IF(OR(AV81=0,AV81="",AT81=""),"",ROUND((AT81+AI81)/AV81,2)))</f>
        <v>0</v>
      </c>
      <c r="AX81" s="43">
        <f>IF(B81="","",IF(AND(A81&lt;&gt;"",ISERROR(MATCH(A81,Products!$A$5:$A$304,0))),"Check - no such product ID",IF(AF81=0,"Add - no material cost yet",IF(AG81=0,"Add - how long does it take?",IF(AND(A81&lt;&gt;"",COUNTIFS('Material Usage'!$A$5:$A$904,A81)&gt;0),"Check - this product also has a bill of materials",IF(AND(A81&lt;&gt;"",COUNTIFS(Labor!$A$5:$A$304,A81)&gt;0),"Check - this product also has labour lines",IF(AW81&lt;MinimumWage,"Below - pays under minimum wage","OK")))))) )</f>
        <v>0</v>
      </c>
    </row>
    <row r="82" spans="26:50">
      <c r="Z82" s="36">
        <f>IF(B82="","",IF(I82&lt;&gt;"",I82,ROUND(IF(F82="",0,F82)*IF(G82="",0.85,G82)*IF(H82="",0.9,H82),1)))</f>
        <v>0</v>
      </c>
      <c r="AA82" s="36">
        <f>IF(B82="","",ROUND(Z82*(1+IF(J82="",DefaultWaste,J82)),1))</f>
        <v>0</v>
      </c>
      <c r="AB82" s="20">
        <f>IF(B82="","",ROUND(AA82*IFERROR(INDEX(Materials!$V$5:$V$254,MATCH(D82,Materials!$A$5:$A$254,0)),0),2))</f>
        <v>0</v>
      </c>
      <c r="AC82" s="36">
        <f>IF(B82="","",ROUND(Z82*IF(L82="",0,L82),2))</f>
        <v>0</v>
      </c>
      <c r="AD82" s="20">
        <f>IF(B82="","",ROUND(AC82*IFERROR(INDEX(Materials!$V$5:$V$254,MATCH(K82,Materials!$A$5:$A$254,0)),0),2))</f>
        <v>0</v>
      </c>
      <c r="AE82" s="20">
        <f>IF(B82="","",ROUND(IF(N82="",0,N82)*IF(O82="",0,O82),2))</f>
        <v>0</v>
      </c>
      <c r="AF82" s="20">
        <f>IF(B82="","",ROUND(AB82+AD82+AE82+IF(P82="",0,P82)+IF(Q82="",0,Q82)+IF(R82="",0,R82),2))</f>
        <v>0</v>
      </c>
      <c r="AG82" s="36">
        <f>IF(B82="","",ROUND(IF(U82="",0,U82)+IF(T82="",0,T82)/MAX(1,IF(S82="",DefaultBatchSize,S82)),1))</f>
        <v>0</v>
      </c>
      <c r="AH82" s="20">
        <f>IF(B82="","",IF(W82&lt;&gt;"",W82,LaborCostHour))</f>
        <v>0</v>
      </c>
      <c r="AI82" s="20">
        <f>IF(B82="","",ROUND(AG82/60*AH82,2))</f>
        <v>0</v>
      </c>
      <c r="AJ82" s="20">
        <f>IF(B82="","",ROUND(AG82/60*SuppliesPerHour,2))</f>
        <v>0</v>
      </c>
      <c r="AK82" s="20">
        <f>IF(B82="","",IF(OR(Z82="",Z82=0),"",ROUND(AF82/Z82*100,2)))</f>
        <v>0</v>
      </c>
      <c r="AL82" s="32">
        <f>IF(B82="","",IF(Z82="","",ROUND(Z82/7,0)))</f>
        <v>0</v>
      </c>
      <c r="AM82" s="20">
        <f>IF(B82="","",ROUND(AF82+AI82+AJ82,2))</f>
        <v>0</v>
      </c>
      <c r="AN82" s="33">
        <f>IF(B82="","",IFERROR(INDEX(Channels!$S$5:$S$18,MATCH(DefaultChannel,Channels!$A$5:$A$18,0)),0))</f>
        <v>0</v>
      </c>
      <c r="AO82" s="20">
        <f>IF(B82="","",IFERROR(INDEX(Channels!$T$5:$T$18,MATCH(DefaultChannel,Channels!$A$5:$A$18,0)),0))</f>
        <v>0</v>
      </c>
      <c r="AP82" s="41">
        <f>IF(B82="","",1-TargetRetailMargin-AN82)</f>
        <v>0</v>
      </c>
      <c r="AQ82" s="20">
        <f>IF(B82="","",IF(AP82&lt;=0,"",(AM82+AO82)/AP82))</f>
        <v>0</v>
      </c>
      <c r="AR82" s="20">
        <f>IF(B82="","",IF(AQ82="","Check the settings",ROUND(IF(RoundingRule="None",AQ82,IF(RoundingRule="Nearest 0.99",MAX(0.99,CEILING(AQ82,1)-0.01),IF(RoundingRule="Nearest 0.95",MAX(0.95,CEILING(AQ82,1)-0.05),IF(RoundingRule="Nearest 0.50",CEILING(AQ82,0.5),IF(RoundingRule="Nearest 1",CEILING(AQ82,1),IF(RoundingRule="Nearest 5",CEILING(AQ82,5),IF(RoundingRule="Up to whole 1",CEILING(AQ82,1),IF(RoundingRule="Up to whole 5",CEILING(AQ82,5),ROUND(AQ82,2))))))))),2)))</f>
        <v>0</v>
      </c>
      <c r="AS82" s="20">
        <f>IF(B82="","",IF(X82&lt;&gt;"",X82,IF(ISNUMBER(AR82),AR82,"")))</f>
        <v>0</v>
      </c>
      <c r="AT82" s="20">
        <f>IF(B82="","",IF(AS82="","",ROUND(AS82-AM82-(AS82*AN82+AO82),2)))</f>
        <v>0</v>
      </c>
      <c r="AU82" s="33">
        <f>IF(B82="","",IF(OR(AS82="",AS82=0),"",AT82/AS82))</f>
        <v>0</v>
      </c>
      <c r="AV82" s="41">
        <f>IF(B82="","",ROUND(AG82/60,3))</f>
        <v>0</v>
      </c>
      <c r="AW82" s="20">
        <f>IF(B82="","",IF(OR(AV82=0,AV82="",AT82=""),"",ROUND((AT82+AI82)/AV82,2)))</f>
        <v>0</v>
      </c>
      <c r="AX82" s="43">
        <f>IF(B82="","",IF(AND(A82&lt;&gt;"",ISERROR(MATCH(A82,Products!$A$5:$A$304,0))),"Check - no such product ID",IF(AF82=0,"Add - no material cost yet",IF(AG82=0,"Add - how long does it take?",IF(AND(A82&lt;&gt;"",COUNTIFS('Material Usage'!$A$5:$A$904,A82)&gt;0),"Check - this product also has a bill of materials",IF(AND(A82&lt;&gt;"",COUNTIFS(Labor!$A$5:$A$304,A82)&gt;0),"Check - this product also has labour lines",IF(AW82&lt;MinimumWage,"Below - pays under minimum wage","OK")))))) )</f>
        <v>0</v>
      </c>
    </row>
    <row r="83" spans="26:50">
      <c r="Z83" s="36">
        <f>IF(B83="","",IF(I83&lt;&gt;"",I83,ROUND(IF(F83="",0,F83)*IF(G83="",0.85,G83)*IF(H83="",0.9,H83),1)))</f>
        <v>0</v>
      </c>
      <c r="AA83" s="36">
        <f>IF(B83="","",ROUND(Z83*(1+IF(J83="",DefaultWaste,J83)),1))</f>
        <v>0</v>
      </c>
      <c r="AB83" s="20">
        <f>IF(B83="","",ROUND(AA83*IFERROR(INDEX(Materials!$V$5:$V$254,MATCH(D83,Materials!$A$5:$A$254,0)),0),2))</f>
        <v>0</v>
      </c>
      <c r="AC83" s="36">
        <f>IF(B83="","",ROUND(Z83*IF(L83="",0,L83),2))</f>
        <v>0</v>
      </c>
      <c r="AD83" s="20">
        <f>IF(B83="","",ROUND(AC83*IFERROR(INDEX(Materials!$V$5:$V$254,MATCH(K83,Materials!$A$5:$A$254,0)),0),2))</f>
        <v>0</v>
      </c>
      <c r="AE83" s="20">
        <f>IF(B83="","",ROUND(IF(N83="",0,N83)*IF(O83="",0,O83),2))</f>
        <v>0</v>
      </c>
      <c r="AF83" s="20">
        <f>IF(B83="","",ROUND(AB83+AD83+AE83+IF(P83="",0,P83)+IF(Q83="",0,Q83)+IF(R83="",0,R83),2))</f>
        <v>0</v>
      </c>
      <c r="AG83" s="36">
        <f>IF(B83="","",ROUND(IF(U83="",0,U83)+IF(T83="",0,T83)/MAX(1,IF(S83="",DefaultBatchSize,S83)),1))</f>
        <v>0</v>
      </c>
      <c r="AH83" s="20">
        <f>IF(B83="","",IF(W83&lt;&gt;"",W83,LaborCostHour))</f>
        <v>0</v>
      </c>
      <c r="AI83" s="20">
        <f>IF(B83="","",ROUND(AG83/60*AH83,2))</f>
        <v>0</v>
      </c>
      <c r="AJ83" s="20">
        <f>IF(B83="","",ROUND(AG83/60*SuppliesPerHour,2))</f>
        <v>0</v>
      </c>
      <c r="AK83" s="20">
        <f>IF(B83="","",IF(OR(Z83="",Z83=0),"",ROUND(AF83/Z83*100,2)))</f>
        <v>0</v>
      </c>
      <c r="AL83" s="32">
        <f>IF(B83="","",IF(Z83="","",ROUND(Z83/7,0)))</f>
        <v>0</v>
      </c>
      <c r="AM83" s="20">
        <f>IF(B83="","",ROUND(AF83+AI83+AJ83,2))</f>
        <v>0</v>
      </c>
      <c r="AN83" s="33">
        <f>IF(B83="","",IFERROR(INDEX(Channels!$S$5:$S$18,MATCH(DefaultChannel,Channels!$A$5:$A$18,0)),0))</f>
        <v>0</v>
      </c>
      <c r="AO83" s="20">
        <f>IF(B83="","",IFERROR(INDEX(Channels!$T$5:$T$18,MATCH(DefaultChannel,Channels!$A$5:$A$18,0)),0))</f>
        <v>0</v>
      </c>
      <c r="AP83" s="41">
        <f>IF(B83="","",1-TargetRetailMargin-AN83)</f>
        <v>0</v>
      </c>
      <c r="AQ83" s="20">
        <f>IF(B83="","",IF(AP83&lt;=0,"",(AM83+AO83)/AP83))</f>
        <v>0</v>
      </c>
      <c r="AR83" s="20">
        <f>IF(B83="","",IF(AQ83="","Check the settings",ROUND(IF(RoundingRule="None",AQ83,IF(RoundingRule="Nearest 0.99",MAX(0.99,CEILING(AQ83,1)-0.01),IF(RoundingRule="Nearest 0.95",MAX(0.95,CEILING(AQ83,1)-0.05),IF(RoundingRule="Nearest 0.50",CEILING(AQ83,0.5),IF(RoundingRule="Nearest 1",CEILING(AQ83,1),IF(RoundingRule="Nearest 5",CEILING(AQ83,5),IF(RoundingRule="Up to whole 1",CEILING(AQ83,1),IF(RoundingRule="Up to whole 5",CEILING(AQ83,5),ROUND(AQ83,2))))))))),2)))</f>
        <v>0</v>
      </c>
      <c r="AS83" s="20">
        <f>IF(B83="","",IF(X83&lt;&gt;"",X83,IF(ISNUMBER(AR83),AR83,"")))</f>
        <v>0</v>
      </c>
      <c r="AT83" s="20">
        <f>IF(B83="","",IF(AS83="","",ROUND(AS83-AM83-(AS83*AN83+AO83),2)))</f>
        <v>0</v>
      </c>
      <c r="AU83" s="33">
        <f>IF(B83="","",IF(OR(AS83="",AS83=0),"",AT83/AS83))</f>
        <v>0</v>
      </c>
      <c r="AV83" s="41">
        <f>IF(B83="","",ROUND(AG83/60,3))</f>
        <v>0</v>
      </c>
      <c r="AW83" s="20">
        <f>IF(B83="","",IF(OR(AV83=0,AV83="",AT83=""),"",ROUND((AT83+AI83)/AV83,2)))</f>
        <v>0</v>
      </c>
      <c r="AX83" s="43">
        <f>IF(B83="","",IF(AND(A83&lt;&gt;"",ISERROR(MATCH(A83,Products!$A$5:$A$304,0))),"Check - no such product ID",IF(AF83=0,"Add - no material cost yet",IF(AG83=0,"Add - how long does it take?",IF(AND(A83&lt;&gt;"",COUNTIFS('Material Usage'!$A$5:$A$904,A83)&gt;0),"Check - this product also has a bill of materials",IF(AND(A83&lt;&gt;"",COUNTIFS(Labor!$A$5:$A$304,A83)&gt;0),"Check - this product also has labour lines",IF(AW83&lt;MinimumWage,"Below - pays under minimum wage","OK")))))) )</f>
        <v>0</v>
      </c>
    </row>
    <row r="84" spans="26:50">
      <c r="Z84" s="36">
        <f>IF(B84="","",IF(I84&lt;&gt;"",I84,ROUND(IF(F84="",0,F84)*IF(G84="",0.85,G84)*IF(H84="",0.9,H84),1)))</f>
        <v>0</v>
      </c>
      <c r="AA84" s="36">
        <f>IF(B84="","",ROUND(Z84*(1+IF(J84="",DefaultWaste,J84)),1))</f>
        <v>0</v>
      </c>
      <c r="AB84" s="20">
        <f>IF(B84="","",ROUND(AA84*IFERROR(INDEX(Materials!$V$5:$V$254,MATCH(D84,Materials!$A$5:$A$254,0)),0),2))</f>
        <v>0</v>
      </c>
      <c r="AC84" s="36">
        <f>IF(B84="","",ROUND(Z84*IF(L84="",0,L84),2))</f>
        <v>0</v>
      </c>
      <c r="AD84" s="20">
        <f>IF(B84="","",ROUND(AC84*IFERROR(INDEX(Materials!$V$5:$V$254,MATCH(K84,Materials!$A$5:$A$254,0)),0),2))</f>
        <v>0</v>
      </c>
      <c r="AE84" s="20">
        <f>IF(B84="","",ROUND(IF(N84="",0,N84)*IF(O84="",0,O84),2))</f>
        <v>0</v>
      </c>
      <c r="AF84" s="20">
        <f>IF(B84="","",ROUND(AB84+AD84+AE84+IF(P84="",0,P84)+IF(Q84="",0,Q84)+IF(R84="",0,R84),2))</f>
        <v>0</v>
      </c>
      <c r="AG84" s="36">
        <f>IF(B84="","",ROUND(IF(U84="",0,U84)+IF(T84="",0,T84)/MAX(1,IF(S84="",DefaultBatchSize,S84)),1))</f>
        <v>0</v>
      </c>
      <c r="AH84" s="20">
        <f>IF(B84="","",IF(W84&lt;&gt;"",W84,LaborCostHour))</f>
        <v>0</v>
      </c>
      <c r="AI84" s="20">
        <f>IF(B84="","",ROUND(AG84/60*AH84,2))</f>
        <v>0</v>
      </c>
      <c r="AJ84" s="20">
        <f>IF(B84="","",ROUND(AG84/60*SuppliesPerHour,2))</f>
        <v>0</v>
      </c>
      <c r="AK84" s="20">
        <f>IF(B84="","",IF(OR(Z84="",Z84=0),"",ROUND(AF84/Z84*100,2)))</f>
        <v>0</v>
      </c>
      <c r="AL84" s="32">
        <f>IF(B84="","",IF(Z84="","",ROUND(Z84/7,0)))</f>
        <v>0</v>
      </c>
      <c r="AM84" s="20">
        <f>IF(B84="","",ROUND(AF84+AI84+AJ84,2))</f>
        <v>0</v>
      </c>
      <c r="AN84" s="33">
        <f>IF(B84="","",IFERROR(INDEX(Channels!$S$5:$S$18,MATCH(DefaultChannel,Channels!$A$5:$A$18,0)),0))</f>
        <v>0</v>
      </c>
      <c r="AO84" s="20">
        <f>IF(B84="","",IFERROR(INDEX(Channels!$T$5:$T$18,MATCH(DefaultChannel,Channels!$A$5:$A$18,0)),0))</f>
        <v>0</v>
      </c>
      <c r="AP84" s="41">
        <f>IF(B84="","",1-TargetRetailMargin-AN84)</f>
        <v>0</v>
      </c>
      <c r="AQ84" s="20">
        <f>IF(B84="","",IF(AP84&lt;=0,"",(AM84+AO84)/AP84))</f>
        <v>0</v>
      </c>
      <c r="AR84" s="20">
        <f>IF(B84="","",IF(AQ84="","Check the settings",ROUND(IF(RoundingRule="None",AQ84,IF(RoundingRule="Nearest 0.99",MAX(0.99,CEILING(AQ84,1)-0.01),IF(RoundingRule="Nearest 0.95",MAX(0.95,CEILING(AQ84,1)-0.05),IF(RoundingRule="Nearest 0.50",CEILING(AQ84,0.5),IF(RoundingRule="Nearest 1",CEILING(AQ84,1),IF(RoundingRule="Nearest 5",CEILING(AQ84,5),IF(RoundingRule="Up to whole 1",CEILING(AQ84,1),IF(RoundingRule="Up to whole 5",CEILING(AQ84,5),ROUND(AQ84,2))))))))),2)))</f>
        <v>0</v>
      </c>
      <c r="AS84" s="20">
        <f>IF(B84="","",IF(X84&lt;&gt;"",X84,IF(ISNUMBER(AR84),AR84,"")))</f>
        <v>0</v>
      </c>
      <c r="AT84" s="20">
        <f>IF(B84="","",IF(AS84="","",ROUND(AS84-AM84-(AS84*AN84+AO84),2)))</f>
        <v>0</v>
      </c>
      <c r="AU84" s="33">
        <f>IF(B84="","",IF(OR(AS84="",AS84=0),"",AT84/AS84))</f>
        <v>0</v>
      </c>
      <c r="AV84" s="41">
        <f>IF(B84="","",ROUND(AG84/60,3))</f>
        <v>0</v>
      </c>
      <c r="AW84" s="20">
        <f>IF(B84="","",IF(OR(AV84=0,AV84="",AT84=""),"",ROUND((AT84+AI84)/AV84,2)))</f>
        <v>0</v>
      </c>
      <c r="AX84" s="43">
        <f>IF(B84="","",IF(AND(A84&lt;&gt;"",ISERROR(MATCH(A84,Products!$A$5:$A$304,0))),"Check - no such product ID",IF(AF84=0,"Add - no material cost yet",IF(AG84=0,"Add - how long does it take?",IF(AND(A84&lt;&gt;"",COUNTIFS('Material Usage'!$A$5:$A$904,A84)&gt;0),"Check - this product also has a bill of materials",IF(AND(A84&lt;&gt;"",COUNTIFS(Labor!$A$5:$A$304,A84)&gt;0),"Check - this product also has labour lines",IF(AW84&lt;MinimumWage,"Below - pays under minimum wage","OK")))))) )</f>
        <v>0</v>
      </c>
    </row>
  </sheetData>
  <sheetProtection password="EC7C" sheet="1" objects="1" scenarios="1" formatCells="0" formatColumns="0" formatRows="0" insertRows="0" insertHyperlinks="0" deleteRows="0" autoFilter="0"/>
  <autoFilter ref="A4:AX84"/>
  <mergeCells count="13">
    <mergeCell ref="A1:AU1"/>
    <mergeCell ref="AV1:AX1"/>
    <mergeCell ref="A2:AX2"/>
    <mergeCell ref="A3:B3"/>
    <mergeCell ref="C3:D3"/>
    <mergeCell ref="E3:F3"/>
    <mergeCell ref="G3:H3"/>
    <mergeCell ref="I3:J3"/>
    <mergeCell ref="K3:L3"/>
    <mergeCell ref="M3:N3"/>
    <mergeCell ref="O3:P3"/>
    <mergeCell ref="Q3:R3"/>
    <mergeCell ref="S3:AX3"/>
  </mergeCells>
  <conditionalFormatting sqref="AT5:AT84">
    <cfRule type="cellIs" dxfId="5" priority="1" operator="lessThan">
      <formula>0</formula>
    </cfRule>
    <cfRule type="cellIs" dxfId="1" priority="2" operator="greaterThan">
      <formula>0</formula>
    </cfRule>
  </conditionalFormatting>
  <conditionalFormatting sqref="AU5:AU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W5:AW84">
    <cfRule type="cellIs" dxfId="2" priority="6" operator="lessThan">
      <formula>MinimumWage</formula>
    </cfRule>
  </conditionalFormatting>
  <conditionalFormatting sqref="AX5:AX84">
    <cfRule type="beginsWith" dxfId="1" priority="7" operator="beginsWith" text="OK">
      <formula>LEFT(AX5,2)="OK"</formula>
    </cfRule>
    <cfRule type="containsText" dxfId="2" priority="8" operator="containsText" text="Overdue">
      <formula>NOT(ISERROR(SEARCH("Overdue",AX5)))</formula>
    </cfRule>
    <cfRule type="containsText" dxfId="2" priority="9" operator="containsText" text="Late">
      <formula>NOT(ISERROR(SEARCH("Late",AX5)))</formula>
    </cfRule>
    <cfRule type="containsText" dxfId="2" priority="10" operator="containsText" text="Missing">
      <formula>NOT(ISERROR(SEARCH("Missing",AX5)))</formula>
    </cfRule>
    <cfRule type="containsText" dxfId="2" priority="11" operator="containsText" text="Conflict">
      <formula>NOT(ISERROR(SEARCH("Conflict",AX5)))</formula>
    </cfRule>
    <cfRule type="containsText" dxfId="2" priority="12" operator="containsText" text="Clash">
      <formula>NOT(ISERROR(SEARCH("Clash",AX5)))</formula>
    </cfRule>
    <cfRule type="containsText" dxfId="2" priority="13" operator="containsText" text="Expired">
      <formula>NOT(ISERROR(SEARCH("Expired",AX5)))</formula>
    </cfRule>
    <cfRule type="containsText" dxfId="2" priority="14" operator="containsText" text="Duplicate">
      <formula>NOT(ISERROR(SEARCH("Duplicate",AX5)))</formula>
    </cfRule>
    <cfRule type="containsText" dxfId="2" priority="15" operator="containsText" text="Unpaid">
      <formula>NOT(ISERROR(SEARCH("Unpaid",AX5)))</formula>
    </cfRule>
    <cfRule type="containsText" dxfId="2" priority="16" operator="containsText" text="Loss">
      <formula>NOT(ISERROR(SEARCH("Loss",AX5)))</formula>
    </cfRule>
    <cfRule type="containsText" dxfId="2" priority="17" operator="containsText" text="Below">
      <formula>NOT(ISERROR(SEARCH("Below",AX5)))</formula>
    </cfRule>
    <cfRule type="containsText" dxfId="0" priority="18" operator="containsText" text="Action">
      <formula>NOT(ISERROR(SEARCH("Action",AX5)))</formula>
    </cfRule>
    <cfRule type="containsText" dxfId="0" priority="19" operator="containsText" text="Due">
      <formula>NOT(ISERROR(SEARCH("Due",AX5)))</formula>
    </cfRule>
    <cfRule type="containsText" dxfId="0" priority="20" operator="containsText" text="Check">
      <formula>NOT(ISERROR(SEARCH("Check",AX5)))</formula>
    </cfRule>
    <cfRule type="containsText" dxfId="0" priority="21" operator="containsText" text="Chase">
      <formula>NOT(ISERROR(SEARCH("Chase",AX5)))</formula>
    </cfRule>
    <cfRule type="containsText" dxfId="0" priority="22" operator="containsText" text="Assign">
      <formula>NOT(ISERROR(SEARCH("Assign",AX5)))</formula>
    </cfRule>
    <cfRule type="containsText" dxfId="0" priority="23" operator="containsText" text="Confirm">
      <formula>NOT(ISERROR(SEARCH("Confirm",AX5)))</formula>
    </cfRule>
    <cfRule type="containsText" dxfId="0" priority="24" operator="containsText" text="Order">
      <formula>NOT(ISERROR(SEARCH("Order",AX5)))</formula>
    </cfRule>
    <cfRule type="containsText" dxfId="3" priority="25" operator="containsText" text="Today">
      <formula>NOT(ISERROR(SEARCH("Today",AX5)))</formula>
    </cfRule>
    <cfRule type="containsText" dxfId="3" priority="26" operator="containsText" text="Upcoming">
      <formula>NOT(ISERROR(SEARCH("Upcoming",AX5)))</formula>
    </cfRule>
    <cfRule type="containsText" dxfId="3" priority="27" operator="containsText" text="Tomorrow">
      <formula>NOT(ISERROR(SEARCH("Tomorrow",AX5)))</formula>
    </cfRule>
  </conditionalFormatting>
  <dataValidations count="23">
    <dataValidation type="list" allowBlank="1" showInputMessage="1" showErrorMessage="1" sqref="A5:A84">
      <formula1>ProductIDs</formula1>
    </dataValidation>
    <dataValidation type="list" allowBlank="1" showInputMessage="1" showErrorMessage="1" sqref="C5:C84">
      <formula1>WaxList</formula1>
    </dataValidation>
    <dataValidation type="list" allowBlank="1" showInputMessage="1" showErrorMessage="1" sqref="D5:D84">
      <formula1>MaterialIDs</formula1>
    </dataValidation>
    <dataValidation type="list" allowBlank="1" showInputMessage="1" showErrorMessage="1" sqref="E5:E84">
      <formula1>VesselList</formula1>
    </dataValidation>
    <dataValidation type="decimal" allowBlank="1" showInputMessage="1" showErrorMessage="1" errorTitle="Check the value" error="Enter a number between 0 and 100000." promptTitle="Vessel size (ml)" prompt="The capacity to the brim. The fill level below turns it into the wax you actually pour." sqref="F5:F84">
      <formula1>0</formula1>
      <formula2>100000</formula2>
    </dataValidation>
    <dataValidation type="decimal" allowBlank="1" showInputMessage="1" showErrorMessage="1" errorTitle="Check the value" error="Enter a number between 0 and 1." promptTitle="Fill level" prompt="How full you pour it. 85% is typical - leave the headroom or the lid sticks." sqref="G5:G84">
      <formula1>0</formula1>
      <formula2>1</formula2>
    </dataValidation>
    <dataValidation type="decimal" allowBlank="1" showInputMessage="1" showErrorMessage="1" errorTitle="Check the value" error="Enter a number between 0.1 and 2." promptTitle="Wax density" prompt="Grams per millilitre. Soy is about 0.9. Blank uses 0.9." sqref="H5:H84">
      <formula1>0.1</formula1>
      <formula2>2</formula2>
    </dataValidation>
    <dataValidation type="decimal" allowBlank="1" showInputMessage="1" showErrorMessage="1" errorTitle="Check the value" error="Enter a number between 0 and 100000." promptTitle="Wax override (g)" prompt="If you already know the pour weight, type it and the vessel maths is ignored." sqref="I5:I84">
      <formula1>0</formula1>
      <formula2>100000</formula2>
    </dataValidation>
    <dataValidation type="decimal" allowBlank="1" showInputMessage="1" showErrorMessage="1" errorTitle="Check the value" error="Enter a number between 0 and 1." promptTitle="Melt loss" prompt="Wax left in the pitcher and on the thermometer. Blank uses the default waste on Settings." sqref="J5:J84">
      <formula1>0</formula1>
      <formula2>1</formula2>
    </dataValidation>
    <dataValidation type="list" allowBlank="1" showInputMessage="1" showErrorMessage="1" sqref="K5:K84">
      <formula1>MaterialIDs</formula1>
    </dataValidation>
    <dataValidation type="decimal" allowBlank="1" showInputMessage="1" showErrorMessage="1" errorTitle="Check the value" error="Enter a number between 0 and 0.3." promptTitle="Fragrance load" prompt="As a share of the WAX weight, which is how fragrance oil is specified. 8-10% is typical." sqref="L5:L84">
      <formula1>0</formula1>
      <formula2>0.3</formula2>
    </dataValidation>
    <dataValidation type="list" allowBlank="1" showInputMessage="1" showErrorMessage="1" sqref="M5:M84">
      <formula1>WickList</formula1>
    </dataValidation>
    <dataValidation type="whole" allowBlank="1" showInputMessage="1" showErrorMessage="1" errorTitle="Check the value" error="Enter a number between 0 and 100." sqref="N5:N84">
      <formula1>0</formula1>
      <formula2>100</formula2>
    </dataValidation>
    <dataValidation type="decimal" allowBlank="1" showInputMessage="1" showErrorMessage="1" errorTitle="Check the value" error="Enter a number between 0 and 1000." sqref="O5:O84">
      <formula1>0</formula1>
      <formula2>1000</formula2>
    </dataValidation>
    <dataValidation type="decimal" allowBlank="1" showInputMessage="1" showErrorMessage="1" errorTitle="Check the value" error="Enter a number between 0 and 10000." promptTitle="Vessel cost" prompt="Including the lid. Vessels are usually the biggest single cost in a candle." sqref="P5:P84">
      <formula1>0</formula1>
      <formula2>10000</formula2>
    </dataValidation>
    <dataValidation type="decimal" allowBlank="1" showInputMessage="1" showErrorMessage="1" errorTitle="Check the value" error="Enter a number between 0 and 10000." sqref="Q5:Q84">
      <formula1>0</formula1>
      <formula2>10000</formula2>
    </dataValidation>
    <dataValidation type="decimal" allowBlank="1" showInputMessage="1" showErrorMessage="1" errorTitle="Check the value" error="Enter a number between 0 and 10000." promptTitle="Labels &amp; warning" prompt="Front label, base warning label. The warning label is a legal requirement in most places." sqref="R5:R84">
      <formula1>0</formula1>
      <formula2>10000</formula2>
    </dataValidation>
    <dataValidation type="whole" allowBlank="1" showInputMessage="1" showErrorMessage="1" errorTitle="Check the value" error="Enter a number between 1 and 10000." promptTitle="Pour batch" prompt="How many you pour at once. The setup and clean-down time is shared across them." sqref="S5:S84">
      <formula1>1</formula1>
      <formula2>10000</formula2>
    </dataValidation>
    <dataValidation type="whole" allowBlank="1" showInputMessage="1" showErrorMessage="1" errorTitle="Check the value" error="Enter a number between 0 and 10000." promptTitle="Batch minutes" prompt="Melting, measuring, cleaning the pitcher - once per batch, not once per candle." sqref="T5:T84">
      <formula1>0</formula1>
      <formula2>10000</formula2>
    </dataValidation>
    <dataValidation type="whole" allowBlank="1" showInputMessage="1" showErrorMessage="1" errorTitle="Check the value" error="Enter a number between 0 and 10000." promptTitle="Minutes a candle" prompt="Wicking, pouring, trimming, labelling." sqref="U5:U84">
      <formula1>0</formula1>
      <formula2>10000</formula2>
    </dataValidation>
    <dataValidation type="whole" allowBlank="1" showInputMessage="1" showErrorMessage="1" errorTitle="Check the value" error="Enter a number between 0 and 365." promptTitle="Cure days" prompt="Not a cost, but it is working capital sitting on a shelf. Two weeks of cure is two weeks you cannot sell it." sqref="V5:V84">
      <formula1>0</formula1>
      <formula2>365</formula2>
    </dataValidation>
    <dataValidation type="decimal" allowBlank="1" showInputMessage="1" showErrorMessage="1" errorTitle="Check the value" error="Enter a number between 0 and 1000." sqref="W5:W84">
      <formula1>0</formula1>
      <formula2>1000</formula2>
    </dataValidation>
    <dataValidation type="decimal" allowBlank="1" showInputMessage="1" showErrorMessage="1" errorTitle="Check the value" error="Enter a number between 0 and 100000." sqref="X5:X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&amp;L&amp;"Calibri,Bold"&amp;12&amp;C&amp;"Calibri,Bold"&amp;11Candles&amp;R&amp;"Calibri,Italic"&amp;9Handmade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5E7B5A"/>
    <pageSetUpPr fitToPage="1"/>
  </sheetPr>
  <dimension ref="A1:AS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18.7109375" style="15" customWidth="1"/>
    <col min="4" max="4" width="14.7109375" style="15" customWidth="1"/>
    <col min="5" max="5" width="10.7109375" style="52" customWidth="1"/>
    <col min="6" max="6" width="12.7109375" style="46" customWidth="1"/>
    <col min="7" max="7" width="11.7109375" style="21" customWidth="1"/>
    <col min="8" max="8" width="11.7109375" style="19" customWidth="1"/>
    <col min="9" max="9" width="12.7109375" style="46" customWidth="1"/>
    <col min="10" max="10" width="11.7109375" style="21" customWidth="1"/>
    <col min="11" max="11" width="11.7109375" style="18" customWidth="1"/>
    <col min="12" max="12" width="10.7109375" style="18" customWidth="1"/>
    <col min="13" max="13" width="14.7109375" style="18" customWidth="1"/>
    <col min="14" max="14" width="12.7109375" style="18" customWidth="1"/>
    <col min="15" max="15" width="12.7109375" style="16" customWidth="1"/>
    <col min="16" max="16" width="12.7109375" style="16" customWidth="1"/>
    <col min="17" max="17" width="13.7109375" style="16" customWidth="1"/>
    <col min="18" max="18" width="13.7109375" style="16" customWidth="1"/>
    <col min="19" max="19" width="14.7109375" style="16" customWidth="1"/>
    <col min="20" max="20" width="11.7109375" style="18" customWidth="1"/>
    <col min="21" max="21" width="11.7109375" style="18" customWidth="1"/>
    <col min="22" max="22" width="22.7109375" style="40" customWidth="1"/>
    <col min="23" max="23" width="10.7109375" style="41" hidden="1" customWidth="1"/>
    <col min="24" max="24" width="9.7109375" style="33" hidden="1" customWidth="1"/>
    <col min="25" max="25" width="13.7109375" style="36" customWidth="1"/>
    <col min="26" max="26" width="11.7109375" style="20" customWidth="1"/>
    <col min="27" max="27" width="11.7109375" style="20" customWidth="1"/>
    <col min="28" max="28" width="11.7109375" style="20" customWidth="1"/>
    <col min="29" max="29" width="10.7109375" style="36" customWidth="1"/>
    <col min="30" max="30" width="11.7109375" style="20" hidden="1" customWidth="1"/>
    <col min="31" max="31" width="11.7109375" style="20" customWidth="1"/>
    <col min="32" max="32" width="10.7109375" style="20" hidden="1" customWidth="1"/>
    <col min="33" max="33" width="12.7109375" style="20" hidden="1" customWidth="1"/>
    <col min="34" max="34" width="12.7109375" style="20" customWidth="1"/>
    <col min="35" max="35" width="9.7109375" style="33" hidden="1" customWidth="1"/>
    <col min="36" max="36" width="9.7109375" style="20" hidden="1" customWidth="1"/>
    <col min="37" max="37" width="9.7109375" style="41" hidden="1" customWidth="1"/>
    <col min="38" max="38" width="10.7109375" style="20" hidden="1" customWidth="1"/>
    <col min="39" max="39" width="13.7109375" style="20" customWidth="1"/>
    <col min="40" max="40" width="11.7109375" style="20" customWidth="1"/>
    <col min="41" max="41" width="11.7109375" style="20" customWidth="1"/>
    <col min="42" max="42" width="9.7109375" style="33" customWidth="1"/>
    <col min="43" max="43" width="9.7109375" style="41" hidden="1" customWidth="1"/>
    <col min="44" max="44" width="12.7109375" style="20" customWidth="1"/>
    <col min="45" max="45" width="30.7109375" style="43" customWidth="1"/>
  </cols>
  <sheetData>
    <row r="1" spans="1:45" ht="34" customHeight="1">
      <c r="A1" s="2" t="s">
        <v>1358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3" t="s">
        <v>1</v>
      </c>
      <c r="AR1" s="3"/>
      <c r="AS1" s="3"/>
    </row>
    <row r="2" spans="1:45" ht="18" customHeight="1">
      <c r="A2" s="4" t="s">
        <v>1359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1360</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row>
    <row r="4" spans="1:45" ht="30" customHeight="1">
      <c r="A4" s="8" t="s">
        <v>1229</v>
      </c>
      <c r="B4" s="8" t="s">
        <v>1361</v>
      </c>
      <c r="C4" s="9" t="s">
        <v>569</v>
      </c>
      <c r="D4" s="9" t="s">
        <v>1232</v>
      </c>
      <c r="E4" s="9" t="s">
        <v>1245</v>
      </c>
      <c r="F4" s="9" t="s">
        <v>1362</v>
      </c>
      <c r="G4" s="9" t="s">
        <v>1363</v>
      </c>
      <c r="H4" s="9" t="s">
        <v>1364</v>
      </c>
      <c r="I4" s="9" t="s">
        <v>1365</v>
      </c>
      <c r="J4" s="9" t="s">
        <v>1366</v>
      </c>
      <c r="K4" s="9" t="s">
        <v>1367</v>
      </c>
      <c r="L4" s="9" t="s">
        <v>1368</v>
      </c>
      <c r="M4" s="9" t="s">
        <v>1369</v>
      </c>
      <c r="N4" s="9" t="s">
        <v>1370</v>
      </c>
      <c r="O4" s="9" t="s">
        <v>1371</v>
      </c>
      <c r="P4" s="9" t="s">
        <v>1372</v>
      </c>
      <c r="Q4" s="9" t="s">
        <v>1244</v>
      </c>
      <c r="R4" s="9" t="s">
        <v>1373</v>
      </c>
      <c r="S4" s="9" t="s">
        <v>1374</v>
      </c>
      <c r="T4" s="9" t="s">
        <v>767</v>
      </c>
      <c r="U4" s="9" t="s">
        <v>461</v>
      </c>
      <c r="V4" s="9" t="s">
        <v>466</v>
      </c>
      <c r="W4" s="9" t="s">
        <v>1375</v>
      </c>
      <c r="X4" s="9" t="s">
        <v>588</v>
      </c>
      <c r="Y4" s="9" t="s">
        <v>1376</v>
      </c>
      <c r="Z4" s="9" t="s">
        <v>1377</v>
      </c>
      <c r="AA4" s="9" t="s">
        <v>1378</v>
      </c>
      <c r="AB4" s="9" t="s">
        <v>17</v>
      </c>
      <c r="AC4" s="9" t="s">
        <v>470</v>
      </c>
      <c r="AD4" s="9" t="s">
        <v>771</v>
      </c>
      <c r="AE4" s="9" t="s">
        <v>36</v>
      </c>
      <c r="AF4" s="9" t="s">
        <v>1253</v>
      </c>
      <c r="AG4" s="9" t="s">
        <v>1379</v>
      </c>
      <c r="AH4" s="9" t="s">
        <v>1145</v>
      </c>
      <c r="AI4" s="9" t="s">
        <v>443</v>
      </c>
      <c r="AJ4" s="9" t="s">
        <v>481</v>
      </c>
      <c r="AK4" s="9" t="s">
        <v>1055</v>
      </c>
      <c r="AL4" s="9" t="s">
        <v>1255</v>
      </c>
      <c r="AM4" s="9" t="s">
        <v>487</v>
      </c>
      <c r="AN4" s="9" t="s">
        <v>488</v>
      </c>
      <c r="AO4" s="9" t="s">
        <v>421</v>
      </c>
      <c r="AP4" s="9" t="s">
        <v>42</v>
      </c>
      <c r="AQ4" s="9" t="s">
        <v>471</v>
      </c>
      <c r="AR4" s="9" t="s">
        <v>492</v>
      </c>
      <c r="AS4" s="9" t="s">
        <v>729</v>
      </c>
    </row>
    <row r="5" spans="1:45">
      <c r="A5" s="46" t="s">
        <v>1380</v>
      </c>
      <c r="B5" s="15" t="s">
        <v>543</v>
      </c>
      <c r="C5" s="15" t="s">
        <v>1381</v>
      </c>
      <c r="D5" s="15" t="s">
        <v>1382</v>
      </c>
      <c r="F5" s="46" t="s">
        <v>742</v>
      </c>
      <c r="G5" s="21">
        <v>180</v>
      </c>
      <c r="H5" s="19">
        <v>0.12</v>
      </c>
      <c r="K5" s="18">
        <v>0.4</v>
      </c>
      <c r="L5" s="18">
        <v>0.35</v>
      </c>
      <c r="M5" s="18">
        <v>1.2</v>
      </c>
      <c r="N5" s="18">
        <v>0.24</v>
      </c>
      <c r="O5" s="16">
        <v>25</v>
      </c>
      <c r="P5" s="16">
        <v>55</v>
      </c>
      <c r="Q5" s="16">
        <v>20</v>
      </c>
      <c r="R5" s="16">
        <v>10</v>
      </c>
      <c r="S5" s="16">
        <v>0</v>
      </c>
      <c r="U5" s="18">
        <v>148</v>
      </c>
      <c r="V5" s="40" t="s">
        <v>1383</v>
      </c>
      <c r="W5" s="41">
        <f>IF(B5="","",IF(E5="",1,E5))</f>
        <v>0</v>
      </c>
      <c r="X5" s="33">
        <f>IF(B5="","",IF(H5="",DefaultWaste,H5))</f>
        <v>0</v>
      </c>
      <c r="Y5" s="36">
        <f>IF(B5="","",ROUND(IF(G5="",0,G5)*W5*(1+X5),1))</f>
        <v>0</v>
      </c>
      <c r="Z5" s="20">
        <f>IF(B5="","",ROUND(Y5*IFERROR(INDEX(Materials!$V$5:$V$254,MATCH(F5,Materials!$A$5:$A$254,0)),0),2))</f>
        <v>0</v>
      </c>
      <c r="AA5" s="20">
        <f>IF(B5="","",ROUND(IF(J5="",0,J5)*W5*(1+X5)*IFERROR(INDEX(Materials!$V$5:$V$254,MATCH(I5,Materials!$A$5:$A$254,0)),0),2))</f>
        <v>0</v>
      </c>
      <c r="AB5" s="20">
        <f>IF(B5="","",ROUND(Z5+AA5+IF(K5="",0,K5)+IF(L5="",0,L5)+IF(M5="",0,M5)+IF(N5="",0,N5),2))</f>
        <v>0</v>
      </c>
      <c r="AC5" s="36">
        <f>IF(B5="","",ROUND((IF(O5="",0,O5)+IF(P5="",0,P5)+IF(Q5="",0,Q5)+IF(R5="",0,R5)+IF(S5="",0,S5))*W5,1))</f>
        <v>0</v>
      </c>
      <c r="AD5" s="20">
        <f>IF(B5="","",IF(T5&lt;&gt;"",T5,LaborCostHour))</f>
        <v>0</v>
      </c>
      <c r="AE5" s="20">
        <f>IF(B5="","",ROUND(AC5/60*AD5,2))</f>
        <v>0</v>
      </c>
      <c r="AF5" s="20">
        <f>IF(B5="","",ROUND(AC5/60*SuppliesPerHour,2))</f>
        <v>0</v>
      </c>
      <c r="AG5" s="20">
        <f>IF(B5="","",ROUND(IF(G5="",0,G5)*W5*X5*IFERROR(INDEX(Materials!$V$5:$V$254,MATCH(F5,Materials!$A$5:$A$254,0)),0),2))</f>
        <v>0</v>
      </c>
      <c r="AH5" s="20">
        <f>IF(B5="","",ROUND(AB5+AE5+AF5,2))</f>
        <v>0</v>
      </c>
      <c r="AI5" s="33">
        <f>IF(B5="","",IFERROR(INDEX(Channels!$S$5:$S$18,MATCH(DefaultChannel,Channels!$A$5:$A$18,0)),0))</f>
        <v>0</v>
      </c>
      <c r="AJ5" s="20">
        <f>IF(B5="","",IFERROR(INDEX(Channels!$T$5:$T$18,MATCH(DefaultChannel,Channels!$A$5:$A$18,0)),0))</f>
        <v>0</v>
      </c>
      <c r="AK5" s="41">
        <f>IF(B5="","",1-TargetRetailMargin-AI5)</f>
        <v>0</v>
      </c>
      <c r="AL5" s="20">
        <f>IF(B5="","",IF(AK5&lt;=0,"",(AH5+AJ5)/AK5))</f>
        <v>0</v>
      </c>
      <c r="AM5" s="20">
        <f>IF(B5="","",IF(AL5="","Check the settings",ROUND(IF(RoundingRule="None",AL5,IF(RoundingRule="Nearest 0.99",MAX(0.99,CEILING(AL5,1)-0.01),IF(RoundingRule="Nearest 0.95",MAX(0.95,CEILING(AL5,1)-0.05),IF(RoundingRule="Nearest 0.50",CEILING(AL5,0.5),IF(RoundingRule="Nearest 1",CEILING(AL5,1),IF(RoundingRule="Nearest 5",CEILING(AL5,5),IF(RoundingRule="Up to whole 1",CEILING(AL5,1),IF(RoundingRule="Up to whole 5",CEILING(AL5,5),ROUND(AL5,2))))))))),2)))</f>
        <v>0</v>
      </c>
      <c r="AN5" s="20">
        <f>IF(B5="","",IF(U5&lt;&gt;"",U5,IF(ISNUMBER(AM5),AM5,"")))</f>
        <v>0</v>
      </c>
      <c r="AO5" s="20">
        <f>IF(B5="","",IF(AN5="","",ROUND(AN5-AH5-(AN5*AI5+AJ5),2)))</f>
        <v>0</v>
      </c>
      <c r="AP5" s="33">
        <f>IF(B5="","",IF(OR(AN5="",AN5=0),"",AO5/AN5))</f>
        <v>0</v>
      </c>
      <c r="AQ5" s="41">
        <f>IF(B5="","",ROUND(AC5/60,3))</f>
        <v>0</v>
      </c>
      <c r="AR5" s="20">
        <f>IF(B5="","",IF(OR(AQ5=0,AQ5="",AO5=""),"",ROUND((AO5+AE5)/AQ5,2)))</f>
        <v>0</v>
      </c>
      <c r="AS5" s="43">
        <f>IF(B5="","",IF(AND(A5&lt;&gt;"",ISERROR(MATCH(A5,Products!$A$5:$A$304,0))),"Check - no such product ID",IF(AB5=0,"Add - no material cost yet",IF(AC5=0,"Add - how long does it take?",IF(AND(A5&lt;&gt;"",COUNTIFS('Material Usage'!$A$5:$A$904,A5)&gt;0),"Check - this product also has a bill of materials",IF(AND(A5&lt;&gt;"",COUNTIFS(Labor!$A$5:$A$304,A5)&gt;0),"Check - this product also has labour lines",IF(AR5&lt;MinimumWage,"Below - pays under minimum wage","OK")))))) )</f>
        <v>0</v>
      </c>
    </row>
    <row r="6" spans="1:45">
      <c r="B6" s="15" t="s">
        <v>1384</v>
      </c>
      <c r="C6" s="15" t="s">
        <v>1385</v>
      </c>
      <c r="D6" s="15" t="s">
        <v>1386</v>
      </c>
      <c r="E6" s="52">
        <v>0.55</v>
      </c>
      <c r="F6" s="46" t="s">
        <v>742</v>
      </c>
      <c r="G6" s="21">
        <v>95</v>
      </c>
      <c r="H6" s="19">
        <v>0.15</v>
      </c>
      <c r="I6" s="46" t="s">
        <v>744</v>
      </c>
      <c r="J6" s="21">
        <v>60</v>
      </c>
      <c r="K6" s="18">
        <v>0.2</v>
      </c>
      <c r="L6" s="18">
        <v>0.25</v>
      </c>
      <c r="M6" s="18">
        <v>0.9</v>
      </c>
      <c r="N6" s="18">
        <v>0.24</v>
      </c>
      <c r="O6" s="16">
        <v>20</v>
      </c>
      <c r="P6" s="16">
        <v>48</v>
      </c>
      <c r="Q6" s="16">
        <v>15</v>
      </c>
      <c r="R6" s="16">
        <v>8</v>
      </c>
      <c r="S6" s="16">
        <v>0</v>
      </c>
      <c r="U6" s="18">
        <v>85</v>
      </c>
      <c r="V6" s="40" t="s">
        <v>1387</v>
      </c>
      <c r="W6" s="41">
        <f>IF(B6="","",IF(E6="",1,E6))</f>
        <v>0</v>
      </c>
      <c r="X6" s="33">
        <f>IF(B6="","",IF(H6="",DefaultWaste,H6))</f>
        <v>0</v>
      </c>
      <c r="Y6" s="36">
        <f>IF(B6="","",ROUND(IF(G6="",0,G6)*W6*(1+X6),1))</f>
        <v>0</v>
      </c>
      <c r="Z6" s="20">
        <f>IF(B6="","",ROUND(Y6*IFERROR(INDEX(Materials!$V$5:$V$254,MATCH(F6,Materials!$A$5:$A$254,0)),0),2))</f>
        <v>0</v>
      </c>
      <c r="AA6" s="20">
        <f>IF(B6="","",ROUND(IF(J6="",0,J6)*W6*(1+X6)*IFERROR(INDEX(Materials!$V$5:$V$254,MATCH(I6,Materials!$A$5:$A$254,0)),0),2))</f>
        <v>0</v>
      </c>
      <c r="AB6" s="20">
        <f>IF(B6="","",ROUND(Z6+AA6+IF(K6="",0,K6)+IF(L6="",0,L6)+IF(M6="",0,M6)+IF(N6="",0,N6),2))</f>
        <v>0</v>
      </c>
      <c r="AC6" s="36">
        <f>IF(B6="","",ROUND((IF(O6="",0,O6)+IF(P6="",0,P6)+IF(Q6="",0,Q6)+IF(R6="",0,R6)+IF(S6="",0,S6))*W6,1))</f>
        <v>0</v>
      </c>
      <c r="AD6" s="20">
        <f>IF(B6="","",IF(T6&lt;&gt;"",T6,LaborCostHour))</f>
        <v>0</v>
      </c>
      <c r="AE6" s="20">
        <f>IF(B6="","",ROUND(AC6/60*AD6,2))</f>
        <v>0</v>
      </c>
      <c r="AF6" s="20">
        <f>IF(B6="","",ROUND(AC6/60*SuppliesPerHour,2))</f>
        <v>0</v>
      </c>
      <c r="AG6" s="20">
        <f>IF(B6="","",ROUND(IF(G6="",0,G6)*W6*X6*IFERROR(INDEX(Materials!$V$5:$V$254,MATCH(F6,Materials!$A$5:$A$254,0)),0),2))</f>
        <v>0</v>
      </c>
      <c r="AH6" s="20">
        <f>IF(B6="","",ROUND(AB6+AE6+AF6,2))</f>
        <v>0</v>
      </c>
      <c r="AI6" s="33">
        <f>IF(B6="","",IFERROR(INDEX(Channels!$S$5:$S$18,MATCH(DefaultChannel,Channels!$A$5:$A$18,0)),0))</f>
        <v>0</v>
      </c>
      <c r="AJ6" s="20">
        <f>IF(B6="","",IFERROR(INDEX(Channels!$T$5:$T$18,MATCH(DefaultChannel,Channels!$A$5:$A$18,0)),0))</f>
        <v>0</v>
      </c>
      <c r="AK6" s="41">
        <f>IF(B6="","",1-TargetRetailMargin-AI6)</f>
        <v>0</v>
      </c>
      <c r="AL6" s="20">
        <f>IF(B6="","",IF(AK6&lt;=0,"",(AH6+AJ6)/AK6))</f>
        <v>0</v>
      </c>
      <c r="AM6" s="20">
        <f>IF(B6="","",IF(AL6="","Check the settings",ROUND(IF(RoundingRule="None",AL6,IF(RoundingRule="Nearest 0.99",MAX(0.99,CEILING(AL6,1)-0.01),IF(RoundingRule="Nearest 0.95",MAX(0.95,CEILING(AL6,1)-0.05),IF(RoundingRule="Nearest 0.50",CEILING(AL6,0.5),IF(RoundingRule="Nearest 1",CEILING(AL6,1),IF(RoundingRule="Nearest 5",CEILING(AL6,5),IF(RoundingRule="Up to whole 1",CEILING(AL6,1),IF(RoundingRule="Up to whole 5",CEILING(AL6,5),ROUND(AL6,2))))))))),2)))</f>
        <v>0</v>
      </c>
      <c r="AN6" s="20">
        <f>IF(B6="","",IF(U6&lt;&gt;"",U6,IF(ISNUMBER(AM6),AM6,"")))</f>
        <v>0</v>
      </c>
      <c r="AO6" s="20">
        <f>IF(B6="","",IF(AN6="","",ROUND(AN6-AH6-(AN6*AI6+AJ6),2)))</f>
        <v>0</v>
      </c>
      <c r="AP6" s="33">
        <f>IF(B6="","",IF(OR(AN6="",AN6=0),"",AO6/AN6))</f>
        <v>0</v>
      </c>
      <c r="AQ6" s="41">
        <f>IF(B6="","",ROUND(AC6/60,3))</f>
        <v>0</v>
      </c>
      <c r="AR6" s="20">
        <f>IF(B6="","",IF(OR(AQ6=0,AQ6="",AO6=""),"",ROUND((AO6+AE6)/AQ6,2)))</f>
        <v>0</v>
      </c>
      <c r="AS6" s="43">
        <f>IF(B6="","",IF(AND(A6&lt;&gt;"",ISERROR(MATCH(A6,Products!$A$5:$A$304,0))),"Check - no such product ID",IF(AB6=0,"Add - no material cost yet",IF(AC6=0,"Add - how long does it take?",IF(AND(A6&lt;&gt;"",COUNTIFS('Material Usage'!$A$5:$A$904,A6)&gt;0),"Check - this product also has a bill of materials",IF(AND(A6&lt;&gt;"",COUNTIFS(Labor!$A$5:$A$304,A6)&gt;0),"Check - this product also has labour lines",IF(AR6&lt;MinimumWage,"Below - pays under minimum wage","OK")))))) )</f>
        <v>0</v>
      </c>
    </row>
    <row r="7" spans="1:45">
      <c r="W7" s="41">
        <f>IF(B7="","",IF(E7="",1,E7))</f>
        <v>0</v>
      </c>
      <c r="X7" s="33">
        <f>IF(B7="","",IF(H7="",DefaultWaste,H7))</f>
        <v>0</v>
      </c>
      <c r="Y7" s="36">
        <f>IF(B7="","",ROUND(IF(G7="",0,G7)*W7*(1+X7),1))</f>
        <v>0</v>
      </c>
      <c r="Z7" s="20">
        <f>IF(B7="","",ROUND(Y7*IFERROR(INDEX(Materials!$V$5:$V$254,MATCH(F7,Materials!$A$5:$A$254,0)),0),2))</f>
        <v>0</v>
      </c>
      <c r="AA7" s="20">
        <f>IF(B7="","",ROUND(IF(J7="",0,J7)*W7*(1+X7)*IFERROR(INDEX(Materials!$V$5:$V$254,MATCH(I7,Materials!$A$5:$A$254,0)),0),2))</f>
        <v>0</v>
      </c>
      <c r="AB7" s="20">
        <f>IF(B7="","",ROUND(Z7+AA7+IF(K7="",0,K7)+IF(L7="",0,L7)+IF(M7="",0,M7)+IF(N7="",0,N7),2))</f>
        <v>0</v>
      </c>
      <c r="AC7" s="36">
        <f>IF(B7="","",ROUND((IF(O7="",0,O7)+IF(P7="",0,P7)+IF(Q7="",0,Q7)+IF(R7="",0,R7)+IF(S7="",0,S7))*W7,1))</f>
        <v>0</v>
      </c>
      <c r="AD7" s="20">
        <f>IF(B7="","",IF(T7&lt;&gt;"",T7,LaborCostHour))</f>
        <v>0</v>
      </c>
      <c r="AE7" s="20">
        <f>IF(B7="","",ROUND(AC7/60*AD7,2))</f>
        <v>0</v>
      </c>
      <c r="AF7" s="20">
        <f>IF(B7="","",ROUND(AC7/60*SuppliesPerHour,2))</f>
        <v>0</v>
      </c>
      <c r="AG7" s="20">
        <f>IF(B7="","",ROUND(IF(G7="",0,G7)*W7*X7*IFERROR(INDEX(Materials!$V$5:$V$254,MATCH(F7,Materials!$A$5:$A$254,0)),0),2))</f>
        <v>0</v>
      </c>
      <c r="AH7" s="20">
        <f>IF(B7="","",ROUND(AB7+AE7+AF7,2))</f>
        <v>0</v>
      </c>
      <c r="AI7" s="33">
        <f>IF(B7="","",IFERROR(INDEX(Channels!$S$5:$S$18,MATCH(DefaultChannel,Channels!$A$5:$A$18,0)),0))</f>
        <v>0</v>
      </c>
      <c r="AJ7" s="20">
        <f>IF(B7="","",IFERROR(INDEX(Channels!$T$5:$T$18,MATCH(DefaultChannel,Channels!$A$5:$A$18,0)),0))</f>
        <v>0</v>
      </c>
      <c r="AK7" s="41">
        <f>IF(B7="","",1-TargetRetailMargin-AI7)</f>
        <v>0</v>
      </c>
      <c r="AL7" s="20">
        <f>IF(B7="","",IF(AK7&lt;=0,"",(AH7+AJ7)/AK7))</f>
        <v>0</v>
      </c>
      <c r="AM7" s="20">
        <f>IF(B7="","",IF(AL7="","Check the settings",ROUND(IF(RoundingRule="None",AL7,IF(RoundingRule="Nearest 0.99",MAX(0.99,CEILING(AL7,1)-0.01),IF(RoundingRule="Nearest 0.95",MAX(0.95,CEILING(AL7,1)-0.05),IF(RoundingRule="Nearest 0.50",CEILING(AL7,0.5),IF(RoundingRule="Nearest 1",CEILING(AL7,1),IF(RoundingRule="Nearest 5",CEILING(AL7,5),IF(RoundingRule="Up to whole 1",CEILING(AL7,1),IF(RoundingRule="Up to whole 5",CEILING(AL7,5),ROUND(AL7,2))))))))),2)))</f>
        <v>0</v>
      </c>
      <c r="AN7" s="20">
        <f>IF(B7="","",IF(U7&lt;&gt;"",U7,IF(ISNUMBER(AM7),AM7,"")))</f>
        <v>0</v>
      </c>
      <c r="AO7" s="20">
        <f>IF(B7="","",IF(AN7="","",ROUND(AN7-AH7-(AN7*AI7+AJ7),2)))</f>
        <v>0</v>
      </c>
      <c r="AP7" s="33">
        <f>IF(B7="","",IF(OR(AN7="",AN7=0),"",AO7/AN7))</f>
        <v>0</v>
      </c>
      <c r="AQ7" s="41">
        <f>IF(B7="","",ROUND(AC7/60,3))</f>
        <v>0</v>
      </c>
      <c r="AR7" s="20">
        <f>IF(B7="","",IF(OR(AQ7=0,AQ7="",AO7=""),"",ROUND((AO7+AE7)/AQ7,2)))</f>
        <v>0</v>
      </c>
      <c r="AS7" s="43">
        <f>IF(B7="","",IF(AND(A7&lt;&gt;"",ISERROR(MATCH(A7,Products!$A$5:$A$304,0))),"Check - no such product ID",IF(AB7=0,"Add - no material cost yet",IF(AC7=0,"Add - how long does it take?",IF(AND(A7&lt;&gt;"",COUNTIFS('Material Usage'!$A$5:$A$904,A7)&gt;0),"Check - this product also has a bill of materials",IF(AND(A7&lt;&gt;"",COUNTIFS(Labor!$A$5:$A$304,A7)&gt;0),"Check - this product also has labour lines",IF(AR7&lt;MinimumWage,"Below - pays under minimum wage","OK")))))) )</f>
        <v>0</v>
      </c>
    </row>
    <row r="8" spans="1:45">
      <c r="W8" s="41">
        <f>IF(B8="","",IF(E8="",1,E8))</f>
        <v>0</v>
      </c>
      <c r="X8" s="33">
        <f>IF(B8="","",IF(H8="",DefaultWaste,H8))</f>
        <v>0</v>
      </c>
      <c r="Y8" s="36">
        <f>IF(B8="","",ROUND(IF(G8="",0,G8)*W8*(1+X8),1))</f>
        <v>0</v>
      </c>
      <c r="Z8" s="20">
        <f>IF(B8="","",ROUND(Y8*IFERROR(INDEX(Materials!$V$5:$V$254,MATCH(F8,Materials!$A$5:$A$254,0)),0),2))</f>
        <v>0</v>
      </c>
      <c r="AA8" s="20">
        <f>IF(B8="","",ROUND(IF(J8="",0,J8)*W8*(1+X8)*IFERROR(INDEX(Materials!$V$5:$V$254,MATCH(I8,Materials!$A$5:$A$254,0)),0),2))</f>
        <v>0</v>
      </c>
      <c r="AB8" s="20">
        <f>IF(B8="","",ROUND(Z8+AA8+IF(K8="",0,K8)+IF(L8="",0,L8)+IF(M8="",0,M8)+IF(N8="",0,N8),2))</f>
        <v>0</v>
      </c>
      <c r="AC8" s="36">
        <f>IF(B8="","",ROUND((IF(O8="",0,O8)+IF(P8="",0,P8)+IF(Q8="",0,Q8)+IF(R8="",0,R8)+IF(S8="",0,S8))*W8,1))</f>
        <v>0</v>
      </c>
      <c r="AD8" s="20">
        <f>IF(B8="","",IF(T8&lt;&gt;"",T8,LaborCostHour))</f>
        <v>0</v>
      </c>
      <c r="AE8" s="20">
        <f>IF(B8="","",ROUND(AC8/60*AD8,2))</f>
        <v>0</v>
      </c>
      <c r="AF8" s="20">
        <f>IF(B8="","",ROUND(AC8/60*SuppliesPerHour,2))</f>
        <v>0</v>
      </c>
      <c r="AG8" s="20">
        <f>IF(B8="","",ROUND(IF(G8="",0,G8)*W8*X8*IFERROR(INDEX(Materials!$V$5:$V$254,MATCH(F8,Materials!$A$5:$A$254,0)),0),2))</f>
        <v>0</v>
      </c>
      <c r="AH8" s="20">
        <f>IF(B8="","",ROUND(AB8+AE8+AF8,2))</f>
        <v>0</v>
      </c>
      <c r="AI8" s="33">
        <f>IF(B8="","",IFERROR(INDEX(Channels!$S$5:$S$18,MATCH(DefaultChannel,Channels!$A$5:$A$18,0)),0))</f>
        <v>0</v>
      </c>
      <c r="AJ8" s="20">
        <f>IF(B8="","",IFERROR(INDEX(Channels!$T$5:$T$18,MATCH(DefaultChannel,Channels!$A$5:$A$18,0)),0))</f>
        <v>0</v>
      </c>
      <c r="AK8" s="41">
        <f>IF(B8="","",1-TargetRetailMargin-AI8)</f>
        <v>0</v>
      </c>
      <c r="AL8" s="20">
        <f>IF(B8="","",IF(AK8&lt;=0,"",(AH8+AJ8)/AK8))</f>
        <v>0</v>
      </c>
      <c r="AM8" s="20">
        <f>IF(B8="","",IF(AL8="","Check the settings",ROUND(IF(RoundingRule="None",AL8,IF(RoundingRule="Nearest 0.99",MAX(0.99,CEILING(AL8,1)-0.01),IF(RoundingRule="Nearest 0.95",MAX(0.95,CEILING(AL8,1)-0.05),IF(RoundingRule="Nearest 0.50",CEILING(AL8,0.5),IF(RoundingRule="Nearest 1",CEILING(AL8,1),IF(RoundingRule="Nearest 5",CEILING(AL8,5),IF(RoundingRule="Up to whole 1",CEILING(AL8,1),IF(RoundingRule="Up to whole 5",CEILING(AL8,5),ROUND(AL8,2))))))))),2)))</f>
        <v>0</v>
      </c>
      <c r="AN8" s="20">
        <f>IF(B8="","",IF(U8&lt;&gt;"",U8,IF(ISNUMBER(AM8),AM8,"")))</f>
        <v>0</v>
      </c>
      <c r="AO8" s="20">
        <f>IF(B8="","",IF(AN8="","",ROUND(AN8-AH8-(AN8*AI8+AJ8),2)))</f>
        <v>0</v>
      </c>
      <c r="AP8" s="33">
        <f>IF(B8="","",IF(OR(AN8="",AN8=0),"",AO8/AN8))</f>
        <v>0</v>
      </c>
      <c r="AQ8" s="41">
        <f>IF(B8="","",ROUND(AC8/60,3))</f>
        <v>0</v>
      </c>
      <c r="AR8" s="20">
        <f>IF(B8="","",IF(OR(AQ8=0,AQ8="",AO8=""),"",ROUND((AO8+AE8)/AQ8,2)))</f>
        <v>0</v>
      </c>
      <c r="AS8" s="43">
        <f>IF(B8="","",IF(AND(A8&lt;&gt;"",ISERROR(MATCH(A8,Products!$A$5:$A$304,0))),"Check - no such product ID",IF(AB8=0,"Add - no material cost yet",IF(AC8=0,"Add - how long does it take?",IF(AND(A8&lt;&gt;"",COUNTIFS('Material Usage'!$A$5:$A$904,A8)&gt;0),"Check - this product also has a bill of materials",IF(AND(A8&lt;&gt;"",COUNTIFS(Labor!$A$5:$A$304,A8)&gt;0),"Check - this product also has labour lines",IF(AR8&lt;MinimumWage,"Below - pays under minimum wage","OK")))))) )</f>
        <v>0</v>
      </c>
    </row>
    <row r="9" spans="1:45">
      <c r="W9" s="41">
        <f>IF(B9="","",IF(E9="",1,E9))</f>
        <v>0</v>
      </c>
      <c r="X9" s="33">
        <f>IF(B9="","",IF(H9="",DefaultWaste,H9))</f>
        <v>0</v>
      </c>
      <c r="Y9" s="36">
        <f>IF(B9="","",ROUND(IF(G9="",0,G9)*W9*(1+X9),1))</f>
        <v>0</v>
      </c>
      <c r="Z9" s="20">
        <f>IF(B9="","",ROUND(Y9*IFERROR(INDEX(Materials!$V$5:$V$254,MATCH(F9,Materials!$A$5:$A$254,0)),0),2))</f>
        <v>0</v>
      </c>
      <c r="AA9" s="20">
        <f>IF(B9="","",ROUND(IF(J9="",0,J9)*W9*(1+X9)*IFERROR(INDEX(Materials!$V$5:$V$254,MATCH(I9,Materials!$A$5:$A$254,0)),0),2))</f>
        <v>0</v>
      </c>
      <c r="AB9" s="20">
        <f>IF(B9="","",ROUND(Z9+AA9+IF(K9="",0,K9)+IF(L9="",0,L9)+IF(M9="",0,M9)+IF(N9="",0,N9),2))</f>
        <v>0</v>
      </c>
      <c r="AC9" s="36">
        <f>IF(B9="","",ROUND((IF(O9="",0,O9)+IF(P9="",0,P9)+IF(Q9="",0,Q9)+IF(R9="",0,R9)+IF(S9="",0,S9))*W9,1))</f>
        <v>0</v>
      </c>
      <c r="AD9" s="20">
        <f>IF(B9="","",IF(T9&lt;&gt;"",T9,LaborCostHour))</f>
        <v>0</v>
      </c>
      <c r="AE9" s="20">
        <f>IF(B9="","",ROUND(AC9/60*AD9,2))</f>
        <v>0</v>
      </c>
      <c r="AF9" s="20">
        <f>IF(B9="","",ROUND(AC9/60*SuppliesPerHour,2))</f>
        <v>0</v>
      </c>
      <c r="AG9" s="20">
        <f>IF(B9="","",ROUND(IF(G9="",0,G9)*W9*X9*IFERROR(INDEX(Materials!$V$5:$V$254,MATCH(F9,Materials!$A$5:$A$254,0)),0),2))</f>
        <v>0</v>
      </c>
      <c r="AH9" s="20">
        <f>IF(B9="","",ROUND(AB9+AE9+AF9,2))</f>
        <v>0</v>
      </c>
      <c r="AI9" s="33">
        <f>IF(B9="","",IFERROR(INDEX(Channels!$S$5:$S$18,MATCH(DefaultChannel,Channels!$A$5:$A$18,0)),0))</f>
        <v>0</v>
      </c>
      <c r="AJ9" s="20">
        <f>IF(B9="","",IFERROR(INDEX(Channels!$T$5:$T$18,MATCH(DefaultChannel,Channels!$A$5:$A$18,0)),0))</f>
        <v>0</v>
      </c>
      <c r="AK9" s="41">
        <f>IF(B9="","",1-TargetRetailMargin-AI9)</f>
        <v>0</v>
      </c>
      <c r="AL9" s="20">
        <f>IF(B9="","",IF(AK9&lt;=0,"",(AH9+AJ9)/AK9))</f>
        <v>0</v>
      </c>
      <c r="AM9" s="20">
        <f>IF(B9="","",IF(AL9="","Check the settings",ROUND(IF(RoundingRule="None",AL9,IF(RoundingRule="Nearest 0.99",MAX(0.99,CEILING(AL9,1)-0.01),IF(RoundingRule="Nearest 0.95",MAX(0.95,CEILING(AL9,1)-0.05),IF(RoundingRule="Nearest 0.50",CEILING(AL9,0.5),IF(RoundingRule="Nearest 1",CEILING(AL9,1),IF(RoundingRule="Nearest 5",CEILING(AL9,5),IF(RoundingRule="Up to whole 1",CEILING(AL9,1),IF(RoundingRule="Up to whole 5",CEILING(AL9,5),ROUND(AL9,2))))))))),2)))</f>
        <v>0</v>
      </c>
      <c r="AN9" s="20">
        <f>IF(B9="","",IF(U9&lt;&gt;"",U9,IF(ISNUMBER(AM9),AM9,"")))</f>
        <v>0</v>
      </c>
      <c r="AO9" s="20">
        <f>IF(B9="","",IF(AN9="","",ROUND(AN9-AH9-(AN9*AI9+AJ9),2)))</f>
        <v>0</v>
      </c>
      <c r="AP9" s="33">
        <f>IF(B9="","",IF(OR(AN9="",AN9=0),"",AO9/AN9))</f>
        <v>0</v>
      </c>
      <c r="AQ9" s="41">
        <f>IF(B9="","",ROUND(AC9/60,3))</f>
        <v>0</v>
      </c>
      <c r="AR9" s="20">
        <f>IF(B9="","",IF(OR(AQ9=0,AQ9="",AO9=""),"",ROUND((AO9+AE9)/AQ9,2)))</f>
        <v>0</v>
      </c>
      <c r="AS9" s="43">
        <f>IF(B9="","",IF(AND(A9&lt;&gt;"",ISERROR(MATCH(A9,Products!$A$5:$A$304,0))),"Check - no such product ID",IF(AB9=0,"Add - no material cost yet",IF(AC9=0,"Add - how long does it take?",IF(AND(A9&lt;&gt;"",COUNTIFS('Material Usage'!$A$5:$A$904,A9)&gt;0),"Check - this product also has a bill of materials",IF(AND(A9&lt;&gt;"",COUNTIFS(Labor!$A$5:$A$304,A9)&gt;0),"Check - this product also has labour lines",IF(AR9&lt;MinimumWage,"Below - pays under minimum wage","OK")))))) )</f>
        <v>0</v>
      </c>
    </row>
    <row r="10" spans="1:45">
      <c r="W10" s="41">
        <f>IF(B10="","",IF(E10="",1,E10))</f>
        <v>0</v>
      </c>
      <c r="X10" s="33">
        <f>IF(B10="","",IF(H10="",DefaultWaste,H10))</f>
        <v>0</v>
      </c>
      <c r="Y10" s="36">
        <f>IF(B10="","",ROUND(IF(G10="",0,G10)*W10*(1+X10),1))</f>
        <v>0</v>
      </c>
      <c r="Z10" s="20">
        <f>IF(B10="","",ROUND(Y10*IFERROR(INDEX(Materials!$V$5:$V$254,MATCH(F10,Materials!$A$5:$A$254,0)),0),2))</f>
        <v>0</v>
      </c>
      <c r="AA10" s="20">
        <f>IF(B10="","",ROUND(IF(J10="",0,J10)*W10*(1+X10)*IFERROR(INDEX(Materials!$V$5:$V$254,MATCH(I10,Materials!$A$5:$A$254,0)),0),2))</f>
        <v>0</v>
      </c>
      <c r="AB10" s="20">
        <f>IF(B10="","",ROUND(Z10+AA10+IF(K10="",0,K10)+IF(L10="",0,L10)+IF(M10="",0,M10)+IF(N10="",0,N10),2))</f>
        <v>0</v>
      </c>
      <c r="AC10" s="36">
        <f>IF(B10="","",ROUND((IF(O10="",0,O10)+IF(P10="",0,P10)+IF(Q10="",0,Q10)+IF(R10="",0,R10)+IF(S10="",0,S10))*W10,1))</f>
        <v>0</v>
      </c>
      <c r="AD10" s="20">
        <f>IF(B10="","",IF(T10&lt;&gt;"",T10,LaborCostHour))</f>
        <v>0</v>
      </c>
      <c r="AE10" s="20">
        <f>IF(B10="","",ROUND(AC10/60*AD10,2))</f>
        <v>0</v>
      </c>
      <c r="AF10" s="20">
        <f>IF(B10="","",ROUND(AC10/60*SuppliesPerHour,2))</f>
        <v>0</v>
      </c>
      <c r="AG10" s="20">
        <f>IF(B10="","",ROUND(IF(G10="",0,G10)*W10*X10*IFERROR(INDEX(Materials!$V$5:$V$254,MATCH(F10,Materials!$A$5:$A$254,0)),0),2))</f>
        <v>0</v>
      </c>
      <c r="AH10" s="20">
        <f>IF(B10="","",ROUND(AB10+AE10+AF10,2))</f>
        <v>0</v>
      </c>
      <c r="AI10" s="33">
        <f>IF(B10="","",IFERROR(INDEX(Channels!$S$5:$S$18,MATCH(DefaultChannel,Channels!$A$5:$A$18,0)),0))</f>
        <v>0</v>
      </c>
      <c r="AJ10" s="20">
        <f>IF(B10="","",IFERROR(INDEX(Channels!$T$5:$T$18,MATCH(DefaultChannel,Channels!$A$5:$A$18,0)),0))</f>
        <v>0</v>
      </c>
      <c r="AK10" s="41">
        <f>IF(B10="","",1-TargetRetailMargin-AI10)</f>
        <v>0</v>
      </c>
      <c r="AL10" s="20">
        <f>IF(B10="","",IF(AK10&lt;=0,"",(AH10+AJ10)/AK10))</f>
        <v>0</v>
      </c>
      <c r="AM10" s="20">
        <f>IF(B10="","",IF(AL10="","Check the settings",ROUND(IF(RoundingRule="None",AL10,IF(RoundingRule="Nearest 0.99",MAX(0.99,CEILING(AL10,1)-0.01),IF(RoundingRule="Nearest 0.95",MAX(0.95,CEILING(AL10,1)-0.05),IF(RoundingRule="Nearest 0.50",CEILING(AL10,0.5),IF(RoundingRule="Nearest 1",CEILING(AL10,1),IF(RoundingRule="Nearest 5",CEILING(AL10,5),IF(RoundingRule="Up to whole 1",CEILING(AL10,1),IF(RoundingRule="Up to whole 5",CEILING(AL10,5),ROUND(AL10,2))))))))),2)))</f>
        <v>0</v>
      </c>
      <c r="AN10" s="20">
        <f>IF(B10="","",IF(U10&lt;&gt;"",U10,IF(ISNUMBER(AM10),AM10,"")))</f>
        <v>0</v>
      </c>
      <c r="AO10" s="20">
        <f>IF(B10="","",IF(AN10="","",ROUND(AN10-AH10-(AN10*AI10+AJ10),2)))</f>
        <v>0</v>
      </c>
      <c r="AP10" s="33">
        <f>IF(B10="","",IF(OR(AN10="",AN10=0),"",AO10/AN10))</f>
        <v>0</v>
      </c>
      <c r="AQ10" s="41">
        <f>IF(B10="","",ROUND(AC10/60,3))</f>
        <v>0</v>
      </c>
      <c r="AR10" s="20">
        <f>IF(B10="","",IF(OR(AQ10=0,AQ10="",AO10=""),"",ROUND((AO10+AE10)/AQ10,2)))</f>
        <v>0</v>
      </c>
      <c r="AS10" s="43">
        <f>IF(B10="","",IF(AND(A10&lt;&gt;"",ISERROR(MATCH(A10,Products!$A$5:$A$304,0))),"Check - no such product ID",IF(AB10=0,"Add - no material cost yet",IF(AC10=0,"Add - how long does it take?",IF(AND(A10&lt;&gt;"",COUNTIFS('Material Usage'!$A$5:$A$904,A10)&gt;0),"Check - this product also has a bill of materials",IF(AND(A10&lt;&gt;"",COUNTIFS(Labor!$A$5:$A$304,A10)&gt;0),"Check - this product also has labour lines",IF(AR10&lt;MinimumWage,"Below - pays under minimum wage","OK")))))) )</f>
        <v>0</v>
      </c>
    </row>
    <row r="11" spans="1:45">
      <c r="W11" s="41">
        <f>IF(B11="","",IF(E11="",1,E11))</f>
        <v>0</v>
      </c>
      <c r="X11" s="33">
        <f>IF(B11="","",IF(H11="",DefaultWaste,H11))</f>
        <v>0</v>
      </c>
      <c r="Y11" s="36">
        <f>IF(B11="","",ROUND(IF(G11="",0,G11)*W11*(1+X11),1))</f>
        <v>0</v>
      </c>
      <c r="Z11" s="20">
        <f>IF(B11="","",ROUND(Y11*IFERROR(INDEX(Materials!$V$5:$V$254,MATCH(F11,Materials!$A$5:$A$254,0)),0),2))</f>
        <v>0</v>
      </c>
      <c r="AA11" s="20">
        <f>IF(B11="","",ROUND(IF(J11="",0,J11)*W11*(1+X11)*IFERROR(INDEX(Materials!$V$5:$V$254,MATCH(I11,Materials!$A$5:$A$254,0)),0),2))</f>
        <v>0</v>
      </c>
      <c r="AB11" s="20">
        <f>IF(B11="","",ROUND(Z11+AA11+IF(K11="",0,K11)+IF(L11="",0,L11)+IF(M11="",0,M11)+IF(N11="",0,N11),2))</f>
        <v>0</v>
      </c>
      <c r="AC11" s="36">
        <f>IF(B11="","",ROUND((IF(O11="",0,O11)+IF(P11="",0,P11)+IF(Q11="",0,Q11)+IF(R11="",0,R11)+IF(S11="",0,S11))*W11,1))</f>
        <v>0</v>
      </c>
      <c r="AD11" s="20">
        <f>IF(B11="","",IF(T11&lt;&gt;"",T11,LaborCostHour))</f>
        <v>0</v>
      </c>
      <c r="AE11" s="20">
        <f>IF(B11="","",ROUND(AC11/60*AD11,2))</f>
        <v>0</v>
      </c>
      <c r="AF11" s="20">
        <f>IF(B11="","",ROUND(AC11/60*SuppliesPerHour,2))</f>
        <v>0</v>
      </c>
      <c r="AG11" s="20">
        <f>IF(B11="","",ROUND(IF(G11="",0,G11)*W11*X11*IFERROR(INDEX(Materials!$V$5:$V$254,MATCH(F11,Materials!$A$5:$A$254,0)),0),2))</f>
        <v>0</v>
      </c>
      <c r="AH11" s="20">
        <f>IF(B11="","",ROUND(AB11+AE11+AF11,2))</f>
        <v>0</v>
      </c>
      <c r="AI11" s="33">
        <f>IF(B11="","",IFERROR(INDEX(Channels!$S$5:$S$18,MATCH(DefaultChannel,Channels!$A$5:$A$18,0)),0))</f>
        <v>0</v>
      </c>
      <c r="AJ11" s="20">
        <f>IF(B11="","",IFERROR(INDEX(Channels!$T$5:$T$18,MATCH(DefaultChannel,Channels!$A$5:$A$18,0)),0))</f>
        <v>0</v>
      </c>
      <c r="AK11" s="41">
        <f>IF(B11="","",1-TargetRetailMargin-AI11)</f>
        <v>0</v>
      </c>
      <c r="AL11" s="20">
        <f>IF(B11="","",IF(AK11&lt;=0,"",(AH11+AJ11)/AK11))</f>
        <v>0</v>
      </c>
      <c r="AM11" s="20">
        <f>IF(B11="","",IF(AL11="","Check the settings",ROUND(IF(RoundingRule="None",AL11,IF(RoundingRule="Nearest 0.99",MAX(0.99,CEILING(AL11,1)-0.01),IF(RoundingRule="Nearest 0.95",MAX(0.95,CEILING(AL11,1)-0.05),IF(RoundingRule="Nearest 0.50",CEILING(AL11,0.5),IF(RoundingRule="Nearest 1",CEILING(AL11,1),IF(RoundingRule="Nearest 5",CEILING(AL11,5),IF(RoundingRule="Up to whole 1",CEILING(AL11,1),IF(RoundingRule="Up to whole 5",CEILING(AL11,5),ROUND(AL11,2))))))))),2)))</f>
        <v>0</v>
      </c>
      <c r="AN11" s="20">
        <f>IF(B11="","",IF(U11&lt;&gt;"",U11,IF(ISNUMBER(AM11),AM11,"")))</f>
        <v>0</v>
      </c>
      <c r="AO11" s="20">
        <f>IF(B11="","",IF(AN11="","",ROUND(AN11-AH11-(AN11*AI11+AJ11),2)))</f>
        <v>0</v>
      </c>
      <c r="AP11" s="33">
        <f>IF(B11="","",IF(OR(AN11="",AN11=0),"",AO11/AN11))</f>
        <v>0</v>
      </c>
      <c r="AQ11" s="41">
        <f>IF(B11="","",ROUND(AC11/60,3))</f>
        <v>0</v>
      </c>
      <c r="AR11" s="20">
        <f>IF(B11="","",IF(OR(AQ11=0,AQ11="",AO11=""),"",ROUND((AO11+AE11)/AQ11,2)))</f>
        <v>0</v>
      </c>
      <c r="AS11" s="43">
        <f>IF(B11="","",IF(AND(A11&lt;&gt;"",ISERROR(MATCH(A11,Products!$A$5:$A$304,0))),"Check - no such product ID",IF(AB11=0,"Add - no material cost yet",IF(AC11=0,"Add - how long does it take?",IF(AND(A11&lt;&gt;"",COUNTIFS('Material Usage'!$A$5:$A$904,A11)&gt;0),"Check - this product also has a bill of materials",IF(AND(A11&lt;&gt;"",COUNTIFS(Labor!$A$5:$A$304,A11)&gt;0),"Check - this product also has labour lines",IF(AR11&lt;MinimumWage,"Below - pays under minimum wage","OK")))))) )</f>
        <v>0</v>
      </c>
    </row>
    <row r="12" spans="1:45">
      <c r="W12" s="41">
        <f>IF(B12="","",IF(E12="",1,E12))</f>
        <v>0</v>
      </c>
      <c r="X12" s="33">
        <f>IF(B12="","",IF(H12="",DefaultWaste,H12))</f>
        <v>0</v>
      </c>
      <c r="Y12" s="36">
        <f>IF(B12="","",ROUND(IF(G12="",0,G12)*W12*(1+X12),1))</f>
        <v>0</v>
      </c>
      <c r="Z12" s="20">
        <f>IF(B12="","",ROUND(Y12*IFERROR(INDEX(Materials!$V$5:$V$254,MATCH(F12,Materials!$A$5:$A$254,0)),0),2))</f>
        <v>0</v>
      </c>
      <c r="AA12" s="20">
        <f>IF(B12="","",ROUND(IF(J12="",0,J12)*W12*(1+X12)*IFERROR(INDEX(Materials!$V$5:$V$254,MATCH(I12,Materials!$A$5:$A$254,0)),0),2))</f>
        <v>0</v>
      </c>
      <c r="AB12" s="20">
        <f>IF(B12="","",ROUND(Z12+AA12+IF(K12="",0,K12)+IF(L12="",0,L12)+IF(M12="",0,M12)+IF(N12="",0,N12),2))</f>
        <v>0</v>
      </c>
      <c r="AC12" s="36">
        <f>IF(B12="","",ROUND((IF(O12="",0,O12)+IF(P12="",0,P12)+IF(Q12="",0,Q12)+IF(R12="",0,R12)+IF(S12="",0,S12))*W12,1))</f>
        <v>0</v>
      </c>
      <c r="AD12" s="20">
        <f>IF(B12="","",IF(T12&lt;&gt;"",T12,LaborCostHour))</f>
        <v>0</v>
      </c>
      <c r="AE12" s="20">
        <f>IF(B12="","",ROUND(AC12/60*AD12,2))</f>
        <v>0</v>
      </c>
      <c r="AF12" s="20">
        <f>IF(B12="","",ROUND(AC12/60*SuppliesPerHour,2))</f>
        <v>0</v>
      </c>
      <c r="AG12" s="20">
        <f>IF(B12="","",ROUND(IF(G12="",0,G12)*W12*X12*IFERROR(INDEX(Materials!$V$5:$V$254,MATCH(F12,Materials!$A$5:$A$254,0)),0),2))</f>
        <v>0</v>
      </c>
      <c r="AH12" s="20">
        <f>IF(B12="","",ROUND(AB12+AE12+AF12,2))</f>
        <v>0</v>
      </c>
      <c r="AI12" s="33">
        <f>IF(B12="","",IFERROR(INDEX(Channels!$S$5:$S$18,MATCH(DefaultChannel,Channels!$A$5:$A$18,0)),0))</f>
        <v>0</v>
      </c>
      <c r="AJ12" s="20">
        <f>IF(B12="","",IFERROR(INDEX(Channels!$T$5:$T$18,MATCH(DefaultChannel,Channels!$A$5:$A$18,0)),0))</f>
        <v>0</v>
      </c>
      <c r="AK12" s="41">
        <f>IF(B12="","",1-TargetRetailMargin-AI12)</f>
        <v>0</v>
      </c>
      <c r="AL12" s="20">
        <f>IF(B12="","",IF(AK12&lt;=0,"",(AH12+AJ12)/AK12))</f>
        <v>0</v>
      </c>
      <c r="AM12" s="20">
        <f>IF(B12="","",IF(AL12="","Check the settings",ROUND(IF(RoundingRule="None",AL12,IF(RoundingRule="Nearest 0.99",MAX(0.99,CEILING(AL12,1)-0.01),IF(RoundingRule="Nearest 0.95",MAX(0.95,CEILING(AL12,1)-0.05),IF(RoundingRule="Nearest 0.50",CEILING(AL12,0.5),IF(RoundingRule="Nearest 1",CEILING(AL12,1),IF(RoundingRule="Nearest 5",CEILING(AL12,5),IF(RoundingRule="Up to whole 1",CEILING(AL12,1),IF(RoundingRule="Up to whole 5",CEILING(AL12,5),ROUND(AL12,2))))))))),2)))</f>
        <v>0</v>
      </c>
      <c r="AN12" s="20">
        <f>IF(B12="","",IF(U12&lt;&gt;"",U12,IF(ISNUMBER(AM12),AM12,"")))</f>
        <v>0</v>
      </c>
      <c r="AO12" s="20">
        <f>IF(B12="","",IF(AN12="","",ROUND(AN12-AH12-(AN12*AI12+AJ12),2)))</f>
        <v>0</v>
      </c>
      <c r="AP12" s="33">
        <f>IF(B12="","",IF(OR(AN12="",AN12=0),"",AO12/AN12))</f>
        <v>0</v>
      </c>
      <c r="AQ12" s="41">
        <f>IF(B12="","",ROUND(AC12/60,3))</f>
        <v>0</v>
      </c>
      <c r="AR12" s="20">
        <f>IF(B12="","",IF(OR(AQ12=0,AQ12="",AO12=""),"",ROUND((AO12+AE12)/AQ12,2)))</f>
        <v>0</v>
      </c>
      <c r="AS12" s="43">
        <f>IF(B12="","",IF(AND(A12&lt;&gt;"",ISERROR(MATCH(A12,Products!$A$5:$A$304,0))),"Check - no such product ID",IF(AB12=0,"Add - no material cost yet",IF(AC12=0,"Add - how long does it take?",IF(AND(A12&lt;&gt;"",COUNTIFS('Material Usage'!$A$5:$A$904,A12)&gt;0),"Check - this product also has a bill of materials",IF(AND(A12&lt;&gt;"",COUNTIFS(Labor!$A$5:$A$304,A12)&gt;0),"Check - this product also has labour lines",IF(AR12&lt;MinimumWage,"Below - pays under minimum wage","OK")))))) )</f>
        <v>0</v>
      </c>
    </row>
    <row r="13" spans="1:45">
      <c r="W13" s="41">
        <f>IF(B13="","",IF(E13="",1,E13))</f>
        <v>0</v>
      </c>
      <c r="X13" s="33">
        <f>IF(B13="","",IF(H13="",DefaultWaste,H13))</f>
        <v>0</v>
      </c>
      <c r="Y13" s="36">
        <f>IF(B13="","",ROUND(IF(G13="",0,G13)*W13*(1+X13),1))</f>
        <v>0</v>
      </c>
      <c r="Z13" s="20">
        <f>IF(B13="","",ROUND(Y13*IFERROR(INDEX(Materials!$V$5:$V$254,MATCH(F13,Materials!$A$5:$A$254,0)),0),2))</f>
        <v>0</v>
      </c>
      <c r="AA13" s="20">
        <f>IF(B13="","",ROUND(IF(J13="",0,J13)*W13*(1+X13)*IFERROR(INDEX(Materials!$V$5:$V$254,MATCH(I13,Materials!$A$5:$A$254,0)),0),2))</f>
        <v>0</v>
      </c>
      <c r="AB13" s="20">
        <f>IF(B13="","",ROUND(Z13+AA13+IF(K13="",0,K13)+IF(L13="",0,L13)+IF(M13="",0,M13)+IF(N13="",0,N13),2))</f>
        <v>0</v>
      </c>
      <c r="AC13" s="36">
        <f>IF(B13="","",ROUND((IF(O13="",0,O13)+IF(P13="",0,P13)+IF(Q13="",0,Q13)+IF(R13="",0,R13)+IF(S13="",0,S13))*W13,1))</f>
        <v>0</v>
      </c>
      <c r="AD13" s="20">
        <f>IF(B13="","",IF(T13&lt;&gt;"",T13,LaborCostHour))</f>
        <v>0</v>
      </c>
      <c r="AE13" s="20">
        <f>IF(B13="","",ROUND(AC13/60*AD13,2))</f>
        <v>0</v>
      </c>
      <c r="AF13" s="20">
        <f>IF(B13="","",ROUND(AC13/60*SuppliesPerHour,2))</f>
        <v>0</v>
      </c>
      <c r="AG13" s="20">
        <f>IF(B13="","",ROUND(IF(G13="",0,G13)*W13*X13*IFERROR(INDEX(Materials!$V$5:$V$254,MATCH(F13,Materials!$A$5:$A$254,0)),0),2))</f>
        <v>0</v>
      </c>
      <c r="AH13" s="20">
        <f>IF(B13="","",ROUND(AB13+AE13+AF13,2))</f>
        <v>0</v>
      </c>
      <c r="AI13" s="33">
        <f>IF(B13="","",IFERROR(INDEX(Channels!$S$5:$S$18,MATCH(DefaultChannel,Channels!$A$5:$A$18,0)),0))</f>
        <v>0</v>
      </c>
      <c r="AJ13" s="20">
        <f>IF(B13="","",IFERROR(INDEX(Channels!$T$5:$T$18,MATCH(DefaultChannel,Channels!$A$5:$A$18,0)),0))</f>
        <v>0</v>
      </c>
      <c r="AK13" s="41">
        <f>IF(B13="","",1-TargetRetailMargin-AI13)</f>
        <v>0</v>
      </c>
      <c r="AL13" s="20">
        <f>IF(B13="","",IF(AK13&lt;=0,"",(AH13+AJ13)/AK13))</f>
        <v>0</v>
      </c>
      <c r="AM13" s="20">
        <f>IF(B13="","",IF(AL13="","Check the settings",ROUND(IF(RoundingRule="None",AL13,IF(RoundingRule="Nearest 0.99",MAX(0.99,CEILING(AL13,1)-0.01),IF(RoundingRule="Nearest 0.95",MAX(0.95,CEILING(AL13,1)-0.05),IF(RoundingRule="Nearest 0.50",CEILING(AL13,0.5),IF(RoundingRule="Nearest 1",CEILING(AL13,1),IF(RoundingRule="Nearest 5",CEILING(AL13,5),IF(RoundingRule="Up to whole 1",CEILING(AL13,1),IF(RoundingRule="Up to whole 5",CEILING(AL13,5),ROUND(AL13,2))))))))),2)))</f>
        <v>0</v>
      </c>
      <c r="AN13" s="20">
        <f>IF(B13="","",IF(U13&lt;&gt;"",U13,IF(ISNUMBER(AM13),AM13,"")))</f>
        <v>0</v>
      </c>
      <c r="AO13" s="20">
        <f>IF(B13="","",IF(AN13="","",ROUND(AN13-AH13-(AN13*AI13+AJ13),2)))</f>
        <v>0</v>
      </c>
      <c r="AP13" s="33">
        <f>IF(B13="","",IF(OR(AN13="",AN13=0),"",AO13/AN13))</f>
        <v>0</v>
      </c>
      <c r="AQ13" s="41">
        <f>IF(B13="","",ROUND(AC13/60,3))</f>
        <v>0</v>
      </c>
      <c r="AR13" s="20">
        <f>IF(B13="","",IF(OR(AQ13=0,AQ13="",AO13=""),"",ROUND((AO13+AE13)/AQ13,2)))</f>
        <v>0</v>
      </c>
      <c r="AS13" s="43">
        <f>IF(B13="","",IF(AND(A13&lt;&gt;"",ISERROR(MATCH(A13,Products!$A$5:$A$304,0))),"Check - no such product ID",IF(AB13=0,"Add - no material cost yet",IF(AC13=0,"Add - how long does it take?",IF(AND(A13&lt;&gt;"",COUNTIFS('Material Usage'!$A$5:$A$904,A13)&gt;0),"Check - this product also has a bill of materials",IF(AND(A13&lt;&gt;"",COUNTIFS(Labor!$A$5:$A$304,A13)&gt;0),"Check - this product also has labour lines",IF(AR13&lt;MinimumWage,"Below - pays under minimum wage","OK")))))) )</f>
        <v>0</v>
      </c>
    </row>
    <row r="14" spans="1:45">
      <c r="W14" s="41">
        <f>IF(B14="","",IF(E14="",1,E14))</f>
        <v>0</v>
      </c>
      <c r="X14" s="33">
        <f>IF(B14="","",IF(H14="",DefaultWaste,H14))</f>
        <v>0</v>
      </c>
      <c r="Y14" s="36">
        <f>IF(B14="","",ROUND(IF(G14="",0,G14)*W14*(1+X14),1))</f>
        <v>0</v>
      </c>
      <c r="Z14" s="20">
        <f>IF(B14="","",ROUND(Y14*IFERROR(INDEX(Materials!$V$5:$V$254,MATCH(F14,Materials!$A$5:$A$254,0)),0),2))</f>
        <v>0</v>
      </c>
      <c r="AA14" s="20">
        <f>IF(B14="","",ROUND(IF(J14="",0,J14)*W14*(1+X14)*IFERROR(INDEX(Materials!$V$5:$V$254,MATCH(I14,Materials!$A$5:$A$254,0)),0),2))</f>
        <v>0</v>
      </c>
      <c r="AB14" s="20">
        <f>IF(B14="","",ROUND(Z14+AA14+IF(K14="",0,K14)+IF(L14="",0,L14)+IF(M14="",0,M14)+IF(N14="",0,N14),2))</f>
        <v>0</v>
      </c>
      <c r="AC14" s="36">
        <f>IF(B14="","",ROUND((IF(O14="",0,O14)+IF(P14="",0,P14)+IF(Q14="",0,Q14)+IF(R14="",0,R14)+IF(S14="",0,S14))*W14,1))</f>
        <v>0</v>
      </c>
      <c r="AD14" s="20">
        <f>IF(B14="","",IF(T14&lt;&gt;"",T14,LaborCostHour))</f>
        <v>0</v>
      </c>
      <c r="AE14" s="20">
        <f>IF(B14="","",ROUND(AC14/60*AD14,2))</f>
        <v>0</v>
      </c>
      <c r="AF14" s="20">
        <f>IF(B14="","",ROUND(AC14/60*SuppliesPerHour,2))</f>
        <v>0</v>
      </c>
      <c r="AG14" s="20">
        <f>IF(B14="","",ROUND(IF(G14="",0,G14)*W14*X14*IFERROR(INDEX(Materials!$V$5:$V$254,MATCH(F14,Materials!$A$5:$A$254,0)),0),2))</f>
        <v>0</v>
      </c>
      <c r="AH14" s="20">
        <f>IF(B14="","",ROUND(AB14+AE14+AF14,2))</f>
        <v>0</v>
      </c>
      <c r="AI14" s="33">
        <f>IF(B14="","",IFERROR(INDEX(Channels!$S$5:$S$18,MATCH(DefaultChannel,Channels!$A$5:$A$18,0)),0))</f>
        <v>0</v>
      </c>
      <c r="AJ14" s="20">
        <f>IF(B14="","",IFERROR(INDEX(Channels!$T$5:$T$18,MATCH(DefaultChannel,Channels!$A$5:$A$18,0)),0))</f>
        <v>0</v>
      </c>
      <c r="AK14" s="41">
        <f>IF(B14="","",1-TargetRetailMargin-AI14)</f>
        <v>0</v>
      </c>
      <c r="AL14" s="20">
        <f>IF(B14="","",IF(AK14&lt;=0,"",(AH14+AJ14)/AK14))</f>
        <v>0</v>
      </c>
      <c r="AM14" s="20">
        <f>IF(B14="","",IF(AL14="","Check the settings",ROUND(IF(RoundingRule="None",AL14,IF(RoundingRule="Nearest 0.99",MAX(0.99,CEILING(AL14,1)-0.01),IF(RoundingRule="Nearest 0.95",MAX(0.95,CEILING(AL14,1)-0.05),IF(RoundingRule="Nearest 0.50",CEILING(AL14,0.5),IF(RoundingRule="Nearest 1",CEILING(AL14,1),IF(RoundingRule="Nearest 5",CEILING(AL14,5),IF(RoundingRule="Up to whole 1",CEILING(AL14,1),IF(RoundingRule="Up to whole 5",CEILING(AL14,5),ROUND(AL14,2))))))))),2)))</f>
        <v>0</v>
      </c>
      <c r="AN14" s="20">
        <f>IF(B14="","",IF(U14&lt;&gt;"",U14,IF(ISNUMBER(AM14),AM14,"")))</f>
        <v>0</v>
      </c>
      <c r="AO14" s="20">
        <f>IF(B14="","",IF(AN14="","",ROUND(AN14-AH14-(AN14*AI14+AJ14),2)))</f>
        <v>0</v>
      </c>
      <c r="AP14" s="33">
        <f>IF(B14="","",IF(OR(AN14="",AN14=0),"",AO14/AN14))</f>
        <v>0</v>
      </c>
      <c r="AQ14" s="41">
        <f>IF(B14="","",ROUND(AC14/60,3))</f>
        <v>0</v>
      </c>
      <c r="AR14" s="20">
        <f>IF(B14="","",IF(OR(AQ14=0,AQ14="",AO14=""),"",ROUND((AO14+AE14)/AQ14,2)))</f>
        <v>0</v>
      </c>
      <c r="AS14" s="43">
        <f>IF(B14="","",IF(AND(A14&lt;&gt;"",ISERROR(MATCH(A14,Products!$A$5:$A$304,0))),"Check - no such product ID",IF(AB14=0,"Add - no material cost yet",IF(AC14=0,"Add - how long does it take?",IF(AND(A14&lt;&gt;"",COUNTIFS('Material Usage'!$A$5:$A$904,A14)&gt;0),"Check - this product also has a bill of materials",IF(AND(A14&lt;&gt;"",COUNTIFS(Labor!$A$5:$A$304,A14)&gt;0),"Check - this product also has labour lines",IF(AR14&lt;MinimumWage,"Below - pays under minimum wage","OK")))))) )</f>
        <v>0</v>
      </c>
    </row>
    <row r="15" spans="1:45">
      <c r="W15" s="41">
        <f>IF(B15="","",IF(E15="",1,E15))</f>
        <v>0</v>
      </c>
      <c r="X15" s="33">
        <f>IF(B15="","",IF(H15="",DefaultWaste,H15))</f>
        <v>0</v>
      </c>
      <c r="Y15" s="36">
        <f>IF(B15="","",ROUND(IF(G15="",0,G15)*W15*(1+X15),1))</f>
        <v>0</v>
      </c>
      <c r="Z15" s="20">
        <f>IF(B15="","",ROUND(Y15*IFERROR(INDEX(Materials!$V$5:$V$254,MATCH(F15,Materials!$A$5:$A$254,0)),0),2))</f>
        <v>0</v>
      </c>
      <c r="AA15" s="20">
        <f>IF(B15="","",ROUND(IF(J15="",0,J15)*W15*(1+X15)*IFERROR(INDEX(Materials!$V$5:$V$254,MATCH(I15,Materials!$A$5:$A$254,0)),0),2))</f>
        <v>0</v>
      </c>
      <c r="AB15" s="20">
        <f>IF(B15="","",ROUND(Z15+AA15+IF(K15="",0,K15)+IF(L15="",0,L15)+IF(M15="",0,M15)+IF(N15="",0,N15),2))</f>
        <v>0</v>
      </c>
      <c r="AC15" s="36">
        <f>IF(B15="","",ROUND((IF(O15="",0,O15)+IF(P15="",0,P15)+IF(Q15="",0,Q15)+IF(R15="",0,R15)+IF(S15="",0,S15))*W15,1))</f>
        <v>0</v>
      </c>
      <c r="AD15" s="20">
        <f>IF(B15="","",IF(T15&lt;&gt;"",T15,LaborCostHour))</f>
        <v>0</v>
      </c>
      <c r="AE15" s="20">
        <f>IF(B15="","",ROUND(AC15/60*AD15,2))</f>
        <v>0</v>
      </c>
      <c r="AF15" s="20">
        <f>IF(B15="","",ROUND(AC15/60*SuppliesPerHour,2))</f>
        <v>0</v>
      </c>
      <c r="AG15" s="20">
        <f>IF(B15="","",ROUND(IF(G15="",0,G15)*W15*X15*IFERROR(INDEX(Materials!$V$5:$V$254,MATCH(F15,Materials!$A$5:$A$254,0)),0),2))</f>
        <v>0</v>
      </c>
      <c r="AH15" s="20">
        <f>IF(B15="","",ROUND(AB15+AE15+AF15,2))</f>
        <v>0</v>
      </c>
      <c r="AI15" s="33">
        <f>IF(B15="","",IFERROR(INDEX(Channels!$S$5:$S$18,MATCH(DefaultChannel,Channels!$A$5:$A$18,0)),0))</f>
        <v>0</v>
      </c>
      <c r="AJ15" s="20">
        <f>IF(B15="","",IFERROR(INDEX(Channels!$T$5:$T$18,MATCH(DefaultChannel,Channels!$A$5:$A$18,0)),0))</f>
        <v>0</v>
      </c>
      <c r="AK15" s="41">
        <f>IF(B15="","",1-TargetRetailMargin-AI15)</f>
        <v>0</v>
      </c>
      <c r="AL15" s="20">
        <f>IF(B15="","",IF(AK15&lt;=0,"",(AH15+AJ15)/AK15))</f>
        <v>0</v>
      </c>
      <c r="AM15" s="20">
        <f>IF(B15="","",IF(AL15="","Check the settings",ROUND(IF(RoundingRule="None",AL15,IF(RoundingRule="Nearest 0.99",MAX(0.99,CEILING(AL15,1)-0.01),IF(RoundingRule="Nearest 0.95",MAX(0.95,CEILING(AL15,1)-0.05),IF(RoundingRule="Nearest 0.50",CEILING(AL15,0.5),IF(RoundingRule="Nearest 1",CEILING(AL15,1),IF(RoundingRule="Nearest 5",CEILING(AL15,5),IF(RoundingRule="Up to whole 1",CEILING(AL15,1),IF(RoundingRule="Up to whole 5",CEILING(AL15,5),ROUND(AL15,2))))))))),2)))</f>
        <v>0</v>
      </c>
      <c r="AN15" s="20">
        <f>IF(B15="","",IF(U15&lt;&gt;"",U15,IF(ISNUMBER(AM15),AM15,"")))</f>
        <v>0</v>
      </c>
      <c r="AO15" s="20">
        <f>IF(B15="","",IF(AN15="","",ROUND(AN15-AH15-(AN15*AI15+AJ15),2)))</f>
        <v>0</v>
      </c>
      <c r="AP15" s="33">
        <f>IF(B15="","",IF(OR(AN15="",AN15=0),"",AO15/AN15))</f>
        <v>0</v>
      </c>
      <c r="AQ15" s="41">
        <f>IF(B15="","",ROUND(AC15/60,3))</f>
        <v>0</v>
      </c>
      <c r="AR15" s="20">
        <f>IF(B15="","",IF(OR(AQ15=0,AQ15="",AO15=""),"",ROUND((AO15+AE15)/AQ15,2)))</f>
        <v>0</v>
      </c>
      <c r="AS15" s="43">
        <f>IF(B15="","",IF(AND(A15&lt;&gt;"",ISERROR(MATCH(A15,Products!$A$5:$A$304,0))),"Check - no such product ID",IF(AB15=0,"Add - no material cost yet",IF(AC15=0,"Add - how long does it take?",IF(AND(A15&lt;&gt;"",COUNTIFS('Material Usage'!$A$5:$A$904,A15)&gt;0),"Check - this product also has a bill of materials",IF(AND(A15&lt;&gt;"",COUNTIFS(Labor!$A$5:$A$304,A15)&gt;0),"Check - this product also has labour lines",IF(AR15&lt;MinimumWage,"Below - pays under minimum wage","OK")))))) )</f>
        <v>0</v>
      </c>
    </row>
    <row r="16" spans="1:45">
      <c r="W16" s="41">
        <f>IF(B16="","",IF(E16="",1,E16))</f>
        <v>0</v>
      </c>
      <c r="X16" s="33">
        <f>IF(B16="","",IF(H16="",DefaultWaste,H16))</f>
        <v>0</v>
      </c>
      <c r="Y16" s="36">
        <f>IF(B16="","",ROUND(IF(G16="",0,G16)*W16*(1+X16),1))</f>
        <v>0</v>
      </c>
      <c r="Z16" s="20">
        <f>IF(B16="","",ROUND(Y16*IFERROR(INDEX(Materials!$V$5:$V$254,MATCH(F16,Materials!$A$5:$A$254,0)),0),2))</f>
        <v>0</v>
      </c>
      <c r="AA16" s="20">
        <f>IF(B16="","",ROUND(IF(J16="",0,J16)*W16*(1+X16)*IFERROR(INDEX(Materials!$V$5:$V$254,MATCH(I16,Materials!$A$5:$A$254,0)),0),2))</f>
        <v>0</v>
      </c>
      <c r="AB16" s="20">
        <f>IF(B16="","",ROUND(Z16+AA16+IF(K16="",0,K16)+IF(L16="",0,L16)+IF(M16="",0,M16)+IF(N16="",0,N16),2))</f>
        <v>0</v>
      </c>
      <c r="AC16" s="36">
        <f>IF(B16="","",ROUND((IF(O16="",0,O16)+IF(P16="",0,P16)+IF(Q16="",0,Q16)+IF(R16="",0,R16)+IF(S16="",0,S16))*W16,1))</f>
        <v>0</v>
      </c>
      <c r="AD16" s="20">
        <f>IF(B16="","",IF(T16&lt;&gt;"",T16,LaborCostHour))</f>
        <v>0</v>
      </c>
      <c r="AE16" s="20">
        <f>IF(B16="","",ROUND(AC16/60*AD16,2))</f>
        <v>0</v>
      </c>
      <c r="AF16" s="20">
        <f>IF(B16="","",ROUND(AC16/60*SuppliesPerHour,2))</f>
        <v>0</v>
      </c>
      <c r="AG16" s="20">
        <f>IF(B16="","",ROUND(IF(G16="",0,G16)*W16*X16*IFERROR(INDEX(Materials!$V$5:$V$254,MATCH(F16,Materials!$A$5:$A$254,0)),0),2))</f>
        <v>0</v>
      </c>
      <c r="AH16" s="20">
        <f>IF(B16="","",ROUND(AB16+AE16+AF16,2))</f>
        <v>0</v>
      </c>
      <c r="AI16" s="33">
        <f>IF(B16="","",IFERROR(INDEX(Channels!$S$5:$S$18,MATCH(DefaultChannel,Channels!$A$5:$A$18,0)),0))</f>
        <v>0</v>
      </c>
      <c r="AJ16" s="20">
        <f>IF(B16="","",IFERROR(INDEX(Channels!$T$5:$T$18,MATCH(DefaultChannel,Channels!$A$5:$A$18,0)),0))</f>
        <v>0</v>
      </c>
      <c r="AK16" s="41">
        <f>IF(B16="","",1-TargetRetailMargin-AI16)</f>
        <v>0</v>
      </c>
      <c r="AL16" s="20">
        <f>IF(B16="","",IF(AK16&lt;=0,"",(AH16+AJ16)/AK16))</f>
        <v>0</v>
      </c>
      <c r="AM16" s="20">
        <f>IF(B16="","",IF(AL16="","Check the settings",ROUND(IF(RoundingRule="None",AL16,IF(RoundingRule="Nearest 0.99",MAX(0.99,CEILING(AL16,1)-0.01),IF(RoundingRule="Nearest 0.95",MAX(0.95,CEILING(AL16,1)-0.05),IF(RoundingRule="Nearest 0.50",CEILING(AL16,0.5),IF(RoundingRule="Nearest 1",CEILING(AL16,1),IF(RoundingRule="Nearest 5",CEILING(AL16,5),IF(RoundingRule="Up to whole 1",CEILING(AL16,1),IF(RoundingRule="Up to whole 5",CEILING(AL16,5),ROUND(AL16,2))))))))),2)))</f>
        <v>0</v>
      </c>
      <c r="AN16" s="20">
        <f>IF(B16="","",IF(U16&lt;&gt;"",U16,IF(ISNUMBER(AM16),AM16,"")))</f>
        <v>0</v>
      </c>
      <c r="AO16" s="20">
        <f>IF(B16="","",IF(AN16="","",ROUND(AN16-AH16-(AN16*AI16+AJ16),2)))</f>
        <v>0</v>
      </c>
      <c r="AP16" s="33">
        <f>IF(B16="","",IF(OR(AN16="",AN16=0),"",AO16/AN16))</f>
        <v>0</v>
      </c>
      <c r="AQ16" s="41">
        <f>IF(B16="","",ROUND(AC16/60,3))</f>
        <v>0</v>
      </c>
      <c r="AR16" s="20">
        <f>IF(B16="","",IF(OR(AQ16=0,AQ16="",AO16=""),"",ROUND((AO16+AE16)/AQ16,2)))</f>
        <v>0</v>
      </c>
      <c r="AS16" s="43">
        <f>IF(B16="","",IF(AND(A16&lt;&gt;"",ISERROR(MATCH(A16,Products!$A$5:$A$304,0))),"Check - no such product ID",IF(AB16=0,"Add - no material cost yet",IF(AC16=0,"Add - how long does it take?",IF(AND(A16&lt;&gt;"",COUNTIFS('Material Usage'!$A$5:$A$904,A16)&gt;0),"Check - this product also has a bill of materials",IF(AND(A16&lt;&gt;"",COUNTIFS(Labor!$A$5:$A$304,A16)&gt;0),"Check - this product also has labour lines",IF(AR16&lt;MinimumWage,"Below - pays under minimum wage","OK")))))) )</f>
        <v>0</v>
      </c>
    </row>
    <row r="17" spans="23:45">
      <c r="W17" s="41">
        <f>IF(B17="","",IF(E17="",1,E17))</f>
        <v>0</v>
      </c>
      <c r="X17" s="33">
        <f>IF(B17="","",IF(H17="",DefaultWaste,H17))</f>
        <v>0</v>
      </c>
      <c r="Y17" s="36">
        <f>IF(B17="","",ROUND(IF(G17="",0,G17)*W17*(1+X17),1))</f>
        <v>0</v>
      </c>
      <c r="Z17" s="20">
        <f>IF(B17="","",ROUND(Y17*IFERROR(INDEX(Materials!$V$5:$V$254,MATCH(F17,Materials!$A$5:$A$254,0)),0),2))</f>
        <v>0</v>
      </c>
      <c r="AA17" s="20">
        <f>IF(B17="","",ROUND(IF(J17="",0,J17)*W17*(1+X17)*IFERROR(INDEX(Materials!$V$5:$V$254,MATCH(I17,Materials!$A$5:$A$254,0)),0),2))</f>
        <v>0</v>
      </c>
      <c r="AB17" s="20">
        <f>IF(B17="","",ROUND(Z17+AA17+IF(K17="",0,K17)+IF(L17="",0,L17)+IF(M17="",0,M17)+IF(N17="",0,N17),2))</f>
        <v>0</v>
      </c>
      <c r="AC17" s="36">
        <f>IF(B17="","",ROUND((IF(O17="",0,O17)+IF(P17="",0,P17)+IF(Q17="",0,Q17)+IF(R17="",0,R17)+IF(S17="",0,S17))*W17,1))</f>
        <v>0</v>
      </c>
      <c r="AD17" s="20">
        <f>IF(B17="","",IF(T17&lt;&gt;"",T17,LaborCostHour))</f>
        <v>0</v>
      </c>
      <c r="AE17" s="20">
        <f>IF(B17="","",ROUND(AC17/60*AD17,2))</f>
        <v>0</v>
      </c>
      <c r="AF17" s="20">
        <f>IF(B17="","",ROUND(AC17/60*SuppliesPerHour,2))</f>
        <v>0</v>
      </c>
      <c r="AG17" s="20">
        <f>IF(B17="","",ROUND(IF(G17="",0,G17)*W17*X17*IFERROR(INDEX(Materials!$V$5:$V$254,MATCH(F17,Materials!$A$5:$A$254,0)),0),2))</f>
        <v>0</v>
      </c>
      <c r="AH17" s="20">
        <f>IF(B17="","",ROUND(AB17+AE17+AF17,2))</f>
        <v>0</v>
      </c>
      <c r="AI17" s="33">
        <f>IF(B17="","",IFERROR(INDEX(Channels!$S$5:$S$18,MATCH(DefaultChannel,Channels!$A$5:$A$18,0)),0))</f>
        <v>0</v>
      </c>
      <c r="AJ17" s="20">
        <f>IF(B17="","",IFERROR(INDEX(Channels!$T$5:$T$18,MATCH(DefaultChannel,Channels!$A$5:$A$18,0)),0))</f>
        <v>0</v>
      </c>
      <c r="AK17" s="41">
        <f>IF(B17="","",1-TargetRetailMargin-AI17)</f>
        <v>0</v>
      </c>
      <c r="AL17" s="20">
        <f>IF(B17="","",IF(AK17&lt;=0,"",(AH17+AJ17)/AK17))</f>
        <v>0</v>
      </c>
      <c r="AM17" s="20">
        <f>IF(B17="","",IF(AL17="","Check the settings",ROUND(IF(RoundingRule="None",AL17,IF(RoundingRule="Nearest 0.99",MAX(0.99,CEILING(AL17,1)-0.01),IF(RoundingRule="Nearest 0.95",MAX(0.95,CEILING(AL17,1)-0.05),IF(RoundingRule="Nearest 0.50",CEILING(AL17,0.5),IF(RoundingRule="Nearest 1",CEILING(AL17,1),IF(RoundingRule="Nearest 5",CEILING(AL17,5),IF(RoundingRule="Up to whole 1",CEILING(AL17,1),IF(RoundingRule="Up to whole 5",CEILING(AL17,5),ROUND(AL17,2))))))))),2)))</f>
        <v>0</v>
      </c>
      <c r="AN17" s="20">
        <f>IF(B17="","",IF(U17&lt;&gt;"",U17,IF(ISNUMBER(AM17),AM17,"")))</f>
        <v>0</v>
      </c>
      <c r="AO17" s="20">
        <f>IF(B17="","",IF(AN17="","",ROUND(AN17-AH17-(AN17*AI17+AJ17),2)))</f>
        <v>0</v>
      </c>
      <c r="AP17" s="33">
        <f>IF(B17="","",IF(OR(AN17="",AN17=0),"",AO17/AN17))</f>
        <v>0</v>
      </c>
      <c r="AQ17" s="41">
        <f>IF(B17="","",ROUND(AC17/60,3))</f>
        <v>0</v>
      </c>
      <c r="AR17" s="20">
        <f>IF(B17="","",IF(OR(AQ17=0,AQ17="",AO17=""),"",ROUND((AO17+AE17)/AQ17,2)))</f>
        <v>0</v>
      </c>
      <c r="AS17" s="43">
        <f>IF(B17="","",IF(AND(A17&lt;&gt;"",ISERROR(MATCH(A17,Products!$A$5:$A$304,0))),"Check - no such product ID",IF(AB17=0,"Add - no material cost yet",IF(AC17=0,"Add - how long does it take?",IF(AND(A17&lt;&gt;"",COUNTIFS('Material Usage'!$A$5:$A$904,A17)&gt;0),"Check - this product also has a bill of materials",IF(AND(A17&lt;&gt;"",COUNTIFS(Labor!$A$5:$A$304,A17)&gt;0),"Check - this product also has labour lines",IF(AR17&lt;MinimumWage,"Below - pays under minimum wage","OK")))))) )</f>
        <v>0</v>
      </c>
    </row>
    <row r="18" spans="23:45">
      <c r="W18" s="41">
        <f>IF(B18="","",IF(E18="",1,E18))</f>
        <v>0</v>
      </c>
      <c r="X18" s="33">
        <f>IF(B18="","",IF(H18="",DefaultWaste,H18))</f>
        <v>0</v>
      </c>
      <c r="Y18" s="36">
        <f>IF(B18="","",ROUND(IF(G18="",0,G18)*W18*(1+X18),1))</f>
        <v>0</v>
      </c>
      <c r="Z18" s="20">
        <f>IF(B18="","",ROUND(Y18*IFERROR(INDEX(Materials!$V$5:$V$254,MATCH(F18,Materials!$A$5:$A$254,0)),0),2))</f>
        <v>0</v>
      </c>
      <c r="AA18" s="20">
        <f>IF(B18="","",ROUND(IF(J18="",0,J18)*W18*(1+X18)*IFERROR(INDEX(Materials!$V$5:$V$254,MATCH(I18,Materials!$A$5:$A$254,0)),0),2))</f>
        <v>0</v>
      </c>
      <c r="AB18" s="20">
        <f>IF(B18="","",ROUND(Z18+AA18+IF(K18="",0,K18)+IF(L18="",0,L18)+IF(M18="",0,M18)+IF(N18="",0,N18),2))</f>
        <v>0</v>
      </c>
      <c r="AC18" s="36">
        <f>IF(B18="","",ROUND((IF(O18="",0,O18)+IF(P18="",0,P18)+IF(Q18="",0,Q18)+IF(R18="",0,R18)+IF(S18="",0,S18))*W18,1))</f>
        <v>0</v>
      </c>
      <c r="AD18" s="20">
        <f>IF(B18="","",IF(T18&lt;&gt;"",T18,LaborCostHour))</f>
        <v>0</v>
      </c>
      <c r="AE18" s="20">
        <f>IF(B18="","",ROUND(AC18/60*AD18,2))</f>
        <v>0</v>
      </c>
      <c r="AF18" s="20">
        <f>IF(B18="","",ROUND(AC18/60*SuppliesPerHour,2))</f>
        <v>0</v>
      </c>
      <c r="AG18" s="20">
        <f>IF(B18="","",ROUND(IF(G18="",0,G18)*W18*X18*IFERROR(INDEX(Materials!$V$5:$V$254,MATCH(F18,Materials!$A$5:$A$254,0)),0),2))</f>
        <v>0</v>
      </c>
      <c r="AH18" s="20">
        <f>IF(B18="","",ROUND(AB18+AE18+AF18,2))</f>
        <v>0</v>
      </c>
      <c r="AI18" s="33">
        <f>IF(B18="","",IFERROR(INDEX(Channels!$S$5:$S$18,MATCH(DefaultChannel,Channels!$A$5:$A$18,0)),0))</f>
        <v>0</v>
      </c>
      <c r="AJ18" s="20">
        <f>IF(B18="","",IFERROR(INDEX(Channels!$T$5:$T$18,MATCH(DefaultChannel,Channels!$A$5:$A$18,0)),0))</f>
        <v>0</v>
      </c>
      <c r="AK18" s="41">
        <f>IF(B18="","",1-TargetRetailMargin-AI18)</f>
        <v>0</v>
      </c>
      <c r="AL18" s="20">
        <f>IF(B18="","",IF(AK18&lt;=0,"",(AH18+AJ18)/AK18))</f>
        <v>0</v>
      </c>
      <c r="AM18" s="20">
        <f>IF(B18="","",IF(AL18="","Check the settings",ROUND(IF(RoundingRule="None",AL18,IF(RoundingRule="Nearest 0.99",MAX(0.99,CEILING(AL18,1)-0.01),IF(RoundingRule="Nearest 0.95",MAX(0.95,CEILING(AL18,1)-0.05),IF(RoundingRule="Nearest 0.50",CEILING(AL18,0.5),IF(RoundingRule="Nearest 1",CEILING(AL18,1),IF(RoundingRule="Nearest 5",CEILING(AL18,5),IF(RoundingRule="Up to whole 1",CEILING(AL18,1),IF(RoundingRule="Up to whole 5",CEILING(AL18,5),ROUND(AL18,2))))))))),2)))</f>
        <v>0</v>
      </c>
      <c r="AN18" s="20">
        <f>IF(B18="","",IF(U18&lt;&gt;"",U18,IF(ISNUMBER(AM18),AM18,"")))</f>
        <v>0</v>
      </c>
      <c r="AO18" s="20">
        <f>IF(B18="","",IF(AN18="","",ROUND(AN18-AH18-(AN18*AI18+AJ18),2)))</f>
        <v>0</v>
      </c>
      <c r="AP18" s="33">
        <f>IF(B18="","",IF(OR(AN18="",AN18=0),"",AO18/AN18))</f>
        <v>0</v>
      </c>
      <c r="AQ18" s="41">
        <f>IF(B18="","",ROUND(AC18/60,3))</f>
        <v>0</v>
      </c>
      <c r="AR18" s="20">
        <f>IF(B18="","",IF(OR(AQ18=0,AQ18="",AO18=""),"",ROUND((AO18+AE18)/AQ18,2)))</f>
        <v>0</v>
      </c>
      <c r="AS18" s="43">
        <f>IF(B18="","",IF(AND(A18&lt;&gt;"",ISERROR(MATCH(A18,Products!$A$5:$A$304,0))),"Check - no such product ID",IF(AB18=0,"Add - no material cost yet",IF(AC18=0,"Add - how long does it take?",IF(AND(A18&lt;&gt;"",COUNTIFS('Material Usage'!$A$5:$A$904,A18)&gt;0),"Check - this product also has a bill of materials",IF(AND(A18&lt;&gt;"",COUNTIFS(Labor!$A$5:$A$304,A18)&gt;0),"Check - this product also has labour lines",IF(AR18&lt;MinimumWage,"Below - pays under minimum wage","OK")))))) )</f>
        <v>0</v>
      </c>
    </row>
    <row r="19" spans="23:45">
      <c r="W19" s="41">
        <f>IF(B19="","",IF(E19="",1,E19))</f>
        <v>0</v>
      </c>
      <c r="X19" s="33">
        <f>IF(B19="","",IF(H19="",DefaultWaste,H19))</f>
        <v>0</v>
      </c>
      <c r="Y19" s="36">
        <f>IF(B19="","",ROUND(IF(G19="",0,G19)*W19*(1+X19),1))</f>
        <v>0</v>
      </c>
      <c r="Z19" s="20">
        <f>IF(B19="","",ROUND(Y19*IFERROR(INDEX(Materials!$V$5:$V$254,MATCH(F19,Materials!$A$5:$A$254,0)),0),2))</f>
        <v>0</v>
      </c>
      <c r="AA19" s="20">
        <f>IF(B19="","",ROUND(IF(J19="",0,J19)*W19*(1+X19)*IFERROR(INDEX(Materials!$V$5:$V$254,MATCH(I19,Materials!$A$5:$A$254,0)),0),2))</f>
        <v>0</v>
      </c>
      <c r="AB19" s="20">
        <f>IF(B19="","",ROUND(Z19+AA19+IF(K19="",0,K19)+IF(L19="",0,L19)+IF(M19="",0,M19)+IF(N19="",0,N19),2))</f>
        <v>0</v>
      </c>
      <c r="AC19" s="36">
        <f>IF(B19="","",ROUND((IF(O19="",0,O19)+IF(P19="",0,P19)+IF(Q19="",0,Q19)+IF(R19="",0,R19)+IF(S19="",0,S19))*W19,1))</f>
        <v>0</v>
      </c>
      <c r="AD19" s="20">
        <f>IF(B19="","",IF(T19&lt;&gt;"",T19,LaborCostHour))</f>
        <v>0</v>
      </c>
      <c r="AE19" s="20">
        <f>IF(B19="","",ROUND(AC19/60*AD19,2))</f>
        <v>0</v>
      </c>
      <c r="AF19" s="20">
        <f>IF(B19="","",ROUND(AC19/60*SuppliesPerHour,2))</f>
        <v>0</v>
      </c>
      <c r="AG19" s="20">
        <f>IF(B19="","",ROUND(IF(G19="",0,G19)*W19*X19*IFERROR(INDEX(Materials!$V$5:$V$254,MATCH(F19,Materials!$A$5:$A$254,0)),0),2))</f>
        <v>0</v>
      </c>
      <c r="AH19" s="20">
        <f>IF(B19="","",ROUND(AB19+AE19+AF19,2))</f>
        <v>0</v>
      </c>
      <c r="AI19" s="33">
        <f>IF(B19="","",IFERROR(INDEX(Channels!$S$5:$S$18,MATCH(DefaultChannel,Channels!$A$5:$A$18,0)),0))</f>
        <v>0</v>
      </c>
      <c r="AJ19" s="20">
        <f>IF(B19="","",IFERROR(INDEX(Channels!$T$5:$T$18,MATCH(DefaultChannel,Channels!$A$5:$A$18,0)),0))</f>
        <v>0</v>
      </c>
      <c r="AK19" s="41">
        <f>IF(B19="","",1-TargetRetailMargin-AI19)</f>
        <v>0</v>
      </c>
      <c r="AL19" s="20">
        <f>IF(B19="","",IF(AK19&lt;=0,"",(AH19+AJ19)/AK19))</f>
        <v>0</v>
      </c>
      <c r="AM19" s="20">
        <f>IF(B19="","",IF(AL19="","Check the settings",ROUND(IF(RoundingRule="None",AL19,IF(RoundingRule="Nearest 0.99",MAX(0.99,CEILING(AL19,1)-0.01),IF(RoundingRule="Nearest 0.95",MAX(0.95,CEILING(AL19,1)-0.05),IF(RoundingRule="Nearest 0.50",CEILING(AL19,0.5),IF(RoundingRule="Nearest 1",CEILING(AL19,1),IF(RoundingRule="Nearest 5",CEILING(AL19,5),IF(RoundingRule="Up to whole 1",CEILING(AL19,1),IF(RoundingRule="Up to whole 5",CEILING(AL19,5),ROUND(AL19,2))))))))),2)))</f>
        <v>0</v>
      </c>
      <c r="AN19" s="20">
        <f>IF(B19="","",IF(U19&lt;&gt;"",U19,IF(ISNUMBER(AM19),AM19,"")))</f>
        <v>0</v>
      </c>
      <c r="AO19" s="20">
        <f>IF(B19="","",IF(AN19="","",ROUND(AN19-AH19-(AN19*AI19+AJ19),2)))</f>
        <v>0</v>
      </c>
      <c r="AP19" s="33">
        <f>IF(B19="","",IF(OR(AN19="",AN19=0),"",AO19/AN19))</f>
        <v>0</v>
      </c>
      <c r="AQ19" s="41">
        <f>IF(B19="","",ROUND(AC19/60,3))</f>
        <v>0</v>
      </c>
      <c r="AR19" s="20">
        <f>IF(B19="","",IF(OR(AQ19=0,AQ19="",AO19=""),"",ROUND((AO19+AE19)/AQ19,2)))</f>
        <v>0</v>
      </c>
      <c r="AS19" s="43">
        <f>IF(B19="","",IF(AND(A19&lt;&gt;"",ISERROR(MATCH(A19,Products!$A$5:$A$304,0))),"Check - no such product ID",IF(AB19=0,"Add - no material cost yet",IF(AC19=0,"Add - how long does it take?",IF(AND(A19&lt;&gt;"",COUNTIFS('Material Usage'!$A$5:$A$904,A19)&gt;0),"Check - this product also has a bill of materials",IF(AND(A19&lt;&gt;"",COUNTIFS(Labor!$A$5:$A$304,A19)&gt;0),"Check - this product also has labour lines",IF(AR19&lt;MinimumWage,"Below - pays under minimum wage","OK")))))) )</f>
        <v>0</v>
      </c>
    </row>
    <row r="20" spans="23:45">
      <c r="W20" s="41">
        <f>IF(B20="","",IF(E20="",1,E20))</f>
        <v>0</v>
      </c>
      <c r="X20" s="33">
        <f>IF(B20="","",IF(H20="",DefaultWaste,H20))</f>
        <v>0</v>
      </c>
      <c r="Y20" s="36">
        <f>IF(B20="","",ROUND(IF(G20="",0,G20)*W20*(1+X20),1))</f>
        <v>0</v>
      </c>
      <c r="Z20" s="20">
        <f>IF(B20="","",ROUND(Y20*IFERROR(INDEX(Materials!$V$5:$V$254,MATCH(F20,Materials!$A$5:$A$254,0)),0),2))</f>
        <v>0</v>
      </c>
      <c r="AA20" s="20">
        <f>IF(B20="","",ROUND(IF(J20="",0,J20)*W20*(1+X20)*IFERROR(INDEX(Materials!$V$5:$V$254,MATCH(I20,Materials!$A$5:$A$254,0)),0),2))</f>
        <v>0</v>
      </c>
      <c r="AB20" s="20">
        <f>IF(B20="","",ROUND(Z20+AA20+IF(K20="",0,K20)+IF(L20="",0,L20)+IF(M20="",0,M20)+IF(N20="",0,N20),2))</f>
        <v>0</v>
      </c>
      <c r="AC20" s="36">
        <f>IF(B20="","",ROUND((IF(O20="",0,O20)+IF(P20="",0,P20)+IF(Q20="",0,Q20)+IF(R20="",0,R20)+IF(S20="",0,S20))*W20,1))</f>
        <v>0</v>
      </c>
      <c r="AD20" s="20">
        <f>IF(B20="","",IF(T20&lt;&gt;"",T20,LaborCostHour))</f>
        <v>0</v>
      </c>
      <c r="AE20" s="20">
        <f>IF(B20="","",ROUND(AC20/60*AD20,2))</f>
        <v>0</v>
      </c>
      <c r="AF20" s="20">
        <f>IF(B20="","",ROUND(AC20/60*SuppliesPerHour,2))</f>
        <v>0</v>
      </c>
      <c r="AG20" s="20">
        <f>IF(B20="","",ROUND(IF(G20="",0,G20)*W20*X20*IFERROR(INDEX(Materials!$V$5:$V$254,MATCH(F20,Materials!$A$5:$A$254,0)),0),2))</f>
        <v>0</v>
      </c>
      <c r="AH20" s="20">
        <f>IF(B20="","",ROUND(AB20+AE20+AF20,2))</f>
        <v>0</v>
      </c>
      <c r="AI20" s="33">
        <f>IF(B20="","",IFERROR(INDEX(Channels!$S$5:$S$18,MATCH(DefaultChannel,Channels!$A$5:$A$18,0)),0))</f>
        <v>0</v>
      </c>
      <c r="AJ20" s="20">
        <f>IF(B20="","",IFERROR(INDEX(Channels!$T$5:$T$18,MATCH(DefaultChannel,Channels!$A$5:$A$18,0)),0))</f>
        <v>0</v>
      </c>
      <c r="AK20" s="41">
        <f>IF(B20="","",1-TargetRetailMargin-AI20)</f>
        <v>0</v>
      </c>
      <c r="AL20" s="20">
        <f>IF(B20="","",IF(AK20&lt;=0,"",(AH20+AJ20)/AK20))</f>
        <v>0</v>
      </c>
      <c r="AM20" s="20">
        <f>IF(B20="","",IF(AL20="","Check the settings",ROUND(IF(RoundingRule="None",AL20,IF(RoundingRule="Nearest 0.99",MAX(0.99,CEILING(AL20,1)-0.01),IF(RoundingRule="Nearest 0.95",MAX(0.95,CEILING(AL20,1)-0.05),IF(RoundingRule="Nearest 0.50",CEILING(AL20,0.5),IF(RoundingRule="Nearest 1",CEILING(AL20,1),IF(RoundingRule="Nearest 5",CEILING(AL20,5),IF(RoundingRule="Up to whole 1",CEILING(AL20,1),IF(RoundingRule="Up to whole 5",CEILING(AL20,5),ROUND(AL20,2))))))))),2)))</f>
        <v>0</v>
      </c>
      <c r="AN20" s="20">
        <f>IF(B20="","",IF(U20&lt;&gt;"",U20,IF(ISNUMBER(AM20),AM20,"")))</f>
        <v>0</v>
      </c>
      <c r="AO20" s="20">
        <f>IF(B20="","",IF(AN20="","",ROUND(AN20-AH20-(AN20*AI20+AJ20),2)))</f>
        <v>0</v>
      </c>
      <c r="AP20" s="33">
        <f>IF(B20="","",IF(OR(AN20="",AN20=0),"",AO20/AN20))</f>
        <v>0</v>
      </c>
      <c r="AQ20" s="41">
        <f>IF(B20="","",ROUND(AC20/60,3))</f>
        <v>0</v>
      </c>
      <c r="AR20" s="20">
        <f>IF(B20="","",IF(OR(AQ20=0,AQ20="",AO20=""),"",ROUND((AO20+AE20)/AQ20,2)))</f>
        <v>0</v>
      </c>
      <c r="AS20" s="43">
        <f>IF(B20="","",IF(AND(A20&lt;&gt;"",ISERROR(MATCH(A20,Products!$A$5:$A$304,0))),"Check - no such product ID",IF(AB20=0,"Add - no material cost yet",IF(AC20=0,"Add - how long does it take?",IF(AND(A20&lt;&gt;"",COUNTIFS('Material Usage'!$A$5:$A$904,A20)&gt;0),"Check - this product also has a bill of materials",IF(AND(A20&lt;&gt;"",COUNTIFS(Labor!$A$5:$A$304,A20)&gt;0),"Check - this product also has labour lines",IF(AR20&lt;MinimumWage,"Below - pays under minimum wage","OK")))))) )</f>
        <v>0</v>
      </c>
    </row>
    <row r="21" spans="23:45">
      <c r="W21" s="41">
        <f>IF(B21="","",IF(E21="",1,E21))</f>
        <v>0</v>
      </c>
      <c r="X21" s="33">
        <f>IF(B21="","",IF(H21="",DefaultWaste,H21))</f>
        <v>0</v>
      </c>
      <c r="Y21" s="36">
        <f>IF(B21="","",ROUND(IF(G21="",0,G21)*W21*(1+X21),1))</f>
        <v>0</v>
      </c>
      <c r="Z21" s="20">
        <f>IF(B21="","",ROUND(Y21*IFERROR(INDEX(Materials!$V$5:$V$254,MATCH(F21,Materials!$A$5:$A$254,0)),0),2))</f>
        <v>0</v>
      </c>
      <c r="AA21" s="20">
        <f>IF(B21="","",ROUND(IF(J21="",0,J21)*W21*(1+X21)*IFERROR(INDEX(Materials!$V$5:$V$254,MATCH(I21,Materials!$A$5:$A$254,0)),0),2))</f>
        <v>0</v>
      </c>
      <c r="AB21" s="20">
        <f>IF(B21="","",ROUND(Z21+AA21+IF(K21="",0,K21)+IF(L21="",0,L21)+IF(M21="",0,M21)+IF(N21="",0,N21),2))</f>
        <v>0</v>
      </c>
      <c r="AC21" s="36">
        <f>IF(B21="","",ROUND((IF(O21="",0,O21)+IF(P21="",0,P21)+IF(Q21="",0,Q21)+IF(R21="",0,R21)+IF(S21="",0,S21))*W21,1))</f>
        <v>0</v>
      </c>
      <c r="AD21" s="20">
        <f>IF(B21="","",IF(T21&lt;&gt;"",T21,LaborCostHour))</f>
        <v>0</v>
      </c>
      <c r="AE21" s="20">
        <f>IF(B21="","",ROUND(AC21/60*AD21,2))</f>
        <v>0</v>
      </c>
      <c r="AF21" s="20">
        <f>IF(B21="","",ROUND(AC21/60*SuppliesPerHour,2))</f>
        <v>0</v>
      </c>
      <c r="AG21" s="20">
        <f>IF(B21="","",ROUND(IF(G21="",0,G21)*W21*X21*IFERROR(INDEX(Materials!$V$5:$V$254,MATCH(F21,Materials!$A$5:$A$254,0)),0),2))</f>
        <v>0</v>
      </c>
      <c r="AH21" s="20">
        <f>IF(B21="","",ROUND(AB21+AE21+AF21,2))</f>
        <v>0</v>
      </c>
      <c r="AI21" s="33">
        <f>IF(B21="","",IFERROR(INDEX(Channels!$S$5:$S$18,MATCH(DefaultChannel,Channels!$A$5:$A$18,0)),0))</f>
        <v>0</v>
      </c>
      <c r="AJ21" s="20">
        <f>IF(B21="","",IFERROR(INDEX(Channels!$T$5:$T$18,MATCH(DefaultChannel,Channels!$A$5:$A$18,0)),0))</f>
        <v>0</v>
      </c>
      <c r="AK21" s="41">
        <f>IF(B21="","",1-TargetRetailMargin-AI21)</f>
        <v>0</v>
      </c>
      <c r="AL21" s="20">
        <f>IF(B21="","",IF(AK21&lt;=0,"",(AH21+AJ21)/AK21))</f>
        <v>0</v>
      </c>
      <c r="AM21" s="20">
        <f>IF(B21="","",IF(AL21="","Check the settings",ROUND(IF(RoundingRule="None",AL21,IF(RoundingRule="Nearest 0.99",MAX(0.99,CEILING(AL21,1)-0.01),IF(RoundingRule="Nearest 0.95",MAX(0.95,CEILING(AL21,1)-0.05),IF(RoundingRule="Nearest 0.50",CEILING(AL21,0.5),IF(RoundingRule="Nearest 1",CEILING(AL21,1),IF(RoundingRule="Nearest 5",CEILING(AL21,5),IF(RoundingRule="Up to whole 1",CEILING(AL21,1),IF(RoundingRule="Up to whole 5",CEILING(AL21,5),ROUND(AL21,2))))))))),2)))</f>
        <v>0</v>
      </c>
      <c r="AN21" s="20">
        <f>IF(B21="","",IF(U21&lt;&gt;"",U21,IF(ISNUMBER(AM21),AM21,"")))</f>
        <v>0</v>
      </c>
      <c r="AO21" s="20">
        <f>IF(B21="","",IF(AN21="","",ROUND(AN21-AH21-(AN21*AI21+AJ21),2)))</f>
        <v>0</v>
      </c>
      <c r="AP21" s="33">
        <f>IF(B21="","",IF(OR(AN21="",AN21=0),"",AO21/AN21))</f>
        <v>0</v>
      </c>
      <c r="AQ21" s="41">
        <f>IF(B21="","",ROUND(AC21/60,3))</f>
        <v>0</v>
      </c>
      <c r="AR21" s="20">
        <f>IF(B21="","",IF(OR(AQ21=0,AQ21="",AO21=""),"",ROUND((AO21+AE21)/AQ21,2)))</f>
        <v>0</v>
      </c>
      <c r="AS21" s="43">
        <f>IF(B21="","",IF(AND(A21&lt;&gt;"",ISERROR(MATCH(A21,Products!$A$5:$A$304,0))),"Check - no such product ID",IF(AB21=0,"Add - no material cost yet",IF(AC21=0,"Add - how long does it take?",IF(AND(A21&lt;&gt;"",COUNTIFS('Material Usage'!$A$5:$A$904,A21)&gt;0),"Check - this product also has a bill of materials",IF(AND(A21&lt;&gt;"",COUNTIFS(Labor!$A$5:$A$304,A21)&gt;0),"Check - this product also has labour lines",IF(AR21&lt;MinimumWage,"Below - pays under minimum wage","OK")))))) )</f>
        <v>0</v>
      </c>
    </row>
    <row r="22" spans="23:45">
      <c r="W22" s="41">
        <f>IF(B22="","",IF(E22="",1,E22))</f>
        <v>0</v>
      </c>
      <c r="X22" s="33">
        <f>IF(B22="","",IF(H22="",DefaultWaste,H22))</f>
        <v>0</v>
      </c>
      <c r="Y22" s="36">
        <f>IF(B22="","",ROUND(IF(G22="",0,G22)*W22*(1+X22),1))</f>
        <v>0</v>
      </c>
      <c r="Z22" s="20">
        <f>IF(B22="","",ROUND(Y22*IFERROR(INDEX(Materials!$V$5:$V$254,MATCH(F22,Materials!$A$5:$A$254,0)),0),2))</f>
        <v>0</v>
      </c>
      <c r="AA22" s="20">
        <f>IF(B22="","",ROUND(IF(J22="",0,J22)*W22*(1+X22)*IFERROR(INDEX(Materials!$V$5:$V$254,MATCH(I22,Materials!$A$5:$A$254,0)),0),2))</f>
        <v>0</v>
      </c>
      <c r="AB22" s="20">
        <f>IF(B22="","",ROUND(Z22+AA22+IF(K22="",0,K22)+IF(L22="",0,L22)+IF(M22="",0,M22)+IF(N22="",0,N22),2))</f>
        <v>0</v>
      </c>
      <c r="AC22" s="36">
        <f>IF(B22="","",ROUND((IF(O22="",0,O22)+IF(P22="",0,P22)+IF(Q22="",0,Q22)+IF(R22="",0,R22)+IF(S22="",0,S22))*W22,1))</f>
        <v>0</v>
      </c>
      <c r="AD22" s="20">
        <f>IF(B22="","",IF(T22&lt;&gt;"",T22,LaborCostHour))</f>
        <v>0</v>
      </c>
      <c r="AE22" s="20">
        <f>IF(B22="","",ROUND(AC22/60*AD22,2))</f>
        <v>0</v>
      </c>
      <c r="AF22" s="20">
        <f>IF(B22="","",ROUND(AC22/60*SuppliesPerHour,2))</f>
        <v>0</v>
      </c>
      <c r="AG22" s="20">
        <f>IF(B22="","",ROUND(IF(G22="",0,G22)*W22*X22*IFERROR(INDEX(Materials!$V$5:$V$254,MATCH(F22,Materials!$A$5:$A$254,0)),0),2))</f>
        <v>0</v>
      </c>
      <c r="AH22" s="20">
        <f>IF(B22="","",ROUND(AB22+AE22+AF22,2))</f>
        <v>0</v>
      </c>
      <c r="AI22" s="33">
        <f>IF(B22="","",IFERROR(INDEX(Channels!$S$5:$S$18,MATCH(DefaultChannel,Channels!$A$5:$A$18,0)),0))</f>
        <v>0</v>
      </c>
      <c r="AJ22" s="20">
        <f>IF(B22="","",IFERROR(INDEX(Channels!$T$5:$T$18,MATCH(DefaultChannel,Channels!$A$5:$A$18,0)),0))</f>
        <v>0</v>
      </c>
      <c r="AK22" s="41">
        <f>IF(B22="","",1-TargetRetailMargin-AI22)</f>
        <v>0</v>
      </c>
      <c r="AL22" s="20">
        <f>IF(B22="","",IF(AK22&lt;=0,"",(AH22+AJ22)/AK22))</f>
        <v>0</v>
      </c>
      <c r="AM22" s="20">
        <f>IF(B22="","",IF(AL22="","Check the settings",ROUND(IF(RoundingRule="None",AL22,IF(RoundingRule="Nearest 0.99",MAX(0.99,CEILING(AL22,1)-0.01),IF(RoundingRule="Nearest 0.95",MAX(0.95,CEILING(AL22,1)-0.05),IF(RoundingRule="Nearest 0.50",CEILING(AL22,0.5),IF(RoundingRule="Nearest 1",CEILING(AL22,1),IF(RoundingRule="Nearest 5",CEILING(AL22,5),IF(RoundingRule="Up to whole 1",CEILING(AL22,1),IF(RoundingRule="Up to whole 5",CEILING(AL22,5),ROUND(AL22,2))))))))),2)))</f>
        <v>0</v>
      </c>
      <c r="AN22" s="20">
        <f>IF(B22="","",IF(U22&lt;&gt;"",U22,IF(ISNUMBER(AM22),AM22,"")))</f>
        <v>0</v>
      </c>
      <c r="AO22" s="20">
        <f>IF(B22="","",IF(AN22="","",ROUND(AN22-AH22-(AN22*AI22+AJ22),2)))</f>
        <v>0</v>
      </c>
      <c r="AP22" s="33">
        <f>IF(B22="","",IF(OR(AN22="",AN22=0),"",AO22/AN22))</f>
        <v>0</v>
      </c>
      <c r="AQ22" s="41">
        <f>IF(B22="","",ROUND(AC22/60,3))</f>
        <v>0</v>
      </c>
      <c r="AR22" s="20">
        <f>IF(B22="","",IF(OR(AQ22=0,AQ22="",AO22=""),"",ROUND((AO22+AE22)/AQ22,2)))</f>
        <v>0</v>
      </c>
      <c r="AS22" s="43">
        <f>IF(B22="","",IF(AND(A22&lt;&gt;"",ISERROR(MATCH(A22,Products!$A$5:$A$304,0))),"Check - no such product ID",IF(AB22=0,"Add - no material cost yet",IF(AC22=0,"Add - how long does it take?",IF(AND(A22&lt;&gt;"",COUNTIFS('Material Usage'!$A$5:$A$904,A22)&gt;0),"Check - this product also has a bill of materials",IF(AND(A22&lt;&gt;"",COUNTIFS(Labor!$A$5:$A$304,A22)&gt;0),"Check - this product also has labour lines",IF(AR22&lt;MinimumWage,"Below - pays under minimum wage","OK")))))) )</f>
        <v>0</v>
      </c>
    </row>
    <row r="23" spans="23:45">
      <c r="W23" s="41">
        <f>IF(B23="","",IF(E23="",1,E23))</f>
        <v>0</v>
      </c>
      <c r="X23" s="33">
        <f>IF(B23="","",IF(H23="",DefaultWaste,H23))</f>
        <v>0</v>
      </c>
      <c r="Y23" s="36">
        <f>IF(B23="","",ROUND(IF(G23="",0,G23)*W23*(1+X23),1))</f>
        <v>0</v>
      </c>
      <c r="Z23" s="20">
        <f>IF(B23="","",ROUND(Y23*IFERROR(INDEX(Materials!$V$5:$V$254,MATCH(F23,Materials!$A$5:$A$254,0)),0),2))</f>
        <v>0</v>
      </c>
      <c r="AA23" s="20">
        <f>IF(B23="","",ROUND(IF(J23="",0,J23)*W23*(1+X23)*IFERROR(INDEX(Materials!$V$5:$V$254,MATCH(I23,Materials!$A$5:$A$254,0)),0),2))</f>
        <v>0</v>
      </c>
      <c r="AB23" s="20">
        <f>IF(B23="","",ROUND(Z23+AA23+IF(K23="",0,K23)+IF(L23="",0,L23)+IF(M23="",0,M23)+IF(N23="",0,N23),2))</f>
        <v>0</v>
      </c>
      <c r="AC23" s="36">
        <f>IF(B23="","",ROUND((IF(O23="",0,O23)+IF(P23="",0,P23)+IF(Q23="",0,Q23)+IF(R23="",0,R23)+IF(S23="",0,S23))*W23,1))</f>
        <v>0</v>
      </c>
      <c r="AD23" s="20">
        <f>IF(B23="","",IF(T23&lt;&gt;"",T23,LaborCostHour))</f>
        <v>0</v>
      </c>
      <c r="AE23" s="20">
        <f>IF(B23="","",ROUND(AC23/60*AD23,2))</f>
        <v>0</v>
      </c>
      <c r="AF23" s="20">
        <f>IF(B23="","",ROUND(AC23/60*SuppliesPerHour,2))</f>
        <v>0</v>
      </c>
      <c r="AG23" s="20">
        <f>IF(B23="","",ROUND(IF(G23="",0,G23)*W23*X23*IFERROR(INDEX(Materials!$V$5:$V$254,MATCH(F23,Materials!$A$5:$A$254,0)),0),2))</f>
        <v>0</v>
      </c>
      <c r="AH23" s="20">
        <f>IF(B23="","",ROUND(AB23+AE23+AF23,2))</f>
        <v>0</v>
      </c>
      <c r="AI23" s="33">
        <f>IF(B23="","",IFERROR(INDEX(Channels!$S$5:$S$18,MATCH(DefaultChannel,Channels!$A$5:$A$18,0)),0))</f>
        <v>0</v>
      </c>
      <c r="AJ23" s="20">
        <f>IF(B23="","",IFERROR(INDEX(Channels!$T$5:$T$18,MATCH(DefaultChannel,Channels!$A$5:$A$18,0)),0))</f>
        <v>0</v>
      </c>
      <c r="AK23" s="41">
        <f>IF(B23="","",1-TargetRetailMargin-AI23)</f>
        <v>0</v>
      </c>
      <c r="AL23" s="20">
        <f>IF(B23="","",IF(AK23&lt;=0,"",(AH23+AJ23)/AK23))</f>
        <v>0</v>
      </c>
      <c r="AM23" s="20">
        <f>IF(B23="","",IF(AL23="","Check the settings",ROUND(IF(RoundingRule="None",AL23,IF(RoundingRule="Nearest 0.99",MAX(0.99,CEILING(AL23,1)-0.01),IF(RoundingRule="Nearest 0.95",MAX(0.95,CEILING(AL23,1)-0.05),IF(RoundingRule="Nearest 0.50",CEILING(AL23,0.5),IF(RoundingRule="Nearest 1",CEILING(AL23,1),IF(RoundingRule="Nearest 5",CEILING(AL23,5),IF(RoundingRule="Up to whole 1",CEILING(AL23,1),IF(RoundingRule="Up to whole 5",CEILING(AL23,5),ROUND(AL23,2))))))))),2)))</f>
        <v>0</v>
      </c>
      <c r="AN23" s="20">
        <f>IF(B23="","",IF(U23&lt;&gt;"",U23,IF(ISNUMBER(AM23),AM23,"")))</f>
        <v>0</v>
      </c>
      <c r="AO23" s="20">
        <f>IF(B23="","",IF(AN23="","",ROUND(AN23-AH23-(AN23*AI23+AJ23),2)))</f>
        <v>0</v>
      </c>
      <c r="AP23" s="33">
        <f>IF(B23="","",IF(OR(AN23="",AN23=0),"",AO23/AN23))</f>
        <v>0</v>
      </c>
      <c r="AQ23" s="41">
        <f>IF(B23="","",ROUND(AC23/60,3))</f>
        <v>0</v>
      </c>
      <c r="AR23" s="20">
        <f>IF(B23="","",IF(OR(AQ23=0,AQ23="",AO23=""),"",ROUND((AO23+AE23)/AQ23,2)))</f>
        <v>0</v>
      </c>
      <c r="AS23" s="43">
        <f>IF(B23="","",IF(AND(A23&lt;&gt;"",ISERROR(MATCH(A23,Products!$A$5:$A$304,0))),"Check - no such product ID",IF(AB23=0,"Add - no material cost yet",IF(AC23=0,"Add - how long does it take?",IF(AND(A23&lt;&gt;"",COUNTIFS('Material Usage'!$A$5:$A$904,A23)&gt;0),"Check - this product also has a bill of materials",IF(AND(A23&lt;&gt;"",COUNTIFS(Labor!$A$5:$A$304,A23)&gt;0),"Check - this product also has labour lines",IF(AR23&lt;MinimumWage,"Below - pays under minimum wage","OK")))))) )</f>
        <v>0</v>
      </c>
    </row>
    <row r="24" spans="23:45">
      <c r="W24" s="41">
        <f>IF(B24="","",IF(E24="",1,E24))</f>
        <v>0</v>
      </c>
      <c r="X24" s="33">
        <f>IF(B24="","",IF(H24="",DefaultWaste,H24))</f>
        <v>0</v>
      </c>
      <c r="Y24" s="36">
        <f>IF(B24="","",ROUND(IF(G24="",0,G24)*W24*(1+X24),1))</f>
        <v>0</v>
      </c>
      <c r="Z24" s="20">
        <f>IF(B24="","",ROUND(Y24*IFERROR(INDEX(Materials!$V$5:$V$254,MATCH(F24,Materials!$A$5:$A$254,0)),0),2))</f>
        <v>0</v>
      </c>
      <c r="AA24" s="20">
        <f>IF(B24="","",ROUND(IF(J24="",0,J24)*W24*(1+X24)*IFERROR(INDEX(Materials!$V$5:$V$254,MATCH(I24,Materials!$A$5:$A$254,0)),0),2))</f>
        <v>0</v>
      </c>
      <c r="AB24" s="20">
        <f>IF(B24="","",ROUND(Z24+AA24+IF(K24="",0,K24)+IF(L24="",0,L24)+IF(M24="",0,M24)+IF(N24="",0,N24),2))</f>
        <v>0</v>
      </c>
      <c r="AC24" s="36">
        <f>IF(B24="","",ROUND((IF(O24="",0,O24)+IF(P24="",0,P24)+IF(Q24="",0,Q24)+IF(R24="",0,R24)+IF(S24="",0,S24))*W24,1))</f>
        <v>0</v>
      </c>
      <c r="AD24" s="20">
        <f>IF(B24="","",IF(T24&lt;&gt;"",T24,LaborCostHour))</f>
        <v>0</v>
      </c>
      <c r="AE24" s="20">
        <f>IF(B24="","",ROUND(AC24/60*AD24,2))</f>
        <v>0</v>
      </c>
      <c r="AF24" s="20">
        <f>IF(B24="","",ROUND(AC24/60*SuppliesPerHour,2))</f>
        <v>0</v>
      </c>
      <c r="AG24" s="20">
        <f>IF(B24="","",ROUND(IF(G24="",0,G24)*W24*X24*IFERROR(INDEX(Materials!$V$5:$V$254,MATCH(F24,Materials!$A$5:$A$254,0)),0),2))</f>
        <v>0</v>
      </c>
      <c r="AH24" s="20">
        <f>IF(B24="","",ROUND(AB24+AE24+AF24,2))</f>
        <v>0</v>
      </c>
      <c r="AI24" s="33">
        <f>IF(B24="","",IFERROR(INDEX(Channels!$S$5:$S$18,MATCH(DefaultChannel,Channels!$A$5:$A$18,0)),0))</f>
        <v>0</v>
      </c>
      <c r="AJ24" s="20">
        <f>IF(B24="","",IFERROR(INDEX(Channels!$T$5:$T$18,MATCH(DefaultChannel,Channels!$A$5:$A$18,0)),0))</f>
        <v>0</v>
      </c>
      <c r="AK24" s="41">
        <f>IF(B24="","",1-TargetRetailMargin-AI24)</f>
        <v>0</v>
      </c>
      <c r="AL24" s="20">
        <f>IF(B24="","",IF(AK24&lt;=0,"",(AH24+AJ24)/AK24))</f>
        <v>0</v>
      </c>
      <c r="AM24" s="20">
        <f>IF(B24="","",IF(AL24="","Check the settings",ROUND(IF(RoundingRule="None",AL24,IF(RoundingRule="Nearest 0.99",MAX(0.99,CEILING(AL24,1)-0.01),IF(RoundingRule="Nearest 0.95",MAX(0.95,CEILING(AL24,1)-0.05),IF(RoundingRule="Nearest 0.50",CEILING(AL24,0.5),IF(RoundingRule="Nearest 1",CEILING(AL24,1),IF(RoundingRule="Nearest 5",CEILING(AL24,5),IF(RoundingRule="Up to whole 1",CEILING(AL24,1),IF(RoundingRule="Up to whole 5",CEILING(AL24,5),ROUND(AL24,2))))))))),2)))</f>
        <v>0</v>
      </c>
      <c r="AN24" s="20">
        <f>IF(B24="","",IF(U24&lt;&gt;"",U24,IF(ISNUMBER(AM24),AM24,"")))</f>
        <v>0</v>
      </c>
      <c r="AO24" s="20">
        <f>IF(B24="","",IF(AN24="","",ROUND(AN24-AH24-(AN24*AI24+AJ24),2)))</f>
        <v>0</v>
      </c>
      <c r="AP24" s="33">
        <f>IF(B24="","",IF(OR(AN24="",AN24=0),"",AO24/AN24))</f>
        <v>0</v>
      </c>
      <c r="AQ24" s="41">
        <f>IF(B24="","",ROUND(AC24/60,3))</f>
        <v>0</v>
      </c>
      <c r="AR24" s="20">
        <f>IF(B24="","",IF(OR(AQ24=0,AQ24="",AO24=""),"",ROUND((AO24+AE24)/AQ24,2)))</f>
        <v>0</v>
      </c>
      <c r="AS24" s="43">
        <f>IF(B24="","",IF(AND(A24&lt;&gt;"",ISERROR(MATCH(A24,Products!$A$5:$A$304,0))),"Check - no such product ID",IF(AB24=0,"Add - no material cost yet",IF(AC24=0,"Add - how long does it take?",IF(AND(A24&lt;&gt;"",COUNTIFS('Material Usage'!$A$5:$A$904,A24)&gt;0),"Check - this product also has a bill of materials",IF(AND(A24&lt;&gt;"",COUNTIFS(Labor!$A$5:$A$304,A24)&gt;0),"Check - this product also has labour lines",IF(AR24&lt;MinimumWage,"Below - pays under minimum wage","OK")))))) )</f>
        <v>0</v>
      </c>
    </row>
    <row r="25" spans="23:45">
      <c r="W25" s="41">
        <f>IF(B25="","",IF(E25="",1,E25))</f>
        <v>0</v>
      </c>
      <c r="X25" s="33">
        <f>IF(B25="","",IF(H25="",DefaultWaste,H25))</f>
        <v>0</v>
      </c>
      <c r="Y25" s="36">
        <f>IF(B25="","",ROUND(IF(G25="",0,G25)*W25*(1+X25),1))</f>
        <v>0</v>
      </c>
      <c r="Z25" s="20">
        <f>IF(B25="","",ROUND(Y25*IFERROR(INDEX(Materials!$V$5:$V$254,MATCH(F25,Materials!$A$5:$A$254,0)),0),2))</f>
        <v>0</v>
      </c>
      <c r="AA25" s="20">
        <f>IF(B25="","",ROUND(IF(J25="",0,J25)*W25*(1+X25)*IFERROR(INDEX(Materials!$V$5:$V$254,MATCH(I25,Materials!$A$5:$A$254,0)),0),2))</f>
        <v>0</v>
      </c>
      <c r="AB25" s="20">
        <f>IF(B25="","",ROUND(Z25+AA25+IF(K25="",0,K25)+IF(L25="",0,L25)+IF(M25="",0,M25)+IF(N25="",0,N25),2))</f>
        <v>0</v>
      </c>
      <c r="AC25" s="36">
        <f>IF(B25="","",ROUND((IF(O25="",0,O25)+IF(P25="",0,P25)+IF(Q25="",0,Q25)+IF(R25="",0,R25)+IF(S25="",0,S25))*W25,1))</f>
        <v>0</v>
      </c>
      <c r="AD25" s="20">
        <f>IF(B25="","",IF(T25&lt;&gt;"",T25,LaborCostHour))</f>
        <v>0</v>
      </c>
      <c r="AE25" s="20">
        <f>IF(B25="","",ROUND(AC25/60*AD25,2))</f>
        <v>0</v>
      </c>
      <c r="AF25" s="20">
        <f>IF(B25="","",ROUND(AC25/60*SuppliesPerHour,2))</f>
        <v>0</v>
      </c>
      <c r="AG25" s="20">
        <f>IF(B25="","",ROUND(IF(G25="",0,G25)*W25*X25*IFERROR(INDEX(Materials!$V$5:$V$254,MATCH(F25,Materials!$A$5:$A$254,0)),0),2))</f>
        <v>0</v>
      </c>
      <c r="AH25" s="20">
        <f>IF(B25="","",ROUND(AB25+AE25+AF25,2))</f>
        <v>0</v>
      </c>
      <c r="AI25" s="33">
        <f>IF(B25="","",IFERROR(INDEX(Channels!$S$5:$S$18,MATCH(DefaultChannel,Channels!$A$5:$A$18,0)),0))</f>
        <v>0</v>
      </c>
      <c r="AJ25" s="20">
        <f>IF(B25="","",IFERROR(INDEX(Channels!$T$5:$T$18,MATCH(DefaultChannel,Channels!$A$5:$A$18,0)),0))</f>
        <v>0</v>
      </c>
      <c r="AK25" s="41">
        <f>IF(B25="","",1-TargetRetailMargin-AI25)</f>
        <v>0</v>
      </c>
      <c r="AL25" s="20">
        <f>IF(B25="","",IF(AK25&lt;=0,"",(AH25+AJ25)/AK25))</f>
        <v>0</v>
      </c>
      <c r="AM25" s="20">
        <f>IF(B25="","",IF(AL25="","Check the settings",ROUND(IF(RoundingRule="None",AL25,IF(RoundingRule="Nearest 0.99",MAX(0.99,CEILING(AL25,1)-0.01),IF(RoundingRule="Nearest 0.95",MAX(0.95,CEILING(AL25,1)-0.05),IF(RoundingRule="Nearest 0.50",CEILING(AL25,0.5),IF(RoundingRule="Nearest 1",CEILING(AL25,1),IF(RoundingRule="Nearest 5",CEILING(AL25,5),IF(RoundingRule="Up to whole 1",CEILING(AL25,1),IF(RoundingRule="Up to whole 5",CEILING(AL25,5),ROUND(AL25,2))))))))),2)))</f>
        <v>0</v>
      </c>
      <c r="AN25" s="20">
        <f>IF(B25="","",IF(U25&lt;&gt;"",U25,IF(ISNUMBER(AM25),AM25,"")))</f>
        <v>0</v>
      </c>
      <c r="AO25" s="20">
        <f>IF(B25="","",IF(AN25="","",ROUND(AN25-AH25-(AN25*AI25+AJ25),2)))</f>
        <v>0</v>
      </c>
      <c r="AP25" s="33">
        <f>IF(B25="","",IF(OR(AN25="",AN25=0),"",AO25/AN25))</f>
        <v>0</v>
      </c>
      <c r="AQ25" s="41">
        <f>IF(B25="","",ROUND(AC25/60,3))</f>
        <v>0</v>
      </c>
      <c r="AR25" s="20">
        <f>IF(B25="","",IF(OR(AQ25=0,AQ25="",AO25=""),"",ROUND((AO25+AE25)/AQ25,2)))</f>
        <v>0</v>
      </c>
      <c r="AS25" s="43">
        <f>IF(B25="","",IF(AND(A25&lt;&gt;"",ISERROR(MATCH(A25,Products!$A$5:$A$304,0))),"Check - no such product ID",IF(AB25=0,"Add - no material cost yet",IF(AC25=0,"Add - how long does it take?",IF(AND(A25&lt;&gt;"",COUNTIFS('Material Usage'!$A$5:$A$904,A25)&gt;0),"Check - this product also has a bill of materials",IF(AND(A25&lt;&gt;"",COUNTIFS(Labor!$A$5:$A$304,A25)&gt;0),"Check - this product also has labour lines",IF(AR25&lt;MinimumWage,"Below - pays under minimum wage","OK")))))) )</f>
        <v>0</v>
      </c>
    </row>
    <row r="26" spans="23:45">
      <c r="W26" s="41">
        <f>IF(B26="","",IF(E26="",1,E26))</f>
        <v>0</v>
      </c>
      <c r="X26" s="33">
        <f>IF(B26="","",IF(H26="",DefaultWaste,H26))</f>
        <v>0</v>
      </c>
      <c r="Y26" s="36">
        <f>IF(B26="","",ROUND(IF(G26="",0,G26)*W26*(1+X26),1))</f>
        <v>0</v>
      </c>
      <c r="Z26" s="20">
        <f>IF(B26="","",ROUND(Y26*IFERROR(INDEX(Materials!$V$5:$V$254,MATCH(F26,Materials!$A$5:$A$254,0)),0),2))</f>
        <v>0</v>
      </c>
      <c r="AA26" s="20">
        <f>IF(B26="","",ROUND(IF(J26="",0,J26)*W26*(1+X26)*IFERROR(INDEX(Materials!$V$5:$V$254,MATCH(I26,Materials!$A$5:$A$254,0)),0),2))</f>
        <v>0</v>
      </c>
      <c r="AB26" s="20">
        <f>IF(B26="","",ROUND(Z26+AA26+IF(K26="",0,K26)+IF(L26="",0,L26)+IF(M26="",0,M26)+IF(N26="",0,N26),2))</f>
        <v>0</v>
      </c>
      <c r="AC26" s="36">
        <f>IF(B26="","",ROUND((IF(O26="",0,O26)+IF(P26="",0,P26)+IF(Q26="",0,Q26)+IF(R26="",0,R26)+IF(S26="",0,S26))*W26,1))</f>
        <v>0</v>
      </c>
      <c r="AD26" s="20">
        <f>IF(B26="","",IF(T26&lt;&gt;"",T26,LaborCostHour))</f>
        <v>0</v>
      </c>
      <c r="AE26" s="20">
        <f>IF(B26="","",ROUND(AC26/60*AD26,2))</f>
        <v>0</v>
      </c>
      <c r="AF26" s="20">
        <f>IF(B26="","",ROUND(AC26/60*SuppliesPerHour,2))</f>
        <v>0</v>
      </c>
      <c r="AG26" s="20">
        <f>IF(B26="","",ROUND(IF(G26="",0,G26)*W26*X26*IFERROR(INDEX(Materials!$V$5:$V$254,MATCH(F26,Materials!$A$5:$A$254,0)),0),2))</f>
        <v>0</v>
      </c>
      <c r="AH26" s="20">
        <f>IF(B26="","",ROUND(AB26+AE26+AF26,2))</f>
        <v>0</v>
      </c>
      <c r="AI26" s="33">
        <f>IF(B26="","",IFERROR(INDEX(Channels!$S$5:$S$18,MATCH(DefaultChannel,Channels!$A$5:$A$18,0)),0))</f>
        <v>0</v>
      </c>
      <c r="AJ26" s="20">
        <f>IF(B26="","",IFERROR(INDEX(Channels!$T$5:$T$18,MATCH(DefaultChannel,Channels!$A$5:$A$18,0)),0))</f>
        <v>0</v>
      </c>
      <c r="AK26" s="41">
        <f>IF(B26="","",1-TargetRetailMargin-AI26)</f>
        <v>0</v>
      </c>
      <c r="AL26" s="20">
        <f>IF(B26="","",IF(AK26&lt;=0,"",(AH26+AJ26)/AK26))</f>
        <v>0</v>
      </c>
      <c r="AM26" s="20">
        <f>IF(B26="","",IF(AL26="","Check the settings",ROUND(IF(RoundingRule="None",AL26,IF(RoundingRule="Nearest 0.99",MAX(0.99,CEILING(AL26,1)-0.01),IF(RoundingRule="Nearest 0.95",MAX(0.95,CEILING(AL26,1)-0.05),IF(RoundingRule="Nearest 0.50",CEILING(AL26,0.5),IF(RoundingRule="Nearest 1",CEILING(AL26,1),IF(RoundingRule="Nearest 5",CEILING(AL26,5),IF(RoundingRule="Up to whole 1",CEILING(AL26,1),IF(RoundingRule="Up to whole 5",CEILING(AL26,5),ROUND(AL26,2))))))))),2)))</f>
        <v>0</v>
      </c>
      <c r="AN26" s="20">
        <f>IF(B26="","",IF(U26&lt;&gt;"",U26,IF(ISNUMBER(AM26),AM26,"")))</f>
        <v>0</v>
      </c>
      <c r="AO26" s="20">
        <f>IF(B26="","",IF(AN26="","",ROUND(AN26-AH26-(AN26*AI26+AJ26),2)))</f>
        <v>0</v>
      </c>
      <c r="AP26" s="33">
        <f>IF(B26="","",IF(OR(AN26="",AN26=0),"",AO26/AN26))</f>
        <v>0</v>
      </c>
      <c r="AQ26" s="41">
        <f>IF(B26="","",ROUND(AC26/60,3))</f>
        <v>0</v>
      </c>
      <c r="AR26" s="20">
        <f>IF(B26="","",IF(OR(AQ26=0,AQ26="",AO26=""),"",ROUND((AO26+AE26)/AQ26,2)))</f>
        <v>0</v>
      </c>
      <c r="AS26" s="43">
        <f>IF(B26="","",IF(AND(A26&lt;&gt;"",ISERROR(MATCH(A26,Products!$A$5:$A$304,0))),"Check - no such product ID",IF(AB26=0,"Add - no material cost yet",IF(AC26=0,"Add - how long does it take?",IF(AND(A26&lt;&gt;"",COUNTIFS('Material Usage'!$A$5:$A$904,A26)&gt;0),"Check - this product also has a bill of materials",IF(AND(A26&lt;&gt;"",COUNTIFS(Labor!$A$5:$A$304,A26)&gt;0),"Check - this product also has labour lines",IF(AR26&lt;MinimumWage,"Below - pays under minimum wage","OK")))))) )</f>
        <v>0</v>
      </c>
    </row>
    <row r="27" spans="23:45">
      <c r="W27" s="41">
        <f>IF(B27="","",IF(E27="",1,E27))</f>
        <v>0</v>
      </c>
      <c r="X27" s="33">
        <f>IF(B27="","",IF(H27="",DefaultWaste,H27))</f>
        <v>0</v>
      </c>
      <c r="Y27" s="36">
        <f>IF(B27="","",ROUND(IF(G27="",0,G27)*W27*(1+X27),1))</f>
        <v>0</v>
      </c>
      <c r="Z27" s="20">
        <f>IF(B27="","",ROUND(Y27*IFERROR(INDEX(Materials!$V$5:$V$254,MATCH(F27,Materials!$A$5:$A$254,0)),0),2))</f>
        <v>0</v>
      </c>
      <c r="AA27" s="20">
        <f>IF(B27="","",ROUND(IF(J27="",0,J27)*W27*(1+X27)*IFERROR(INDEX(Materials!$V$5:$V$254,MATCH(I27,Materials!$A$5:$A$254,0)),0),2))</f>
        <v>0</v>
      </c>
      <c r="AB27" s="20">
        <f>IF(B27="","",ROUND(Z27+AA27+IF(K27="",0,K27)+IF(L27="",0,L27)+IF(M27="",0,M27)+IF(N27="",0,N27),2))</f>
        <v>0</v>
      </c>
      <c r="AC27" s="36">
        <f>IF(B27="","",ROUND((IF(O27="",0,O27)+IF(P27="",0,P27)+IF(Q27="",0,Q27)+IF(R27="",0,R27)+IF(S27="",0,S27))*W27,1))</f>
        <v>0</v>
      </c>
      <c r="AD27" s="20">
        <f>IF(B27="","",IF(T27&lt;&gt;"",T27,LaborCostHour))</f>
        <v>0</v>
      </c>
      <c r="AE27" s="20">
        <f>IF(B27="","",ROUND(AC27/60*AD27,2))</f>
        <v>0</v>
      </c>
      <c r="AF27" s="20">
        <f>IF(B27="","",ROUND(AC27/60*SuppliesPerHour,2))</f>
        <v>0</v>
      </c>
      <c r="AG27" s="20">
        <f>IF(B27="","",ROUND(IF(G27="",0,G27)*W27*X27*IFERROR(INDEX(Materials!$V$5:$V$254,MATCH(F27,Materials!$A$5:$A$254,0)),0),2))</f>
        <v>0</v>
      </c>
      <c r="AH27" s="20">
        <f>IF(B27="","",ROUND(AB27+AE27+AF27,2))</f>
        <v>0</v>
      </c>
      <c r="AI27" s="33">
        <f>IF(B27="","",IFERROR(INDEX(Channels!$S$5:$S$18,MATCH(DefaultChannel,Channels!$A$5:$A$18,0)),0))</f>
        <v>0</v>
      </c>
      <c r="AJ27" s="20">
        <f>IF(B27="","",IFERROR(INDEX(Channels!$T$5:$T$18,MATCH(DefaultChannel,Channels!$A$5:$A$18,0)),0))</f>
        <v>0</v>
      </c>
      <c r="AK27" s="41">
        <f>IF(B27="","",1-TargetRetailMargin-AI27)</f>
        <v>0</v>
      </c>
      <c r="AL27" s="20">
        <f>IF(B27="","",IF(AK27&lt;=0,"",(AH27+AJ27)/AK27))</f>
        <v>0</v>
      </c>
      <c r="AM27" s="20">
        <f>IF(B27="","",IF(AL27="","Check the settings",ROUND(IF(RoundingRule="None",AL27,IF(RoundingRule="Nearest 0.99",MAX(0.99,CEILING(AL27,1)-0.01),IF(RoundingRule="Nearest 0.95",MAX(0.95,CEILING(AL27,1)-0.05),IF(RoundingRule="Nearest 0.50",CEILING(AL27,0.5),IF(RoundingRule="Nearest 1",CEILING(AL27,1),IF(RoundingRule="Nearest 5",CEILING(AL27,5),IF(RoundingRule="Up to whole 1",CEILING(AL27,1),IF(RoundingRule="Up to whole 5",CEILING(AL27,5),ROUND(AL27,2))))))))),2)))</f>
        <v>0</v>
      </c>
      <c r="AN27" s="20">
        <f>IF(B27="","",IF(U27&lt;&gt;"",U27,IF(ISNUMBER(AM27),AM27,"")))</f>
        <v>0</v>
      </c>
      <c r="AO27" s="20">
        <f>IF(B27="","",IF(AN27="","",ROUND(AN27-AH27-(AN27*AI27+AJ27),2)))</f>
        <v>0</v>
      </c>
      <c r="AP27" s="33">
        <f>IF(B27="","",IF(OR(AN27="",AN27=0),"",AO27/AN27))</f>
        <v>0</v>
      </c>
      <c r="AQ27" s="41">
        <f>IF(B27="","",ROUND(AC27/60,3))</f>
        <v>0</v>
      </c>
      <c r="AR27" s="20">
        <f>IF(B27="","",IF(OR(AQ27=0,AQ27="",AO27=""),"",ROUND((AO27+AE27)/AQ27,2)))</f>
        <v>0</v>
      </c>
      <c r="AS27" s="43">
        <f>IF(B27="","",IF(AND(A27&lt;&gt;"",ISERROR(MATCH(A27,Products!$A$5:$A$304,0))),"Check - no such product ID",IF(AB27=0,"Add - no material cost yet",IF(AC27=0,"Add - how long does it take?",IF(AND(A27&lt;&gt;"",COUNTIFS('Material Usage'!$A$5:$A$904,A27)&gt;0),"Check - this product also has a bill of materials",IF(AND(A27&lt;&gt;"",COUNTIFS(Labor!$A$5:$A$304,A27)&gt;0),"Check - this product also has labour lines",IF(AR27&lt;MinimumWage,"Below - pays under minimum wage","OK")))))) )</f>
        <v>0</v>
      </c>
    </row>
    <row r="28" spans="23:45">
      <c r="W28" s="41">
        <f>IF(B28="","",IF(E28="",1,E28))</f>
        <v>0</v>
      </c>
      <c r="X28" s="33">
        <f>IF(B28="","",IF(H28="",DefaultWaste,H28))</f>
        <v>0</v>
      </c>
      <c r="Y28" s="36">
        <f>IF(B28="","",ROUND(IF(G28="",0,G28)*W28*(1+X28),1))</f>
        <v>0</v>
      </c>
      <c r="Z28" s="20">
        <f>IF(B28="","",ROUND(Y28*IFERROR(INDEX(Materials!$V$5:$V$254,MATCH(F28,Materials!$A$5:$A$254,0)),0),2))</f>
        <v>0</v>
      </c>
      <c r="AA28" s="20">
        <f>IF(B28="","",ROUND(IF(J28="",0,J28)*W28*(1+X28)*IFERROR(INDEX(Materials!$V$5:$V$254,MATCH(I28,Materials!$A$5:$A$254,0)),0),2))</f>
        <v>0</v>
      </c>
      <c r="AB28" s="20">
        <f>IF(B28="","",ROUND(Z28+AA28+IF(K28="",0,K28)+IF(L28="",0,L28)+IF(M28="",0,M28)+IF(N28="",0,N28),2))</f>
        <v>0</v>
      </c>
      <c r="AC28" s="36">
        <f>IF(B28="","",ROUND((IF(O28="",0,O28)+IF(P28="",0,P28)+IF(Q28="",0,Q28)+IF(R28="",0,R28)+IF(S28="",0,S28))*W28,1))</f>
        <v>0</v>
      </c>
      <c r="AD28" s="20">
        <f>IF(B28="","",IF(T28&lt;&gt;"",T28,LaborCostHour))</f>
        <v>0</v>
      </c>
      <c r="AE28" s="20">
        <f>IF(B28="","",ROUND(AC28/60*AD28,2))</f>
        <v>0</v>
      </c>
      <c r="AF28" s="20">
        <f>IF(B28="","",ROUND(AC28/60*SuppliesPerHour,2))</f>
        <v>0</v>
      </c>
      <c r="AG28" s="20">
        <f>IF(B28="","",ROUND(IF(G28="",0,G28)*W28*X28*IFERROR(INDEX(Materials!$V$5:$V$254,MATCH(F28,Materials!$A$5:$A$254,0)),0),2))</f>
        <v>0</v>
      </c>
      <c r="AH28" s="20">
        <f>IF(B28="","",ROUND(AB28+AE28+AF28,2))</f>
        <v>0</v>
      </c>
      <c r="AI28" s="33">
        <f>IF(B28="","",IFERROR(INDEX(Channels!$S$5:$S$18,MATCH(DefaultChannel,Channels!$A$5:$A$18,0)),0))</f>
        <v>0</v>
      </c>
      <c r="AJ28" s="20">
        <f>IF(B28="","",IFERROR(INDEX(Channels!$T$5:$T$18,MATCH(DefaultChannel,Channels!$A$5:$A$18,0)),0))</f>
        <v>0</v>
      </c>
      <c r="AK28" s="41">
        <f>IF(B28="","",1-TargetRetailMargin-AI28)</f>
        <v>0</v>
      </c>
      <c r="AL28" s="20">
        <f>IF(B28="","",IF(AK28&lt;=0,"",(AH28+AJ28)/AK28))</f>
        <v>0</v>
      </c>
      <c r="AM28" s="20">
        <f>IF(B28="","",IF(AL28="","Check the settings",ROUND(IF(RoundingRule="None",AL28,IF(RoundingRule="Nearest 0.99",MAX(0.99,CEILING(AL28,1)-0.01),IF(RoundingRule="Nearest 0.95",MAX(0.95,CEILING(AL28,1)-0.05),IF(RoundingRule="Nearest 0.50",CEILING(AL28,0.5),IF(RoundingRule="Nearest 1",CEILING(AL28,1),IF(RoundingRule="Nearest 5",CEILING(AL28,5),IF(RoundingRule="Up to whole 1",CEILING(AL28,1),IF(RoundingRule="Up to whole 5",CEILING(AL28,5),ROUND(AL28,2))))))))),2)))</f>
        <v>0</v>
      </c>
      <c r="AN28" s="20">
        <f>IF(B28="","",IF(U28&lt;&gt;"",U28,IF(ISNUMBER(AM28),AM28,"")))</f>
        <v>0</v>
      </c>
      <c r="AO28" s="20">
        <f>IF(B28="","",IF(AN28="","",ROUND(AN28-AH28-(AN28*AI28+AJ28),2)))</f>
        <v>0</v>
      </c>
      <c r="AP28" s="33">
        <f>IF(B28="","",IF(OR(AN28="",AN28=0),"",AO28/AN28))</f>
        <v>0</v>
      </c>
      <c r="AQ28" s="41">
        <f>IF(B28="","",ROUND(AC28/60,3))</f>
        <v>0</v>
      </c>
      <c r="AR28" s="20">
        <f>IF(B28="","",IF(OR(AQ28=0,AQ28="",AO28=""),"",ROUND((AO28+AE28)/AQ28,2)))</f>
        <v>0</v>
      </c>
      <c r="AS28" s="43">
        <f>IF(B28="","",IF(AND(A28&lt;&gt;"",ISERROR(MATCH(A28,Products!$A$5:$A$304,0))),"Check - no such product ID",IF(AB28=0,"Add - no material cost yet",IF(AC28=0,"Add - how long does it take?",IF(AND(A28&lt;&gt;"",COUNTIFS('Material Usage'!$A$5:$A$904,A28)&gt;0),"Check - this product also has a bill of materials",IF(AND(A28&lt;&gt;"",COUNTIFS(Labor!$A$5:$A$304,A28)&gt;0),"Check - this product also has labour lines",IF(AR28&lt;MinimumWage,"Below - pays under minimum wage","OK")))))) )</f>
        <v>0</v>
      </c>
    </row>
    <row r="29" spans="23:45">
      <c r="W29" s="41">
        <f>IF(B29="","",IF(E29="",1,E29))</f>
        <v>0</v>
      </c>
      <c r="X29" s="33">
        <f>IF(B29="","",IF(H29="",DefaultWaste,H29))</f>
        <v>0</v>
      </c>
      <c r="Y29" s="36">
        <f>IF(B29="","",ROUND(IF(G29="",0,G29)*W29*(1+X29),1))</f>
        <v>0</v>
      </c>
      <c r="Z29" s="20">
        <f>IF(B29="","",ROUND(Y29*IFERROR(INDEX(Materials!$V$5:$V$254,MATCH(F29,Materials!$A$5:$A$254,0)),0),2))</f>
        <v>0</v>
      </c>
      <c r="AA29" s="20">
        <f>IF(B29="","",ROUND(IF(J29="",0,J29)*W29*(1+X29)*IFERROR(INDEX(Materials!$V$5:$V$254,MATCH(I29,Materials!$A$5:$A$254,0)),0),2))</f>
        <v>0</v>
      </c>
      <c r="AB29" s="20">
        <f>IF(B29="","",ROUND(Z29+AA29+IF(K29="",0,K29)+IF(L29="",0,L29)+IF(M29="",0,M29)+IF(N29="",0,N29),2))</f>
        <v>0</v>
      </c>
      <c r="AC29" s="36">
        <f>IF(B29="","",ROUND((IF(O29="",0,O29)+IF(P29="",0,P29)+IF(Q29="",0,Q29)+IF(R29="",0,R29)+IF(S29="",0,S29))*W29,1))</f>
        <v>0</v>
      </c>
      <c r="AD29" s="20">
        <f>IF(B29="","",IF(T29&lt;&gt;"",T29,LaborCostHour))</f>
        <v>0</v>
      </c>
      <c r="AE29" s="20">
        <f>IF(B29="","",ROUND(AC29/60*AD29,2))</f>
        <v>0</v>
      </c>
      <c r="AF29" s="20">
        <f>IF(B29="","",ROUND(AC29/60*SuppliesPerHour,2))</f>
        <v>0</v>
      </c>
      <c r="AG29" s="20">
        <f>IF(B29="","",ROUND(IF(G29="",0,G29)*W29*X29*IFERROR(INDEX(Materials!$V$5:$V$254,MATCH(F29,Materials!$A$5:$A$254,0)),0),2))</f>
        <v>0</v>
      </c>
      <c r="AH29" s="20">
        <f>IF(B29="","",ROUND(AB29+AE29+AF29,2))</f>
        <v>0</v>
      </c>
      <c r="AI29" s="33">
        <f>IF(B29="","",IFERROR(INDEX(Channels!$S$5:$S$18,MATCH(DefaultChannel,Channels!$A$5:$A$18,0)),0))</f>
        <v>0</v>
      </c>
      <c r="AJ29" s="20">
        <f>IF(B29="","",IFERROR(INDEX(Channels!$T$5:$T$18,MATCH(DefaultChannel,Channels!$A$5:$A$18,0)),0))</f>
        <v>0</v>
      </c>
      <c r="AK29" s="41">
        <f>IF(B29="","",1-TargetRetailMargin-AI29)</f>
        <v>0</v>
      </c>
      <c r="AL29" s="20">
        <f>IF(B29="","",IF(AK29&lt;=0,"",(AH29+AJ29)/AK29))</f>
        <v>0</v>
      </c>
      <c r="AM29" s="20">
        <f>IF(B29="","",IF(AL29="","Check the settings",ROUND(IF(RoundingRule="None",AL29,IF(RoundingRule="Nearest 0.99",MAX(0.99,CEILING(AL29,1)-0.01),IF(RoundingRule="Nearest 0.95",MAX(0.95,CEILING(AL29,1)-0.05),IF(RoundingRule="Nearest 0.50",CEILING(AL29,0.5),IF(RoundingRule="Nearest 1",CEILING(AL29,1),IF(RoundingRule="Nearest 5",CEILING(AL29,5),IF(RoundingRule="Up to whole 1",CEILING(AL29,1),IF(RoundingRule="Up to whole 5",CEILING(AL29,5),ROUND(AL29,2))))))))),2)))</f>
        <v>0</v>
      </c>
      <c r="AN29" s="20">
        <f>IF(B29="","",IF(U29&lt;&gt;"",U29,IF(ISNUMBER(AM29),AM29,"")))</f>
        <v>0</v>
      </c>
      <c r="AO29" s="20">
        <f>IF(B29="","",IF(AN29="","",ROUND(AN29-AH29-(AN29*AI29+AJ29),2)))</f>
        <v>0</v>
      </c>
      <c r="AP29" s="33">
        <f>IF(B29="","",IF(OR(AN29="",AN29=0),"",AO29/AN29))</f>
        <v>0</v>
      </c>
      <c r="AQ29" s="41">
        <f>IF(B29="","",ROUND(AC29/60,3))</f>
        <v>0</v>
      </c>
      <c r="AR29" s="20">
        <f>IF(B29="","",IF(OR(AQ29=0,AQ29="",AO29=""),"",ROUND((AO29+AE29)/AQ29,2)))</f>
        <v>0</v>
      </c>
      <c r="AS29" s="43">
        <f>IF(B29="","",IF(AND(A29&lt;&gt;"",ISERROR(MATCH(A29,Products!$A$5:$A$304,0))),"Check - no such product ID",IF(AB29=0,"Add - no material cost yet",IF(AC29=0,"Add - how long does it take?",IF(AND(A29&lt;&gt;"",COUNTIFS('Material Usage'!$A$5:$A$904,A29)&gt;0),"Check - this product also has a bill of materials",IF(AND(A29&lt;&gt;"",COUNTIFS(Labor!$A$5:$A$304,A29)&gt;0),"Check - this product also has labour lines",IF(AR29&lt;MinimumWage,"Below - pays under minimum wage","OK")))))) )</f>
        <v>0</v>
      </c>
    </row>
    <row r="30" spans="23:45">
      <c r="W30" s="41">
        <f>IF(B30="","",IF(E30="",1,E30))</f>
        <v>0</v>
      </c>
      <c r="X30" s="33">
        <f>IF(B30="","",IF(H30="",DefaultWaste,H30))</f>
        <v>0</v>
      </c>
      <c r="Y30" s="36">
        <f>IF(B30="","",ROUND(IF(G30="",0,G30)*W30*(1+X30),1))</f>
        <v>0</v>
      </c>
      <c r="Z30" s="20">
        <f>IF(B30="","",ROUND(Y30*IFERROR(INDEX(Materials!$V$5:$V$254,MATCH(F30,Materials!$A$5:$A$254,0)),0),2))</f>
        <v>0</v>
      </c>
      <c r="AA30" s="20">
        <f>IF(B30="","",ROUND(IF(J30="",0,J30)*W30*(1+X30)*IFERROR(INDEX(Materials!$V$5:$V$254,MATCH(I30,Materials!$A$5:$A$254,0)),0),2))</f>
        <v>0</v>
      </c>
      <c r="AB30" s="20">
        <f>IF(B30="","",ROUND(Z30+AA30+IF(K30="",0,K30)+IF(L30="",0,L30)+IF(M30="",0,M30)+IF(N30="",0,N30),2))</f>
        <v>0</v>
      </c>
      <c r="AC30" s="36">
        <f>IF(B30="","",ROUND((IF(O30="",0,O30)+IF(P30="",0,P30)+IF(Q30="",0,Q30)+IF(R30="",0,R30)+IF(S30="",0,S30))*W30,1))</f>
        <v>0</v>
      </c>
      <c r="AD30" s="20">
        <f>IF(B30="","",IF(T30&lt;&gt;"",T30,LaborCostHour))</f>
        <v>0</v>
      </c>
      <c r="AE30" s="20">
        <f>IF(B30="","",ROUND(AC30/60*AD30,2))</f>
        <v>0</v>
      </c>
      <c r="AF30" s="20">
        <f>IF(B30="","",ROUND(AC30/60*SuppliesPerHour,2))</f>
        <v>0</v>
      </c>
      <c r="AG30" s="20">
        <f>IF(B30="","",ROUND(IF(G30="",0,G30)*W30*X30*IFERROR(INDEX(Materials!$V$5:$V$254,MATCH(F30,Materials!$A$5:$A$254,0)),0),2))</f>
        <v>0</v>
      </c>
      <c r="AH30" s="20">
        <f>IF(B30="","",ROUND(AB30+AE30+AF30,2))</f>
        <v>0</v>
      </c>
      <c r="AI30" s="33">
        <f>IF(B30="","",IFERROR(INDEX(Channels!$S$5:$S$18,MATCH(DefaultChannel,Channels!$A$5:$A$18,0)),0))</f>
        <v>0</v>
      </c>
      <c r="AJ30" s="20">
        <f>IF(B30="","",IFERROR(INDEX(Channels!$T$5:$T$18,MATCH(DefaultChannel,Channels!$A$5:$A$18,0)),0))</f>
        <v>0</v>
      </c>
      <c r="AK30" s="41">
        <f>IF(B30="","",1-TargetRetailMargin-AI30)</f>
        <v>0</v>
      </c>
      <c r="AL30" s="20">
        <f>IF(B30="","",IF(AK30&lt;=0,"",(AH30+AJ30)/AK30))</f>
        <v>0</v>
      </c>
      <c r="AM30" s="20">
        <f>IF(B30="","",IF(AL30="","Check the settings",ROUND(IF(RoundingRule="None",AL30,IF(RoundingRule="Nearest 0.99",MAX(0.99,CEILING(AL30,1)-0.01),IF(RoundingRule="Nearest 0.95",MAX(0.95,CEILING(AL30,1)-0.05),IF(RoundingRule="Nearest 0.50",CEILING(AL30,0.5),IF(RoundingRule="Nearest 1",CEILING(AL30,1),IF(RoundingRule="Nearest 5",CEILING(AL30,5),IF(RoundingRule="Up to whole 1",CEILING(AL30,1),IF(RoundingRule="Up to whole 5",CEILING(AL30,5),ROUND(AL30,2))))))))),2)))</f>
        <v>0</v>
      </c>
      <c r="AN30" s="20">
        <f>IF(B30="","",IF(U30&lt;&gt;"",U30,IF(ISNUMBER(AM30),AM30,"")))</f>
        <v>0</v>
      </c>
      <c r="AO30" s="20">
        <f>IF(B30="","",IF(AN30="","",ROUND(AN30-AH30-(AN30*AI30+AJ30),2)))</f>
        <v>0</v>
      </c>
      <c r="AP30" s="33">
        <f>IF(B30="","",IF(OR(AN30="",AN30=0),"",AO30/AN30))</f>
        <v>0</v>
      </c>
      <c r="AQ30" s="41">
        <f>IF(B30="","",ROUND(AC30/60,3))</f>
        <v>0</v>
      </c>
      <c r="AR30" s="20">
        <f>IF(B30="","",IF(OR(AQ30=0,AQ30="",AO30=""),"",ROUND((AO30+AE30)/AQ30,2)))</f>
        <v>0</v>
      </c>
      <c r="AS30" s="43">
        <f>IF(B30="","",IF(AND(A30&lt;&gt;"",ISERROR(MATCH(A30,Products!$A$5:$A$304,0))),"Check - no such product ID",IF(AB30=0,"Add - no material cost yet",IF(AC30=0,"Add - how long does it take?",IF(AND(A30&lt;&gt;"",COUNTIFS('Material Usage'!$A$5:$A$904,A30)&gt;0),"Check - this product also has a bill of materials",IF(AND(A30&lt;&gt;"",COUNTIFS(Labor!$A$5:$A$304,A30)&gt;0),"Check - this product also has labour lines",IF(AR30&lt;MinimumWage,"Below - pays under minimum wage","OK")))))) )</f>
        <v>0</v>
      </c>
    </row>
    <row r="31" spans="23:45">
      <c r="W31" s="41">
        <f>IF(B31="","",IF(E31="",1,E31))</f>
        <v>0</v>
      </c>
      <c r="X31" s="33">
        <f>IF(B31="","",IF(H31="",DefaultWaste,H31))</f>
        <v>0</v>
      </c>
      <c r="Y31" s="36">
        <f>IF(B31="","",ROUND(IF(G31="",0,G31)*W31*(1+X31),1))</f>
        <v>0</v>
      </c>
      <c r="Z31" s="20">
        <f>IF(B31="","",ROUND(Y31*IFERROR(INDEX(Materials!$V$5:$V$254,MATCH(F31,Materials!$A$5:$A$254,0)),0),2))</f>
        <v>0</v>
      </c>
      <c r="AA31" s="20">
        <f>IF(B31="","",ROUND(IF(J31="",0,J31)*W31*(1+X31)*IFERROR(INDEX(Materials!$V$5:$V$254,MATCH(I31,Materials!$A$5:$A$254,0)),0),2))</f>
        <v>0</v>
      </c>
      <c r="AB31" s="20">
        <f>IF(B31="","",ROUND(Z31+AA31+IF(K31="",0,K31)+IF(L31="",0,L31)+IF(M31="",0,M31)+IF(N31="",0,N31),2))</f>
        <v>0</v>
      </c>
      <c r="AC31" s="36">
        <f>IF(B31="","",ROUND((IF(O31="",0,O31)+IF(P31="",0,P31)+IF(Q31="",0,Q31)+IF(R31="",0,R31)+IF(S31="",0,S31))*W31,1))</f>
        <v>0</v>
      </c>
      <c r="AD31" s="20">
        <f>IF(B31="","",IF(T31&lt;&gt;"",T31,LaborCostHour))</f>
        <v>0</v>
      </c>
      <c r="AE31" s="20">
        <f>IF(B31="","",ROUND(AC31/60*AD31,2))</f>
        <v>0</v>
      </c>
      <c r="AF31" s="20">
        <f>IF(B31="","",ROUND(AC31/60*SuppliesPerHour,2))</f>
        <v>0</v>
      </c>
      <c r="AG31" s="20">
        <f>IF(B31="","",ROUND(IF(G31="",0,G31)*W31*X31*IFERROR(INDEX(Materials!$V$5:$V$254,MATCH(F31,Materials!$A$5:$A$254,0)),0),2))</f>
        <v>0</v>
      </c>
      <c r="AH31" s="20">
        <f>IF(B31="","",ROUND(AB31+AE31+AF31,2))</f>
        <v>0</v>
      </c>
      <c r="AI31" s="33">
        <f>IF(B31="","",IFERROR(INDEX(Channels!$S$5:$S$18,MATCH(DefaultChannel,Channels!$A$5:$A$18,0)),0))</f>
        <v>0</v>
      </c>
      <c r="AJ31" s="20">
        <f>IF(B31="","",IFERROR(INDEX(Channels!$T$5:$T$18,MATCH(DefaultChannel,Channels!$A$5:$A$18,0)),0))</f>
        <v>0</v>
      </c>
      <c r="AK31" s="41">
        <f>IF(B31="","",1-TargetRetailMargin-AI31)</f>
        <v>0</v>
      </c>
      <c r="AL31" s="20">
        <f>IF(B31="","",IF(AK31&lt;=0,"",(AH31+AJ31)/AK31))</f>
        <v>0</v>
      </c>
      <c r="AM31" s="20">
        <f>IF(B31="","",IF(AL31="","Check the settings",ROUND(IF(RoundingRule="None",AL31,IF(RoundingRule="Nearest 0.99",MAX(0.99,CEILING(AL31,1)-0.01),IF(RoundingRule="Nearest 0.95",MAX(0.95,CEILING(AL31,1)-0.05),IF(RoundingRule="Nearest 0.50",CEILING(AL31,0.5),IF(RoundingRule="Nearest 1",CEILING(AL31,1),IF(RoundingRule="Nearest 5",CEILING(AL31,5),IF(RoundingRule="Up to whole 1",CEILING(AL31,1),IF(RoundingRule="Up to whole 5",CEILING(AL31,5),ROUND(AL31,2))))))))),2)))</f>
        <v>0</v>
      </c>
      <c r="AN31" s="20">
        <f>IF(B31="","",IF(U31&lt;&gt;"",U31,IF(ISNUMBER(AM31),AM31,"")))</f>
        <v>0</v>
      </c>
      <c r="AO31" s="20">
        <f>IF(B31="","",IF(AN31="","",ROUND(AN31-AH31-(AN31*AI31+AJ31),2)))</f>
        <v>0</v>
      </c>
      <c r="AP31" s="33">
        <f>IF(B31="","",IF(OR(AN31="",AN31=0),"",AO31/AN31))</f>
        <v>0</v>
      </c>
      <c r="AQ31" s="41">
        <f>IF(B31="","",ROUND(AC31/60,3))</f>
        <v>0</v>
      </c>
      <c r="AR31" s="20">
        <f>IF(B31="","",IF(OR(AQ31=0,AQ31="",AO31=""),"",ROUND((AO31+AE31)/AQ31,2)))</f>
        <v>0</v>
      </c>
      <c r="AS31" s="43">
        <f>IF(B31="","",IF(AND(A31&lt;&gt;"",ISERROR(MATCH(A31,Products!$A$5:$A$304,0))),"Check - no such product ID",IF(AB31=0,"Add - no material cost yet",IF(AC31=0,"Add - how long does it take?",IF(AND(A31&lt;&gt;"",COUNTIFS('Material Usage'!$A$5:$A$904,A31)&gt;0),"Check - this product also has a bill of materials",IF(AND(A31&lt;&gt;"",COUNTIFS(Labor!$A$5:$A$304,A31)&gt;0),"Check - this product also has labour lines",IF(AR31&lt;MinimumWage,"Below - pays under minimum wage","OK")))))) )</f>
        <v>0</v>
      </c>
    </row>
    <row r="32" spans="23:45">
      <c r="W32" s="41">
        <f>IF(B32="","",IF(E32="",1,E32))</f>
        <v>0</v>
      </c>
      <c r="X32" s="33">
        <f>IF(B32="","",IF(H32="",DefaultWaste,H32))</f>
        <v>0</v>
      </c>
      <c r="Y32" s="36">
        <f>IF(B32="","",ROUND(IF(G32="",0,G32)*W32*(1+X32),1))</f>
        <v>0</v>
      </c>
      <c r="Z32" s="20">
        <f>IF(B32="","",ROUND(Y32*IFERROR(INDEX(Materials!$V$5:$V$254,MATCH(F32,Materials!$A$5:$A$254,0)),0),2))</f>
        <v>0</v>
      </c>
      <c r="AA32" s="20">
        <f>IF(B32="","",ROUND(IF(J32="",0,J32)*W32*(1+X32)*IFERROR(INDEX(Materials!$V$5:$V$254,MATCH(I32,Materials!$A$5:$A$254,0)),0),2))</f>
        <v>0</v>
      </c>
      <c r="AB32" s="20">
        <f>IF(B32="","",ROUND(Z32+AA32+IF(K32="",0,K32)+IF(L32="",0,L32)+IF(M32="",0,M32)+IF(N32="",0,N32),2))</f>
        <v>0</v>
      </c>
      <c r="AC32" s="36">
        <f>IF(B32="","",ROUND((IF(O32="",0,O32)+IF(P32="",0,P32)+IF(Q32="",0,Q32)+IF(R32="",0,R32)+IF(S32="",0,S32))*W32,1))</f>
        <v>0</v>
      </c>
      <c r="AD32" s="20">
        <f>IF(B32="","",IF(T32&lt;&gt;"",T32,LaborCostHour))</f>
        <v>0</v>
      </c>
      <c r="AE32" s="20">
        <f>IF(B32="","",ROUND(AC32/60*AD32,2))</f>
        <v>0</v>
      </c>
      <c r="AF32" s="20">
        <f>IF(B32="","",ROUND(AC32/60*SuppliesPerHour,2))</f>
        <v>0</v>
      </c>
      <c r="AG32" s="20">
        <f>IF(B32="","",ROUND(IF(G32="",0,G32)*W32*X32*IFERROR(INDEX(Materials!$V$5:$V$254,MATCH(F32,Materials!$A$5:$A$254,0)),0),2))</f>
        <v>0</v>
      </c>
      <c r="AH32" s="20">
        <f>IF(B32="","",ROUND(AB32+AE32+AF32,2))</f>
        <v>0</v>
      </c>
      <c r="AI32" s="33">
        <f>IF(B32="","",IFERROR(INDEX(Channels!$S$5:$S$18,MATCH(DefaultChannel,Channels!$A$5:$A$18,0)),0))</f>
        <v>0</v>
      </c>
      <c r="AJ32" s="20">
        <f>IF(B32="","",IFERROR(INDEX(Channels!$T$5:$T$18,MATCH(DefaultChannel,Channels!$A$5:$A$18,0)),0))</f>
        <v>0</v>
      </c>
      <c r="AK32" s="41">
        <f>IF(B32="","",1-TargetRetailMargin-AI32)</f>
        <v>0</v>
      </c>
      <c r="AL32" s="20">
        <f>IF(B32="","",IF(AK32&lt;=0,"",(AH32+AJ32)/AK32))</f>
        <v>0</v>
      </c>
      <c r="AM32" s="20">
        <f>IF(B32="","",IF(AL32="","Check the settings",ROUND(IF(RoundingRule="None",AL32,IF(RoundingRule="Nearest 0.99",MAX(0.99,CEILING(AL32,1)-0.01),IF(RoundingRule="Nearest 0.95",MAX(0.95,CEILING(AL32,1)-0.05),IF(RoundingRule="Nearest 0.50",CEILING(AL32,0.5),IF(RoundingRule="Nearest 1",CEILING(AL32,1),IF(RoundingRule="Nearest 5",CEILING(AL32,5),IF(RoundingRule="Up to whole 1",CEILING(AL32,1),IF(RoundingRule="Up to whole 5",CEILING(AL32,5),ROUND(AL32,2))))))))),2)))</f>
        <v>0</v>
      </c>
      <c r="AN32" s="20">
        <f>IF(B32="","",IF(U32&lt;&gt;"",U32,IF(ISNUMBER(AM32),AM32,"")))</f>
        <v>0</v>
      </c>
      <c r="AO32" s="20">
        <f>IF(B32="","",IF(AN32="","",ROUND(AN32-AH32-(AN32*AI32+AJ32),2)))</f>
        <v>0</v>
      </c>
      <c r="AP32" s="33">
        <f>IF(B32="","",IF(OR(AN32="",AN32=0),"",AO32/AN32))</f>
        <v>0</v>
      </c>
      <c r="AQ32" s="41">
        <f>IF(B32="","",ROUND(AC32/60,3))</f>
        <v>0</v>
      </c>
      <c r="AR32" s="20">
        <f>IF(B32="","",IF(OR(AQ32=0,AQ32="",AO32=""),"",ROUND((AO32+AE32)/AQ32,2)))</f>
        <v>0</v>
      </c>
      <c r="AS32" s="43">
        <f>IF(B32="","",IF(AND(A32&lt;&gt;"",ISERROR(MATCH(A32,Products!$A$5:$A$304,0))),"Check - no such product ID",IF(AB32=0,"Add - no material cost yet",IF(AC32=0,"Add - how long does it take?",IF(AND(A32&lt;&gt;"",COUNTIFS('Material Usage'!$A$5:$A$904,A32)&gt;0),"Check - this product also has a bill of materials",IF(AND(A32&lt;&gt;"",COUNTIFS(Labor!$A$5:$A$304,A32)&gt;0),"Check - this product also has labour lines",IF(AR32&lt;MinimumWage,"Below - pays under minimum wage","OK")))))) )</f>
        <v>0</v>
      </c>
    </row>
    <row r="33" spans="23:45">
      <c r="W33" s="41">
        <f>IF(B33="","",IF(E33="",1,E33))</f>
        <v>0</v>
      </c>
      <c r="X33" s="33">
        <f>IF(B33="","",IF(H33="",DefaultWaste,H33))</f>
        <v>0</v>
      </c>
      <c r="Y33" s="36">
        <f>IF(B33="","",ROUND(IF(G33="",0,G33)*W33*(1+X33),1))</f>
        <v>0</v>
      </c>
      <c r="Z33" s="20">
        <f>IF(B33="","",ROUND(Y33*IFERROR(INDEX(Materials!$V$5:$V$254,MATCH(F33,Materials!$A$5:$A$254,0)),0),2))</f>
        <v>0</v>
      </c>
      <c r="AA33" s="20">
        <f>IF(B33="","",ROUND(IF(J33="",0,J33)*W33*(1+X33)*IFERROR(INDEX(Materials!$V$5:$V$254,MATCH(I33,Materials!$A$5:$A$254,0)),0),2))</f>
        <v>0</v>
      </c>
      <c r="AB33" s="20">
        <f>IF(B33="","",ROUND(Z33+AA33+IF(K33="",0,K33)+IF(L33="",0,L33)+IF(M33="",0,M33)+IF(N33="",0,N33),2))</f>
        <v>0</v>
      </c>
      <c r="AC33" s="36">
        <f>IF(B33="","",ROUND((IF(O33="",0,O33)+IF(P33="",0,P33)+IF(Q33="",0,Q33)+IF(R33="",0,R33)+IF(S33="",0,S33))*W33,1))</f>
        <v>0</v>
      </c>
      <c r="AD33" s="20">
        <f>IF(B33="","",IF(T33&lt;&gt;"",T33,LaborCostHour))</f>
        <v>0</v>
      </c>
      <c r="AE33" s="20">
        <f>IF(B33="","",ROUND(AC33/60*AD33,2))</f>
        <v>0</v>
      </c>
      <c r="AF33" s="20">
        <f>IF(B33="","",ROUND(AC33/60*SuppliesPerHour,2))</f>
        <v>0</v>
      </c>
      <c r="AG33" s="20">
        <f>IF(B33="","",ROUND(IF(G33="",0,G33)*W33*X33*IFERROR(INDEX(Materials!$V$5:$V$254,MATCH(F33,Materials!$A$5:$A$254,0)),0),2))</f>
        <v>0</v>
      </c>
      <c r="AH33" s="20">
        <f>IF(B33="","",ROUND(AB33+AE33+AF33,2))</f>
        <v>0</v>
      </c>
      <c r="AI33" s="33">
        <f>IF(B33="","",IFERROR(INDEX(Channels!$S$5:$S$18,MATCH(DefaultChannel,Channels!$A$5:$A$18,0)),0))</f>
        <v>0</v>
      </c>
      <c r="AJ33" s="20">
        <f>IF(B33="","",IFERROR(INDEX(Channels!$T$5:$T$18,MATCH(DefaultChannel,Channels!$A$5:$A$18,0)),0))</f>
        <v>0</v>
      </c>
      <c r="AK33" s="41">
        <f>IF(B33="","",1-TargetRetailMargin-AI33)</f>
        <v>0</v>
      </c>
      <c r="AL33" s="20">
        <f>IF(B33="","",IF(AK33&lt;=0,"",(AH33+AJ33)/AK33))</f>
        <v>0</v>
      </c>
      <c r="AM33" s="20">
        <f>IF(B33="","",IF(AL33="","Check the settings",ROUND(IF(RoundingRule="None",AL33,IF(RoundingRule="Nearest 0.99",MAX(0.99,CEILING(AL33,1)-0.01),IF(RoundingRule="Nearest 0.95",MAX(0.95,CEILING(AL33,1)-0.05),IF(RoundingRule="Nearest 0.50",CEILING(AL33,0.5),IF(RoundingRule="Nearest 1",CEILING(AL33,1),IF(RoundingRule="Nearest 5",CEILING(AL33,5),IF(RoundingRule="Up to whole 1",CEILING(AL33,1),IF(RoundingRule="Up to whole 5",CEILING(AL33,5),ROUND(AL33,2))))))))),2)))</f>
        <v>0</v>
      </c>
      <c r="AN33" s="20">
        <f>IF(B33="","",IF(U33&lt;&gt;"",U33,IF(ISNUMBER(AM33),AM33,"")))</f>
        <v>0</v>
      </c>
      <c r="AO33" s="20">
        <f>IF(B33="","",IF(AN33="","",ROUND(AN33-AH33-(AN33*AI33+AJ33),2)))</f>
        <v>0</v>
      </c>
      <c r="AP33" s="33">
        <f>IF(B33="","",IF(OR(AN33="",AN33=0),"",AO33/AN33))</f>
        <v>0</v>
      </c>
      <c r="AQ33" s="41">
        <f>IF(B33="","",ROUND(AC33/60,3))</f>
        <v>0</v>
      </c>
      <c r="AR33" s="20">
        <f>IF(B33="","",IF(OR(AQ33=0,AQ33="",AO33=""),"",ROUND((AO33+AE33)/AQ33,2)))</f>
        <v>0</v>
      </c>
      <c r="AS33" s="43">
        <f>IF(B33="","",IF(AND(A33&lt;&gt;"",ISERROR(MATCH(A33,Products!$A$5:$A$304,0))),"Check - no such product ID",IF(AB33=0,"Add - no material cost yet",IF(AC33=0,"Add - how long does it take?",IF(AND(A33&lt;&gt;"",COUNTIFS('Material Usage'!$A$5:$A$904,A33)&gt;0),"Check - this product also has a bill of materials",IF(AND(A33&lt;&gt;"",COUNTIFS(Labor!$A$5:$A$304,A33)&gt;0),"Check - this product also has labour lines",IF(AR33&lt;MinimumWage,"Below - pays under minimum wage","OK")))))) )</f>
        <v>0</v>
      </c>
    </row>
    <row r="34" spans="23:45">
      <c r="W34" s="41">
        <f>IF(B34="","",IF(E34="",1,E34))</f>
        <v>0</v>
      </c>
      <c r="X34" s="33">
        <f>IF(B34="","",IF(H34="",DefaultWaste,H34))</f>
        <v>0</v>
      </c>
      <c r="Y34" s="36">
        <f>IF(B34="","",ROUND(IF(G34="",0,G34)*W34*(1+X34),1))</f>
        <v>0</v>
      </c>
      <c r="Z34" s="20">
        <f>IF(B34="","",ROUND(Y34*IFERROR(INDEX(Materials!$V$5:$V$254,MATCH(F34,Materials!$A$5:$A$254,0)),0),2))</f>
        <v>0</v>
      </c>
      <c r="AA34" s="20">
        <f>IF(B34="","",ROUND(IF(J34="",0,J34)*W34*(1+X34)*IFERROR(INDEX(Materials!$V$5:$V$254,MATCH(I34,Materials!$A$5:$A$254,0)),0),2))</f>
        <v>0</v>
      </c>
      <c r="AB34" s="20">
        <f>IF(B34="","",ROUND(Z34+AA34+IF(K34="",0,K34)+IF(L34="",0,L34)+IF(M34="",0,M34)+IF(N34="",0,N34),2))</f>
        <v>0</v>
      </c>
      <c r="AC34" s="36">
        <f>IF(B34="","",ROUND((IF(O34="",0,O34)+IF(P34="",0,P34)+IF(Q34="",0,Q34)+IF(R34="",0,R34)+IF(S34="",0,S34))*W34,1))</f>
        <v>0</v>
      </c>
      <c r="AD34" s="20">
        <f>IF(B34="","",IF(T34&lt;&gt;"",T34,LaborCostHour))</f>
        <v>0</v>
      </c>
      <c r="AE34" s="20">
        <f>IF(B34="","",ROUND(AC34/60*AD34,2))</f>
        <v>0</v>
      </c>
      <c r="AF34" s="20">
        <f>IF(B34="","",ROUND(AC34/60*SuppliesPerHour,2))</f>
        <v>0</v>
      </c>
      <c r="AG34" s="20">
        <f>IF(B34="","",ROUND(IF(G34="",0,G34)*W34*X34*IFERROR(INDEX(Materials!$V$5:$V$254,MATCH(F34,Materials!$A$5:$A$254,0)),0),2))</f>
        <v>0</v>
      </c>
      <c r="AH34" s="20">
        <f>IF(B34="","",ROUND(AB34+AE34+AF34,2))</f>
        <v>0</v>
      </c>
      <c r="AI34" s="33">
        <f>IF(B34="","",IFERROR(INDEX(Channels!$S$5:$S$18,MATCH(DefaultChannel,Channels!$A$5:$A$18,0)),0))</f>
        <v>0</v>
      </c>
      <c r="AJ34" s="20">
        <f>IF(B34="","",IFERROR(INDEX(Channels!$T$5:$T$18,MATCH(DefaultChannel,Channels!$A$5:$A$18,0)),0))</f>
        <v>0</v>
      </c>
      <c r="AK34" s="41">
        <f>IF(B34="","",1-TargetRetailMargin-AI34)</f>
        <v>0</v>
      </c>
      <c r="AL34" s="20">
        <f>IF(B34="","",IF(AK34&lt;=0,"",(AH34+AJ34)/AK34))</f>
        <v>0</v>
      </c>
      <c r="AM34" s="20">
        <f>IF(B34="","",IF(AL34="","Check the settings",ROUND(IF(RoundingRule="None",AL34,IF(RoundingRule="Nearest 0.99",MAX(0.99,CEILING(AL34,1)-0.01),IF(RoundingRule="Nearest 0.95",MAX(0.95,CEILING(AL34,1)-0.05),IF(RoundingRule="Nearest 0.50",CEILING(AL34,0.5),IF(RoundingRule="Nearest 1",CEILING(AL34,1),IF(RoundingRule="Nearest 5",CEILING(AL34,5),IF(RoundingRule="Up to whole 1",CEILING(AL34,1),IF(RoundingRule="Up to whole 5",CEILING(AL34,5),ROUND(AL34,2))))))))),2)))</f>
        <v>0</v>
      </c>
      <c r="AN34" s="20">
        <f>IF(B34="","",IF(U34&lt;&gt;"",U34,IF(ISNUMBER(AM34),AM34,"")))</f>
        <v>0</v>
      </c>
      <c r="AO34" s="20">
        <f>IF(B34="","",IF(AN34="","",ROUND(AN34-AH34-(AN34*AI34+AJ34),2)))</f>
        <v>0</v>
      </c>
      <c r="AP34" s="33">
        <f>IF(B34="","",IF(OR(AN34="",AN34=0),"",AO34/AN34))</f>
        <v>0</v>
      </c>
      <c r="AQ34" s="41">
        <f>IF(B34="","",ROUND(AC34/60,3))</f>
        <v>0</v>
      </c>
      <c r="AR34" s="20">
        <f>IF(B34="","",IF(OR(AQ34=0,AQ34="",AO34=""),"",ROUND((AO34+AE34)/AQ34,2)))</f>
        <v>0</v>
      </c>
      <c r="AS34" s="43">
        <f>IF(B34="","",IF(AND(A34&lt;&gt;"",ISERROR(MATCH(A34,Products!$A$5:$A$304,0))),"Check - no such product ID",IF(AB34=0,"Add - no material cost yet",IF(AC34=0,"Add - how long does it take?",IF(AND(A34&lt;&gt;"",COUNTIFS('Material Usage'!$A$5:$A$904,A34)&gt;0),"Check - this product also has a bill of materials",IF(AND(A34&lt;&gt;"",COUNTIFS(Labor!$A$5:$A$304,A34)&gt;0),"Check - this product also has labour lines",IF(AR34&lt;MinimumWage,"Below - pays under minimum wage","OK")))))) )</f>
        <v>0</v>
      </c>
    </row>
    <row r="35" spans="23:45">
      <c r="W35" s="41">
        <f>IF(B35="","",IF(E35="",1,E35))</f>
        <v>0</v>
      </c>
      <c r="X35" s="33">
        <f>IF(B35="","",IF(H35="",DefaultWaste,H35))</f>
        <v>0</v>
      </c>
      <c r="Y35" s="36">
        <f>IF(B35="","",ROUND(IF(G35="",0,G35)*W35*(1+X35),1))</f>
        <v>0</v>
      </c>
      <c r="Z35" s="20">
        <f>IF(B35="","",ROUND(Y35*IFERROR(INDEX(Materials!$V$5:$V$254,MATCH(F35,Materials!$A$5:$A$254,0)),0),2))</f>
        <v>0</v>
      </c>
      <c r="AA35" s="20">
        <f>IF(B35="","",ROUND(IF(J35="",0,J35)*W35*(1+X35)*IFERROR(INDEX(Materials!$V$5:$V$254,MATCH(I35,Materials!$A$5:$A$254,0)),0),2))</f>
        <v>0</v>
      </c>
      <c r="AB35" s="20">
        <f>IF(B35="","",ROUND(Z35+AA35+IF(K35="",0,K35)+IF(L35="",0,L35)+IF(M35="",0,M35)+IF(N35="",0,N35),2))</f>
        <v>0</v>
      </c>
      <c r="AC35" s="36">
        <f>IF(B35="","",ROUND((IF(O35="",0,O35)+IF(P35="",0,P35)+IF(Q35="",0,Q35)+IF(R35="",0,R35)+IF(S35="",0,S35))*W35,1))</f>
        <v>0</v>
      </c>
      <c r="AD35" s="20">
        <f>IF(B35="","",IF(T35&lt;&gt;"",T35,LaborCostHour))</f>
        <v>0</v>
      </c>
      <c r="AE35" s="20">
        <f>IF(B35="","",ROUND(AC35/60*AD35,2))</f>
        <v>0</v>
      </c>
      <c r="AF35" s="20">
        <f>IF(B35="","",ROUND(AC35/60*SuppliesPerHour,2))</f>
        <v>0</v>
      </c>
      <c r="AG35" s="20">
        <f>IF(B35="","",ROUND(IF(G35="",0,G35)*W35*X35*IFERROR(INDEX(Materials!$V$5:$V$254,MATCH(F35,Materials!$A$5:$A$254,0)),0),2))</f>
        <v>0</v>
      </c>
      <c r="AH35" s="20">
        <f>IF(B35="","",ROUND(AB35+AE35+AF35,2))</f>
        <v>0</v>
      </c>
      <c r="AI35" s="33">
        <f>IF(B35="","",IFERROR(INDEX(Channels!$S$5:$S$18,MATCH(DefaultChannel,Channels!$A$5:$A$18,0)),0))</f>
        <v>0</v>
      </c>
      <c r="AJ35" s="20">
        <f>IF(B35="","",IFERROR(INDEX(Channels!$T$5:$T$18,MATCH(DefaultChannel,Channels!$A$5:$A$18,0)),0))</f>
        <v>0</v>
      </c>
      <c r="AK35" s="41">
        <f>IF(B35="","",1-TargetRetailMargin-AI35)</f>
        <v>0</v>
      </c>
      <c r="AL35" s="20">
        <f>IF(B35="","",IF(AK35&lt;=0,"",(AH35+AJ35)/AK35))</f>
        <v>0</v>
      </c>
      <c r="AM35" s="20">
        <f>IF(B35="","",IF(AL35="","Check the settings",ROUND(IF(RoundingRule="None",AL35,IF(RoundingRule="Nearest 0.99",MAX(0.99,CEILING(AL35,1)-0.01),IF(RoundingRule="Nearest 0.95",MAX(0.95,CEILING(AL35,1)-0.05),IF(RoundingRule="Nearest 0.50",CEILING(AL35,0.5),IF(RoundingRule="Nearest 1",CEILING(AL35,1),IF(RoundingRule="Nearest 5",CEILING(AL35,5),IF(RoundingRule="Up to whole 1",CEILING(AL35,1),IF(RoundingRule="Up to whole 5",CEILING(AL35,5),ROUND(AL35,2))))))))),2)))</f>
        <v>0</v>
      </c>
      <c r="AN35" s="20">
        <f>IF(B35="","",IF(U35&lt;&gt;"",U35,IF(ISNUMBER(AM35),AM35,"")))</f>
        <v>0</v>
      </c>
      <c r="AO35" s="20">
        <f>IF(B35="","",IF(AN35="","",ROUND(AN35-AH35-(AN35*AI35+AJ35),2)))</f>
        <v>0</v>
      </c>
      <c r="AP35" s="33">
        <f>IF(B35="","",IF(OR(AN35="",AN35=0),"",AO35/AN35))</f>
        <v>0</v>
      </c>
      <c r="AQ35" s="41">
        <f>IF(B35="","",ROUND(AC35/60,3))</f>
        <v>0</v>
      </c>
      <c r="AR35" s="20">
        <f>IF(B35="","",IF(OR(AQ35=0,AQ35="",AO35=""),"",ROUND((AO35+AE35)/AQ35,2)))</f>
        <v>0</v>
      </c>
      <c r="AS35" s="43">
        <f>IF(B35="","",IF(AND(A35&lt;&gt;"",ISERROR(MATCH(A35,Products!$A$5:$A$304,0))),"Check - no such product ID",IF(AB35=0,"Add - no material cost yet",IF(AC35=0,"Add - how long does it take?",IF(AND(A35&lt;&gt;"",COUNTIFS('Material Usage'!$A$5:$A$904,A35)&gt;0),"Check - this product also has a bill of materials",IF(AND(A35&lt;&gt;"",COUNTIFS(Labor!$A$5:$A$304,A35)&gt;0),"Check - this product also has labour lines",IF(AR35&lt;MinimumWage,"Below - pays under minimum wage","OK")))))) )</f>
        <v>0</v>
      </c>
    </row>
    <row r="36" spans="23:45">
      <c r="W36" s="41">
        <f>IF(B36="","",IF(E36="",1,E36))</f>
        <v>0</v>
      </c>
      <c r="X36" s="33">
        <f>IF(B36="","",IF(H36="",DefaultWaste,H36))</f>
        <v>0</v>
      </c>
      <c r="Y36" s="36">
        <f>IF(B36="","",ROUND(IF(G36="",0,G36)*W36*(1+X36),1))</f>
        <v>0</v>
      </c>
      <c r="Z36" s="20">
        <f>IF(B36="","",ROUND(Y36*IFERROR(INDEX(Materials!$V$5:$V$254,MATCH(F36,Materials!$A$5:$A$254,0)),0),2))</f>
        <v>0</v>
      </c>
      <c r="AA36" s="20">
        <f>IF(B36="","",ROUND(IF(J36="",0,J36)*W36*(1+X36)*IFERROR(INDEX(Materials!$V$5:$V$254,MATCH(I36,Materials!$A$5:$A$254,0)),0),2))</f>
        <v>0</v>
      </c>
      <c r="AB36" s="20">
        <f>IF(B36="","",ROUND(Z36+AA36+IF(K36="",0,K36)+IF(L36="",0,L36)+IF(M36="",0,M36)+IF(N36="",0,N36),2))</f>
        <v>0</v>
      </c>
      <c r="AC36" s="36">
        <f>IF(B36="","",ROUND((IF(O36="",0,O36)+IF(P36="",0,P36)+IF(Q36="",0,Q36)+IF(R36="",0,R36)+IF(S36="",0,S36))*W36,1))</f>
        <v>0</v>
      </c>
      <c r="AD36" s="20">
        <f>IF(B36="","",IF(T36&lt;&gt;"",T36,LaborCostHour))</f>
        <v>0</v>
      </c>
      <c r="AE36" s="20">
        <f>IF(B36="","",ROUND(AC36/60*AD36,2))</f>
        <v>0</v>
      </c>
      <c r="AF36" s="20">
        <f>IF(B36="","",ROUND(AC36/60*SuppliesPerHour,2))</f>
        <v>0</v>
      </c>
      <c r="AG36" s="20">
        <f>IF(B36="","",ROUND(IF(G36="",0,G36)*W36*X36*IFERROR(INDEX(Materials!$V$5:$V$254,MATCH(F36,Materials!$A$5:$A$254,0)),0),2))</f>
        <v>0</v>
      </c>
      <c r="AH36" s="20">
        <f>IF(B36="","",ROUND(AB36+AE36+AF36,2))</f>
        <v>0</v>
      </c>
      <c r="AI36" s="33">
        <f>IF(B36="","",IFERROR(INDEX(Channels!$S$5:$S$18,MATCH(DefaultChannel,Channels!$A$5:$A$18,0)),0))</f>
        <v>0</v>
      </c>
      <c r="AJ36" s="20">
        <f>IF(B36="","",IFERROR(INDEX(Channels!$T$5:$T$18,MATCH(DefaultChannel,Channels!$A$5:$A$18,0)),0))</f>
        <v>0</v>
      </c>
      <c r="AK36" s="41">
        <f>IF(B36="","",1-TargetRetailMargin-AI36)</f>
        <v>0</v>
      </c>
      <c r="AL36" s="20">
        <f>IF(B36="","",IF(AK36&lt;=0,"",(AH36+AJ36)/AK36))</f>
        <v>0</v>
      </c>
      <c r="AM36" s="20">
        <f>IF(B36="","",IF(AL36="","Check the settings",ROUND(IF(RoundingRule="None",AL36,IF(RoundingRule="Nearest 0.99",MAX(0.99,CEILING(AL36,1)-0.01),IF(RoundingRule="Nearest 0.95",MAX(0.95,CEILING(AL36,1)-0.05),IF(RoundingRule="Nearest 0.50",CEILING(AL36,0.5),IF(RoundingRule="Nearest 1",CEILING(AL36,1),IF(RoundingRule="Nearest 5",CEILING(AL36,5),IF(RoundingRule="Up to whole 1",CEILING(AL36,1),IF(RoundingRule="Up to whole 5",CEILING(AL36,5),ROUND(AL36,2))))))))),2)))</f>
        <v>0</v>
      </c>
      <c r="AN36" s="20">
        <f>IF(B36="","",IF(U36&lt;&gt;"",U36,IF(ISNUMBER(AM36),AM36,"")))</f>
        <v>0</v>
      </c>
      <c r="AO36" s="20">
        <f>IF(B36="","",IF(AN36="","",ROUND(AN36-AH36-(AN36*AI36+AJ36),2)))</f>
        <v>0</v>
      </c>
      <c r="AP36" s="33">
        <f>IF(B36="","",IF(OR(AN36="",AN36=0),"",AO36/AN36))</f>
        <v>0</v>
      </c>
      <c r="AQ36" s="41">
        <f>IF(B36="","",ROUND(AC36/60,3))</f>
        <v>0</v>
      </c>
      <c r="AR36" s="20">
        <f>IF(B36="","",IF(OR(AQ36=0,AQ36="",AO36=""),"",ROUND((AO36+AE36)/AQ36,2)))</f>
        <v>0</v>
      </c>
      <c r="AS36" s="43">
        <f>IF(B36="","",IF(AND(A36&lt;&gt;"",ISERROR(MATCH(A36,Products!$A$5:$A$304,0))),"Check - no such product ID",IF(AB36=0,"Add - no material cost yet",IF(AC36=0,"Add - how long does it take?",IF(AND(A36&lt;&gt;"",COUNTIFS('Material Usage'!$A$5:$A$904,A36)&gt;0),"Check - this product also has a bill of materials",IF(AND(A36&lt;&gt;"",COUNTIFS(Labor!$A$5:$A$304,A36)&gt;0),"Check - this product also has labour lines",IF(AR36&lt;MinimumWage,"Below - pays under minimum wage","OK")))))) )</f>
        <v>0</v>
      </c>
    </row>
    <row r="37" spans="23:45">
      <c r="W37" s="41">
        <f>IF(B37="","",IF(E37="",1,E37))</f>
        <v>0</v>
      </c>
      <c r="X37" s="33">
        <f>IF(B37="","",IF(H37="",DefaultWaste,H37))</f>
        <v>0</v>
      </c>
      <c r="Y37" s="36">
        <f>IF(B37="","",ROUND(IF(G37="",0,G37)*W37*(1+X37),1))</f>
        <v>0</v>
      </c>
      <c r="Z37" s="20">
        <f>IF(B37="","",ROUND(Y37*IFERROR(INDEX(Materials!$V$5:$V$254,MATCH(F37,Materials!$A$5:$A$254,0)),0),2))</f>
        <v>0</v>
      </c>
      <c r="AA37" s="20">
        <f>IF(B37="","",ROUND(IF(J37="",0,J37)*W37*(1+X37)*IFERROR(INDEX(Materials!$V$5:$V$254,MATCH(I37,Materials!$A$5:$A$254,0)),0),2))</f>
        <v>0</v>
      </c>
      <c r="AB37" s="20">
        <f>IF(B37="","",ROUND(Z37+AA37+IF(K37="",0,K37)+IF(L37="",0,L37)+IF(M37="",0,M37)+IF(N37="",0,N37),2))</f>
        <v>0</v>
      </c>
      <c r="AC37" s="36">
        <f>IF(B37="","",ROUND((IF(O37="",0,O37)+IF(P37="",0,P37)+IF(Q37="",0,Q37)+IF(R37="",0,R37)+IF(S37="",0,S37))*W37,1))</f>
        <v>0</v>
      </c>
      <c r="AD37" s="20">
        <f>IF(B37="","",IF(T37&lt;&gt;"",T37,LaborCostHour))</f>
        <v>0</v>
      </c>
      <c r="AE37" s="20">
        <f>IF(B37="","",ROUND(AC37/60*AD37,2))</f>
        <v>0</v>
      </c>
      <c r="AF37" s="20">
        <f>IF(B37="","",ROUND(AC37/60*SuppliesPerHour,2))</f>
        <v>0</v>
      </c>
      <c r="AG37" s="20">
        <f>IF(B37="","",ROUND(IF(G37="",0,G37)*W37*X37*IFERROR(INDEX(Materials!$V$5:$V$254,MATCH(F37,Materials!$A$5:$A$254,0)),0),2))</f>
        <v>0</v>
      </c>
      <c r="AH37" s="20">
        <f>IF(B37="","",ROUND(AB37+AE37+AF37,2))</f>
        <v>0</v>
      </c>
      <c r="AI37" s="33">
        <f>IF(B37="","",IFERROR(INDEX(Channels!$S$5:$S$18,MATCH(DefaultChannel,Channels!$A$5:$A$18,0)),0))</f>
        <v>0</v>
      </c>
      <c r="AJ37" s="20">
        <f>IF(B37="","",IFERROR(INDEX(Channels!$T$5:$T$18,MATCH(DefaultChannel,Channels!$A$5:$A$18,0)),0))</f>
        <v>0</v>
      </c>
      <c r="AK37" s="41">
        <f>IF(B37="","",1-TargetRetailMargin-AI37)</f>
        <v>0</v>
      </c>
      <c r="AL37" s="20">
        <f>IF(B37="","",IF(AK37&lt;=0,"",(AH37+AJ37)/AK37))</f>
        <v>0</v>
      </c>
      <c r="AM37" s="20">
        <f>IF(B37="","",IF(AL37="","Check the settings",ROUND(IF(RoundingRule="None",AL37,IF(RoundingRule="Nearest 0.99",MAX(0.99,CEILING(AL37,1)-0.01),IF(RoundingRule="Nearest 0.95",MAX(0.95,CEILING(AL37,1)-0.05),IF(RoundingRule="Nearest 0.50",CEILING(AL37,0.5),IF(RoundingRule="Nearest 1",CEILING(AL37,1),IF(RoundingRule="Nearest 5",CEILING(AL37,5),IF(RoundingRule="Up to whole 1",CEILING(AL37,1),IF(RoundingRule="Up to whole 5",CEILING(AL37,5),ROUND(AL37,2))))))))),2)))</f>
        <v>0</v>
      </c>
      <c r="AN37" s="20">
        <f>IF(B37="","",IF(U37&lt;&gt;"",U37,IF(ISNUMBER(AM37),AM37,"")))</f>
        <v>0</v>
      </c>
      <c r="AO37" s="20">
        <f>IF(B37="","",IF(AN37="","",ROUND(AN37-AH37-(AN37*AI37+AJ37),2)))</f>
        <v>0</v>
      </c>
      <c r="AP37" s="33">
        <f>IF(B37="","",IF(OR(AN37="",AN37=0),"",AO37/AN37))</f>
        <v>0</v>
      </c>
      <c r="AQ37" s="41">
        <f>IF(B37="","",ROUND(AC37/60,3))</f>
        <v>0</v>
      </c>
      <c r="AR37" s="20">
        <f>IF(B37="","",IF(OR(AQ37=0,AQ37="",AO37=""),"",ROUND((AO37+AE37)/AQ37,2)))</f>
        <v>0</v>
      </c>
      <c r="AS37" s="43">
        <f>IF(B37="","",IF(AND(A37&lt;&gt;"",ISERROR(MATCH(A37,Products!$A$5:$A$304,0))),"Check - no such product ID",IF(AB37=0,"Add - no material cost yet",IF(AC37=0,"Add - how long does it take?",IF(AND(A37&lt;&gt;"",COUNTIFS('Material Usage'!$A$5:$A$904,A37)&gt;0),"Check - this product also has a bill of materials",IF(AND(A37&lt;&gt;"",COUNTIFS(Labor!$A$5:$A$304,A37)&gt;0),"Check - this product also has labour lines",IF(AR37&lt;MinimumWage,"Below - pays under minimum wage","OK")))))) )</f>
        <v>0</v>
      </c>
    </row>
    <row r="38" spans="23:45">
      <c r="W38" s="41">
        <f>IF(B38="","",IF(E38="",1,E38))</f>
        <v>0</v>
      </c>
      <c r="X38" s="33">
        <f>IF(B38="","",IF(H38="",DefaultWaste,H38))</f>
        <v>0</v>
      </c>
      <c r="Y38" s="36">
        <f>IF(B38="","",ROUND(IF(G38="",0,G38)*W38*(1+X38),1))</f>
        <v>0</v>
      </c>
      <c r="Z38" s="20">
        <f>IF(B38="","",ROUND(Y38*IFERROR(INDEX(Materials!$V$5:$V$254,MATCH(F38,Materials!$A$5:$A$254,0)),0),2))</f>
        <v>0</v>
      </c>
      <c r="AA38" s="20">
        <f>IF(B38="","",ROUND(IF(J38="",0,J38)*W38*(1+X38)*IFERROR(INDEX(Materials!$V$5:$V$254,MATCH(I38,Materials!$A$5:$A$254,0)),0),2))</f>
        <v>0</v>
      </c>
      <c r="AB38" s="20">
        <f>IF(B38="","",ROUND(Z38+AA38+IF(K38="",0,K38)+IF(L38="",0,L38)+IF(M38="",0,M38)+IF(N38="",0,N38),2))</f>
        <v>0</v>
      </c>
      <c r="AC38" s="36">
        <f>IF(B38="","",ROUND((IF(O38="",0,O38)+IF(P38="",0,P38)+IF(Q38="",0,Q38)+IF(R38="",0,R38)+IF(S38="",0,S38))*W38,1))</f>
        <v>0</v>
      </c>
      <c r="AD38" s="20">
        <f>IF(B38="","",IF(T38&lt;&gt;"",T38,LaborCostHour))</f>
        <v>0</v>
      </c>
      <c r="AE38" s="20">
        <f>IF(B38="","",ROUND(AC38/60*AD38,2))</f>
        <v>0</v>
      </c>
      <c r="AF38" s="20">
        <f>IF(B38="","",ROUND(AC38/60*SuppliesPerHour,2))</f>
        <v>0</v>
      </c>
      <c r="AG38" s="20">
        <f>IF(B38="","",ROUND(IF(G38="",0,G38)*W38*X38*IFERROR(INDEX(Materials!$V$5:$V$254,MATCH(F38,Materials!$A$5:$A$254,0)),0),2))</f>
        <v>0</v>
      </c>
      <c r="AH38" s="20">
        <f>IF(B38="","",ROUND(AB38+AE38+AF38,2))</f>
        <v>0</v>
      </c>
      <c r="AI38" s="33">
        <f>IF(B38="","",IFERROR(INDEX(Channels!$S$5:$S$18,MATCH(DefaultChannel,Channels!$A$5:$A$18,0)),0))</f>
        <v>0</v>
      </c>
      <c r="AJ38" s="20">
        <f>IF(B38="","",IFERROR(INDEX(Channels!$T$5:$T$18,MATCH(DefaultChannel,Channels!$A$5:$A$18,0)),0))</f>
        <v>0</v>
      </c>
      <c r="AK38" s="41">
        <f>IF(B38="","",1-TargetRetailMargin-AI38)</f>
        <v>0</v>
      </c>
      <c r="AL38" s="20">
        <f>IF(B38="","",IF(AK38&lt;=0,"",(AH38+AJ38)/AK38))</f>
        <v>0</v>
      </c>
      <c r="AM38" s="20">
        <f>IF(B38="","",IF(AL38="","Check the settings",ROUND(IF(RoundingRule="None",AL38,IF(RoundingRule="Nearest 0.99",MAX(0.99,CEILING(AL38,1)-0.01),IF(RoundingRule="Nearest 0.95",MAX(0.95,CEILING(AL38,1)-0.05),IF(RoundingRule="Nearest 0.50",CEILING(AL38,0.5),IF(RoundingRule="Nearest 1",CEILING(AL38,1),IF(RoundingRule="Nearest 5",CEILING(AL38,5),IF(RoundingRule="Up to whole 1",CEILING(AL38,1),IF(RoundingRule="Up to whole 5",CEILING(AL38,5),ROUND(AL38,2))))))))),2)))</f>
        <v>0</v>
      </c>
      <c r="AN38" s="20">
        <f>IF(B38="","",IF(U38&lt;&gt;"",U38,IF(ISNUMBER(AM38),AM38,"")))</f>
        <v>0</v>
      </c>
      <c r="AO38" s="20">
        <f>IF(B38="","",IF(AN38="","",ROUND(AN38-AH38-(AN38*AI38+AJ38),2)))</f>
        <v>0</v>
      </c>
      <c r="AP38" s="33">
        <f>IF(B38="","",IF(OR(AN38="",AN38=0),"",AO38/AN38))</f>
        <v>0</v>
      </c>
      <c r="AQ38" s="41">
        <f>IF(B38="","",ROUND(AC38/60,3))</f>
        <v>0</v>
      </c>
      <c r="AR38" s="20">
        <f>IF(B38="","",IF(OR(AQ38=0,AQ38="",AO38=""),"",ROUND((AO38+AE38)/AQ38,2)))</f>
        <v>0</v>
      </c>
      <c r="AS38" s="43">
        <f>IF(B38="","",IF(AND(A38&lt;&gt;"",ISERROR(MATCH(A38,Products!$A$5:$A$304,0))),"Check - no such product ID",IF(AB38=0,"Add - no material cost yet",IF(AC38=0,"Add - how long does it take?",IF(AND(A38&lt;&gt;"",COUNTIFS('Material Usage'!$A$5:$A$904,A38)&gt;0),"Check - this product also has a bill of materials",IF(AND(A38&lt;&gt;"",COUNTIFS(Labor!$A$5:$A$304,A38)&gt;0),"Check - this product also has labour lines",IF(AR38&lt;MinimumWage,"Below - pays under minimum wage","OK")))))) )</f>
        <v>0</v>
      </c>
    </row>
    <row r="39" spans="23:45">
      <c r="W39" s="41">
        <f>IF(B39="","",IF(E39="",1,E39))</f>
        <v>0</v>
      </c>
      <c r="X39" s="33">
        <f>IF(B39="","",IF(H39="",DefaultWaste,H39))</f>
        <v>0</v>
      </c>
      <c r="Y39" s="36">
        <f>IF(B39="","",ROUND(IF(G39="",0,G39)*W39*(1+X39),1))</f>
        <v>0</v>
      </c>
      <c r="Z39" s="20">
        <f>IF(B39="","",ROUND(Y39*IFERROR(INDEX(Materials!$V$5:$V$254,MATCH(F39,Materials!$A$5:$A$254,0)),0),2))</f>
        <v>0</v>
      </c>
      <c r="AA39" s="20">
        <f>IF(B39="","",ROUND(IF(J39="",0,J39)*W39*(1+X39)*IFERROR(INDEX(Materials!$V$5:$V$254,MATCH(I39,Materials!$A$5:$A$254,0)),0),2))</f>
        <v>0</v>
      </c>
      <c r="AB39" s="20">
        <f>IF(B39="","",ROUND(Z39+AA39+IF(K39="",0,K39)+IF(L39="",0,L39)+IF(M39="",0,M39)+IF(N39="",0,N39),2))</f>
        <v>0</v>
      </c>
      <c r="AC39" s="36">
        <f>IF(B39="","",ROUND((IF(O39="",0,O39)+IF(P39="",0,P39)+IF(Q39="",0,Q39)+IF(R39="",0,R39)+IF(S39="",0,S39))*W39,1))</f>
        <v>0</v>
      </c>
      <c r="AD39" s="20">
        <f>IF(B39="","",IF(T39&lt;&gt;"",T39,LaborCostHour))</f>
        <v>0</v>
      </c>
      <c r="AE39" s="20">
        <f>IF(B39="","",ROUND(AC39/60*AD39,2))</f>
        <v>0</v>
      </c>
      <c r="AF39" s="20">
        <f>IF(B39="","",ROUND(AC39/60*SuppliesPerHour,2))</f>
        <v>0</v>
      </c>
      <c r="AG39" s="20">
        <f>IF(B39="","",ROUND(IF(G39="",0,G39)*W39*X39*IFERROR(INDEX(Materials!$V$5:$V$254,MATCH(F39,Materials!$A$5:$A$254,0)),0),2))</f>
        <v>0</v>
      </c>
      <c r="AH39" s="20">
        <f>IF(B39="","",ROUND(AB39+AE39+AF39,2))</f>
        <v>0</v>
      </c>
      <c r="AI39" s="33">
        <f>IF(B39="","",IFERROR(INDEX(Channels!$S$5:$S$18,MATCH(DefaultChannel,Channels!$A$5:$A$18,0)),0))</f>
        <v>0</v>
      </c>
      <c r="AJ39" s="20">
        <f>IF(B39="","",IFERROR(INDEX(Channels!$T$5:$T$18,MATCH(DefaultChannel,Channels!$A$5:$A$18,0)),0))</f>
        <v>0</v>
      </c>
      <c r="AK39" s="41">
        <f>IF(B39="","",1-TargetRetailMargin-AI39)</f>
        <v>0</v>
      </c>
      <c r="AL39" s="20">
        <f>IF(B39="","",IF(AK39&lt;=0,"",(AH39+AJ39)/AK39))</f>
        <v>0</v>
      </c>
      <c r="AM39" s="20">
        <f>IF(B39="","",IF(AL39="","Check the settings",ROUND(IF(RoundingRule="None",AL39,IF(RoundingRule="Nearest 0.99",MAX(0.99,CEILING(AL39,1)-0.01),IF(RoundingRule="Nearest 0.95",MAX(0.95,CEILING(AL39,1)-0.05),IF(RoundingRule="Nearest 0.50",CEILING(AL39,0.5),IF(RoundingRule="Nearest 1",CEILING(AL39,1),IF(RoundingRule="Nearest 5",CEILING(AL39,5),IF(RoundingRule="Up to whole 1",CEILING(AL39,1),IF(RoundingRule="Up to whole 5",CEILING(AL39,5),ROUND(AL39,2))))))))),2)))</f>
        <v>0</v>
      </c>
      <c r="AN39" s="20">
        <f>IF(B39="","",IF(U39&lt;&gt;"",U39,IF(ISNUMBER(AM39),AM39,"")))</f>
        <v>0</v>
      </c>
      <c r="AO39" s="20">
        <f>IF(B39="","",IF(AN39="","",ROUND(AN39-AH39-(AN39*AI39+AJ39),2)))</f>
        <v>0</v>
      </c>
      <c r="AP39" s="33">
        <f>IF(B39="","",IF(OR(AN39="",AN39=0),"",AO39/AN39))</f>
        <v>0</v>
      </c>
      <c r="AQ39" s="41">
        <f>IF(B39="","",ROUND(AC39/60,3))</f>
        <v>0</v>
      </c>
      <c r="AR39" s="20">
        <f>IF(B39="","",IF(OR(AQ39=0,AQ39="",AO39=""),"",ROUND((AO39+AE39)/AQ39,2)))</f>
        <v>0</v>
      </c>
      <c r="AS39" s="43">
        <f>IF(B39="","",IF(AND(A39&lt;&gt;"",ISERROR(MATCH(A39,Products!$A$5:$A$304,0))),"Check - no such product ID",IF(AB39=0,"Add - no material cost yet",IF(AC39=0,"Add - how long does it take?",IF(AND(A39&lt;&gt;"",COUNTIFS('Material Usage'!$A$5:$A$904,A39)&gt;0),"Check - this product also has a bill of materials",IF(AND(A39&lt;&gt;"",COUNTIFS(Labor!$A$5:$A$304,A39)&gt;0),"Check - this product also has labour lines",IF(AR39&lt;MinimumWage,"Below - pays under minimum wage","OK")))))) )</f>
        <v>0</v>
      </c>
    </row>
    <row r="40" spans="23:45">
      <c r="W40" s="41">
        <f>IF(B40="","",IF(E40="",1,E40))</f>
        <v>0</v>
      </c>
      <c r="X40" s="33">
        <f>IF(B40="","",IF(H40="",DefaultWaste,H40))</f>
        <v>0</v>
      </c>
      <c r="Y40" s="36">
        <f>IF(B40="","",ROUND(IF(G40="",0,G40)*W40*(1+X40),1))</f>
        <v>0</v>
      </c>
      <c r="Z40" s="20">
        <f>IF(B40="","",ROUND(Y40*IFERROR(INDEX(Materials!$V$5:$V$254,MATCH(F40,Materials!$A$5:$A$254,0)),0),2))</f>
        <v>0</v>
      </c>
      <c r="AA40" s="20">
        <f>IF(B40="","",ROUND(IF(J40="",0,J40)*W40*(1+X40)*IFERROR(INDEX(Materials!$V$5:$V$254,MATCH(I40,Materials!$A$5:$A$254,0)),0),2))</f>
        <v>0</v>
      </c>
      <c r="AB40" s="20">
        <f>IF(B40="","",ROUND(Z40+AA40+IF(K40="",0,K40)+IF(L40="",0,L40)+IF(M40="",0,M40)+IF(N40="",0,N40),2))</f>
        <v>0</v>
      </c>
      <c r="AC40" s="36">
        <f>IF(B40="","",ROUND((IF(O40="",0,O40)+IF(P40="",0,P40)+IF(Q40="",0,Q40)+IF(R40="",0,R40)+IF(S40="",0,S40))*W40,1))</f>
        <v>0</v>
      </c>
      <c r="AD40" s="20">
        <f>IF(B40="","",IF(T40&lt;&gt;"",T40,LaborCostHour))</f>
        <v>0</v>
      </c>
      <c r="AE40" s="20">
        <f>IF(B40="","",ROUND(AC40/60*AD40,2))</f>
        <v>0</v>
      </c>
      <c r="AF40" s="20">
        <f>IF(B40="","",ROUND(AC40/60*SuppliesPerHour,2))</f>
        <v>0</v>
      </c>
      <c r="AG40" s="20">
        <f>IF(B40="","",ROUND(IF(G40="",0,G40)*W40*X40*IFERROR(INDEX(Materials!$V$5:$V$254,MATCH(F40,Materials!$A$5:$A$254,0)),0),2))</f>
        <v>0</v>
      </c>
      <c r="AH40" s="20">
        <f>IF(B40="","",ROUND(AB40+AE40+AF40,2))</f>
        <v>0</v>
      </c>
      <c r="AI40" s="33">
        <f>IF(B40="","",IFERROR(INDEX(Channels!$S$5:$S$18,MATCH(DefaultChannel,Channels!$A$5:$A$18,0)),0))</f>
        <v>0</v>
      </c>
      <c r="AJ40" s="20">
        <f>IF(B40="","",IFERROR(INDEX(Channels!$T$5:$T$18,MATCH(DefaultChannel,Channels!$A$5:$A$18,0)),0))</f>
        <v>0</v>
      </c>
      <c r="AK40" s="41">
        <f>IF(B40="","",1-TargetRetailMargin-AI40)</f>
        <v>0</v>
      </c>
      <c r="AL40" s="20">
        <f>IF(B40="","",IF(AK40&lt;=0,"",(AH40+AJ40)/AK40))</f>
        <v>0</v>
      </c>
      <c r="AM40" s="20">
        <f>IF(B40="","",IF(AL40="","Check the settings",ROUND(IF(RoundingRule="None",AL40,IF(RoundingRule="Nearest 0.99",MAX(0.99,CEILING(AL40,1)-0.01),IF(RoundingRule="Nearest 0.95",MAX(0.95,CEILING(AL40,1)-0.05),IF(RoundingRule="Nearest 0.50",CEILING(AL40,0.5),IF(RoundingRule="Nearest 1",CEILING(AL40,1),IF(RoundingRule="Nearest 5",CEILING(AL40,5),IF(RoundingRule="Up to whole 1",CEILING(AL40,1),IF(RoundingRule="Up to whole 5",CEILING(AL40,5),ROUND(AL40,2))))))))),2)))</f>
        <v>0</v>
      </c>
      <c r="AN40" s="20">
        <f>IF(B40="","",IF(U40&lt;&gt;"",U40,IF(ISNUMBER(AM40),AM40,"")))</f>
        <v>0</v>
      </c>
      <c r="AO40" s="20">
        <f>IF(B40="","",IF(AN40="","",ROUND(AN40-AH40-(AN40*AI40+AJ40),2)))</f>
        <v>0</v>
      </c>
      <c r="AP40" s="33">
        <f>IF(B40="","",IF(OR(AN40="",AN40=0),"",AO40/AN40))</f>
        <v>0</v>
      </c>
      <c r="AQ40" s="41">
        <f>IF(B40="","",ROUND(AC40/60,3))</f>
        <v>0</v>
      </c>
      <c r="AR40" s="20">
        <f>IF(B40="","",IF(OR(AQ40=0,AQ40="",AO40=""),"",ROUND((AO40+AE40)/AQ40,2)))</f>
        <v>0</v>
      </c>
      <c r="AS40" s="43">
        <f>IF(B40="","",IF(AND(A40&lt;&gt;"",ISERROR(MATCH(A40,Products!$A$5:$A$304,0))),"Check - no such product ID",IF(AB40=0,"Add - no material cost yet",IF(AC40=0,"Add - how long does it take?",IF(AND(A40&lt;&gt;"",COUNTIFS('Material Usage'!$A$5:$A$904,A40)&gt;0),"Check - this product also has a bill of materials",IF(AND(A40&lt;&gt;"",COUNTIFS(Labor!$A$5:$A$304,A40)&gt;0),"Check - this product also has labour lines",IF(AR40&lt;MinimumWage,"Below - pays under minimum wage","OK")))))) )</f>
        <v>0</v>
      </c>
    </row>
    <row r="41" spans="23:45">
      <c r="W41" s="41">
        <f>IF(B41="","",IF(E41="",1,E41))</f>
        <v>0</v>
      </c>
      <c r="X41" s="33">
        <f>IF(B41="","",IF(H41="",DefaultWaste,H41))</f>
        <v>0</v>
      </c>
      <c r="Y41" s="36">
        <f>IF(B41="","",ROUND(IF(G41="",0,G41)*W41*(1+X41),1))</f>
        <v>0</v>
      </c>
      <c r="Z41" s="20">
        <f>IF(B41="","",ROUND(Y41*IFERROR(INDEX(Materials!$V$5:$V$254,MATCH(F41,Materials!$A$5:$A$254,0)),0),2))</f>
        <v>0</v>
      </c>
      <c r="AA41" s="20">
        <f>IF(B41="","",ROUND(IF(J41="",0,J41)*W41*(1+X41)*IFERROR(INDEX(Materials!$V$5:$V$254,MATCH(I41,Materials!$A$5:$A$254,0)),0),2))</f>
        <v>0</v>
      </c>
      <c r="AB41" s="20">
        <f>IF(B41="","",ROUND(Z41+AA41+IF(K41="",0,K41)+IF(L41="",0,L41)+IF(M41="",0,M41)+IF(N41="",0,N41),2))</f>
        <v>0</v>
      </c>
      <c r="AC41" s="36">
        <f>IF(B41="","",ROUND((IF(O41="",0,O41)+IF(P41="",0,P41)+IF(Q41="",0,Q41)+IF(R41="",0,R41)+IF(S41="",0,S41))*W41,1))</f>
        <v>0</v>
      </c>
      <c r="AD41" s="20">
        <f>IF(B41="","",IF(T41&lt;&gt;"",T41,LaborCostHour))</f>
        <v>0</v>
      </c>
      <c r="AE41" s="20">
        <f>IF(B41="","",ROUND(AC41/60*AD41,2))</f>
        <v>0</v>
      </c>
      <c r="AF41" s="20">
        <f>IF(B41="","",ROUND(AC41/60*SuppliesPerHour,2))</f>
        <v>0</v>
      </c>
      <c r="AG41" s="20">
        <f>IF(B41="","",ROUND(IF(G41="",0,G41)*W41*X41*IFERROR(INDEX(Materials!$V$5:$V$254,MATCH(F41,Materials!$A$5:$A$254,0)),0),2))</f>
        <v>0</v>
      </c>
      <c r="AH41" s="20">
        <f>IF(B41="","",ROUND(AB41+AE41+AF41,2))</f>
        <v>0</v>
      </c>
      <c r="AI41" s="33">
        <f>IF(B41="","",IFERROR(INDEX(Channels!$S$5:$S$18,MATCH(DefaultChannel,Channels!$A$5:$A$18,0)),0))</f>
        <v>0</v>
      </c>
      <c r="AJ41" s="20">
        <f>IF(B41="","",IFERROR(INDEX(Channels!$T$5:$T$18,MATCH(DefaultChannel,Channels!$A$5:$A$18,0)),0))</f>
        <v>0</v>
      </c>
      <c r="AK41" s="41">
        <f>IF(B41="","",1-TargetRetailMargin-AI41)</f>
        <v>0</v>
      </c>
      <c r="AL41" s="20">
        <f>IF(B41="","",IF(AK41&lt;=0,"",(AH41+AJ41)/AK41))</f>
        <v>0</v>
      </c>
      <c r="AM41" s="20">
        <f>IF(B41="","",IF(AL41="","Check the settings",ROUND(IF(RoundingRule="None",AL41,IF(RoundingRule="Nearest 0.99",MAX(0.99,CEILING(AL41,1)-0.01),IF(RoundingRule="Nearest 0.95",MAX(0.95,CEILING(AL41,1)-0.05),IF(RoundingRule="Nearest 0.50",CEILING(AL41,0.5),IF(RoundingRule="Nearest 1",CEILING(AL41,1),IF(RoundingRule="Nearest 5",CEILING(AL41,5),IF(RoundingRule="Up to whole 1",CEILING(AL41,1),IF(RoundingRule="Up to whole 5",CEILING(AL41,5),ROUND(AL41,2))))))))),2)))</f>
        <v>0</v>
      </c>
      <c r="AN41" s="20">
        <f>IF(B41="","",IF(U41&lt;&gt;"",U41,IF(ISNUMBER(AM41),AM41,"")))</f>
        <v>0</v>
      </c>
      <c r="AO41" s="20">
        <f>IF(B41="","",IF(AN41="","",ROUND(AN41-AH41-(AN41*AI41+AJ41),2)))</f>
        <v>0</v>
      </c>
      <c r="AP41" s="33">
        <f>IF(B41="","",IF(OR(AN41="",AN41=0),"",AO41/AN41))</f>
        <v>0</v>
      </c>
      <c r="AQ41" s="41">
        <f>IF(B41="","",ROUND(AC41/60,3))</f>
        <v>0</v>
      </c>
      <c r="AR41" s="20">
        <f>IF(B41="","",IF(OR(AQ41=0,AQ41="",AO41=""),"",ROUND((AO41+AE41)/AQ41,2)))</f>
        <v>0</v>
      </c>
      <c r="AS41" s="43">
        <f>IF(B41="","",IF(AND(A41&lt;&gt;"",ISERROR(MATCH(A41,Products!$A$5:$A$304,0))),"Check - no such product ID",IF(AB41=0,"Add - no material cost yet",IF(AC41=0,"Add - how long does it take?",IF(AND(A41&lt;&gt;"",COUNTIFS('Material Usage'!$A$5:$A$904,A41)&gt;0),"Check - this product also has a bill of materials",IF(AND(A41&lt;&gt;"",COUNTIFS(Labor!$A$5:$A$304,A41)&gt;0),"Check - this product also has labour lines",IF(AR41&lt;MinimumWage,"Below - pays under minimum wage","OK")))))) )</f>
        <v>0</v>
      </c>
    </row>
    <row r="42" spans="23:45">
      <c r="W42" s="41">
        <f>IF(B42="","",IF(E42="",1,E42))</f>
        <v>0</v>
      </c>
      <c r="X42" s="33">
        <f>IF(B42="","",IF(H42="",DefaultWaste,H42))</f>
        <v>0</v>
      </c>
      <c r="Y42" s="36">
        <f>IF(B42="","",ROUND(IF(G42="",0,G42)*W42*(1+X42),1))</f>
        <v>0</v>
      </c>
      <c r="Z42" s="20">
        <f>IF(B42="","",ROUND(Y42*IFERROR(INDEX(Materials!$V$5:$V$254,MATCH(F42,Materials!$A$5:$A$254,0)),0),2))</f>
        <v>0</v>
      </c>
      <c r="AA42" s="20">
        <f>IF(B42="","",ROUND(IF(J42="",0,J42)*W42*(1+X42)*IFERROR(INDEX(Materials!$V$5:$V$254,MATCH(I42,Materials!$A$5:$A$254,0)),0),2))</f>
        <v>0</v>
      </c>
      <c r="AB42" s="20">
        <f>IF(B42="","",ROUND(Z42+AA42+IF(K42="",0,K42)+IF(L42="",0,L42)+IF(M42="",0,M42)+IF(N42="",0,N42),2))</f>
        <v>0</v>
      </c>
      <c r="AC42" s="36">
        <f>IF(B42="","",ROUND((IF(O42="",0,O42)+IF(P42="",0,P42)+IF(Q42="",0,Q42)+IF(R42="",0,R42)+IF(S42="",0,S42))*W42,1))</f>
        <v>0</v>
      </c>
      <c r="AD42" s="20">
        <f>IF(B42="","",IF(T42&lt;&gt;"",T42,LaborCostHour))</f>
        <v>0</v>
      </c>
      <c r="AE42" s="20">
        <f>IF(B42="","",ROUND(AC42/60*AD42,2))</f>
        <v>0</v>
      </c>
      <c r="AF42" s="20">
        <f>IF(B42="","",ROUND(AC42/60*SuppliesPerHour,2))</f>
        <v>0</v>
      </c>
      <c r="AG42" s="20">
        <f>IF(B42="","",ROUND(IF(G42="",0,G42)*W42*X42*IFERROR(INDEX(Materials!$V$5:$V$254,MATCH(F42,Materials!$A$5:$A$254,0)),0),2))</f>
        <v>0</v>
      </c>
      <c r="AH42" s="20">
        <f>IF(B42="","",ROUND(AB42+AE42+AF42,2))</f>
        <v>0</v>
      </c>
      <c r="AI42" s="33">
        <f>IF(B42="","",IFERROR(INDEX(Channels!$S$5:$S$18,MATCH(DefaultChannel,Channels!$A$5:$A$18,0)),0))</f>
        <v>0</v>
      </c>
      <c r="AJ42" s="20">
        <f>IF(B42="","",IFERROR(INDEX(Channels!$T$5:$T$18,MATCH(DefaultChannel,Channels!$A$5:$A$18,0)),0))</f>
        <v>0</v>
      </c>
      <c r="AK42" s="41">
        <f>IF(B42="","",1-TargetRetailMargin-AI42)</f>
        <v>0</v>
      </c>
      <c r="AL42" s="20">
        <f>IF(B42="","",IF(AK42&lt;=0,"",(AH42+AJ42)/AK42))</f>
        <v>0</v>
      </c>
      <c r="AM42" s="20">
        <f>IF(B42="","",IF(AL42="","Check the settings",ROUND(IF(RoundingRule="None",AL42,IF(RoundingRule="Nearest 0.99",MAX(0.99,CEILING(AL42,1)-0.01),IF(RoundingRule="Nearest 0.95",MAX(0.95,CEILING(AL42,1)-0.05),IF(RoundingRule="Nearest 0.50",CEILING(AL42,0.5),IF(RoundingRule="Nearest 1",CEILING(AL42,1),IF(RoundingRule="Nearest 5",CEILING(AL42,5),IF(RoundingRule="Up to whole 1",CEILING(AL42,1),IF(RoundingRule="Up to whole 5",CEILING(AL42,5),ROUND(AL42,2))))))))),2)))</f>
        <v>0</v>
      </c>
      <c r="AN42" s="20">
        <f>IF(B42="","",IF(U42&lt;&gt;"",U42,IF(ISNUMBER(AM42),AM42,"")))</f>
        <v>0</v>
      </c>
      <c r="AO42" s="20">
        <f>IF(B42="","",IF(AN42="","",ROUND(AN42-AH42-(AN42*AI42+AJ42),2)))</f>
        <v>0</v>
      </c>
      <c r="AP42" s="33">
        <f>IF(B42="","",IF(OR(AN42="",AN42=0),"",AO42/AN42))</f>
        <v>0</v>
      </c>
      <c r="AQ42" s="41">
        <f>IF(B42="","",ROUND(AC42/60,3))</f>
        <v>0</v>
      </c>
      <c r="AR42" s="20">
        <f>IF(B42="","",IF(OR(AQ42=0,AQ42="",AO42=""),"",ROUND((AO42+AE42)/AQ42,2)))</f>
        <v>0</v>
      </c>
      <c r="AS42" s="43">
        <f>IF(B42="","",IF(AND(A42&lt;&gt;"",ISERROR(MATCH(A42,Products!$A$5:$A$304,0))),"Check - no such product ID",IF(AB42=0,"Add - no material cost yet",IF(AC42=0,"Add - how long does it take?",IF(AND(A42&lt;&gt;"",COUNTIFS('Material Usage'!$A$5:$A$904,A42)&gt;0),"Check - this product also has a bill of materials",IF(AND(A42&lt;&gt;"",COUNTIFS(Labor!$A$5:$A$304,A42)&gt;0),"Check - this product also has labour lines",IF(AR42&lt;MinimumWage,"Below - pays under minimum wage","OK")))))) )</f>
        <v>0</v>
      </c>
    </row>
    <row r="43" spans="23:45">
      <c r="W43" s="41">
        <f>IF(B43="","",IF(E43="",1,E43))</f>
        <v>0</v>
      </c>
      <c r="X43" s="33">
        <f>IF(B43="","",IF(H43="",DefaultWaste,H43))</f>
        <v>0</v>
      </c>
      <c r="Y43" s="36">
        <f>IF(B43="","",ROUND(IF(G43="",0,G43)*W43*(1+X43),1))</f>
        <v>0</v>
      </c>
      <c r="Z43" s="20">
        <f>IF(B43="","",ROUND(Y43*IFERROR(INDEX(Materials!$V$5:$V$254,MATCH(F43,Materials!$A$5:$A$254,0)),0),2))</f>
        <v>0</v>
      </c>
      <c r="AA43" s="20">
        <f>IF(B43="","",ROUND(IF(J43="",0,J43)*W43*(1+X43)*IFERROR(INDEX(Materials!$V$5:$V$254,MATCH(I43,Materials!$A$5:$A$254,0)),0),2))</f>
        <v>0</v>
      </c>
      <c r="AB43" s="20">
        <f>IF(B43="","",ROUND(Z43+AA43+IF(K43="",0,K43)+IF(L43="",0,L43)+IF(M43="",0,M43)+IF(N43="",0,N43),2))</f>
        <v>0</v>
      </c>
      <c r="AC43" s="36">
        <f>IF(B43="","",ROUND((IF(O43="",0,O43)+IF(P43="",0,P43)+IF(Q43="",0,Q43)+IF(R43="",0,R43)+IF(S43="",0,S43))*W43,1))</f>
        <v>0</v>
      </c>
      <c r="AD43" s="20">
        <f>IF(B43="","",IF(T43&lt;&gt;"",T43,LaborCostHour))</f>
        <v>0</v>
      </c>
      <c r="AE43" s="20">
        <f>IF(B43="","",ROUND(AC43/60*AD43,2))</f>
        <v>0</v>
      </c>
      <c r="AF43" s="20">
        <f>IF(B43="","",ROUND(AC43/60*SuppliesPerHour,2))</f>
        <v>0</v>
      </c>
      <c r="AG43" s="20">
        <f>IF(B43="","",ROUND(IF(G43="",0,G43)*W43*X43*IFERROR(INDEX(Materials!$V$5:$V$254,MATCH(F43,Materials!$A$5:$A$254,0)),0),2))</f>
        <v>0</v>
      </c>
      <c r="AH43" s="20">
        <f>IF(B43="","",ROUND(AB43+AE43+AF43,2))</f>
        <v>0</v>
      </c>
      <c r="AI43" s="33">
        <f>IF(B43="","",IFERROR(INDEX(Channels!$S$5:$S$18,MATCH(DefaultChannel,Channels!$A$5:$A$18,0)),0))</f>
        <v>0</v>
      </c>
      <c r="AJ43" s="20">
        <f>IF(B43="","",IFERROR(INDEX(Channels!$T$5:$T$18,MATCH(DefaultChannel,Channels!$A$5:$A$18,0)),0))</f>
        <v>0</v>
      </c>
      <c r="AK43" s="41">
        <f>IF(B43="","",1-TargetRetailMargin-AI43)</f>
        <v>0</v>
      </c>
      <c r="AL43" s="20">
        <f>IF(B43="","",IF(AK43&lt;=0,"",(AH43+AJ43)/AK43))</f>
        <v>0</v>
      </c>
      <c r="AM43" s="20">
        <f>IF(B43="","",IF(AL43="","Check the settings",ROUND(IF(RoundingRule="None",AL43,IF(RoundingRule="Nearest 0.99",MAX(0.99,CEILING(AL43,1)-0.01),IF(RoundingRule="Nearest 0.95",MAX(0.95,CEILING(AL43,1)-0.05),IF(RoundingRule="Nearest 0.50",CEILING(AL43,0.5),IF(RoundingRule="Nearest 1",CEILING(AL43,1),IF(RoundingRule="Nearest 5",CEILING(AL43,5),IF(RoundingRule="Up to whole 1",CEILING(AL43,1),IF(RoundingRule="Up to whole 5",CEILING(AL43,5),ROUND(AL43,2))))))))),2)))</f>
        <v>0</v>
      </c>
      <c r="AN43" s="20">
        <f>IF(B43="","",IF(U43&lt;&gt;"",U43,IF(ISNUMBER(AM43),AM43,"")))</f>
        <v>0</v>
      </c>
      <c r="AO43" s="20">
        <f>IF(B43="","",IF(AN43="","",ROUND(AN43-AH43-(AN43*AI43+AJ43),2)))</f>
        <v>0</v>
      </c>
      <c r="AP43" s="33">
        <f>IF(B43="","",IF(OR(AN43="",AN43=0),"",AO43/AN43))</f>
        <v>0</v>
      </c>
      <c r="AQ43" s="41">
        <f>IF(B43="","",ROUND(AC43/60,3))</f>
        <v>0</v>
      </c>
      <c r="AR43" s="20">
        <f>IF(B43="","",IF(OR(AQ43=0,AQ43="",AO43=""),"",ROUND((AO43+AE43)/AQ43,2)))</f>
        <v>0</v>
      </c>
      <c r="AS43" s="43">
        <f>IF(B43="","",IF(AND(A43&lt;&gt;"",ISERROR(MATCH(A43,Products!$A$5:$A$304,0))),"Check - no such product ID",IF(AB43=0,"Add - no material cost yet",IF(AC43=0,"Add - how long does it take?",IF(AND(A43&lt;&gt;"",COUNTIFS('Material Usage'!$A$5:$A$904,A43)&gt;0),"Check - this product also has a bill of materials",IF(AND(A43&lt;&gt;"",COUNTIFS(Labor!$A$5:$A$304,A43)&gt;0),"Check - this product also has labour lines",IF(AR43&lt;MinimumWage,"Below - pays under minimum wage","OK")))))) )</f>
        <v>0</v>
      </c>
    </row>
    <row r="44" spans="23:45">
      <c r="W44" s="41">
        <f>IF(B44="","",IF(E44="",1,E44))</f>
        <v>0</v>
      </c>
      <c r="X44" s="33">
        <f>IF(B44="","",IF(H44="",DefaultWaste,H44))</f>
        <v>0</v>
      </c>
      <c r="Y44" s="36">
        <f>IF(B44="","",ROUND(IF(G44="",0,G44)*W44*(1+X44),1))</f>
        <v>0</v>
      </c>
      <c r="Z44" s="20">
        <f>IF(B44="","",ROUND(Y44*IFERROR(INDEX(Materials!$V$5:$V$254,MATCH(F44,Materials!$A$5:$A$254,0)),0),2))</f>
        <v>0</v>
      </c>
      <c r="AA44" s="20">
        <f>IF(B44="","",ROUND(IF(J44="",0,J44)*W44*(1+X44)*IFERROR(INDEX(Materials!$V$5:$V$254,MATCH(I44,Materials!$A$5:$A$254,0)),0),2))</f>
        <v>0</v>
      </c>
      <c r="AB44" s="20">
        <f>IF(B44="","",ROUND(Z44+AA44+IF(K44="",0,K44)+IF(L44="",0,L44)+IF(M44="",0,M44)+IF(N44="",0,N44),2))</f>
        <v>0</v>
      </c>
      <c r="AC44" s="36">
        <f>IF(B44="","",ROUND((IF(O44="",0,O44)+IF(P44="",0,P44)+IF(Q44="",0,Q44)+IF(R44="",0,R44)+IF(S44="",0,S44))*W44,1))</f>
        <v>0</v>
      </c>
      <c r="AD44" s="20">
        <f>IF(B44="","",IF(T44&lt;&gt;"",T44,LaborCostHour))</f>
        <v>0</v>
      </c>
      <c r="AE44" s="20">
        <f>IF(B44="","",ROUND(AC44/60*AD44,2))</f>
        <v>0</v>
      </c>
      <c r="AF44" s="20">
        <f>IF(B44="","",ROUND(AC44/60*SuppliesPerHour,2))</f>
        <v>0</v>
      </c>
      <c r="AG44" s="20">
        <f>IF(B44="","",ROUND(IF(G44="",0,G44)*W44*X44*IFERROR(INDEX(Materials!$V$5:$V$254,MATCH(F44,Materials!$A$5:$A$254,0)),0),2))</f>
        <v>0</v>
      </c>
      <c r="AH44" s="20">
        <f>IF(B44="","",ROUND(AB44+AE44+AF44,2))</f>
        <v>0</v>
      </c>
      <c r="AI44" s="33">
        <f>IF(B44="","",IFERROR(INDEX(Channels!$S$5:$S$18,MATCH(DefaultChannel,Channels!$A$5:$A$18,0)),0))</f>
        <v>0</v>
      </c>
      <c r="AJ44" s="20">
        <f>IF(B44="","",IFERROR(INDEX(Channels!$T$5:$T$18,MATCH(DefaultChannel,Channels!$A$5:$A$18,0)),0))</f>
        <v>0</v>
      </c>
      <c r="AK44" s="41">
        <f>IF(B44="","",1-TargetRetailMargin-AI44)</f>
        <v>0</v>
      </c>
      <c r="AL44" s="20">
        <f>IF(B44="","",IF(AK44&lt;=0,"",(AH44+AJ44)/AK44))</f>
        <v>0</v>
      </c>
      <c r="AM44" s="20">
        <f>IF(B44="","",IF(AL44="","Check the settings",ROUND(IF(RoundingRule="None",AL44,IF(RoundingRule="Nearest 0.99",MAX(0.99,CEILING(AL44,1)-0.01),IF(RoundingRule="Nearest 0.95",MAX(0.95,CEILING(AL44,1)-0.05),IF(RoundingRule="Nearest 0.50",CEILING(AL44,0.5),IF(RoundingRule="Nearest 1",CEILING(AL44,1),IF(RoundingRule="Nearest 5",CEILING(AL44,5),IF(RoundingRule="Up to whole 1",CEILING(AL44,1),IF(RoundingRule="Up to whole 5",CEILING(AL44,5),ROUND(AL44,2))))))))),2)))</f>
        <v>0</v>
      </c>
      <c r="AN44" s="20">
        <f>IF(B44="","",IF(U44&lt;&gt;"",U44,IF(ISNUMBER(AM44),AM44,"")))</f>
        <v>0</v>
      </c>
      <c r="AO44" s="20">
        <f>IF(B44="","",IF(AN44="","",ROUND(AN44-AH44-(AN44*AI44+AJ44),2)))</f>
        <v>0</v>
      </c>
      <c r="AP44" s="33">
        <f>IF(B44="","",IF(OR(AN44="",AN44=0),"",AO44/AN44))</f>
        <v>0</v>
      </c>
      <c r="AQ44" s="41">
        <f>IF(B44="","",ROUND(AC44/60,3))</f>
        <v>0</v>
      </c>
      <c r="AR44" s="20">
        <f>IF(B44="","",IF(OR(AQ44=0,AQ44="",AO44=""),"",ROUND((AO44+AE44)/AQ44,2)))</f>
        <v>0</v>
      </c>
      <c r="AS44" s="43">
        <f>IF(B44="","",IF(AND(A44&lt;&gt;"",ISERROR(MATCH(A44,Products!$A$5:$A$304,0))),"Check - no such product ID",IF(AB44=0,"Add - no material cost yet",IF(AC44=0,"Add - how long does it take?",IF(AND(A44&lt;&gt;"",COUNTIFS('Material Usage'!$A$5:$A$904,A44)&gt;0),"Check - this product also has a bill of materials",IF(AND(A44&lt;&gt;"",COUNTIFS(Labor!$A$5:$A$304,A44)&gt;0),"Check - this product also has labour lines",IF(AR44&lt;MinimumWage,"Below - pays under minimum wage","OK")))))) )</f>
        <v>0</v>
      </c>
    </row>
    <row r="45" spans="23:45">
      <c r="W45" s="41">
        <f>IF(B45="","",IF(E45="",1,E45))</f>
        <v>0</v>
      </c>
      <c r="X45" s="33">
        <f>IF(B45="","",IF(H45="",DefaultWaste,H45))</f>
        <v>0</v>
      </c>
      <c r="Y45" s="36">
        <f>IF(B45="","",ROUND(IF(G45="",0,G45)*W45*(1+X45),1))</f>
        <v>0</v>
      </c>
      <c r="Z45" s="20">
        <f>IF(B45="","",ROUND(Y45*IFERROR(INDEX(Materials!$V$5:$V$254,MATCH(F45,Materials!$A$5:$A$254,0)),0),2))</f>
        <v>0</v>
      </c>
      <c r="AA45" s="20">
        <f>IF(B45="","",ROUND(IF(J45="",0,J45)*W45*(1+X45)*IFERROR(INDEX(Materials!$V$5:$V$254,MATCH(I45,Materials!$A$5:$A$254,0)),0),2))</f>
        <v>0</v>
      </c>
      <c r="AB45" s="20">
        <f>IF(B45="","",ROUND(Z45+AA45+IF(K45="",0,K45)+IF(L45="",0,L45)+IF(M45="",0,M45)+IF(N45="",0,N45),2))</f>
        <v>0</v>
      </c>
      <c r="AC45" s="36">
        <f>IF(B45="","",ROUND((IF(O45="",0,O45)+IF(P45="",0,P45)+IF(Q45="",0,Q45)+IF(R45="",0,R45)+IF(S45="",0,S45))*W45,1))</f>
        <v>0</v>
      </c>
      <c r="AD45" s="20">
        <f>IF(B45="","",IF(T45&lt;&gt;"",T45,LaborCostHour))</f>
        <v>0</v>
      </c>
      <c r="AE45" s="20">
        <f>IF(B45="","",ROUND(AC45/60*AD45,2))</f>
        <v>0</v>
      </c>
      <c r="AF45" s="20">
        <f>IF(B45="","",ROUND(AC45/60*SuppliesPerHour,2))</f>
        <v>0</v>
      </c>
      <c r="AG45" s="20">
        <f>IF(B45="","",ROUND(IF(G45="",0,G45)*W45*X45*IFERROR(INDEX(Materials!$V$5:$V$254,MATCH(F45,Materials!$A$5:$A$254,0)),0),2))</f>
        <v>0</v>
      </c>
      <c r="AH45" s="20">
        <f>IF(B45="","",ROUND(AB45+AE45+AF45,2))</f>
        <v>0</v>
      </c>
      <c r="AI45" s="33">
        <f>IF(B45="","",IFERROR(INDEX(Channels!$S$5:$S$18,MATCH(DefaultChannel,Channels!$A$5:$A$18,0)),0))</f>
        <v>0</v>
      </c>
      <c r="AJ45" s="20">
        <f>IF(B45="","",IFERROR(INDEX(Channels!$T$5:$T$18,MATCH(DefaultChannel,Channels!$A$5:$A$18,0)),0))</f>
        <v>0</v>
      </c>
      <c r="AK45" s="41">
        <f>IF(B45="","",1-TargetRetailMargin-AI45)</f>
        <v>0</v>
      </c>
      <c r="AL45" s="20">
        <f>IF(B45="","",IF(AK45&lt;=0,"",(AH45+AJ45)/AK45))</f>
        <v>0</v>
      </c>
      <c r="AM45" s="20">
        <f>IF(B45="","",IF(AL45="","Check the settings",ROUND(IF(RoundingRule="None",AL45,IF(RoundingRule="Nearest 0.99",MAX(0.99,CEILING(AL45,1)-0.01),IF(RoundingRule="Nearest 0.95",MAX(0.95,CEILING(AL45,1)-0.05),IF(RoundingRule="Nearest 0.50",CEILING(AL45,0.5),IF(RoundingRule="Nearest 1",CEILING(AL45,1),IF(RoundingRule="Nearest 5",CEILING(AL45,5),IF(RoundingRule="Up to whole 1",CEILING(AL45,1),IF(RoundingRule="Up to whole 5",CEILING(AL45,5),ROUND(AL45,2))))))))),2)))</f>
        <v>0</v>
      </c>
      <c r="AN45" s="20">
        <f>IF(B45="","",IF(U45&lt;&gt;"",U45,IF(ISNUMBER(AM45),AM45,"")))</f>
        <v>0</v>
      </c>
      <c r="AO45" s="20">
        <f>IF(B45="","",IF(AN45="","",ROUND(AN45-AH45-(AN45*AI45+AJ45),2)))</f>
        <v>0</v>
      </c>
      <c r="AP45" s="33">
        <f>IF(B45="","",IF(OR(AN45="",AN45=0),"",AO45/AN45))</f>
        <v>0</v>
      </c>
      <c r="AQ45" s="41">
        <f>IF(B45="","",ROUND(AC45/60,3))</f>
        <v>0</v>
      </c>
      <c r="AR45" s="20">
        <f>IF(B45="","",IF(OR(AQ45=0,AQ45="",AO45=""),"",ROUND((AO45+AE45)/AQ45,2)))</f>
        <v>0</v>
      </c>
      <c r="AS45" s="43">
        <f>IF(B45="","",IF(AND(A45&lt;&gt;"",ISERROR(MATCH(A45,Products!$A$5:$A$304,0))),"Check - no such product ID",IF(AB45=0,"Add - no material cost yet",IF(AC45=0,"Add - how long does it take?",IF(AND(A45&lt;&gt;"",COUNTIFS('Material Usage'!$A$5:$A$904,A45)&gt;0),"Check - this product also has a bill of materials",IF(AND(A45&lt;&gt;"",COUNTIFS(Labor!$A$5:$A$304,A45)&gt;0),"Check - this product also has labour lines",IF(AR45&lt;MinimumWage,"Below - pays under minimum wage","OK")))))) )</f>
        <v>0</v>
      </c>
    </row>
    <row r="46" spans="23:45">
      <c r="W46" s="41">
        <f>IF(B46="","",IF(E46="",1,E46))</f>
        <v>0</v>
      </c>
      <c r="X46" s="33">
        <f>IF(B46="","",IF(H46="",DefaultWaste,H46))</f>
        <v>0</v>
      </c>
      <c r="Y46" s="36">
        <f>IF(B46="","",ROUND(IF(G46="",0,G46)*W46*(1+X46),1))</f>
        <v>0</v>
      </c>
      <c r="Z46" s="20">
        <f>IF(B46="","",ROUND(Y46*IFERROR(INDEX(Materials!$V$5:$V$254,MATCH(F46,Materials!$A$5:$A$254,0)),0),2))</f>
        <v>0</v>
      </c>
      <c r="AA46" s="20">
        <f>IF(B46="","",ROUND(IF(J46="",0,J46)*W46*(1+X46)*IFERROR(INDEX(Materials!$V$5:$V$254,MATCH(I46,Materials!$A$5:$A$254,0)),0),2))</f>
        <v>0</v>
      </c>
      <c r="AB46" s="20">
        <f>IF(B46="","",ROUND(Z46+AA46+IF(K46="",0,K46)+IF(L46="",0,L46)+IF(M46="",0,M46)+IF(N46="",0,N46),2))</f>
        <v>0</v>
      </c>
      <c r="AC46" s="36">
        <f>IF(B46="","",ROUND((IF(O46="",0,O46)+IF(P46="",0,P46)+IF(Q46="",0,Q46)+IF(R46="",0,R46)+IF(S46="",0,S46))*W46,1))</f>
        <v>0</v>
      </c>
      <c r="AD46" s="20">
        <f>IF(B46="","",IF(T46&lt;&gt;"",T46,LaborCostHour))</f>
        <v>0</v>
      </c>
      <c r="AE46" s="20">
        <f>IF(B46="","",ROUND(AC46/60*AD46,2))</f>
        <v>0</v>
      </c>
      <c r="AF46" s="20">
        <f>IF(B46="","",ROUND(AC46/60*SuppliesPerHour,2))</f>
        <v>0</v>
      </c>
      <c r="AG46" s="20">
        <f>IF(B46="","",ROUND(IF(G46="",0,G46)*W46*X46*IFERROR(INDEX(Materials!$V$5:$V$254,MATCH(F46,Materials!$A$5:$A$254,0)),0),2))</f>
        <v>0</v>
      </c>
      <c r="AH46" s="20">
        <f>IF(B46="","",ROUND(AB46+AE46+AF46,2))</f>
        <v>0</v>
      </c>
      <c r="AI46" s="33">
        <f>IF(B46="","",IFERROR(INDEX(Channels!$S$5:$S$18,MATCH(DefaultChannel,Channels!$A$5:$A$18,0)),0))</f>
        <v>0</v>
      </c>
      <c r="AJ46" s="20">
        <f>IF(B46="","",IFERROR(INDEX(Channels!$T$5:$T$18,MATCH(DefaultChannel,Channels!$A$5:$A$18,0)),0))</f>
        <v>0</v>
      </c>
      <c r="AK46" s="41">
        <f>IF(B46="","",1-TargetRetailMargin-AI46)</f>
        <v>0</v>
      </c>
      <c r="AL46" s="20">
        <f>IF(B46="","",IF(AK46&lt;=0,"",(AH46+AJ46)/AK46))</f>
        <v>0</v>
      </c>
      <c r="AM46" s="20">
        <f>IF(B46="","",IF(AL46="","Check the settings",ROUND(IF(RoundingRule="None",AL46,IF(RoundingRule="Nearest 0.99",MAX(0.99,CEILING(AL46,1)-0.01),IF(RoundingRule="Nearest 0.95",MAX(0.95,CEILING(AL46,1)-0.05),IF(RoundingRule="Nearest 0.50",CEILING(AL46,0.5),IF(RoundingRule="Nearest 1",CEILING(AL46,1),IF(RoundingRule="Nearest 5",CEILING(AL46,5),IF(RoundingRule="Up to whole 1",CEILING(AL46,1),IF(RoundingRule="Up to whole 5",CEILING(AL46,5),ROUND(AL46,2))))))))),2)))</f>
        <v>0</v>
      </c>
      <c r="AN46" s="20">
        <f>IF(B46="","",IF(U46&lt;&gt;"",U46,IF(ISNUMBER(AM46),AM46,"")))</f>
        <v>0</v>
      </c>
      <c r="AO46" s="20">
        <f>IF(B46="","",IF(AN46="","",ROUND(AN46-AH46-(AN46*AI46+AJ46),2)))</f>
        <v>0</v>
      </c>
      <c r="AP46" s="33">
        <f>IF(B46="","",IF(OR(AN46="",AN46=0),"",AO46/AN46))</f>
        <v>0</v>
      </c>
      <c r="AQ46" s="41">
        <f>IF(B46="","",ROUND(AC46/60,3))</f>
        <v>0</v>
      </c>
      <c r="AR46" s="20">
        <f>IF(B46="","",IF(OR(AQ46=0,AQ46="",AO46=""),"",ROUND((AO46+AE46)/AQ46,2)))</f>
        <v>0</v>
      </c>
      <c r="AS46" s="43">
        <f>IF(B46="","",IF(AND(A46&lt;&gt;"",ISERROR(MATCH(A46,Products!$A$5:$A$304,0))),"Check - no such product ID",IF(AB46=0,"Add - no material cost yet",IF(AC46=0,"Add - how long does it take?",IF(AND(A46&lt;&gt;"",COUNTIFS('Material Usage'!$A$5:$A$904,A46)&gt;0),"Check - this product also has a bill of materials",IF(AND(A46&lt;&gt;"",COUNTIFS(Labor!$A$5:$A$304,A46)&gt;0),"Check - this product also has labour lines",IF(AR46&lt;MinimumWage,"Below - pays under minimum wage","OK")))))) )</f>
        <v>0</v>
      </c>
    </row>
    <row r="47" spans="23:45">
      <c r="W47" s="41">
        <f>IF(B47="","",IF(E47="",1,E47))</f>
        <v>0</v>
      </c>
      <c r="X47" s="33">
        <f>IF(B47="","",IF(H47="",DefaultWaste,H47))</f>
        <v>0</v>
      </c>
      <c r="Y47" s="36">
        <f>IF(B47="","",ROUND(IF(G47="",0,G47)*W47*(1+X47),1))</f>
        <v>0</v>
      </c>
      <c r="Z47" s="20">
        <f>IF(B47="","",ROUND(Y47*IFERROR(INDEX(Materials!$V$5:$V$254,MATCH(F47,Materials!$A$5:$A$254,0)),0),2))</f>
        <v>0</v>
      </c>
      <c r="AA47" s="20">
        <f>IF(B47="","",ROUND(IF(J47="",0,J47)*W47*(1+X47)*IFERROR(INDEX(Materials!$V$5:$V$254,MATCH(I47,Materials!$A$5:$A$254,0)),0),2))</f>
        <v>0</v>
      </c>
      <c r="AB47" s="20">
        <f>IF(B47="","",ROUND(Z47+AA47+IF(K47="",0,K47)+IF(L47="",0,L47)+IF(M47="",0,M47)+IF(N47="",0,N47),2))</f>
        <v>0</v>
      </c>
      <c r="AC47" s="36">
        <f>IF(B47="","",ROUND((IF(O47="",0,O47)+IF(P47="",0,P47)+IF(Q47="",0,Q47)+IF(R47="",0,R47)+IF(S47="",0,S47))*W47,1))</f>
        <v>0</v>
      </c>
      <c r="AD47" s="20">
        <f>IF(B47="","",IF(T47&lt;&gt;"",T47,LaborCostHour))</f>
        <v>0</v>
      </c>
      <c r="AE47" s="20">
        <f>IF(B47="","",ROUND(AC47/60*AD47,2))</f>
        <v>0</v>
      </c>
      <c r="AF47" s="20">
        <f>IF(B47="","",ROUND(AC47/60*SuppliesPerHour,2))</f>
        <v>0</v>
      </c>
      <c r="AG47" s="20">
        <f>IF(B47="","",ROUND(IF(G47="",0,G47)*W47*X47*IFERROR(INDEX(Materials!$V$5:$V$254,MATCH(F47,Materials!$A$5:$A$254,0)),0),2))</f>
        <v>0</v>
      </c>
      <c r="AH47" s="20">
        <f>IF(B47="","",ROUND(AB47+AE47+AF47,2))</f>
        <v>0</v>
      </c>
      <c r="AI47" s="33">
        <f>IF(B47="","",IFERROR(INDEX(Channels!$S$5:$S$18,MATCH(DefaultChannel,Channels!$A$5:$A$18,0)),0))</f>
        <v>0</v>
      </c>
      <c r="AJ47" s="20">
        <f>IF(B47="","",IFERROR(INDEX(Channels!$T$5:$T$18,MATCH(DefaultChannel,Channels!$A$5:$A$18,0)),0))</f>
        <v>0</v>
      </c>
      <c r="AK47" s="41">
        <f>IF(B47="","",1-TargetRetailMargin-AI47)</f>
        <v>0</v>
      </c>
      <c r="AL47" s="20">
        <f>IF(B47="","",IF(AK47&lt;=0,"",(AH47+AJ47)/AK47))</f>
        <v>0</v>
      </c>
      <c r="AM47" s="20">
        <f>IF(B47="","",IF(AL47="","Check the settings",ROUND(IF(RoundingRule="None",AL47,IF(RoundingRule="Nearest 0.99",MAX(0.99,CEILING(AL47,1)-0.01),IF(RoundingRule="Nearest 0.95",MAX(0.95,CEILING(AL47,1)-0.05),IF(RoundingRule="Nearest 0.50",CEILING(AL47,0.5),IF(RoundingRule="Nearest 1",CEILING(AL47,1),IF(RoundingRule="Nearest 5",CEILING(AL47,5),IF(RoundingRule="Up to whole 1",CEILING(AL47,1),IF(RoundingRule="Up to whole 5",CEILING(AL47,5),ROUND(AL47,2))))))))),2)))</f>
        <v>0</v>
      </c>
      <c r="AN47" s="20">
        <f>IF(B47="","",IF(U47&lt;&gt;"",U47,IF(ISNUMBER(AM47),AM47,"")))</f>
        <v>0</v>
      </c>
      <c r="AO47" s="20">
        <f>IF(B47="","",IF(AN47="","",ROUND(AN47-AH47-(AN47*AI47+AJ47),2)))</f>
        <v>0</v>
      </c>
      <c r="AP47" s="33">
        <f>IF(B47="","",IF(OR(AN47="",AN47=0),"",AO47/AN47))</f>
        <v>0</v>
      </c>
      <c r="AQ47" s="41">
        <f>IF(B47="","",ROUND(AC47/60,3))</f>
        <v>0</v>
      </c>
      <c r="AR47" s="20">
        <f>IF(B47="","",IF(OR(AQ47=0,AQ47="",AO47=""),"",ROUND((AO47+AE47)/AQ47,2)))</f>
        <v>0</v>
      </c>
      <c r="AS47" s="43">
        <f>IF(B47="","",IF(AND(A47&lt;&gt;"",ISERROR(MATCH(A47,Products!$A$5:$A$304,0))),"Check - no such product ID",IF(AB47=0,"Add - no material cost yet",IF(AC47=0,"Add - how long does it take?",IF(AND(A47&lt;&gt;"",COUNTIFS('Material Usage'!$A$5:$A$904,A47)&gt;0),"Check - this product also has a bill of materials",IF(AND(A47&lt;&gt;"",COUNTIFS(Labor!$A$5:$A$304,A47)&gt;0),"Check - this product also has labour lines",IF(AR47&lt;MinimumWage,"Below - pays under minimum wage","OK")))))) )</f>
        <v>0</v>
      </c>
    </row>
    <row r="48" spans="23:45">
      <c r="W48" s="41">
        <f>IF(B48="","",IF(E48="",1,E48))</f>
        <v>0</v>
      </c>
      <c r="X48" s="33">
        <f>IF(B48="","",IF(H48="",DefaultWaste,H48))</f>
        <v>0</v>
      </c>
      <c r="Y48" s="36">
        <f>IF(B48="","",ROUND(IF(G48="",0,G48)*W48*(1+X48),1))</f>
        <v>0</v>
      </c>
      <c r="Z48" s="20">
        <f>IF(B48="","",ROUND(Y48*IFERROR(INDEX(Materials!$V$5:$V$254,MATCH(F48,Materials!$A$5:$A$254,0)),0),2))</f>
        <v>0</v>
      </c>
      <c r="AA48" s="20">
        <f>IF(B48="","",ROUND(IF(J48="",0,J48)*W48*(1+X48)*IFERROR(INDEX(Materials!$V$5:$V$254,MATCH(I48,Materials!$A$5:$A$254,0)),0),2))</f>
        <v>0</v>
      </c>
      <c r="AB48" s="20">
        <f>IF(B48="","",ROUND(Z48+AA48+IF(K48="",0,K48)+IF(L48="",0,L48)+IF(M48="",0,M48)+IF(N48="",0,N48),2))</f>
        <v>0</v>
      </c>
      <c r="AC48" s="36">
        <f>IF(B48="","",ROUND((IF(O48="",0,O48)+IF(P48="",0,P48)+IF(Q48="",0,Q48)+IF(R48="",0,R48)+IF(S48="",0,S48))*W48,1))</f>
        <v>0</v>
      </c>
      <c r="AD48" s="20">
        <f>IF(B48="","",IF(T48&lt;&gt;"",T48,LaborCostHour))</f>
        <v>0</v>
      </c>
      <c r="AE48" s="20">
        <f>IF(B48="","",ROUND(AC48/60*AD48,2))</f>
        <v>0</v>
      </c>
      <c r="AF48" s="20">
        <f>IF(B48="","",ROUND(AC48/60*SuppliesPerHour,2))</f>
        <v>0</v>
      </c>
      <c r="AG48" s="20">
        <f>IF(B48="","",ROUND(IF(G48="",0,G48)*W48*X48*IFERROR(INDEX(Materials!$V$5:$V$254,MATCH(F48,Materials!$A$5:$A$254,0)),0),2))</f>
        <v>0</v>
      </c>
      <c r="AH48" s="20">
        <f>IF(B48="","",ROUND(AB48+AE48+AF48,2))</f>
        <v>0</v>
      </c>
      <c r="AI48" s="33">
        <f>IF(B48="","",IFERROR(INDEX(Channels!$S$5:$S$18,MATCH(DefaultChannel,Channels!$A$5:$A$18,0)),0))</f>
        <v>0</v>
      </c>
      <c r="AJ48" s="20">
        <f>IF(B48="","",IFERROR(INDEX(Channels!$T$5:$T$18,MATCH(DefaultChannel,Channels!$A$5:$A$18,0)),0))</f>
        <v>0</v>
      </c>
      <c r="AK48" s="41">
        <f>IF(B48="","",1-TargetRetailMargin-AI48)</f>
        <v>0</v>
      </c>
      <c r="AL48" s="20">
        <f>IF(B48="","",IF(AK48&lt;=0,"",(AH48+AJ48)/AK48))</f>
        <v>0</v>
      </c>
      <c r="AM48" s="20">
        <f>IF(B48="","",IF(AL48="","Check the settings",ROUND(IF(RoundingRule="None",AL48,IF(RoundingRule="Nearest 0.99",MAX(0.99,CEILING(AL48,1)-0.01),IF(RoundingRule="Nearest 0.95",MAX(0.95,CEILING(AL48,1)-0.05),IF(RoundingRule="Nearest 0.50",CEILING(AL48,0.5),IF(RoundingRule="Nearest 1",CEILING(AL48,1),IF(RoundingRule="Nearest 5",CEILING(AL48,5),IF(RoundingRule="Up to whole 1",CEILING(AL48,1),IF(RoundingRule="Up to whole 5",CEILING(AL48,5),ROUND(AL48,2))))))))),2)))</f>
        <v>0</v>
      </c>
      <c r="AN48" s="20">
        <f>IF(B48="","",IF(U48&lt;&gt;"",U48,IF(ISNUMBER(AM48),AM48,"")))</f>
        <v>0</v>
      </c>
      <c r="AO48" s="20">
        <f>IF(B48="","",IF(AN48="","",ROUND(AN48-AH48-(AN48*AI48+AJ48),2)))</f>
        <v>0</v>
      </c>
      <c r="AP48" s="33">
        <f>IF(B48="","",IF(OR(AN48="",AN48=0),"",AO48/AN48))</f>
        <v>0</v>
      </c>
      <c r="AQ48" s="41">
        <f>IF(B48="","",ROUND(AC48/60,3))</f>
        <v>0</v>
      </c>
      <c r="AR48" s="20">
        <f>IF(B48="","",IF(OR(AQ48=0,AQ48="",AO48=""),"",ROUND((AO48+AE48)/AQ48,2)))</f>
        <v>0</v>
      </c>
      <c r="AS48" s="43">
        <f>IF(B48="","",IF(AND(A48&lt;&gt;"",ISERROR(MATCH(A48,Products!$A$5:$A$304,0))),"Check - no such product ID",IF(AB48=0,"Add - no material cost yet",IF(AC48=0,"Add - how long does it take?",IF(AND(A48&lt;&gt;"",COUNTIFS('Material Usage'!$A$5:$A$904,A48)&gt;0),"Check - this product also has a bill of materials",IF(AND(A48&lt;&gt;"",COUNTIFS(Labor!$A$5:$A$304,A48)&gt;0),"Check - this product also has labour lines",IF(AR48&lt;MinimumWage,"Below - pays under minimum wage","OK")))))) )</f>
        <v>0</v>
      </c>
    </row>
    <row r="49" spans="23:45">
      <c r="W49" s="41">
        <f>IF(B49="","",IF(E49="",1,E49))</f>
        <v>0</v>
      </c>
      <c r="X49" s="33">
        <f>IF(B49="","",IF(H49="",DefaultWaste,H49))</f>
        <v>0</v>
      </c>
      <c r="Y49" s="36">
        <f>IF(B49="","",ROUND(IF(G49="",0,G49)*W49*(1+X49),1))</f>
        <v>0</v>
      </c>
      <c r="Z49" s="20">
        <f>IF(B49="","",ROUND(Y49*IFERROR(INDEX(Materials!$V$5:$V$254,MATCH(F49,Materials!$A$5:$A$254,0)),0),2))</f>
        <v>0</v>
      </c>
      <c r="AA49" s="20">
        <f>IF(B49="","",ROUND(IF(J49="",0,J49)*W49*(1+X49)*IFERROR(INDEX(Materials!$V$5:$V$254,MATCH(I49,Materials!$A$5:$A$254,0)),0),2))</f>
        <v>0</v>
      </c>
      <c r="AB49" s="20">
        <f>IF(B49="","",ROUND(Z49+AA49+IF(K49="",0,K49)+IF(L49="",0,L49)+IF(M49="",0,M49)+IF(N49="",0,N49),2))</f>
        <v>0</v>
      </c>
      <c r="AC49" s="36">
        <f>IF(B49="","",ROUND((IF(O49="",0,O49)+IF(P49="",0,P49)+IF(Q49="",0,Q49)+IF(R49="",0,R49)+IF(S49="",0,S49))*W49,1))</f>
        <v>0</v>
      </c>
      <c r="AD49" s="20">
        <f>IF(B49="","",IF(T49&lt;&gt;"",T49,LaborCostHour))</f>
        <v>0</v>
      </c>
      <c r="AE49" s="20">
        <f>IF(B49="","",ROUND(AC49/60*AD49,2))</f>
        <v>0</v>
      </c>
      <c r="AF49" s="20">
        <f>IF(B49="","",ROUND(AC49/60*SuppliesPerHour,2))</f>
        <v>0</v>
      </c>
      <c r="AG49" s="20">
        <f>IF(B49="","",ROUND(IF(G49="",0,G49)*W49*X49*IFERROR(INDEX(Materials!$V$5:$V$254,MATCH(F49,Materials!$A$5:$A$254,0)),0),2))</f>
        <v>0</v>
      </c>
      <c r="AH49" s="20">
        <f>IF(B49="","",ROUND(AB49+AE49+AF49,2))</f>
        <v>0</v>
      </c>
      <c r="AI49" s="33">
        <f>IF(B49="","",IFERROR(INDEX(Channels!$S$5:$S$18,MATCH(DefaultChannel,Channels!$A$5:$A$18,0)),0))</f>
        <v>0</v>
      </c>
      <c r="AJ49" s="20">
        <f>IF(B49="","",IFERROR(INDEX(Channels!$T$5:$T$18,MATCH(DefaultChannel,Channels!$A$5:$A$18,0)),0))</f>
        <v>0</v>
      </c>
      <c r="AK49" s="41">
        <f>IF(B49="","",1-TargetRetailMargin-AI49)</f>
        <v>0</v>
      </c>
      <c r="AL49" s="20">
        <f>IF(B49="","",IF(AK49&lt;=0,"",(AH49+AJ49)/AK49))</f>
        <v>0</v>
      </c>
      <c r="AM49" s="20">
        <f>IF(B49="","",IF(AL49="","Check the settings",ROUND(IF(RoundingRule="None",AL49,IF(RoundingRule="Nearest 0.99",MAX(0.99,CEILING(AL49,1)-0.01),IF(RoundingRule="Nearest 0.95",MAX(0.95,CEILING(AL49,1)-0.05),IF(RoundingRule="Nearest 0.50",CEILING(AL49,0.5),IF(RoundingRule="Nearest 1",CEILING(AL49,1),IF(RoundingRule="Nearest 5",CEILING(AL49,5),IF(RoundingRule="Up to whole 1",CEILING(AL49,1),IF(RoundingRule="Up to whole 5",CEILING(AL49,5),ROUND(AL49,2))))))))),2)))</f>
        <v>0</v>
      </c>
      <c r="AN49" s="20">
        <f>IF(B49="","",IF(U49&lt;&gt;"",U49,IF(ISNUMBER(AM49),AM49,"")))</f>
        <v>0</v>
      </c>
      <c r="AO49" s="20">
        <f>IF(B49="","",IF(AN49="","",ROUND(AN49-AH49-(AN49*AI49+AJ49),2)))</f>
        <v>0</v>
      </c>
      <c r="AP49" s="33">
        <f>IF(B49="","",IF(OR(AN49="",AN49=0),"",AO49/AN49))</f>
        <v>0</v>
      </c>
      <c r="AQ49" s="41">
        <f>IF(B49="","",ROUND(AC49/60,3))</f>
        <v>0</v>
      </c>
      <c r="AR49" s="20">
        <f>IF(B49="","",IF(OR(AQ49=0,AQ49="",AO49=""),"",ROUND((AO49+AE49)/AQ49,2)))</f>
        <v>0</v>
      </c>
      <c r="AS49" s="43">
        <f>IF(B49="","",IF(AND(A49&lt;&gt;"",ISERROR(MATCH(A49,Products!$A$5:$A$304,0))),"Check - no such product ID",IF(AB49=0,"Add - no material cost yet",IF(AC49=0,"Add - how long does it take?",IF(AND(A49&lt;&gt;"",COUNTIFS('Material Usage'!$A$5:$A$904,A49)&gt;0),"Check - this product also has a bill of materials",IF(AND(A49&lt;&gt;"",COUNTIFS(Labor!$A$5:$A$304,A49)&gt;0),"Check - this product also has labour lines",IF(AR49&lt;MinimumWage,"Below - pays under minimum wage","OK")))))) )</f>
        <v>0</v>
      </c>
    </row>
    <row r="50" spans="23:45">
      <c r="W50" s="41">
        <f>IF(B50="","",IF(E50="",1,E50))</f>
        <v>0</v>
      </c>
      <c r="X50" s="33">
        <f>IF(B50="","",IF(H50="",DefaultWaste,H50))</f>
        <v>0</v>
      </c>
      <c r="Y50" s="36">
        <f>IF(B50="","",ROUND(IF(G50="",0,G50)*W50*(1+X50),1))</f>
        <v>0</v>
      </c>
      <c r="Z50" s="20">
        <f>IF(B50="","",ROUND(Y50*IFERROR(INDEX(Materials!$V$5:$V$254,MATCH(F50,Materials!$A$5:$A$254,0)),0),2))</f>
        <v>0</v>
      </c>
      <c r="AA50" s="20">
        <f>IF(B50="","",ROUND(IF(J50="",0,J50)*W50*(1+X50)*IFERROR(INDEX(Materials!$V$5:$V$254,MATCH(I50,Materials!$A$5:$A$254,0)),0),2))</f>
        <v>0</v>
      </c>
      <c r="AB50" s="20">
        <f>IF(B50="","",ROUND(Z50+AA50+IF(K50="",0,K50)+IF(L50="",0,L50)+IF(M50="",0,M50)+IF(N50="",0,N50),2))</f>
        <v>0</v>
      </c>
      <c r="AC50" s="36">
        <f>IF(B50="","",ROUND((IF(O50="",0,O50)+IF(P50="",0,P50)+IF(Q50="",0,Q50)+IF(R50="",0,R50)+IF(S50="",0,S50))*W50,1))</f>
        <v>0</v>
      </c>
      <c r="AD50" s="20">
        <f>IF(B50="","",IF(T50&lt;&gt;"",T50,LaborCostHour))</f>
        <v>0</v>
      </c>
      <c r="AE50" s="20">
        <f>IF(B50="","",ROUND(AC50/60*AD50,2))</f>
        <v>0</v>
      </c>
      <c r="AF50" s="20">
        <f>IF(B50="","",ROUND(AC50/60*SuppliesPerHour,2))</f>
        <v>0</v>
      </c>
      <c r="AG50" s="20">
        <f>IF(B50="","",ROUND(IF(G50="",0,G50)*W50*X50*IFERROR(INDEX(Materials!$V$5:$V$254,MATCH(F50,Materials!$A$5:$A$254,0)),0),2))</f>
        <v>0</v>
      </c>
      <c r="AH50" s="20">
        <f>IF(B50="","",ROUND(AB50+AE50+AF50,2))</f>
        <v>0</v>
      </c>
      <c r="AI50" s="33">
        <f>IF(B50="","",IFERROR(INDEX(Channels!$S$5:$S$18,MATCH(DefaultChannel,Channels!$A$5:$A$18,0)),0))</f>
        <v>0</v>
      </c>
      <c r="AJ50" s="20">
        <f>IF(B50="","",IFERROR(INDEX(Channels!$T$5:$T$18,MATCH(DefaultChannel,Channels!$A$5:$A$18,0)),0))</f>
        <v>0</v>
      </c>
      <c r="AK50" s="41">
        <f>IF(B50="","",1-TargetRetailMargin-AI50)</f>
        <v>0</v>
      </c>
      <c r="AL50" s="20">
        <f>IF(B50="","",IF(AK50&lt;=0,"",(AH50+AJ50)/AK50))</f>
        <v>0</v>
      </c>
      <c r="AM50" s="20">
        <f>IF(B50="","",IF(AL50="","Check the settings",ROUND(IF(RoundingRule="None",AL50,IF(RoundingRule="Nearest 0.99",MAX(0.99,CEILING(AL50,1)-0.01),IF(RoundingRule="Nearest 0.95",MAX(0.95,CEILING(AL50,1)-0.05),IF(RoundingRule="Nearest 0.50",CEILING(AL50,0.5),IF(RoundingRule="Nearest 1",CEILING(AL50,1),IF(RoundingRule="Nearest 5",CEILING(AL50,5),IF(RoundingRule="Up to whole 1",CEILING(AL50,1),IF(RoundingRule="Up to whole 5",CEILING(AL50,5),ROUND(AL50,2))))))))),2)))</f>
        <v>0</v>
      </c>
      <c r="AN50" s="20">
        <f>IF(B50="","",IF(U50&lt;&gt;"",U50,IF(ISNUMBER(AM50),AM50,"")))</f>
        <v>0</v>
      </c>
      <c r="AO50" s="20">
        <f>IF(B50="","",IF(AN50="","",ROUND(AN50-AH50-(AN50*AI50+AJ50),2)))</f>
        <v>0</v>
      </c>
      <c r="AP50" s="33">
        <f>IF(B50="","",IF(OR(AN50="",AN50=0),"",AO50/AN50))</f>
        <v>0</v>
      </c>
      <c r="AQ50" s="41">
        <f>IF(B50="","",ROUND(AC50/60,3))</f>
        <v>0</v>
      </c>
      <c r="AR50" s="20">
        <f>IF(B50="","",IF(OR(AQ50=0,AQ50="",AO50=""),"",ROUND((AO50+AE50)/AQ50,2)))</f>
        <v>0</v>
      </c>
      <c r="AS50" s="43">
        <f>IF(B50="","",IF(AND(A50&lt;&gt;"",ISERROR(MATCH(A50,Products!$A$5:$A$304,0))),"Check - no such product ID",IF(AB50=0,"Add - no material cost yet",IF(AC50=0,"Add - how long does it take?",IF(AND(A50&lt;&gt;"",COUNTIFS('Material Usage'!$A$5:$A$904,A50)&gt;0),"Check - this product also has a bill of materials",IF(AND(A50&lt;&gt;"",COUNTIFS(Labor!$A$5:$A$304,A50)&gt;0),"Check - this product also has labour lines",IF(AR50&lt;MinimumWage,"Below - pays under minimum wage","OK")))))) )</f>
        <v>0</v>
      </c>
    </row>
    <row r="51" spans="23:45">
      <c r="W51" s="41">
        <f>IF(B51="","",IF(E51="",1,E51))</f>
        <v>0</v>
      </c>
      <c r="X51" s="33">
        <f>IF(B51="","",IF(H51="",DefaultWaste,H51))</f>
        <v>0</v>
      </c>
      <c r="Y51" s="36">
        <f>IF(B51="","",ROUND(IF(G51="",0,G51)*W51*(1+X51),1))</f>
        <v>0</v>
      </c>
      <c r="Z51" s="20">
        <f>IF(B51="","",ROUND(Y51*IFERROR(INDEX(Materials!$V$5:$V$254,MATCH(F51,Materials!$A$5:$A$254,0)),0),2))</f>
        <v>0</v>
      </c>
      <c r="AA51" s="20">
        <f>IF(B51="","",ROUND(IF(J51="",0,J51)*W51*(1+X51)*IFERROR(INDEX(Materials!$V$5:$V$254,MATCH(I51,Materials!$A$5:$A$254,0)),0),2))</f>
        <v>0</v>
      </c>
      <c r="AB51" s="20">
        <f>IF(B51="","",ROUND(Z51+AA51+IF(K51="",0,K51)+IF(L51="",0,L51)+IF(M51="",0,M51)+IF(N51="",0,N51),2))</f>
        <v>0</v>
      </c>
      <c r="AC51" s="36">
        <f>IF(B51="","",ROUND((IF(O51="",0,O51)+IF(P51="",0,P51)+IF(Q51="",0,Q51)+IF(R51="",0,R51)+IF(S51="",0,S51))*W51,1))</f>
        <v>0</v>
      </c>
      <c r="AD51" s="20">
        <f>IF(B51="","",IF(T51&lt;&gt;"",T51,LaborCostHour))</f>
        <v>0</v>
      </c>
      <c r="AE51" s="20">
        <f>IF(B51="","",ROUND(AC51/60*AD51,2))</f>
        <v>0</v>
      </c>
      <c r="AF51" s="20">
        <f>IF(B51="","",ROUND(AC51/60*SuppliesPerHour,2))</f>
        <v>0</v>
      </c>
      <c r="AG51" s="20">
        <f>IF(B51="","",ROUND(IF(G51="",0,G51)*W51*X51*IFERROR(INDEX(Materials!$V$5:$V$254,MATCH(F51,Materials!$A$5:$A$254,0)),0),2))</f>
        <v>0</v>
      </c>
      <c r="AH51" s="20">
        <f>IF(B51="","",ROUND(AB51+AE51+AF51,2))</f>
        <v>0</v>
      </c>
      <c r="AI51" s="33">
        <f>IF(B51="","",IFERROR(INDEX(Channels!$S$5:$S$18,MATCH(DefaultChannel,Channels!$A$5:$A$18,0)),0))</f>
        <v>0</v>
      </c>
      <c r="AJ51" s="20">
        <f>IF(B51="","",IFERROR(INDEX(Channels!$T$5:$T$18,MATCH(DefaultChannel,Channels!$A$5:$A$18,0)),0))</f>
        <v>0</v>
      </c>
      <c r="AK51" s="41">
        <f>IF(B51="","",1-TargetRetailMargin-AI51)</f>
        <v>0</v>
      </c>
      <c r="AL51" s="20">
        <f>IF(B51="","",IF(AK51&lt;=0,"",(AH51+AJ51)/AK51))</f>
        <v>0</v>
      </c>
      <c r="AM51" s="20">
        <f>IF(B51="","",IF(AL51="","Check the settings",ROUND(IF(RoundingRule="None",AL51,IF(RoundingRule="Nearest 0.99",MAX(0.99,CEILING(AL51,1)-0.01),IF(RoundingRule="Nearest 0.95",MAX(0.95,CEILING(AL51,1)-0.05),IF(RoundingRule="Nearest 0.50",CEILING(AL51,0.5),IF(RoundingRule="Nearest 1",CEILING(AL51,1),IF(RoundingRule="Nearest 5",CEILING(AL51,5),IF(RoundingRule="Up to whole 1",CEILING(AL51,1),IF(RoundingRule="Up to whole 5",CEILING(AL51,5),ROUND(AL51,2))))))))),2)))</f>
        <v>0</v>
      </c>
      <c r="AN51" s="20">
        <f>IF(B51="","",IF(U51&lt;&gt;"",U51,IF(ISNUMBER(AM51),AM51,"")))</f>
        <v>0</v>
      </c>
      <c r="AO51" s="20">
        <f>IF(B51="","",IF(AN51="","",ROUND(AN51-AH51-(AN51*AI51+AJ51),2)))</f>
        <v>0</v>
      </c>
      <c r="AP51" s="33">
        <f>IF(B51="","",IF(OR(AN51="",AN51=0),"",AO51/AN51))</f>
        <v>0</v>
      </c>
      <c r="AQ51" s="41">
        <f>IF(B51="","",ROUND(AC51/60,3))</f>
        <v>0</v>
      </c>
      <c r="AR51" s="20">
        <f>IF(B51="","",IF(OR(AQ51=0,AQ51="",AO51=""),"",ROUND((AO51+AE51)/AQ51,2)))</f>
        <v>0</v>
      </c>
      <c r="AS51" s="43">
        <f>IF(B51="","",IF(AND(A51&lt;&gt;"",ISERROR(MATCH(A51,Products!$A$5:$A$304,0))),"Check - no such product ID",IF(AB51=0,"Add - no material cost yet",IF(AC51=0,"Add - how long does it take?",IF(AND(A51&lt;&gt;"",COUNTIFS('Material Usage'!$A$5:$A$904,A51)&gt;0),"Check - this product also has a bill of materials",IF(AND(A51&lt;&gt;"",COUNTIFS(Labor!$A$5:$A$304,A51)&gt;0),"Check - this product also has labour lines",IF(AR51&lt;MinimumWage,"Below - pays under minimum wage","OK")))))) )</f>
        <v>0</v>
      </c>
    </row>
    <row r="52" spans="23:45">
      <c r="W52" s="41">
        <f>IF(B52="","",IF(E52="",1,E52))</f>
        <v>0</v>
      </c>
      <c r="X52" s="33">
        <f>IF(B52="","",IF(H52="",DefaultWaste,H52))</f>
        <v>0</v>
      </c>
      <c r="Y52" s="36">
        <f>IF(B52="","",ROUND(IF(G52="",0,G52)*W52*(1+X52),1))</f>
        <v>0</v>
      </c>
      <c r="Z52" s="20">
        <f>IF(B52="","",ROUND(Y52*IFERROR(INDEX(Materials!$V$5:$V$254,MATCH(F52,Materials!$A$5:$A$254,0)),0),2))</f>
        <v>0</v>
      </c>
      <c r="AA52" s="20">
        <f>IF(B52="","",ROUND(IF(J52="",0,J52)*W52*(1+X52)*IFERROR(INDEX(Materials!$V$5:$V$254,MATCH(I52,Materials!$A$5:$A$254,0)),0),2))</f>
        <v>0</v>
      </c>
      <c r="AB52" s="20">
        <f>IF(B52="","",ROUND(Z52+AA52+IF(K52="",0,K52)+IF(L52="",0,L52)+IF(M52="",0,M52)+IF(N52="",0,N52),2))</f>
        <v>0</v>
      </c>
      <c r="AC52" s="36">
        <f>IF(B52="","",ROUND((IF(O52="",0,O52)+IF(P52="",0,P52)+IF(Q52="",0,Q52)+IF(R52="",0,R52)+IF(S52="",0,S52))*W52,1))</f>
        <v>0</v>
      </c>
      <c r="AD52" s="20">
        <f>IF(B52="","",IF(T52&lt;&gt;"",T52,LaborCostHour))</f>
        <v>0</v>
      </c>
      <c r="AE52" s="20">
        <f>IF(B52="","",ROUND(AC52/60*AD52,2))</f>
        <v>0</v>
      </c>
      <c r="AF52" s="20">
        <f>IF(B52="","",ROUND(AC52/60*SuppliesPerHour,2))</f>
        <v>0</v>
      </c>
      <c r="AG52" s="20">
        <f>IF(B52="","",ROUND(IF(G52="",0,G52)*W52*X52*IFERROR(INDEX(Materials!$V$5:$V$254,MATCH(F52,Materials!$A$5:$A$254,0)),0),2))</f>
        <v>0</v>
      </c>
      <c r="AH52" s="20">
        <f>IF(B52="","",ROUND(AB52+AE52+AF52,2))</f>
        <v>0</v>
      </c>
      <c r="AI52" s="33">
        <f>IF(B52="","",IFERROR(INDEX(Channels!$S$5:$S$18,MATCH(DefaultChannel,Channels!$A$5:$A$18,0)),0))</f>
        <v>0</v>
      </c>
      <c r="AJ52" s="20">
        <f>IF(B52="","",IFERROR(INDEX(Channels!$T$5:$T$18,MATCH(DefaultChannel,Channels!$A$5:$A$18,0)),0))</f>
        <v>0</v>
      </c>
      <c r="AK52" s="41">
        <f>IF(B52="","",1-TargetRetailMargin-AI52)</f>
        <v>0</v>
      </c>
      <c r="AL52" s="20">
        <f>IF(B52="","",IF(AK52&lt;=0,"",(AH52+AJ52)/AK52))</f>
        <v>0</v>
      </c>
      <c r="AM52" s="20">
        <f>IF(B52="","",IF(AL52="","Check the settings",ROUND(IF(RoundingRule="None",AL52,IF(RoundingRule="Nearest 0.99",MAX(0.99,CEILING(AL52,1)-0.01),IF(RoundingRule="Nearest 0.95",MAX(0.95,CEILING(AL52,1)-0.05),IF(RoundingRule="Nearest 0.50",CEILING(AL52,0.5),IF(RoundingRule="Nearest 1",CEILING(AL52,1),IF(RoundingRule="Nearest 5",CEILING(AL52,5),IF(RoundingRule="Up to whole 1",CEILING(AL52,1),IF(RoundingRule="Up to whole 5",CEILING(AL52,5),ROUND(AL52,2))))))))),2)))</f>
        <v>0</v>
      </c>
      <c r="AN52" s="20">
        <f>IF(B52="","",IF(U52&lt;&gt;"",U52,IF(ISNUMBER(AM52),AM52,"")))</f>
        <v>0</v>
      </c>
      <c r="AO52" s="20">
        <f>IF(B52="","",IF(AN52="","",ROUND(AN52-AH52-(AN52*AI52+AJ52),2)))</f>
        <v>0</v>
      </c>
      <c r="AP52" s="33">
        <f>IF(B52="","",IF(OR(AN52="",AN52=0),"",AO52/AN52))</f>
        <v>0</v>
      </c>
      <c r="AQ52" s="41">
        <f>IF(B52="","",ROUND(AC52/60,3))</f>
        <v>0</v>
      </c>
      <c r="AR52" s="20">
        <f>IF(B52="","",IF(OR(AQ52=0,AQ52="",AO52=""),"",ROUND((AO52+AE52)/AQ52,2)))</f>
        <v>0</v>
      </c>
      <c r="AS52" s="43">
        <f>IF(B52="","",IF(AND(A52&lt;&gt;"",ISERROR(MATCH(A52,Products!$A$5:$A$304,0))),"Check - no such product ID",IF(AB52=0,"Add - no material cost yet",IF(AC52=0,"Add - how long does it take?",IF(AND(A52&lt;&gt;"",COUNTIFS('Material Usage'!$A$5:$A$904,A52)&gt;0),"Check - this product also has a bill of materials",IF(AND(A52&lt;&gt;"",COUNTIFS(Labor!$A$5:$A$304,A52)&gt;0),"Check - this product also has labour lines",IF(AR52&lt;MinimumWage,"Below - pays under minimum wage","OK")))))) )</f>
        <v>0</v>
      </c>
    </row>
    <row r="53" spans="23:45">
      <c r="W53" s="41">
        <f>IF(B53="","",IF(E53="",1,E53))</f>
        <v>0</v>
      </c>
      <c r="X53" s="33">
        <f>IF(B53="","",IF(H53="",DefaultWaste,H53))</f>
        <v>0</v>
      </c>
      <c r="Y53" s="36">
        <f>IF(B53="","",ROUND(IF(G53="",0,G53)*W53*(1+X53),1))</f>
        <v>0</v>
      </c>
      <c r="Z53" s="20">
        <f>IF(B53="","",ROUND(Y53*IFERROR(INDEX(Materials!$V$5:$V$254,MATCH(F53,Materials!$A$5:$A$254,0)),0),2))</f>
        <v>0</v>
      </c>
      <c r="AA53" s="20">
        <f>IF(B53="","",ROUND(IF(J53="",0,J53)*W53*(1+X53)*IFERROR(INDEX(Materials!$V$5:$V$254,MATCH(I53,Materials!$A$5:$A$254,0)),0),2))</f>
        <v>0</v>
      </c>
      <c r="AB53" s="20">
        <f>IF(B53="","",ROUND(Z53+AA53+IF(K53="",0,K53)+IF(L53="",0,L53)+IF(M53="",0,M53)+IF(N53="",0,N53),2))</f>
        <v>0</v>
      </c>
      <c r="AC53" s="36">
        <f>IF(B53="","",ROUND((IF(O53="",0,O53)+IF(P53="",0,P53)+IF(Q53="",0,Q53)+IF(R53="",0,R53)+IF(S53="",0,S53))*W53,1))</f>
        <v>0</v>
      </c>
      <c r="AD53" s="20">
        <f>IF(B53="","",IF(T53&lt;&gt;"",T53,LaborCostHour))</f>
        <v>0</v>
      </c>
      <c r="AE53" s="20">
        <f>IF(B53="","",ROUND(AC53/60*AD53,2))</f>
        <v>0</v>
      </c>
      <c r="AF53" s="20">
        <f>IF(B53="","",ROUND(AC53/60*SuppliesPerHour,2))</f>
        <v>0</v>
      </c>
      <c r="AG53" s="20">
        <f>IF(B53="","",ROUND(IF(G53="",0,G53)*W53*X53*IFERROR(INDEX(Materials!$V$5:$V$254,MATCH(F53,Materials!$A$5:$A$254,0)),0),2))</f>
        <v>0</v>
      </c>
      <c r="AH53" s="20">
        <f>IF(B53="","",ROUND(AB53+AE53+AF53,2))</f>
        <v>0</v>
      </c>
      <c r="AI53" s="33">
        <f>IF(B53="","",IFERROR(INDEX(Channels!$S$5:$S$18,MATCH(DefaultChannel,Channels!$A$5:$A$18,0)),0))</f>
        <v>0</v>
      </c>
      <c r="AJ53" s="20">
        <f>IF(B53="","",IFERROR(INDEX(Channels!$T$5:$T$18,MATCH(DefaultChannel,Channels!$A$5:$A$18,0)),0))</f>
        <v>0</v>
      </c>
      <c r="AK53" s="41">
        <f>IF(B53="","",1-TargetRetailMargin-AI53)</f>
        <v>0</v>
      </c>
      <c r="AL53" s="20">
        <f>IF(B53="","",IF(AK53&lt;=0,"",(AH53+AJ53)/AK53))</f>
        <v>0</v>
      </c>
      <c r="AM53" s="20">
        <f>IF(B53="","",IF(AL53="","Check the settings",ROUND(IF(RoundingRule="None",AL53,IF(RoundingRule="Nearest 0.99",MAX(0.99,CEILING(AL53,1)-0.01),IF(RoundingRule="Nearest 0.95",MAX(0.95,CEILING(AL53,1)-0.05),IF(RoundingRule="Nearest 0.50",CEILING(AL53,0.5),IF(RoundingRule="Nearest 1",CEILING(AL53,1),IF(RoundingRule="Nearest 5",CEILING(AL53,5),IF(RoundingRule="Up to whole 1",CEILING(AL53,1),IF(RoundingRule="Up to whole 5",CEILING(AL53,5),ROUND(AL53,2))))))))),2)))</f>
        <v>0</v>
      </c>
      <c r="AN53" s="20">
        <f>IF(B53="","",IF(U53&lt;&gt;"",U53,IF(ISNUMBER(AM53),AM53,"")))</f>
        <v>0</v>
      </c>
      <c r="AO53" s="20">
        <f>IF(B53="","",IF(AN53="","",ROUND(AN53-AH53-(AN53*AI53+AJ53),2)))</f>
        <v>0</v>
      </c>
      <c r="AP53" s="33">
        <f>IF(B53="","",IF(OR(AN53="",AN53=0),"",AO53/AN53))</f>
        <v>0</v>
      </c>
      <c r="AQ53" s="41">
        <f>IF(B53="","",ROUND(AC53/60,3))</f>
        <v>0</v>
      </c>
      <c r="AR53" s="20">
        <f>IF(B53="","",IF(OR(AQ53=0,AQ53="",AO53=""),"",ROUND((AO53+AE53)/AQ53,2)))</f>
        <v>0</v>
      </c>
      <c r="AS53" s="43">
        <f>IF(B53="","",IF(AND(A53&lt;&gt;"",ISERROR(MATCH(A53,Products!$A$5:$A$304,0))),"Check - no such product ID",IF(AB53=0,"Add - no material cost yet",IF(AC53=0,"Add - how long does it take?",IF(AND(A53&lt;&gt;"",COUNTIFS('Material Usage'!$A$5:$A$904,A53)&gt;0),"Check - this product also has a bill of materials",IF(AND(A53&lt;&gt;"",COUNTIFS(Labor!$A$5:$A$304,A53)&gt;0),"Check - this product also has labour lines",IF(AR53&lt;MinimumWage,"Below - pays under minimum wage","OK")))))) )</f>
        <v>0</v>
      </c>
    </row>
    <row r="54" spans="23:45">
      <c r="W54" s="41">
        <f>IF(B54="","",IF(E54="",1,E54))</f>
        <v>0</v>
      </c>
      <c r="X54" s="33">
        <f>IF(B54="","",IF(H54="",DefaultWaste,H54))</f>
        <v>0</v>
      </c>
      <c r="Y54" s="36">
        <f>IF(B54="","",ROUND(IF(G54="",0,G54)*W54*(1+X54),1))</f>
        <v>0</v>
      </c>
      <c r="Z54" s="20">
        <f>IF(B54="","",ROUND(Y54*IFERROR(INDEX(Materials!$V$5:$V$254,MATCH(F54,Materials!$A$5:$A$254,0)),0),2))</f>
        <v>0</v>
      </c>
      <c r="AA54" s="20">
        <f>IF(B54="","",ROUND(IF(J54="",0,J54)*W54*(1+X54)*IFERROR(INDEX(Materials!$V$5:$V$254,MATCH(I54,Materials!$A$5:$A$254,0)),0),2))</f>
        <v>0</v>
      </c>
      <c r="AB54" s="20">
        <f>IF(B54="","",ROUND(Z54+AA54+IF(K54="",0,K54)+IF(L54="",0,L54)+IF(M54="",0,M54)+IF(N54="",0,N54),2))</f>
        <v>0</v>
      </c>
      <c r="AC54" s="36">
        <f>IF(B54="","",ROUND((IF(O54="",0,O54)+IF(P54="",0,P54)+IF(Q54="",0,Q54)+IF(R54="",0,R54)+IF(S54="",0,S54))*W54,1))</f>
        <v>0</v>
      </c>
      <c r="AD54" s="20">
        <f>IF(B54="","",IF(T54&lt;&gt;"",T54,LaborCostHour))</f>
        <v>0</v>
      </c>
      <c r="AE54" s="20">
        <f>IF(B54="","",ROUND(AC54/60*AD54,2))</f>
        <v>0</v>
      </c>
      <c r="AF54" s="20">
        <f>IF(B54="","",ROUND(AC54/60*SuppliesPerHour,2))</f>
        <v>0</v>
      </c>
      <c r="AG54" s="20">
        <f>IF(B54="","",ROUND(IF(G54="",0,G54)*W54*X54*IFERROR(INDEX(Materials!$V$5:$V$254,MATCH(F54,Materials!$A$5:$A$254,0)),0),2))</f>
        <v>0</v>
      </c>
      <c r="AH54" s="20">
        <f>IF(B54="","",ROUND(AB54+AE54+AF54,2))</f>
        <v>0</v>
      </c>
      <c r="AI54" s="33">
        <f>IF(B54="","",IFERROR(INDEX(Channels!$S$5:$S$18,MATCH(DefaultChannel,Channels!$A$5:$A$18,0)),0))</f>
        <v>0</v>
      </c>
      <c r="AJ54" s="20">
        <f>IF(B54="","",IFERROR(INDEX(Channels!$T$5:$T$18,MATCH(DefaultChannel,Channels!$A$5:$A$18,0)),0))</f>
        <v>0</v>
      </c>
      <c r="AK54" s="41">
        <f>IF(B54="","",1-TargetRetailMargin-AI54)</f>
        <v>0</v>
      </c>
      <c r="AL54" s="20">
        <f>IF(B54="","",IF(AK54&lt;=0,"",(AH54+AJ54)/AK54))</f>
        <v>0</v>
      </c>
      <c r="AM54" s="20">
        <f>IF(B54="","",IF(AL54="","Check the settings",ROUND(IF(RoundingRule="None",AL54,IF(RoundingRule="Nearest 0.99",MAX(0.99,CEILING(AL54,1)-0.01),IF(RoundingRule="Nearest 0.95",MAX(0.95,CEILING(AL54,1)-0.05),IF(RoundingRule="Nearest 0.50",CEILING(AL54,0.5),IF(RoundingRule="Nearest 1",CEILING(AL54,1),IF(RoundingRule="Nearest 5",CEILING(AL54,5),IF(RoundingRule="Up to whole 1",CEILING(AL54,1),IF(RoundingRule="Up to whole 5",CEILING(AL54,5),ROUND(AL54,2))))))))),2)))</f>
        <v>0</v>
      </c>
      <c r="AN54" s="20">
        <f>IF(B54="","",IF(U54&lt;&gt;"",U54,IF(ISNUMBER(AM54),AM54,"")))</f>
        <v>0</v>
      </c>
      <c r="AO54" s="20">
        <f>IF(B54="","",IF(AN54="","",ROUND(AN54-AH54-(AN54*AI54+AJ54),2)))</f>
        <v>0</v>
      </c>
      <c r="AP54" s="33">
        <f>IF(B54="","",IF(OR(AN54="",AN54=0),"",AO54/AN54))</f>
        <v>0</v>
      </c>
      <c r="AQ54" s="41">
        <f>IF(B54="","",ROUND(AC54/60,3))</f>
        <v>0</v>
      </c>
      <c r="AR54" s="20">
        <f>IF(B54="","",IF(OR(AQ54=0,AQ54="",AO54=""),"",ROUND((AO54+AE54)/AQ54,2)))</f>
        <v>0</v>
      </c>
      <c r="AS54" s="43">
        <f>IF(B54="","",IF(AND(A54&lt;&gt;"",ISERROR(MATCH(A54,Products!$A$5:$A$304,0))),"Check - no such product ID",IF(AB54=0,"Add - no material cost yet",IF(AC54=0,"Add - how long does it take?",IF(AND(A54&lt;&gt;"",COUNTIFS('Material Usage'!$A$5:$A$904,A54)&gt;0),"Check - this product also has a bill of materials",IF(AND(A54&lt;&gt;"",COUNTIFS(Labor!$A$5:$A$304,A54)&gt;0),"Check - this product also has labour lines",IF(AR54&lt;MinimumWage,"Below - pays under minimum wage","OK")))))) )</f>
        <v>0</v>
      </c>
    </row>
    <row r="55" spans="23:45">
      <c r="W55" s="41">
        <f>IF(B55="","",IF(E55="",1,E55))</f>
        <v>0</v>
      </c>
      <c r="X55" s="33">
        <f>IF(B55="","",IF(H55="",DefaultWaste,H55))</f>
        <v>0</v>
      </c>
      <c r="Y55" s="36">
        <f>IF(B55="","",ROUND(IF(G55="",0,G55)*W55*(1+X55),1))</f>
        <v>0</v>
      </c>
      <c r="Z55" s="20">
        <f>IF(B55="","",ROUND(Y55*IFERROR(INDEX(Materials!$V$5:$V$254,MATCH(F55,Materials!$A$5:$A$254,0)),0),2))</f>
        <v>0</v>
      </c>
      <c r="AA55" s="20">
        <f>IF(B55="","",ROUND(IF(J55="",0,J55)*W55*(1+X55)*IFERROR(INDEX(Materials!$V$5:$V$254,MATCH(I55,Materials!$A$5:$A$254,0)),0),2))</f>
        <v>0</v>
      </c>
      <c r="AB55" s="20">
        <f>IF(B55="","",ROUND(Z55+AA55+IF(K55="",0,K55)+IF(L55="",0,L55)+IF(M55="",0,M55)+IF(N55="",0,N55),2))</f>
        <v>0</v>
      </c>
      <c r="AC55" s="36">
        <f>IF(B55="","",ROUND((IF(O55="",0,O55)+IF(P55="",0,P55)+IF(Q55="",0,Q55)+IF(R55="",0,R55)+IF(S55="",0,S55))*W55,1))</f>
        <v>0</v>
      </c>
      <c r="AD55" s="20">
        <f>IF(B55="","",IF(T55&lt;&gt;"",T55,LaborCostHour))</f>
        <v>0</v>
      </c>
      <c r="AE55" s="20">
        <f>IF(B55="","",ROUND(AC55/60*AD55,2))</f>
        <v>0</v>
      </c>
      <c r="AF55" s="20">
        <f>IF(B55="","",ROUND(AC55/60*SuppliesPerHour,2))</f>
        <v>0</v>
      </c>
      <c r="AG55" s="20">
        <f>IF(B55="","",ROUND(IF(G55="",0,G55)*W55*X55*IFERROR(INDEX(Materials!$V$5:$V$254,MATCH(F55,Materials!$A$5:$A$254,0)),0),2))</f>
        <v>0</v>
      </c>
      <c r="AH55" s="20">
        <f>IF(B55="","",ROUND(AB55+AE55+AF55,2))</f>
        <v>0</v>
      </c>
      <c r="AI55" s="33">
        <f>IF(B55="","",IFERROR(INDEX(Channels!$S$5:$S$18,MATCH(DefaultChannel,Channels!$A$5:$A$18,0)),0))</f>
        <v>0</v>
      </c>
      <c r="AJ55" s="20">
        <f>IF(B55="","",IFERROR(INDEX(Channels!$T$5:$T$18,MATCH(DefaultChannel,Channels!$A$5:$A$18,0)),0))</f>
        <v>0</v>
      </c>
      <c r="AK55" s="41">
        <f>IF(B55="","",1-TargetRetailMargin-AI55)</f>
        <v>0</v>
      </c>
      <c r="AL55" s="20">
        <f>IF(B55="","",IF(AK55&lt;=0,"",(AH55+AJ55)/AK55))</f>
        <v>0</v>
      </c>
      <c r="AM55" s="20">
        <f>IF(B55="","",IF(AL55="","Check the settings",ROUND(IF(RoundingRule="None",AL55,IF(RoundingRule="Nearest 0.99",MAX(0.99,CEILING(AL55,1)-0.01),IF(RoundingRule="Nearest 0.95",MAX(0.95,CEILING(AL55,1)-0.05),IF(RoundingRule="Nearest 0.50",CEILING(AL55,0.5),IF(RoundingRule="Nearest 1",CEILING(AL55,1),IF(RoundingRule="Nearest 5",CEILING(AL55,5),IF(RoundingRule="Up to whole 1",CEILING(AL55,1),IF(RoundingRule="Up to whole 5",CEILING(AL55,5),ROUND(AL55,2))))))))),2)))</f>
        <v>0</v>
      </c>
      <c r="AN55" s="20">
        <f>IF(B55="","",IF(U55&lt;&gt;"",U55,IF(ISNUMBER(AM55),AM55,"")))</f>
        <v>0</v>
      </c>
      <c r="AO55" s="20">
        <f>IF(B55="","",IF(AN55="","",ROUND(AN55-AH55-(AN55*AI55+AJ55),2)))</f>
        <v>0</v>
      </c>
      <c r="AP55" s="33">
        <f>IF(B55="","",IF(OR(AN55="",AN55=0),"",AO55/AN55))</f>
        <v>0</v>
      </c>
      <c r="AQ55" s="41">
        <f>IF(B55="","",ROUND(AC55/60,3))</f>
        <v>0</v>
      </c>
      <c r="AR55" s="20">
        <f>IF(B55="","",IF(OR(AQ55=0,AQ55="",AO55=""),"",ROUND((AO55+AE55)/AQ55,2)))</f>
        <v>0</v>
      </c>
      <c r="AS55" s="43">
        <f>IF(B55="","",IF(AND(A55&lt;&gt;"",ISERROR(MATCH(A55,Products!$A$5:$A$304,0))),"Check - no such product ID",IF(AB55=0,"Add - no material cost yet",IF(AC55=0,"Add - how long does it take?",IF(AND(A55&lt;&gt;"",COUNTIFS('Material Usage'!$A$5:$A$904,A55)&gt;0),"Check - this product also has a bill of materials",IF(AND(A55&lt;&gt;"",COUNTIFS(Labor!$A$5:$A$304,A55)&gt;0),"Check - this product also has labour lines",IF(AR55&lt;MinimumWage,"Below - pays under minimum wage","OK")))))) )</f>
        <v>0</v>
      </c>
    </row>
    <row r="56" spans="23:45">
      <c r="W56" s="41">
        <f>IF(B56="","",IF(E56="",1,E56))</f>
        <v>0</v>
      </c>
      <c r="X56" s="33">
        <f>IF(B56="","",IF(H56="",DefaultWaste,H56))</f>
        <v>0</v>
      </c>
      <c r="Y56" s="36">
        <f>IF(B56="","",ROUND(IF(G56="",0,G56)*W56*(1+X56),1))</f>
        <v>0</v>
      </c>
      <c r="Z56" s="20">
        <f>IF(B56="","",ROUND(Y56*IFERROR(INDEX(Materials!$V$5:$V$254,MATCH(F56,Materials!$A$5:$A$254,0)),0),2))</f>
        <v>0</v>
      </c>
      <c r="AA56" s="20">
        <f>IF(B56="","",ROUND(IF(J56="",0,J56)*W56*(1+X56)*IFERROR(INDEX(Materials!$V$5:$V$254,MATCH(I56,Materials!$A$5:$A$254,0)),0),2))</f>
        <v>0</v>
      </c>
      <c r="AB56" s="20">
        <f>IF(B56="","",ROUND(Z56+AA56+IF(K56="",0,K56)+IF(L56="",0,L56)+IF(M56="",0,M56)+IF(N56="",0,N56),2))</f>
        <v>0</v>
      </c>
      <c r="AC56" s="36">
        <f>IF(B56="","",ROUND((IF(O56="",0,O56)+IF(P56="",0,P56)+IF(Q56="",0,Q56)+IF(R56="",0,R56)+IF(S56="",0,S56))*W56,1))</f>
        <v>0</v>
      </c>
      <c r="AD56" s="20">
        <f>IF(B56="","",IF(T56&lt;&gt;"",T56,LaborCostHour))</f>
        <v>0</v>
      </c>
      <c r="AE56" s="20">
        <f>IF(B56="","",ROUND(AC56/60*AD56,2))</f>
        <v>0</v>
      </c>
      <c r="AF56" s="20">
        <f>IF(B56="","",ROUND(AC56/60*SuppliesPerHour,2))</f>
        <v>0</v>
      </c>
      <c r="AG56" s="20">
        <f>IF(B56="","",ROUND(IF(G56="",0,G56)*W56*X56*IFERROR(INDEX(Materials!$V$5:$V$254,MATCH(F56,Materials!$A$5:$A$254,0)),0),2))</f>
        <v>0</v>
      </c>
      <c r="AH56" s="20">
        <f>IF(B56="","",ROUND(AB56+AE56+AF56,2))</f>
        <v>0</v>
      </c>
      <c r="AI56" s="33">
        <f>IF(B56="","",IFERROR(INDEX(Channels!$S$5:$S$18,MATCH(DefaultChannel,Channels!$A$5:$A$18,0)),0))</f>
        <v>0</v>
      </c>
      <c r="AJ56" s="20">
        <f>IF(B56="","",IFERROR(INDEX(Channels!$T$5:$T$18,MATCH(DefaultChannel,Channels!$A$5:$A$18,0)),0))</f>
        <v>0</v>
      </c>
      <c r="AK56" s="41">
        <f>IF(B56="","",1-TargetRetailMargin-AI56)</f>
        <v>0</v>
      </c>
      <c r="AL56" s="20">
        <f>IF(B56="","",IF(AK56&lt;=0,"",(AH56+AJ56)/AK56))</f>
        <v>0</v>
      </c>
      <c r="AM56" s="20">
        <f>IF(B56="","",IF(AL56="","Check the settings",ROUND(IF(RoundingRule="None",AL56,IF(RoundingRule="Nearest 0.99",MAX(0.99,CEILING(AL56,1)-0.01),IF(RoundingRule="Nearest 0.95",MAX(0.95,CEILING(AL56,1)-0.05),IF(RoundingRule="Nearest 0.50",CEILING(AL56,0.5),IF(RoundingRule="Nearest 1",CEILING(AL56,1),IF(RoundingRule="Nearest 5",CEILING(AL56,5),IF(RoundingRule="Up to whole 1",CEILING(AL56,1),IF(RoundingRule="Up to whole 5",CEILING(AL56,5),ROUND(AL56,2))))))))),2)))</f>
        <v>0</v>
      </c>
      <c r="AN56" s="20">
        <f>IF(B56="","",IF(U56&lt;&gt;"",U56,IF(ISNUMBER(AM56),AM56,"")))</f>
        <v>0</v>
      </c>
      <c r="AO56" s="20">
        <f>IF(B56="","",IF(AN56="","",ROUND(AN56-AH56-(AN56*AI56+AJ56),2)))</f>
        <v>0</v>
      </c>
      <c r="AP56" s="33">
        <f>IF(B56="","",IF(OR(AN56="",AN56=0),"",AO56/AN56))</f>
        <v>0</v>
      </c>
      <c r="AQ56" s="41">
        <f>IF(B56="","",ROUND(AC56/60,3))</f>
        <v>0</v>
      </c>
      <c r="AR56" s="20">
        <f>IF(B56="","",IF(OR(AQ56=0,AQ56="",AO56=""),"",ROUND((AO56+AE56)/AQ56,2)))</f>
        <v>0</v>
      </c>
      <c r="AS56" s="43">
        <f>IF(B56="","",IF(AND(A56&lt;&gt;"",ISERROR(MATCH(A56,Products!$A$5:$A$304,0))),"Check - no such product ID",IF(AB56=0,"Add - no material cost yet",IF(AC56=0,"Add - how long does it take?",IF(AND(A56&lt;&gt;"",COUNTIFS('Material Usage'!$A$5:$A$904,A56)&gt;0),"Check - this product also has a bill of materials",IF(AND(A56&lt;&gt;"",COUNTIFS(Labor!$A$5:$A$304,A56)&gt;0),"Check - this product also has labour lines",IF(AR56&lt;MinimumWage,"Below - pays under minimum wage","OK")))))) )</f>
        <v>0</v>
      </c>
    </row>
    <row r="57" spans="23:45">
      <c r="W57" s="41">
        <f>IF(B57="","",IF(E57="",1,E57))</f>
        <v>0</v>
      </c>
      <c r="X57" s="33">
        <f>IF(B57="","",IF(H57="",DefaultWaste,H57))</f>
        <v>0</v>
      </c>
      <c r="Y57" s="36">
        <f>IF(B57="","",ROUND(IF(G57="",0,G57)*W57*(1+X57),1))</f>
        <v>0</v>
      </c>
      <c r="Z57" s="20">
        <f>IF(B57="","",ROUND(Y57*IFERROR(INDEX(Materials!$V$5:$V$254,MATCH(F57,Materials!$A$5:$A$254,0)),0),2))</f>
        <v>0</v>
      </c>
      <c r="AA57" s="20">
        <f>IF(B57="","",ROUND(IF(J57="",0,J57)*W57*(1+X57)*IFERROR(INDEX(Materials!$V$5:$V$254,MATCH(I57,Materials!$A$5:$A$254,0)),0),2))</f>
        <v>0</v>
      </c>
      <c r="AB57" s="20">
        <f>IF(B57="","",ROUND(Z57+AA57+IF(K57="",0,K57)+IF(L57="",0,L57)+IF(M57="",0,M57)+IF(N57="",0,N57),2))</f>
        <v>0</v>
      </c>
      <c r="AC57" s="36">
        <f>IF(B57="","",ROUND((IF(O57="",0,O57)+IF(P57="",0,P57)+IF(Q57="",0,Q57)+IF(R57="",0,R57)+IF(S57="",0,S57))*W57,1))</f>
        <v>0</v>
      </c>
      <c r="AD57" s="20">
        <f>IF(B57="","",IF(T57&lt;&gt;"",T57,LaborCostHour))</f>
        <v>0</v>
      </c>
      <c r="AE57" s="20">
        <f>IF(B57="","",ROUND(AC57/60*AD57,2))</f>
        <v>0</v>
      </c>
      <c r="AF57" s="20">
        <f>IF(B57="","",ROUND(AC57/60*SuppliesPerHour,2))</f>
        <v>0</v>
      </c>
      <c r="AG57" s="20">
        <f>IF(B57="","",ROUND(IF(G57="",0,G57)*W57*X57*IFERROR(INDEX(Materials!$V$5:$V$254,MATCH(F57,Materials!$A$5:$A$254,0)),0),2))</f>
        <v>0</v>
      </c>
      <c r="AH57" s="20">
        <f>IF(B57="","",ROUND(AB57+AE57+AF57,2))</f>
        <v>0</v>
      </c>
      <c r="AI57" s="33">
        <f>IF(B57="","",IFERROR(INDEX(Channels!$S$5:$S$18,MATCH(DefaultChannel,Channels!$A$5:$A$18,0)),0))</f>
        <v>0</v>
      </c>
      <c r="AJ57" s="20">
        <f>IF(B57="","",IFERROR(INDEX(Channels!$T$5:$T$18,MATCH(DefaultChannel,Channels!$A$5:$A$18,0)),0))</f>
        <v>0</v>
      </c>
      <c r="AK57" s="41">
        <f>IF(B57="","",1-TargetRetailMargin-AI57)</f>
        <v>0</v>
      </c>
      <c r="AL57" s="20">
        <f>IF(B57="","",IF(AK57&lt;=0,"",(AH57+AJ57)/AK57))</f>
        <v>0</v>
      </c>
      <c r="AM57" s="20">
        <f>IF(B57="","",IF(AL57="","Check the settings",ROUND(IF(RoundingRule="None",AL57,IF(RoundingRule="Nearest 0.99",MAX(0.99,CEILING(AL57,1)-0.01),IF(RoundingRule="Nearest 0.95",MAX(0.95,CEILING(AL57,1)-0.05),IF(RoundingRule="Nearest 0.50",CEILING(AL57,0.5),IF(RoundingRule="Nearest 1",CEILING(AL57,1),IF(RoundingRule="Nearest 5",CEILING(AL57,5),IF(RoundingRule="Up to whole 1",CEILING(AL57,1),IF(RoundingRule="Up to whole 5",CEILING(AL57,5),ROUND(AL57,2))))))))),2)))</f>
        <v>0</v>
      </c>
      <c r="AN57" s="20">
        <f>IF(B57="","",IF(U57&lt;&gt;"",U57,IF(ISNUMBER(AM57),AM57,"")))</f>
        <v>0</v>
      </c>
      <c r="AO57" s="20">
        <f>IF(B57="","",IF(AN57="","",ROUND(AN57-AH57-(AN57*AI57+AJ57),2)))</f>
        <v>0</v>
      </c>
      <c r="AP57" s="33">
        <f>IF(B57="","",IF(OR(AN57="",AN57=0),"",AO57/AN57))</f>
        <v>0</v>
      </c>
      <c r="AQ57" s="41">
        <f>IF(B57="","",ROUND(AC57/60,3))</f>
        <v>0</v>
      </c>
      <c r="AR57" s="20">
        <f>IF(B57="","",IF(OR(AQ57=0,AQ57="",AO57=""),"",ROUND((AO57+AE57)/AQ57,2)))</f>
        <v>0</v>
      </c>
      <c r="AS57" s="43">
        <f>IF(B57="","",IF(AND(A57&lt;&gt;"",ISERROR(MATCH(A57,Products!$A$5:$A$304,0))),"Check - no such product ID",IF(AB57=0,"Add - no material cost yet",IF(AC57=0,"Add - how long does it take?",IF(AND(A57&lt;&gt;"",COUNTIFS('Material Usage'!$A$5:$A$904,A57)&gt;0),"Check - this product also has a bill of materials",IF(AND(A57&lt;&gt;"",COUNTIFS(Labor!$A$5:$A$304,A57)&gt;0),"Check - this product also has labour lines",IF(AR57&lt;MinimumWage,"Below - pays under minimum wage","OK")))))) )</f>
        <v>0</v>
      </c>
    </row>
    <row r="58" spans="23:45">
      <c r="W58" s="41">
        <f>IF(B58="","",IF(E58="",1,E58))</f>
        <v>0</v>
      </c>
      <c r="X58" s="33">
        <f>IF(B58="","",IF(H58="",DefaultWaste,H58))</f>
        <v>0</v>
      </c>
      <c r="Y58" s="36">
        <f>IF(B58="","",ROUND(IF(G58="",0,G58)*W58*(1+X58),1))</f>
        <v>0</v>
      </c>
      <c r="Z58" s="20">
        <f>IF(B58="","",ROUND(Y58*IFERROR(INDEX(Materials!$V$5:$V$254,MATCH(F58,Materials!$A$5:$A$254,0)),0),2))</f>
        <v>0</v>
      </c>
      <c r="AA58" s="20">
        <f>IF(B58="","",ROUND(IF(J58="",0,J58)*W58*(1+X58)*IFERROR(INDEX(Materials!$V$5:$V$254,MATCH(I58,Materials!$A$5:$A$254,0)),0),2))</f>
        <v>0</v>
      </c>
      <c r="AB58" s="20">
        <f>IF(B58="","",ROUND(Z58+AA58+IF(K58="",0,K58)+IF(L58="",0,L58)+IF(M58="",0,M58)+IF(N58="",0,N58),2))</f>
        <v>0</v>
      </c>
      <c r="AC58" s="36">
        <f>IF(B58="","",ROUND((IF(O58="",0,O58)+IF(P58="",0,P58)+IF(Q58="",0,Q58)+IF(R58="",0,R58)+IF(S58="",0,S58))*W58,1))</f>
        <v>0</v>
      </c>
      <c r="AD58" s="20">
        <f>IF(B58="","",IF(T58&lt;&gt;"",T58,LaborCostHour))</f>
        <v>0</v>
      </c>
      <c r="AE58" s="20">
        <f>IF(B58="","",ROUND(AC58/60*AD58,2))</f>
        <v>0</v>
      </c>
      <c r="AF58" s="20">
        <f>IF(B58="","",ROUND(AC58/60*SuppliesPerHour,2))</f>
        <v>0</v>
      </c>
      <c r="AG58" s="20">
        <f>IF(B58="","",ROUND(IF(G58="",0,G58)*W58*X58*IFERROR(INDEX(Materials!$V$5:$V$254,MATCH(F58,Materials!$A$5:$A$254,0)),0),2))</f>
        <v>0</v>
      </c>
      <c r="AH58" s="20">
        <f>IF(B58="","",ROUND(AB58+AE58+AF58,2))</f>
        <v>0</v>
      </c>
      <c r="AI58" s="33">
        <f>IF(B58="","",IFERROR(INDEX(Channels!$S$5:$S$18,MATCH(DefaultChannel,Channels!$A$5:$A$18,0)),0))</f>
        <v>0</v>
      </c>
      <c r="AJ58" s="20">
        <f>IF(B58="","",IFERROR(INDEX(Channels!$T$5:$T$18,MATCH(DefaultChannel,Channels!$A$5:$A$18,0)),0))</f>
        <v>0</v>
      </c>
      <c r="AK58" s="41">
        <f>IF(B58="","",1-TargetRetailMargin-AI58)</f>
        <v>0</v>
      </c>
      <c r="AL58" s="20">
        <f>IF(B58="","",IF(AK58&lt;=0,"",(AH58+AJ58)/AK58))</f>
        <v>0</v>
      </c>
      <c r="AM58" s="20">
        <f>IF(B58="","",IF(AL58="","Check the settings",ROUND(IF(RoundingRule="None",AL58,IF(RoundingRule="Nearest 0.99",MAX(0.99,CEILING(AL58,1)-0.01),IF(RoundingRule="Nearest 0.95",MAX(0.95,CEILING(AL58,1)-0.05),IF(RoundingRule="Nearest 0.50",CEILING(AL58,0.5),IF(RoundingRule="Nearest 1",CEILING(AL58,1),IF(RoundingRule="Nearest 5",CEILING(AL58,5),IF(RoundingRule="Up to whole 1",CEILING(AL58,1),IF(RoundingRule="Up to whole 5",CEILING(AL58,5),ROUND(AL58,2))))))))),2)))</f>
        <v>0</v>
      </c>
      <c r="AN58" s="20">
        <f>IF(B58="","",IF(U58&lt;&gt;"",U58,IF(ISNUMBER(AM58),AM58,"")))</f>
        <v>0</v>
      </c>
      <c r="AO58" s="20">
        <f>IF(B58="","",IF(AN58="","",ROUND(AN58-AH58-(AN58*AI58+AJ58),2)))</f>
        <v>0</v>
      </c>
      <c r="AP58" s="33">
        <f>IF(B58="","",IF(OR(AN58="",AN58=0),"",AO58/AN58))</f>
        <v>0</v>
      </c>
      <c r="AQ58" s="41">
        <f>IF(B58="","",ROUND(AC58/60,3))</f>
        <v>0</v>
      </c>
      <c r="AR58" s="20">
        <f>IF(B58="","",IF(OR(AQ58=0,AQ58="",AO58=""),"",ROUND((AO58+AE58)/AQ58,2)))</f>
        <v>0</v>
      </c>
      <c r="AS58" s="43">
        <f>IF(B58="","",IF(AND(A58&lt;&gt;"",ISERROR(MATCH(A58,Products!$A$5:$A$304,0))),"Check - no such product ID",IF(AB58=0,"Add - no material cost yet",IF(AC58=0,"Add - how long does it take?",IF(AND(A58&lt;&gt;"",COUNTIFS('Material Usage'!$A$5:$A$904,A58)&gt;0),"Check - this product also has a bill of materials",IF(AND(A58&lt;&gt;"",COUNTIFS(Labor!$A$5:$A$304,A58)&gt;0),"Check - this product also has labour lines",IF(AR58&lt;MinimumWage,"Below - pays under minimum wage","OK")))))) )</f>
        <v>0</v>
      </c>
    </row>
    <row r="59" spans="23:45">
      <c r="W59" s="41">
        <f>IF(B59="","",IF(E59="",1,E59))</f>
        <v>0</v>
      </c>
      <c r="X59" s="33">
        <f>IF(B59="","",IF(H59="",DefaultWaste,H59))</f>
        <v>0</v>
      </c>
      <c r="Y59" s="36">
        <f>IF(B59="","",ROUND(IF(G59="",0,G59)*W59*(1+X59),1))</f>
        <v>0</v>
      </c>
      <c r="Z59" s="20">
        <f>IF(B59="","",ROUND(Y59*IFERROR(INDEX(Materials!$V$5:$V$254,MATCH(F59,Materials!$A$5:$A$254,0)),0),2))</f>
        <v>0</v>
      </c>
      <c r="AA59" s="20">
        <f>IF(B59="","",ROUND(IF(J59="",0,J59)*W59*(1+X59)*IFERROR(INDEX(Materials!$V$5:$V$254,MATCH(I59,Materials!$A$5:$A$254,0)),0),2))</f>
        <v>0</v>
      </c>
      <c r="AB59" s="20">
        <f>IF(B59="","",ROUND(Z59+AA59+IF(K59="",0,K59)+IF(L59="",0,L59)+IF(M59="",0,M59)+IF(N59="",0,N59),2))</f>
        <v>0</v>
      </c>
      <c r="AC59" s="36">
        <f>IF(B59="","",ROUND((IF(O59="",0,O59)+IF(P59="",0,P59)+IF(Q59="",0,Q59)+IF(R59="",0,R59)+IF(S59="",0,S59))*W59,1))</f>
        <v>0</v>
      </c>
      <c r="AD59" s="20">
        <f>IF(B59="","",IF(T59&lt;&gt;"",T59,LaborCostHour))</f>
        <v>0</v>
      </c>
      <c r="AE59" s="20">
        <f>IF(B59="","",ROUND(AC59/60*AD59,2))</f>
        <v>0</v>
      </c>
      <c r="AF59" s="20">
        <f>IF(B59="","",ROUND(AC59/60*SuppliesPerHour,2))</f>
        <v>0</v>
      </c>
      <c r="AG59" s="20">
        <f>IF(B59="","",ROUND(IF(G59="",0,G59)*W59*X59*IFERROR(INDEX(Materials!$V$5:$V$254,MATCH(F59,Materials!$A$5:$A$254,0)),0),2))</f>
        <v>0</v>
      </c>
      <c r="AH59" s="20">
        <f>IF(B59="","",ROUND(AB59+AE59+AF59,2))</f>
        <v>0</v>
      </c>
      <c r="AI59" s="33">
        <f>IF(B59="","",IFERROR(INDEX(Channels!$S$5:$S$18,MATCH(DefaultChannel,Channels!$A$5:$A$18,0)),0))</f>
        <v>0</v>
      </c>
      <c r="AJ59" s="20">
        <f>IF(B59="","",IFERROR(INDEX(Channels!$T$5:$T$18,MATCH(DefaultChannel,Channels!$A$5:$A$18,0)),0))</f>
        <v>0</v>
      </c>
      <c r="AK59" s="41">
        <f>IF(B59="","",1-TargetRetailMargin-AI59)</f>
        <v>0</v>
      </c>
      <c r="AL59" s="20">
        <f>IF(B59="","",IF(AK59&lt;=0,"",(AH59+AJ59)/AK59))</f>
        <v>0</v>
      </c>
      <c r="AM59" s="20">
        <f>IF(B59="","",IF(AL59="","Check the settings",ROUND(IF(RoundingRule="None",AL59,IF(RoundingRule="Nearest 0.99",MAX(0.99,CEILING(AL59,1)-0.01),IF(RoundingRule="Nearest 0.95",MAX(0.95,CEILING(AL59,1)-0.05),IF(RoundingRule="Nearest 0.50",CEILING(AL59,0.5),IF(RoundingRule="Nearest 1",CEILING(AL59,1),IF(RoundingRule="Nearest 5",CEILING(AL59,5),IF(RoundingRule="Up to whole 1",CEILING(AL59,1),IF(RoundingRule="Up to whole 5",CEILING(AL59,5),ROUND(AL59,2))))))))),2)))</f>
        <v>0</v>
      </c>
      <c r="AN59" s="20">
        <f>IF(B59="","",IF(U59&lt;&gt;"",U59,IF(ISNUMBER(AM59),AM59,"")))</f>
        <v>0</v>
      </c>
      <c r="AO59" s="20">
        <f>IF(B59="","",IF(AN59="","",ROUND(AN59-AH59-(AN59*AI59+AJ59),2)))</f>
        <v>0</v>
      </c>
      <c r="AP59" s="33">
        <f>IF(B59="","",IF(OR(AN59="",AN59=0),"",AO59/AN59))</f>
        <v>0</v>
      </c>
      <c r="AQ59" s="41">
        <f>IF(B59="","",ROUND(AC59/60,3))</f>
        <v>0</v>
      </c>
      <c r="AR59" s="20">
        <f>IF(B59="","",IF(OR(AQ59=0,AQ59="",AO59=""),"",ROUND((AO59+AE59)/AQ59,2)))</f>
        <v>0</v>
      </c>
      <c r="AS59" s="43">
        <f>IF(B59="","",IF(AND(A59&lt;&gt;"",ISERROR(MATCH(A59,Products!$A$5:$A$304,0))),"Check - no such product ID",IF(AB59=0,"Add - no material cost yet",IF(AC59=0,"Add - how long does it take?",IF(AND(A59&lt;&gt;"",COUNTIFS('Material Usage'!$A$5:$A$904,A59)&gt;0),"Check - this product also has a bill of materials",IF(AND(A59&lt;&gt;"",COUNTIFS(Labor!$A$5:$A$304,A59)&gt;0),"Check - this product also has labour lines",IF(AR59&lt;MinimumWage,"Below - pays under minimum wage","OK")))))) )</f>
        <v>0</v>
      </c>
    </row>
    <row r="60" spans="23:45">
      <c r="W60" s="41">
        <f>IF(B60="","",IF(E60="",1,E60))</f>
        <v>0</v>
      </c>
      <c r="X60" s="33">
        <f>IF(B60="","",IF(H60="",DefaultWaste,H60))</f>
        <v>0</v>
      </c>
      <c r="Y60" s="36">
        <f>IF(B60="","",ROUND(IF(G60="",0,G60)*W60*(1+X60),1))</f>
        <v>0</v>
      </c>
      <c r="Z60" s="20">
        <f>IF(B60="","",ROUND(Y60*IFERROR(INDEX(Materials!$V$5:$V$254,MATCH(F60,Materials!$A$5:$A$254,0)),0),2))</f>
        <v>0</v>
      </c>
      <c r="AA60" s="20">
        <f>IF(B60="","",ROUND(IF(J60="",0,J60)*W60*(1+X60)*IFERROR(INDEX(Materials!$V$5:$V$254,MATCH(I60,Materials!$A$5:$A$254,0)),0),2))</f>
        <v>0</v>
      </c>
      <c r="AB60" s="20">
        <f>IF(B60="","",ROUND(Z60+AA60+IF(K60="",0,K60)+IF(L60="",0,L60)+IF(M60="",0,M60)+IF(N60="",0,N60),2))</f>
        <v>0</v>
      </c>
      <c r="AC60" s="36">
        <f>IF(B60="","",ROUND((IF(O60="",0,O60)+IF(P60="",0,P60)+IF(Q60="",0,Q60)+IF(R60="",0,R60)+IF(S60="",0,S60))*W60,1))</f>
        <v>0</v>
      </c>
      <c r="AD60" s="20">
        <f>IF(B60="","",IF(T60&lt;&gt;"",T60,LaborCostHour))</f>
        <v>0</v>
      </c>
      <c r="AE60" s="20">
        <f>IF(B60="","",ROUND(AC60/60*AD60,2))</f>
        <v>0</v>
      </c>
      <c r="AF60" s="20">
        <f>IF(B60="","",ROUND(AC60/60*SuppliesPerHour,2))</f>
        <v>0</v>
      </c>
      <c r="AG60" s="20">
        <f>IF(B60="","",ROUND(IF(G60="",0,G60)*W60*X60*IFERROR(INDEX(Materials!$V$5:$V$254,MATCH(F60,Materials!$A$5:$A$254,0)),0),2))</f>
        <v>0</v>
      </c>
      <c r="AH60" s="20">
        <f>IF(B60="","",ROUND(AB60+AE60+AF60,2))</f>
        <v>0</v>
      </c>
      <c r="AI60" s="33">
        <f>IF(B60="","",IFERROR(INDEX(Channels!$S$5:$S$18,MATCH(DefaultChannel,Channels!$A$5:$A$18,0)),0))</f>
        <v>0</v>
      </c>
      <c r="AJ60" s="20">
        <f>IF(B60="","",IFERROR(INDEX(Channels!$T$5:$T$18,MATCH(DefaultChannel,Channels!$A$5:$A$18,0)),0))</f>
        <v>0</v>
      </c>
      <c r="AK60" s="41">
        <f>IF(B60="","",1-TargetRetailMargin-AI60)</f>
        <v>0</v>
      </c>
      <c r="AL60" s="20">
        <f>IF(B60="","",IF(AK60&lt;=0,"",(AH60+AJ60)/AK60))</f>
        <v>0</v>
      </c>
      <c r="AM60" s="20">
        <f>IF(B60="","",IF(AL60="","Check the settings",ROUND(IF(RoundingRule="None",AL60,IF(RoundingRule="Nearest 0.99",MAX(0.99,CEILING(AL60,1)-0.01),IF(RoundingRule="Nearest 0.95",MAX(0.95,CEILING(AL60,1)-0.05),IF(RoundingRule="Nearest 0.50",CEILING(AL60,0.5),IF(RoundingRule="Nearest 1",CEILING(AL60,1),IF(RoundingRule="Nearest 5",CEILING(AL60,5),IF(RoundingRule="Up to whole 1",CEILING(AL60,1),IF(RoundingRule="Up to whole 5",CEILING(AL60,5),ROUND(AL60,2))))))))),2)))</f>
        <v>0</v>
      </c>
      <c r="AN60" s="20">
        <f>IF(B60="","",IF(U60&lt;&gt;"",U60,IF(ISNUMBER(AM60),AM60,"")))</f>
        <v>0</v>
      </c>
      <c r="AO60" s="20">
        <f>IF(B60="","",IF(AN60="","",ROUND(AN60-AH60-(AN60*AI60+AJ60),2)))</f>
        <v>0</v>
      </c>
      <c r="AP60" s="33">
        <f>IF(B60="","",IF(OR(AN60="",AN60=0),"",AO60/AN60))</f>
        <v>0</v>
      </c>
      <c r="AQ60" s="41">
        <f>IF(B60="","",ROUND(AC60/60,3))</f>
        <v>0</v>
      </c>
      <c r="AR60" s="20">
        <f>IF(B60="","",IF(OR(AQ60=0,AQ60="",AO60=""),"",ROUND((AO60+AE60)/AQ60,2)))</f>
        <v>0</v>
      </c>
      <c r="AS60" s="43">
        <f>IF(B60="","",IF(AND(A60&lt;&gt;"",ISERROR(MATCH(A60,Products!$A$5:$A$304,0))),"Check - no such product ID",IF(AB60=0,"Add - no material cost yet",IF(AC60=0,"Add - how long does it take?",IF(AND(A60&lt;&gt;"",COUNTIFS('Material Usage'!$A$5:$A$904,A60)&gt;0),"Check - this product also has a bill of materials",IF(AND(A60&lt;&gt;"",COUNTIFS(Labor!$A$5:$A$304,A60)&gt;0),"Check - this product also has labour lines",IF(AR60&lt;MinimumWage,"Below - pays under minimum wage","OK")))))) )</f>
        <v>0</v>
      </c>
    </row>
    <row r="61" spans="23:45">
      <c r="W61" s="41">
        <f>IF(B61="","",IF(E61="",1,E61))</f>
        <v>0</v>
      </c>
      <c r="X61" s="33">
        <f>IF(B61="","",IF(H61="",DefaultWaste,H61))</f>
        <v>0</v>
      </c>
      <c r="Y61" s="36">
        <f>IF(B61="","",ROUND(IF(G61="",0,G61)*W61*(1+X61),1))</f>
        <v>0</v>
      </c>
      <c r="Z61" s="20">
        <f>IF(B61="","",ROUND(Y61*IFERROR(INDEX(Materials!$V$5:$V$254,MATCH(F61,Materials!$A$5:$A$254,0)),0),2))</f>
        <v>0</v>
      </c>
      <c r="AA61" s="20">
        <f>IF(B61="","",ROUND(IF(J61="",0,J61)*W61*(1+X61)*IFERROR(INDEX(Materials!$V$5:$V$254,MATCH(I61,Materials!$A$5:$A$254,0)),0),2))</f>
        <v>0</v>
      </c>
      <c r="AB61" s="20">
        <f>IF(B61="","",ROUND(Z61+AA61+IF(K61="",0,K61)+IF(L61="",0,L61)+IF(M61="",0,M61)+IF(N61="",0,N61),2))</f>
        <v>0</v>
      </c>
      <c r="AC61" s="36">
        <f>IF(B61="","",ROUND((IF(O61="",0,O61)+IF(P61="",0,P61)+IF(Q61="",0,Q61)+IF(R61="",0,R61)+IF(S61="",0,S61))*W61,1))</f>
        <v>0</v>
      </c>
      <c r="AD61" s="20">
        <f>IF(B61="","",IF(T61&lt;&gt;"",T61,LaborCostHour))</f>
        <v>0</v>
      </c>
      <c r="AE61" s="20">
        <f>IF(B61="","",ROUND(AC61/60*AD61,2))</f>
        <v>0</v>
      </c>
      <c r="AF61" s="20">
        <f>IF(B61="","",ROUND(AC61/60*SuppliesPerHour,2))</f>
        <v>0</v>
      </c>
      <c r="AG61" s="20">
        <f>IF(B61="","",ROUND(IF(G61="",0,G61)*W61*X61*IFERROR(INDEX(Materials!$V$5:$V$254,MATCH(F61,Materials!$A$5:$A$254,0)),0),2))</f>
        <v>0</v>
      </c>
      <c r="AH61" s="20">
        <f>IF(B61="","",ROUND(AB61+AE61+AF61,2))</f>
        <v>0</v>
      </c>
      <c r="AI61" s="33">
        <f>IF(B61="","",IFERROR(INDEX(Channels!$S$5:$S$18,MATCH(DefaultChannel,Channels!$A$5:$A$18,0)),0))</f>
        <v>0</v>
      </c>
      <c r="AJ61" s="20">
        <f>IF(B61="","",IFERROR(INDEX(Channels!$T$5:$T$18,MATCH(DefaultChannel,Channels!$A$5:$A$18,0)),0))</f>
        <v>0</v>
      </c>
      <c r="AK61" s="41">
        <f>IF(B61="","",1-TargetRetailMargin-AI61)</f>
        <v>0</v>
      </c>
      <c r="AL61" s="20">
        <f>IF(B61="","",IF(AK61&lt;=0,"",(AH61+AJ61)/AK61))</f>
        <v>0</v>
      </c>
      <c r="AM61" s="20">
        <f>IF(B61="","",IF(AL61="","Check the settings",ROUND(IF(RoundingRule="None",AL61,IF(RoundingRule="Nearest 0.99",MAX(0.99,CEILING(AL61,1)-0.01),IF(RoundingRule="Nearest 0.95",MAX(0.95,CEILING(AL61,1)-0.05),IF(RoundingRule="Nearest 0.50",CEILING(AL61,0.5),IF(RoundingRule="Nearest 1",CEILING(AL61,1),IF(RoundingRule="Nearest 5",CEILING(AL61,5),IF(RoundingRule="Up to whole 1",CEILING(AL61,1),IF(RoundingRule="Up to whole 5",CEILING(AL61,5),ROUND(AL61,2))))))))),2)))</f>
        <v>0</v>
      </c>
      <c r="AN61" s="20">
        <f>IF(B61="","",IF(U61&lt;&gt;"",U61,IF(ISNUMBER(AM61),AM61,"")))</f>
        <v>0</v>
      </c>
      <c r="AO61" s="20">
        <f>IF(B61="","",IF(AN61="","",ROUND(AN61-AH61-(AN61*AI61+AJ61),2)))</f>
        <v>0</v>
      </c>
      <c r="AP61" s="33">
        <f>IF(B61="","",IF(OR(AN61="",AN61=0),"",AO61/AN61))</f>
        <v>0</v>
      </c>
      <c r="AQ61" s="41">
        <f>IF(B61="","",ROUND(AC61/60,3))</f>
        <v>0</v>
      </c>
      <c r="AR61" s="20">
        <f>IF(B61="","",IF(OR(AQ61=0,AQ61="",AO61=""),"",ROUND((AO61+AE61)/AQ61,2)))</f>
        <v>0</v>
      </c>
      <c r="AS61" s="43">
        <f>IF(B61="","",IF(AND(A61&lt;&gt;"",ISERROR(MATCH(A61,Products!$A$5:$A$304,0))),"Check - no such product ID",IF(AB61=0,"Add - no material cost yet",IF(AC61=0,"Add - how long does it take?",IF(AND(A61&lt;&gt;"",COUNTIFS('Material Usage'!$A$5:$A$904,A61)&gt;0),"Check - this product also has a bill of materials",IF(AND(A61&lt;&gt;"",COUNTIFS(Labor!$A$5:$A$304,A61)&gt;0),"Check - this product also has labour lines",IF(AR61&lt;MinimumWage,"Below - pays under minimum wage","OK")))))) )</f>
        <v>0</v>
      </c>
    </row>
    <row r="62" spans="23:45">
      <c r="W62" s="41">
        <f>IF(B62="","",IF(E62="",1,E62))</f>
        <v>0</v>
      </c>
      <c r="X62" s="33">
        <f>IF(B62="","",IF(H62="",DefaultWaste,H62))</f>
        <v>0</v>
      </c>
      <c r="Y62" s="36">
        <f>IF(B62="","",ROUND(IF(G62="",0,G62)*W62*(1+X62),1))</f>
        <v>0</v>
      </c>
      <c r="Z62" s="20">
        <f>IF(B62="","",ROUND(Y62*IFERROR(INDEX(Materials!$V$5:$V$254,MATCH(F62,Materials!$A$5:$A$254,0)),0),2))</f>
        <v>0</v>
      </c>
      <c r="AA62" s="20">
        <f>IF(B62="","",ROUND(IF(J62="",0,J62)*W62*(1+X62)*IFERROR(INDEX(Materials!$V$5:$V$254,MATCH(I62,Materials!$A$5:$A$254,0)),0),2))</f>
        <v>0</v>
      </c>
      <c r="AB62" s="20">
        <f>IF(B62="","",ROUND(Z62+AA62+IF(K62="",0,K62)+IF(L62="",0,L62)+IF(M62="",0,M62)+IF(N62="",0,N62),2))</f>
        <v>0</v>
      </c>
      <c r="AC62" s="36">
        <f>IF(B62="","",ROUND((IF(O62="",0,O62)+IF(P62="",0,P62)+IF(Q62="",0,Q62)+IF(R62="",0,R62)+IF(S62="",0,S62))*W62,1))</f>
        <v>0</v>
      </c>
      <c r="AD62" s="20">
        <f>IF(B62="","",IF(T62&lt;&gt;"",T62,LaborCostHour))</f>
        <v>0</v>
      </c>
      <c r="AE62" s="20">
        <f>IF(B62="","",ROUND(AC62/60*AD62,2))</f>
        <v>0</v>
      </c>
      <c r="AF62" s="20">
        <f>IF(B62="","",ROUND(AC62/60*SuppliesPerHour,2))</f>
        <v>0</v>
      </c>
      <c r="AG62" s="20">
        <f>IF(B62="","",ROUND(IF(G62="",0,G62)*W62*X62*IFERROR(INDEX(Materials!$V$5:$V$254,MATCH(F62,Materials!$A$5:$A$254,0)),0),2))</f>
        <v>0</v>
      </c>
      <c r="AH62" s="20">
        <f>IF(B62="","",ROUND(AB62+AE62+AF62,2))</f>
        <v>0</v>
      </c>
      <c r="AI62" s="33">
        <f>IF(B62="","",IFERROR(INDEX(Channels!$S$5:$S$18,MATCH(DefaultChannel,Channels!$A$5:$A$18,0)),0))</f>
        <v>0</v>
      </c>
      <c r="AJ62" s="20">
        <f>IF(B62="","",IFERROR(INDEX(Channels!$T$5:$T$18,MATCH(DefaultChannel,Channels!$A$5:$A$18,0)),0))</f>
        <v>0</v>
      </c>
      <c r="AK62" s="41">
        <f>IF(B62="","",1-TargetRetailMargin-AI62)</f>
        <v>0</v>
      </c>
      <c r="AL62" s="20">
        <f>IF(B62="","",IF(AK62&lt;=0,"",(AH62+AJ62)/AK62))</f>
        <v>0</v>
      </c>
      <c r="AM62" s="20">
        <f>IF(B62="","",IF(AL62="","Check the settings",ROUND(IF(RoundingRule="None",AL62,IF(RoundingRule="Nearest 0.99",MAX(0.99,CEILING(AL62,1)-0.01),IF(RoundingRule="Nearest 0.95",MAX(0.95,CEILING(AL62,1)-0.05),IF(RoundingRule="Nearest 0.50",CEILING(AL62,0.5),IF(RoundingRule="Nearest 1",CEILING(AL62,1),IF(RoundingRule="Nearest 5",CEILING(AL62,5),IF(RoundingRule="Up to whole 1",CEILING(AL62,1),IF(RoundingRule="Up to whole 5",CEILING(AL62,5),ROUND(AL62,2))))))))),2)))</f>
        <v>0</v>
      </c>
      <c r="AN62" s="20">
        <f>IF(B62="","",IF(U62&lt;&gt;"",U62,IF(ISNUMBER(AM62),AM62,"")))</f>
        <v>0</v>
      </c>
      <c r="AO62" s="20">
        <f>IF(B62="","",IF(AN62="","",ROUND(AN62-AH62-(AN62*AI62+AJ62),2)))</f>
        <v>0</v>
      </c>
      <c r="AP62" s="33">
        <f>IF(B62="","",IF(OR(AN62="",AN62=0),"",AO62/AN62))</f>
        <v>0</v>
      </c>
      <c r="AQ62" s="41">
        <f>IF(B62="","",ROUND(AC62/60,3))</f>
        <v>0</v>
      </c>
      <c r="AR62" s="20">
        <f>IF(B62="","",IF(OR(AQ62=0,AQ62="",AO62=""),"",ROUND((AO62+AE62)/AQ62,2)))</f>
        <v>0</v>
      </c>
      <c r="AS62" s="43">
        <f>IF(B62="","",IF(AND(A62&lt;&gt;"",ISERROR(MATCH(A62,Products!$A$5:$A$304,0))),"Check - no such product ID",IF(AB62=0,"Add - no material cost yet",IF(AC62=0,"Add - how long does it take?",IF(AND(A62&lt;&gt;"",COUNTIFS('Material Usage'!$A$5:$A$904,A62)&gt;0),"Check - this product also has a bill of materials",IF(AND(A62&lt;&gt;"",COUNTIFS(Labor!$A$5:$A$304,A62)&gt;0),"Check - this product also has labour lines",IF(AR62&lt;MinimumWage,"Below - pays under minimum wage","OK")))))) )</f>
        <v>0</v>
      </c>
    </row>
    <row r="63" spans="23:45">
      <c r="W63" s="41">
        <f>IF(B63="","",IF(E63="",1,E63))</f>
        <v>0</v>
      </c>
      <c r="X63" s="33">
        <f>IF(B63="","",IF(H63="",DefaultWaste,H63))</f>
        <v>0</v>
      </c>
      <c r="Y63" s="36">
        <f>IF(B63="","",ROUND(IF(G63="",0,G63)*W63*(1+X63),1))</f>
        <v>0</v>
      </c>
      <c r="Z63" s="20">
        <f>IF(B63="","",ROUND(Y63*IFERROR(INDEX(Materials!$V$5:$V$254,MATCH(F63,Materials!$A$5:$A$254,0)),0),2))</f>
        <v>0</v>
      </c>
      <c r="AA63" s="20">
        <f>IF(B63="","",ROUND(IF(J63="",0,J63)*W63*(1+X63)*IFERROR(INDEX(Materials!$V$5:$V$254,MATCH(I63,Materials!$A$5:$A$254,0)),0),2))</f>
        <v>0</v>
      </c>
      <c r="AB63" s="20">
        <f>IF(B63="","",ROUND(Z63+AA63+IF(K63="",0,K63)+IF(L63="",0,L63)+IF(M63="",0,M63)+IF(N63="",0,N63),2))</f>
        <v>0</v>
      </c>
      <c r="AC63" s="36">
        <f>IF(B63="","",ROUND((IF(O63="",0,O63)+IF(P63="",0,P63)+IF(Q63="",0,Q63)+IF(R63="",0,R63)+IF(S63="",0,S63))*W63,1))</f>
        <v>0</v>
      </c>
      <c r="AD63" s="20">
        <f>IF(B63="","",IF(T63&lt;&gt;"",T63,LaborCostHour))</f>
        <v>0</v>
      </c>
      <c r="AE63" s="20">
        <f>IF(B63="","",ROUND(AC63/60*AD63,2))</f>
        <v>0</v>
      </c>
      <c r="AF63" s="20">
        <f>IF(B63="","",ROUND(AC63/60*SuppliesPerHour,2))</f>
        <v>0</v>
      </c>
      <c r="AG63" s="20">
        <f>IF(B63="","",ROUND(IF(G63="",0,G63)*W63*X63*IFERROR(INDEX(Materials!$V$5:$V$254,MATCH(F63,Materials!$A$5:$A$254,0)),0),2))</f>
        <v>0</v>
      </c>
      <c r="AH63" s="20">
        <f>IF(B63="","",ROUND(AB63+AE63+AF63,2))</f>
        <v>0</v>
      </c>
      <c r="AI63" s="33">
        <f>IF(B63="","",IFERROR(INDEX(Channels!$S$5:$S$18,MATCH(DefaultChannel,Channels!$A$5:$A$18,0)),0))</f>
        <v>0</v>
      </c>
      <c r="AJ63" s="20">
        <f>IF(B63="","",IFERROR(INDEX(Channels!$T$5:$T$18,MATCH(DefaultChannel,Channels!$A$5:$A$18,0)),0))</f>
        <v>0</v>
      </c>
      <c r="AK63" s="41">
        <f>IF(B63="","",1-TargetRetailMargin-AI63)</f>
        <v>0</v>
      </c>
      <c r="AL63" s="20">
        <f>IF(B63="","",IF(AK63&lt;=0,"",(AH63+AJ63)/AK63))</f>
        <v>0</v>
      </c>
      <c r="AM63" s="20">
        <f>IF(B63="","",IF(AL63="","Check the settings",ROUND(IF(RoundingRule="None",AL63,IF(RoundingRule="Nearest 0.99",MAX(0.99,CEILING(AL63,1)-0.01),IF(RoundingRule="Nearest 0.95",MAX(0.95,CEILING(AL63,1)-0.05),IF(RoundingRule="Nearest 0.50",CEILING(AL63,0.5),IF(RoundingRule="Nearest 1",CEILING(AL63,1),IF(RoundingRule="Nearest 5",CEILING(AL63,5),IF(RoundingRule="Up to whole 1",CEILING(AL63,1),IF(RoundingRule="Up to whole 5",CEILING(AL63,5),ROUND(AL63,2))))))))),2)))</f>
        <v>0</v>
      </c>
      <c r="AN63" s="20">
        <f>IF(B63="","",IF(U63&lt;&gt;"",U63,IF(ISNUMBER(AM63),AM63,"")))</f>
        <v>0</v>
      </c>
      <c r="AO63" s="20">
        <f>IF(B63="","",IF(AN63="","",ROUND(AN63-AH63-(AN63*AI63+AJ63),2)))</f>
        <v>0</v>
      </c>
      <c r="AP63" s="33">
        <f>IF(B63="","",IF(OR(AN63="",AN63=0),"",AO63/AN63))</f>
        <v>0</v>
      </c>
      <c r="AQ63" s="41">
        <f>IF(B63="","",ROUND(AC63/60,3))</f>
        <v>0</v>
      </c>
      <c r="AR63" s="20">
        <f>IF(B63="","",IF(OR(AQ63=0,AQ63="",AO63=""),"",ROUND((AO63+AE63)/AQ63,2)))</f>
        <v>0</v>
      </c>
      <c r="AS63" s="43">
        <f>IF(B63="","",IF(AND(A63&lt;&gt;"",ISERROR(MATCH(A63,Products!$A$5:$A$304,0))),"Check - no such product ID",IF(AB63=0,"Add - no material cost yet",IF(AC63=0,"Add - how long does it take?",IF(AND(A63&lt;&gt;"",COUNTIFS('Material Usage'!$A$5:$A$904,A63)&gt;0),"Check - this product also has a bill of materials",IF(AND(A63&lt;&gt;"",COUNTIFS(Labor!$A$5:$A$304,A63)&gt;0),"Check - this product also has labour lines",IF(AR63&lt;MinimumWage,"Below - pays under minimum wage","OK")))))) )</f>
        <v>0</v>
      </c>
    </row>
    <row r="64" spans="23:45">
      <c r="W64" s="41">
        <f>IF(B64="","",IF(E64="",1,E64))</f>
        <v>0</v>
      </c>
      <c r="X64" s="33">
        <f>IF(B64="","",IF(H64="",DefaultWaste,H64))</f>
        <v>0</v>
      </c>
      <c r="Y64" s="36">
        <f>IF(B64="","",ROUND(IF(G64="",0,G64)*W64*(1+X64),1))</f>
        <v>0</v>
      </c>
      <c r="Z64" s="20">
        <f>IF(B64="","",ROUND(Y64*IFERROR(INDEX(Materials!$V$5:$V$254,MATCH(F64,Materials!$A$5:$A$254,0)),0),2))</f>
        <v>0</v>
      </c>
      <c r="AA64" s="20">
        <f>IF(B64="","",ROUND(IF(J64="",0,J64)*W64*(1+X64)*IFERROR(INDEX(Materials!$V$5:$V$254,MATCH(I64,Materials!$A$5:$A$254,0)),0),2))</f>
        <v>0</v>
      </c>
      <c r="AB64" s="20">
        <f>IF(B64="","",ROUND(Z64+AA64+IF(K64="",0,K64)+IF(L64="",0,L64)+IF(M64="",0,M64)+IF(N64="",0,N64),2))</f>
        <v>0</v>
      </c>
      <c r="AC64" s="36">
        <f>IF(B64="","",ROUND((IF(O64="",0,O64)+IF(P64="",0,P64)+IF(Q64="",0,Q64)+IF(R64="",0,R64)+IF(S64="",0,S64))*W64,1))</f>
        <v>0</v>
      </c>
      <c r="AD64" s="20">
        <f>IF(B64="","",IF(T64&lt;&gt;"",T64,LaborCostHour))</f>
        <v>0</v>
      </c>
      <c r="AE64" s="20">
        <f>IF(B64="","",ROUND(AC64/60*AD64,2))</f>
        <v>0</v>
      </c>
      <c r="AF64" s="20">
        <f>IF(B64="","",ROUND(AC64/60*SuppliesPerHour,2))</f>
        <v>0</v>
      </c>
      <c r="AG64" s="20">
        <f>IF(B64="","",ROUND(IF(G64="",0,G64)*W64*X64*IFERROR(INDEX(Materials!$V$5:$V$254,MATCH(F64,Materials!$A$5:$A$254,0)),0),2))</f>
        <v>0</v>
      </c>
      <c r="AH64" s="20">
        <f>IF(B64="","",ROUND(AB64+AE64+AF64,2))</f>
        <v>0</v>
      </c>
      <c r="AI64" s="33">
        <f>IF(B64="","",IFERROR(INDEX(Channels!$S$5:$S$18,MATCH(DefaultChannel,Channels!$A$5:$A$18,0)),0))</f>
        <v>0</v>
      </c>
      <c r="AJ64" s="20">
        <f>IF(B64="","",IFERROR(INDEX(Channels!$T$5:$T$18,MATCH(DefaultChannel,Channels!$A$5:$A$18,0)),0))</f>
        <v>0</v>
      </c>
      <c r="AK64" s="41">
        <f>IF(B64="","",1-TargetRetailMargin-AI64)</f>
        <v>0</v>
      </c>
      <c r="AL64" s="20">
        <f>IF(B64="","",IF(AK64&lt;=0,"",(AH64+AJ64)/AK64))</f>
        <v>0</v>
      </c>
      <c r="AM64" s="20">
        <f>IF(B64="","",IF(AL64="","Check the settings",ROUND(IF(RoundingRule="None",AL64,IF(RoundingRule="Nearest 0.99",MAX(0.99,CEILING(AL64,1)-0.01),IF(RoundingRule="Nearest 0.95",MAX(0.95,CEILING(AL64,1)-0.05),IF(RoundingRule="Nearest 0.50",CEILING(AL64,0.5),IF(RoundingRule="Nearest 1",CEILING(AL64,1),IF(RoundingRule="Nearest 5",CEILING(AL64,5),IF(RoundingRule="Up to whole 1",CEILING(AL64,1),IF(RoundingRule="Up to whole 5",CEILING(AL64,5),ROUND(AL64,2))))))))),2)))</f>
        <v>0</v>
      </c>
      <c r="AN64" s="20">
        <f>IF(B64="","",IF(U64&lt;&gt;"",U64,IF(ISNUMBER(AM64),AM64,"")))</f>
        <v>0</v>
      </c>
      <c r="AO64" s="20">
        <f>IF(B64="","",IF(AN64="","",ROUND(AN64-AH64-(AN64*AI64+AJ64),2)))</f>
        <v>0</v>
      </c>
      <c r="AP64" s="33">
        <f>IF(B64="","",IF(OR(AN64="",AN64=0),"",AO64/AN64))</f>
        <v>0</v>
      </c>
      <c r="AQ64" s="41">
        <f>IF(B64="","",ROUND(AC64/60,3))</f>
        <v>0</v>
      </c>
      <c r="AR64" s="20">
        <f>IF(B64="","",IF(OR(AQ64=0,AQ64="",AO64=""),"",ROUND((AO64+AE64)/AQ64,2)))</f>
        <v>0</v>
      </c>
      <c r="AS64" s="43">
        <f>IF(B64="","",IF(AND(A64&lt;&gt;"",ISERROR(MATCH(A64,Products!$A$5:$A$304,0))),"Check - no such product ID",IF(AB64=0,"Add - no material cost yet",IF(AC64=0,"Add - how long does it take?",IF(AND(A64&lt;&gt;"",COUNTIFS('Material Usage'!$A$5:$A$904,A64)&gt;0),"Check - this product also has a bill of materials",IF(AND(A64&lt;&gt;"",COUNTIFS(Labor!$A$5:$A$304,A64)&gt;0),"Check - this product also has labour lines",IF(AR64&lt;MinimumWage,"Below - pays under minimum wage","OK")))))) )</f>
        <v>0</v>
      </c>
    </row>
    <row r="65" spans="23:45">
      <c r="W65" s="41">
        <f>IF(B65="","",IF(E65="",1,E65))</f>
        <v>0</v>
      </c>
      <c r="X65" s="33">
        <f>IF(B65="","",IF(H65="",DefaultWaste,H65))</f>
        <v>0</v>
      </c>
      <c r="Y65" s="36">
        <f>IF(B65="","",ROUND(IF(G65="",0,G65)*W65*(1+X65),1))</f>
        <v>0</v>
      </c>
      <c r="Z65" s="20">
        <f>IF(B65="","",ROUND(Y65*IFERROR(INDEX(Materials!$V$5:$V$254,MATCH(F65,Materials!$A$5:$A$254,0)),0),2))</f>
        <v>0</v>
      </c>
      <c r="AA65" s="20">
        <f>IF(B65="","",ROUND(IF(J65="",0,J65)*W65*(1+X65)*IFERROR(INDEX(Materials!$V$5:$V$254,MATCH(I65,Materials!$A$5:$A$254,0)),0),2))</f>
        <v>0</v>
      </c>
      <c r="AB65" s="20">
        <f>IF(B65="","",ROUND(Z65+AA65+IF(K65="",0,K65)+IF(L65="",0,L65)+IF(M65="",0,M65)+IF(N65="",0,N65),2))</f>
        <v>0</v>
      </c>
      <c r="AC65" s="36">
        <f>IF(B65="","",ROUND((IF(O65="",0,O65)+IF(P65="",0,P65)+IF(Q65="",0,Q65)+IF(R65="",0,R65)+IF(S65="",0,S65))*W65,1))</f>
        <v>0</v>
      </c>
      <c r="AD65" s="20">
        <f>IF(B65="","",IF(T65&lt;&gt;"",T65,LaborCostHour))</f>
        <v>0</v>
      </c>
      <c r="AE65" s="20">
        <f>IF(B65="","",ROUND(AC65/60*AD65,2))</f>
        <v>0</v>
      </c>
      <c r="AF65" s="20">
        <f>IF(B65="","",ROUND(AC65/60*SuppliesPerHour,2))</f>
        <v>0</v>
      </c>
      <c r="AG65" s="20">
        <f>IF(B65="","",ROUND(IF(G65="",0,G65)*W65*X65*IFERROR(INDEX(Materials!$V$5:$V$254,MATCH(F65,Materials!$A$5:$A$254,0)),0),2))</f>
        <v>0</v>
      </c>
      <c r="AH65" s="20">
        <f>IF(B65="","",ROUND(AB65+AE65+AF65,2))</f>
        <v>0</v>
      </c>
      <c r="AI65" s="33">
        <f>IF(B65="","",IFERROR(INDEX(Channels!$S$5:$S$18,MATCH(DefaultChannel,Channels!$A$5:$A$18,0)),0))</f>
        <v>0</v>
      </c>
      <c r="AJ65" s="20">
        <f>IF(B65="","",IFERROR(INDEX(Channels!$T$5:$T$18,MATCH(DefaultChannel,Channels!$A$5:$A$18,0)),0))</f>
        <v>0</v>
      </c>
      <c r="AK65" s="41">
        <f>IF(B65="","",1-TargetRetailMargin-AI65)</f>
        <v>0</v>
      </c>
      <c r="AL65" s="20">
        <f>IF(B65="","",IF(AK65&lt;=0,"",(AH65+AJ65)/AK65))</f>
        <v>0</v>
      </c>
      <c r="AM65" s="20">
        <f>IF(B65="","",IF(AL65="","Check the settings",ROUND(IF(RoundingRule="None",AL65,IF(RoundingRule="Nearest 0.99",MAX(0.99,CEILING(AL65,1)-0.01),IF(RoundingRule="Nearest 0.95",MAX(0.95,CEILING(AL65,1)-0.05),IF(RoundingRule="Nearest 0.50",CEILING(AL65,0.5),IF(RoundingRule="Nearest 1",CEILING(AL65,1),IF(RoundingRule="Nearest 5",CEILING(AL65,5),IF(RoundingRule="Up to whole 1",CEILING(AL65,1),IF(RoundingRule="Up to whole 5",CEILING(AL65,5),ROUND(AL65,2))))))))),2)))</f>
        <v>0</v>
      </c>
      <c r="AN65" s="20">
        <f>IF(B65="","",IF(U65&lt;&gt;"",U65,IF(ISNUMBER(AM65),AM65,"")))</f>
        <v>0</v>
      </c>
      <c r="AO65" s="20">
        <f>IF(B65="","",IF(AN65="","",ROUND(AN65-AH65-(AN65*AI65+AJ65),2)))</f>
        <v>0</v>
      </c>
      <c r="AP65" s="33">
        <f>IF(B65="","",IF(OR(AN65="",AN65=0),"",AO65/AN65))</f>
        <v>0</v>
      </c>
      <c r="AQ65" s="41">
        <f>IF(B65="","",ROUND(AC65/60,3))</f>
        <v>0</v>
      </c>
      <c r="AR65" s="20">
        <f>IF(B65="","",IF(OR(AQ65=0,AQ65="",AO65=""),"",ROUND((AO65+AE65)/AQ65,2)))</f>
        <v>0</v>
      </c>
      <c r="AS65" s="43">
        <f>IF(B65="","",IF(AND(A65&lt;&gt;"",ISERROR(MATCH(A65,Products!$A$5:$A$304,0))),"Check - no such product ID",IF(AB65=0,"Add - no material cost yet",IF(AC65=0,"Add - how long does it take?",IF(AND(A65&lt;&gt;"",COUNTIFS('Material Usage'!$A$5:$A$904,A65)&gt;0),"Check - this product also has a bill of materials",IF(AND(A65&lt;&gt;"",COUNTIFS(Labor!$A$5:$A$304,A65)&gt;0),"Check - this product also has labour lines",IF(AR65&lt;MinimumWage,"Below - pays under minimum wage","OK")))))) )</f>
        <v>0</v>
      </c>
    </row>
    <row r="66" spans="23:45">
      <c r="W66" s="41">
        <f>IF(B66="","",IF(E66="",1,E66))</f>
        <v>0</v>
      </c>
      <c r="X66" s="33">
        <f>IF(B66="","",IF(H66="",DefaultWaste,H66))</f>
        <v>0</v>
      </c>
      <c r="Y66" s="36">
        <f>IF(B66="","",ROUND(IF(G66="",0,G66)*W66*(1+X66),1))</f>
        <v>0</v>
      </c>
      <c r="Z66" s="20">
        <f>IF(B66="","",ROUND(Y66*IFERROR(INDEX(Materials!$V$5:$V$254,MATCH(F66,Materials!$A$5:$A$254,0)),0),2))</f>
        <v>0</v>
      </c>
      <c r="AA66" s="20">
        <f>IF(B66="","",ROUND(IF(J66="",0,J66)*W66*(1+X66)*IFERROR(INDEX(Materials!$V$5:$V$254,MATCH(I66,Materials!$A$5:$A$254,0)),0),2))</f>
        <v>0</v>
      </c>
      <c r="AB66" s="20">
        <f>IF(B66="","",ROUND(Z66+AA66+IF(K66="",0,K66)+IF(L66="",0,L66)+IF(M66="",0,M66)+IF(N66="",0,N66),2))</f>
        <v>0</v>
      </c>
      <c r="AC66" s="36">
        <f>IF(B66="","",ROUND((IF(O66="",0,O66)+IF(P66="",0,P66)+IF(Q66="",0,Q66)+IF(R66="",0,R66)+IF(S66="",0,S66))*W66,1))</f>
        <v>0</v>
      </c>
      <c r="AD66" s="20">
        <f>IF(B66="","",IF(T66&lt;&gt;"",T66,LaborCostHour))</f>
        <v>0</v>
      </c>
      <c r="AE66" s="20">
        <f>IF(B66="","",ROUND(AC66/60*AD66,2))</f>
        <v>0</v>
      </c>
      <c r="AF66" s="20">
        <f>IF(B66="","",ROUND(AC66/60*SuppliesPerHour,2))</f>
        <v>0</v>
      </c>
      <c r="AG66" s="20">
        <f>IF(B66="","",ROUND(IF(G66="",0,G66)*W66*X66*IFERROR(INDEX(Materials!$V$5:$V$254,MATCH(F66,Materials!$A$5:$A$254,0)),0),2))</f>
        <v>0</v>
      </c>
      <c r="AH66" s="20">
        <f>IF(B66="","",ROUND(AB66+AE66+AF66,2))</f>
        <v>0</v>
      </c>
      <c r="AI66" s="33">
        <f>IF(B66="","",IFERROR(INDEX(Channels!$S$5:$S$18,MATCH(DefaultChannel,Channels!$A$5:$A$18,0)),0))</f>
        <v>0</v>
      </c>
      <c r="AJ66" s="20">
        <f>IF(B66="","",IFERROR(INDEX(Channels!$T$5:$T$18,MATCH(DefaultChannel,Channels!$A$5:$A$18,0)),0))</f>
        <v>0</v>
      </c>
      <c r="AK66" s="41">
        <f>IF(B66="","",1-TargetRetailMargin-AI66)</f>
        <v>0</v>
      </c>
      <c r="AL66" s="20">
        <f>IF(B66="","",IF(AK66&lt;=0,"",(AH66+AJ66)/AK66))</f>
        <v>0</v>
      </c>
      <c r="AM66" s="20">
        <f>IF(B66="","",IF(AL66="","Check the settings",ROUND(IF(RoundingRule="None",AL66,IF(RoundingRule="Nearest 0.99",MAX(0.99,CEILING(AL66,1)-0.01),IF(RoundingRule="Nearest 0.95",MAX(0.95,CEILING(AL66,1)-0.05),IF(RoundingRule="Nearest 0.50",CEILING(AL66,0.5),IF(RoundingRule="Nearest 1",CEILING(AL66,1),IF(RoundingRule="Nearest 5",CEILING(AL66,5),IF(RoundingRule="Up to whole 1",CEILING(AL66,1),IF(RoundingRule="Up to whole 5",CEILING(AL66,5),ROUND(AL66,2))))))))),2)))</f>
        <v>0</v>
      </c>
      <c r="AN66" s="20">
        <f>IF(B66="","",IF(U66&lt;&gt;"",U66,IF(ISNUMBER(AM66),AM66,"")))</f>
        <v>0</v>
      </c>
      <c r="AO66" s="20">
        <f>IF(B66="","",IF(AN66="","",ROUND(AN66-AH66-(AN66*AI66+AJ66),2)))</f>
        <v>0</v>
      </c>
      <c r="AP66" s="33">
        <f>IF(B66="","",IF(OR(AN66="",AN66=0),"",AO66/AN66))</f>
        <v>0</v>
      </c>
      <c r="AQ66" s="41">
        <f>IF(B66="","",ROUND(AC66/60,3))</f>
        <v>0</v>
      </c>
      <c r="AR66" s="20">
        <f>IF(B66="","",IF(OR(AQ66=0,AQ66="",AO66=""),"",ROUND((AO66+AE66)/AQ66,2)))</f>
        <v>0</v>
      </c>
      <c r="AS66" s="43">
        <f>IF(B66="","",IF(AND(A66&lt;&gt;"",ISERROR(MATCH(A66,Products!$A$5:$A$304,0))),"Check - no such product ID",IF(AB66=0,"Add - no material cost yet",IF(AC66=0,"Add - how long does it take?",IF(AND(A66&lt;&gt;"",COUNTIFS('Material Usage'!$A$5:$A$904,A66)&gt;0),"Check - this product also has a bill of materials",IF(AND(A66&lt;&gt;"",COUNTIFS(Labor!$A$5:$A$304,A66)&gt;0),"Check - this product also has labour lines",IF(AR66&lt;MinimumWage,"Below - pays under minimum wage","OK")))))) )</f>
        <v>0</v>
      </c>
    </row>
    <row r="67" spans="23:45">
      <c r="W67" s="41">
        <f>IF(B67="","",IF(E67="",1,E67))</f>
        <v>0</v>
      </c>
      <c r="X67" s="33">
        <f>IF(B67="","",IF(H67="",DefaultWaste,H67))</f>
        <v>0</v>
      </c>
      <c r="Y67" s="36">
        <f>IF(B67="","",ROUND(IF(G67="",0,G67)*W67*(1+X67),1))</f>
        <v>0</v>
      </c>
      <c r="Z67" s="20">
        <f>IF(B67="","",ROUND(Y67*IFERROR(INDEX(Materials!$V$5:$V$254,MATCH(F67,Materials!$A$5:$A$254,0)),0),2))</f>
        <v>0</v>
      </c>
      <c r="AA67" s="20">
        <f>IF(B67="","",ROUND(IF(J67="",0,J67)*W67*(1+X67)*IFERROR(INDEX(Materials!$V$5:$V$254,MATCH(I67,Materials!$A$5:$A$254,0)),0),2))</f>
        <v>0</v>
      </c>
      <c r="AB67" s="20">
        <f>IF(B67="","",ROUND(Z67+AA67+IF(K67="",0,K67)+IF(L67="",0,L67)+IF(M67="",0,M67)+IF(N67="",0,N67),2))</f>
        <v>0</v>
      </c>
      <c r="AC67" s="36">
        <f>IF(B67="","",ROUND((IF(O67="",0,O67)+IF(P67="",0,P67)+IF(Q67="",0,Q67)+IF(R67="",0,R67)+IF(S67="",0,S67))*W67,1))</f>
        <v>0</v>
      </c>
      <c r="AD67" s="20">
        <f>IF(B67="","",IF(T67&lt;&gt;"",T67,LaborCostHour))</f>
        <v>0</v>
      </c>
      <c r="AE67" s="20">
        <f>IF(B67="","",ROUND(AC67/60*AD67,2))</f>
        <v>0</v>
      </c>
      <c r="AF67" s="20">
        <f>IF(B67="","",ROUND(AC67/60*SuppliesPerHour,2))</f>
        <v>0</v>
      </c>
      <c r="AG67" s="20">
        <f>IF(B67="","",ROUND(IF(G67="",0,G67)*W67*X67*IFERROR(INDEX(Materials!$V$5:$V$254,MATCH(F67,Materials!$A$5:$A$254,0)),0),2))</f>
        <v>0</v>
      </c>
      <c r="AH67" s="20">
        <f>IF(B67="","",ROUND(AB67+AE67+AF67,2))</f>
        <v>0</v>
      </c>
      <c r="AI67" s="33">
        <f>IF(B67="","",IFERROR(INDEX(Channels!$S$5:$S$18,MATCH(DefaultChannel,Channels!$A$5:$A$18,0)),0))</f>
        <v>0</v>
      </c>
      <c r="AJ67" s="20">
        <f>IF(B67="","",IFERROR(INDEX(Channels!$T$5:$T$18,MATCH(DefaultChannel,Channels!$A$5:$A$18,0)),0))</f>
        <v>0</v>
      </c>
      <c r="AK67" s="41">
        <f>IF(B67="","",1-TargetRetailMargin-AI67)</f>
        <v>0</v>
      </c>
      <c r="AL67" s="20">
        <f>IF(B67="","",IF(AK67&lt;=0,"",(AH67+AJ67)/AK67))</f>
        <v>0</v>
      </c>
      <c r="AM67" s="20">
        <f>IF(B67="","",IF(AL67="","Check the settings",ROUND(IF(RoundingRule="None",AL67,IF(RoundingRule="Nearest 0.99",MAX(0.99,CEILING(AL67,1)-0.01),IF(RoundingRule="Nearest 0.95",MAX(0.95,CEILING(AL67,1)-0.05),IF(RoundingRule="Nearest 0.50",CEILING(AL67,0.5),IF(RoundingRule="Nearest 1",CEILING(AL67,1),IF(RoundingRule="Nearest 5",CEILING(AL67,5),IF(RoundingRule="Up to whole 1",CEILING(AL67,1),IF(RoundingRule="Up to whole 5",CEILING(AL67,5),ROUND(AL67,2))))))))),2)))</f>
        <v>0</v>
      </c>
      <c r="AN67" s="20">
        <f>IF(B67="","",IF(U67&lt;&gt;"",U67,IF(ISNUMBER(AM67),AM67,"")))</f>
        <v>0</v>
      </c>
      <c r="AO67" s="20">
        <f>IF(B67="","",IF(AN67="","",ROUND(AN67-AH67-(AN67*AI67+AJ67),2)))</f>
        <v>0</v>
      </c>
      <c r="AP67" s="33">
        <f>IF(B67="","",IF(OR(AN67="",AN67=0),"",AO67/AN67))</f>
        <v>0</v>
      </c>
      <c r="AQ67" s="41">
        <f>IF(B67="","",ROUND(AC67/60,3))</f>
        <v>0</v>
      </c>
      <c r="AR67" s="20">
        <f>IF(B67="","",IF(OR(AQ67=0,AQ67="",AO67=""),"",ROUND((AO67+AE67)/AQ67,2)))</f>
        <v>0</v>
      </c>
      <c r="AS67" s="43">
        <f>IF(B67="","",IF(AND(A67&lt;&gt;"",ISERROR(MATCH(A67,Products!$A$5:$A$304,0))),"Check - no such product ID",IF(AB67=0,"Add - no material cost yet",IF(AC67=0,"Add - how long does it take?",IF(AND(A67&lt;&gt;"",COUNTIFS('Material Usage'!$A$5:$A$904,A67)&gt;0),"Check - this product also has a bill of materials",IF(AND(A67&lt;&gt;"",COUNTIFS(Labor!$A$5:$A$304,A67)&gt;0),"Check - this product also has labour lines",IF(AR67&lt;MinimumWage,"Below - pays under minimum wage","OK")))))) )</f>
        <v>0</v>
      </c>
    </row>
    <row r="68" spans="23:45">
      <c r="W68" s="41">
        <f>IF(B68="","",IF(E68="",1,E68))</f>
        <v>0</v>
      </c>
      <c r="X68" s="33">
        <f>IF(B68="","",IF(H68="",DefaultWaste,H68))</f>
        <v>0</v>
      </c>
      <c r="Y68" s="36">
        <f>IF(B68="","",ROUND(IF(G68="",0,G68)*W68*(1+X68),1))</f>
        <v>0</v>
      </c>
      <c r="Z68" s="20">
        <f>IF(B68="","",ROUND(Y68*IFERROR(INDEX(Materials!$V$5:$V$254,MATCH(F68,Materials!$A$5:$A$254,0)),0),2))</f>
        <v>0</v>
      </c>
      <c r="AA68" s="20">
        <f>IF(B68="","",ROUND(IF(J68="",0,J68)*W68*(1+X68)*IFERROR(INDEX(Materials!$V$5:$V$254,MATCH(I68,Materials!$A$5:$A$254,0)),0),2))</f>
        <v>0</v>
      </c>
      <c r="AB68" s="20">
        <f>IF(B68="","",ROUND(Z68+AA68+IF(K68="",0,K68)+IF(L68="",0,L68)+IF(M68="",0,M68)+IF(N68="",0,N68),2))</f>
        <v>0</v>
      </c>
      <c r="AC68" s="36">
        <f>IF(B68="","",ROUND((IF(O68="",0,O68)+IF(P68="",0,P68)+IF(Q68="",0,Q68)+IF(R68="",0,R68)+IF(S68="",0,S68))*W68,1))</f>
        <v>0</v>
      </c>
      <c r="AD68" s="20">
        <f>IF(B68="","",IF(T68&lt;&gt;"",T68,LaborCostHour))</f>
        <v>0</v>
      </c>
      <c r="AE68" s="20">
        <f>IF(B68="","",ROUND(AC68/60*AD68,2))</f>
        <v>0</v>
      </c>
      <c r="AF68" s="20">
        <f>IF(B68="","",ROUND(AC68/60*SuppliesPerHour,2))</f>
        <v>0</v>
      </c>
      <c r="AG68" s="20">
        <f>IF(B68="","",ROUND(IF(G68="",0,G68)*W68*X68*IFERROR(INDEX(Materials!$V$5:$V$254,MATCH(F68,Materials!$A$5:$A$254,0)),0),2))</f>
        <v>0</v>
      </c>
      <c r="AH68" s="20">
        <f>IF(B68="","",ROUND(AB68+AE68+AF68,2))</f>
        <v>0</v>
      </c>
      <c r="AI68" s="33">
        <f>IF(B68="","",IFERROR(INDEX(Channels!$S$5:$S$18,MATCH(DefaultChannel,Channels!$A$5:$A$18,0)),0))</f>
        <v>0</v>
      </c>
      <c r="AJ68" s="20">
        <f>IF(B68="","",IFERROR(INDEX(Channels!$T$5:$T$18,MATCH(DefaultChannel,Channels!$A$5:$A$18,0)),0))</f>
        <v>0</v>
      </c>
      <c r="AK68" s="41">
        <f>IF(B68="","",1-TargetRetailMargin-AI68)</f>
        <v>0</v>
      </c>
      <c r="AL68" s="20">
        <f>IF(B68="","",IF(AK68&lt;=0,"",(AH68+AJ68)/AK68))</f>
        <v>0</v>
      </c>
      <c r="AM68" s="20">
        <f>IF(B68="","",IF(AL68="","Check the settings",ROUND(IF(RoundingRule="None",AL68,IF(RoundingRule="Nearest 0.99",MAX(0.99,CEILING(AL68,1)-0.01),IF(RoundingRule="Nearest 0.95",MAX(0.95,CEILING(AL68,1)-0.05),IF(RoundingRule="Nearest 0.50",CEILING(AL68,0.5),IF(RoundingRule="Nearest 1",CEILING(AL68,1),IF(RoundingRule="Nearest 5",CEILING(AL68,5),IF(RoundingRule="Up to whole 1",CEILING(AL68,1),IF(RoundingRule="Up to whole 5",CEILING(AL68,5),ROUND(AL68,2))))))))),2)))</f>
        <v>0</v>
      </c>
      <c r="AN68" s="20">
        <f>IF(B68="","",IF(U68&lt;&gt;"",U68,IF(ISNUMBER(AM68),AM68,"")))</f>
        <v>0</v>
      </c>
      <c r="AO68" s="20">
        <f>IF(B68="","",IF(AN68="","",ROUND(AN68-AH68-(AN68*AI68+AJ68),2)))</f>
        <v>0</v>
      </c>
      <c r="AP68" s="33">
        <f>IF(B68="","",IF(OR(AN68="",AN68=0),"",AO68/AN68))</f>
        <v>0</v>
      </c>
      <c r="AQ68" s="41">
        <f>IF(B68="","",ROUND(AC68/60,3))</f>
        <v>0</v>
      </c>
      <c r="AR68" s="20">
        <f>IF(B68="","",IF(OR(AQ68=0,AQ68="",AO68=""),"",ROUND((AO68+AE68)/AQ68,2)))</f>
        <v>0</v>
      </c>
      <c r="AS68" s="43">
        <f>IF(B68="","",IF(AND(A68&lt;&gt;"",ISERROR(MATCH(A68,Products!$A$5:$A$304,0))),"Check - no such product ID",IF(AB68=0,"Add - no material cost yet",IF(AC68=0,"Add - how long does it take?",IF(AND(A68&lt;&gt;"",COUNTIFS('Material Usage'!$A$5:$A$904,A68)&gt;0),"Check - this product also has a bill of materials",IF(AND(A68&lt;&gt;"",COUNTIFS(Labor!$A$5:$A$304,A68)&gt;0),"Check - this product also has labour lines",IF(AR68&lt;MinimumWage,"Below - pays under minimum wage","OK")))))) )</f>
        <v>0</v>
      </c>
    </row>
    <row r="69" spans="23:45">
      <c r="W69" s="41">
        <f>IF(B69="","",IF(E69="",1,E69))</f>
        <v>0</v>
      </c>
      <c r="X69" s="33">
        <f>IF(B69="","",IF(H69="",DefaultWaste,H69))</f>
        <v>0</v>
      </c>
      <c r="Y69" s="36">
        <f>IF(B69="","",ROUND(IF(G69="",0,G69)*W69*(1+X69),1))</f>
        <v>0</v>
      </c>
      <c r="Z69" s="20">
        <f>IF(B69="","",ROUND(Y69*IFERROR(INDEX(Materials!$V$5:$V$254,MATCH(F69,Materials!$A$5:$A$254,0)),0),2))</f>
        <v>0</v>
      </c>
      <c r="AA69" s="20">
        <f>IF(B69="","",ROUND(IF(J69="",0,J69)*W69*(1+X69)*IFERROR(INDEX(Materials!$V$5:$V$254,MATCH(I69,Materials!$A$5:$A$254,0)),0),2))</f>
        <v>0</v>
      </c>
      <c r="AB69" s="20">
        <f>IF(B69="","",ROUND(Z69+AA69+IF(K69="",0,K69)+IF(L69="",0,L69)+IF(M69="",0,M69)+IF(N69="",0,N69),2))</f>
        <v>0</v>
      </c>
      <c r="AC69" s="36">
        <f>IF(B69="","",ROUND((IF(O69="",0,O69)+IF(P69="",0,P69)+IF(Q69="",0,Q69)+IF(R69="",0,R69)+IF(S69="",0,S69))*W69,1))</f>
        <v>0</v>
      </c>
      <c r="AD69" s="20">
        <f>IF(B69="","",IF(T69&lt;&gt;"",T69,LaborCostHour))</f>
        <v>0</v>
      </c>
      <c r="AE69" s="20">
        <f>IF(B69="","",ROUND(AC69/60*AD69,2))</f>
        <v>0</v>
      </c>
      <c r="AF69" s="20">
        <f>IF(B69="","",ROUND(AC69/60*SuppliesPerHour,2))</f>
        <v>0</v>
      </c>
      <c r="AG69" s="20">
        <f>IF(B69="","",ROUND(IF(G69="",0,G69)*W69*X69*IFERROR(INDEX(Materials!$V$5:$V$254,MATCH(F69,Materials!$A$5:$A$254,0)),0),2))</f>
        <v>0</v>
      </c>
      <c r="AH69" s="20">
        <f>IF(B69="","",ROUND(AB69+AE69+AF69,2))</f>
        <v>0</v>
      </c>
      <c r="AI69" s="33">
        <f>IF(B69="","",IFERROR(INDEX(Channels!$S$5:$S$18,MATCH(DefaultChannel,Channels!$A$5:$A$18,0)),0))</f>
        <v>0</v>
      </c>
      <c r="AJ69" s="20">
        <f>IF(B69="","",IFERROR(INDEX(Channels!$T$5:$T$18,MATCH(DefaultChannel,Channels!$A$5:$A$18,0)),0))</f>
        <v>0</v>
      </c>
      <c r="AK69" s="41">
        <f>IF(B69="","",1-TargetRetailMargin-AI69)</f>
        <v>0</v>
      </c>
      <c r="AL69" s="20">
        <f>IF(B69="","",IF(AK69&lt;=0,"",(AH69+AJ69)/AK69))</f>
        <v>0</v>
      </c>
      <c r="AM69" s="20">
        <f>IF(B69="","",IF(AL69="","Check the settings",ROUND(IF(RoundingRule="None",AL69,IF(RoundingRule="Nearest 0.99",MAX(0.99,CEILING(AL69,1)-0.01),IF(RoundingRule="Nearest 0.95",MAX(0.95,CEILING(AL69,1)-0.05),IF(RoundingRule="Nearest 0.50",CEILING(AL69,0.5),IF(RoundingRule="Nearest 1",CEILING(AL69,1),IF(RoundingRule="Nearest 5",CEILING(AL69,5),IF(RoundingRule="Up to whole 1",CEILING(AL69,1),IF(RoundingRule="Up to whole 5",CEILING(AL69,5),ROUND(AL69,2))))))))),2)))</f>
        <v>0</v>
      </c>
      <c r="AN69" s="20">
        <f>IF(B69="","",IF(U69&lt;&gt;"",U69,IF(ISNUMBER(AM69),AM69,"")))</f>
        <v>0</v>
      </c>
      <c r="AO69" s="20">
        <f>IF(B69="","",IF(AN69="","",ROUND(AN69-AH69-(AN69*AI69+AJ69),2)))</f>
        <v>0</v>
      </c>
      <c r="AP69" s="33">
        <f>IF(B69="","",IF(OR(AN69="",AN69=0),"",AO69/AN69))</f>
        <v>0</v>
      </c>
      <c r="AQ69" s="41">
        <f>IF(B69="","",ROUND(AC69/60,3))</f>
        <v>0</v>
      </c>
      <c r="AR69" s="20">
        <f>IF(B69="","",IF(OR(AQ69=0,AQ69="",AO69=""),"",ROUND((AO69+AE69)/AQ69,2)))</f>
        <v>0</v>
      </c>
      <c r="AS69" s="43">
        <f>IF(B69="","",IF(AND(A69&lt;&gt;"",ISERROR(MATCH(A69,Products!$A$5:$A$304,0))),"Check - no such product ID",IF(AB69=0,"Add - no material cost yet",IF(AC69=0,"Add - how long does it take?",IF(AND(A69&lt;&gt;"",COUNTIFS('Material Usage'!$A$5:$A$904,A69)&gt;0),"Check - this product also has a bill of materials",IF(AND(A69&lt;&gt;"",COUNTIFS(Labor!$A$5:$A$304,A69)&gt;0),"Check - this product also has labour lines",IF(AR69&lt;MinimumWage,"Below - pays under minimum wage","OK")))))) )</f>
        <v>0</v>
      </c>
    </row>
    <row r="70" spans="23:45">
      <c r="W70" s="41">
        <f>IF(B70="","",IF(E70="",1,E70))</f>
        <v>0</v>
      </c>
      <c r="X70" s="33">
        <f>IF(B70="","",IF(H70="",DefaultWaste,H70))</f>
        <v>0</v>
      </c>
      <c r="Y70" s="36">
        <f>IF(B70="","",ROUND(IF(G70="",0,G70)*W70*(1+X70),1))</f>
        <v>0</v>
      </c>
      <c r="Z70" s="20">
        <f>IF(B70="","",ROUND(Y70*IFERROR(INDEX(Materials!$V$5:$V$254,MATCH(F70,Materials!$A$5:$A$254,0)),0),2))</f>
        <v>0</v>
      </c>
      <c r="AA70" s="20">
        <f>IF(B70="","",ROUND(IF(J70="",0,J70)*W70*(1+X70)*IFERROR(INDEX(Materials!$V$5:$V$254,MATCH(I70,Materials!$A$5:$A$254,0)),0),2))</f>
        <v>0</v>
      </c>
      <c r="AB70" s="20">
        <f>IF(B70="","",ROUND(Z70+AA70+IF(K70="",0,K70)+IF(L70="",0,L70)+IF(M70="",0,M70)+IF(N70="",0,N70),2))</f>
        <v>0</v>
      </c>
      <c r="AC70" s="36">
        <f>IF(B70="","",ROUND((IF(O70="",0,O70)+IF(P70="",0,P70)+IF(Q70="",0,Q70)+IF(R70="",0,R70)+IF(S70="",0,S70))*W70,1))</f>
        <v>0</v>
      </c>
      <c r="AD70" s="20">
        <f>IF(B70="","",IF(T70&lt;&gt;"",T70,LaborCostHour))</f>
        <v>0</v>
      </c>
      <c r="AE70" s="20">
        <f>IF(B70="","",ROUND(AC70/60*AD70,2))</f>
        <v>0</v>
      </c>
      <c r="AF70" s="20">
        <f>IF(B70="","",ROUND(AC70/60*SuppliesPerHour,2))</f>
        <v>0</v>
      </c>
      <c r="AG70" s="20">
        <f>IF(B70="","",ROUND(IF(G70="",0,G70)*W70*X70*IFERROR(INDEX(Materials!$V$5:$V$254,MATCH(F70,Materials!$A$5:$A$254,0)),0),2))</f>
        <v>0</v>
      </c>
      <c r="AH70" s="20">
        <f>IF(B70="","",ROUND(AB70+AE70+AF70,2))</f>
        <v>0</v>
      </c>
      <c r="AI70" s="33">
        <f>IF(B70="","",IFERROR(INDEX(Channels!$S$5:$S$18,MATCH(DefaultChannel,Channels!$A$5:$A$18,0)),0))</f>
        <v>0</v>
      </c>
      <c r="AJ70" s="20">
        <f>IF(B70="","",IFERROR(INDEX(Channels!$T$5:$T$18,MATCH(DefaultChannel,Channels!$A$5:$A$18,0)),0))</f>
        <v>0</v>
      </c>
      <c r="AK70" s="41">
        <f>IF(B70="","",1-TargetRetailMargin-AI70)</f>
        <v>0</v>
      </c>
      <c r="AL70" s="20">
        <f>IF(B70="","",IF(AK70&lt;=0,"",(AH70+AJ70)/AK70))</f>
        <v>0</v>
      </c>
      <c r="AM70" s="20">
        <f>IF(B70="","",IF(AL70="","Check the settings",ROUND(IF(RoundingRule="None",AL70,IF(RoundingRule="Nearest 0.99",MAX(0.99,CEILING(AL70,1)-0.01),IF(RoundingRule="Nearest 0.95",MAX(0.95,CEILING(AL70,1)-0.05),IF(RoundingRule="Nearest 0.50",CEILING(AL70,0.5),IF(RoundingRule="Nearest 1",CEILING(AL70,1),IF(RoundingRule="Nearest 5",CEILING(AL70,5),IF(RoundingRule="Up to whole 1",CEILING(AL70,1),IF(RoundingRule="Up to whole 5",CEILING(AL70,5),ROUND(AL70,2))))))))),2)))</f>
        <v>0</v>
      </c>
      <c r="AN70" s="20">
        <f>IF(B70="","",IF(U70&lt;&gt;"",U70,IF(ISNUMBER(AM70),AM70,"")))</f>
        <v>0</v>
      </c>
      <c r="AO70" s="20">
        <f>IF(B70="","",IF(AN70="","",ROUND(AN70-AH70-(AN70*AI70+AJ70),2)))</f>
        <v>0</v>
      </c>
      <c r="AP70" s="33">
        <f>IF(B70="","",IF(OR(AN70="",AN70=0),"",AO70/AN70))</f>
        <v>0</v>
      </c>
      <c r="AQ70" s="41">
        <f>IF(B70="","",ROUND(AC70/60,3))</f>
        <v>0</v>
      </c>
      <c r="AR70" s="20">
        <f>IF(B70="","",IF(OR(AQ70=0,AQ70="",AO70=""),"",ROUND((AO70+AE70)/AQ70,2)))</f>
        <v>0</v>
      </c>
      <c r="AS70" s="43">
        <f>IF(B70="","",IF(AND(A70&lt;&gt;"",ISERROR(MATCH(A70,Products!$A$5:$A$304,0))),"Check - no such product ID",IF(AB70=0,"Add - no material cost yet",IF(AC70=0,"Add - how long does it take?",IF(AND(A70&lt;&gt;"",COUNTIFS('Material Usage'!$A$5:$A$904,A70)&gt;0),"Check - this product also has a bill of materials",IF(AND(A70&lt;&gt;"",COUNTIFS(Labor!$A$5:$A$304,A70)&gt;0),"Check - this product also has labour lines",IF(AR70&lt;MinimumWage,"Below - pays under minimum wage","OK")))))) )</f>
        <v>0</v>
      </c>
    </row>
    <row r="71" spans="23:45">
      <c r="W71" s="41">
        <f>IF(B71="","",IF(E71="",1,E71))</f>
        <v>0</v>
      </c>
      <c r="X71" s="33">
        <f>IF(B71="","",IF(H71="",DefaultWaste,H71))</f>
        <v>0</v>
      </c>
      <c r="Y71" s="36">
        <f>IF(B71="","",ROUND(IF(G71="",0,G71)*W71*(1+X71),1))</f>
        <v>0</v>
      </c>
      <c r="Z71" s="20">
        <f>IF(B71="","",ROUND(Y71*IFERROR(INDEX(Materials!$V$5:$V$254,MATCH(F71,Materials!$A$5:$A$254,0)),0),2))</f>
        <v>0</v>
      </c>
      <c r="AA71" s="20">
        <f>IF(B71="","",ROUND(IF(J71="",0,J71)*W71*(1+X71)*IFERROR(INDEX(Materials!$V$5:$V$254,MATCH(I71,Materials!$A$5:$A$254,0)),0),2))</f>
        <v>0</v>
      </c>
      <c r="AB71" s="20">
        <f>IF(B71="","",ROUND(Z71+AA71+IF(K71="",0,K71)+IF(L71="",0,L71)+IF(M71="",0,M71)+IF(N71="",0,N71),2))</f>
        <v>0</v>
      </c>
      <c r="AC71" s="36">
        <f>IF(B71="","",ROUND((IF(O71="",0,O71)+IF(P71="",0,P71)+IF(Q71="",0,Q71)+IF(R71="",0,R71)+IF(S71="",0,S71))*W71,1))</f>
        <v>0</v>
      </c>
      <c r="AD71" s="20">
        <f>IF(B71="","",IF(T71&lt;&gt;"",T71,LaborCostHour))</f>
        <v>0</v>
      </c>
      <c r="AE71" s="20">
        <f>IF(B71="","",ROUND(AC71/60*AD71,2))</f>
        <v>0</v>
      </c>
      <c r="AF71" s="20">
        <f>IF(B71="","",ROUND(AC71/60*SuppliesPerHour,2))</f>
        <v>0</v>
      </c>
      <c r="AG71" s="20">
        <f>IF(B71="","",ROUND(IF(G71="",0,G71)*W71*X71*IFERROR(INDEX(Materials!$V$5:$V$254,MATCH(F71,Materials!$A$5:$A$254,0)),0),2))</f>
        <v>0</v>
      </c>
      <c r="AH71" s="20">
        <f>IF(B71="","",ROUND(AB71+AE71+AF71,2))</f>
        <v>0</v>
      </c>
      <c r="AI71" s="33">
        <f>IF(B71="","",IFERROR(INDEX(Channels!$S$5:$S$18,MATCH(DefaultChannel,Channels!$A$5:$A$18,0)),0))</f>
        <v>0</v>
      </c>
      <c r="AJ71" s="20">
        <f>IF(B71="","",IFERROR(INDEX(Channels!$T$5:$T$18,MATCH(DefaultChannel,Channels!$A$5:$A$18,0)),0))</f>
        <v>0</v>
      </c>
      <c r="AK71" s="41">
        <f>IF(B71="","",1-TargetRetailMargin-AI71)</f>
        <v>0</v>
      </c>
      <c r="AL71" s="20">
        <f>IF(B71="","",IF(AK71&lt;=0,"",(AH71+AJ71)/AK71))</f>
        <v>0</v>
      </c>
      <c r="AM71" s="20">
        <f>IF(B71="","",IF(AL71="","Check the settings",ROUND(IF(RoundingRule="None",AL71,IF(RoundingRule="Nearest 0.99",MAX(0.99,CEILING(AL71,1)-0.01),IF(RoundingRule="Nearest 0.95",MAX(0.95,CEILING(AL71,1)-0.05),IF(RoundingRule="Nearest 0.50",CEILING(AL71,0.5),IF(RoundingRule="Nearest 1",CEILING(AL71,1),IF(RoundingRule="Nearest 5",CEILING(AL71,5),IF(RoundingRule="Up to whole 1",CEILING(AL71,1),IF(RoundingRule="Up to whole 5",CEILING(AL71,5),ROUND(AL71,2))))))))),2)))</f>
        <v>0</v>
      </c>
      <c r="AN71" s="20">
        <f>IF(B71="","",IF(U71&lt;&gt;"",U71,IF(ISNUMBER(AM71),AM71,"")))</f>
        <v>0</v>
      </c>
      <c r="AO71" s="20">
        <f>IF(B71="","",IF(AN71="","",ROUND(AN71-AH71-(AN71*AI71+AJ71),2)))</f>
        <v>0</v>
      </c>
      <c r="AP71" s="33">
        <f>IF(B71="","",IF(OR(AN71="",AN71=0),"",AO71/AN71))</f>
        <v>0</v>
      </c>
      <c r="AQ71" s="41">
        <f>IF(B71="","",ROUND(AC71/60,3))</f>
        <v>0</v>
      </c>
      <c r="AR71" s="20">
        <f>IF(B71="","",IF(OR(AQ71=0,AQ71="",AO71=""),"",ROUND((AO71+AE71)/AQ71,2)))</f>
        <v>0</v>
      </c>
      <c r="AS71" s="43">
        <f>IF(B71="","",IF(AND(A71&lt;&gt;"",ISERROR(MATCH(A71,Products!$A$5:$A$304,0))),"Check - no such product ID",IF(AB71=0,"Add - no material cost yet",IF(AC71=0,"Add - how long does it take?",IF(AND(A71&lt;&gt;"",COUNTIFS('Material Usage'!$A$5:$A$904,A71)&gt;0),"Check - this product also has a bill of materials",IF(AND(A71&lt;&gt;"",COUNTIFS(Labor!$A$5:$A$304,A71)&gt;0),"Check - this product also has labour lines",IF(AR71&lt;MinimumWage,"Below - pays under minimum wage","OK")))))) )</f>
        <v>0</v>
      </c>
    </row>
    <row r="72" spans="23:45">
      <c r="W72" s="41">
        <f>IF(B72="","",IF(E72="",1,E72))</f>
        <v>0</v>
      </c>
      <c r="X72" s="33">
        <f>IF(B72="","",IF(H72="",DefaultWaste,H72))</f>
        <v>0</v>
      </c>
      <c r="Y72" s="36">
        <f>IF(B72="","",ROUND(IF(G72="",0,G72)*W72*(1+X72),1))</f>
        <v>0</v>
      </c>
      <c r="Z72" s="20">
        <f>IF(B72="","",ROUND(Y72*IFERROR(INDEX(Materials!$V$5:$V$254,MATCH(F72,Materials!$A$5:$A$254,0)),0),2))</f>
        <v>0</v>
      </c>
      <c r="AA72" s="20">
        <f>IF(B72="","",ROUND(IF(J72="",0,J72)*W72*(1+X72)*IFERROR(INDEX(Materials!$V$5:$V$254,MATCH(I72,Materials!$A$5:$A$254,0)),0),2))</f>
        <v>0</v>
      </c>
      <c r="AB72" s="20">
        <f>IF(B72="","",ROUND(Z72+AA72+IF(K72="",0,K72)+IF(L72="",0,L72)+IF(M72="",0,M72)+IF(N72="",0,N72),2))</f>
        <v>0</v>
      </c>
      <c r="AC72" s="36">
        <f>IF(B72="","",ROUND((IF(O72="",0,O72)+IF(P72="",0,P72)+IF(Q72="",0,Q72)+IF(R72="",0,R72)+IF(S72="",0,S72))*W72,1))</f>
        <v>0</v>
      </c>
      <c r="AD72" s="20">
        <f>IF(B72="","",IF(T72&lt;&gt;"",T72,LaborCostHour))</f>
        <v>0</v>
      </c>
      <c r="AE72" s="20">
        <f>IF(B72="","",ROUND(AC72/60*AD72,2))</f>
        <v>0</v>
      </c>
      <c r="AF72" s="20">
        <f>IF(B72="","",ROUND(AC72/60*SuppliesPerHour,2))</f>
        <v>0</v>
      </c>
      <c r="AG72" s="20">
        <f>IF(B72="","",ROUND(IF(G72="",0,G72)*W72*X72*IFERROR(INDEX(Materials!$V$5:$V$254,MATCH(F72,Materials!$A$5:$A$254,0)),0),2))</f>
        <v>0</v>
      </c>
      <c r="AH72" s="20">
        <f>IF(B72="","",ROUND(AB72+AE72+AF72,2))</f>
        <v>0</v>
      </c>
      <c r="AI72" s="33">
        <f>IF(B72="","",IFERROR(INDEX(Channels!$S$5:$S$18,MATCH(DefaultChannel,Channels!$A$5:$A$18,0)),0))</f>
        <v>0</v>
      </c>
      <c r="AJ72" s="20">
        <f>IF(B72="","",IFERROR(INDEX(Channels!$T$5:$T$18,MATCH(DefaultChannel,Channels!$A$5:$A$18,0)),0))</f>
        <v>0</v>
      </c>
      <c r="AK72" s="41">
        <f>IF(B72="","",1-TargetRetailMargin-AI72)</f>
        <v>0</v>
      </c>
      <c r="AL72" s="20">
        <f>IF(B72="","",IF(AK72&lt;=0,"",(AH72+AJ72)/AK72))</f>
        <v>0</v>
      </c>
      <c r="AM72" s="20">
        <f>IF(B72="","",IF(AL72="","Check the settings",ROUND(IF(RoundingRule="None",AL72,IF(RoundingRule="Nearest 0.99",MAX(0.99,CEILING(AL72,1)-0.01),IF(RoundingRule="Nearest 0.95",MAX(0.95,CEILING(AL72,1)-0.05),IF(RoundingRule="Nearest 0.50",CEILING(AL72,0.5),IF(RoundingRule="Nearest 1",CEILING(AL72,1),IF(RoundingRule="Nearest 5",CEILING(AL72,5),IF(RoundingRule="Up to whole 1",CEILING(AL72,1),IF(RoundingRule="Up to whole 5",CEILING(AL72,5),ROUND(AL72,2))))))))),2)))</f>
        <v>0</v>
      </c>
      <c r="AN72" s="20">
        <f>IF(B72="","",IF(U72&lt;&gt;"",U72,IF(ISNUMBER(AM72),AM72,"")))</f>
        <v>0</v>
      </c>
      <c r="AO72" s="20">
        <f>IF(B72="","",IF(AN72="","",ROUND(AN72-AH72-(AN72*AI72+AJ72),2)))</f>
        <v>0</v>
      </c>
      <c r="AP72" s="33">
        <f>IF(B72="","",IF(OR(AN72="",AN72=0),"",AO72/AN72))</f>
        <v>0</v>
      </c>
      <c r="AQ72" s="41">
        <f>IF(B72="","",ROUND(AC72/60,3))</f>
        <v>0</v>
      </c>
      <c r="AR72" s="20">
        <f>IF(B72="","",IF(OR(AQ72=0,AQ72="",AO72=""),"",ROUND((AO72+AE72)/AQ72,2)))</f>
        <v>0</v>
      </c>
      <c r="AS72" s="43">
        <f>IF(B72="","",IF(AND(A72&lt;&gt;"",ISERROR(MATCH(A72,Products!$A$5:$A$304,0))),"Check - no such product ID",IF(AB72=0,"Add - no material cost yet",IF(AC72=0,"Add - how long does it take?",IF(AND(A72&lt;&gt;"",COUNTIFS('Material Usage'!$A$5:$A$904,A72)&gt;0),"Check - this product also has a bill of materials",IF(AND(A72&lt;&gt;"",COUNTIFS(Labor!$A$5:$A$304,A72)&gt;0),"Check - this product also has labour lines",IF(AR72&lt;MinimumWage,"Below - pays under minimum wage","OK")))))) )</f>
        <v>0</v>
      </c>
    </row>
    <row r="73" spans="23:45">
      <c r="W73" s="41">
        <f>IF(B73="","",IF(E73="",1,E73))</f>
        <v>0</v>
      </c>
      <c r="X73" s="33">
        <f>IF(B73="","",IF(H73="",DefaultWaste,H73))</f>
        <v>0</v>
      </c>
      <c r="Y73" s="36">
        <f>IF(B73="","",ROUND(IF(G73="",0,G73)*W73*(1+X73),1))</f>
        <v>0</v>
      </c>
      <c r="Z73" s="20">
        <f>IF(B73="","",ROUND(Y73*IFERROR(INDEX(Materials!$V$5:$V$254,MATCH(F73,Materials!$A$5:$A$254,0)),0),2))</f>
        <v>0</v>
      </c>
      <c r="AA73" s="20">
        <f>IF(B73="","",ROUND(IF(J73="",0,J73)*W73*(1+X73)*IFERROR(INDEX(Materials!$V$5:$V$254,MATCH(I73,Materials!$A$5:$A$254,0)),0),2))</f>
        <v>0</v>
      </c>
      <c r="AB73" s="20">
        <f>IF(B73="","",ROUND(Z73+AA73+IF(K73="",0,K73)+IF(L73="",0,L73)+IF(M73="",0,M73)+IF(N73="",0,N73),2))</f>
        <v>0</v>
      </c>
      <c r="AC73" s="36">
        <f>IF(B73="","",ROUND((IF(O73="",0,O73)+IF(P73="",0,P73)+IF(Q73="",0,Q73)+IF(R73="",0,R73)+IF(S73="",0,S73))*W73,1))</f>
        <v>0</v>
      </c>
      <c r="AD73" s="20">
        <f>IF(B73="","",IF(T73&lt;&gt;"",T73,LaborCostHour))</f>
        <v>0</v>
      </c>
      <c r="AE73" s="20">
        <f>IF(B73="","",ROUND(AC73/60*AD73,2))</f>
        <v>0</v>
      </c>
      <c r="AF73" s="20">
        <f>IF(B73="","",ROUND(AC73/60*SuppliesPerHour,2))</f>
        <v>0</v>
      </c>
      <c r="AG73" s="20">
        <f>IF(B73="","",ROUND(IF(G73="",0,G73)*W73*X73*IFERROR(INDEX(Materials!$V$5:$V$254,MATCH(F73,Materials!$A$5:$A$254,0)),0),2))</f>
        <v>0</v>
      </c>
      <c r="AH73" s="20">
        <f>IF(B73="","",ROUND(AB73+AE73+AF73,2))</f>
        <v>0</v>
      </c>
      <c r="AI73" s="33">
        <f>IF(B73="","",IFERROR(INDEX(Channels!$S$5:$S$18,MATCH(DefaultChannel,Channels!$A$5:$A$18,0)),0))</f>
        <v>0</v>
      </c>
      <c r="AJ73" s="20">
        <f>IF(B73="","",IFERROR(INDEX(Channels!$T$5:$T$18,MATCH(DefaultChannel,Channels!$A$5:$A$18,0)),0))</f>
        <v>0</v>
      </c>
      <c r="AK73" s="41">
        <f>IF(B73="","",1-TargetRetailMargin-AI73)</f>
        <v>0</v>
      </c>
      <c r="AL73" s="20">
        <f>IF(B73="","",IF(AK73&lt;=0,"",(AH73+AJ73)/AK73))</f>
        <v>0</v>
      </c>
      <c r="AM73" s="20">
        <f>IF(B73="","",IF(AL73="","Check the settings",ROUND(IF(RoundingRule="None",AL73,IF(RoundingRule="Nearest 0.99",MAX(0.99,CEILING(AL73,1)-0.01),IF(RoundingRule="Nearest 0.95",MAX(0.95,CEILING(AL73,1)-0.05),IF(RoundingRule="Nearest 0.50",CEILING(AL73,0.5),IF(RoundingRule="Nearest 1",CEILING(AL73,1),IF(RoundingRule="Nearest 5",CEILING(AL73,5),IF(RoundingRule="Up to whole 1",CEILING(AL73,1),IF(RoundingRule="Up to whole 5",CEILING(AL73,5),ROUND(AL73,2))))))))),2)))</f>
        <v>0</v>
      </c>
      <c r="AN73" s="20">
        <f>IF(B73="","",IF(U73&lt;&gt;"",U73,IF(ISNUMBER(AM73),AM73,"")))</f>
        <v>0</v>
      </c>
      <c r="AO73" s="20">
        <f>IF(B73="","",IF(AN73="","",ROUND(AN73-AH73-(AN73*AI73+AJ73),2)))</f>
        <v>0</v>
      </c>
      <c r="AP73" s="33">
        <f>IF(B73="","",IF(OR(AN73="",AN73=0),"",AO73/AN73))</f>
        <v>0</v>
      </c>
      <c r="AQ73" s="41">
        <f>IF(B73="","",ROUND(AC73/60,3))</f>
        <v>0</v>
      </c>
      <c r="AR73" s="20">
        <f>IF(B73="","",IF(OR(AQ73=0,AQ73="",AO73=""),"",ROUND((AO73+AE73)/AQ73,2)))</f>
        <v>0</v>
      </c>
      <c r="AS73" s="43">
        <f>IF(B73="","",IF(AND(A73&lt;&gt;"",ISERROR(MATCH(A73,Products!$A$5:$A$304,0))),"Check - no such product ID",IF(AB73=0,"Add - no material cost yet",IF(AC73=0,"Add - how long does it take?",IF(AND(A73&lt;&gt;"",COUNTIFS('Material Usage'!$A$5:$A$904,A73)&gt;0),"Check - this product also has a bill of materials",IF(AND(A73&lt;&gt;"",COUNTIFS(Labor!$A$5:$A$304,A73)&gt;0),"Check - this product also has labour lines",IF(AR73&lt;MinimumWage,"Below - pays under minimum wage","OK")))))) )</f>
        <v>0</v>
      </c>
    </row>
    <row r="74" spans="23:45">
      <c r="W74" s="41">
        <f>IF(B74="","",IF(E74="",1,E74))</f>
        <v>0</v>
      </c>
      <c r="X74" s="33">
        <f>IF(B74="","",IF(H74="",DefaultWaste,H74))</f>
        <v>0</v>
      </c>
      <c r="Y74" s="36">
        <f>IF(B74="","",ROUND(IF(G74="",0,G74)*W74*(1+X74),1))</f>
        <v>0</v>
      </c>
      <c r="Z74" s="20">
        <f>IF(B74="","",ROUND(Y74*IFERROR(INDEX(Materials!$V$5:$V$254,MATCH(F74,Materials!$A$5:$A$254,0)),0),2))</f>
        <v>0</v>
      </c>
      <c r="AA74" s="20">
        <f>IF(B74="","",ROUND(IF(J74="",0,J74)*W74*(1+X74)*IFERROR(INDEX(Materials!$V$5:$V$254,MATCH(I74,Materials!$A$5:$A$254,0)),0),2))</f>
        <v>0</v>
      </c>
      <c r="AB74" s="20">
        <f>IF(B74="","",ROUND(Z74+AA74+IF(K74="",0,K74)+IF(L74="",0,L74)+IF(M74="",0,M74)+IF(N74="",0,N74),2))</f>
        <v>0</v>
      </c>
      <c r="AC74" s="36">
        <f>IF(B74="","",ROUND((IF(O74="",0,O74)+IF(P74="",0,P74)+IF(Q74="",0,Q74)+IF(R74="",0,R74)+IF(S74="",0,S74))*W74,1))</f>
        <v>0</v>
      </c>
      <c r="AD74" s="20">
        <f>IF(B74="","",IF(T74&lt;&gt;"",T74,LaborCostHour))</f>
        <v>0</v>
      </c>
      <c r="AE74" s="20">
        <f>IF(B74="","",ROUND(AC74/60*AD74,2))</f>
        <v>0</v>
      </c>
      <c r="AF74" s="20">
        <f>IF(B74="","",ROUND(AC74/60*SuppliesPerHour,2))</f>
        <v>0</v>
      </c>
      <c r="AG74" s="20">
        <f>IF(B74="","",ROUND(IF(G74="",0,G74)*W74*X74*IFERROR(INDEX(Materials!$V$5:$V$254,MATCH(F74,Materials!$A$5:$A$254,0)),0),2))</f>
        <v>0</v>
      </c>
      <c r="AH74" s="20">
        <f>IF(B74="","",ROUND(AB74+AE74+AF74,2))</f>
        <v>0</v>
      </c>
      <c r="AI74" s="33">
        <f>IF(B74="","",IFERROR(INDEX(Channels!$S$5:$S$18,MATCH(DefaultChannel,Channels!$A$5:$A$18,0)),0))</f>
        <v>0</v>
      </c>
      <c r="AJ74" s="20">
        <f>IF(B74="","",IFERROR(INDEX(Channels!$T$5:$T$18,MATCH(DefaultChannel,Channels!$A$5:$A$18,0)),0))</f>
        <v>0</v>
      </c>
      <c r="AK74" s="41">
        <f>IF(B74="","",1-TargetRetailMargin-AI74)</f>
        <v>0</v>
      </c>
      <c r="AL74" s="20">
        <f>IF(B74="","",IF(AK74&lt;=0,"",(AH74+AJ74)/AK74))</f>
        <v>0</v>
      </c>
      <c r="AM74" s="20">
        <f>IF(B74="","",IF(AL74="","Check the settings",ROUND(IF(RoundingRule="None",AL74,IF(RoundingRule="Nearest 0.99",MAX(0.99,CEILING(AL74,1)-0.01),IF(RoundingRule="Nearest 0.95",MAX(0.95,CEILING(AL74,1)-0.05),IF(RoundingRule="Nearest 0.50",CEILING(AL74,0.5),IF(RoundingRule="Nearest 1",CEILING(AL74,1),IF(RoundingRule="Nearest 5",CEILING(AL74,5),IF(RoundingRule="Up to whole 1",CEILING(AL74,1),IF(RoundingRule="Up to whole 5",CEILING(AL74,5),ROUND(AL74,2))))))))),2)))</f>
        <v>0</v>
      </c>
      <c r="AN74" s="20">
        <f>IF(B74="","",IF(U74&lt;&gt;"",U74,IF(ISNUMBER(AM74),AM74,"")))</f>
        <v>0</v>
      </c>
      <c r="AO74" s="20">
        <f>IF(B74="","",IF(AN74="","",ROUND(AN74-AH74-(AN74*AI74+AJ74),2)))</f>
        <v>0</v>
      </c>
      <c r="AP74" s="33">
        <f>IF(B74="","",IF(OR(AN74="",AN74=0),"",AO74/AN74))</f>
        <v>0</v>
      </c>
      <c r="AQ74" s="41">
        <f>IF(B74="","",ROUND(AC74/60,3))</f>
        <v>0</v>
      </c>
      <c r="AR74" s="20">
        <f>IF(B74="","",IF(OR(AQ74=0,AQ74="",AO74=""),"",ROUND((AO74+AE74)/AQ74,2)))</f>
        <v>0</v>
      </c>
      <c r="AS74" s="43">
        <f>IF(B74="","",IF(AND(A74&lt;&gt;"",ISERROR(MATCH(A74,Products!$A$5:$A$304,0))),"Check - no such product ID",IF(AB74=0,"Add - no material cost yet",IF(AC74=0,"Add - how long does it take?",IF(AND(A74&lt;&gt;"",COUNTIFS('Material Usage'!$A$5:$A$904,A74)&gt;0),"Check - this product also has a bill of materials",IF(AND(A74&lt;&gt;"",COUNTIFS(Labor!$A$5:$A$304,A74)&gt;0),"Check - this product also has labour lines",IF(AR74&lt;MinimumWage,"Below - pays under minimum wage","OK")))))) )</f>
        <v>0</v>
      </c>
    </row>
    <row r="75" spans="23:45">
      <c r="W75" s="41">
        <f>IF(B75="","",IF(E75="",1,E75))</f>
        <v>0</v>
      </c>
      <c r="X75" s="33">
        <f>IF(B75="","",IF(H75="",DefaultWaste,H75))</f>
        <v>0</v>
      </c>
      <c r="Y75" s="36">
        <f>IF(B75="","",ROUND(IF(G75="",0,G75)*W75*(1+X75),1))</f>
        <v>0</v>
      </c>
      <c r="Z75" s="20">
        <f>IF(B75="","",ROUND(Y75*IFERROR(INDEX(Materials!$V$5:$V$254,MATCH(F75,Materials!$A$5:$A$254,0)),0),2))</f>
        <v>0</v>
      </c>
      <c r="AA75" s="20">
        <f>IF(B75="","",ROUND(IF(J75="",0,J75)*W75*(1+X75)*IFERROR(INDEX(Materials!$V$5:$V$254,MATCH(I75,Materials!$A$5:$A$254,0)),0),2))</f>
        <v>0</v>
      </c>
      <c r="AB75" s="20">
        <f>IF(B75="","",ROUND(Z75+AA75+IF(K75="",0,K75)+IF(L75="",0,L75)+IF(M75="",0,M75)+IF(N75="",0,N75),2))</f>
        <v>0</v>
      </c>
      <c r="AC75" s="36">
        <f>IF(B75="","",ROUND((IF(O75="",0,O75)+IF(P75="",0,P75)+IF(Q75="",0,Q75)+IF(R75="",0,R75)+IF(S75="",0,S75))*W75,1))</f>
        <v>0</v>
      </c>
      <c r="AD75" s="20">
        <f>IF(B75="","",IF(T75&lt;&gt;"",T75,LaborCostHour))</f>
        <v>0</v>
      </c>
      <c r="AE75" s="20">
        <f>IF(B75="","",ROUND(AC75/60*AD75,2))</f>
        <v>0</v>
      </c>
      <c r="AF75" s="20">
        <f>IF(B75="","",ROUND(AC75/60*SuppliesPerHour,2))</f>
        <v>0</v>
      </c>
      <c r="AG75" s="20">
        <f>IF(B75="","",ROUND(IF(G75="",0,G75)*W75*X75*IFERROR(INDEX(Materials!$V$5:$V$254,MATCH(F75,Materials!$A$5:$A$254,0)),0),2))</f>
        <v>0</v>
      </c>
      <c r="AH75" s="20">
        <f>IF(B75="","",ROUND(AB75+AE75+AF75,2))</f>
        <v>0</v>
      </c>
      <c r="AI75" s="33">
        <f>IF(B75="","",IFERROR(INDEX(Channels!$S$5:$S$18,MATCH(DefaultChannel,Channels!$A$5:$A$18,0)),0))</f>
        <v>0</v>
      </c>
      <c r="AJ75" s="20">
        <f>IF(B75="","",IFERROR(INDEX(Channels!$T$5:$T$18,MATCH(DefaultChannel,Channels!$A$5:$A$18,0)),0))</f>
        <v>0</v>
      </c>
      <c r="AK75" s="41">
        <f>IF(B75="","",1-TargetRetailMargin-AI75)</f>
        <v>0</v>
      </c>
      <c r="AL75" s="20">
        <f>IF(B75="","",IF(AK75&lt;=0,"",(AH75+AJ75)/AK75))</f>
        <v>0</v>
      </c>
      <c r="AM75" s="20">
        <f>IF(B75="","",IF(AL75="","Check the settings",ROUND(IF(RoundingRule="None",AL75,IF(RoundingRule="Nearest 0.99",MAX(0.99,CEILING(AL75,1)-0.01),IF(RoundingRule="Nearest 0.95",MAX(0.95,CEILING(AL75,1)-0.05),IF(RoundingRule="Nearest 0.50",CEILING(AL75,0.5),IF(RoundingRule="Nearest 1",CEILING(AL75,1),IF(RoundingRule="Nearest 5",CEILING(AL75,5),IF(RoundingRule="Up to whole 1",CEILING(AL75,1),IF(RoundingRule="Up to whole 5",CEILING(AL75,5),ROUND(AL75,2))))))))),2)))</f>
        <v>0</v>
      </c>
      <c r="AN75" s="20">
        <f>IF(B75="","",IF(U75&lt;&gt;"",U75,IF(ISNUMBER(AM75),AM75,"")))</f>
        <v>0</v>
      </c>
      <c r="AO75" s="20">
        <f>IF(B75="","",IF(AN75="","",ROUND(AN75-AH75-(AN75*AI75+AJ75),2)))</f>
        <v>0</v>
      </c>
      <c r="AP75" s="33">
        <f>IF(B75="","",IF(OR(AN75="",AN75=0),"",AO75/AN75))</f>
        <v>0</v>
      </c>
      <c r="AQ75" s="41">
        <f>IF(B75="","",ROUND(AC75/60,3))</f>
        <v>0</v>
      </c>
      <c r="AR75" s="20">
        <f>IF(B75="","",IF(OR(AQ75=0,AQ75="",AO75=""),"",ROUND((AO75+AE75)/AQ75,2)))</f>
        <v>0</v>
      </c>
      <c r="AS75" s="43">
        <f>IF(B75="","",IF(AND(A75&lt;&gt;"",ISERROR(MATCH(A75,Products!$A$5:$A$304,0))),"Check - no such product ID",IF(AB75=0,"Add - no material cost yet",IF(AC75=0,"Add - how long does it take?",IF(AND(A75&lt;&gt;"",COUNTIFS('Material Usage'!$A$5:$A$904,A75)&gt;0),"Check - this product also has a bill of materials",IF(AND(A75&lt;&gt;"",COUNTIFS(Labor!$A$5:$A$304,A75)&gt;0),"Check - this product also has labour lines",IF(AR75&lt;MinimumWage,"Below - pays under minimum wage","OK")))))) )</f>
        <v>0</v>
      </c>
    </row>
    <row r="76" spans="23:45">
      <c r="W76" s="41">
        <f>IF(B76="","",IF(E76="",1,E76))</f>
        <v>0</v>
      </c>
      <c r="X76" s="33">
        <f>IF(B76="","",IF(H76="",DefaultWaste,H76))</f>
        <v>0</v>
      </c>
      <c r="Y76" s="36">
        <f>IF(B76="","",ROUND(IF(G76="",0,G76)*W76*(1+X76),1))</f>
        <v>0</v>
      </c>
      <c r="Z76" s="20">
        <f>IF(B76="","",ROUND(Y76*IFERROR(INDEX(Materials!$V$5:$V$254,MATCH(F76,Materials!$A$5:$A$254,0)),0),2))</f>
        <v>0</v>
      </c>
      <c r="AA76" s="20">
        <f>IF(B76="","",ROUND(IF(J76="",0,J76)*W76*(1+X76)*IFERROR(INDEX(Materials!$V$5:$V$254,MATCH(I76,Materials!$A$5:$A$254,0)),0),2))</f>
        <v>0</v>
      </c>
      <c r="AB76" s="20">
        <f>IF(B76="","",ROUND(Z76+AA76+IF(K76="",0,K76)+IF(L76="",0,L76)+IF(M76="",0,M76)+IF(N76="",0,N76),2))</f>
        <v>0</v>
      </c>
      <c r="AC76" s="36">
        <f>IF(B76="","",ROUND((IF(O76="",0,O76)+IF(P76="",0,P76)+IF(Q76="",0,Q76)+IF(R76="",0,R76)+IF(S76="",0,S76))*W76,1))</f>
        <v>0</v>
      </c>
      <c r="AD76" s="20">
        <f>IF(B76="","",IF(T76&lt;&gt;"",T76,LaborCostHour))</f>
        <v>0</v>
      </c>
      <c r="AE76" s="20">
        <f>IF(B76="","",ROUND(AC76/60*AD76,2))</f>
        <v>0</v>
      </c>
      <c r="AF76" s="20">
        <f>IF(B76="","",ROUND(AC76/60*SuppliesPerHour,2))</f>
        <v>0</v>
      </c>
      <c r="AG76" s="20">
        <f>IF(B76="","",ROUND(IF(G76="",0,G76)*W76*X76*IFERROR(INDEX(Materials!$V$5:$V$254,MATCH(F76,Materials!$A$5:$A$254,0)),0),2))</f>
        <v>0</v>
      </c>
      <c r="AH76" s="20">
        <f>IF(B76="","",ROUND(AB76+AE76+AF76,2))</f>
        <v>0</v>
      </c>
      <c r="AI76" s="33">
        <f>IF(B76="","",IFERROR(INDEX(Channels!$S$5:$S$18,MATCH(DefaultChannel,Channels!$A$5:$A$18,0)),0))</f>
        <v>0</v>
      </c>
      <c r="AJ76" s="20">
        <f>IF(B76="","",IFERROR(INDEX(Channels!$T$5:$T$18,MATCH(DefaultChannel,Channels!$A$5:$A$18,0)),0))</f>
        <v>0</v>
      </c>
      <c r="AK76" s="41">
        <f>IF(B76="","",1-TargetRetailMargin-AI76)</f>
        <v>0</v>
      </c>
      <c r="AL76" s="20">
        <f>IF(B76="","",IF(AK76&lt;=0,"",(AH76+AJ76)/AK76))</f>
        <v>0</v>
      </c>
      <c r="AM76" s="20">
        <f>IF(B76="","",IF(AL76="","Check the settings",ROUND(IF(RoundingRule="None",AL76,IF(RoundingRule="Nearest 0.99",MAX(0.99,CEILING(AL76,1)-0.01),IF(RoundingRule="Nearest 0.95",MAX(0.95,CEILING(AL76,1)-0.05),IF(RoundingRule="Nearest 0.50",CEILING(AL76,0.5),IF(RoundingRule="Nearest 1",CEILING(AL76,1),IF(RoundingRule="Nearest 5",CEILING(AL76,5),IF(RoundingRule="Up to whole 1",CEILING(AL76,1),IF(RoundingRule="Up to whole 5",CEILING(AL76,5),ROUND(AL76,2))))))))),2)))</f>
        <v>0</v>
      </c>
      <c r="AN76" s="20">
        <f>IF(B76="","",IF(U76&lt;&gt;"",U76,IF(ISNUMBER(AM76),AM76,"")))</f>
        <v>0</v>
      </c>
      <c r="AO76" s="20">
        <f>IF(B76="","",IF(AN76="","",ROUND(AN76-AH76-(AN76*AI76+AJ76),2)))</f>
        <v>0</v>
      </c>
      <c r="AP76" s="33">
        <f>IF(B76="","",IF(OR(AN76="",AN76=0),"",AO76/AN76))</f>
        <v>0</v>
      </c>
      <c r="AQ76" s="41">
        <f>IF(B76="","",ROUND(AC76/60,3))</f>
        <v>0</v>
      </c>
      <c r="AR76" s="20">
        <f>IF(B76="","",IF(OR(AQ76=0,AQ76="",AO76=""),"",ROUND((AO76+AE76)/AQ76,2)))</f>
        <v>0</v>
      </c>
      <c r="AS76" s="43">
        <f>IF(B76="","",IF(AND(A76&lt;&gt;"",ISERROR(MATCH(A76,Products!$A$5:$A$304,0))),"Check - no such product ID",IF(AB76=0,"Add - no material cost yet",IF(AC76=0,"Add - how long does it take?",IF(AND(A76&lt;&gt;"",COUNTIFS('Material Usage'!$A$5:$A$904,A76)&gt;0),"Check - this product also has a bill of materials",IF(AND(A76&lt;&gt;"",COUNTIFS(Labor!$A$5:$A$304,A76)&gt;0),"Check - this product also has labour lines",IF(AR76&lt;MinimumWage,"Below - pays under minimum wage","OK")))))) )</f>
        <v>0</v>
      </c>
    </row>
    <row r="77" spans="23:45">
      <c r="W77" s="41">
        <f>IF(B77="","",IF(E77="",1,E77))</f>
        <v>0</v>
      </c>
      <c r="X77" s="33">
        <f>IF(B77="","",IF(H77="",DefaultWaste,H77))</f>
        <v>0</v>
      </c>
      <c r="Y77" s="36">
        <f>IF(B77="","",ROUND(IF(G77="",0,G77)*W77*(1+X77),1))</f>
        <v>0</v>
      </c>
      <c r="Z77" s="20">
        <f>IF(B77="","",ROUND(Y77*IFERROR(INDEX(Materials!$V$5:$V$254,MATCH(F77,Materials!$A$5:$A$254,0)),0),2))</f>
        <v>0</v>
      </c>
      <c r="AA77" s="20">
        <f>IF(B77="","",ROUND(IF(J77="",0,J77)*W77*(1+X77)*IFERROR(INDEX(Materials!$V$5:$V$254,MATCH(I77,Materials!$A$5:$A$254,0)),0),2))</f>
        <v>0</v>
      </c>
      <c r="AB77" s="20">
        <f>IF(B77="","",ROUND(Z77+AA77+IF(K77="",0,K77)+IF(L77="",0,L77)+IF(M77="",0,M77)+IF(N77="",0,N77),2))</f>
        <v>0</v>
      </c>
      <c r="AC77" s="36">
        <f>IF(B77="","",ROUND((IF(O77="",0,O77)+IF(P77="",0,P77)+IF(Q77="",0,Q77)+IF(R77="",0,R77)+IF(S77="",0,S77))*W77,1))</f>
        <v>0</v>
      </c>
      <c r="AD77" s="20">
        <f>IF(B77="","",IF(T77&lt;&gt;"",T77,LaborCostHour))</f>
        <v>0</v>
      </c>
      <c r="AE77" s="20">
        <f>IF(B77="","",ROUND(AC77/60*AD77,2))</f>
        <v>0</v>
      </c>
      <c r="AF77" s="20">
        <f>IF(B77="","",ROUND(AC77/60*SuppliesPerHour,2))</f>
        <v>0</v>
      </c>
      <c r="AG77" s="20">
        <f>IF(B77="","",ROUND(IF(G77="",0,G77)*W77*X77*IFERROR(INDEX(Materials!$V$5:$V$254,MATCH(F77,Materials!$A$5:$A$254,0)),0),2))</f>
        <v>0</v>
      </c>
      <c r="AH77" s="20">
        <f>IF(B77="","",ROUND(AB77+AE77+AF77,2))</f>
        <v>0</v>
      </c>
      <c r="AI77" s="33">
        <f>IF(B77="","",IFERROR(INDEX(Channels!$S$5:$S$18,MATCH(DefaultChannel,Channels!$A$5:$A$18,0)),0))</f>
        <v>0</v>
      </c>
      <c r="AJ77" s="20">
        <f>IF(B77="","",IFERROR(INDEX(Channels!$T$5:$T$18,MATCH(DefaultChannel,Channels!$A$5:$A$18,0)),0))</f>
        <v>0</v>
      </c>
      <c r="AK77" s="41">
        <f>IF(B77="","",1-TargetRetailMargin-AI77)</f>
        <v>0</v>
      </c>
      <c r="AL77" s="20">
        <f>IF(B77="","",IF(AK77&lt;=0,"",(AH77+AJ77)/AK77))</f>
        <v>0</v>
      </c>
      <c r="AM77" s="20">
        <f>IF(B77="","",IF(AL77="","Check the settings",ROUND(IF(RoundingRule="None",AL77,IF(RoundingRule="Nearest 0.99",MAX(0.99,CEILING(AL77,1)-0.01),IF(RoundingRule="Nearest 0.95",MAX(0.95,CEILING(AL77,1)-0.05),IF(RoundingRule="Nearest 0.50",CEILING(AL77,0.5),IF(RoundingRule="Nearest 1",CEILING(AL77,1),IF(RoundingRule="Nearest 5",CEILING(AL77,5),IF(RoundingRule="Up to whole 1",CEILING(AL77,1),IF(RoundingRule="Up to whole 5",CEILING(AL77,5),ROUND(AL77,2))))))))),2)))</f>
        <v>0</v>
      </c>
      <c r="AN77" s="20">
        <f>IF(B77="","",IF(U77&lt;&gt;"",U77,IF(ISNUMBER(AM77),AM77,"")))</f>
        <v>0</v>
      </c>
      <c r="AO77" s="20">
        <f>IF(B77="","",IF(AN77="","",ROUND(AN77-AH77-(AN77*AI77+AJ77),2)))</f>
        <v>0</v>
      </c>
      <c r="AP77" s="33">
        <f>IF(B77="","",IF(OR(AN77="",AN77=0),"",AO77/AN77))</f>
        <v>0</v>
      </c>
      <c r="AQ77" s="41">
        <f>IF(B77="","",ROUND(AC77/60,3))</f>
        <v>0</v>
      </c>
      <c r="AR77" s="20">
        <f>IF(B77="","",IF(OR(AQ77=0,AQ77="",AO77=""),"",ROUND((AO77+AE77)/AQ77,2)))</f>
        <v>0</v>
      </c>
      <c r="AS77" s="43">
        <f>IF(B77="","",IF(AND(A77&lt;&gt;"",ISERROR(MATCH(A77,Products!$A$5:$A$304,0))),"Check - no such product ID",IF(AB77=0,"Add - no material cost yet",IF(AC77=0,"Add - how long does it take?",IF(AND(A77&lt;&gt;"",COUNTIFS('Material Usage'!$A$5:$A$904,A77)&gt;0),"Check - this product also has a bill of materials",IF(AND(A77&lt;&gt;"",COUNTIFS(Labor!$A$5:$A$304,A77)&gt;0),"Check - this product also has labour lines",IF(AR77&lt;MinimumWage,"Below - pays under minimum wage","OK")))))) )</f>
        <v>0</v>
      </c>
    </row>
    <row r="78" spans="23:45">
      <c r="W78" s="41">
        <f>IF(B78="","",IF(E78="",1,E78))</f>
        <v>0</v>
      </c>
      <c r="X78" s="33">
        <f>IF(B78="","",IF(H78="",DefaultWaste,H78))</f>
        <v>0</v>
      </c>
      <c r="Y78" s="36">
        <f>IF(B78="","",ROUND(IF(G78="",0,G78)*W78*(1+X78),1))</f>
        <v>0</v>
      </c>
      <c r="Z78" s="20">
        <f>IF(B78="","",ROUND(Y78*IFERROR(INDEX(Materials!$V$5:$V$254,MATCH(F78,Materials!$A$5:$A$254,0)),0),2))</f>
        <v>0</v>
      </c>
      <c r="AA78" s="20">
        <f>IF(B78="","",ROUND(IF(J78="",0,J78)*W78*(1+X78)*IFERROR(INDEX(Materials!$V$5:$V$254,MATCH(I78,Materials!$A$5:$A$254,0)),0),2))</f>
        <v>0</v>
      </c>
      <c r="AB78" s="20">
        <f>IF(B78="","",ROUND(Z78+AA78+IF(K78="",0,K78)+IF(L78="",0,L78)+IF(M78="",0,M78)+IF(N78="",0,N78),2))</f>
        <v>0</v>
      </c>
      <c r="AC78" s="36">
        <f>IF(B78="","",ROUND((IF(O78="",0,O78)+IF(P78="",0,P78)+IF(Q78="",0,Q78)+IF(R78="",0,R78)+IF(S78="",0,S78))*W78,1))</f>
        <v>0</v>
      </c>
      <c r="AD78" s="20">
        <f>IF(B78="","",IF(T78&lt;&gt;"",T78,LaborCostHour))</f>
        <v>0</v>
      </c>
      <c r="AE78" s="20">
        <f>IF(B78="","",ROUND(AC78/60*AD78,2))</f>
        <v>0</v>
      </c>
      <c r="AF78" s="20">
        <f>IF(B78="","",ROUND(AC78/60*SuppliesPerHour,2))</f>
        <v>0</v>
      </c>
      <c r="AG78" s="20">
        <f>IF(B78="","",ROUND(IF(G78="",0,G78)*W78*X78*IFERROR(INDEX(Materials!$V$5:$V$254,MATCH(F78,Materials!$A$5:$A$254,0)),0),2))</f>
        <v>0</v>
      </c>
      <c r="AH78" s="20">
        <f>IF(B78="","",ROUND(AB78+AE78+AF78,2))</f>
        <v>0</v>
      </c>
      <c r="AI78" s="33">
        <f>IF(B78="","",IFERROR(INDEX(Channels!$S$5:$S$18,MATCH(DefaultChannel,Channels!$A$5:$A$18,0)),0))</f>
        <v>0</v>
      </c>
      <c r="AJ78" s="20">
        <f>IF(B78="","",IFERROR(INDEX(Channels!$T$5:$T$18,MATCH(DefaultChannel,Channels!$A$5:$A$18,0)),0))</f>
        <v>0</v>
      </c>
      <c r="AK78" s="41">
        <f>IF(B78="","",1-TargetRetailMargin-AI78)</f>
        <v>0</v>
      </c>
      <c r="AL78" s="20">
        <f>IF(B78="","",IF(AK78&lt;=0,"",(AH78+AJ78)/AK78))</f>
        <v>0</v>
      </c>
      <c r="AM78" s="20">
        <f>IF(B78="","",IF(AL78="","Check the settings",ROUND(IF(RoundingRule="None",AL78,IF(RoundingRule="Nearest 0.99",MAX(0.99,CEILING(AL78,1)-0.01),IF(RoundingRule="Nearest 0.95",MAX(0.95,CEILING(AL78,1)-0.05),IF(RoundingRule="Nearest 0.50",CEILING(AL78,0.5),IF(RoundingRule="Nearest 1",CEILING(AL78,1),IF(RoundingRule="Nearest 5",CEILING(AL78,5),IF(RoundingRule="Up to whole 1",CEILING(AL78,1),IF(RoundingRule="Up to whole 5",CEILING(AL78,5),ROUND(AL78,2))))))))),2)))</f>
        <v>0</v>
      </c>
      <c r="AN78" s="20">
        <f>IF(B78="","",IF(U78&lt;&gt;"",U78,IF(ISNUMBER(AM78),AM78,"")))</f>
        <v>0</v>
      </c>
      <c r="AO78" s="20">
        <f>IF(B78="","",IF(AN78="","",ROUND(AN78-AH78-(AN78*AI78+AJ78),2)))</f>
        <v>0</v>
      </c>
      <c r="AP78" s="33">
        <f>IF(B78="","",IF(OR(AN78="",AN78=0),"",AO78/AN78))</f>
        <v>0</v>
      </c>
      <c r="AQ78" s="41">
        <f>IF(B78="","",ROUND(AC78/60,3))</f>
        <v>0</v>
      </c>
      <c r="AR78" s="20">
        <f>IF(B78="","",IF(OR(AQ78=0,AQ78="",AO78=""),"",ROUND((AO78+AE78)/AQ78,2)))</f>
        <v>0</v>
      </c>
      <c r="AS78" s="43">
        <f>IF(B78="","",IF(AND(A78&lt;&gt;"",ISERROR(MATCH(A78,Products!$A$5:$A$304,0))),"Check - no such product ID",IF(AB78=0,"Add - no material cost yet",IF(AC78=0,"Add - how long does it take?",IF(AND(A78&lt;&gt;"",COUNTIFS('Material Usage'!$A$5:$A$904,A78)&gt;0),"Check - this product also has a bill of materials",IF(AND(A78&lt;&gt;"",COUNTIFS(Labor!$A$5:$A$304,A78)&gt;0),"Check - this product also has labour lines",IF(AR78&lt;MinimumWage,"Below - pays under minimum wage","OK")))))) )</f>
        <v>0</v>
      </c>
    </row>
    <row r="79" spans="23:45">
      <c r="W79" s="41">
        <f>IF(B79="","",IF(E79="",1,E79))</f>
        <v>0</v>
      </c>
      <c r="X79" s="33">
        <f>IF(B79="","",IF(H79="",DefaultWaste,H79))</f>
        <v>0</v>
      </c>
      <c r="Y79" s="36">
        <f>IF(B79="","",ROUND(IF(G79="",0,G79)*W79*(1+X79),1))</f>
        <v>0</v>
      </c>
      <c r="Z79" s="20">
        <f>IF(B79="","",ROUND(Y79*IFERROR(INDEX(Materials!$V$5:$V$254,MATCH(F79,Materials!$A$5:$A$254,0)),0),2))</f>
        <v>0</v>
      </c>
      <c r="AA79" s="20">
        <f>IF(B79="","",ROUND(IF(J79="",0,J79)*W79*(1+X79)*IFERROR(INDEX(Materials!$V$5:$V$254,MATCH(I79,Materials!$A$5:$A$254,0)),0),2))</f>
        <v>0</v>
      </c>
      <c r="AB79" s="20">
        <f>IF(B79="","",ROUND(Z79+AA79+IF(K79="",0,K79)+IF(L79="",0,L79)+IF(M79="",0,M79)+IF(N79="",0,N79),2))</f>
        <v>0</v>
      </c>
      <c r="AC79" s="36">
        <f>IF(B79="","",ROUND((IF(O79="",0,O79)+IF(P79="",0,P79)+IF(Q79="",0,Q79)+IF(R79="",0,R79)+IF(S79="",0,S79))*W79,1))</f>
        <v>0</v>
      </c>
      <c r="AD79" s="20">
        <f>IF(B79="","",IF(T79&lt;&gt;"",T79,LaborCostHour))</f>
        <v>0</v>
      </c>
      <c r="AE79" s="20">
        <f>IF(B79="","",ROUND(AC79/60*AD79,2))</f>
        <v>0</v>
      </c>
      <c r="AF79" s="20">
        <f>IF(B79="","",ROUND(AC79/60*SuppliesPerHour,2))</f>
        <v>0</v>
      </c>
      <c r="AG79" s="20">
        <f>IF(B79="","",ROUND(IF(G79="",0,G79)*W79*X79*IFERROR(INDEX(Materials!$V$5:$V$254,MATCH(F79,Materials!$A$5:$A$254,0)),0),2))</f>
        <v>0</v>
      </c>
      <c r="AH79" s="20">
        <f>IF(B79="","",ROUND(AB79+AE79+AF79,2))</f>
        <v>0</v>
      </c>
      <c r="AI79" s="33">
        <f>IF(B79="","",IFERROR(INDEX(Channels!$S$5:$S$18,MATCH(DefaultChannel,Channels!$A$5:$A$18,0)),0))</f>
        <v>0</v>
      </c>
      <c r="AJ79" s="20">
        <f>IF(B79="","",IFERROR(INDEX(Channels!$T$5:$T$18,MATCH(DefaultChannel,Channels!$A$5:$A$18,0)),0))</f>
        <v>0</v>
      </c>
      <c r="AK79" s="41">
        <f>IF(B79="","",1-TargetRetailMargin-AI79)</f>
        <v>0</v>
      </c>
      <c r="AL79" s="20">
        <f>IF(B79="","",IF(AK79&lt;=0,"",(AH79+AJ79)/AK79))</f>
        <v>0</v>
      </c>
      <c r="AM79" s="20">
        <f>IF(B79="","",IF(AL79="","Check the settings",ROUND(IF(RoundingRule="None",AL79,IF(RoundingRule="Nearest 0.99",MAX(0.99,CEILING(AL79,1)-0.01),IF(RoundingRule="Nearest 0.95",MAX(0.95,CEILING(AL79,1)-0.05),IF(RoundingRule="Nearest 0.50",CEILING(AL79,0.5),IF(RoundingRule="Nearest 1",CEILING(AL79,1),IF(RoundingRule="Nearest 5",CEILING(AL79,5),IF(RoundingRule="Up to whole 1",CEILING(AL79,1),IF(RoundingRule="Up to whole 5",CEILING(AL79,5),ROUND(AL79,2))))))))),2)))</f>
        <v>0</v>
      </c>
      <c r="AN79" s="20">
        <f>IF(B79="","",IF(U79&lt;&gt;"",U79,IF(ISNUMBER(AM79),AM79,"")))</f>
        <v>0</v>
      </c>
      <c r="AO79" s="20">
        <f>IF(B79="","",IF(AN79="","",ROUND(AN79-AH79-(AN79*AI79+AJ79),2)))</f>
        <v>0</v>
      </c>
      <c r="AP79" s="33">
        <f>IF(B79="","",IF(OR(AN79="",AN79=0),"",AO79/AN79))</f>
        <v>0</v>
      </c>
      <c r="AQ79" s="41">
        <f>IF(B79="","",ROUND(AC79/60,3))</f>
        <v>0</v>
      </c>
      <c r="AR79" s="20">
        <f>IF(B79="","",IF(OR(AQ79=0,AQ79="",AO79=""),"",ROUND((AO79+AE79)/AQ79,2)))</f>
        <v>0</v>
      </c>
      <c r="AS79" s="43">
        <f>IF(B79="","",IF(AND(A79&lt;&gt;"",ISERROR(MATCH(A79,Products!$A$5:$A$304,0))),"Check - no such product ID",IF(AB79=0,"Add - no material cost yet",IF(AC79=0,"Add - how long does it take?",IF(AND(A79&lt;&gt;"",COUNTIFS('Material Usage'!$A$5:$A$904,A79)&gt;0),"Check - this product also has a bill of materials",IF(AND(A79&lt;&gt;"",COUNTIFS(Labor!$A$5:$A$304,A79)&gt;0),"Check - this product also has labour lines",IF(AR79&lt;MinimumWage,"Below - pays under minimum wage","OK")))))) )</f>
        <v>0</v>
      </c>
    </row>
    <row r="80" spans="23:45">
      <c r="W80" s="41">
        <f>IF(B80="","",IF(E80="",1,E80))</f>
        <v>0</v>
      </c>
      <c r="X80" s="33">
        <f>IF(B80="","",IF(H80="",DefaultWaste,H80))</f>
        <v>0</v>
      </c>
      <c r="Y80" s="36">
        <f>IF(B80="","",ROUND(IF(G80="",0,G80)*W80*(1+X80),1))</f>
        <v>0</v>
      </c>
      <c r="Z80" s="20">
        <f>IF(B80="","",ROUND(Y80*IFERROR(INDEX(Materials!$V$5:$V$254,MATCH(F80,Materials!$A$5:$A$254,0)),0),2))</f>
        <v>0</v>
      </c>
      <c r="AA80" s="20">
        <f>IF(B80="","",ROUND(IF(J80="",0,J80)*W80*(1+X80)*IFERROR(INDEX(Materials!$V$5:$V$254,MATCH(I80,Materials!$A$5:$A$254,0)),0),2))</f>
        <v>0</v>
      </c>
      <c r="AB80" s="20">
        <f>IF(B80="","",ROUND(Z80+AA80+IF(K80="",0,K80)+IF(L80="",0,L80)+IF(M80="",0,M80)+IF(N80="",0,N80),2))</f>
        <v>0</v>
      </c>
      <c r="AC80" s="36">
        <f>IF(B80="","",ROUND((IF(O80="",0,O80)+IF(P80="",0,P80)+IF(Q80="",0,Q80)+IF(R80="",0,R80)+IF(S80="",0,S80))*W80,1))</f>
        <v>0</v>
      </c>
      <c r="AD80" s="20">
        <f>IF(B80="","",IF(T80&lt;&gt;"",T80,LaborCostHour))</f>
        <v>0</v>
      </c>
      <c r="AE80" s="20">
        <f>IF(B80="","",ROUND(AC80/60*AD80,2))</f>
        <v>0</v>
      </c>
      <c r="AF80" s="20">
        <f>IF(B80="","",ROUND(AC80/60*SuppliesPerHour,2))</f>
        <v>0</v>
      </c>
      <c r="AG80" s="20">
        <f>IF(B80="","",ROUND(IF(G80="",0,G80)*W80*X80*IFERROR(INDEX(Materials!$V$5:$V$254,MATCH(F80,Materials!$A$5:$A$254,0)),0),2))</f>
        <v>0</v>
      </c>
      <c r="AH80" s="20">
        <f>IF(B80="","",ROUND(AB80+AE80+AF80,2))</f>
        <v>0</v>
      </c>
      <c r="AI80" s="33">
        <f>IF(B80="","",IFERROR(INDEX(Channels!$S$5:$S$18,MATCH(DefaultChannel,Channels!$A$5:$A$18,0)),0))</f>
        <v>0</v>
      </c>
      <c r="AJ80" s="20">
        <f>IF(B80="","",IFERROR(INDEX(Channels!$T$5:$T$18,MATCH(DefaultChannel,Channels!$A$5:$A$18,0)),0))</f>
        <v>0</v>
      </c>
      <c r="AK80" s="41">
        <f>IF(B80="","",1-TargetRetailMargin-AI80)</f>
        <v>0</v>
      </c>
      <c r="AL80" s="20">
        <f>IF(B80="","",IF(AK80&lt;=0,"",(AH80+AJ80)/AK80))</f>
        <v>0</v>
      </c>
      <c r="AM80" s="20">
        <f>IF(B80="","",IF(AL80="","Check the settings",ROUND(IF(RoundingRule="None",AL80,IF(RoundingRule="Nearest 0.99",MAX(0.99,CEILING(AL80,1)-0.01),IF(RoundingRule="Nearest 0.95",MAX(0.95,CEILING(AL80,1)-0.05),IF(RoundingRule="Nearest 0.50",CEILING(AL80,0.5),IF(RoundingRule="Nearest 1",CEILING(AL80,1),IF(RoundingRule="Nearest 5",CEILING(AL80,5),IF(RoundingRule="Up to whole 1",CEILING(AL80,1),IF(RoundingRule="Up to whole 5",CEILING(AL80,5),ROUND(AL80,2))))))))),2)))</f>
        <v>0</v>
      </c>
      <c r="AN80" s="20">
        <f>IF(B80="","",IF(U80&lt;&gt;"",U80,IF(ISNUMBER(AM80),AM80,"")))</f>
        <v>0</v>
      </c>
      <c r="AO80" s="20">
        <f>IF(B80="","",IF(AN80="","",ROUND(AN80-AH80-(AN80*AI80+AJ80),2)))</f>
        <v>0</v>
      </c>
      <c r="AP80" s="33">
        <f>IF(B80="","",IF(OR(AN80="",AN80=0),"",AO80/AN80))</f>
        <v>0</v>
      </c>
      <c r="AQ80" s="41">
        <f>IF(B80="","",ROUND(AC80/60,3))</f>
        <v>0</v>
      </c>
      <c r="AR80" s="20">
        <f>IF(B80="","",IF(OR(AQ80=0,AQ80="",AO80=""),"",ROUND((AO80+AE80)/AQ80,2)))</f>
        <v>0</v>
      </c>
      <c r="AS80" s="43">
        <f>IF(B80="","",IF(AND(A80&lt;&gt;"",ISERROR(MATCH(A80,Products!$A$5:$A$304,0))),"Check - no such product ID",IF(AB80=0,"Add - no material cost yet",IF(AC80=0,"Add - how long does it take?",IF(AND(A80&lt;&gt;"",COUNTIFS('Material Usage'!$A$5:$A$904,A80)&gt;0),"Check - this product also has a bill of materials",IF(AND(A80&lt;&gt;"",COUNTIFS(Labor!$A$5:$A$304,A80)&gt;0),"Check - this product also has labour lines",IF(AR80&lt;MinimumWage,"Below - pays under minimum wage","OK")))))) )</f>
        <v>0</v>
      </c>
    </row>
    <row r="81" spans="23:45">
      <c r="W81" s="41">
        <f>IF(B81="","",IF(E81="",1,E81))</f>
        <v>0</v>
      </c>
      <c r="X81" s="33">
        <f>IF(B81="","",IF(H81="",DefaultWaste,H81))</f>
        <v>0</v>
      </c>
      <c r="Y81" s="36">
        <f>IF(B81="","",ROUND(IF(G81="",0,G81)*W81*(1+X81),1))</f>
        <v>0</v>
      </c>
      <c r="Z81" s="20">
        <f>IF(B81="","",ROUND(Y81*IFERROR(INDEX(Materials!$V$5:$V$254,MATCH(F81,Materials!$A$5:$A$254,0)),0),2))</f>
        <v>0</v>
      </c>
      <c r="AA81" s="20">
        <f>IF(B81="","",ROUND(IF(J81="",0,J81)*W81*(1+X81)*IFERROR(INDEX(Materials!$V$5:$V$254,MATCH(I81,Materials!$A$5:$A$254,0)),0),2))</f>
        <v>0</v>
      </c>
      <c r="AB81" s="20">
        <f>IF(B81="","",ROUND(Z81+AA81+IF(K81="",0,K81)+IF(L81="",0,L81)+IF(M81="",0,M81)+IF(N81="",0,N81),2))</f>
        <v>0</v>
      </c>
      <c r="AC81" s="36">
        <f>IF(B81="","",ROUND((IF(O81="",0,O81)+IF(P81="",0,P81)+IF(Q81="",0,Q81)+IF(R81="",0,R81)+IF(S81="",0,S81))*W81,1))</f>
        <v>0</v>
      </c>
      <c r="AD81" s="20">
        <f>IF(B81="","",IF(T81&lt;&gt;"",T81,LaborCostHour))</f>
        <v>0</v>
      </c>
      <c r="AE81" s="20">
        <f>IF(B81="","",ROUND(AC81/60*AD81,2))</f>
        <v>0</v>
      </c>
      <c r="AF81" s="20">
        <f>IF(B81="","",ROUND(AC81/60*SuppliesPerHour,2))</f>
        <v>0</v>
      </c>
      <c r="AG81" s="20">
        <f>IF(B81="","",ROUND(IF(G81="",0,G81)*W81*X81*IFERROR(INDEX(Materials!$V$5:$V$254,MATCH(F81,Materials!$A$5:$A$254,0)),0),2))</f>
        <v>0</v>
      </c>
      <c r="AH81" s="20">
        <f>IF(B81="","",ROUND(AB81+AE81+AF81,2))</f>
        <v>0</v>
      </c>
      <c r="AI81" s="33">
        <f>IF(B81="","",IFERROR(INDEX(Channels!$S$5:$S$18,MATCH(DefaultChannel,Channels!$A$5:$A$18,0)),0))</f>
        <v>0</v>
      </c>
      <c r="AJ81" s="20">
        <f>IF(B81="","",IFERROR(INDEX(Channels!$T$5:$T$18,MATCH(DefaultChannel,Channels!$A$5:$A$18,0)),0))</f>
        <v>0</v>
      </c>
      <c r="AK81" s="41">
        <f>IF(B81="","",1-TargetRetailMargin-AI81)</f>
        <v>0</v>
      </c>
      <c r="AL81" s="20">
        <f>IF(B81="","",IF(AK81&lt;=0,"",(AH81+AJ81)/AK81))</f>
        <v>0</v>
      </c>
      <c r="AM81" s="20">
        <f>IF(B81="","",IF(AL81="","Check the settings",ROUND(IF(RoundingRule="None",AL81,IF(RoundingRule="Nearest 0.99",MAX(0.99,CEILING(AL81,1)-0.01),IF(RoundingRule="Nearest 0.95",MAX(0.95,CEILING(AL81,1)-0.05),IF(RoundingRule="Nearest 0.50",CEILING(AL81,0.5),IF(RoundingRule="Nearest 1",CEILING(AL81,1),IF(RoundingRule="Nearest 5",CEILING(AL81,5),IF(RoundingRule="Up to whole 1",CEILING(AL81,1),IF(RoundingRule="Up to whole 5",CEILING(AL81,5),ROUND(AL81,2))))))))),2)))</f>
        <v>0</v>
      </c>
      <c r="AN81" s="20">
        <f>IF(B81="","",IF(U81&lt;&gt;"",U81,IF(ISNUMBER(AM81),AM81,"")))</f>
        <v>0</v>
      </c>
      <c r="AO81" s="20">
        <f>IF(B81="","",IF(AN81="","",ROUND(AN81-AH81-(AN81*AI81+AJ81),2)))</f>
        <v>0</v>
      </c>
      <c r="AP81" s="33">
        <f>IF(B81="","",IF(OR(AN81="",AN81=0),"",AO81/AN81))</f>
        <v>0</v>
      </c>
      <c r="AQ81" s="41">
        <f>IF(B81="","",ROUND(AC81/60,3))</f>
        <v>0</v>
      </c>
      <c r="AR81" s="20">
        <f>IF(B81="","",IF(OR(AQ81=0,AQ81="",AO81=""),"",ROUND((AO81+AE81)/AQ81,2)))</f>
        <v>0</v>
      </c>
      <c r="AS81" s="43">
        <f>IF(B81="","",IF(AND(A81&lt;&gt;"",ISERROR(MATCH(A81,Products!$A$5:$A$304,0))),"Check - no such product ID",IF(AB81=0,"Add - no material cost yet",IF(AC81=0,"Add - how long does it take?",IF(AND(A81&lt;&gt;"",COUNTIFS('Material Usage'!$A$5:$A$904,A81)&gt;0),"Check - this product also has a bill of materials",IF(AND(A81&lt;&gt;"",COUNTIFS(Labor!$A$5:$A$304,A81)&gt;0),"Check - this product also has labour lines",IF(AR81&lt;MinimumWage,"Below - pays under minimum wage","OK")))))) )</f>
        <v>0</v>
      </c>
    </row>
    <row r="82" spans="23:45">
      <c r="W82" s="41">
        <f>IF(B82="","",IF(E82="",1,E82))</f>
        <v>0</v>
      </c>
      <c r="X82" s="33">
        <f>IF(B82="","",IF(H82="",DefaultWaste,H82))</f>
        <v>0</v>
      </c>
      <c r="Y82" s="36">
        <f>IF(B82="","",ROUND(IF(G82="",0,G82)*W82*(1+X82),1))</f>
        <v>0</v>
      </c>
      <c r="Z82" s="20">
        <f>IF(B82="","",ROUND(Y82*IFERROR(INDEX(Materials!$V$5:$V$254,MATCH(F82,Materials!$A$5:$A$254,0)),0),2))</f>
        <v>0</v>
      </c>
      <c r="AA82" s="20">
        <f>IF(B82="","",ROUND(IF(J82="",0,J82)*W82*(1+X82)*IFERROR(INDEX(Materials!$V$5:$V$254,MATCH(I82,Materials!$A$5:$A$254,0)),0),2))</f>
        <v>0</v>
      </c>
      <c r="AB82" s="20">
        <f>IF(B82="","",ROUND(Z82+AA82+IF(K82="",0,K82)+IF(L82="",0,L82)+IF(M82="",0,M82)+IF(N82="",0,N82),2))</f>
        <v>0</v>
      </c>
      <c r="AC82" s="36">
        <f>IF(B82="","",ROUND((IF(O82="",0,O82)+IF(P82="",0,P82)+IF(Q82="",0,Q82)+IF(R82="",0,R82)+IF(S82="",0,S82))*W82,1))</f>
        <v>0</v>
      </c>
      <c r="AD82" s="20">
        <f>IF(B82="","",IF(T82&lt;&gt;"",T82,LaborCostHour))</f>
        <v>0</v>
      </c>
      <c r="AE82" s="20">
        <f>IF(B82="","",ROUND(AC82/60*AD82,2))</f>
        <v>0</v>
      </c>
      <c r="AF82" s="20">
        <f>IF(B82="","",ROUND(AC82/60*SuppliesPerHour,2))</f>
        <v>0</v>
      </c>
      <c r="AG82" s="20">
        <f>IF(B82="","",ROUND(IF(G82="",0,G82)*W82*X82*IFERROR(INDEX(Materials!$V$5:$V$254,MATCH(F82,Materials!$A$5:$A$254,0)),0),2))</f>
        <v>0</v>
      </c>
      <c r="AH82" s="20">
        <f>IF(B82="","",ROUND(AB82+AE82+AF82,2))</f>
        <v>0</v>
      </c>
      <c r="AI82" s="33">
        <f>IF(B82="","",IFERROR(INDEX(Channels!$S$5:$S$18,MATCH(DefaultChannel,Channels!$A$5:$A$18,0)),0))</f>
        <v>0</v>
      </c>
      <c r="AJ82" s="20">
        <f>IF(B82="","",IFERROR(INDEX(Channels!$T$5:$T$18,MATCH(DefaultChannel,Channels!$A$5:$A$18,0)),0))</f>
        <v>0</v>
      </c>
      <c r="AK82" s="41">
        <f>IF(B82="","",1-TargetRetailMargin-AI82)</f>
        <v>0</v>
      </c>
      <c r="AL82" s="20">
        <f>IF(B82="","",IF(AK82&lt;=0,"",(AH82+AJ82)/AK82))</f>
        <v>0</v>
      </c>
      <c r="AM82" s="20">
        <f>IF(B82="","",IF(AL82="","Check the settings",ROUND(IF(RoundingRule="None",AL82,IF(RoundingRule="Nearest 0.99",MAX(0.99,CEILING(AL82,1)-0.01),IF(RoundingRule="Nearest 0.95",MAX(0.95,CEILING(AL82,1)-0.05),IF(RoundingRule="Nearest 0.50",CEILING(AL82,0.5),IF(RoundingRule="Nearest 1",CEILING(AL82,1),IF(RoundingRule="Nearest 5",CEILING(AL82,5),IF(RoundingRule="Up to whole 1",CEILING(AL82,1),IF(RoundingRule="Up to whole 5",CEILING(AL82,5),ROUND(AL82,2))))))))),2)))</f>
        <v>0</v>
      </c>
      <c r="AN82" s="20">
        <f>IF(B82="","",IF(U82&lt;&gt;"",U82,IF(ISNUMBER(AM82),AM82,"")))</f>
        <v>0</v>
      </c>
      <c r="AO82" s="20">
        <f>IF(B82="","",IF(AN82="","",ROUND(AN82-AH82-(AN82*AI82+AJ82),2)))</f>
        <v>0</v>
      </c>
      <c r="AP82" s="33">
        <f>IF(B82="","",IF(OR(AN82="",AN82=0),"",AO82/AN82))</f>
        <v>0</v>
      </c>
      <c r="AQ82" s="41">
        <f>IF(B82="","",ROUND(AC82/60,3))</f>
        <v>0</v>
      </c>
      <c r="AR82" s="20">
        <f>IF(B82="","",IF(OR(AQ82=0,AQ82="",AO82=""),"",ROUND((AO82+AE82)/AQ82,2)))</f>
        <v>0</v>
      </c>
      <c r="AS82" s="43">
        <f>IF(B82="","",IF(AND(A82&lt;&gt;"",ISERROR(MATCH(A82,Products!$A$5:$A$304,0))),"Check - no such product ID",IF(AB82=0,"Add - no material cost yet",IF(AC82=0,"Add - how long does it take?",IF(AND(A82&lt;&gt;"",COUNTIFS('Material Usage'!$A$5:$A$904,A82)&gt;0),"Check - this product also has a bill of materials",IF(AND(A82&lt;&gt;"",COUNTIFS(Labor!$A$5:$A$304,A82)&gt;0),"Check - this product also has labour lines",IF(AR82&lt;MinimumWage,"Below - pays under minimum wage","OK")))))) )</f>
        <v>0</v>
      </c>
    </row>
    <row r="83" spans="23:45">
      <c r="W83" s="41">
        <f>IF(B83="","",IF(E83="",1,E83))</f>
        <v>0</v>
      </c>
      <c r="X83" s="33">
        <f>IF(B83="","",IF(H83="",DefaultWaste,H83))</f>
        <v>0</v>
      </c>
      <c r="Y83" s="36">
        <f>IF(B83="","",ROUND(IF(G83="",0,G83)*W83*(1+X83),1))</f>
        <v>0</v>
      </c>
      <c r="Z83" s="20">
        <f>IF(B83="","",ROUND(Y83*IFERROR(INDEX(Materials!$V$5:$V$254,MATCH(F83,Materials!$A$5:$A$254,0)),0),2))</f>
        <v>0</v>
      </c>
      <c r="AA83" s="20">
        <f>IF(B83="","",ROUND(IF(J83="",0,J83)*W83*(1+X83)*IFERROR(INDEX(Materials!$V$5:$V$254,MATCH(I83,Materials!$A$5:$A$254,0)),0),2))</f>
        <v>0</v>
      </c>
      <c r="AB83" s="20">
        <f>IF(B83="","",ROUND(Z83+AA83+IF(K83="",0,K83)+IF(L83="",0,L83)+IF(M83="",0,M83)+IF(N83="",0,N83),2))</f>
        <v>0</v>
      </c>
      <c r="AC83" s="36">
        <f>IF(B83="","",ROUND((IF(O83="",0,O83)+IF(P83="",0,P83)+IF(Q83="",0,Q83)+IF(R83="",0,R83)+IF(S83="",0,S83))*W83,1))</f>
        <v>0</v>
      </c>
      <c r="AD83" s="20">
        <f>IF(B83="","",IF(T83&lt;&gt;"",T83,LaborCostHour))</f>
        <v>0</v>
      </c>
      <c r="AE83" s="20">
        <f>IF(B83="","",ROUND(AC83/60*AD83,2))</f>
        <v>0</v>
      </c>
      <c r="AF83" s="20">
        <f>IF(B83="","",ROUND(AC83/60*SuppliesPerHour,2))</f>
        <v>0</v>
      </c>
      <c r="AG83" s="20">
        <f>IF(B83="","",ROUND(IF(G83="",0,G83)*W83*X83*IFERROR(INDEX(Materials!$V$5:$V$254,MATCH(F83,Materials!$A$5:$A$254,0)),0),2))</f>
        <v>0</v>
      </c>
      <c r="AH83" s="20">
        <f>IF(B83="","",ROUND(AB83+AE83+AF83,2))</f>
        <v>0</v>
      </c>
      <c r="AI83" s="33">
        <f>IF(B83="","",IFERROR(INDEX(Channels!$S$5:$S$18,MATCH(DefaultChannel,Channels!$A$5:$A$18,0)),0))</f>
        <v>0</v>
      </c>
      <c r="AJ83" s="20">
        <f>IF(B83="","",IFERROR(INDEX(Channels!$T$5:$T$18,MATCH(DefaultChannel,Channels!$A$5:$A$18,0)),0))</f>
        <v>0</v>
      </c>
      <c r="AK83" s="41">
        <f>IF(B83="","",1-TargetRetailMargin-AI83)</f>
        <v>0</v>
      </c>
      <c r="AL83" s="20">
        <f>IF(B83="","",IF(AK83&lt;=0,"",(AH83+AJ83)/AK83))</f>
        <v>0</v>
      </c>
      <c r="AM83" s="20">
        <f>IF(B83="","",IF(AL83="","Check the settings",ROUND(IF(RoundingRule="None",AL83,IF(RoundingRule="Nearest 0.99",MAX(0.99,CEILING(AL83,1)-0.01),IF(RoundingRule="Nearest 0.95",MAX(0.95,CEILING(AL83,1)-0.05),IF(RoundingRule="Nearest 0.50",CEILING(AL83,0.5),IF(RoundingRule="Nearest 1",CEILING(AL83,1),IF(RoundingRule="Nearest 5",CEILING(AL83,5),IF(RoundingRule="Up to whole 1",CEILING(AL83,1),IF(RoundingRule="Up to whole 5",CEILING(AL83,5),ROUND(AL83,2))))))))),2)))</f>
        <v>0</v>
      </c>
      <c r="AN83" s="20">
        <f>IF(B83="","",IF(U83&lt;&gt;"",U83,IF(ISNUMBER(AM83),AM83,"")))</f>
        <v>0</v>
      </c>
      <c r="AO83" s="20">
        <f>IF(B83="","",IF(AN83="","",ROUND(AN83-AH83-(AN83*AI83+AJ83),2)))</f>
        <v>0</v>
      </c>
      <c r="AP83" s="33">
        <f>IF(B83="","",IF(OR(AN83="",AN83=0),"",AO83/AN83))</f>
        <v>0</v>
      </c>
      <c r="AQ83" s="41">
        <f>IF(B83="","",ROUND(AC83/60,3))</f>
        <v>0</v>
      </c>
      <c r="AR83" s="20">
        <f>IF(B83="","",IF(OR(AQ83=0,AQ83="",AO83=""),"",ROUND((AO83+AE83)/AQ83,2)))</f>
        <v>0</v>
      </c>
      <c r="AS83" s="43">
        <f>IF(B83="","",IF(AND(A83&lt;&gt;"",ISERROR(MATCH(A83,Products!$A$5:$A$304,0))),"Check - no such product ID",IF(AB83=0,"Add - no material cost yet",IF(AC83=0,"Add - how long does it take?",IF(AND(A83&lt;&gt;"",COUNTIFS('Material Usage'!$A$5:$A$904,A83)&gt;0),"Check - this product also has a bill of materials",IF(AND(A83&lt;&gt;"",COUNTIFS(Labor!$A$5:$A$304,A83)&gt;0),"Check - this product also has labour lines",IF(AR83&lt;MinimumWage,"Below - pays under minimum wage","OK")))))) )</f>
        <v>0</v>
      </c>
    </row>
    <row r="84" spans="23:45">
      <c r="W84" s="41">
        <f>IF(B84="","",IF(E84="",1,E84))</f>
        <v>0</v>
      </c>
      <c r="X84" s="33">
        <f>IF(B84="","",IF(H84="",DefaultWaste,H84))</f>
        <v>0</v>
      </c>
      <c r="Y84" s="36">
        <f>IF(B84="","",ROUND(IF(G84="",0,G84)*W84*(1+X84),1))</f>
        <v>0</v>
      </c>
      <c r="Z84" s="20">
        <f>IF(B84="","",ROUND(Y84*IFERROR(INDEX(Materials!$V$5:$V$254,MATCH(F84,Materials!$A$5:$A$254,0)),0),2))</f>
        <v>0</v>
      </c>
      <c r="AA84" s="20">
        <f>IF(B84="","",ROUND(IF(J84="",0,J84)*W84*(1+X84)*IFERROR(INDEX(Materials!$V$5:$V$254,MATCH(I84,Materials!$A$5:$A$254,0)),0),2))</f>
        <v>0</v>
      </c>
      <c r="AB84" s="20">
        <f>IF(B84="","",ROUND(Z84+AA84+IF(K84="",0,K84)+IF(L84="",0,L84)+IF(M84="",0,M84)+IF(N84="",0,N84),2))</f>
        <v>0</v>
      </c>
      <c r="AC84" s="36">
        <f>IF(B84="","",ROUND((IF(O84="",0,O84)+IF(P84="",0,P84)+IF(Q84="",0,Q84)+IF(R84="",0,R84)+IF(S84="",0,S84))*W84,1))</f>
        <v>0</v>
      </c>
      <c r="AD84" s="20">
        <f>IF(B84="","",IF(T84&lt;&gt;"",T84,LaborCostHour))</f>
        <v>0</v>
      </c>
      <c r="AE84" s="20">
        <f>IF(B84="","",ROUND(AC84/60*AD84,2))</f>
        <v>0</v>
      </c>
      <c r="AF84" s="20">
        <f>IF(B84="","",ROUND(AC84/60*SuppliesPerHour,2))</f>
        <v>0</v>
      </c>
      <c r="AG84" s="20">
        <f>IF(B84="","",ROUND(IF(G84="",0,G84)*W84*X84*IFERROR(INDEX(Materials!$V$5:$V$254,MATCH(F84,Materials!$A$5:$A$254,0)),0),2))</f>
        <v>0</v>
      </c>
      <c r="AH84" s="20">
        <f>IF(B84="","",ROUND(AB84+AE84+AF84,2))</f>
        <v>0</v>
      </c>
      <c r="AI84" s="33">
        <f>IF(B84="","",IFERROR(INDEX(Channels!$S$5:$S$18,MATCH(DefaultChannel,Channels!$A$5:$A$18,0)),0))</f>
        <v>0</v>
      </c>
      <c r="AJ84" s="20">
        <f>IF(B84="","",IFERROR(INDEX(Channels!$T$5:$T$18,MATCH(DefaultChannel,Channels!$A$5:$A$18,0)),0))</f>
        <v>0</v>
      </c>
      <c r="AK84" s="41">
        <f>IF(B84="","",1-TargetRetailMargin-AI84)</f>
        <v>0</v>
      </c>
      <c r="AL84" s="20">
        <f>IF(B84="","",IF(AK84&lt;=0,"",(AH84+AJ84)/AK84))</f>
        <v>0</v>
      </c>
      <c r="AM84" s="20">
        <f>IF(B84="","",IF(AL84="","Check the settings",ROUND(IF(RoundingRule="None",AL84,IF(RoundingRule="Nearest 0.99",MAX(0.99,CEILING(AL84,1)-0.01),IF(RoundingRule="Nearest 0.95",MAX(0.95,CEILING(AL84,1)-0.05),IF(RoundingRule="Nearest 0.50",CEILING(AL84,0.5),IF(RoundingRule="Nearest 1",CEILING(AL84,1),IF(RoundingRule="Nearest 5",CEILING(AL84,5),IF(RoundingRule="Up to whole 1",CEILING(AL84,1),IF(RoundingRule="Up to whole 5",CEILING(AL84,5),ROUND(AL84,2))))))))),2)))</f>
        <v>0</v>
      </c>
      <c r="AN84" s="20">
        <f>IF(B84="","",IF(U84&lt;&gt;"",U84,IF(ISNUMBER(AM84),AM84,"")))</f>
        <v>0</v>
      </c>
      <c r="AO84" s="20">
        <f>IF(B84="","",IF(AN84="","",ROUND(AN84-AH84-(AN84*AI84+AJ84),2)))</f>
        <v>0</v>
      </c>
      <c r="AP84" s="33">
        <f>IF(B84="","",IF(OR(AN84="",AN84=0),"",AO84/AN84))</f>
        <v>0</v>
      </c>
      <c r="AQ84" s="41">
        <f>IF(B84="","",ROUND(AC84/60,3))</f>
        <v>0</v>
      </c>
      <c r="AR84" s="20">
        <f>IF(B84="","",IF(OR(AQ84=0,AQ84="",AO84=""),"",ROUND((AO84+AE84)/AQ84,2)))</f>
        <v>0</v>
      </c>
      <c r="AS84" s="43">
        <f>IF(B84="","",IF(AND(A84&lt;&gt;"",ISERROR(MATCH(A84,Products!$A$5:$A$304,0))),"Check - no such product ID",IF(AB84=0,"Add - no material cost yet",IF(AC84=0,"Add - how long does it take?",IF(AND(A84&lt;&gt;"",COUNTIFS('Material Usage'!$A$5:$A$904,A84)&gt;0),"Check - this product also has a bill of materials",IF(AND(A84&lt;&gt;"",COUNTIFS(Labor!$A$5:$A$304,A84)&gt;0),"Check - this product also has labour lines",IF(AR84&lt;MinimumWage,"Below - pays under minimum wage","OK")))))) )</f>
        <v>0</v>
      </c>
    </row>
  </sheetData>
  <sheetProtection password="EC7C" sheet="1" objects="1" scenarios="1" formatCells="0" formatColumns="0" formatRows="0" insertRows="0" insertHyperlinks="0" deleteRows="0" autoFilter="0"/>
  <autoFilter ref="A4:AS84"/>
  <mergeCells count="13">
    <mergeCell ref="A1:AP1"/>
    <mergeCell ref="AQ1:AS1"/>
    <mergeCell ref="A2:AS2"/>
    <mergeCell ref="A3:B3"/>
    <mergeCell ref="C3:D3"/>
    <mergeCell ref="E3:F3"/>
    <mergeCell ref="G3:H3"/>
    <mergeCell ref="I3:J3"/>
    <mergeCell ref="K3:L3"/>
    <mergeCell ref="M3:N3"/>
    <mergeCell ref="O3:P3"/>
    <mergeCell ref="Q3:R3"/>
    <mergeCell ref="S3:AS3"/>
  </mergeCells>
  <conditionalFormatting sqref="AO5:AO84">
    <cfRule type="cellIs" dxfId="5" priority="1" operator="lessThan">
      <formula>0</formula>
    </cfRule>
    <cfRule type="cellIs" dxfId="1" priority="2" operator="greaterThan">
      <formula>0</formula>
    </cfRule>
  </conditionalFormatting>
  <conditionalFormatting sqref="AP5:AP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R5:AR84">
    <cfRule type="cellIs" dxfId="2" priority="6" operator="lessThan">
      <formula>MinimumWage</formula>
    </cfRule>
  </conditionalFormatting>
  <conditionalFormatting sqref="AS5:AS84">
    <cfRule type="beginsWith" dxfId="1" priority="7" operator="beginsWith" text="OK">
      <formula>LEFT(AS5,2)="OK"</formula>
    </cfRule>
    <cfRule type="containsText" dxfId="2" priority="8" operator="containsText" text="Overdue">
      <formula>NOT(ISERROR(SEARCH("Overdue",AS5)))</formula>
    </cfRule>
    <cfRule type="containsText" dxfId="2" priority="9" operator="containsText" text="Late">
      <formula>NOT(ISERROR(SEARCH("Late",AS5)))</formula>
    </cfRule>
    <cfRule type="containsText" dxfId="2" priority="10" operator="containsText" text="Missing">
      <formula>NOT(ISERROR(SEARCH("Missing",AS5)))</formula>
    </cfRule>
    <cfRule type="containsText" dxfId="2" priority="11" operator="containsText" text="Conflict">
      <formula>NOT(ISERROR(SEARCH("Conflict",AS5)))</formula>
    </cfRule>
    <cfRule type="containsText" dxfId="2" priority="12" operator="containsText" text="Clash">
      <formula>NOT(ISERROR(SEARCH("Clash",AS5)))</formula>
    </cfRule>
    <cfRule type="containsText" dxfId="2" priority="13" operator="containsText" text="Expired">
      <formula>NOT(ISERROR(SEARCH("Expired",AS5)))</formula>
    </cfRule>
    <cfRule type="containsText" dxfId="2" priority="14" operator="containsText" text="Duplicate">
      <formula>NOT(ISERROR(SEARCH("Duplicate",AS5)))</formula>
    </cfRule>
    <cfRule type="containsText" dxfId="2" priority="15" operator="containsText" text="Unpaid">
      <formula>NOT(ISERROR(SEARCH("Unpaid",AS5)))</formula>
    </cfRule>
    <cfRule type="containsText" dxfId="2" priority="16" operator="containsText" text="Loss">
      <formula>NOT(ISERROR(SEARCH("Loss",AS5)))</formula>
    </cfRule>
    <cfRule type="containsText" dxfId="2" priority="17" operator="containsText" text="Below">
      <formula>NOT(ISERROR(SEARCH("Below",AS5)))</formula>
    </cfRule>
    <cfRule type="containsText" dxfId="0" priority="18" operator="containsText" text="Action">
      <formula>NOT(ISERROR(SEARCH("Action",AS5)))</formula>
    </cfRule>
    <cfRule type="containsText" dxfId="0" priority="19" operator="containsText" text="Due">
      <formula>NOT(ISERROR(SEARCH("Due",AS5)))</formula>
    </cfRule>
    <cfRule type="containsText" dxfId="0" priority="20" operator="containsText" text="Check">
      <formula>NOT(ISERROR(SEARCH("Check",AS5)))</formula>
    </cfRule>
    <cfRule type="containsText" dxfId="0" priority="21" operator="containsText" text="Chase">
      <formula>NOT(ISERROR(SEARCH("Chase",AS5)))</formula>
    </cfRule>
    <cfRule type="containsText" dxfId="0" priority="22" operator="containsText" text="Assign">
      <formula>NOT(ISERROR(SEARCH("Assign",AS5)))</formula>
    </cfRule>
    <cfRule type="containsText" dxfId="0" priority="23" operator="containsText" text="Confirm">
      <formula>NOT(ISERROR(SEARCH("Confirm",AS5)))</formula>
    </cfRule>
    <cfRule type="containsText" dxfId="0" priority="24" operator="containsText" text="Order">
      <formula>NOT(ISERROR(SEARCH("Order",AS5)))</formula>
    </cfRule>
    <cfRule type="containsText" dxfId="3" priority="25" operator="containsText" text="Today">
      <formula>NOT(ISERROR(SEARCH("Today",AS5)))</formula>
    </cfRule>
    <cfRule type="containsText" dxfId="3" priority="26" operator="containsText" text="Upcoming">
      <formula>NOT(ISERROR(SEARCH("Upcoming",AS5)))</formula>
    </cfRule>
    <cfRule type="containsText" dxfId="3" priority="27" operator="containsText" text="Tomorrow">
      <formula>NOT(ISERROR(SEARCH("Tomorrow",AS5)))</formula>
    </cfRule>
  </conditionalFormatting>
  <dataValidations count="20">
    <dataValidation type="list" allowBlank="1" showInputMessage="1" showErrorMessage="1" sqref="A5:A84">
      <formula1>ProductIDs</formula1>
    </dataValidation>
    <dataValidation type="list" allowBlank="1" showInputMessage="1" showErrorMessage="1" promptTitle="Type" prompt="The main fabric. The list is on the Lists tab and you can add your own." sqref="C5:C84">
      <formula1>FabricList</formula1>
    </dataValidation>
    <dataValidation type="list" allowBlank="1" showInputMessage="1" showErrorMessage="1" sqref="D5:D84">
      <formula1>GarmentSizeList</formula1>
    </dataValidation>
    <dataValidation type="decimal" allowBlank="1" showInputMessage="1" showErrorMessage="1" errorTitle="Check the value" error="Enter a number between 0.1 and 5." promptTitle="Size factor" prompt="How much more fabric and time this size takes than your standard one. Blank is 1." sqref="E5:E84">
      <formula1>0.1</formula1>
      <formula2>5</formula2>
    </dataValidation>
    <dataValidation type="list" allowBlank="1" showInputMessage="1" showErrorMessage="1" sqref="F5:F84">
      <formula1>MaterialIDs</formula1>
    </dataValidation>
    <dataValidation type="decimal" allowBlank="1" showInputMessage="1" showErrorMessage="1" errorTitle="Check the value" error="Enter a number between 0 and 100000." promptTitle="Fabric (cm)" prompt="Length of fabric at its usual width. Measure the pattern layout, do not guess." sqref="G5:G84">
      <formula1>0</formula1>
      <formula2>100000</formula2>
    </dataValidation>
    <dataValidation type="decimal" allowBlank="1" showInputMessage="1" showErrorMessage="1" errorTitle="Check the value" error="Enter a number between 0 and 1." promptTitle="Layout waste" prompt="What the cutting layout wastes - 10 to 25% is normal, more on a directional print or a bias cut. Blank uses the Settings default." sqref="H5:H84">
      <formula1>0</formula1>
      <formula2>1</formula2>
    </dataValidation>
    <dataValidation type="list" allowBlank="1" showInputMessage="1" showErrorMessage="1" sqref="I5:I84">
      <formula1>MaterialIDs</formula1>
    </dataValidation>
    <dataValidation type="decimal" allowBlank="1" showInputMessage="1" showErrorMessage="1" errorTitle="Check the value" error="Enter a number between 0 and 100000." sqref="J5:J84">
      <formula1>0</formula1>
      <formula2>100000</formula2>
    </dataValidation>
    <dataValidation type="decimal" allowBlank="1" showInputMessage="1" showErrorMessage="1" errorTitle="Check the value" error="Enter a number between 0 and 10000." sqref="K5:K84">
      <formula1>0</formula1>
      <formula2>10000</formula2>
    </dataValidation>
    <dataValidation type="decimal" allowBlank="1" showInputMessage="1" showErrorMessage="1" errorTitle="Check the value" error="Enter a number between 0 and 10000." promptTitle="Thread" prompt="A reel is $3 and does ten garments. 30 cents is not nothing when the margin is thin." sqref="L5:L84">
      <formula1>0</formula1>
      <formula2>10000</formula2>
    </dataValidation>
    <dataValidation type="decimal" allowBlank="1" showInputMessage="1" showErrorMessage="1" errorTitle="Check the value" error="Enter a number between 0 and 10000." sqref="M5:M84">
      <formula1>0</formula1>
      <formula2>10000</formula2>
    </dataValidation>
    <dataValidation type="decimal" allowBlank="1" showInputMessage="1" showErrorMessage="1" errorTitle="Check the value" error="Enter a number between 0 and 10000." sqref="N5:N84">
      <formula1>0</formula1>
      <formula2>10000</formula2>
    </dataValidation>
    <dataValidation type="whole" allowBlank="1" showInputMessage="1" showErrorMessage="1" errorTitle="Check the value" error="Enter a number between 0 and 10000." promptTitle="Cutting minutes" prompt="Laying out, pinning, cutting. On a one-off this is often longer than the sewing." sqref="O5:O84">
      <formula1>0</formula1>
      <formula2>10000</formula2>
    </dataValidation>
    <dataValidation type="whole" allowBlank="1" showInputMessage="1" showErrorMessage="1" errorTitle="Check the value" error="Enter a number between 0 and 10000." sqref="P5:P84">
      <formula1>0</formula1>
      <formula2>10000</formula2>
    </dataValidation>
    <dataValidation type="whole" allowBlank="1" showInputMessage="1" showErrorMessage="1" errorTitle="Check the value" error="Enter a number between 0 and 10000." promptTitle="Finishing minutes" prompt="Hems, buttonholes, hand finishing, labels." sqref="Q5:Q84">
      <formula1>0</formula1>
      <formula2>10000</formula2>
    </dataValidation>
    <dataValidation type="whole" allowBlank="1" showInputMessage="1" showErrorMessage="1" errorTitle="Check the value" error="Enter a number between 0 and 10000." promptTitle="Pressing minutes" prompt="Pressing is sewing. Count it." sqref="R5:R84">
      <formula1>0</formula1>
      <formula2>10000</formula2>
    </dataValidation>
    <dataValidation type="whole" allowBlank="1" showInputMessage="1" showErrorMessage="1" errorTitle="Check the value" error="Enter a number between 0 and 10000." promptTitle="Fitting &amp; alterations" prompt="Made to measure work lives or dies on this number." sqref="S5:S84">
      <formula1>0</formula1>
      <formula2>10000</formula2>
    </dataValidation>
    <dataValidation type="decimal" allowBlank="1" showInputMessage="1" showErrorMessage="1" errorTitle="Check the value" error="Enter a number between 0 and 1000." sqref="T5:T84">
      <formula1>0</formula1>
      <formula2>1000</formula2>
    </dataValidation>
    <dataValidation type="decimal" allowBlank="1" showInputMessage="1" showErrorMessage="1" errorTitle="Check the value" error="Enter a number between 0 and 100000." sqref="U5:U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&amp;L&amp;"Calibri,Bold"&amp;12&amp;C&amp;"Calibri,Bold"&amp;11Clothing&amp;R&amp;"Calibri,Italic"&amp;9Handmade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5E7B5A"/>
    <pageSetUpPr fitToPage="1"/>
  </sheetPr>
  <dimension ref="A1:AU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16.7109375" style="15" customWidth="1"/>
    <col min="4" max="4" width="12.7109375" style="46" customWidth="1"/>
    <col min="5" max="5" width="13.7109375" style="21" customWidth="1"/>
    <col min="6" max="6" width="11.7109375" style="19" customWidth="1"/>
    <col min="7" max="7" width="12.7109375" style="46" customWidth="1"/>
    <col min="8" max="8" width="13.7109375" style="21" customWidth="1"/>
    <col min="9" max="9" width="11.7109375" style="18" customWidth="1"/>
    <col min="10" max="10" width="11.7109375" style="18" customWidth="1"/>
    <col min="11" max="11" width="16.7109375" style="15" customWidth="1"/>
    <col min="12" max="12" width="13.7109375" style="21" customWidth="1"/>
    <col min="13" max="13" width="12.7109375" style="53" customWidth="1"/>
    <col min="14" max="14" width="12.7109375" style="18" customWidth="1"/>
    <col min="15" max="15" width="12.7109375" style="16" customWidth="1"/>
    <col min="16" max="16" width="14.7109375" style="18" customWidth="1"/>
    <col min="17" max="17" width="12.7109375" style="16" customWidth="1"/>
    <col min="18" max="18" width="13.7109375" style="16" customWidth="1"/>
    <col min="19" max="19" width="12.7109375" style="16" customWidth="1"/>
    <col min="20" max="20" width="13.7109375" style="16" customWidth="1"/>
    <col min="21" max="21" width="10.7109375" style="16" customWidth="1"/>
    <col min="22" max="22" width="11.7109375" style="18" customWidth="1"/>
    <col min="23" max="23" width="11.7109375" style="18" customWidth="1"/>
    <col min="24" max="24" width="22.7109375" style="40" customWidth="1"/>
    <col min="25" max="25" width="9.7109375" style="33" hidden="1" customWidth="1"/>
    <col min="26" max="26" width="13.7109375" style="36" hidden="1" customWidth="1"/>
    <col min="27" max="27" width="11.7109375" style="20" customWidth="1"/>
    <col min="28" max="28" width="11.7109375" style="20" customWidth="1"/>
    <col min="29" max="29" width="11.7109375" style="20" customWidth="1"/>
    <col min="30" max="30" width="10.7109375" style="36" customWidth="1"/>
    <col min="31" max="31" width="11.7109375" style="20" hidden="1" customWidth="1"/>
    <col min="32" max="32" width="11.7109375" style="20" customWidth="1"/>
    <col min="33" max="33" width="11.7109375" style="20" customWidth="1"/>
    <col min="34" max="34" width="10.7109375" style="20" hidden="1" customWidth="1"/>
    <col min="35" max="35" width="13.7109375" style="20" hidden="1" customWidth="1"/>
    <col min="36" max="36" width="12.7109375" style="20" customWidth="1"/>
    <col min="37" max="37" width="9.7109375" style="33" hidden="1" customWidth="1"/>
    <col min="38" max="38" width="9.7109375" style="20" hidden="1" customWidth="1"/>
    <col min="39" max="39" width="9.7109375" style="41" hidden="1" customWidth="1"/>
    <col min="40" max="40" width="10.7109375" style="20" hidden="1" customWidth="1"/>
    <col min="41" max="41" width="13.7109375" style="20" customWidth="1"/>
    <col min="42" max="42" width="11.7109375" style="20" customWidth="1"/>
    <col min="43" max="43" width="11.7109375" style="20" customWidth="1"/>
    <col min="44" max="44" width="9.7109375" style="33" customWidth="1"/>
    <col min="45" max="45" width="9.7109375" style="41" hidden="1" customWidth="1"/>
    <col min="46" max="46" width="12.7109375" style="20" customWidth="1"/>
    <col min="47" max="47" width="30.7109375" style="43" customWidth="1"/>
  </cols>
  <sheetData>
    <row r="1" spans="1:47" ht="34" customHeight="1">
      <c r="A1" s="2" t="s">
        <v>1388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3" t="s">
        <v>1</v>
      </c>
      <c r="AT1" s="3"/>
      <c r="AU1" s="3"/>
    </row>
    <row r="2" spans="1:47" ht="18" customHeight="1">
      <c r="A2" s="4" t="s">
        <v>1389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spans="1:47"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1390</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row>
    <row r="4" spans="1:47" ht="30" customHeight="1">
      <c r="A4" s="8" t="s">
        <v>1229</v>
      </c>
      <c r="B4" s="8" t="s">
        <v>1230</v>
      </c>
      <c r="C4" s="9" t="s">
        <v>1391</v>
      </c>
      <c r="D4" s="9" t="s">
        <v>1392</v>
      </c>
      <c r="E4" s="9" t="s">
        <v>1393</v>
      </c>
      <c r="F4" s="9" t="s">
        <v>1394</v>
      </c>
      <c r="G4" s="9" t="s">
        <v>1395</v>
      </c>
      <c r="H4" s="9" t="s">
        <v>1396</v>
      </c>
      <c r="I4" s="9" t="s">
        <v>1397</v>
      </c>
      <c r="J4" s="9" t="s">
        <v>1398</v>
      </c>
      <c r="K4" s="9" t="s">
        <v>1399</v>
      </c>
      <c r="L4" s="9" t="s">
        <v>1400</v>
      </c>
      <c r="M4" s="9" t="s">
        <v>1401</v>
      </c>
      <c r="N4" s="9" t="s">
        <v>1402</v>
      </c>
      <c r="O4" s="9" t="s">
        <v>1403</v>
      </c>
      <c r="P4" s="9" t="s">
        <v>1404</v>
      </c>
      <c r="Q4" s="9" t="s">
        <v>1405</v>
      </c>
      <c r="R4" s="9" t="s">
        <v>1406</v>
      </c>
      <c r="S4" s="9" t="s">
        <v>1407</v>
      </c>
      <c r="T4" s="9" t="s">
        <v>1244</v>
      </c>
      <c r="U4" s="9" t="s">
        <v>1408</v>
      </c>
      <c r="V4" s="9" t="s">
        <v>767</v>
      </c>
      <c r="W4" s="9" t="s">
        <v>461</v>
      </c>
      <c r="X4" s="9" t="s">
        <v>466</v>
      </c>
      <c r="Y4" s="9" t="s">
        <v>588</v>
      </c>
      <c r="Z4" s="9" t="s">
        <v>1409</v>
      </c>
      <c r="AA4" s="9" t="s">
        <v>1410</v>
      </c>
      <c r="AB4" s="9" t="s">
        <v>1411</v>
      </c>
      <c r="AC4" s="9" t="s">
        <v>17</v>
      </c>
      <c r="AD4" s="9" t="s">
        <v>470</v>
      </c>
      <c r="AE4" s="9" t="s">
        <v>771</v>
      </c>
      <c r="AF4" s="9" t="s">
        <v>36</v>
      </c>
      <c r="AG4" s="9" t="s">
        <v>1412</v>
      </c>
      <c r="AH4" s="9" t="s">
        <v>1253</v>
      </c>
      <c r="AI4" s="9" t="s">
        <v>1413</v>
      </c>
      <c r="AJ4" s="9" t="s">
        <v>1145</v>
      </c>
      <c r="AK4" s="9" t="s">
        <v>443</v>
      </c>
      <c r="AL4" s="9" t="s">
        <v>481</v>
      </c>
      <c r="AM4" s="9" t="s">
        <v>1055</v>
      </c>
      <c r="AN4" s="9" t="s">
        <v>1255</v>
      </c>
      <c r="AO4" s="9" t="s">
        <v>487</v>
      </c>
      <c r="AP4" s="9" t="s">
        <v>488</v>
      </c>
      <c r="AQ4" s="9" t="s">
        <v>421</v>
      </c>
      <c r="AR4" s="9" t="s">
        <v>42</v>
      </c>
      <c r="AS4" s="9" t="s">
        <v>471</v>
      </c>
      <c r="AT4" s="9" t="s">
        <v>492</v>
      </c>
      <c r="AU4" s="9" t="s">
        <v>729</v>
      </c>
    </row>
    <row r="5" spans="1:47">
      <c r="A5" s="46" t="s">
        <v>1414</v>
      </c>
      <c r="B5" s="15" t="s">
        <v>549</v>
      </c>
      <c r="C5" s="15" t="s">
        <v>1415</v>
      </c>
      <c r="D5" s="46" t="s">
        <v>1416</v>
      </c>
      <c r="E5" s="21">
        <v>65</v>
      </c>
      <c r="F5" s="19">
        <v>0.22</v>
      </c>
      <c r="I5" s="18">
        <v>6.4</v>
      </c>
      <c r="J5" s="18">
        <v>0.6</v>
      </c>
      <c r="K5" s="15" t="s">
        <v>1417</v>
      </c>
      <c r="L5" s="21">
        <v>22</v>
      </c>
      <c r="M5" s="53">
        <v>0.064</v>
      </c>
      <c r="N5" s="18">
        <v>1.8</v>
      </c>
      <c r="O5" s="16">
        <v>18</v>
      </c>
      <c r="P5" s="18">
        <v>8</v>
      </c>
      <c r="Q5" s="16">
        <v>15</v>
      </c>
      <c r="R5" s="16">
        <v>25</v>
      </c>
      <c r="S5" s="16">
        <v>40</v>
      </c>
      <c r="T5" s="16">
        <v>25</v>
      </c>
      <c r="U5" s="16">
        <v>2</v>
      </c>
      <c r="X5" s="40" t="s">
        <v>1418</v>
      </c>
      <c r="Y5" s="33">
        <f>IF(B5="","",IF(F5="",DefaultWaste,F5))</f>
        <v>0</v>
      </c>
      <c r="Z5" s="36">
        <f>IF(B5="","",ROUND((IF(E5="",0,E5)+IF(H5="",0,H5))*(1+Y5),1))</f>
        <v>0</v>
      </c>
      <c r="AA5" s="20">
        <f>IF(B5="","",ROUND(IF(E5="",0,E5)*(1+Y5)*IFERROR(INDEX(Materials!$V$5:$V$254,MATCH(D5,Materials!$A$5:$A$254,0)),0)+IF(H5="",0,H5)*(1+Y5)*IFERROR(INDEX(Materials!$V$5:$V$254,MATCH(G5,Materials!$A$5:$A$254,0)),0),2))</f>
        <v>0</v>
      </c>
      <c r="AB5" s="20">
        <f>IF(B5="","",ROUND(IF(L5="",0,L5)*IF(M5="",0,M5),2))</f>
        <v>0</v>
      </c>
      <c r="AC5" s="20">
        <f>IF(B5="","",ROUND(AA5+AB5+IF(I5="",0,I5)+IF(J5="",0,J5)+IF(N5="",0,N5),2))</f>
        <v>0</v>
      </c>
      <c r="AD5" s="36">
        <f>IF(B5="","",IF(Q5="",0,Q5)+IF(R5="",0,R5)+IF(S5="",0,S5)+IF(T5="",0,T5))</f>
        <v>0</v>
      </c>
      <c r="AE5" s="20">
        <f>IF(B5="","",IF(V5&lt;&gt;"",V5,LaborCostHour))</f>
        <v>0</v>
      </c>
      <c r="AF5" s="20">
        <f>IF(B5="","",ROUND(AD5/60*AE5,2))</f>
        <v>0</v>
      </c>
      <c r="AG5" s="20">
        <f>IF(B5="","",ROUND(IF(O5="",0,O5)/60*IF(P5="",0,P5),2))</f>
        <v>0</v>
      </c>
      <c r="AH5" s="20">
        <f>IF(B5="","",ROUND(AG5+AD5/60*SuppliesPerHour,2))</f>
        <v>0</v>
      </c>
      <c r="AI5" s="20">
        <f>IF(B5="","",ROUND((IF(E5="",0,E5)*IFERROR(INDEX(Materials!$V$5:$V$254,MATCH(D5,Materials!$A$5:$A$254,0)),0)+IF(H5="",0,H5)*IFERROR(INDEX(Materials!$V$5:$V$254,MATCH(G5,Materials!$A$5:$A$254,0)),0))*Y5,2))</f>
        <v>0</v>
      </c>
      <c r="AJ5" s="20">
        <f>IF(B5="","",ROUND(AC5+AF5+AH5,2))</f>
        <v>0</v>
      </c>
      <c r="AK5" s="33">
        <f>IF(B5="","",IFERROR(INDEX(Channels!$S$5:$S$18,MATCH(DefaultChannel,Channels!$A$5:$A$18,0)),0))</f>
        <v>0</v>
      </c>
      <c r="AL5" s="20">
        <f>IF(B5="","",IFERROR(INDEX(Channels!$T$5:$T$18,MATCH(DefaultChannel,Channels!$A$5:$A$18,0)),0))</f>
        <v>0</v>
      </c>
      <c r="AM5" s="41">
        <f>IF(B5="","",1-TargetRetailMargin-AK5)</f>
        <v>0</v>
      </c>
      <c r="AN5" s="20">
        <f>IF(B5="","",IF(AM5&lt;=0,"",(AJ5+AL5)/AM5))</f>
        <v>0</v>
      </c>
      <c r="AO5" s="20">
        <f>IF(B5="","",IF(AN5="","Check the settings",ROUND(IF(RoundingRule="None",AN5,IF(RoundingRule="Nearest 0.99",MAX(0.99,CEILING(AN5,1)-0.01),IF(RoundingRule="Nearest 0.95",MAX(0.95,CEILING(AN5,1)-0.05),IF(RoundingRule="Nearest 0.50",CEILING(AN5,0.5),IF(RoundingRule="Nearest 1",CEILING(AN5,1),IF(RoundingRule="Nearest 5",CEILING(AN5,5),IF(RoundingRule="Up to whole 1",CEILING(AN5,1),IF(RoundingRule="Up to whole 5",CEILING(AN5,5),ROUND(AN5,2))))))))),2)))</f>
        <v>0</v>
      </c>
      <c r="AP5" s="20">
        <f>IF(B5="","",IF(W5&lt;&gt;"",W5,IF(ISNUMBER(AO5),AO5,"")))</f>
        <v>0</v>
      </c>
      <c r="AQ5" s="20">
        <f>IF(B5="","",IF(AP5="","",ROUND(AP5-AJ5-(AP5*AK5+AL5),2)))</f>
        <v>0</v>
      </c>
      <c r="AR5" s="33">
        <f>IF(B5="","",IF(OR(AP5="",AP5=0),"",AQ5/AP5))</f>
        <v>0</v>
      </c>
      <c r="AS5" s="41">
        <f>IF(B5="","",ROUND(AD5/60,3))</f>
        <v>0</v>
      </c>
      <c r="AT5" s="20">
        <f>IF(B5="","",IF(OR(AS5=0,AS5="",AQ5=""),"",ROUND((AQ5+AF5)/AS5,2)))</f>
        <v>0</v>
      </c>
      <c r="AU5" s="43">
        <f>IF(B5="","",IF(AND(A5&lt;&gt;"",ISERROR(MATCH(A5,Products!$A$5:$A$304,0))),"Check - no such product ID",IF(AC5=0,"Add - no material cost yet",IF(AD5=0,"Add - how long does it take?",IF(AND(A5&lt;&gt;"",COUNTIFS('Material Usage'!$A$5:$A$904,A5)&gt;0),"Check - this product also has a bill of materials",IF(AND(A5&lt;&gt;"",COUNTIFS(Labor!$A$5:$A$304,A5)&gt;0),"Check - this product also has labour lines",IF(AT5&lt;MinimumWage,"Below - pays under minimum wage","OK")))))) )</f>
        <v>0</v>
      </c>
    </row>
    <row r="6" spans="1:47">
      <c r="B6" s="15" t="s">
        <v>1419</v>
      </c>
      <c r="C6" s="15" t="s">
        <v>1420</v>
      </c>
      <c r="D6" s="46" t="s">
        <v>749</v>
      </c>
      <c r="E6" s="21">
        <v>95</v>
      </c>
      <c r="F6" s="19">
        <v>0.3</v>
      </c>
      <c r="I6" s="18">
        <v>11.8</v>
      </c>
      <c r="J6" s="18">
        <v>0.8</v>
      </c>
      <c r="K6" s="15" t="s">
        <v>1417</v>
      </c>
      <c r="L6" s="21">
        <v>34</v>
      </c>
      <c r="M6" s="53">
        <v>0.064</v>
      </c>
      <c r="N6" s="18">
        <v>2.6</v>
      </c>
      <c r="O6" s="16">
        <v>26</v>
      </c>
      <c r="P6" s="18">
        <v>8</v>
      </c>
      <c r="Q6" s="16">
        <v>25</v>
      </c>
      <c r="R6" s="16">
        <v>35</v>
      </c>
      <c r="S6" s="16">
        <v>55</v>
      </c>
      <c r="T6" s="16">
        <v>35</v>
      </c>
      <c r="U6" s="16">
        <v>2</v>
      </c>
      <c r="W6" s="18">
        <v>210</v>
      </c>
      <c r="X6" s="40" t="s">
        <v>1421</v>
      </c>
      <c r="Y6" s="33">
        <f>IF(B6="","",IF(F6="",DefaultWaste,F6))</f>
        <v>0</v>
      </c>
      <c r="Z6" s="36">
        <f>IF(B6="","",ROUND((IF(E6="",0,E6)+IF(H6="",0,H6))*(1+Y6),1))</f>
        <v>0</v>
      </c>
      <c r="AA6" s="20">
        <f>IF(B6="","",ROUND(IF(E6="",0,E6)*(1+Y6)*IFERROR(INDEX(Materials!$V$5:$V$254,MATCH(D6,Materials!$A$5:$A$254,0)),0)+IF(H6="",0,H6)*(1+Y6)*IFERROR(INDEX(Materials!$V$5:$V$254,MATCH(G6,Materials!$A$5:$A$254,0)),0),2))</f>
        <v>0</v>
      </c>
      <c r="AB6" s="20">
        <f>IF(B6="","",ROUND(IF(L6="",0,L6)*IF(M6="",0,M6),2))</f>
        <v>0</v>
      </c>
      <c r="AC6" s="20">
        <f>IF(B6="","",ROUND(AA6+AB6+IF(I6="",0,I6)+IF(J6="",0,J6)+IF(N6="",0,N6),2))</f>
        <v>0</v>
      </c>
      <c r="AD6" s="36">
        <f>IF(B6="","",IF(Q6="",0,Q6)+IF(R6="",0,R6)+IF(S6="",0,S6)+IF(T6="",0,T6))</f>
        <v>0</v>
      </c>
      <c r="AE6" s="20">
        <f>IF(B6="","",IF(V6&lt;&gt;"",V6,LaborCostHour))</f>
        <v>0</v>
      </c>
      <c r="AF6" s="20">
        <f>IF(B6="","",ROUND(AD6/60*AE6,2))</f>
        <v>0</v>
      </c>
      <c r="AG6" s="20">
        <f>IF(B6="","",ROUND(IF(O6="",0,O6)/60*IF(P6="",0,P6),2))</f>
        <v>0</v>
      </c>
      <c r="AH6" s="20">
        <f>IF(B6="","",ROUND(AG6+AD6/60*SuppliesPerHour,2))</f>
        <v>0</v>
      </c>
      <c r="AI6" s="20">
        <f>IF(B6="","",ROUND((IF(E6="",0,E6)*IFERROR(INDEX(Materials!$V$5:$V$254,MATCH(D6,Materials!$A$5:$A$254,0)),0)+IF(H6="",0,H6)*IFERROR(INDEX(Materials!$V$5:$V$254,MATCH(G6,Materials!$A$5:$A$254,0)),0))*Y6,2))</f>
        <v>0</v>
      </c>
      <c r="AJ6" s="20">
        <f>IF(B6="","",ROUND(AC6+AF6+AH6,2))</f>
        <v>0</v>
      </c>
      <c r="AK6" s="33">
        <f>IF(B6="","",IFERROR(INDEX(Channels!$S$5:$S$18,MATCH(DefaultChannel,Channels!$A$5:$A$18,0)),0))</f>
        <v>0</v>
      </c>
      <c r="AL6" s="20">
        <f>IF(B6="","",IFERROR(INDEX(Channels!$T$5:$T$18,MATCH(DefaultChannel,Channels!$A$5:$A$18,0)),0))</f>
        <v>0</v>
      </c>
      <c r="AM6" s="41">
        <f>IF(B6="","",1-TargetRetailMargin-AK6)</f>
        <v>0</v>
      </c>
      <c r="AN6" s="20">
        <f>IF(B6="","",IF(AM6&lt;=0,"",(AJ6+AL6)/AM6))</f>
        <v>0</v>
      </c>
      <c r="AO6" s="20">
        <f>IF(B6="","",IF(AN6="","Check the settings",ROUND(IF(RoundingRule="None",AN6,IF(RoundingRule="Nearest 0.99",MAX(0.99,CEILING(AN6,1)-0.01),IF(RoundingRule="Nearest 0.95",MAX(0.95,CEILING(AN6,1)-0.05),IF(RoundingRule="Nearest 0.50",CEILING(AN6,0.5),IF(RoundingRule="Nearest 1",CEILING(AN6,1),IF(RoundingRule="Nearest 5",CEILING(AN6,5),IF(RoundingRule="Up to whole 1",CEILING(AN6,1),IF(RoundingRule="Up to whole 5",CEILING(AN6,5),ROUND(AN6,2))))))))),2)))</f>
        <v>0</v>
      </c>
      <c r="AP6" s="20">
        <f>IF(B6="","",IF(W6&lt;&gt;"",W6,IF(ISNUMBER(AO6),AO6,"")))</f>
        <v>0</v>
      </c>
      <c r="AQ6" s="20">
        <f>IF(B6="","",IF(AP6="","",ROUND(AP6-AJ6-(AP6*AK6+AL6),2)))</f>
        <v>0</v>
      </c>
      <c r="AR6" s="33">
        <f>IF(B6="","",IF(OR(AP6="",AP6=0),"",AQ6/AP6))</f>
        <v>0</v>
      </c>
      <c r="AS6" s="41">
        <f>IF(B6="","",ROUND(AD6/60,3))</f>
        <v>0</v>
      </c>
      <c r="AT6" s="20">
        <f>IF(B6="","",IF(OR(AS6=0,AS6="",AQ6=""),"",ROUND((AQ6+AF6)/AS6,2)))</f>
        <v>0</v>
      </c>
      <c r="AU6" s="43">
        <f>IF(B6="","",IF(AND(A6&lt;&gt;"",ISERROR(MATCH(A6,Products!$A$5:$A$304,0))),"Check - no such product ID",IF(AC6=0,"Add - no material cost yet",IF(AD6=0,"Add - how long does it take?",IF(AND(A6&lt;&gt;"",COUNTIFS('Material Usage'!$A$5:$A$904,A6)&gt;0),"Check - this product also has a bill of materials",IF(AND(A6&lt;&gt;"",COUNTIFS(Labor!$A$5:$A$304,A6)&gt;0),"Check - this product also has labour lines",IF(AT6&lt;MinimumWage,"Below - pays under minimum wage","OK")))))) )</f>
        <v>0</v>
      </c>
    </row>
    <row r="7" spans="1:47">
      <c r="Y7" s="33">
        <f>IF(B7="","",IF(F7="",DefaultWaste,F7))</f>
        <v>0</v>
      </c>
      <c r="Z7" s="36">
        <f>IF(B7="","",ROUND((IF(E7="",0,E7)+IF(H7="",0,H7))*(1+Y7),1))</f>
        <v>0</v>
      </c>
      <c r="AA7" s="20">
        <f>IF(B7="","",ROUND(IF(E7="",0,E7)*(1+Y7)*IFERROR(INDEX(Materials!$V$5:$V$254,MATCH(D7,Materials!$A$5:$A$254,0)),0)+IF(H7="",0,H7)*(1+Y7)*IFERROR(INDEX(Materials!$V$5:$V$254,MATCH(G7,Materials!$A$5:$A$254,0)),0),2))</f>
        <v>0</v>
      </c>
      <c r="AB7" s="20">
        <f>IF(B7="","",ROUND(IF(L7="",0,L7)*IF(M7="",0,M7),2))</f>
        <v>0</v>
      </c>
      <c r="AC7" s="20">
        <f>IF(B7="","",ROUND(AA7+AB7+IF(I7="",0,I7)+IF(J7="",0,J7)+IF(N7="",0,N7),2))</f>
        <v>0</v>
      </c>
      <c r="AD7" s="36">
        <f>IF(B7="","",IF(Q7="",0,Q7)+IF(R7="",0,R7)+IF(S7="",0,S7)+IF(T7="",0,T7))</f>
        <v>0</v>
      </c>
      <c r="AE7" s="20">
        <f>IF(B7="","",IF(V7&lt;&gt;"",V7,LaborCostHour))</f>
        <v>0</v>
      </c>
      <c r="AF7" s="20">
        <f>IF(B7="","",ROUND(AD7/60*AE7,2))</f>
        <v>0</v>
      </c>
      <c r="AG7" s="20">
        <f>IF(B7="","",ROUND(IF(O7="",0,O7)/60*IF(P7="",0,P7),2))</f>
        <v>0</v>
      </c>
      <c r="AH7" s="20">
        <f>IF(B7="","",ROUND(AG7+AD7/60*SuppliesPerHour,2))</f>
        <v>0</v>
      </c>
      <c r="AI7" s="20">
        <f>IF(B7="","",ROUND((IF(E7="",0,E7)*IFERROR(INDEX(Materials!$V$5:$V$254,MATCH(D7,Materials!$A$5:$A$254,0)),0)+IF(H7="",0,H7)*IFERROR(INDEX(Materials!$V$5:$V$254,MATCH(G7,Materials!$A$5:$A$254,0)),0))*Y7,2))</f>
        <v>0</v>
      </c>
      <c r="AJ7" s="20">
        <f>IF(B7="","",ROUND(AC7+AF7+AH7,2))</f>
        <v>0</v>
      </c>
      <c r="AK7" s="33">
        <f>IF(B7="","",IFERROR(INDEX(Channels!$S$5:$S$18,MATCH(DefaultChannel,Channels!$A$5:$A$18,0)),0))</f>
        <v>0</v>
      </c>
      <c r="AL7" s="20">
        <f>IF(B7="","",IFERROR(INDEX(Channels!$T$5:$T$18,MATCH(DefaultChannel,Channels!$A$5:$A$18,0)),0))</f>
        <v>0</v>
      </c>
      <c r="AM7" s="41">
        <f>IF(B7="","",1-TargetRetailMargin-AK7)</f>
        <v>0</v>
      </c>
      <c r="AN7" s="20">
        <f>IF(B7="","",IF(AM7&lt;=0,"",(AJ7+AL7)/AM7))</f>
        <v>0</v>
      </c>
      <c r="AO7" s="20">
        <f>IF(B7="","",IF(AN7="","Check the settings",ROUND(IF(RoundingRule="None",AN7,IF(RoundingRule="Nearest 0.99",MAX(0.99,CEILING(AN7,1)-0.01),IF(RoundingRule="Nearest 0.95",MAX(0.95,CEILING(AN7,1)-0.05),IF(RoundingRule="Nearest 0.50",CEILING(AN7,0.5),IF(RoundingRule="Nearest 1",CEILING(AN7,1),IF(RoundingRule="Nearest 5",CEILING(AN7,5),IF(RoundingRule="Up to whole 1",CEILING(AN7,1),IF(RoundingRule="Up to whole 5",CEILING(AN7,5),ROUND(AN7,2))))))))),2)))</f>
        <v>0</v>
      </c>
      <c r="AP7" s="20">
        <f>IF(B7="","",IF(W7&lt;&gt;"",W7,IF(ISNUMBER(AO7),AO7,"")))</f>
        <v>0</v>
      </c>
      <c r="AQ7" s="20">
        <f>IF(B7="","",IF(AP7="","",ROUND(AP7-AJ7-(AP7*AK7+AL7),2)))</f>
        <v>0</v>
      </c>
      <c r="AR7" s="33">
        <f>IF(B7="","",IF(OR(AP7="",AP7=0),"",AQ7/AP7))</f>
        <v>0</v>
      </c>
      <c r="AS7" s="41">
        <f>IF(B7="","",ROUND(AD7/60,3))</f>
        <v>0</v>
      </c>
      <c r="AT7" s="20">
        <f>IF(B7="","",IF(OR(AS7=0,AS7="",AQ7=""),"",ROUND((AQ7+AF7)/AS7,2)))</f>
        <v>0</v>
      </c>
      <c r="AU7" s="43">
        <f>IF(B7="","",IF(AND(A7&lt;&gt;"",ISERROR(MATCH(A7,Products!$A$5:$A$304,0))),"Check - no such product ID",IF(AC7=0,"Add - no material cost yet",IF(AD7=0,"Add - how long does it take?",IF(AND(A7&lt;&gt;"",COUNTIFS('Material Usage'!$A$5:$A$904,A7)&gt;0),"Check - this product also has a bill of materials",IF(AND(A7&lt;&gt;"",COUNTIFS(Labor!$A$5:$A$304,A7)&gt;0),"Check - this product also has labour lines",IF(AT7&lt;MinimumWage,"Below - pays under minimum wage","OK")))))) )</f>
        <v>0</v>
      </c>
    </row>
    <row r="8" spans="1:47">
      <c r="Y8" s="33">
        <f>IF(B8="","",IF(F8="",DefaultWaste,F8))</f>
        <v>0</v>
      </c>
      <c r="Z8" s="36">
        <f>IF(B8="","",ROUND((IF(E8="",0,E8)+IF(H8="",0,H8))*(1+Y8),1))</f>
        <v>0</v>
      </c>
      <c r="AA8" s="20">
        <f>IF(B8="","",ROUND(IF(E8="",0,E8)*(1+Y8)*IFERROR(INDEX(Materials!$V$5:$V$254,MATCH(D8,Materials!$A$5:$A$254,0)),0)+IF(H8="",0,H8)*(1+Y8)*IFERROR(INDEX(Materials!$V$5:$V$254,MATCH(G8,Materials!$A$5:$A$254,0)),0),2))</f>
        <v>0</v>
      </c>
      <c r="AB8" s="20">
        <f>IF(B8="","",ROUND(IF(L8="",0,L8)*IF(M8="",0,M8),2))</f>
        <v>0</v>
      </c>
      <c r="AC8" s="20">
        <f>IF(B8="","",ROUND(AA8+AB8+IF(I8="",0,I8)+IF(J8="",0,J8)+IF(N8="",0,N8),2))</f>
        <v>0</v>
      </c>
      <c r="AD8" s="36">
        <f>IF(B8="","",IF(Q8="",0,Q8)+IF(R8="",0,R8)+IF(S8="",0,S8)+IF(T8="",0,T8))</f>
        <v>0</v>
      </c>
      <c r="AE8" s="20">
        <f>IF(B8="","",IF(V8&lt;&gt;"",V8,LaborCostHour))</f>
        <v>0</v>
      </c>
      <c r="AF8" s="20">
        <f>IF(B8="","",ROUND(AD8/60*AE8,2))</f>
        <v>0</v>
      </c>
      <c r="AG8" s="20">
        <f>IF(B8="","",ROUND(IF(O8="",0,O8)/60*IF(P8="",0,P8),2))</f>
        <v>0</v>
      </c>
      <c r="AH8" s="20">
        <f>IF(B8="","",ROUND(AG8+AD8/60*SuppliesPerHour,2))</f>
        <v>0</v>
      </c>
      <c r="AI8" s="20">
        <f>IF(B8="","",ROUND((IF(E8="",0,E8)*IFERROR(INDEX(Materials!$V$5:$V$254,MATCH(D8,Materials!$A$5:$A$254,0)),0)+IF(H8="",0,H8)*IFERROR(INDEX(Materials!$V$5:$V$254,MATCH(G8,Materials!$A$5:$A$254,0)),0))*Y8,2))</f>
        <v>0</v>
      </c>
      <c r="AJ8" s="20">
        <f>IF(B8="","",ROUND(AC8+AF8+AH8,2))</f>
        <v>0</v>
      </c>
      <c r="AK8" s="33">
        <f>IF(B8="","",IFERROR(INDEX(Channels!$S$5:$S$18,MATCH(DefaultChannel,Channels!$A$5:$A$18,0)),0))</f>
        <v>0</v>
      </c>
      <c r="AL8" s="20">
        <f>IF(B8="","",IFERROR(INDEX(Channels!$T$5:$T$18,MATCH(DefaultChannel,Channels!$A$5:$A$18,0)),0))</f>
        <v>0</v>
      </c>
      <c r="AM8" s="41">
        <f>IF(B8="","",1-TargetRetailMargin-AK8)</f>
        <v>0</v>
      </c>
      <c r="AN8" s="20">
        <f>IF(B8="","",IF(AM8&lt;=0,"",(AJ8+AL8)/AM8))</f>
        <v>0</v>
      </c>
      <c r="AO8" s="20">
        <f>IF(B8="","",IF(AN8="","Check the settings",ROUND(IF(RoundingRule="None",AN8,IF(RoundingRule="Nearest 0.99",MAX(0.99,CEILING(AN8,1)-0.01),IF(RoundingRule="Nearest 0.95",MAX(0.95,CEILING(AN8,1)-0.05),IF(RoundingRule="Nearest 0.50",CEILING(AN8,0.5),IF(RoundingRule="Nearest 1",CEILING(AN8,1),IF(RoundingRule="Nearest 5",CEILING(AN8,5),IF(RoundingRule="Up to whole 1",CEILING(AN8,1),IF(RoundingRule="Up to whole 5",CEILING(AN8,5),ROUND(AN8,2))))))))),2)))</f>
        <v>0</v>
      </c>
      <c r="AP8" s="20">
        <f>IF(B8="","",IF(W8&lt;&gt;"",W8,IF(ISNUMBER(AO8),AO8,"")))</f>
        <v>0</v>
      </c>
      <c r="AQ8" s="20">
        <f>IF(B8="","",IF(AP8="","",ROUND(AP8-AJ8-(AP8*AK8+AL8),2)))</f>
        <v>0</v>
      </c>
      <c r="AR8" s="33">
        <f>IF(B8="","",IF(OR(AP8="",AP8=0),"",AQ8/AP8))</f>
        <v>0</v>
      </c>
      <c r="AS8" s="41">
        <f>IF(B8="","",ROUND(AD8/60,3))</f>
        <v>0</v>
      </c>
      <c r="AT8" s="20">
        <f>IF(B8="","",IF(OR(AS8=0,AS8="",AQ8=""),"",ROUND((AQ8+AF8)/AS8,2)))</f>
        <v>0</v>
      </c>
      <c r="AU8" s="43">
        <f>IF(B8="","",IF(AND(A8&lt;&gt;"",ISERROR(MATCH(A8,Products!$A$5:$A$304,0))),"Check - no such product ID",IF(AC8=0,"Add - no material cost yet",IF(AD8=0,"Add - how long does it take?",IF(AND(A8&lt;&gt;"",COUNTIFS('Material Usage'!$A$5:$A$904,A8)&gt;0),"Check - this product also has a bill of materials",IF(AND(A8&lt;&gt;"",COUNTIFS(Labor!$A$5:$A$304,A8)&gt;0),"Check - this product also has labour lines",IF(AT8&lt;MinimumWage,"Below - pays under minimum wage","OK")))))) )</f>
        <v>0</v>
      </c>
    </row>
    <row r="9" spans="1:47">
      <c r="Y9" s="33">
        <f>IF(B9="","",IF(F9="",DefaultWaste,F9))</f>
        <v>0</v>
      </c>
      <c r="Z9" s="36">
        <f>IF(B9="","",ROUND((IF(E9="",0,E9)+IF(H9="",0,H9))*(1+Y9),1))</f>
        <v>0</v>
      </c>
      <c r="AA9" s="20">
        <f>IF(B9="","",ROUND(IF(E9="",0,E9)*(1+Y9)*IFERROR(INDEX(Materials!$V$5:$V$254,MATCH(D9,Materials!$A$5:$A$254,0)),0)+IF(H9="",0,H9)*(1+Y9)*IFERROR(INDEX(Materials!$V$5:$V$254,MATCH(G9,Materials!$A$5:$A$254,0)),0),2))</f>
        <v>0</v>
      </c>
      <c r="AB9" s="20">
        <f>IF(B9="","",ROUND(IF(L9="",0,L9)*IF(M9="",0,M9),2))</f>
        <v>0</v>
      </c>
      <c r="AC9" s="20">
        <f>IF(B9="","",ROUND(AA9+AB9+IF(I9="",0,I9)+IF(J9="",0,J9)+IF(N9="",0,N9),2))</f>
        <v>0</v>
      </c>
      <c r="AD9" s="36">
        <f>IF(B9="","",IF(Q9="",0,Q9)+IF(R9="",0,R9)+IF(S9="",0,S9)+IF(T9="",0,T9))</f>
        <v>0</v>
      </c>
      <c r="AE9" s="20">
        <f>IF(B9="","",IF(V9&lt;&gt;"",V9,LaborCostHour))</f>
        <v>0</v>
      </c>
      <c r="AF9" s="20">
        <f>IF(B9="","",ROUND(AD9/60*AE9,2))</f>
        <v>0</v>
      </c>
      <c r="AG9" s="20">
        <f>IF(B9="","",ROUND(IF(O9="",0,O9)/60*IF(P9="",0,P9),2))</f>
        <v>0</v>
      </c>
      <c r="AH9" s="20">
        <f>IF(B9="","",ROUND(AG9+AD9/60*SuppliesPerHour,2))</f>
        <v>0</v>
      </c>
      <c r="AI9" s="20">
        <f>IF(B9="","",ROUND((IF(E9="",0,E9)*IFERROR(INDEX(Materials!$V$5:$V$254,MATCH(D9,Materials!$A$5:$A$254,0)),0)+IF(H9="",0,H9)*IFERROR(INDEX(Materials!$V$5:$V$254,MATCH(G9,Materials!$A$5:$A$254,0)),0))*Y9,2))</f>
        <v>0</v>
      </c>
      <c r="AJ9" s="20">
        <f>IF(B9="","",ROUND(AC9+AF9+AH9,2))</f>
        <v>0</v>
      </c>
      <c r="AK9" s="33">
        <f>IF(B9="","",IFERROR(INDEX(Channels!$S$5:$S$18,MATCH(DefaultChannel,Channels!$A$5:$A$18,0)),0))</f>
        <v>0</v>
      </c>
      <c r="AL9" s="20">
        <f>IF(B9="","",IFERROR(INDEX(Channels!$T$5:$T$18,MATCH(DefaultChannel,Channels!$A$5:$A$18,0)),0))</f>
        <v>0</v>
      </c>
      <c r="AM9" s="41">
        <f>IF(B9="","",1-TargetRetailMargin-AK9)</f>
        <v>0</v>
      </c>
      <c r="AN9" s="20">
        <f>IF(B9="","",IF(AM9&lt;=0,"",(AJ9+AL9)/AM9))</f>
        <v>0</v>
      </c>
      <c r="AO9" s="20">
        <f>IF(B9="","",IF(AN9="","Check the settings",ROUND(IF(RoundingRule="None",AN9,IF(RoundingRule="Nearest 0.99",MAX(0.99,CEILING(AN9,1)-0.01),IF(RoundingRule="Nearest 0.95",MAX(0.95,CEILING(AN9,1)-0.05),IF(RoundingRule="Nearest 0.50",CEILING(AN9,0.5),IF(RoundingRule="Nearest 1",CEILING(AN9,1),IF(RoundingRule="Nearest 5",CEILING(AN9,5),IF(RoundingRule="Up to whole 1",CEILING(AN9,1),IF(RoundingRule="Up to whole 5",CEILING(AN9,5),ROUND(AN9,2))))))))),2)))</f>
        <v>0</v>
      </c>
      <c r="AP9" s="20">
        <f>IF(B9="","",IF(W9&lt;&gt;"",W9,IF(ISNUMBER(AO9),AO9,"")))</f>
        <v>0</v>
      </c>
      <c r="AQ9" s="20">
        <f>IF(B9="","",IF(AP9="","",ROUND(AP9-AJ9-(AP9*AK9+AL9),2)))</f>
        <v>0</v>
      </c>
      <c r="AR9" s="33">
        <f>IF(B9="","",IF(OR(AP9="",AP9=0),"",AQ9/AP9))</f>
        <v>0</v>
      </c>
      <c r="AS9" s="41">
        <f>IF(B9="","",ROUND(AD9/60,3))</f>
        <v>0</v>
      </c>
      <c r="AT9" s="20">
        <f>IF(B9="","",IF(OR(AS9=0,AS9="",AQ9=""),"",ROUND((AQ9+AF9)/AS9,2)))</f>
        <v>0</v>
      </c>
      <c r="AU9" s="43">
        <f>IF(B9="","",IF(AND(A9&lt;&gt;"",ISERROR(MATCH(A9,Products!$A$5:$A$304,0))),"Check - no such product ID",IF(AC9=0,"Add - no material cost yet",IF(AD9=0,"Add - how long does it take?",IF(AND(A9&lt;&gt;"",COUNTIFS('Material Usage'!$A$5:$A$904,A9)&gt;0),"Check - this product also has a bill of materials",IF(AND(A9&lt;&gt;"",COUNTIFS(Labor!$A$5:$A$304,A9)&gt;0),"Check - this product also has labour lines",IF(AT9&lt;MinimumWage,"Below - pays under minimum wage","OK")))))) )</f>
        <v>0</v>
      </c>
    </row>
    <row r="10" spans="1:47">
      <c r="Y10" s="33">
        <f>IF(B10="","",IF(F10="",DefaultWaste,F10))</f>
        <v>0</v>
      </c>
      <c r="Z10" s="36">
        <f>IF(B10="","",ROUND((IF(E10="",0,E10)+IF(H10="",0,H10))*(1+Y10),1))</f>
        <v>0</v>
      </c>
      <c r="AA10" s="20">
        <f>IF(B10="","",ROUND(IF(E10="",0,E10)*(1+Y10)*IFERROR(INDEX(Materials!$V$5:$V$254,MATCH(D10,Materials!$A$5:$A$254,0)),0)+IF(H10="",0,H10)*(1+Y10)*IFERROR(INDEX(Materials!$V$5:$V$254,MATCH(G10,Materials!$A$5:$A$254,0)),0),2))</f>
        <v>0</v>
      </c>
      <c r="AB10" s="20">
        <f>IF(B10="","",ROUND(IF(L10="",0,L10)*IF(M10="",0,M10),2))</f>
        <v>0</v>
      </c>
      <c r="AC10" s="20">
        <f>IF(B10="","",ROUND(AA10+AB10+IF(I10="",0,I10)+IF(J10="",0,J10)+IF(N10="",0,N10),2))</f>
        <v>0</v>
      </c>
      <c r="AD10" s="36">
        <f>IF(B10="","",IF(Q10="",0,Q10)+IF(R10="",0,R10)+IF(S10="",0,S10)+IF(T10="",0,T10))</f>
        <v>0</v>
      </c>
      <c r="AE10" s="20">
        <f>IF(B10="","",IF(V10&lt;&gt;"",V10,LaborCostHour))</f>
        <v>0</v>
      </c>
      <c r="AF10" s="20">
        <f>IF(B10="","",ROUND(AD10/60*AE10,2))</f>
        <v>0</v>
      </c>
      <c r="AG10" s="20">
        <f>IF(B10="","",ROUND(IF(O10="",0,O10)/60*IF(P10="",0,P10),2))</f>
        <v>0</v>
      </c>
      <c r="AH10" s="20">
        <f>IF(B10="","",ROUND(AG10+AD10/60*SuppliesPerHour,2))</f>
        <v>0</v>
      </c>
      <c r="AI10" s="20">
        <f>IF(B10="","",ROUND((IF(E10="",0,E10)*IFERROR(INDEX(Materials!$V$5:$V$254,MATCH(D10,Materials!$A$5:$A$254,0)),0)+IF(H10="",0,H10)*IFERROR(INDEX(Materials!$V$5:$V$254,MATCH(G10,Materials!$A$5:$A$254,0)),0))*Y10,2))</f>
        <v>0</v>
      </c>
      <c r="AJ10" s="20">
        <f>IF(B10="","",ROUND(AC10+AF10+AH10,2))</f>
        <v>0</v>
      </c>
      <c r="AK10" s="33">
        <f>IF(B10="","",IFERROR(INDEX(Channels!$S$5:$S$18,MATCH(DefaultChannel,Channels!$A$5:$A$18,0)),0))</f>
        <v>0</v>
      </c>
      <c r="AL10" s="20">
        <f>IF(B10="","",IFERROR(INDEX(Channels!$T$5:$T$18,MATCH(DefaultChannel,Channels!$A$5:$A$18,0)),0))</f>
        <v>0</v>
      </c>
      <c r="AM10" s="41">
        <f>IF(B10="","",1-TargetRetailMargin-AK10)</f>
        <v>0</v>
      </c>
      <c r="AN10" s="20">
        <f>IF(B10="","",IF(AM10&lt;=0,"",(AJ10+AL10)/AM10))</f>
        <v>0</v>
      </c>
      <c r="AO10" s="20">
        <f>IF(B10="","",IF(AN10="","Check the settings",ROUND(IF(RoundingRule="None",AN10,IF(RoundingRule="Nearest 0.99",MAX(0.99,CEILING(AN10,1)-0.01),IF(RoundingRule="Nearest 0.95",MAX(0.95,CEILING(AN10,1)-0.05),IF(RoundingRule="Nearest 0.50",CEILING(AN10,0.5),IF(RoundingRule="Nearest 1",CEILING(AN10,1),IF(RoundingRule="Nearest 5",CEILING(AN10,5),IF(RoundingRule="Up to whole 1",CEILING(AN10,1),IF(RoundingRule="Up to whole 5",CEILING(AN10,5),ROUND(AN10,2))))))))),2)))</f>
        <v>0</v>
      </c>
      <c r="AP10" s="20">
        <f>IF(B10="","",IF(W10&lt;&gt;"",W10,IF(ISNUMBER(AO10),AO10,"")))</f>
        <v>0</v>
      </c>
      <c r="AQ10" s="20">
        <f>IF(B10="","",IF(AP10="","",ROUND(AP10-AJ10-(AP10*AK10+AL10),2)))</f>
        <v>0</v>
      </c>
      <c r="AR10" s="33">
        <f>IF(B10="","",IF(OR(AP10="",AP10=0),"",AQ10/AP10))</f>
        <v>0</v>
      </c>
      <c r="AS10" s="41">
        <f>IF(B10="","",ROUND(AD10/60,3))</f>
        <v>0</v>
      </c>
      <c r="AT10" s="20">
        <f>IF(B10="","",IF(OR(AS10=0,AS10="",AQ10=""),"",ROUND((AQ10+AF10)/AS10,2)))</f>
        <v>0</v>
      </c>
      <c r="AU10" s="43">
        <f>IF(B10="","",IF(AND(A10&lt;&gt;"",ISERROR(MATCH(A10,Products!$A$5:$A$304,0))),"Check - no such product ID",IF(AC10=0,"Add - no material cost yet",IF(AD10=0,"Add - how long does it take?",IF(AND(A10&lt;&gt;"",COUNTIFS('Material Usage'!$A$5:$A$904,A10)&gt;0),"Check - this product also has a bill of materials",IF(AND(A10&lt;&gt;"",COUNTIFS(Labor!$A$5:$A$304,A10)&gt;0),"Check - this product also has labour lines",IF(AT10&lt;MinimumWage,"Below - pays under minimum wage","OK")))))) )</f>
        <v>0</v>
      </c>
    </row>
    <row r="11" spans="1:47">
      <c r="Y11" s="33">
        <f>IF(B11="","",IF(F11="",DefaultWaste,F11))</f>
        <v>0</v>
      </c>
      <c r="Z11" s="36">
        <f>IF(B11="","",ROUND((IF(E11="",0,E11)+IF(H11="",0,H11))*(1+Y11),1))</f>
        <v>0</v>
      </c>
      <c r="AA11" s="20">
        <f>IF(B11="","",ROUND(IF(E11="",0,E11)*(1+Y11)*IFERROR(INDEX(Materials!$V$5:$V$254,MATCH(D11,Materials!$A$5:$A$254,0)),0)+IF(H11="",0,H11)*(1+Y11)*IFERROR(INDEX(Materials!$V$5:$V$254,MATCH(G11,Materials!$A$5:$A$254,0)),0),2))</f>
        <v>0</v>
      </c>
      <c r="AB11" s="20">
        <f>IF(B11="","",ROUND(IF(L11="",0,L11)*IF(M11="",0,M11),2))</f>
        <v>0</v>
      </c>
      <c r="AC11" s="20">
        <f>IF(B11="","",ROUND(AA11+AB11+IF(I11="",0,I11)+IF(J11="",0,J11)+IF(N11="",0,N11),2))</f>
        <v>0</v>
      </c>
      <c r="AD11" s="36">
        <f>IF(B11="","",IF(Q11="",0,Q11)+IF(R11="",0,R11)+IF(S11="",0,S11)+IF(T11="",0,T11))</f>
        <v>0</v>
      </c>
      <c r="AE11" s="20">
        <f>IF(B11="","",IF(V11&lt;&gt;"",V11,LaborCostHour))</f>
        <v>0</v>
      </c>
      <c r="AF11" s="20">
        <f>IF(B11="","",ROUND(AD11/60*AE11,2))</f>
        <v>0</v>
      </c>
      <c r="AG11" s="20">
        <f>IF(B11="","",ROUND(IF(O11="",0,O11)/60*IF(P11="",0,P11),2))</f>
        <v>0</v>
      </c>
      <c r="AH11" s="20">
        <f>IF(B11="","",ROUND(AG11+AD11/60*SuppliesPerHour,2))</f>
        <v>0</v>
      </c>
      <c r="AI11" s="20">
        <f>IF(B11="","",ROUND((IF(E11="",0,E11)*IFERROR(INDEX(Materials!$V$5:$V$254,MATCH(D11,Materials!$A$5:$A$254,0)),0)+IF(H11="",0,H11)*IFERROR(INDEX(Materials!$V$5:$V$254,MATCH(G11,Materials!$A$5:$A$254,0)),0))*Y11,2))</f>
        <v>0</v>
      </c>
      <c r="AJ11" s="20">
        <f>IF(B11="","",ROUND(AC11+AF11+AH11,2))</f>
        <v>0</v>
      </c>
      <c r="AK11" s="33">
        <f>IF(B11="","",IFERROR(INDEX(Channels!$S$5:$S$18,MATCH(DefaultChannel,Channels!$A$5:$A$18,0)),0))</f>
        <v>0</v>
      </c>
      <c r="AL11" s="20">
        <f>IF(B11="","",IFERROR(INDEX(Channels!$T$5:$T$18,MATCH(DefaultChannel,Channels!$A$5:$A$18,0)),0))</f>
        <v>0</v>
      </c>
      <c r="AM11" s="41">
        <f>IF(B11="","",1-TargetRetailMargin-AK11)</f>
        <v>0</v>
      </c>
      <c r="AN11" s="20">
        <f>IF(B11="","",IF(AM11&lt;=0,"",(AJ11+AL11)/AM11))</f>
        <v>0</v>
      </c>
      <c r="AO11" s="20">
        <f>IF(B11="","",IF(AN11="","Check the settings",ROUND(IF(RoundingRule="None",AN11,IF(RoundingRule="Nearest 0.99",MAX(0.99,CEILING(AN11,1)-0.01),IF(RoundingRule="Nearest 0.95",MAX(0.95,CEILING(AN11,1)-0.05),IF(RoundingRule="Nearest 0.50",CEILING(AN11,0.5),IF(RoundingRule="Nearest 1",CEILING(AN11,1),IF(RoundingRule="Nearest 5",CEILING(AN11,5),IF(RoundingRule="Up to whole 1",CEILING(AN11,1),IF(RoundingRule="Up to whole 5",CEILING(AN11,5),ROUND(AN11,2))))))))),2)))</f>
        <v>0</v>
      </c>
      <c r="AP11" s="20">
        <f>IF(B11="","",IF(W11&lt;&gt;"",W11,IF(ISNUMBER(AO11),AO11,"")))</f>
        <v>0</v>
      </c>
      <c r="AQ11" s="20">
        <f>IF(B11="","",IF(AP11="","",ROUND(AP11-AJ11-(AP11*AK11+AL11),2)))</f>
        <v>0</v>
      </c>
      <c r="AR11" s="33">
        <f>IF(B11="","",IF(OR(AP11="",AP11=0),"",AQ11/AP11))</f>
        <v>0</v>
      </c>
      <c r="AS11" s="41">
        <f>IF(B11="","",ROUND(AD11/60,3))</f>
        <v>0</v>
      </c>
      <c r="AT11" s="20">
        <f>IF(B11="","",IF(OR(AS11=0,AS11="",AQ11=""),"",ROUND((AQ11+AF11)/AS11,2)))</f>
        <v>0</v>
      </c>
      <c r="AU11" s="43">
        <f>IF(B11="","",IF(AND(A11&lt;&gt;"",ISERROR(MATCH(A11,Products!$A$5:$A$304,0))),"Check - no such product ID",IF(AC11=0,"Add - no material cost yet",IF(AD11=0,"Add - how long does it take?",IF(AND(A11&lt;&gt;"",COUNTIFS('Material Usage'!$A$5:$A$904,A11)&gt;0),"Check - this product also has a bill of materials",IF(AND(A11&lt;&gt;"",COUNTIFS(Labor!$A$5:$A$304,A11)&gt;0),"Check - this product also has labour lines",IF(AT11&lt;MinimumWage,"Below - pays under minimum wage","OK")))))) )</f>
        <v>0</v>
      </c>
    </row>
    <row r="12" spans="1:47">
      <c r="Y12" s="33">
        <f>IF(B12="","",IF(F12="",DefaultWaste,F12))</f>
        <v>0</v>
      </c>
      <c r="Z12" s="36">
        <f>IF(B12="","",ROUND((IF(E12="",0,E12)+IF(H12="",0,H12))*(1+Y12),1))</f>
        <v>0</v>
      </c>
      <c r="AA12" s="20">
        <f>IF(B12="","",ROUND(IF(E12="",0,E12)*(1+Y12)*IFERROR(INDEX(Materials!$V$5:$V$254,MATCH(D12,Materials!$A$5:$A$254,0)),0)+IF(H12="",0,H12)*(1+Y12)*IFERROR(INDEX(Materials!$V$5:$V$254,MATCH(G12,Materials!$A$5:$A$254,0)),0),2))</f>
        <v>0</v>
      </c>
      <c r="AB12" s="20">
        <f>IF(B12="","",ROUND(IF(L12="",0,L12)*IF(M12="",0,M12),2))</f>
        <v>0</v>
      </c>
      <c r="AC12" s="20">
        <f>IF(B12="","",ROUND(AA12+AB12+IF(I12="",0,I12)+IF(J12="",0,J12)+IF(N12="",0,N12),2))</f>
        <v>0</v>
      </c>
      <c r="AD12" s="36">
        <f>IF(B12="","",IF(Q12="",0,Q12)+IF(R12="",0,R12)+IF(S12="",0,S12)+IF(T12="",0,T12))</f>
        <v>0</v>
      </c>
      <c r="AE12" s="20">
        <f>IF(B12="","",IF(V12&lt;&gt;"",V12,LaborCostHour))</f>
        <v>0</v>
      </c>
      <c r="AF12" s="20">
        <f>IF(B12="","",ROUND(AD12/60*AE12,2))</f>
        <v>0</v>
      </c>
      <c r="AG12" s="20">
        <f>IF(B12="","",ROUND(IF(O12="",0,O12)/60*IF(P12="",0,P12),2))</f>
        <v>0</v>
      </c>
      <c r="AH12" s="20">
        <f>IF(B12="","",ROUND(AG12+AD12/60*SuppliesPerHour,2))</f>
        <v>0</v>
      </c>
      <c r="AI12" s="20">
        <f>IF(B12="","",ROUND((IF(E12="",0,E12)*IFERROR(INDEX(Materials!$V$5:$V$254,MATCH(D12,Materials!$A$5:$A$254,0)),0)+IF(H12="",0,H12)*IFERROR(INDEX(Materials!$V$5:$V$254,MATCH(G12,Materials!$A$5:$A$254,0)),0))*Y12,2))</f>
        <v>0</v>
      </c>
      <c r="AJ12" s="20">
        <f>IF(B12="","",ROUND(AC12+AF12+AH12,2))</f>
        <v>0</v>
      </c>
      <c r="AK12" s="33">
        <f>IF(B12="","",IFERROR(INDEX(Channels!$S$5:$S$18,MATCH(DefaultChannel,Channels!$A$5:$A$18,0)),0))</f>
        <v>0</v>
      </c>
      <c r="AL12" s="20">
        <f>IF(B12="","",IFERROR(INDEX(Channels!$T$5:$T$18,MATCH(DefaultChannel,Channels!$A$5:$A$18,0)),0))</f>
        <v>0</v>
      </c>
      <c r="AM12" s="41">
        <f>IF(B12="","",1-TargetRetailMargin-AK12)</f>
        <v>0</v>
      </c>
      <c r="AN12" s="20">
        <f>IF(B12="","",IF(AM12&lt;=0,"",(AJ12+AL12)/AM12))</f>
        <v>0</v>
      </c>
      <c r="AO12" s="20">
        <f>IF(B12="","",IF(AN12="","Check the settings",ROUND(IF(RoundingRule="None",AN12,IF(RoundingRule="Nearest 0.99",MAX(0.99,CEILING(AN12,1)-0.01),IF(RoundingRule="Nearest 0.95",MAX(0.95,CEILING(AN12,1)-0.05),IF(RoundingRule="Nearest 0.50",CEILING(AN12,0.5),IF(RoundingRule="Nearest 1",CEILING(AN12,1),IF(RoundingRule="Nearest 5",CEILING(AN12,5),IF(RoundingRule="Up to whole 1",CEILING(AN12,1),IF(RoundingRule="Up to whole 5",CEILING(AN12,5),ROUND(AN12,2))))))))),2)))</f>
        <v>0</v>
      </c>
      <c r="AP12" s="20">
        <f>IF(B12="","",IF(W12&lt;&gt;"",W12,IF(ISNUMBER(AO12),AO12,"")))</f>
        <v>0</v>
      </c>
      <c r="AQ12" s="20">
        <f>IF(B12="","",IF(AP12="","",ROUND(AP12-AJ12-(AP12*AK12+AL12),2)))</f>
        <v>0</v>
      </c>
      <c r="AR12" s="33">
        <f>IF(B12="","",IF(OR(AP12="",AP12=0),"",AQ12/AP12))</f>
        <v>0</v>
      </c>
      <c r="AS12" s="41">
        <f>IF(B12="","",ROUND(AD12/60,3))</f>
        <v>0</v>
      </c>
      <c r="AT12" s="20">
        <f>IF(B12="","",IF(OR(AS12=0,AS12="",AQ12=""),"",ROUND((AQ12+AF12)/AS12,2)))</f>
        <v>0</v>
      </c>
      <c r="AU12" s="43">
        <f>IF(B12="","",IF(AND(A12&lt;&gt;"",ISERROR(MATCH(A12,Products!$A$5:$A$304,0))),"Check - no such product ID",IF(AC12=0,"Add - no material cost yet",IF(AD12=0,"Add - how long does it take?",IF(AND(A12&lt;&gt;"",COUNTIFS('Material Usage'!$A$5:$A$904,A12)&gt;0),"Check - this product also has a bill of materials",IF(AND(A12&lt;&gt;"",COUNTIFS(Labor!$A$5:$A$304,A12)&gt;0),"Check - this product also has labour lines",IF(AT12&lt;MinimumWage,"Below - pays under minimum wage","OK")))))) )</f>
        <v>0</v>
      </c>
    </row>
    <row r="13" spans="1:47">
      <c r="Y13" s="33">
        <f>IF(B13="","",IF(F13="",DefaultWaste,F13))</f>
        <v>0</v>
      </c>
      <c r="Z13" s="36">
        <f>IF(B13="","",ROUND((IF(E13="",0,E13)+IF(H13="",0,H13))*(1+Y13),1))</f>
        <v>0</v>
      </c>
      <c r="AA13" s="20">
        <f>IF(B13="","",ROUND(IF(E13="",0,E13)*(1+Y13)*IFERROR(INDEX(Materials!$V$5:$V$254,MATCH(D13,Materials!$A$5:$A$254,0)),0)+IF(H13="",0,H13)*(1+Y13)*IFERROR(INDEX(Materials!$V$5:$V$254,MATCH(G13,Materials!$A$5:$A$254,0)),0),2))</f>
        <v>0</v>
      </c>
      <c r="AB13" s="20">
        <f>IF(B13="","",ROUND(IF(L13="",0,L13)*IF(M13="",0,M13),2))</f>
        <v>0</v>
      </c>
      <c r="AC13" s="20">
        <f>IF(B13="","",ROUND(AA13+AB13+IF(I13="",0,I13)+IF(J13="",0,J13)+IF(N13="",0,N13),2))</f>
        <v>0</v>
      </c>
      <c r="AD13" s="36">
        <f>IF(B13="","",IF(Q13="",0,Q13)+IF(R13="",0,R13)+IF(S13="",0,S13)+IF(T13="",0,T13))</f>
        <v>0</v>
      </c>
      <c r="AE13" s="20">
        <f>IF(B13="","",IF(V13&lt;&gt;"",V13,LaborCostHour))</f>
        <v>0</v>
      </c>
      <c r="AF13" s="20">
        <f>IF(B13="","",ROUND(AD13/60*AE13,2))</f>
        <v>0</v>
      </c>
      <c r="AG13" s="20">
        <f>IF(B13="","",ROUND(IF(O13="",0,O13)/60*IF(P13="",0,P13),2))</f>
        <v>0</v>
      </c>
      <c r="AH13" s="20">
        <f>IF(B13="","",ROUND(AG13+AD13/60*SuppliesPerHour,2))</f>
        <v>0</v>
      </c>
      <c r="AI13" s="20">
        <f>IF(B13="","",ROUND((IF(E13="",0,E13)*IFERROR(INDEX(Materials!$V$5:$V$254,MATCH(D13,Materials!$A$5:$A$254,0)),0)+IF(H13="",0,H13)*IFERROR(INDEX(Materials!$V$5:$V$254,MATCH(G13,Materials!$A$5:$A$254,0)),0))*Y13,2))</f>
        <v>0</v>
      </c>
      <c r="AJ13" s="20">
        <f>IF(B13="","",ROUND(AC13+AF13+AH13,2))</f>
        <v>0</v>
      </c>
      <c r="AK13" s="33">
        <f>IF(B13="","",IFERROR(INDEX(Channels!$S$5:$S$18,MATCH(DefaultChannel,Channels!$A$5:$A$18,0)),0))</f>
        <v>0</v>
      </c>
      <c r="AL13" s="20">
        <f>IF(B13="","",IFERROR(INDEX(Channels!$T$5:$T$18,MATCH(DefaultChannel,Channels!$A$5:$A$18,0)),0))</f>
        <v>0</v>
      </c>
      <c r="AM13" s="41">
        <f>IF(B13="","",1-TargetRetailMargin-AK13)</f>
        <v>0</v>
      </c>
      <c r="AN13" s="20">
        <f>IF(B13="","",IF(AM13&lt;=0,"",(AJ13+AL13)/AM13))</f>
        <v>0</v>
      </c>
      <c r="AO13" s="20">
        <f>IF(B13="","",IF(AN13="","Check the settings",ROUND(IF(RoundingRule="None",AN13,IF(RoundingRule="Nearest 0.99",MAX(0.99,CEILING(AN13,1)-0.01),IF(RoundingRule="Nearest 0.95",MAX(0.95,CEILING(AN13,1)-0.05),IF(RoundingRule="Nearest 0.50",CEILING(AN13,0.5),IF(RoundingRule="Nearest 1",CEILING(AN13,1),IF(RoundingRule="Nearest 5",CEILING(AN13,5),IF(RoundingRule="Up to whole 1",CEILING(AN13,1),IF(RoundingRule="Up to whole 5",CEILING(AN13,5),ROUND(AN13,2))))))))),2)))</f>
        <v>0</v>
      </c>
      <c r="AP13" s="20">
        <f>IF(B13="","",IF(W13&lt;&gt;"",W13,IF(ISNUMBER(AO13),AO13,"")))</f>
        <v>0</v>
      </c>
      <c r="AQ13" s="20">
        <f>IF(B13="","",IF(AP13="","",ROUND(AP13-AJ13-(AP13*AK13+AL13),2)))</f>
        <v>0</v>
      </c>
      <c r="AR13" s="33">
        <f>IF(B13="","",IF(OR(AP13="",AP13=0),"",AQ13/AP13))</f>
        <v>0</v>
      </c>
      <c r="AS13" s="41">
        <f>IF(B13="","",ROUND(AD13/60,3))</f>
        <v>0</v>
      </c>
      <c r="AT13" s="20">
        <f>IF(B13="","",IF(OR(AS13=0,AS13="",AQ13=""),"",ROUND((AQ13+AF13)/AS13,2)))</f>
        <v>0</v>
      </c>
      <c r="AU13" s="43">
        <f>IF(B13="","",IF(AND(A13&lt;&gt;"",ISERROR(MATCH(A13,Products!$A$5:$A$304,0))),"Check - no such product ID",IF(AC13=0,"Add - no material cost yet",IF(AD13=0,"Add - how long does it take?",IF(AND(A13&lt;&gt;"",COUNTIFS('Material Usage'!$A$5:$A$904,A13)&gt;0),"Check - this product also has a bill of materials",IF(AND(A13&lt;&gt;"",COUNTIFS(Labor!$A$5:$A$304,A13)&gt;0),"Check - this product also has labour lines",IF(AT13&lt;MinimumWage,"Below - pays under minimum wage","OK")))))) )</f>
        <v>0</v>
      </c>
    </row>
    <row r="14" spans="1:47">
      <c r="Y14" s="33">
        <f>IF(B14="","",IF(F14="",DefaultWaste,F14))</f>
        <v>0</v>
      </c>
      <c r="Z14" s="36">
        <f>IF(B14="","",ROUND((IF(E14="",0,E14)+IF(H14="",0,H14))*(1+Y14),1))</f>
        <v>0</v>
      </c>
      <c r="AA14" s="20">
        <f>IF(B14="","",ROUND(IF(E14="",0,E14)*(1+Y14)*IFERROR(INDEX(Materials!$V$5:$V$254,MATCH(D14,Materials!$A$5:$A$254,0)),0)+IF(H14="",0,H14)*(1+Y14)*IFERROR(INDEX(Materials!$V$5:$V$254,MATCH(G14,Materials!$A$5:$A$254,0)),0),2))</f>
        <v>0</v>
      </c>
      <c r="AB14" s="20">
        <f>IF(B14="","",ROUND(IF(L14="",0,L14)*IF(M14="",0,M14),2))</f>
        <v>0</v>
      </c>
      <c r="AC14" s="20">
        <f>IF(B14="","",ROUND(AA14+AB14+IF(I14="",0,I14)+IF(J14="",0,J14)+IF(N14="",0,N14),2))</f>
        <v>0</v>
      </c>
      <c r="AD14" s="36">
        <f>IF(B14="","",IF(Q14="",0,Q14)+IF(R14="",0,R14)+IF(S14="",0,S14)+IF(T14="",0,T14))</f>
        <v>0</v>
      </c>
      <c r="AE14" s="20">
        <f>IF(B14="","",IF(V14&lt;&gt;"",V14,LaborCostHour))</f>
        <v>0</v>
      </c>
      <c r="AF14" s="20">
        <f>IF(B14="","",ROUND(AD14/60*AE14,2))</f>
        <v>0</v>
      </c>
      <c r="AG14" s="20">
        <f>IF(B14="","",ROUND(IF(O14="",0,O14)/60*IF(P14="",0,P14),2))</f>
        <v>0</v>
      </c>
      <c r="AH14" s="20">
        <f>IF(B14="","",ROUND(AG14+AD14/60*SuppliesPerHour,2))</f>
        <v>0</v>
      </c>
      <c r="AI14" s="20">
        <f>IF(B14="","",ROUND((IF(E14="",0,E14)*IFERROR(INDEX(Materials!$V$5:$V$254,MATCH(D14,Materials!$A$5:$A$254,0)),0)+IF(H14="",0,H14)*IFERROR(INDEX(Materials!$V$5:$V$254,MATCH(G14,Materials!$A$5:$A$254,0)),0))*Y14,2))</f>
        <v>0</v>
      </c>
      <c r="AJ14" s="20">
        <f>IF(B14="","",ROUND(AC14+AF14+AH14,2))</f>
        <v>0</v>
      </c>
      <c r="AK14" s="33">
        <f>IF(B14="","",IFERROR(INDEX(Channels!$S$5:$S$18,MATCH(DefaultChannel,Channels!$A$5:$A$18,0)),0))</f>
        <v>0</v>
      </c>
      <c r="AL14" s="20">
        <f>IF(B14="","",IFERROR(INDEX(Channels!$T$5:$T$18,MATCH(DefaultChannel,Channels!$A$5:$A$18,0)),0))</f>
        <v>0</v>
      </c>
      <c r="AM14" s="41">
        <f>IF(B14="","",1-TargetRetailMargin-AK14)</f>
        <v>0</v>
      </c>
      <c r="AN14" s="20">
        <f>IF(B14="","",IF(AM14&lt;=0,"",(AJ14+AL14)/AM14))</f>
        <v>0</v>
      </c>
      <c r="AO14" s="20">
        <f>IF(B14="","",IF(AN14="","Check the settings",ROUND(IF(RoundingRule="None",AN14,IF(RoundingRule="Nearest 0.99",MAX(0.99,CEILING(AN14,1)-0.01),IF(RoundingRule="Nearest 0.95",MAX(0.95,CEILING(AN14,1)-0.05),IF(RoundingRule="Nearest 0.50",CEILING(AN14,0.5),IF(RoundingRule="Nearest 1",CEILING(AN14,1),IF(RoundingRule="Nearest 5",CEILING(AN14,5),IF(RoundingRule="Up to whole 1",CEILING(AN14,1),IF(RoundingRule="Up to whole 5",CEILING(AN14,5),ROUND(AN14,2))))))))),2)))</f>
        <v>0</v>
      </c>
      <c r="AP14" s="20">
        <f>IF(B14="","",IF(W14&lt;&gt;"",W14,IF(ISNUMBER(AO14),AO14,"")))</f>
        <v>0</v>
      </c>
      <c r="AQ14" s="20">
        <f>IF(B14="","",IF(AP14="","",ROUND(AP14-AJ14-(AP14*AK14+AL14),2)))</f>
        <v>0</v>
      </c>
      <c r="AR14" s="33">
        <f>IF(B14="","",IF(OR(AP14="",AP14=0),"",AQ14/AP14))</f>
        <v>0</v>
      </c>
      <c r="AS14" s="41">
        <f>IF(B14="","",ROUND(AD14/60,3))</f>
        <v>0</v>
      </c>
      <c r="AT14" s="20">
        <f>IF(B14="","",IF(OR(AS14=0,AS14="",AQ14=""),"",ROUND((AQ14+AF14)/AS14,2)))</f>
        <v>0</v>
      </c>
      <c r="AU14" s="43">
        <f>IF(B14="","",IF(AND(A14&lt;&gt;"",ISERROR(MATCH(A14,Products!$A$5:$A$304,0))),"Check - no such product ID",IF(AC14=0,"Add - no material cost yet",IF(AD14=0,"Add - how long does it take?",IF(AND(A14&lt;&gt;"",COUNTIFS('Material Usage'!$A$5:$A$904,A14)&gt;0),"Check - this product also has a bill of materials",IF(AND(A14&lt;&gt;"",COUNTIFS(Labor!$A$5:$A$304,A14)&gt;0),"Check - this product also has labour lines",IF(AT14&lt;MinimumWage,"Below - pays under minimum wage","OK")))))) )</f>
        <v>0</v>
      </c>
    </row>
    <row r="15" spans="1:47">
      <c r="Y15" s="33">
        <f>IF(B15="","",IF(F15="",DefaultWaste,F15))</f>
        <v>0</v>
      </c>
      <c r="Z15" s="36">
        <f>IF(B15="","",ROUND((IF(E15="",0,E15)+IF(H15="",0,H15))*(1+Y15),1))</f>
        <v>0</v>
      </c>
      <c r="AA15" s="20">
        <f>IF(B15="","",ROUND(IF(E15="",0,E15)*(1+Y15)*IFERROR(INDEX(Materials!$V$5:$V$254,MATCH(D15,Materials!$A$5:$A$254,0)),0)+IF(H15="",0,H15)*(1+Y15)*IFERROR(INDEX(Materials!$V$5:$V$254,MATCH(G15,Materials!$A$5:$A$254,0)),0),2))</f>
        <v>0</v>
      </c>
      <c r="AB15" s="20">
        <f>IF(B15="","",ROUND(IF(L15="",0,L15)*IF(M15="",0,M15),2))</f>
        <v>0</v>
      </c>
      <c r="AC15" s="20">
        <f>IF(B15="","",ROUND(AA15+AB15+IF(I15="",0,I15)+IF(J15="",0,J15)+IF(N15="",0,N15),2))</f>
        <v>0</v>
      </c>
      <c r="AD15" s="36">
        <f>IF(B15="","",IF(Q15="",0,Q15)+IF(R15="",0,R15)+IF(S15="",0,S15)+IF(T15="",0,T15))</f>
        <v>0</v>
      </c>
      <c r="AE15" s="20">
        <f>IF(B15="","",IF(V15&lt;&gt;"",V15,LaborCostHour))</f>
        <v>0</v>
      </c>
      <c r="AF15" s="20">
        <f>IF(B15="","",ROUND(AD15/60*AE15,2))</f>
        <v>0</v>
      </c>
      <c r="AG15" s="20">
        <f>IF(B15="","",ROUND(IF(O15="",0,O15)/60*IF(P15="",0,P15),2))</f>
        <v>0</v>
      </c>
      <c r="AH15" s="20">
        <f>IF(B15="","",ROUND(AG15+AD15/60*SuppliesPerHour,2))</f>
        <v>0</v>
      </c>
      <c r="AI15" s="20">
        <f>IF(B15="","",ROUND((IF(E15="",0,E15)*IFERROR(INDEX(Materials!$V$5:$V$254,MATCH(D15,Materials!$A$5:$A$254,0)),0)+IF(H15="",0,H15)*IFERROR(INDEX(Materials!$V$5:$V$254,MATCH(G15,Materials!$A$5:$A$254,0)),0))*Y15,2))</f>
        <v>0</v>
      </c>
      <c r="AJ15" s="20">
        <f>IF(B15="","",ROUND(AC15+AF15+AH15,2))</f>
        <v>0</v>
      </c>
      <c r="AK15" s="33">
        <f>IF(B15="","",IFERROR(INDEX(Channels!$S$5:$S$18,MATCH(DefaultChannel,Channels!$A$5:$A$18,0)),0))</f>
        <v>0</v>
      </c>
      <c r="AL15" s="20">
        <f>IF(B15="","",IFERROR(INDEX(Channels!$T$5:$T$18,MATCH(DefaultChannel,Channels!$A$5:$A$18,0)),0))</f>
        <v>0</v>
      </c>
      <c r="AM15" s="41">
        <f>IF(B15="","",1-TargetRetailMargin-AK15)</f>
        <v>0</v>
      </c>
      <c r="AN15" s="20">
        <f>IF(B15="","",IF(AM15&lt;=0,"",(AJ15+AL15)/AM15))</f>
        <v>0</v>
      </c>
      <c r="AO15" s="20">
        <f>IF(B15="","",IF(AN15="","Check the settings",ROUND(IF(RoundingRule="None",AN15,IF(RoundingRule="Nearest 0.99",MAX(0.99,CEILING(AN15,1)-0.01),IF(RoundingRule="Nearest 0.95",MAX(0.95,CEILING(AN15,1)-0.05),IF(RoundingRule="Nearest 0.50",CEILING(AN15,0.5),IF(RoundingRule="Nearest 1",CEILING(AN15,1),IF(RoundingRule="Nearest 5",CEILING(AN15,5),IF(RoundingRule="Up to whole 1",CEILING(AN15,1),IF(RoundingRule="Up to whole 5",CEILING(AN15,5),ROUND(AN15,2))))))))),2)))</f>
        <v>0</v>
      </c>
      <c r="AP15" s="20">
        <f>IF(B15="","",IF(W15&lt;&gt;"",W15,IF(ISNUMBER(AO15),AO15,"")))</f>
        <v>0</v>
      </c>
      <c r="AQ15" s="20">
        <f>IF(B15="","",IF(AP15="","",ROUND(AP15-AJ15-(AP15*AK15+AL15),2)))</f>
        <v>0</v>
      </c>
      <c r="AR15" s="33">
        <f>IF(B15="","",IF(OR(AP15="",AP15=0),"",AQ15/AP15))</f>
        <v>0</v>
      </c>
      <c r="AS15" s="41">
        <f>IF(B15="","",ROUND(AD15/60,3))</f>
        <v>0</v>
      </c>
      <c r="AT15" s="20">
        <f>IF(B15="","",IF(OR(AS15=0,AS15="",AQ15=""),"",ROUND((AQ15+AF15)/AS15,2)))</f>
        <v>0</v>
      </c>
      <c r="AU15" s="43">
        <f>IF(B15="","",IF(AND(A15&lt;&gt;"",ISERROR(MATCH(A15,Products!$A$5:$A$304,0))),"Check - no such product ID",IF(AC15=0,"Add - no material cost yet",IF(AD15=0,"Add - how long does it take?",IF(AND(A15&lt;&gt;"",COUNTIFS('Material Usage'!$A$5:$A$904,A15)&gt;0),"Check - this product also has a bill of materials",IF(AND(A15&lt;&gt;"",COUNTIFS(Labor!$A$5:$A$304,A15)&gt;0),"Check - this product also has labour lines",IF(AT15&lt;MinimumWage,"Below - pays under minimum wage","OK")))))) )</f>
        <v>0</v>
      </c>
    </row>
    <row r="16" spans="1:47">
      <c r="Y16" s="33">
        <f>IF(B16="","",IF(F16="",DefaultWaste,F16))</f>
        <v>0</v>
      </c>
      <c r="Z16" s="36">
        <f>IF(B16="","",ROUND((IF(E16="",0,E16)+IF(H16="",0,H16))*(1+Y16),1))</f>
        <v>0</v>
      </c>
      <c r="AA16" s="20">
        <f>IF(B16="","",ROUND(IF(E16="",0,E16)*(1+Y16)*IFERROR(INDEX(Materials!$V$5:$V$254,MATCH(D16,Materials!$A$5:$A$254,0)),0)+IF(H16="",0,H16)*(1+Y16)*IFERROR(INDEX(Materials!$V$5:$V$254,MATCH(G16,Materials!$A$5:$A$254,0)),0),2))</f>
        <v>0</v>
      </c>
      <c r="AB16" s="20">
        <f>IF(B16="","",ROUND(IF(L16="",0,L16)*IF(M16="",0,M16),2))</f>
        <v>0</v>
      </c>
      <c r="AC16" s="20">
        <f>IF(B16="","",ROUND(AA16+AB16+IF(I16="",0,I16)+IF(J16="",0,J16)+IF(N16="",0,N16),2))</f>
        <v>0</v>
      </c>
      <c r="AD16" s="36">
        <f>IF(B16="","",IF(Q16="",0,Q16)+IF(R16="",0,R16)+IF(S16="",0,S16)+IF(T16="",0,T16))</f>
        <v>0</v>
      </c>
      <c r="AE16" s="20">
        <f>IF(B16="","",IF(V16&lt;&gt;"",V16,LaborCostHour))</f>
        <v>0</v>
      </c>
      <c r="AF16" s="20">
        <f>IF(B16="","",ROUND(AD16/60*AE16,2))</f>
        <v>0</v>
      </c>
      <c r="AG16" s="20">
        <f>IF(B16="","",ROUND(IF(O16="",0,O16)/60*IF(P16="",0,P16),2))</f>
        <v>0</v>
      </c>
      <c r="AH16" s="20">
        <f>IF(B16="","",ROUND(AG16+AD16/60*SuppliesPerHour,2))</f>
        <v>0</v>
      </c>
      <c r="AI16" s="20">
        <f>IF(B16="","",ROUND((IF(E16="",0,E16)*IFERROR(INDEX(Materials!$V$5:$V$254,MATCH(D16,Materials!$A$5:$A$254,0)),0)+IF(H16="",0,H16)*IFERROR(INDEX(Materials!$V$5:$V$254,MATCH(G16,Materials!$A$5:$A$254,0)),0))*Y16,2))</f>
        <v>0</v>
      </c>
      <c r="AJ16" s="20">
        <f>IF(B16="","",ROUND(AC16+AF16+AH16,2))</f>
        <v>0</v>
      </c>
      <c r="AK16" s="33">
        <f>IF(B16="","",IFERROR(INDEX(Channels!$S$5:$S$18,MATCH(DefaultChannel,Channels!$A$5:$A$18,0)),0))</f>
        <v>0</v>
      </c>
      <c r="AL16" s="20">
        <f>IF(B16="","",IFERROR(INDEX(Channels!$T$5:$T$18,MATCH(DefaultChannel,Channels!$A$5:$A$18,0)),0))</f>
        <v>0</v>
      </c>
      <c r="AM16" s="41">
        <f>IF(B16="","",1-TargetRetailMargin-AK16)</f>
        <v>0</v>
      </c>
      <c r="AN16" s="20">
        <f>IF(B16="","",IF(AM16&lt;=0,"",(AJ16+AL16)/AM16))</f>
        <v>0</v>
      </c>
      <c r="AO16" s="20">
        <f>IF(B16="","",IF(AN16="","Check the settings",ROUND(IF(RoundingRule="None",AN16,IF(RoundingRule="Nearest 0.99",MAX(0.99,CEILING(AN16,1)-0.01),IF(RoundingRule="Nearest 0.95",MAX(0.95,CEILING(AN16,1)-0.05),IF(RoundingRule="Nearest 0.50",CEILING(AN16,0.5),IF(RoundingRule="Nearest 1",CEILING(AN16,1),IF(RoundingRule="Nearest 5",CEILING(AN16,5),IF(RoundingRule="Up to whole 1",CEILING(AN16,1),IF(RoundingRule="Up to whole 5",CEILING(AN16,5),ROUND(AN16,2))))))))),2)))</f>
        <v>0</v>
      </c>
      <c r="AP16" s="20">
        <f>IF(B16="","",IF(W16&lt;&gt;"",W16,IF(ISNUMBER(AO16),AO16,"")))</f>
        <v>0</v>
      </c>
      <c r="AQ16" s="20">
        <f>IF(B16="","",IF(AP16="","",ROUND(AP16-AJ16-(AP16*AK16+AL16),2)))</f>
        <v>0</v>
      </c>
      <c r="AR16" s="33">
        <f>IF(B16="","",IF(OR(AP16="",AP16=0),"",AQ16/AP16))</f>
        <v>0</v>
      </c>
      <c r="AS16" s="41">
        <f>IF(B16="","",ROUND(AD16/60,3))</f>
        <v>0</v>
      </c>
      <c r="AT16" s="20">
        <f>IF(B16="","",IF(OR(AS16=0,AS16="",AQ16=""),"",ROUND((AQ16+AF16)/AS16,2)))</f>
        <v>0</v>
      </c>
      <c r="AU16" s="43">
        <f>IF(B16="","",IF(AND(A16&lt;&gt;"",ISERROR(MATCH(A16,Products!$A$5:$A$304,0))),"Check - no such product ID",IF(AC16=0,"Add - no material cost yet",IF(AD16=0,"Add - how long does it take?",IF(AND(A16&lt;&gt;"",COUNTIFS('Material Usage'!$A$5:$A$904,A16)&gt;0),"Check - this product also has a bill of materials",IF(AND(A16&lt;&gt;"",COUNTIFS(Labor!$A$5:$A$304,A16)&gt;0),"Check - this product also has labour lines",IF(AT16&lt;MinimumWage,"Below - pays under minimum wage","OK")))))) )</f>
        <v>0</v>
      </c>
    </row>
    <row r="17" spans="25:47">
      <c r="Y17" s="33">
        <f>IF(B17="","",IF(F17="",DefaultWaste,F17))</f>
        <v>0</v>
      </c>
      <c r="Z17" s="36">
        <f>IF(B17="","",ROUND((IF(E17="",0,E17)+IF(H17="",0,H17))*(1+Y17),1))</f>
        <v>0</v>
      </c>
      <c r="AA17" s="20">
        <f>IF(B17="","",ROUND(IF(E17="",0,E17)*(1+Y17)*IFERROR(INDEX(Materials!$V$5:$V$254,MATCH(D17,Materials!$A$5:$A$254,0)),0)+IF(H17="",0,H17)*(1+Y17)*IFERROR(INDEX(Materials!$V$5:$V$254,MATCH(G17,Materials!$A$5:$A$254,0)),0),2))</f>
        <v>0</v>
      </c>
      <c r="AB17" s="20">
        <f>IF(B17="","",ROUND(IF(L17="",0,L17)*IF(M17="",0,M17),2))</f>
        <v>0</v>
      </c>
      <c r="AC17" s="20">
        <f>IF(B17="","",ROUND(AA17+AB17+IF(I17="",0,I17)+IF(J17="",0,J17)+IF(N17="",0,N17),2))</f>
        <v>0</v>
      </c>
      <c r="AD17" s="36">
        <f>IF(B17="","",IF(Q17="",0,Q17)+IF(R17="",0,R17)+IF(S17="",0,S17)+IF(T17="",0,T17))</f>
        <v>0</v>
      </c>
      <c r="AE17" s="20">
        <f>IF(B17="","",IF(V17&lt;&gt;"",V17,LaborCostHour))</f>
        <v>0</v>
      </c>
      <c r="AF17" s="20">
        <f>IF(B17="","",ROUND(AD17/60*AE17,2))</f>
        <v>0</v>
      </c>
      <c r="AG17" s="20">
        <f>IF(B17="","",ROUND(IF(O17="",0,O17)/60*IF(P17="",0,P17),2))</f>
        <v>0</v>
      </c>
      <c r="AH17" s="20">
        <f>IF(B17="","",ROUND(AG17+AD17/60*SuppliesPerHour,2))</f>
        <v>0</v>
      </c>
      <c r="AI17" s="20">
        <f>IF(B17="","",ROUND((IF(E17="",0,E17)*IFERROR(INDEX(Materials!$V$5:$V$254,MATCH(D17,Materials!$A$5:$A$254,0)),0)+IF(H17="",0,H17)*IFERROR(INDEX(Materials!$V$5:$V$254,MATCH(G17,Materials!$A$5:$A$254,0)),0))*Y17,2))</f>
        <v>0</v>
      </c>
      <c r="AJ17" s="20">
        <f>IF(B17="","",ROUND(AC17+AF17+AH17,2))</f>
        <v>0</v>
      </c>
      <c r="AK17" s="33">
        <f>IF(B17="","",IFERROR(INDEX(Channels!$S$5:$S$18,MATCH(DefaultChannel,Channels!$A$5:$A$18,0)),0))</f>
        <v>0</v>
      </c>
      <c r="AL17" s="20">
        <f>IF(B17="","",IFERROR(INDEX(Channels!$T$5:$T$18,MATCH(DefaultChannel,Channels!$A$5:$A$18,0)),0))</f>
        <v>0</v>
      </c>
      <c r="AM17" s="41">
        <f>IF(B17="","",1-TargetRetailMargin-AK17)</f>
        <v>0</v>
      </c>
      <c r="AN17" s="20">
        <f>IF(B17="","",IF(AM17&lt;=0,"",(AJ17+AL17)/AM17))</f>
        <v>0</v>
      </c>
      <c r="AO17" s="20">
        <f>IF(B17="","",IF(AN17="","Check the settings",ROUND(IF(RoundingRule="None",AN17,IF(RoundingRule="Nearest 0.99",MAX(0.99,CEILING(AN17,1)-0.01),IF(RoundingRule="Nearest 0.95",MAX(0.95,CEILING(AN17,1)-0.05),IF(RoundingRule="Nearest 0.50",CEILING(AN17,0.5),IF(RoundingRule="Nearest 1",CEILING(AN17,1),IF(RoundingRule="Nearest 5",CEILING(AN17,5),IF(RoundingRule="Up to whole 1",CEILING(AN17,1),IF(RoundingRule="Up to whole 5",CEILING(AN17,5),ROUND(AN17,2))))))))),2)))</f>
        <v>0</v>
      </c>
      <c r="AP17" s="20">
        <f>IF(B17="","",IF(W17&lt;&gt;"",W17,IF(ISNUMBER(AO17),AO17,"")))</f>
        <v>0</v>
      </c>
      <c r="AQ17" s="20">
        <f>IF(B17="","",IF(AP17="","",ROUND(AP17-AJ17-(AP17*AK17+AL17),2)))</f>
        <v>0</v>
      </c>
      <c r="AR17" s="33">
        <f>IF(B17="","",IF(OR(AP17="",AP17=0),"",AQ17/AP17))</f>
        <v>0</v>
      </c>
      <c r="AS17" s="41">
        <f>IF(B17="","",ROUND(AD17/60,3))</f>
        <v>0</v>
      </c>
      <c r="AT17" s="20">
        <f>IF(B17="","",IF(OR(AS17=0,AS17="",AQ17=""),"",ROUND((AQ17+AF17)/AS17,2)))</f>
        <v>0</v>
      </c>
      <c r="AU17" s="43">
        <f>IF(B17="","",IF(AND(A17&lt;&gt;"",ISERROR(MATCH(A17,Products!$A$5:$A$304,0))),"Check - no such product ID",IF(AC17=0,"Add - no material cost yet",IF(AD17=0,"Add - how long does it take?",IF(AND(A17&lt;&gt;"",COUNTIFS('Material Usage'!$A$5:$A$904,A17)&gt;0),"Check - this product also has a bill of materials",IF(AND(A17&lt;&gt;"",COUNTIFS(Labor!$A$5:$A$304,A17)&gt;0),"Check - this product also has labour lines",IF(AT17&lt;MinimumWage,"Below - pays under minimum wage","OK")))))) )</f>
        <v>0</v>
      </c>
    </row>
    <row r="18" spans="25:47">
      <c r="Y18" s="33">
        <f>IF(B18="","",IF(F18="",DefaultWaste,F18))</f>
        <v>0</v>
      </c>
      <c r="Z18" s="36">
        <f>IF(B18="","",ROUND((IF(E18="",0,E18)+IF(H18="",0,H18))*(1+Y18),1))</f>
        <v>0</v>
      </c>
      <c r="AA18" s="20">
        <f>IF(B18="","",ROUND(IF(E18="",0,E18)*(1+Y18)*IFERROR(INDEX(Materials!$V$5:$V$254,MATCH(D18,Materials!$A$5:$A$254,0)),0)+IF(H18="",0,H18)*(1+Y18)*IFERROR(INDEX(Materials!$V$5:$V$254,MATCH(G18,Materials!$A$5:$A$254,0)),0),2))</f>
        <v>0</v>
      </c>
      <c r="AB18" s="20">
        <f>IF(B18="","",ROUND(IF(L18="",0,L18)*IF(M18="",0,M18),2))</f>
        <v>0</v>
      </c>
      <c r="AC18" s="20">
        <f>IF(B18="","",ROUND(AA18+AB18+IF(I18="",0,I18)+IF(J18="",0,J18)+IF(N18="",0,N18),2))</f>
        <v>0</v>
      </c>
      <c r="AD18" s="36">
        <f>IF(B18="","",IF(Q18="",0,Q18)+IF(R18="",0,R18)+IF(S18="",0,S18)+IF(T18="",0,T18))</f>
        <v>0</v>
      </c>
      <c r="AE18" s="20">
        <f>IF(B18="","",IF(V18&lt;&gt;"",V18,LaborCostHour))</f>
        <v>0</v>
      </c>
      <c r="AF18" s="20">
        <f>IF(B18="","",ROUND(AD18/60*AE18,2))</f>
        <v>0</v>
      </c>
      <c r="AG18" s="20">
        <f>IF(B18="","",ROUND(IF(O18="",0,O18)/60*IF(P18="",0,P18),2))</f>
        <v>0</v>
      </c>
      <c r="AH18" s="20">
        <f>IF(B18="","",ROUND(AG18+AD18/60*SuppliesPerHour,2))</f>
        <v>0</v>
      </c>
      <c r="AI18" s="20">
        <f>IF(B18="","",ROUND((IF(E18="",0,E18)*IFERROR(INDEX(Materials!$V$5:$V$254,MATCH(D18,Materials!$A$5:$A$254,0)),0)+IF(H18="",0,H18)*IFERROR(INDEX(Materials!$V$5:$V$254,MATCH(G18,Materials!$A$5:$A$254,0)),0))*Y18,2))</f>
        <v>0</v>
      </c>
      <c r="AJ18" s="20">
        <f>IF(B18="","",ROUND(AC18+AF18+AH18,2))</f>
        <v>0</v>
      </c>
      <c r="AK18" s="33">
        <f>IF(B18="","",IFERROR(INDEX(Channels!$S$5:$S$18,MATCH(DefaultChannel,Channels!$A$5:$A$18,0)),0))</f>
        <v>0</v>
      </c>
      <c r="AL18" s="20">
        <f>IF(B18="","",IFERROR(INDEX(Channels!$T$5:$T$18,MATCH(DefaultChannel,Channels!$A$5:$A$18,0)),0))</f>
        <v>0</v>
      </c>
      <c r="AM18" s="41">
        <f>IF(B18="","",1-TargetRetailMargin-AK18)</f>
        <v>0</v>
      </c>
      <c r="AN18" s="20">
        <f>IF(B18="","",IF(AM18&lt;=0,"",(AJ18+AL18)/AM18))</f>
        <v>0</v>
      </c>
      <c r="AO18" s="20">
        <f>IF(B18="","",IF(AN18="","Check the settings",ROUND(IF(RoundingRule="None",AN18,IF(RoundingRule="Nearest 0.99",MAX(0.99,CEILING(AN18,1)-0.01),IF(RoundingRule="Nearest 0.95",MAX(0.95,CEILING(AN18,1)-0.05),IF(RoundingRule="Nearest 0.50",CEILING(AN18,0.5),IF(RoundingRule="Nearest 1",CEILING(AN18,1),IF(RoundingRule="Nearest 5",CEILING(AN18,5),IF(RoundingRule="Up to whole 1",CEILING(AN18,1),IF(RoundingRule="Up to whole 5",CEILING(AN18,5),ROUND(AN18,2))))))))),2)))</f>
        <v>0</v>
      </c>
      <c r="AP18" s="20">
        <f>IF(B18="","",IF(W18&lt;&gt;"",W18,IF(ISNUMBER(AO18),AO18,"")))</f>
        <v>0</v>
      </c>
      <c r="AQ18" s="20">
        <f>IF(B18="","",IF(AP18="","",ROUND(AP18-AJ18-(AP18*AK18+AL18),2)))</f>
        <v>0</v>
      </c>
      <c r="AR18" s="33">
        <f>IF(B18="","",IF(OR(AP18="",AP18=0),"",AQ18/AP18))</f>
        <v>0</v>
      </c>
      <c r="AS18" s="41">
        <f>IF(B18="","",ROUND(AD18/60,3))</f>
        <v>0</v>
      </c>
      <c r="AT18" s="20">
        <f>IF(B18="","",IF(OR(AS18=0,AS18="",AQ18=""),"",ROUND((AQ18+AF18)/AS18,2)))</f>
        <v>0</v>
      </c>
      <c r="AU18" s="43">
        <f>IF(B18="","",IF(AND(A18&lt;&gt;"",ISERROR(MATCH(A18,Products!$A$5:$A$304,0))),"Check - no such product ID",IF(AC18=0,"Add - no material cost yet",IF(AD18=0,"Add - how long does it take?",IF(AND(A18&lt;&gt;"",COUNTIFS('Material Usage'!$A$5:$A$904,A18)&gt;0),"Check - this product also has a bill of materials",IF(AND(A18&lt;&gt;"",COUNTIFS(Labor!$A$5:$A$304,A18)&gt;0),"Check - this product also has labour lines",IF(AT18&lt;MinimumWage,"Below - pays under minimum wage","OK")))))) )</f>
        <v>0</v>
      </c>
    </row>
    <row r="19" spans="25:47">
      <c r="Y19" s="33">
        <f>IF(B19="","",IF(F19="",DefaultWaste,F19))</f>
        <v>0</v>
      </c>
      <c r="Z19" s="36">
        <f>IF(B19="","",ROUND((IF(E19="",0,E19)+IF(H19="",0,H19))*(1+Y19),1))</f>
        <v>0</v>
      </c>
      <c r="AA19" s="20">
        <f>IF(B19="","",ROUND(IF(E19="",0,E19)*(1+Y19)*IFERROR(INDEX(Materials!$V$5:$V$254,MATCH(D19,Materials!$A$5:$A$254,0)),0)+IF(H19="",0,H19)*(1+Y19)*IFERROR(INDEX(Materials!$V$5:$V$254,MATCH(G19,Materials!$A$5:$A$254,0)),0),2))</f>
        <v>0</v>
      </c>
      <c r="AB19" s="20">
        <f>IF(B19="","",ROUND(IF(L19="",0,L19)*IF(M19="",0,M19),2))</f>
        <v>0</v>
      </c>
      <c r="AC19" s="20">
        <f>IF(B19="","",ROUND(AA19+AB19+IF(I19="",0,I19)+IF(J19="",0,J19)+IF(N19="",0,N19),2))</f>
        <v>0</v>
      </c>
      <c r="AD19" s="36">
        <f>IF(B19="","",IF(Q19="",0,Q19)+IF(R19="",0,R19)+IF(S19="",0,S19)+IF(T19="",0,T19))</f>
        <v>0</v>
      </c>
      <c r="AE19" s="20">
        <f>IF(B19="","",IF(V19&lt;&gt;"",V19,LaborCostHour))</f>
        <v>0</v>
      </c>
      <c r="AF19" s="20">
        <f>IF(B19="","",ROUND(AD19/60*AE19,2))</f>
        <v>0</v>
      </c>
      <c r="AG19" s="20">
        <f>IF(B19="","",ROUND(IF(O19="",0,O19)/60*IF(P19="",0,P19),2))</f>
        <v>0</v>
      </c>
      <c r="AH19" s="20">
        <f>IF(B19="","",ROUND(AG19+AD19/60*SuppliesPerHour,2))</f>
        <v>0</v>
      </c>
      <c r="AI19" s="20">
        <f>IF(B19="","",ROUND((IF(E19="",0,E19)*IFERROR(INDEX(Materials!$V$5:$V$254,MATCH(D19,Materials!$A$5:$A$254,0)),0)+IF(H19="",0,H19)*IFERROR(INDEX(Materials!$V$5:$V$254,MATCH(G19,Materials!$A$5:$A$254,0)),0))*Y19,2))</f>
        <v>0</v>
      </c>
      <c r="AJ19" s="20">
        <f>IF(B19="","",ROUND(AC19+AF19+AH19,2))</f>
        <v>0</v>
      </c>
      <c r="AK19" s="33">
        <f>IF(B19="","",IFERROR(INDEX(Channels!$S$5:$S$18,MATCH(DefaultChannel,Channels!$A$5:$A$18,0)),0))</f>
        <v>0</v>
      </c>
      <c r="AL19" s="20">
        <f>IF(B19="","",IFERROR(INDEX(Channels!$T$5:$T$18,MATCH(DefaultChannel,Channels!$A$5:$A$18,0)),0))</f>
        <v>0</v>
      </c>
      <c r="AM19" s="41">
        <f>IF(B19="","",1-TargetRetailMargin-AK19)</f>
        <v>0</v>
      </c>
      <c r="AN19" s="20">
        <f>IF(B19="","",IF(AM19&lt;=0,"",(AJ19+AL19)/AM19))</f>
        <v>0</v>
      </c>
      <c r="AO19" s="20">
        <f>IF(B19="","",IF(AN19="","Check the settings",ROUND(IF(RoundingRule="None",AN19,IF(RoundingRule="Nearest 0.99",MAX(0.99,CEILING(AN19,1)-0.01),IF(RoundingRule="Nearest 0.95",MAX(0.95,CEILING(AN19,1)-0.05),IF(RoundingRule="Nearest 0.50",CEILING(AN19,0.5),IF(RoundingRule="Nearest 1",CEILING(AN19,1),IF(RoundingRule="Nearest 5",CEILING(AN19,5),IF(RoundingRule="Up to whole 1",CEILING(AN19,1),IF(RoundingRule="Up to whole 5",CEILING(AN19,5),ROUND(AN19,2))))))))),2)))</f>
        <v>0</v>
      </c>
      <c r="AP19" s="20">
        <f>IF(B19="","",IF(W19&lt;&gt;"",W19,IF(ISNUMBER(AO19),AO19,"")))</f>
        <v>0</v>
      </c>
      <c r="AQ19" s="20">
        <f>IF(B19="","",IF(AP19="","",ROUND(AP19-AJ19-(AP19*AK19+AL19),2)))</f>
        <v>0</v>
      </c>
      <c r="AR19" s="33">
        <f>IF(B19="","",IF(OR(AP19="",AP19=0),"",AQ19/AP19))</f>
        <v>0</v>
      </c>
      <c r="AS19" s="41">
        <f>IF(B19="","",ROUND(AD19/60,3))</f>
        <v>0</v>
      </c>
      <c r="AT19" s="20">
        <f>IF(B19="","",IF(OR(AS19=0,AS19="",AQ19=""),"",ROUND((AQ19+AF19)/AS19,2)))</f>
        <v>0</v>
      </c>
      <c r="AU19" s="43">
        <f>IF(B19="","",IF(AND(A19&lt;&gt;"",ISERROR(MATCH(A19,Products!$A$5:$A$304,0))),"Check - no such product ID",IF(AC19=0,"Add - no material cost yet",IF(AD19=0,"Add - how long does it take?",IF(AND(A19&lt;&gt;"",COUNTIFS('Material Usage'!$A$5:$A$904,A19)&gt;0),"Check - this product also has a bill of materials",IF(AND(A19&lt;&gt;"",COUNTIFS(Labor!$A$5:$A$304,A19)&gt;0),"Check - this product also has labour lines",IF(AT19&lt;MinimumWage,"Below - pays under minimum wage","OK")))))) )</f>
        <v>0</v>
      </c>
    </row>
    <row r="20" spans="25:47">
      <c r="Y20" s="33">
        <f>IF(B20="","",IF(F20="",DefaultWaste,F20))</f>
        <v>0</v>
      </c>
      <c r="Z20" s="36">
        <f>IF(B20="","",ROUND((IF(E20="",0,E20)+IF(H20="",0,H20))*(1+Y20),1))</f>
        <v>0</v>
      </c>
      <c r="AA20" s="20">
        <f>IF(B20="","",ROUND(IF(E20="",0,E20)*(1+Y20)*IFERROR(INDEX(Materials!$V$5:$V$254,MATCH(D20,Materials!$A$5:$A$254,0)),0)+IF(H20="",0,H20)*(1+Y20)*IFERROR(INDEX(Materials!$V$5:$V$254,MATCH(G20,Materials!$A$5:$A$254,0)),0),2))</f>
        <v>0</v>
      </c>
      <c r="AB20" s="20">
        <f>IF(B20="","",ROUND(IF(L20="",0,L20)*IF(M20="",0,M20),2))</f>
        <v>0</v>
      </c>
      <c r="AC20" s="20">
        <f>IF(B20="","",ROUND(AA20+AB20+IF(I20="",0,I20)+IF(J20="",0,J20)+IF(N20="",0,N20),2))</f>
        <v>0</v>
      </c>
      <c r="AD20" s="36">
        <f>IF(B20="","",IF(Q20="",0,Q20)+IF(R20="",0,R20)+IF(S20="",0,S20)+IF(T20="",0,T20))</f>
        <v>0</v>
      </c>
      <c r="AE20" s="20">
        <f>IF(B20="","",IF(V20&lt;&gt;"",V20,LaborCostHour))</f>
        <v>0</v>
      </c>
      <c r="AF20" s="20">
        <f>IF(B20="","",ROUND(AD20/60*AE20,2))</f>
        <v>0</v>
      </c>
      <c r="AG20" s="20">
        <f>IF(B20="","",ROUND(IF(O20="",0,O20)/60*IF(P20="",0,P20),2))</f>
        <v>0</v>
      </c>
      <c r="AH20" s="20">
        <f>IF(B20="","",ROUND(AG20+AD20/60*SuppliesPerHour,2))</f>
        <v>0</v>
      </c>
      <c r="AI20" s="20">
        <f>IF(B20="","",ROUND((IF(E20="",0,E20)*IFERROR(INDEX(Materials!$V$5:$V$254,MATCH(D20,Materials!$A$5:$A$254,0)),0)+IF(H20="",0,H20)*IFERROR(INDEX(Materials!$V$5:$V$254,MATCH(G20,Materials!$A$5:$A$254,0)),0))*Y20,2))</f>
        <v>0</v>
      </c>
      <c r="AJ20" s="20">
        <f>IF(B20="","",ROUND(AC20+AF20+AH20,2))</f>
        <v>0</v>
      </c>
      <c r="AK20" s="33">
        <f>IF(B20="","",IFERROR(INDEX(Channels!$S$5:$S$18,MATCH(DefaultChannel,Channels!$A$5:$A$18,0)),0))</f>
        <v>0</v>
      </c>
      <c r="AL20" s="20">
        <f>IF(B20="","",IFERROR(INDEX(Channels!$T$5:$T$18,MATCH(DefaultChannel,Channels!$A$5:$A$18,0)),0))</f>
        <v>0</v>
      </c>
      <c r="AM20" s="41">
        <f>IF(B20="","",1-TargetRetailMargin-AK20)</f>
        <v>0</v>
      </c>
      <c r="AN20" s="20">
        <f>IF(B20="","",IF(AM20&lt;=0,"",(AJ20+AL20)/AM20))</f>
        <v>0</v>
      </c>
      <c r="AO20" s="20">
        <f>IF(B20="","",IF(AN20="","Check the settings",ROUND(IF(RoundingRule="None",AN20,IF(RoundingRule="Nearest 0.99",MAX(0.99,CEILING(AN20,1)-0.01),IF(RoundingRule="Nearest 0.95",MAX(0.95,CEILING(AN20,1)-0.05),IF(RoundingRule="Nearest 0.50",CEILING(AN20,0.5),IF(RoundingRule="Nearest 1",CEILING(AN20,1),IF(RoundingRule="Nearest 5",CEILING(AN20,5),IF(RoundingRule="Up to whole 1",CEILING(AN20,1),IF(RoundingRule="Up to whole 5",CEILING(AN20,5),ROUND(AN20,2))))))))),2)))</f>
        <v>0</v>
      </c>
      <c r="AP20" s="20">
        <f>IF(B20="","",IF(W20&lt;&gt;"",W20,IF(ISNUMBER(AO20),AO20,"")))</f>
        <v>0</v>
      </c>
      <c r="AQ20" s="20">
        <f>IF(B20="","",IF(AP20="","",ROUND(AP20-AJ20-(AP20*AK20+AL20),2)))</f>
        <v>0</v>
      </c>
      <c r="AR20" s="33">
        <f>IF(B20="","",IF(OR(AP20="",AP20=0),"",AQ20/AP20))</f>
        <v>0</v>
      </c>
      <c r="AS20" s="41">
        <f>IF(B20="","",ROUND(AD20/60,3))</f>
        <v>0</v>
      </c>
      <c r="AT20" s="20">
        <f>IF(B20="","",IF(OR(AS20=0,AS20="",AQ20=""),"",ROUND((AQ20+AF20)/AS20,2)))</f>
        <v>0</v>
      </c>
      <c r="AU20" s="43">
        <f>IF(B20="","",IF(AND(A20&lt;&gt;"",ISERROR(MATCH(A20,Products!$A$5:$A$304,0))),"Check - no such product ID",IF(AC20=0,"Add - no material cost yet",IF(AD20=0,"Add - how long does it take?",IF(AND(A20&lt;&gt;"",COUNTIFS('Material Usage'!$A$5:$A$904,A20)&gt;0),"Check - this product also has a bill of materials",IF(AND(A20&lt;&gt;"",COUNTIFS(Labor!$A$5:$A$304,A20)&gt;0),"Check - this product also has labour lines",IF(AT20&lt;MinimumWage,"Below - pays under minimum wage","OK")))))) )</f>
        <v>0</v>
      </c>
    </row>
    <row r="21" spans="25:47">
      <c r="Y21" s="33">
        <f>IF(B21="","",IF(F21="",DefaultWaste,F21))</f>
        <v>0</v>
      </c>
      <c r="Z21" s="36">
        <f>IF(B21="","",ROUND((IF(E21="",0,E21)+IF(H21="",0,H21))*(1+Y21),1))</f>
        <v>0</v>
      </c>
      <c r="AA21" s="20">
        <f>IF(B21="","",ROUND(IF(E21="",0,E21)*(1+Y21)*IFERROR(INDEX(Materials!$V$5:$V$254,MATCH(D21,Materials!$A$5:$A$254,0)),0)+IF(H21="",0,H21)*(1+Y21)*IFERROR(INDEX(Materials!$V$5:$V$254,MATCH(G21,Materials!$A$5:$A$254,0)),0),2))</f>
        <v>0</v>
      </c>
      <c r="AB21" s="20">
        <f>IF(B21="","",ROUND(IF(L21="",0,L21)*IF(M21="",0,M21),2))</f>
        <v>0</v>
      </c>
      <c r="AC21" s="20">
        <f>IF(B21="","",ROUND(AA21+AB21+IF(I21="",0,I21)+IF(J21="",0,J21)+IF(N21="",0,N21),2))</f>
        <v>0</v>
      </c>
      <c r="AD21" s="36">
        <f>IF(B21="","",IF(Q21="",0,Q21)+IF(R21="",0,R21)+IF(S21="",0,S21)+IF(T21="",0,T21))</f>
        <v>0</v>
      </c>
      <c r="AE21" s="20">
        <f>IF(B21="","",IF(V21&lt;&gt;"",V21,LaborCostHour))</f>
        <v>0</v>
      </c>
      <c r="AF21" s="20">
        <f>IF(B21="","",ROUND(AD21/60*AE21,2))</f>
        <v>0</v>
      </c>
      <c r="AG21" s="20">
        <f>IF(B21="","",ROUND(IF(O21="",0,O21)/60*IF(P21="",0,P21),2))</f>
        <v>0</v>
      </c>
      <c r="AH21" s="20">
        <f>IF(B21="","",ROUND(AG21+AD21/60*SuppliesPerHour,2))</f>
        <v>0</v>
      </c>
      <c r="AI21" s="20">
        <f>IF(B21="","",ROUND((IF(E21="",0,E21)*IFERROR(INDEX(Materials!$V$5:$V$254,MATCH(D21,Materials!$A$5:$A$254,0)),0)+IF(H21="",0,H21)*IFERROR(INDEX(Materials!$V$5:$V$254,MATCH(G21,Materials!$A$5:$A$254,0)),0))*Y21,2))</f>
        <v>0</v>
      </c>
      <c r="AJ21" s="20">
        <f>IF(B21="","",ROUND(AC21+AF21+AH21,2))</f>
        <v>0</v>
      </c>
      <c r="AK21" s="33">
        <f>IF(B21="","",IFERROR(INDEX(Channels!$S$5:$S$18,MATCH(DefaultChannel,Channels!$A$5:$A$18,0)),0))</f>
        <v>0</v>
      </c>
      <c r="AL21" s="20">
        <f>IF(B21="","",IFERROR(INDEX(Channels!$T$5:$T$18,MATCH(DefaultChannel,Channels!$A$5:$A$18,0)),0))</f>
        <v>0</v>
      </c>
      <c r="AM21" s="41">
        <f>IF(B21="","",1-TargetRetailMargin-AK21)</f>
        <v>0</v>
      </c>
      <c r="AN21" s="20">
        <f>IF(B21="","",IF(AM21&lt;=0,"",(AJ21+AL21)/AM21))</f>
        <v>0</v>
      </c>
      <c r="AO21" s="20">
        <f>IF(B21="","",IF(AN21="","Check the settings",ROUND(IF(RoundingRule="None",AN21,IF(RoundingRule="Nearest 0.99",MAX(0.99,CEILING(AN21,1)-0.01),IF(RoundingRule="Nearest 0.95",MAX(0.95,CEILING(AN21,1)-0.05),IF(RoundingRule="Nearest 0.50",CEILING(AN21,0.5),IF(RoundingRule="Nearest 1",CEILING(AN21,1),IF(RoundingRule="Nearest 5",CEILING(AN21,5),IF(RoundingRule="Up to whole 1",CEILING(AN21,1),IF(RoundingRule="Up to whole 5",CEILING(AN21,5),ROUND(AN21,2))))))))),2)))</f>
        <v>0</v>
      </c>
      <c r="AP21" s="20">
        <f>IF(B21="","",IF(W21&lt;&gt;"",W21,IF(ISNUMBER(AO21),AO21,"")))</f>
        <v>0</v>
      </c>
      <c r="AQ21" s="20">
        <f>IF(B21="","",IF(AP21="","",ROUND(AP21-AJ21-(AP21*AK21+AL21),2)))</f>
        <v>0</v>
      </c>
      <c r="AR21" s="33">
        <f>IF(B21="","",IF(OR(AP21="",AP21=0),"",AQ21/AP21))</f>
        <v>0</v>
      </c>
      <c r="AS21" s="41">
        <f>IF(B21="","",ROUND(AD21/60,3))</f>
        <v>0</v>
      </c>
      <c r="AT21" s="20">
        <f>IF(B21="","",IF(OR(AS21=0,AS21="",AQ21=""),"",ROUND((AQ21+AF21)/AS21,2)))</f>
        <v>0</v>
      </c>
      <c r="AU21" s="43">
        <f>IF(B21="","",IF(AND(A21&lt;&gt;"",ISERROR(MATCH(A21,Products!$A$5:$A$304,0))),"Check - no such product ID",IF(AC21=0,"Add - no material cost yet",IF(AD21=0,"Add - how long does it take?",IF(AND(A21&lt;&gt;"",COUNTIFS('Material Usage'!$A$5:$A$904,A21)&gt;0),"Check - this product also has a bill of materials",IF(AND(A21&lt;&gt;"",COUNTIFS(Labor!$A$5:$A$304,A21)&gt;0),"Check - this product also has labour lines",IF(AT21&lt;MinimumWage,"Below - pays under minimum wage","OK")))))) )</f>
        <v>0</v>
      </c>
    </row>
    <row r="22" spans="25:47">
      <c r="Y22" s="33">
        <f>IF(B22="","",IF(F22="",DefaultWaste,F22))</f>
        <v>0</v>
      </c>
      <c r="Z22" s="36">
        <f>IF(B22="","",ROUND((IF(E22="",0,E22)+IF(H22="",0,H22))*(1+Y22),1))</f>
        <v>0</v>
      </c>
      <c r="AA22" s="20">
        <f>IF(B22="","",ROUND(IF(E22="",0,E22)*(1+Y22)*IFERROR(INDEX(Materials!$V$5:$V$254,MATCH(D22,Materials!$A$5:$A$254,0)),0)+IF(H22="",0,H22)*(1+Y22)*IFERROR(INDEX(Materials!$V$5:$V$254,MATCH(G22,Materials!$A$5:$A$254,0)),0),2))</f>
        <v>0</v>
      </c>
      <c r="AB22" s="20">
        <f>IF(B22="","",ROUND(IF(L22="",0,L22)*IF(M22="",0,M22),2))</f>
        <v>0</v>
      </c>
      <c r="AC22" s="20">
        <f>IF(B22="","",ROUND(AA22+AB22+IF(I22="",0,I22)+IF(J22="",0,J22)+IF(N22="",0,N22),2))</f>
        <v>0</v>
      </c>
      <c r="AD22" s="36">
        <f>IF(B22="","",IF(Q22="",0,Q22)+IF(R22="",0,R22)+IF(S22="",0,S22)+IF(T22="",0,T22))</f>
        <v>0</v>
      </c>
      <c r="AE22" s="20">
        <f>IF(B22="","",IF(V22&lt;&gt;"",V22,LaborCostHour))</f>
        <v>0</v>
      </c>
      <c r="AF22" s="20">
        <f>IF(B22="","",ROUND(AD22/60*AE22,2))</f>
        <v>0</v>
      </c>
      <c r="AG22" s="20">
        <f>IF(B22="","",ROUND(IF(O22="",0,O22)/60*IF(P22="",0,P22),2))</f>
        <v>0</v>
      </c>
      <c r="AH22" s="20">
        <f>IF(B22="","",ROUND(AG22+AD22/60*SuppliesPerHour,2))</f>
        <v>0</v>
      </c>
      <c r="AI22" s="20">
        <f>IF(B22="","",ROUND((IF(E22="",0,E22)*IFERROR(INDEX(Materials!$V$5:$V$254,MATCH(D22,Materials!$A$5:$A$254,0)),0)+IF(H22="",0,H22)*IFERROR(INDEX(Materials!$V$5:$V$254,MATCH(G22,Materials!$A$5:$A$254,0)),0))*Y22,2))</f>
        <v>0</v>
      </c>
      <c r="AJ22" s="20">
        <f>IF(B22="","",ROUND(AC22+AF22+AH22,2))</f>
        <v>0</v>
      </c>
      <c r="AK22" s="33">
        <f>IF(B22="","",IFERROR(INDEX(Channels!$S$5:$S$18,MATCH(DefaultChannel,Channels!$A$5:$A$18,0)),0))</f>
        <v>0</v>
      </c>
      <c r="AL22" s="20">
        <f>IF(B22="","",IFERROR(INDEX(Channels!$T$5:$T$18,MATCH(DefaultChannel,Channels!$A$5:$A$18,0)),0))</f>
        <v>0</v>
      </c>
      <c r="AM22" s="41">
        <f>IF(B22="","",1-TargetRetailMargin-AK22)</f>
        <v>0</v>
      </c>
      <c r="AN22" s="20">
        <f>IF(B22="","",IF(AM22&lt;=0,"",(AJ22+AL22)/AM22))</f>
        <v>0</v>
      </c>
      <c r="AO22" s="20">
        <f>IF(B22="","",IF(AN22="","Check the settings",ROUND(IF(RoundingRule="None",AN22,IF(RoundingRule="Nearest 0.99",MAX(0.99,CEILING(AN22,1)-0.01),IF(RoundingRule="Nearest 0.95",MAX(0.95,CEILING(AN22,1)-0.05),IF(RoundingRule="Nearest 0.50",CEILING(AN22,0.5),IF(RoundingRule="Nearest 1",CEILING(AN22,1),IF(RoundingRule="Nearest 5",CEILING(AN22,5),IF(RoundingRule="Up to whole 1",CEILING(AN22,1),IF(RoundingRule="Up to whole 5",CEILING(AN22,5),ROUND(AN22,2))))))))),2)))</f>
        <v>0</v>
      </c>
      <c r="AP22" s="20">
        <f>IF(B22="","",IF(W22&lt;&gt;"",W22,IF(ISNUMBER(AO22),AO22,"")))</f>
        <v>0</v>
      </c>
      <c r="AQ22" s="20">
        <f>IF(B22="","",IF(AP22="","",ROUND(AP22-AJ22-(AP22*AK22+AL22),2)))</f>
        <v>0</v>
      </c>
      <c r="AR22" s="33">
        <f>IF(B22="","",IF(OR(AP22="",AP22=0),"",AQ22/AP22))</f>
        <v>0</v>
      </c>
      <c r="AS22" s="41">
        <f>IF(B22="","",ROUND(AD22/60,3))</f>
        <v>0</v>
      </c>
      <c r="AT22" s="20">
        <f>IF(B22="","",IF(OR(AS22=0,AS22="",AQ22=""),"",ROUND((AQ22+AF22)/AS22,2)))</f>
        <v>0</v>
      </c>
      <c r="AU22" s="43">
        <f>IF(B22="","",IF(AND(A22&lt;&gt;"",ISERROR(MATCH(A22,Products!$A$5:$A$304,0))),"Check - no such product ID",IF(AC22=0,"Add - no material cost yet",IF(AD22=0,"Add - how long does it take?",IF(AND(A22&lt;&gt;"",COUNTIFS('Material Usage'!$A$5:$A$904,A22)&gt;0),"Check - this product also has a bill of materials",IF(AND(A22&lt;&gt;"",COUNTIFS(Labor!$A$5:$A$304,A22)&gt;0),"Check - this product also has labour lines",IF(AT22&lt;MinimumWage,"Below - pays under minimum wage","OK")))))) )</f>
        <v>0</v>
      </c>
    </row>
    <row r="23" spans="25:47">
      <c r="Y23" s="33">
        <f>IF(B23="","",IF(F23="",DefaultWaste,F23))</f>
        <v>0</v>
      </c>
      <c r="Z23" s="36">
        <f>IF(B23="","",ROUND((IF(E23="",0,E23)+IF(H23="",0,H23))*(1+Y23),1))</f>
        <v>0</v>
      </c>
      <c r="AA23" s="20">
        <f>IF(B23="","",ROUND(IF(E23="",0,E23)*(1+Y23)*IFERROR(INDEX(Materials!$V$5:$V$254,MATCH(D23,Materials!$A$5:$A$254,0)),0)+IF(H23="",0,H23)*(1+Y23)*IFERROR(INDEX(Materials!$V$5:$V$254,MATCH(G23,Materials!$A$5:$A$254,0)),0),2))</f>
        <v>0</v>
      </c>
      <c r="AB23" s="20">
        <f>IF(B23="","",ROUND(IF(L23="",0,L23)*IF(M23="",0,M23),2))</f>
        <v>0</v>
      </c>
      <c r="AC23" s="20">
        <f>IF(B23="","",ROUND(AA23+AB23+IF(I23="",0,I23)+IF(J23="",0,J23)+IF(N23="",0,N23),2))</f>
        <v>0</v>
      </c>
      <c r="AD23" s="36">
        <f>IF(B23="","",IF(Q23="",0,Q23)+IF(R23="",0,R23)+IF(S23="",0,S23)+IF(T23="",0,T23))</f>
        <v>0</v>
      </c>
      <c r="AE23" s="20">
        <f>IF(B23="","",IF(V23&lt;&gt;"",V23,LaborCostHour))</f>
        <v>0</v>
      </c>
      <c r="AF23" s="20">
        <f>IF(B23="","",ROUND(AD23/60*AE23,2))</f>
        <v>0</v>
      </c>
      <c r="AG23" s="20">
        <f>IF(B23="","",ROUND(IF(O23="",0,O23)/60*IF(P23="",0,P23),2))</f>
        <v>0</v>
      </c>
      <c r="AH23" s="20">
        <f>IF(B23="","",ROUND(AG23+AD23/60*SuppliesPerHour,2))</f>
        <v>0</v>
      </c>
      <c r="AI23" s="20">
        <f>IF(B23="","",ROUND((IF(E23="",0,E23)*IFERROR(INDEX(Materials!$V$5:$V$254,MATCH(D23,Materials!$A$5:$A$254,0)),0)+IF(H23="",0,H23)*IFERROR(INDEX(Materials!$V$5:$V$254,MATCH(G23,Materials!$A$5:$A$254,0)),0))*Y23,2))</f>
        <v>0</v>
      </c>
      <c r="AJ23" s="20">
        <f>IF(B23="","",ROUND(AC23+AF23+AH23,2))</f>
        <v>0</v>
      </c>
      <c r="AK23" s="33">
        <f>IF(B23="","",IFERROR(INDEX(Channels!$S$5:$S$18,MATCH(DefaultChannel,Channels!$A$5:$A$18,0)),0))</f>
        <v>0</v>
      </c>
      <c r="AL23" s="20">
        <f>IF(B23="","",IFERROR(INDEX(Channels!$T$5:$T$18,MATCH(DefaultChannel,Channels!$A$5:$A$18,0)),0))</f>
        <v>0</v>
      </c>
      <c r="AM23" s="41">
        <f>IF(B23="","",1-TargetRetailMargin-AK23)</f>
        <v>0</v>
      </c>
      <c r="AN23" s="20">
        <f>IF(B23="","",IF(AM23&lt;=0,"",(AJ23+AL23)/AM23))</f>
        <v>0</v>
      </c>
      <c r="AO23" s="20">
        <f>IF(B23="","",IF(AN23="","Check the settings",ROUND(IF(RoundingRule="None",AN23,IF(RoundingRule="Nearest 0.99",MAX(0.99,CEILING(AN23,1)-0.01),IF(RoundingRule="Nearest 0.95",MAX(0.95,CEILING(AN23,1)-0.05),IF(RoundingRule="Nearest 0.50",CEILING(AN23,0.5),IF(RoundingRule="Nearest 1",CEILING(AN23,1),IF(RoundingRule="Nearest 5",CEILING(AN23,5),IF(RoundingRule="Up to whole 1",CEILING(AN23,1),IF(RoundingRule="Up to whole 5",CEILING(AN23,5),ROUND(AN23,2))))))))),2)))</f>
        <v>0</v>
      </c>
      <c r="AP23" s="20">
        <f>IF(B23="","",IF(W23&lt;&gt;"",W23,IF(ISNUMBER(AO23),AO23,"")))</f>
        <v>0</v>
      </c>
      <c r="AQ23" s="20">
        <f>IF(B23="","",IF(AP23="","",ROUND(AP23-AJ23-(AP23*AK23+AL23),2)))</f>
        <v>0</v>
      </c>
      <c r="AR23" s="33">
        <f>IF(B23="","",IF(OR(AP23="",AP23=0),"",AQ23/AP23))</f>
        <v>0</v>
      </c>
      <c r="AS23" s="41">
        <f>IF(B23="","",ROUND(AD23/60,3))</f>
        <v>0</v>
      </c>
      <c r="AT23" s="20">
        <f>IF(B23="","",IF(OR(AS23=0,AS23="",AQ23=""),"",ROUND((AQ23+AF23)/AS23,2)))</f>
        <v>0</v>
      </c>
      <c r="AU23" s="43">
        <f>IF(B23="","",IF(AND(A23&lt;&gt;"",ISERROR(MATCH(A23,Products!$A$5:$A$304,0))),"Check - no such product ID",IF(AC23=0,"Add - no material cost yet",IF(AD23=0,"Add - how long does it take?",IF(AND(A23&lt;&gt;"",COUNTIFS('Material Usage'!$A$5:$A$904,A23)&gt;0),"Check - this product also has a bill of materials",IF(AND(A23&lt;&gt;"",COUNTIFS(Labor!$A$5:$A$304,A23)&gt;0),"Check - this product also has labour lines",IF(AT23&lt;MinimumWage,"Below - pays under minimum wage","OK")))))) )</f>
        <v>0</v>
      </c>
    </row>
    <row r="24" spans="25:47">
      <c r="Y24" s="33">
        <f>IF(B24="","",IF(F24="",DefaultWaste,F24))</f>
        <v>0</v>
      </c>
      <c r="Z24" s="36">
        <f>IF(B24="","",ROUND((IF(E24="",0,E24)+IF(H24="",0,H24))*(1+Y24),1))</f>
        <v>0</v>
      </c>
      <c r="AA24" s="20">
        <f>IF(B24="","",ROUND(IF(E24="",0,E24)*(1+Y24)*IFERROR(INDEX(Materials!$V$5:$V$254,MATCH(D24,Materials!$A$5:$A$254,0)),0)+IF(H24="",0,H24)*(1+Y24)*IFERROR(INDEX(Materials!$V$5:$V$254,MATCH(G24,Materials!$A$5:$A$254,0)),0),2))</f>
        <v>0</v>
      </c>
      <c r="AB24" s="20">
        <f>IF(B24="","",ROUND(IF(L24="",0,L24)*IF(M24="",0,M24),2))</f>
        <v>0</v>
      </c>
      <c r="AC24" s="20">
        <f>IF(B24="","",ROUND(AA24+AB24+IF(I24="",0,I24)+IF(J24="",0,J24)+IF(N24="",0,N24),2))</f>
        <v>0</v>
      </c>
      <c r="AD24" s="36">
        <f>IF(B24="","",IF(Q24="",0,Q24)+IF(R24="",0,R24)+IF(S24="",0,S24)+IF(T24="",0,T24))</f>
        <v>0</v>
      </c>
      <c r="AE24" s="20">
        <f>IF(B24="","",IF(V24&lt;&gt;"",V24,LaborCostHour))</f>
        <v>0</v>
      </c>
      <c r="AF24" s="20">
        <f>IF(B24="","",ROUND(AD24/60*AE24,2))</f>
        <v>0</v>
      </c>
      <c r="AG24" s="20">
        <f>IF(B24="","",ROUND(IF(O24="",0,O24)/60*IF(P24="",0,P24),2))</f>
        <v>0</v>
      </c>
      <c r="AH24" s="20">
        <f>IF(B24="","",ROUND(AG24+AD24/60*SuppliesPerHour,2))</f>
        <v>0</v>
      </c>
      <c r="AI24" s="20">
        <f>IF(B24="","",ROUND((IF(E24="",0,E24)*IFERROR(INDEX(Materials!$V$5:$V$254,MATCH(D24,Materials!$A$5:$A$254,0)),0)+IF(H24="",0,H24)*IFERROR(INDEX(Materials!$V$5:$V$254,MATCH(G24,Materials!$A$5:$A$254,0)),0))*Y24,2))</f>
        <v>0</v>
      </c>
      <c r="AJ24" s="20">
        <f>IF(B24="","",ROUND(AC24+AF24+AH24,2))</f>
        <v>0</v>
      </c>
      <c r="AK24" s="33">
        <f>IF(B24="","",IFERROR(INDEX(Channels!$S$5:$S$18,MATCH(DefaultChannel,Channels!$A$5:$A$18,0)),0))</f>
        <v>0</v>
      </c>
      <c r="AL24" s="20">
        <f>IF(B24="","",IFERROR(INDEX(Channels!$T$5:$T$18,MATCH(DefaultChannel,Channels!$A$5:$A$18,0)),0))</f>
        <v>0</v>
      </c>
      <c r="AM24" s="41">
        <f>IF(B24="","",1-TargetRetailMargin-AK24)</f>
        <v>0</v>
      </c>
      <c r="AN24" s="20">
        <f>IF(B24="","",IF(AM24&lt;=0,"",(AJ24+AL24)/AM24))</f>
        <v>0</v>
      </c>
      <c r="AO24" s="20">
        <f>IF(B24="","",IF(AN24="","Check the settings",ROUND(IF(RoundingRule="None",AN24,IF(RoundingRule="Nearest 0.99",MAX(0.99,CEILING(AN24,1)-0.01),IF(RoundingRule="Nearest 0.95",MAX(0.95,CEILING(AN24,1)-0.05),IF(RoundingRule="Nearest 0.50",CEILING(AN24,0.5),IF(RoundingRule="Nearest 1",CEILING(AN24,1),IF(RoundingRule="Nearest 5",CEILING(AN24,5),IF(RoundingRule="Up to whole 1",CEILING(AN24,1),IF(RoundingRule="Up to whole 5",CEILING(AN24,5),ROUND(AN24,2))))))))),2)))</f>
        <v>0</v>
      </c>
      <c r="AP24" s="20">
        <f>IF(B24="","",IF(W24&lt;&gt;"",W24,IF(ISNUMBER(AO24),AO24,"")))</f>
        <v>0</v>
      </c>
      <c r="AQ24" s="20">
        <f>IF(B24="","",IF(AP24="","",ROUND(AP24-AJ24-(AP24*AK24+AL24),2)))</f>
        <v>0</v>
      </c>
      <c r="AR24" s="33">
        <f>IF(B24="","",IF(OR(AP24="",AP24=0),"",AQ24/AP24))</f>
        <v>0</v>
      </c>
      <c r="AS24" s="41">
        <f>IF(B24="","",ROUND(AD24/60,3))</f>
        <v>0</v>
      </c>
      <c r="AT24" s="20">
        <f>IF(B24="","",IF(OR(AS24=0,AS24="",AQ24=""),"",ROUND((AQ24+AF24)/AS24,2)))</f>
        <v>0</v>
      </c>
      <c r="AU24" s="43">
        <f>IF(B24="","",IF(AND(A24&lt;&gt;"",ISERROR(MATCH(A24,Products!$A$5:$A$304,0))),"Check - no such product ID",IF(AC24=0,"Add - no material cost yet",IF(AD24=0,"Add - how long does it take?",IF(AND(A24&lt;&gt;"",COUNTIFS('Material Usage'!$A$5:$A$904,A24)&gt;0),"Check - this product also has a bill of materials",IF(AND(A24&lt;&gt;"",COUNTIFS(Labor!$A$5:$A$304,A24)&gt;0),"Check - this product also has labour lines",IF(AT24&lt;MinimumWage,"Below - pays under minimum wage","OK")))))) )</f>
        <v>0</v>
      </c>
    </row>
    <row r="25" spans="25:47">
      <c r="Y25" s="33">
        <f>IF(B25="","",IF(F25="",DefaultWaste,F25))</f>
        <v>0</v>
      </c>
      <c r="Z25" s="36">
        <f>IF(B25="","",ROUND((IF(E25="",0,E25)+IF(H25="",0,H25))*(1+Y25),1))</f>
        <v>0</v>
      </c>
      <c r="AA25" s="20">
        <f>IF(B25="","",ROUND(IF(E25="",0,E25)*(1+Y25)*IFERROR(INDEX(Materials!$V$5:$V$254,MATCH(D25,Materials!$A$5:$A$254,0)),0)+IF(H25="",0,H25)*(1+Y25)*IFERROR(INDEX(Materials!$V$5:$V$254,MATCH(G25,Materials!$A$5:$A$254,0)),0),2))</f>
        <v>0</v>
      </c>
      <c r="AB25" s="20">
        <f>IF(B25="","",ROUND(IF(L25="",0,L25)*IF(M25="",0,M25),2))</f>
        <v>0</v>
      </c>
      <c r="AC25" s="20">
        <f>IF(B25="","",ROUND(AA25+AB25+IF(I25="",0,I25)+IF(J25="",0,J25)+IF(N25="",0,N25),2))</f>
        <v>0</v>
      </c>
      <c r="AD25" s="36">
        <f>IF(B25="","",IF(Q25="",0,Q25)+IF(R25="",0,R25)+IF(S25="",0,S25)+IF(T25="",0,T25))</f>
        <v>0</v>
      </c>
      <c r="AE25" s="20">
        <f>IF(B25="","",IF(V25&lt;&gt;"",V25,LaborCostHour))</f>
        <v>0</v>
      </c>
      <c r="AF25" s="20">
        <f>IF(B25="","",ROUND(AD25/60*AE25,2))</f>
        <v>0</v>
      </c>
      <c r="AG25" s="20">
        <f>IF(B25="","",ROUND(IF(O25="",0,O25)/60*IF(P25="",0,P25),2))</f>
        <v>0</v>
      </c>
      <c r="AH25" s="20">
        <f>IF(B25="","",ROUND(AG25+AD25/60*SuppliesPerHour,2))</f>
        <v>0</v>
      </c>
      <c r="AI25" s="20">
        <f>IF(B25="","",ROUND((IF(E25="",0,E25)*IFERROR(INDEX(Materials!$V$5:$V$254,MATCH(D25,Materials!$A$5:$A$254,0)),0)+IF(H25="",0,H25)*IFERROR(INDEX(Materials!$V$5:$V$254,MATCH(G25,Materials!$A$5:$A$254,0)),0))*Y25,2))</f>
        <v>0</v>
      </c>
      <c r="AJ25" s="20">
        <f>IF(B25="","",ROUND(AC25+AF25+AH25,2))</f>
        <v>0</v>
      </c>
      <c r="AK25" s="33">
        <f>IF(B25="","",IFERROR(INDEX(Channels!$S$5:$S$18,MATCH(DefaultChannel,Channels!$A$5:$A$18,0)),0))</f>
        <v>0</v>
      </c>
      <c r="AL25" s="20">
        <f>IF(B25="","",IFERROR(INDEX(Channels!$T$5:$T$18,MATCH(DefaultChannel,Channels!$A$5:$A$18,0)),0))</f>
        <v>0</v>
      </c>
      <c r="AM25" s="41">
        <f>IF(B25="","",1-TargetRetailMargin-AK25)</f>
        <v>0</v>
      </c>
      <c r="AN25" s="20">
        <f>IF(B25="","",IF(AM25&lt;=0,"",(AJ25+AL25)/AM25))</f>
        <v>0</v>
      </c>
      <c r="AO25" s="20">
        <f>IF(B25="","",IF(AN25="","Check the settings",ROUND(IF(RoundingRule="None",AN25,IF(RoundingRule="Nearest 0.99",MAX(0.99,CEILING(AN25,1)-0.01),IF(RoundingRule="Nearest 0.95",MAX(0.95,CEILING(AN25,1)-0.05),IF(RoundingRule="Nearest 0.50",CEILING(AN25,0.5),IF(RoundingRule="Nearest 1",CEILING(AN25,1),IF(RoundingRule="Nearest 5",CEILING(AN25,5),IF(RoundingRule="Up to whole 1",CEILING(AN25,1),IF(RoundingRule="Up to whole 5",CEILING(AN25,5),ROUND(AN25,2))))))))),2)))</f>
        <v>0</v>
      </c>
      <c r="AP25" s="20">
        <f>IF(B25="","",IF(W25&lt;&gt;"",W25,IF(ISNUMBER(AO25),AO25,"")))</f>
        <v>0</v>
      </c>
      <c r="AQ25" s="20">
        <f>IF(B25="","",IF(AP25="","",ROUND(AP25-AJ25-(AP25*AK25+AL25),2)))</f>
        <v>0</v>
      </c>
      <c r="AR25" s="33">
        <f>IF(B25="","",IF(OR(AP25="",AP25=0),"",AQ25/AP25))</f>
        <v>0</v>
      </c>
      <c r="AS25" s="41">
        <f>IF(B25="","",ROUND(AD25/60,3))</f>
        <v>0</v>
      </c>
      <c r="AT25" s="20">
        <f>IF(B25="","",IF(OR(AS25=0,AS25="",AQ25=""),"",ROUND((AQ25+AF25)/AS25,2)))</f>
        <v>0</v>
      </c>
      <c r="AU25" s="43">
        <f>IF(B25="","",IF(AND(A25&lt;&gt;"",ISERROR(MATCH(A25,Products!$A$5:$A$304,0))),"Check - no such product ID",IF(AC25=0,"Add - no material cost yet",IF(AD25=0,"Add - how long does it take?",IF(AND(A25&lt;&gt;"",COUNTIFS('Material Usage'!$A$5:$A$904,A25)&gt;0),"Check - this product also has a bill of materials",IF(AND(A25&lt;&gt;"",COUNTIFS(Labor!$A$5:$A$304,A25)&gt;0),"Check - this product also has labour lines",IF(AT25&lt;MinimumWage,"Below - pays under minimum wage","OK")))))) )</f>
        <v>0</v>
      </c>
    </row>
    <row r="26" spans="25:47">
      <c r="Y26" s="33">
        <f>IF(B26="","",IF(F26="",DefaultWaste,F26))</f>
        <v>0</v>
      </c>
      <c r="Z26" s="36">
        <f>IF(B26="","",ROUND((IF(E26="",0,E26)+IF(H26="",0,H26))*(1+Y26),1))</f>
        <v>0</v>
      </c>
      <c r="AA26" s="20">
        <f>IF(B26="","",ROUND(IF(E26="",0,E26)*(1+Y26)*IFERROR(INDEX(Materials!$V$5:$V$254,MATCH(D26,Materials!$A$5:$A$254,0)),0)+IF(H26="",0,H26)*(1+Y26)*IFERROR(INDEX(Materials!$V$5:$V$254,MATCH(G26,Materials!$A$5:$A$254,0)),0),2))</f>
        <v>0</v>
      </c>
      <c r="AB26" s="20">
        <f>IF(B26="","",ROUND(IF(L26="",0,L26)*IF(M26="",0,M26),2))</f>
        <v>0</v>
      </c>
      <c r="AC26" s="20">
        <f>IF(B26="","",ROUND(AA26+AB26+IF(I26="",0,I26)+IF(J26="",0,J26)+IF(N26="",0,N26),2))</f>
        <v>0</v>
      </c>
      <c r="AD26" s="36">
        <f>IF(B26="","",IF(Q26="",0,Q26)+IF(R26="",0,R26)+IF(S26="",0,S26)+IF(T26="",0,T26))</f>
        <v>0</v>
      </c>
      <c r="AE26" s="20">
        <f>IF(B26="","",IF(V26&lt;&gt;"",V26,LaborCostHour))</f>
        <v>0</v>
      </c>
      <c r="AF26" s="20">
        <f>IF(B26="","",ROUND(AD26/60*AE26,2))</f>
        <v>0</v>
      </c>
      <c r="AG26" s="20">
        <f>IF(B26="","",ROUND(IF(O26="",0,O26)/60*IF(P26="",0,P26),2))</f>
        <v>0</v>
      </c>
      <c r="AH26" s="20">
        <f>IF(B26="","",ROUND(AG26+AD26/60*SuppliesPerHour,2))</f>
        <v>0</v>
      </c>
      <c r="AI26" s="20">
        <f>IF(B26="","",ROUND((IF(E26="",0,E26)*IFERROR(INDEX(Materials!$V$5:$V$254,MATCH(D26,Materials!$A$5:$A$254,0)),0)+IF(H26="",0,H26)*IFERROR(INDEX(Materials!$V$5:$V$254,MATCH(G26,Materials!$A$5:$A$254,0)),0))*Y26,2))</f>
        <v>0</v>
      </c>
      <c r="AJ26" s="20">
        <f>IF(B26="","",ROUND(AC26+AF26+AH26,2))</f>
        <v>0</v>
      </c>
      <c r="AK26" s="33">
        <f>IF(B26="","",IFERROR(INDEX(Channels!$S$5:$S$18,MATCH(DefaultChannel,Channels!$A$5:$A$18,0)),0))</f>
        <v>0</v>
      </c>
      <c r="AL26" s="20">
        <f>IF(B26="","",IFERROR(INDEX(Channels!$T$5:$T$18,MATCH(DefaultChannel,Channels!$A$5:$A$18,0)),0))</f>
        <v>0</v>
      </c>
      <c r="AM26" s="41">
        <f>IF(B26="","",1-TargetRetailMargin-AK26)</f>
        <v>0</v>
      </c>
      <c r="AN26" s="20">
        <f>IF(B26="","",IF(AM26&lt;=0,"",(AJ26+AL26)/AM26))</f>
        <v>0</v>
      </c>
      <c r="AO26" s="20">
        <f>IF(B26="","",IF(AN26="","Check the settings",ROUND(IF(RoundingRule="None",AN26,IF(RoundingRule="Nearest 0.99",MAX(0.99,CEILING(AN26,1)-0.01),IF(RoundingRule="Nearest 0.95",MAX(0.95,CEILING(AN26,1)-0.05),IF(RoundingRule="Nearest 0.50",CEILING(AN26,0.5),IF(RoundingRule="Nearest 1",CEILING(AN26,1),IF(RoundingRule="Nearest 5",CEILING(AN26,5),IF(RoundingRule="Up to whole 1",CEILING(AN26,1),IF(RoundingRule="Up to whole 5",CEILING(AN26,5),ROUND(AN26,2))))))))),2)))</f>
        <v>0</v>
      </c>
      <c r="AP26" s="20">
        <f>IF(B26="","",IF(W26&lt;&gt;"",W26,IF(ISNUMBER(AO26),AO26,"")))</f>
        <v>0</v>
      </c>
      <c r="AQ26" s="20">
        <f>IF(B26="","",IF(AP26="","",ROUND(AP26-AJ26-(AP26*AK26+AL26),2)))</f>
        <v>0</v>
      </c>
      <c r="AR26" s="33">
        <f>IF(B26="","",IF(OR(AP26="",AP26=0),"",AQ26/AP26))</f>
        <v>0</v>
      </c>
      <c r="AS26" s="41">
        <f>IF(B26="","",ROUND(AD26/60,3))</f>
        <v>0</v>
      </c>
      <c r="AT26" s="20">
        <f>IF(B26="","",IF(OR(AS26=0,AS26="",AQ26=""),"",ROUND((AQ26+AF26)/AS26,2)))</f>
        <v>0</v>
      </c>
      <c r="AU26" s="43">
        <f>IF(B26="","",IF(AND(A26&lt;&gt;"",ISERROR(MATCH(A26,Products!$A$5:$A$304,0))),"Check - no such product ID",IF(AC26=0,"Add - no material cost yet",IF(AD26=0,"Add - how long does it take?",IF(AND(A26&lt;&gt;"",COUNTIFS('Material Usage'!$A$5:$A$904,A26)&gt;0),"Check - this product also has a bill of materials",IF(AND(A26&lt;&gt;"",COUNTIFS(Labor!$A$5:$A$304,A26)&gt;0),"Check - this product also has labour lines",IF(AT26&lt;MinimumWage,"Below - pays under minimum wage","OK")))))) )</f>
        <v>0</v>
      </c>
    </row>
    <row r="27" spans="25:47">
      <c r="Y27" s="33">
        <f>IF(B27="","",IF(F27="",DefaultWaste,F27))</f>
        <v>0</v>
      </c>
      <c r="Z27" s="36">
        <f>IF(B27="","",ROUND((IF(E27="",0,E27)+IF(H27="",0,H27))*(1+Y27),1))</f>
        <v>0</v>
      </c>
      <c r="AA27" s="20">
        <f>IF(B27="","",ROUND(IF(E27="",0,E27)*(1+Y27)*IFERROR(INDEX(Materials!$V$5:$V$254,MATCH(D27,Materials!$A$5:$A$254,0)),0)+IF(H27="",0,H27)*(1+Y27)*IFERROR(INDEX(Materials!$V$5:$V$254,MATCH(G27,Materials!$A$5:$A$254,0)),0),2))</f>
        <v>0</v>
      </c>
      <c r="AB27" s="20">
        <f>IF(B27="","",ROUND(IF(L27="",0,L27)*IF(M27="",0,M27),2))</f>
        <v>0</v>
      </c>
      <c r="AC27" s="20">
        <f>IF(B27="","",ROUND(AA27+AB27+IF(I27="",0,I27)+IF(J27="",0,J27)+IF(N27="",0,N27),2))</f>
        <v>0</v>
      </c>
      <c r="AD27" s="36">
        <f>IF(B27="","",IF(Q27="",0,Q27)+IF(R27="",0,R27)+IF(S27="",0,S27)+IF(T27="",0,T27))</f>
        <v>0</v>
      </c>
      <c r="AE27" s="20">
        <f>IF(B27="","",IF(V27&lt;&gt;"",V27,LaborCostHour))</f>
        <v>0</v>
      </c>
      <c r="AF27" s="20">
        <f>IF(B27="","",ROUND(AD27/60*AE27,2))</f>
        <v>0</v>
      </c>
      <c r="AG27" s="20">
        <f>IF(B27="","",ROUND(IF(O27="",0,O27)/60*IF(P27="",0,P27),2))</f>
        <v>0</v>
      </c>
      <c r="AH27" s="20">
        <f>IF(B27="","",ROUND(AG27+AD27/60*SuppliesPerHour,2))</f>
        <v>0</v>
      </c>
      <c r="AI27" s="20">
        <f>IF(B27="","",ROUND((IF(E27="",0,E27)*IFERROR(INDEX(Materials!$V$5:$V$254,MATCH(D27,Materials!$A$5:$A$254,0)),0)+IF(H27="",0,H27)*IFERROR(INDEX(Materials!$V$5:$V$254,MATCH(G27,Materials!$A$5:$A$254,0)),0))*Y27,2))</f>
        <v>0</v>
      </c>
      <c r="AJ27" s="20">
        <f>IF(B27="","",ROUND(AC27+AF27+AH27,2))</f>
        <v>0</v>
      </c>
      <c r="AK27" s="33">
        <f>IF(B27="","",IFERROR(INDEX(Channels!$S$5:$S$18,MATCH(DefaultChannel,Channels!$A$5:$A$18,0)),0))</f>
        <v>0</v>
      </c>
      <c r="AL27" s="20">
        <f>IF(B27="","",IFERROR(INDEX(Channels!$T$5:$T$18,MATCH(DefaultChannel,Channels!$A$5:$A$18,0)),0))</f>
        <v>0</v>
      </c>
      <c r="AM27" s="41">
        <f>IF(B27="","",1-TargetRetailMargin-AK27)</f>
        <v>0</v>
      </c>
      <c r="AN27" s="20">
        <f>IF(B27="","",IF(AM27&lt;=0,"",(AJ27+AL27)/AM27))</f>
        <v>0</v>
      </c>
      <c r="AO27" s="20">
        <f>IF(B27="","",IF(AN27="","Check the settings",ROUND(IF(RoundingRule="None",AN27,IF(RoundingRule="Nearest 0.99",MAX(0.99,CEILING(AN27,1)-0.01),IF(RoundingRule="Nearest 0.95",MAX(0.95,CEILING(AN27,1)-0.05),IF(RoundingRule="Nearest 0.50",CEILING(AN27,0.5),IF(RoundingRule="Nearest 1",CEILING(AN27,1),IF(RoundingRule="Nearest 5",CEILING(AN27,5),IF(RoundingRule="Up to whole 1",CEILING(AN27,1),IF(RoundingRule="Up to whole 5",CEILING(AN27,5),ROUND(AN27,2))))))))),2)))</f>
        <v>0</v>
      </c>
      <c r="AP27" s="20">
        <f>IF(B27="","",IF(W27&lt;&gt;"",W27,IF(ISNUMBER(AO27),AO27,"")))</f>
        <v>0</v>
      </c>
      <c r="AQ27" s="20">
        <f>IF(B27="","",IF(AP27="","",ROUND(AP27-AJ27-(AP27*AK27+AL27),2)))</f>
        <v>0</v>
      </c>
      <c r="AR27" s="33">
        <f>IF(B27="","",IF(OR(AP27="",AP27=0),"",AQ27/AP27))</f>
        <v>0</v>
      </c>
      <c r="AS27" s="41">
        <f>IF(B27="","",ROUND(AD27/60,3))</f>
        <v>0</v>
      </c>
      <c r="AT27" s="20">
        <f>IF(B27="","",IF(OR(AS27=0,AS27="",AQ27=""),"",ROUND((AQ27+AF27)/AS27,2)))</f>
        <v>0</v>
      </c>
      <c r="AU27" s="43">
        <f>IF(B27="","",IF(AND(A27&lt;&gt;"",ISERROR(MATCH(A27,Products!$A$5:$A$304,0))),"Check - no such product ID",IF(AC27=0,"Add - no material cost yet",IF(AD27=0,"Add - how long does it take?",IF(AND(A27&lt;&gt;"",COUNTIFS('Material Usage'!$A$5:$A$904,A27)&gt;0),"Check - this product also has a bill of materials",IF(AND(A27&lt;&gt;"",COUNTIFS(Labor!$A$5:$A$304,A27)&gt;0),"Check - this product also has labour lines",IF(AT27&lt;MinimumWage,"Below - pays under minimum wage","OK")))))) )</f>
        <v>0</v>
      </c>
    </row>
    <row r="28" spans="25:47">
      <c r="Y28" s="33">
        <f>IF(B28="","",IF(F28="",DefaultWaste,F28))</f>
        <v>0</v>
      </c>
      <c r="Z28" s="36">
        <f>IF(B28="","",ROUND((IF(E28="",0,E28)+IF(H28="",0,H28))*(1+Y28),1))</f>
        <v>0</v>
      </c>
      <c r="AA28" s="20">
        <f>IF(B28="","",ROUND(IF(E28="",0,E28)*(1+Y28)*IFERROR(INDEX(Materials!$V$5:$V$254,MATCH(D28,Materials!$A$5:$A$254,0)),0)+IF(H28="",0,H28)*(1+Y28)*IFERROR(INDEX(Materials!$V$5:$V$254,MATCH(G28,Materials!$A$5:$A$254,0)),0),2))</f>
        <v>0</v>
      </c>
      <c r="AB28" s="20">
        <f>IF(B28="","",ROUND(IF(L28="",0,L28)*IF(M28="",0,M28),2))</f>
        <v>0</v>
      </c>
      <c r="AC28" s="20">
        <f>IF(B28="","",ROUND(AA28+AB28+IF(I28="",0,I28)+IF(J28="",0,J28)+IF(N28="",0,N28),2))</f>
        <v>0</v>
      </c>
      <c r="AD28" s="36">
        <f>IF(B28="","",IF(Q28="",0,Q28)+IF(R28="",0,R28)+IF(S28="",0,S28)+IF(T28="",0,T28))</f>
        <v>0</v>
      </c>
      <c r="AE28" s="20">
        <f>IF(B28="","",IF(V28&lt;&gt;"",V28,LaborCostHour))</f>
        <v>0</v>
      </c>
      <c r="AF28" s="20">
        <f>IF(B28="","",ROUND(AD28/60*AE28,2))</f>
        <v>0</v>
      </c>
      <c r="AG28" s="20">
        <f>IF(B28="","",ROUND(IF(O28="",0,O28)/60*IF(P28="",0,P28),2))</f>
        <v>0</v>
      </c>
      <c r="AH28" s="20">
        <f>IF(B28="","",ROUND(AG28+AD28/60*SuppliesPerHour,2))</f>
        <v>0</v>
      </c>
      <c r="AI28" s="20">
        <f>IF(B28="","",ROUND((IF(E28="",0,E28)*IFERROR(INDEX(Materials!$V$5:$V$254,MATCH(D28,Materials!$A$5:$A$254,0)),0)+IF(H28="",0,H28)*IFERROR(INDEX(Materials!$V$5:$V$254,MATCH(G28,Materials!$A$5:$A$254,0)),0))*Y28,2))</f>
        <v>0</v>
      </c>
      <c r="AJ28" s="20">
        <f>IF(B28="","",ROUND(AC28+AF28+AH28,2))</f>
        <v>0</v>
      </c>
      <c r="AK28" s="33">
        <f>IF(B28="","",IFERROR(INDEX(Channels!$S$5:$S$18,MATCH(DefaultChannel,Channels!$A$5:$A$18,0)),0))</f>
        <v>0</v>
      </c>
      <c r="AL28" s="20">
        <f>IF(B28="","",IFERROR(INDEX(Channels!$T$5:$T$18,MATCH(DefaultChannel,Channels!$A$5:$A$18,0)),0))</f>
        <v>0</v>
      </c>
      <c r="AM28" s="41">
        <f>IF(B28="","",1-TargetRetailMargin-AK28)</f>
        <v>0</v>
      </c>
      <c r="AN28" s="20">
        <f>IF(B28="","",IF(AM28&lt;=0,"",(AJ28+AL28)/AM28))</f>
        <v>0</v>
      </c>
      <c r="AO28" s="20">
        <f>IF(B28="","",IF(AN28="","Check the settings",ROUND(IF(RoundingRule="None",AN28,IF(RoundingRule="Nearest 0.99",MAX(0.99,CEILING(AN28,1)-0.01),IF(RoundingRule="Nearest 0.95",MAX(0.95,CEILING(AN28,1)-0.05),IF(RoundingRule="Nearest 0.50",CEILING(AN28,0.5),IF(RoundingRule="Nearest 1",CEILING(AN28,1),IF(RoundingRule="Nearest 5",CEILING(AN28,5),IF(RoundingRule="Up to whole 1",CEILING(AN28,1),IF(RoundingRule="Up to whole 5",CEILING(AN28,5),ROUND(AN28,2))))))))),2)))</f>
        <v>0</v>
      </c>
      <c r="AP28" s="20">
        <f>IF(B28="","",IF(W28&lt;&gt;"",W28,IF(ISNUMBER(AO28),AO28,"")))</f>
        <v>0</v>
      </c>
      <c r="AQ28" s="20">
        <f>IF(B28="","",IF(AP28="","",ROUND(AP28-AJ28-(AP28*AK28+AL28),2)))</f>
        <v>0</v>
      </c>
      <c r="AR28" s="33">
        <f>IF(B28="","",IF(OR(AP28="",AP28=0),"",AQ28/AP28))</f>
        <v>0</v>
      </c>
      <c r="AS28" s="41">
        <f>IF(B28="","",ROUND(AD28/60,3))</f>
        <v>0</v>
      </c>
      <c r="AT28" s="20">
        <f>IF(B28="","",IF(OR(AS28=0,AS28="",AQ28=""),"",ROUND((AQ28+AF28)/AS28,2)))</f>
        <v>0</v>
      </c>
      <c r="AU28" s="43">
        <f>IF(B28="","",IF(AND(A28&lt;&gt;"",ISERROR(MATCH(A28,Products!$A$5:$A$304,0))),"Check - no such product ID",IF(AC28=0,"Add - no material cost yet",IF(AD28=0,"Add - how long does it take?",IF(AND(A28&lt;&gt;"",COUNTIFS('Material Usage'!$A$5:$A$904,A28)&gt;0),"Check - this product also has a bill of materials",IF(AND(A28&lt;&gt;"",COUNTIFS(Labor!$A$5:$A$304,A28)&gt;0),"Check - this product also has labour lines",IF(AT28&lt;MinimumWage,"Below - pays under minimum wage","OK")))))) )</f>
        <v>0</v>
      </c>
    </row>
    <row r="29" spans="25:47">
      <c r="Y29" s="33">
        <f>IF(B29="","",IF(F29="",DefaultWaste,F29))</f>
        <v>0</v>
      </c>
      <c r="Z29" s="36">
        <f>IF(B29="","",ROUND((IF(E29="",0,E29)+IF(H29="",0,H29))*(1+Y29),1))</f>
        <v>0</v>
      </c>
      <c r="AA29" s="20">
        <f>IF(B29="","",ROUND(IF(E29="",0,E29)*(1+Y29)*IFERROR(INDEX(Materials!$V$5:$V$254,MATCH(D29,Materials!$A$5:$A$254,0)),0)+IF(H29="",0,H29)*(1+Y29)*IFERROR(INDEX(Materials!$V$5:$V$254,MATCH(G29,Materials!$A$5:$A$254,0)),0),2))</f>
        <v>0</v>
      </c>
      <c r="AB29" s="20">
        <f>IF(B29="","",ROUND(IF(L29="",0,L29)*IF(M29="",0,M29),2))</f>
        <v>0</v>
      </c>
      <c r="AC29" s="20">
        <f>IF(B29="","",ROUND(AA29+AB29+IF(I29="",0,I29)+IF(J29="",0,J29)+IF(N29="",0,N29),2))</f>
        <v>0</v>
      </c>
      <c r="AD29" s="36">
        <f>IF(B29="","",IF(Q29="",0,Q29)+IF(R29="",0,R29)+IF(S29="",0,S29)+IF(T29="",0,T29))</f>
        <v>0</v>
      </c>
      <c r="AE29" s="20">
        <f>IF(B29="","",IF(V29&lt;&gt;"",V29,LaborCostHour))</f>
        <v>0</v>
      </c>
      <c r="AF29" s="20">
        <f>IF(B29="","",ROUND(AD29/60*AE29,2))</f>
        <v>0</v>
      </c>
      <c r="AG29" s="20">
        <f>IF(B29="","",ROUND(IF(O29="",0,O29)/60*IF(P29="",0,P29),2))</f>
        <v>0</v>
      </c>
      <c r="AH29" s="20">
        <f>IF(B29="","",ROUND(AG29+AD29/60*SuppliesPerHour,2))</f>
        <v>0</v>
      </c>
      <c r="AI29" s="20">
        <f>IF(B29="","",ROUND((IF(E29="",0,E29)*IFERROR(INDEX(Materials!$V$5:$V$254,MATCH(D29,Materials!$A$5:$A$254,0)),0)+IF(H29="",0,H29)*IFERROR(INDEX(Materials!$V$5:$V$254,MATCH(G29,Materials!$A$5:$A$254,0)),0))*Y29,2))</f>
        <v>0</v>
      </c>
      <c r="AJ29" s="20">
        <f>IF(B29="","",ROUND(AC29+AF29+AH29,2))</f>
        <v>0</v>
      </c>
      <c r="AK29" s="33">
        <f>IF(B29="","",IFERROR(INDEX(Channels!$S$5:$S$18,MATCH(DefaultChannel,Channels!$A$5:$A$18,0)),0))</f>
        <v>0</v>
      </c>
      <c r="AL29" s="20">
        <f>IF(B29="","",IFERROR(INDEX(Channels!$T$5:$T$18,MATCH(DefaultChannel,Channels!$A$5:$A$18,0)),0))</f>
        <v>0</v>
      </c>
      <c r="AM29" s="41">
        <f>IF(B29="","",1-TargetRetailMargin-AK29)</f>
        <v>0</v>
      </c>
      <c r="AN29" s="20">
        <f>IF(B29="","",IF(AM29&lt;=0,"",(AJ29+AL29)/AM29))</f>
        <v>0</v>
      </c>
      <c r="AO29" s="20">
        <f>IF(B29="","",IF(AN29="","Check the settings",ROUND(IF(RoundingRule="None",AN29,IF(RoundingRule="Nearest 0.99",MAX(0.99,CEILING(AN29,1)-0.01),IF(RoundingRule="Nearest 0.95",MAX(0.95,CEILING(AN29,1)-0.05),IF(RoundingRule="Nearest 0.50",CEILING(AN29,0.5),IF(RoundingRule="Nearest 1",CEILING(AN29,1),IF(RoundingRule="Nearest 5",CEILING(AN29,5),IF(RoundingRule="Up to whole 1",CEILING(AN29,1),IF(RoundingRule="Up to whole 5",CEILING(AN29,5),ROUND(AN29,2))))))))),2)))</f>
        <v>0</v>
      </c>
      <c r="AP29" s="20">
        <f>IF(B29="","",IF(W29&lt;&gt;"",W29,IF(ISNUMBER(AO29),AO29,"")))</f>
        <v>0</v>
      </c>
      <c r="AQ29" s="20">
        <f>IF(B29="","",IF(AP29="","",ROUND(AP29-AJ29-(AP29*AK29+AL29),2)))</f>
        <v>0</v>
      </c>
      <c r="AR29" s="33">
        <f>IF(B29="","",IF(OR(AP29="",AP29=0),"",AQ29/AP29))</f>
        <v>0</v>
      </c>
      <c r="AS29" s="41">
        <f>IF(B29="","",ROUND(AD29/60,3))</f>
        <v>0</v>
      </c>
      <c r="AT29" s="20">
        <f>IF(B29="","",IF(OR(AS29=0,AS29="",AQ29=""),"",ROUND((AQ29+AF29)/AS29,2)))</f>
        <v>0</v>
      </c>
      <c r="AU29" s="43">
        <f>IF(B29="","",IF(AND(A29&lt;&gt;"",ISERROR(MATCH(A29,Products!$A$5:$A$304,0))),"Check - no such product ID",IF(AC29=0,"Add - no material cost yet",IF(AD29=0,"Add - how long does it take?",IF(AND(A29&lt;&gt;"",COUNTIFS('Material Usage'!$A$5:$A$904,A29)&gt;0),"Check - this product also has a bill of materials",IF(AND(A29&lt;&gt;"",COUNTIFS(Labor!$A$5:$A$304,A29)&gt;0),"Check - this product also has labour lines",IF(AT29&lt;MinimumWage,"Below - pays under minimum wage","OK")))))) )</f>
        <v>0</v>
      </c>
    </row>
    <row r="30" spans="25:47">
      <c r="Y30" s="33">
        <f>IF(B30="","",IF(F30="",DefaultWaste,F30))</f>
        <v>0</v>
      </c>
      <c r="Z30" s="36">
        <f>IF(B30="","",ROUND((IF(E30="",0,E30)+IF(H30="",0,H30))*(1+Y30),1))</f>
        <v>0</v>
      </c>
      <c r="AA30" s="20">
        <f>IF(B30="","",ROUND(IF(E30="",0,E30)*(1+Y30)*IFERROR(INDEX(Materials!$V$5:$V$254,MATCH(D30,Materials!$A$5:$A$254,0)),0)+IF(H30="",0,H30)*(1+Y30)*IFERROR(INDEX(Materials!$V$5:$V$254,MATCH(G30,Materials!$A$5:$A$254,0)),0),2))</f>
        <v>0</v>
      </c>
      <c r="AB30" s="20">
        <f>IF(B30="","",ROUND(IF(L30="",0,L30)*IF(M30="",0,M30),2))</f>
        <v>0</v>
      </c>
      <c r="AC30" s="20">
        <f>IF(B30="","",ROUND(AA30+AB30+IF(I30="",0,I30)+IF(J30="",0,J30)+IF(N30="",0,N30),2))</f>
        <v>0</v>
      </c>
      <c r="AD30" s="36">
        <f>IF(B30="","",IF(Q30="",0,Q30)+IF(R30="",0,R30)+IF(S30="",0,S30)+IF(T30="",0,T30))</f>
        <v>0</v>
      </c>
      <c r="AE30" s="20">
        <f>IF(B30="","",IF(V30&lt;&gt;"",V30,LaborCostHour))</f>
        <v>0</v>
      </c>
      <c r="AF30" s="20">
        <f>IF(B30="","",ROUND(AD30/60*AE30,2))</f>
        <v>0</v>
      </c>
      <c r="AG30" s="20">
        <f>IF(B30="","",ROUND(IF(O30="",0,O30)/60*IF(P30="",0,P30),2))</f>
        <v>0</v>
      </c>
      <c r="AH30" s="20">
        <f>IF(B30="","",ROUND(AG30+AD30/60*SuppliesPerHour,2))</f>
        <v>0</v>
      </c>
      <c r="AI30" s="20">
        <f>IF(B30="","",ROUND((IF(E30="",0,E30)*IFERROR(INDEX(Materials!$V$5:$V$254,MATCH(D30,Materials!$A$5:$A$254,0)),0)+IF(H30="",0,H30)*IFERROR(INDEX(Materials!$V$5:$V$254,MATCH(G30,Materials!$A$5:$A$254,0)),0))*Y30,2))</f>
        <v>0</v>
      </c>
      <c r="AJ30" s="20">
        <f>IF(B30="","",ROUND(AC30+AF30+AH30,2))</f>
        <v>0</v>
      </c>
      <c r="AK30" s="33">
        <f>IF(B30="","",IFERROR(INDEX(Channels!$S$5:$S$18,MATCH(DefaultChannel,Channels!$A$5:$A$18,0)),0))</f>
        <v>0</v>
      </c>
      <c r="AL30" s="20">
        <f>IF(B30="","",IFERROR(INDEX(Channels!$T$5:$T$18,MATCH(DefaultChannel,Channels!$A$5:$A$18,0)),0))</f>
        <v>0</v>
      </c>
      <c r="AM30" s="41">
        <f>IF(B30="","",1-TargetRetailMargin-AK30)</f>
        <v>0</v>
      </c>
      <c r="AN30" s="20">
        <f>IF(B30="","",IF(AM30&lt;=0,"",(AJ30+AL30)/AM30))</f>
        <v>0</v>
      </c>
      <c r="AO30" s="20">
        <f>IF(B30="","",IF(AN30="","Check the settings",ROUND(IF(RoundingRule="None",AN30,IF(RoundingRule="Nearest 0.99",MAX(0.99,CEILING(AN30,1)-0.01),IF(RoundingRule="Nearest 0.95",MAX(0.95,CEILING(AN30,1)-0.05),IF(RoundingRule="Nearest 0.50",CEILING(AN30,0.5),IF(RoundingRule="Nearest 1",CEILING(AN30,1),IF(RoundingRule="Nearest 5",CEILING(AN30,5),IF(RoundingRule="Up to whole 1",CEILING(AN30,1),IF(RoundingRule="Up to whole 5",CEILING(AN30,5),ROUND(AN30,2))))))))),2)))</f>
        <v>0</v>
      </c>
      <c r="AP30" s="20">
        <f>IF(B30="","",IF(W30&lt;&gt;"",W30,IF(ISNUMBER(AO30),AO30,"")))</f>
        <v>0</v>
      </c>
      <c r="AQ30" s="20">
        <f>IF(B30="","",IF(AP30="","",ROUND(AP30-AJ30-(AP30*AK30+AL30),2)))</f>
        <v>0</v>
      </c>
      <c r="AR30" s="33">
        <f>IF(B30="","",IF(OR(AP30="",AP30=0),"",AQ30/AP30))</f>
        <v>0</v>
      </c>
      <c r="AS30" s="41">
        <f>IF(B30="","",ROUND(AD30/60,3))</f>
        <v>0</v>
      </c>
      <c r="AT30" s="20">
        <f>IF(B30="","",IF(OR(AS30=0,AS30="",AQ30=""),"",ROUND((AQ30+AF30)/AS30,2)))</f>
        <v>0</v>
      </c>
      <c r="AU30" s="43">
        <f>IF(B30="","",IF(AND(A30&lt;&gt;"",ISERROR(MATCH(A30,Products!$A$5:$A$304,0))),"Check - no such product ID",IF(AC30=0,"Add - no material cost yet",IF(AD30=0,"Add - how long does it take?",IF(AND(A30&lt;&gt;"",COUNTIFS('Material Usage'!$A$5:$A$904,A30)&gt;0),"Check - this product also has a bill of materials",IF(AND(A30&lt;&gt;"",COUNTIFS(Labor!$A$5:$A$304,A30)&gt;0),"Check - this product also has labour lines",IF(AT30&lt;MinimumWage,"Below - pays under minimum wage","OK")))))) )</f>
        <v>0</v>
      </c>
    </row>
    <row r="31" spans="25:47">
      <c r="Y31" s="33">
        <f>IF(B31="","",IF(F31="",DefaultWaste,F31))</f>
        <v>0</v>
      </c>
      <c r="Z31" s="36">
        <f>IF(B31="","",ROUND((IF(E31="",0,E31)+IF(H31="",0,H31))*(1+Y31),1))</f>
        <v>0</v>
      </c>
      <c r="AA31" s="20">
        <f>IF(B31="","",ROUND(IF(E31="",0,E31)*(1+Y31)*IFERROR(INDEX(Materials!$V$5:$V$254,MATCH(D31,Materials!$A$5:$A$254,0)),0)+IF(H31="",0,H31)*(1+Y31)*IFERROR(INDEX(Materials!$V$5:$V$254,MATCH(G31,Materials!$A$5:$A$254,0)),0),2))</f>
        <v>0</v>
      </c>
      <c r="AB31" s="20">
        <f>IF(B31="","",ROUND(IF(L31="",0,L31)*IF(M31="",0,M31),2))</f>
        <v>0</v>
      </c>
      <c r="AC31" s="20">
        <f>IF(B31="","",ROUND(AA31+AB31+IF(I31="",0,I31)+IF(J31="",0,J31)+IF(N31="",0,N31),2))</f>
        <v>0</v>
      </c>
      <c r="AD31" s="36">
        <f>IF(B31="","",IF(Q31="",0,Q31)+IF(R31="",0,R31)+IF(S31="",0,S31)+IF(T31="",0,T31))</f>
        <v>0</v>
      </c>
      <c r="AE31" s="20">
        <f>IF(B31="","",IF(V31&lt;&gt;"",V31,LaborCostHour))</f>
        <v>0</v>
      </c>
      <c r="AF31" s="20">
        <f>IF(B31="","",ROUND(AD31/60*AE31,2))</f>
        <v>0</v>
      </c>
      <c r="AG31" s="20">
        <f>IF(B31="","",ROUND(IF(O31="",0,O31)/60*IF(P31="",0,P31),2))</f>
        <v>0</v>
      </c>
      <c r="AH31" s="20">
        <f>IF(B31="","",ROUND(AG31+AD31/60*SuppliesPerHour,2))</f>
        <v>0</v>
      </c>
      <c r="AI31" s="20">
        <f>IF(B31="","",ROUND((IF(E31="",0,E31)*IFERROR(INDEX(Materials!$V$5:$V$254,MATCH(D31,Materials!$A$5:$A$254,0)),0)+IF(H31="",0,H31)*IFERROR(INDEX(Materials!$V$5:$V$254,MATCH(G31,Materials!$A$5:$A$254,0)),0))*Y31,2))</f>
        <v>0</v>
      </c>
      <c r="AJ31" s="20">
        <f>IF(B31="","",ROUND(AC31+AF31+AH31,2))</f>
        <v>0</v>
      </c>
      <c r="AK31" s="33">
        <f>IF(B31="","",IFERROR(INDEX(Channels!$S$5:$S$18,MATCH(DefaultChannel,Channels!$A$5:$A$18,0)),0))</f>
        <v>0</v>
      </c>
      <c r="AL31" s="20">
        <f>IF(B31="","",IFERROR(INDEX(Channels!$T$5:$T$18,MATCH(DefaultChannel,Channels!$A$5:$A$18,0)),0))</f>
        <v>0</v>
      </c>
      <c r="AM31" s="41">
        <f>IF(B31="","",1-TargetRetailMargin-AK31)</f>
        <v>0</v>
      </c>
      <c r="AN31" s="20">
        <f>IF(B31="","",IF(AM31&lt;=0,"",(AJ31+AL31)/AM31))</f>
        <v>0</v>
      </c>
      <c r="AO31" s="20">
        <f>IF(B31="","",IF(AN31="","Check the settings",ROUND(IF(RoundingRule="None",AN31,IF(RoundingRule="Nearest 0.99",MAX(0.99,CEILING(AN31,1)-0.01),IF(RoundingRule="Nearest 0.95",MAX(0.95,CEILING(AN31,1)-0.05),IF(RoundingRule="Nearest 0.50",CEILING(AN31,0.5),IF(RoundingRule="Nearest 1",CEILING(AN31,1),IF(RoundingRule="Nearest 5",CEILING(AN31,5),IF(RoundingRule="Up to whole 1",CEILING(AN31,1),IF(RoundingRule="Up to whole 5",CEILING(AN31,5),ROUND(AN31,2))))))))),2)))</f>
        <v>0</v>
      </c>
      <c r="AP31" s="20">
        <f>IF(B31="","",IF(W31&lt;&gt;"",W31,IF(ISNUMBER(AO31),AO31,"")))</f>
        <v>0</v>
      </c>
      <c r="AQ31" s="20">
        <f>IF(B31="","",IF(AP31="","",ROUND(AP31-AJ31-(AP31*AK31+AL31),2)))</f>
        <v>0</v>
      </c>
      <c r="AR31" s="33">
        <f>IF(B31="","",IF(OR(AP31="",AP31=0),"",AQ31/AP31))</f>
        <v>0</v>
      </c>
      <c r="AS31" s="41">
        <f>IF(B31="","",ROUND(AD31/60,3))</f>
        <v>0</v>
      </c>
      <c r="AT31" s="20">
        <f>IF(B31="","",IF(OR(AS31=0,AS31="",AQ31=""),"",ROUND((AQ31+AF31)/AS31,2)))</f>
        <v>0</v>
      </c>
      <c r="AU31" s="43">
        <f>IF(B31="","",IF(AND(A31&lt;&gt;"",ISERROR(MATCH(A31,Products!$A$5:$A$304,0))),"Check - no such product ID",IF(AC31=0,"Add - no material cost yet",IF(AD31=0,"Add - how long does it take?",IF(AND(A31&lt;&gt;"",COUNTIFS('Material Usage'!$A$5:$A$904,A31)&gt;0),"Check - this product also has a bill of materials",IF(AND(A31&lt;&gt;"",COUNTIFS(Labor!$A$5:$A$304,A31)&gt;0),"Check - this product also has labour lines",IF(AT31&lt;MinimumWage,"Below - pays under minimum wage","OK")))))) )</f>
        <v>0</v>
      </c>
    </row>
    <row r="32" spans="25:47">
      <c r="Y32" s="33">
        <f>IF(B32="","",IF(F32="",DefaultWaste,F32))</f>
        <v>0</v>
      </c>
      <c r="Z32" s="36">
        <f>IF(B32="","",ROUND((IF(E32="",0,E32)+IF(H32="",0,H32))*(1+Y32),1))</f>
        <v>0</v>
      </c>
      <c r="AA32" s="20">
        <f>IF(B32="","",ROUND(IF(E32="",0,E32)*(1+Y32)*IFERROR(INDEX(Materials!$V$5:$V$254,MATCH(D32,Materials!$A$5:$A$254,0)),0)+IF(H32="",0,H32)*(1+Y32)*IFERROR(INDEX(Materials!$V$5:$V$254,MATCH(G32,Materials!$A$5:$A$254,0)),0),2))</f>
        <v>0</v>
      </c>
      <c r="AB32" s="20">
        <f>IF(B32="","",ROUND(IF(L32="",0,L32)*IF(M32="",0,M32),2))</f>
        <v>0</v>
      </c>
      <c r="AC32" s="20">
        <f>IF(B32="","",ROUND(AA32+AB32+IF(I32="",0,I32)+IF(J32="",0,J32)+IF(N32="",0,N32),2))</f>
        <v>0</v>
      </c>
      <c r="AD32" s="36">
        <f>IF(B32="","",IF(Q32="",0,Q32)+IF(R32="",0,R32)+IF(S32="",0,S32)+IF(T32="",0,T32))</f>
        <v>0</v>
      </c>
      <c r="AE32" s="20">
        <f>IF(B32="","",IF(V32&lt;&gt;"",V32,LaborCostHour))</f>
        <v>0</v>
      </c>
      <c r="AF32" s="20">
        <f>IF(B32="","",ROUND(AD32/60*AE32,2))</f>
        <v>0</v>
      </c>
      <c r="AG32" s="20">
        <f>IF(B32="","",ROUND(IF(O32="",0,O32)/60*IF(P32="",0,P32),2))</f>
        <v>0</v>
      </c>
      <c r="AH32" s="20">
        <f>IF(B32="","",ROUND(AG32+AD32/60*SuppliesPerHour,2))</f>
        <v>0</v>
      </c>
      <c r="AI32" s="20">
        <f>IF(B32="","",ROUND((IF(E32="",0,E32)*IFERROR(INDEX(Materials!$V$5:$V$254,MATCH(D32,Materials!$A$5:$A$254,0)),0)+IF(H32="",0,H32)*IFERROR(INDEX(Materials!$V$5:$V$254,MATCH(G32,Materials!$A$5:$A$254,0)),0))*Y32,2))</f>
        <v>0</v>
      </c>
      <c r="AJ32" s="20">
        <f>IF(B32="","",ROUND(AC32+AF32+AH32,2))</f>
        <v>0</v>
      </c>
      <c r="AK32" s="33">
        <f>IF(B32="","",IFERROR(INDEX(Channels!$S$5:$S$18,MATCH(DefaultChannel,Channels!$A$5:$A$18,0)),0))</f>
        <v>0</v>
      </c>
      <c r="AL32" s="20">
        <f>IF(B32="","",IFERROR(INDEX(Channels!$T$5:$T$18,MATCH(DefaultChannel,Channels!$A$5:$A$18,0)),0))</f>
        <v>0</v>
      </c>
      <c r="AM32" s="41">
        <f>IF(B32="","",1-TargetRetailMargin-AK32)</f>
        <v>0</v>
      </c>
      <c r="AN32" s="20">
        <f>IF(B32="","",IF(AM32&lt;=0,"",(AJ32+AL32)/AM32))</f>
        <v>0</v>
      </c>
      <c r="AO32" s="20">
        <f>IF(B32="","",IF(AN32="","Check the settings",ROUND(IF(RoundingRule="None",AN32,IF(RoundingRule="Nearest 0.99",MAX(0.99,CEILING(AN32,1)-0.01),IF(RoundingRule="Nearest 0.95",MAX(0.95,CEILING(AN32,1)-0.05),IF(RoundingRule="Nearest 0.50",CEILING(AN32,0.5),IF(RoundingRule="Nearest 1",CEILING(AN32,1),IF(RoundingRule="Nearest 5",CEILING(AN32,5),IF(RoundingRule="Up to whole 1",CEILING(AN32,1),IF(RoundingRule="Up to whole 5",CEILING(AN32,5),ROUND(AN32,2))))))))),2)))</f>
        <v>0</v>
      </c>
      <c r="AP32" s="20">
        <f>IF(B32="","",IF(W32&lt;&gt;"",W32,IF(ISNUMBER(AO32),AO32,"")))</f>
        <v>0</v>
      </c>
      <c r="AQ32" s="20">
        <f>IF(B32="","",IF(AP32="","",ROUND(AP32-AJ32-(AP32*AK32+AL32),2)))</f>
        <v>0</v>
      </c>
      <c r="AR32" s="33">
        <f>IF(B32="","",IF(OR(AP32="",AP32=0),"",AQ32/AP32))</f>
        <v>0</v>
      </c>
      <c r="AS32" s="41">
        <f>IF(B32="","",ROUND(AD32/60,3))</f>
        <v>0</v>
      </c>
      <c r="AT32" s="20">
        <f>IF(B32="","",IF(OR(AS32=0,AS32="",AQ32=""),"",ROUND((AQ32+AF32)/AS32,2)))</f>
        <v>0</v>
      </c>
      <c r="AU32" s="43">
        <f>IF(B32="","",IF(AND(A32&lt;&gt;"",ISERROR(MATCH(A32,Products!$A$5:$A$304,0))),"Check - no such product ID",IF(AC32=0,"Add - no material cost yet",IF(AD32=0,"Add - how long does it take?",IF(AND(A32&lt;&gt;"",COUNTIFS('Material Usage'!$A$5:$A$904,A32)&gt;0),"Check - this product also has a bill of materials",IF(AND(A32&lt;&gt;"",COUNTIFS(Labor!$A$5:$A$304,A32)&gt;0),"Check - this product also has labour lines",IF(AT32&lt;MinimumWage,"Below - pays under minimum wage","OK")))))) )</f>
        <v>0</v>
      </c>
    </row>
    <row r="33" spans="25:47">
      <c r="Y33" s="33">
        <f>IF(B33="","",IF(F33="",DefaultWaste,F33))</f>
        <v>0</v>
      </c>
      <c r="Z33" s="36">
        <f>IF(B33="","",ROUND((IF(E33="",0,E33)+IF(H33="",0,H33))*(1+Y33),1))</f>
        <v>0</v>
      </c>
      <c r="AA33" s="20">
        <f>IF(B33="","",ROUND(IF(E33="",0,E33)*(1+Y33)*IFERROR(INDEX(Materials!$V$5:$V$254,MATCH(D33,Materials!$A$5:$A$254,0)),0)+IF(H33="",0,H33)*(1+Y33)*IFERROR(INDEX(Materials!$V$5:$V$254,MATCH(G33,Materials!$A$5:$A$254,0)),0),2))</f>
        <v>0</v>
      </c>
      <c r="AB33" s="20">
        <f>IF(B33="","",ROUND(IF(L33="",0,L33)*IF(M33="",0,M33),2))</f>
        <v>0</v>
      </c>
      <c r="AC33" s="20">
        <f>IF(B33="","",ROUND(AA33+AB33+IF(I33="",0,I33)+IF(J33="",0,J33)+IF(N33="",0,N33),2))</f>
        <v>0</v>
      </c>
      <c r="AD33" s="36">
        <f>IF(B33="","",IF(Q33="",0,Q33)+IF(R33="",0,R33)+IF(S33="",0,S33)+IF(T33="",0,T33))</f>
        <v>0</v>
      </c>
      <c r="AE33" s="20">
        <f>IF(B33="","",IF(V33&lt;&gt;"",V33,LaborCostHour))</f>
        <v>0</v>
      </c>
      <c r="AF33" s="20">
        <f>IF(B33="","",ROUND(AD33/60*AE33,2))</f>
        <v>0</v>
      </c>
      <c r="AG33" s="20">
        <f>IF(B33="","",ROUND(IF(O33="",0,O33)/60*IF(P33="",0,P33),2))</f>
        <v>0</v>
      </c>
      <c r="AH33" s="20">
        <f>IF(B33="","",ROUND(AG33+AD33/60*SuppliesPerHour,2))</f>
        <v>0</v>
      </c>
      <c r="AI33" s="20">
        <f>IF(B33="","",ROUND((IF(E33="",0,E33)*IFERROR(INDEX(Materials!$V$5:$V$254,MATCH(D33,Materials!$A$5:$A$254,0)),0)+IF(H33="",0,H33)*IFERROR(INDEX(Materials!$V$5:$V$254,MATCH(G33,Materials!$A$5:$A$254,0)),0))*Y33,2))</f>
        <v>0</v>
      </c>
      <c r="AJ33" s="20">
        <f>IF(B33="","",ROUND(AC33+AF33+AH33,2))</f>
        <v>0</v>
      </c>
      <c r="AK33" s="33">
        <f>IF(B33="","",IFERROR(INDEX(Channels!$S$5:$S$18,MATCH(DefaultChannel,Channels!$A$5:$A$18,0)),0))</f>
        <v>0</v>
      </c>
      <c r="AL33" s="20">
        <f>IF(B33="","",IFERROR(INDEX(Channels!$T$5:$T$18,MATCH(DefaultChannel,Channels!$A$5:$A$18,0)),0))</f>
        <v>0</v>
      </c>
      <c r="AM33" s="41">
        <f>IF(B33="","",1-TargetRetailMargin-AK33)</f>
        <v>0</v>
      </c>
      <c r="AN33" s="20">
        <f>IF(B33="","",IF(AM33&lt;=0,"",(AJ33+AL33)/AM33))</f>
        <v>0</v>
      </c>
      <c r="AO33" s="20">
        <f>IF(B33="","",IF(AN33="","Check the settings",ROUND(IF(RoundingRule="None",AN33,IF(RoundingRule="Nearest 0.99",MAX(0.99,CEILING(AN33,1)-0.01),IF(RoundingRule="Nearest 0.95",MAX(0.95,CEILING(AN33,1)-0.05),IF(RoundingRule="Nearest 0.50",CEILING(AN33,0.5),IF(RoundingRule="Nearest 1",CEILING(AN33,1),IF(RoundingRule="Nearest 5",CEILING(AN33,5),IF(RoundingRule="Up to whole 1",CEILING(AN33,1),IF(RoundingRule="Up to whole 5",CEILING(AN33,5),ROUND(AN33,2))))))))),2)))</f>
        <v>0</v>
      </c>
      <c r="AP33" s="20">
        <f>IF(B33="","",IF(W33&lt;&gt;"",W33,IF(ISNUMBER(AO33),AO33,"")))</f>
        <v>0</v>
      </c>
      <c r="AQ33" s="20">
        <f>IF(B33="","",IF(AP33="","",ROUND(AP33-AJ33-(AP33*AK33+AL33),2)))</f>
        <v>0</v>
      </c>
      <c r="AR33" s="33">
        <f>IF(B33="","",IF(OR(AP33="",AP33=0),"",AQ33/AP33))</f>
        <v>0</v>
      </c>
      <c r="AS33" s="41">
        <f>IF(B33="","",ROUND(AD33/60,3))</f>
        <v>0</v>
      </c>
      <c r="AT33" s="20">
        <f>IF(B33="","",IF(OR(AS33=0,AS33="",AQ33=""),"",ROUND((AQ33+AF33)/AS33,2)))</f>
        <v>0</v>
      </c>
      <c r="AU33" s="43">
        <f>IF(B33="","",IF(AND(A33&lt;&gt;"",ISERROR(MATCH(A33,Products!$A$5:$A$304,0))),"Check - no such product ID",IF(AC33=0,"Add - no material cost yet",IF(AD33=0,"Add - how long does it take?",IF(AND(A33&lt;&gt;"",COUNTIFS('Material Usage'!$A$5:$A$904,A33)&gt;0),"Check - this product also has a bill of materials",IF(AND(A33&lt;&gt;"",COUNTIFS(Labor!$A$5:$A$304,A33)&gt;0),"Check - this product also has labour lines",IF(AT33&lt;MinimumWage,"Below - pays under minimum wage","OK")))))) )</f>
        <v>0</v>
      </c>
    </row>
    <row r="34" spans="25:47">
      <c r="Y34" s="33">
        <f>IF(B34="","",IF(F34="",DefaultWaste,F34))</f>
        <v>0</v>
      </c>
      <c r="Z34" s="36">
        <f>IF(B34="","",ROUND((IF(E34="",0,E34)+IF(H34="",0,H34))*(1+Y34),1))</f>
        <v>0</v>
      </c>
      <c r="AA34" s="20">
        <f>IF(B34="","",ROUND(IF(E34="",0,E34)*(1+Y34)*IFERROR(INDEX(Materials!$V$5:$V$254,MATCH(D34,Materials!$A$5:$A$254,0)),0)+IF(H34="",0,H34)*(1+Y34)*IFERROR(INDEX(Materials!$V$5:$V$254,MATCH(G34,Materials!$A$5:$A$254,0)),0),2))</f>
        <v>0</v>
      </c>
      <c r="AB34" s="20">
        <f>IF(B34="","",ROUND(IF(L34="",0,L34)*IF(M34="",0,M34),2))</f>
        <v>0</v>
      </c>
      <c r="AC34" s="20">
        <f>IF(B34="","",ROUND(AA34+AB34+IF(I34="",0,I34)+IF(J34="",0,J34)+IF(N34="",0,N34),2))</f>
        <v>0</v>
      </c>
      <c r="AD34" s="36">
        <f>IF(B34="","",IF(Q34="",0,Q34)+IF(R34="",0,R34)+IF(S34="",0,S34)+IF(T34="",0,T34))</f>
        <v>0</v>
      </c>
      <c r="AE34" s="20">
        <f>IF(B34="","",IF(V34&lt;&gt;"",V34,LaborCostHour))</f>
        <v>0</v>
      </c>
      <c r="AF34" s="20">
        <f>IF(B34="","",ROUND(AD34/60*AE34,2))</f>
        <v>0</v>
      </c>
      <c r="AG34" s="20">
        <f>IF(B34="","",ROUND(IF(O34="",0,O34)/60*IF(P34="",0,P34),2))</f>
        <v>0</v>
      </c>
      <c r="AH34" s="20">
        <f>IF(B34="","",ROUND(AG34+AD34/60*SuppliesPerHour,2))</f>
        <v>0</v>
      </c>
      <c r="AI34" s="20">
        <f>IF(B34="","",ROUND((IF(E34="",0,E34)*IFERROR(INDEX(Materials!$V$5:$V$254,MATCH(D34,Materials!$A$5:$A$254,0)),0)+IF(H34="",0,H34)*IFERROR(INDEX(Materials!$V$5:$V$254,MATCH(G34,Materials!$A$5:$A$254,0)),0))*Y34,2))</f>
        <v>0</v>
      </c>
      <c r="AJ34" s="20">
        <f>IF(B34="","",ROUND(AC34+AF34+AH34,2))</f>
        <v>0</v>
      </c>
      <c r="AK34" s="33">
        <f>IF(B34="","",IFERROR(INDEX(Channels!$S$5:$S$18,MATCH(DefaultChannel,Channels!$A$5:$A$18,0)),0))</f>
        <v>0</v>
      </c>
      <c r="AL34" s="20">
        <f>IF(B34="","",IFERROR(INDEX(Channels!$T$5:$T$18,MATCH(DefaultChannel,Channels!$A$5:$A$18,0)),0))</f>
        <v>0</v>
      </c>
      <c r="AM34" s="41">
        <f>IF(B34="","",1-TargetRetailMargin-AK34)</f>
        <v>0</v>
      </c>
      <c r="AN34" s="20">
        <f>IF(B34="","",IF(AM34&lt;=0,"",(AJ34+AL34)/AM34))</f>
        <v>0</v>
      </c>
      <c r="AO34" s="20">
        <f>IF(B34="","",IF(AN34="","Check the settings",ROUND(IF(RoundingRule="None",AN34,IF(RoundingRule="Nearest 0.99",MAX(0.99,CEILING(AN34,1)-0.01),IF(RoundingRule="Nearest 0.95",MAX(0.95,CEILING(AN34,1)-0.05),IF(RoundingRule="Nearest 0.50",CEILING(AN34,0.5),IF(RoundingRule="Nearest 1",CEILING(AN34,1),IF(RoundingRule="Nearest 5",CEILING(AN34,5),IF(RoundingRule="Up to whole 1",CEILING(AN34,1),IF(RoundingRule="Up to whole 5",CEILING(AN34,5),ROUND(AN34,2))))))))),2)))</f>
        <v>0</v>
      </c>
      <c r="AP34" s="20">
        <f>IF(B34="","",IF(W34&lt;&gt;"",W34,IF(ISNUMBER(AO34),AO34,"")))</f>
        <v>0</v>
      </c>
      <c r="AQ34" s="20">
        <f>IF(B34="","",IF(AP34="","",ROUND(AP34-AJ34-(AP34*AK34+AL34),2)))</f>
        <v>0</v>
      </c>
      <c r="AR34" s="33">
        <f>IF(B34="","",IF(OR(AP34="",AP34=0),"",AQ34/AP34))</f>
        <v>0</v>
      </c>
      <c r="AS34" s="41">
        <f>IF(B34="","",ROUND(AD34/60,3))</f>
        <v>0</v>
      </c>
      <c r="AT34" s="20">
        <f>IF(B34="","",IF(OR(AS34=0,AS34="",AQ34=""),"",ROUND((AQ34+AF34)/AS34,2)))</f>
        <v>0</v>
      </c>
      <c r="AU34" s="43">
        <f>IF(B34="","",IF(AND(A34&lt;&gt;"",ISERROR(MATCH(A34,Products!$A$5:$A$304,0))),"Check - no such product ID",IF(AC34=0,"Add - no material cost yet",IF(AD34=0,"Add - how long does it take?",IF(AND(A34&lt;&gt;"",COUNTIFS('Material Usage'!$A$5:$A$904,A34)&gt;0),"Check - this product also has a bill of materials",IF(AND(A34&lt;&gt;"",COUNTIFS(Labor!$A$5:$A$304,A34)&gt;0),"Check - this product also has labour lines",IF(AT34&lt;MinimumWage,"Below - pays under minimum wage","OK")))))) )</f>
        <v>0</v>
      </c>
    </row>
    <row r="35" spans="25:47">
      <c r="Y35" s="33">
        <f>IF(B35="","",IF(F35="",DefaultWaste,F35))</f>
        <v>0</v>
      </c>
      <c r="Z35" s="36">
        <f>IF(B35="","",ROUND((IF(E35="",0,E35)+IF(H35="",0,H35))*(1+Y35),1))</f>
        <v>0</v>
      </c>
      <c r="AA35" s="20">
        <f>IF(B35="","",ROUND(IF(E35="",0,E35)*(1+Y35)*IFERROR(INDEX(Materials!$V$5:$V$254,MATCH(D35,Materials!$A$5:$A$254,0)),0)+IF(H35="",0,H35)*(1+Y35)*IFERROR(INDEX(Materials!$V$5:$V$254,MATCH(G35,Materials!$A$5:$A$254,0)),0),2))</f>
        <v>0</v>
      </c>
      <c r="AB35" s="20">
        <f>IF(B35="","",ROUND(IF(L35="",0,L35)*IF(M35="",0,M35),2))</f>
        <v>0</v>
      </c>
      <c r="AC35" s="20">
        <f>IF(B35="","",ROUND(AA35+AB35+IF(I35="",0,I35)+IF(J35="",0,J35)+IF(N35="",0,N35),2))</f>
        <v>0</v>
      </c>
      <c r="AD35" s="36">
        <f>IF(B35="","",IF(Q35="",0,Q35)+IF(R35="",0,R35)+IF(S35="",0,S35)+IF(T35="",0,T35))</f>
        <v>0</v>
      </c>
      <c r="AE35" s="20">
        <f>IF(B35="","",IF(V35&lt;&gt;"",V35,LaborCostHour))</f>
        <v>0</v>
      </c>
      <c r="AF35" s="20">
        <f>IF(B35="","",ROUND(AD35/60*AE35,2))</f>
        <v>0</v>
      </c>
      <c r="AG35" s="20">
        <f>IF(B35="","",ROUND(IF(O35="",0,O35)/60*IF(P35="",0,P35),2))</f>
        <v>0</v>
      </c>
      <c r="AH35" s="20">
        <f>IF(B35="","",ROUND(AG35+AD35/60*SuppliesPerHour,2))</f>
        <v>0</v>
      </c>
      <c r="AI35" s="20">
        <f>IF(B35="","",ROUND((IF(E35="",0,E35)*IFERROR(INDEX(Materials!$V$5:$V$254,MATCH(D35,Materials!$A$5:$A$254,0)),0)+IF(H35="",0,H35)*IFERROR(INDEX(Materials!$V$5:$V$254,MATCH(G35,Materials!$A$5:$A$254,0)),0))*Y35,2))</f>
        <v>0</v>
      </c>
      <c r="AJ35" s="20">
        <f>IF(B35="","",ROUND(AC35+AF35+AH35,2))</f>
        <v>0</v>
      </c>
      <c r="AK35" s="33">
        <f>IF(B35="","",IFERROR(INDEX(Channels!$S$5:$S$18,MATCH(DefaultChannel,Channels!$A$5:$A$18,0)),0))</f>
        <v>0</v>
      </c>
      <c r="AL35" s="20">
        <f>IF(B35="","",IFERROR(INDEX(Channels!$T$5:$T$18,MATCH(DefaultChannel,Channels!$A$5:$A$18,0)),0))</f>
        <v>0</v>
      </c>
      <c r="AM35" s="41">
        <f>IF(B35="","",1-TargetRetailMargin-AK35)</f>
        <v>0</v>
      </c>
      <c r="AN35" s="20">
        <f>IF(B35="","",IF(AM35&lt;=0,"",(AJ35+AL35)/AM35))</f>
        <v>0</v>
      </c>
      <c r="AO35" s="20">
        <f>IF(B35="","",IF(AN35="","Check the settings",ROUND(IF(RoundingRule="None",AN35,IF(RoundingRule="Nearest 0.99",MAX(0.99,CEILING(AN35,1)-0.01),IF(RoundingRule="Nearest 0.95",MAX(0.95,CEILING(AN35,1)-0.05),IF(RoundingRule="Nearest 0.50",CEILING(AN35,0.5),IF(RoundingRule="Nearest 1",CEILING(AN35,1),IF(RoundingRule="Nearest 5",CEILING(AN35,5),IF(RoundingRule="Up to whole 1",CEILING(AN35,1),IF(RoundingRule="Up to whole 5",CEILING(AN35,5),ROUND(AN35,2))))))))),2)))</f>
        <v>0</v>
      </c>
      <c r="AP35" s="20">
        <f>IF(B35="","",IF(W35&lt;&gt;"",W35,IF(ISNUMBER(AO35),AO35,"")))</f>
        <v>0</v>
      </c>
      <c r="AQ35" s="20">
        <f>IF(B35="","",IF(AP35="","",ROUND(AP35-AJ35-(AP35*AK35+AL35),2)))</f>
        <v>0</v>
      </c>
      <c r="AR35" s="33">
        <f>IF(B35="","",IF(OR(AP35="",AP35=0),"",AQ35/AP35))</f>
        <v>0</v>
      </c>
      <c r="AS35" s="41">
        <f>IF(B35="","",ROUND(AD35/60,3))</f>
        <v>0</v>
      </c>
      <c r="AT35" s="20">
        <f>IF(B35="","",IF(OR(AS35=0,AS35="",AQ35=""),"",ROUND((AQ35+AF35)/AS35,2)))</f>
        <v>0</v>
      </c>
      <c r="AU35" s="43">
        <f>IF(B35="","",IF(AND(A35&lt;&gt;"",ISERROR(MATCH(A35,Products!$A$5:$A$304,0))),"Check - no such product ID",IF(AC35=0,"Add - no material cost yet",IF(AD35=0,"Add - how long does it take?",IF(AND(A35&lt;&gt;"",COUNTIFS('Material Usage'!$A$5:$A$904,A35)&gt;0),"Check - this product also has a bill of materials",IF(AND(A35&lt;&gt;"",COUNTIFS(Labor!$A$5:$A$304,A35)&gt;0),"Check - this product also has labour lines",IF(AT35&lt;MinimumWage,"Below - pays under minimum wage","OK")))))) )</f>
        <v>0</v>
      </c>
    </row>
    <row r="36" spans="25:47">
      <c r="Y36" s="33">
        <f>IF(B36="","",IF(F36="",DefaultWaste,F36))</f>
        <v>0</v>
      </c>
      <c r="Z36" s="36">
        <f>IF(B36="","",ROUND((IF(E36="",0,E36)+IF(H36="",0,H36))*(1+Y36),1))</f>
        <v>0</v>
      </c>
      <c r="AA36" s="20">
        <f>IF(B36="","",ROUND(IF(E36="",0,E36)*(1+Y36)*IFERROR(INDEX(Materials!$V$5:$V$254,MATCH(D36,Materials!$A$5:$A$254,0)),0)+IF(H36="",0,H36)*(1+Y36)*IFERROR(INDEX(Materials!$V$5:$V$254,MATCH(G36,Materials!$A$5:$A$254,0)),0),2))</f>
        <v>0</v>
      </c>
      <c r="AB36" s="20">
        <f>IF(B36="","",ROUND(IF(L36="",0,L36)*IF(M36="",0,M36),2))</f>
        <v>0</v>
      </c>
      <c r="AC36" s="20">
        <f>IF(B36="","",ROUND(AA36+AB36+IF(I36="",0,I36)+IF(J36="",0,J36)+IF(N36="",0,N36),2))</f>
        <v>0</v>
      </c>
      <c r="AD36" s="36">
        <f>IF(B36="","",IF(Q36="",0,Q36)+IF(R36="",0,R36)+IF(S36="",0,S36)+IF(T36="",0,T36))</f>
        <v>0</v>
      </c>
      <c r="AE36" s="20">
        <f>IF(B36="","",IF(V36&lt;&gt;"",V36,LaborCostHour))</f>
        <v>0</v>
      </c>
      <c r="AF36" s="20">
        <f>IF(B36="","",ROUND(AD36/60*AE36,2))</f>
        <v>0</v>
      </c>
      <c r="AG36" s="20">
        <f>IF(B36="","",ROUND(IF(O36="",0,O36)/60*IF(P36="",0,P36),2))</f>
        <v>0</v>
      </c>
      <c r="AH36" s="20">
        <f>IF(B36="","",ROUND(AG36+AD36/60*SuppliesPerHour,2))</f>
        <v>0</v>
      </c>
      <c r="AI36" s="20">
        <f>IF(B36="","",ROUND((IF(E36="",0,E36)*IFERROR(INDEX(Materials!$V$5:$V$254,MATCH(D36,Materials!$A$5:$A$254,0)),0)+IF(H36="",0,H36)*IFERROR(INDEX(Materials!$V$5:$V$254,MATCH(G36,Materials!$A$5:$A$254,0)),0))*Y36,2))</f>
        <v>0</v>
      </c>
      <c r="AJ36" s="20">
        <f>IF(B36="","",ROUND(AC36+AF36+AH36,2))</f>
        <v>0</v>
      </c>
      <c r="AK36" s="33">
        <f>IF(B36="","",IFERROR(INDEX(Channels!$S$5:$S$18,MATCH(DefaultChannel,Channels!$A$5:$A$18,0)),0))</f>
        <v>0</v>
      </c>
      <c r="AL36" s="20">
        <f>IF(B36="","",IFERROR(INDEX(Channels!$T$5:$T$18,MATCH(DefaultChannel,Channels!$A$5:$A$18,0)),0))</f>
        <v>0</v>
      </c>
      <c r="AM36" s="41">
        <f>IF(B36="","",1-TargetRetailMargin-AK36)</f>
        <v>0</v>
      </c>
      <c r="AN36" s="20">
        <f>IF(B36="","",IF(AM36&lt;=0,"",(AJ36+AL36)/AM36))</f>
        <v>0</v>
      </c>
      <c r="AO36" s="20">
        <f>IF(B36="","",IF(AN36="","Check the settings",ROUND(IF(RoundingRule="None",AN36,IF(RoundingRule="Nearest 0.99",MAX(0.99,CEILING(AN36,1)-0.01),IF(RoundingRule="Nearest 0.95",MAX(0.95,CEILING(AN36,1)-0.05),IF(RoundingRule="Nearest 0.50",CEILING(AN36,0.5),IF(RoundingRule="Nearest 1",CEILING(AN36,1),IF(RoundingRule="Nearest 5",CEILING(AN36,5),IF(RoundingRule="Up to whole 1",CEILING(AN36,1),IF(RoundingRule="Up to whole 5",CEILING(AN36,5),ROUND(AN36,2))))))))),2)))</f>
        <v>0</v>
      </c>
      <c r="AP36" s="20">
        <f>IF(B36="","",IF(W36&lt;&gt;"",W36,IF(ISNUMBER(AO36),AO36,"")))</f>
        <v>0</v>
      </c>
      <c r="AQ36" s="20">
        <f>IF(B36="","",IF(AP36="","",ROUND(AP36-AJ36-(AP36*AK36+AL36),2)))</f>
        <v>0</v>
      </c>
      <c r="AR36" s="33">
        <f>IF(B36="","",IF(OR(AP36="",AP36=0),"",AQ36/AP36))</f>
        <v>0</v>
      </c>
      <c r="AS36" s="41">
        <f>IF(B36="","",ROUND(AD36/60,3))</f>
        <v>0</v>
      </c>
      <c r="AT36" s="20">
        <f>IF(B36="","",IF(OR(AS36=0,AS36="",AQ36=""),"",ROUND((AQ36+AF36)/AS36,2)))</f>
        <v>0</v>
      </c>
      <c r="AU36" s="43">
        <f>IF(B36="","",IF(AND(A36&lt;&gt;"",ISERROR(MATCH(A36,Products!$A$5:$A$304,0))),"Check - no such product ID",IF(AC36=0,"Add - no material cost yet",IF(AD36=0,"Add - how long does it take?",IF(AND(A36&lt;&gt;"",COUNTIFS('Material Usage'!$A$5:$A$904,A36)&gt;0),"Check - this product also has a bill of materials",IF(AND(A36&lt;&gt;"",COUNTIFS(Labor!$A$5:$A$304,A36)&gt;0),"Check - this product also has labour lines",IF(AT36&lt;MinimumWage,"Below - pays under minimum wage","OK")))))) )</f>
        <v>0</v>
      </c>
    </row>
    <row r="37" spans="25:47">
      <c r="Y37" s="33">
        <f>IF(B37="","",IF(F37="",DefaultWaste,F37))</f>
        <v>0</v>
      </c>
      <c r="Z37" s="36">
        <f>IF(B37="","",ROUND((IF(E37="",0,E37)+IF(H37="",0,H37))*(1+Y37),1))</f>
        <v>0</v>
      </c>
      <c r="AA37" s="20">
        <f>IF(B37="","",ROUND(IF(E37="",0,E37)*(1+Y37)*IFERROR(INDEX(Materials!$V$5:$V$254,MATCH(D37,Materials!$A$5:$A$254,0)),0)+IF(H37="",0,H37)*(1+Y37)*IFERROR(INDEX(Materials!$V$5:$V$254,MATCH(G37,Materials!$A$5:$A$254,0)),0),2))</f>
        <v>0</v>
      </c>
      <c r="AB37" s="20">
        <f>IF(B37="","",ROUND(IF(L37="",0,L37)*IF(M37="",0,M37),2))</f>
        <v>0</v>
      </c>
      <c r="AC37" s="20">
        <f>IF(B37="","",ROUND(AA37+AB37+IF(I37="",0,I37)+IF(J37="",0,J37)+IF(N37="",0,N37),2))</f>
        <v>0</v>
      </c>
      <c r="AD37" s="36">
        <f>IF(B37="","",IF(Q37="",0,Q37)+IF(R37="",0,R37)+IF(S37="",0,S37)+IF(T37="",0,T37))</f>
        <v>0</v>
      </c>
      <c r="AE37" s="20">
        <f>IF(B37="","",IF(V37&lt;&gt;"",V37,LaborCostHour))</f>
        <v>0</v>
      </c>
      <c r="AF37" s="20">
        <f>IF(B37="","",ROUND(AD37/60*AE37,2))</f>
        <v>0</v>
      </c>
      <c r="AG37" s="20">
        <f>IF(B37="","",ROUND(IF(O37="",0,O37)/60*IF(P37="",0,P37),2))</f>
        <v>0</v>
      </c>
      <c r="AH37" s="20">
        <f>IF(B37="","",ROUND(AG37+AD37/60*SuppliesPerHour,2))</f>
        <v>0</v>
      </c>
      <c r="AI37" s="20">
        <f>IF(B37="","",ROUND((IF(E37="",0,E37)*IFERROR(INDEX(Materials!$V$5:$V$254,MATCH(D37,Materials!$A$5:$A$254,0)),0)+IF(H37="",0,H37)*IFERROR(INDEX(Materials!$V$5:$V$254,MATCH(G37,Materials!$A$5:$A$254,0)),0))*Y37,2))</f>
        <v>0</v>
      </c>
      <c r="AJ37" s="20">
        <f>IF(B37="","",ROUND(AC37+AF37+AH37,2))</f>
        <v>0</v>
      </c>
      <c r="AK37" s="33">
        <f>IF(B37="","",IFERROR(INDEX(Channels!$S$5:$S$18,MATCH(DefaultChannel,Channels!$A$5:$A$18,0)),0))</f>
        <v>0</v>
      </c>
      <c r="AL37" s="20">
        <f>IF(B37="","",IFERROR(INDEX(Channels!$T$5:$T$18,MATCH(DefaultChannel,Channels!$A$5:$A$18,0)),0))</f>
        <v>0</v>
      </c>
      <c r="AM37" s="41">
        <f>IF(B37="","",1-TargetRetailMargin-AK37)</f>
        <v>0</v>
      </c>
      <c r="AN37" s="20">
        <f>IF(B37="","",IF(AM37&lt;=0,"",(AJ37+AL37)/AM37))</f>
        <v>0</v>
      </c>
      <c r="AO37" s="20">
        <f>IF(B37="","",IF(AN37="","Check the settings",ROUND(IF(RoundingRule="None",AN37,IF(RoundingRule="Nearest 0.99",MAX(0.99,CEILING(AN37,1)-0.01),IF(RoundingRule="Nearest 0.95",MAX(0.95,CEILING(AN37,1)-0.05),IF(RoundingRule="Nearest 0.50",CEILING(AN37,0.5),IF(RoundingRule="Nearest 1",CEILING(AN37,1),IF(RoundingRule="Nearest 5",CEILING(AN37,5),IF(RoundingRule="Up to whole 1",CEILING(AN37,1),IF(RoundingRule="Up to whole 5",CEILING(AN37,5),ROUND(AN37,2))))))))),2)))</f>
        <v>0</v>
      </c>
      <c r="AP37" s="20">
        <f>IF(B37="","",IF(W37&lt;&gt;"",W37,IF(ISNUMBER(AO37),AO37,"")))</f>
        <v>0</v>
      </c>
      <c r="AQ37" s="20">
        <f>IF(B37="","",IF(AP37="","",ROUND(AP37-AJ37-(AP37*AK37+AL37),2)))</f>
        <v>0</v>
      </c>
      <c r="AR37" s="33">
        <f>IF(B37="","",IF(OR(AP37="",AP37=0),"",AQ37/AP37))</f>
        <v>0</v>
      </c>
      <c r="AS37" s="41">
        <f>IF(B37="","",ROUND(AD37/60,3))</f>
        <v>0</v>
      </c>
      <c r="AT37" s="20">
        <f>IF(B37="","",IF(OR(AS37=0,AS37="",AQ37=""),"",ROUND((AQ37+AF37)/AS37,2)))</f>
        <v>0</v>
      </c>
      <c r="AU37" s="43">
        <f>IF(B37="","",IF(AND(A37&lt;&gt;"",ISERROR(MATCH(A37,Products!$A$5:$A$304,0))),"Check - no such product ID",IF(AC37=0,"Add - no material cost yet",IF(AD37=0,"Add - how long does it take?",IF(AND(A37&lt;&gt;"",COUNTIFS('Material Usage'!$A$5:$A$904,A37)&gt;0),"Check - this product also has a bill of materials",IF(AND(A37&lt;&gt;"",COUNTIFS(Labor!$A$5:$A$304,A37)&gt;0),"Check - this product also has labour lines",IF(AT37&lt;MinimumWage,"Below - pays under minimum wage","OK")))))) )</f>
        <v>0</v>
      </c>
    </row>
    <row r="38" spans="25:47">
      <c r="Y38" s="33">
        <f>IF(B38="","",IF(F38="",DefaultWaste,F38))</f>
        <v>0</v>
      </c>
      <c r="Z38" s="36">
        <f>IF(B38="","",ROUND((IF(E38="",0,E38)+IF(H38="",0,H38))*(1+Y38),1))</f>
        <v>0</v>
      </c>
      <c r="AA38" s="20">
        <f>IF(B38="","",ROUND(IF(E38="",0,E38)*(1+Y38)*IFERROR(INDEX(Materials!$V$5:$V$254,MATCH(D38,Materials!$A$5:$A$254,0)),0)+IF(H38="",0,H38)*(1+Y38)*IFERROR(INDEX(Materials!$V$5:$V$254,MATCH(G38,Materials!$A$5:$A$254,0)),0),2))</f>
        <v>0</v>
      </c>
      <c r="AB38" s="20">
        <f>IF(B38="","",ROUND(IF(L38="",0,L38)*IF(M38="",0,M38),2))</f>
        <v>0</v>
      </c>
      <c r="AC38" s="20">
        <f>IF(B38="","",ROUND(AA38+AB38+IF(I38="",0,I38)+IF(J38="",0,J38)+IF(N38="",0,N38),2))</f>
        <v>0</v>
      </c>
      <c r="AD38" s="36">
        <f>IF(B38="","",IF(Q38="",0,Q38)+IF(R38="",0,R38)+IF(S38="",0,S38)+IF(T38="",0,T38))</f>
        <v>0</v>
      </c>
      <c r="AE38" s="20">
        <f>IF(B38="","",IF(V38&lt;&gt;"",V38,LaborCostHour))</f>
        <v>0</v>
      </c>
      <c r="AF38" s="20">
        <f>IF(B38="","",ROUND(AD38/60*AE38,2))</f>
        <v>0</v>
      </c>
      <c r="AG38" s="20">
        <f>IF(B38="","",ROUND(IF(O38="",0,O38)/60*IF(P38="",0,P38),2))</f>
        <v>0</v>
      </c>
      <c r="AH38" s="20">
        <f>IF(B38="","",ROUND(AG38+AD38/60*SuppliesPerHour,2))</f>
        <v>0</v>
      </c>
      <c r="AI38" s="20">
        <f>IF(B38="","",ROUND((IF(E38="",0,E38)*IFERROR(INDEX(Materials!$V$5:$V$254,MATCH(D38,Materials!$A$5:$A$254,0)),0)+IF(H38="",0,H38)*IFERROR(INDEX(Materials!$V$5:$V$254,MATCH(G38,Materials!$A$5:$A$254,0)),0))*Y38,2))</f>
        <v>0</v>
      </c>
      <c r="AJ38" s="20">
        <f>IF(B38="","",ROUND(AC38+AF38+AH38,2))</f>
        <v>0</v>
      </c>
      <c r="AK38" s="33">
        <f>IF(B38="","",IFERROR(INDEX(Channels!$S$5:$S$18,MATCH(DefaultChannel,Channels!$A$5:$A$18,0)),0))</f>
        <v>0</v>
      </c>
      <c r="AL38" s="20">
        <f>IF(B38="","",IFERROR(INDEX(Channels!$T$5:$T$18,MATCH(DefaultChannel,Channels!$A$5:$A$18,0)),0))</f>
        <v>0</v>
      </c>
      <c r="AM38" s="41">
        <f>IF(B38="","",1-TargetRetailMargin-AK38)</f>
        <v>0</v>
      </c>
      <c r="AN38" s="20">
        <f>IF(B38="","",IF(AM38&lt;=0,"",(AJ38+AL38)/AM38))</f>
        <v>0</v>
      </c>
      <c r="AO38" s="20">
        <f>IF(B38="","",IF(AN38="","Check the settings",ROUND(IF(RoundingRule="None",AN38,IF(RoundingRule="Nearest 0.99",MAX(0.99,CEILING(AN38,1)-0.01),IF(RoundingRule="Nearest 0.95",MAX(0.95,CEILING(AN38,1)-0.05),IF(RoundingRule="Nearest 0.50",CEILING(AN38,0.5),IF(RoundingRule="Nearest 1",CEILING(AN38,1),IF(RoundingRule="Nearest 5",CEILING(AN38,5),IF(RoundingRule="Up to whole 1",CEILING(AN38,1),IF(RoundingRule="Up to whole 5",CEILING(AN38,5),ROUND(AN38,2))))))))),2)))</f>
        <v>0</v>
      </c>
      <c r="AP38" s="20">
        <f>IF(B38="","",IF(W38&lt;&gt;"",W38,IF(ISNUMBER(AO38),AO38,"")))</f>
        <v>0</v>
      </c>
      <c r="AQ38" s="20">
        <f>IF(B38="","",IF(AP38="","",ROUND(AP38-AJ38-(AP38*AK38+AL38),2)))</f>
        <v>0</v>
      </c>
      <c r="AR38" s="33">
        <f>IF(B38="","",IF(OR(AP38="",AP38=0),"",AQ38/AP38))</f>
        <v>0</v>
      </c>
      <c r="AS38" s="41">
        <f>IF(B38="","",ROUND(AD38/60,3))</f>
        <v>0</v>
      </c>
      <c r="AT38" s="20">
        <f>IF(B38="","",IF(OR(AS38=0,AS38="",AQ38=""),"",ROUND((AQ38+AF38)/AS38,2)))</f>
        <v>0</v>
      </c>
      <c r="AU38" s="43">
        <f>IF(B38="","",IF(AND(A38&lt;&gt;"",ISERROR(MATCH(A38,Products!$A$5:$A$304,0))),"Check - no such product ID",IF(AC38=0,"Add - no material cost yet",IF(AD38=0,"Add - how long does it take?",IF(AND(A38&lt;&gt;"",COUNTIFS('Material Usage'!$A$5:$A$904,A38)&gt;0),"Check - this product also has a bill of materials",IF(AND(A38&lt;&gt;"",COUNTIFS(Labor!$A$5:$A$304,A38)&gt;0),"Check - this product also has labour lines",IF(AT38&lt;MinimumWage,"Below - pays under minimum wage","OK")))))) )</f>
        <v>0</v>
      </c>
    </row>
    <row r="39" spans="25:47">
      <c r="Y39" s="33">
        <f>IF(B39="","",IF(F39="",DefaultWaste,F39))</f>
        <v>0</v>
      </c>
      <c r="Z39" s="36">
        <f>IF(B39="","",ROUND((IF(E39="",0,E39)+IF(H39="",0,H39))*(1+Y39),1))</f>
        <v>0</v>
      </c>
      <c r="AA39" s="20">
        <f>IF(B39="","",ROUND(IF(E39="",0,E39)*(1+Y39)*IFERROR(INDEX(Materials!$V$5:$V$254,MATCH(D39,Materials!$A$5:$A$254,0)),0)+IF(H39="",0,H39)*(1+Y39)*IFERROR(INDEX(Materials!$V$5:$V$254,MATCH(G39,Materials!$A$5:$A$254,0)),0),2))</f>
        <v>0</v>
      </c>
      <c r="AB39" s="20">
        <f>IF(B39="","",ROUND(IF(L39="",0,L39)*IF(M39="",0,M39),2))</f>
        <v>0</v>
      </c>
      <c r="AC39" s="20">
        <f>IF(B39="","",ROUND(AA39+AB39+IF(I39="",0,I39)+IF(J39="",0,J39)+IF(N39="",0,N39),2))</f>
        <v>0</v>
      </c>
      <c r="AD39" s="36">
        <f>IF(B39="","",IF(Q39="",0,Q39)+IF(R39="",0,R39)+IF(S39="",0,S39)+IF(T39="",0,T39))</f>
        <v>0</v>
      </c>
      <c r="AE39" s="20">
        <f>IF(B39="","",IF(V39&lt;&gt;"",V39,LaborCostHour))</f>
        <v>0</v>
      </c>
      <c r="AF39" s="20">
        <f>IF(B39="","",ROUND(AD39/60*AE39,2))</f>
        <v>0</v>
      </c>
      <c r="AG39" s="20">
        <f>IF(B39="","",ROUND(IF(O39="",0,O39)/60*IF(P39="",0,P39),2))</f>
        <v>0</v>
      </c>
      <c r="AH39" s="20">
        <f>IF(B39="","",ROUND(AG39+AD39/60*SuppliesPerHour,2))</f>
        <v>0</v>
      </c>
      <c r="AI39" s="20">
        <f>IF(B39="","",ROUND((IF(E39="",0,E39)*IFERROR(INDEX(Materials!$V$5:$V$254,MATCH(D39,Materials!$A$5:$A$254,0)),0)+IF(H39="",0,H39)*IFERROR(INDEX(Materials!$V$5:$V$254,MATCH(G39,Materials!$A$5:$A$254,0)),0))*Y39,2))</f>
        <v>0</v>
      </c>
      <c r="AJ39" s="20">
        <f>IF(B39="","",ROUND(AC39+AF39+AH39,2))</f>
        <v>0</v>
      </c>
      <c r="AK39" s="33">
        <f>IF(B39="","",IFERROR(INDEX(Channels!$S$5:$S$18,MATCH(DefaultChannel,Channels!$A$5:$A$18,0)),0))</f>
        <v>0</v>
      </c>
      <c r="AL39" s="20">
        <f>IF(B39="","",IFERROR(INDEX(Channels!$T$5:$T$18,MATCH(DefaultChannel,Channels!$A$5:$A$18,0)),0))</f>
        <v>0</v>
      </c>
      <c r="AM39" s="41">
        <f>IF(B39="","",1-TargetRetailMargin-AK39)</f>
        <v>0</v>
      </c>
      <c r="AN39" s="20">
        <f>IF(B39="","",IF(AM39&lt;=0,"",(AJ39+AL39)/AM39))</f>
        <v>0</v>
      </c>
      <c r="AO39" s="20">
        <f>IF(B39="","",IF(AN39="","Check the settings",ROUND(IF(RoundingRule="None",AN39,IF(RoundingRule="Nearest 0.99",MAX(0.99,CEILING(AN39,1)-0.01),IF(RoundingRule="Nearest 0.95",MAX(0.95,CEILING(AN39,1)-0.05),IF(RoundingRule="Nearest 0.50",CEILING(AN39,0.5),IF(RoundingRule="Nearest 1",CEILING(AN39,1),IF(RoundingRule="Nearest 5",CEILING(AN39,5),IF(RoundingRule="Up to whole 1",CEILING(AN39,1),IF(RoundingRule="Up to whole 5",CEILING(AN39,5),ROUND(AN39,2))))))))),2)))</f>
        <v>0</v>
      </c>
      <c r="AP39" s="20">
        <f>IF(B39="","",IF(W39&lt;&gt;"",W39,IF(ISNUMBER(AO39),AO39,"")))</f>
        <v>0</v>
      </c>
      <c r="AQ39" s="20">
        <f>IF(B39="","",IF(AP39="","",ROUND(AP39-AJ39-(AP39*AK39+AL39),2)))</f>
        <v>0</v>
      </c>
      <c r="AR39" s="33">
        <f>IF(B39="","",IF(OR(AP39="",AP39=0),"",AQ39/AP39))</f>
        <v>0</v>
      </c>
      <c r="AS39" s="41">
        <f>IF(B39="","",ROUND(AD39/60,3))</f>
        <v>0</v>
      </c>
      <c r="AT39" s="20">
        <f>IF(B39="","",IF(OR(AS39=0,AS39="",AQ39=""),"",ROUND((AQ39+AF39)/AS39,2)))</f>
        <v>0</v>
      </c>
      <c r="AU39" s="43">
        <f>IF(B39="","",IF(AND(A39&lt;&gt;"",ISERROR(MATCH(A39,Products!$A$5:$A$304,0))),"Check - no such product ID",IF(AC39=0,"Add - no material cost yet",IF(AD39=0,"Add - how long does it take?",IF(AND(A39&lt;&gt;"",COUNTIFS('Material Usage'!$A$5:$A$904,A39)&gt;0),"Check - this product also has a bill of materials",IF(AND(A39&lt;&gt;"",COUNTIFS(Labor!$A$5:$A$304,A39)&gt;0),"Check - this product also has labour lines",IF(AT39&lt;MinimumWage,"Below - pays under minimum wage","OK")))))) )</f>
        <v>0</v>
      </c>
    </row>
    <row r="40" spans="25:47">
      <c r="Y40" s="33">
        <f>IF(B40="","",IF(F40="",DefaultWaste,F40))</f>
        <v>0</v>
      </c>
      <c r="Z40" s="36">
        <f>IF(B40="","",ROUND((IF(E40="",0,E40)+IF(H40="",0,H40))*(1+Y40),1))</f>
        <v>0</v>
      </c>
      <c r="AA40" s="20">
        <f>IF(B40="","",ROUND(IF(E40="",0,E40)*(1+Y40)*IFERROR(INDEX(Materials!$V$5:$V$254,MATCH(D40,Materials!$A$5:$A$254,0)),0)+IF(H40="",0,H40)*(1+Y40)*IFERROR(INDEX(Materials!$V$5:$V$254,MATCH(G40,Materials!$A$5:$A$254,0)),0),2))</f>
        <v>0</v>
      </c>
      <c r="AB40" s="20">
        <f>IF(B40="","",ROUND(IF(L40="",0,L40)*IF(M40="",0,M40),2))</f>
        <v>0</v>
      </c>
      <c r="AC40" s="20">
        <f>IF(B40="","",ROUND(AA40+AB40+IF(I40="",0,I40)+IF(J40="",0,J40)+IF(N40="",0,N40),2))</f>
        <v>0</v>
      </c>
      <c r="AD40" s="36">
        <f>IF(B40="","",IF(Q40="",0,Q40)+IF(R40="",0,R40)+IF(S40="",0,S40)+IF(T40="",0,T40))</f>
        <v>0</v>
      </c>
      <c r="AE40" s="20">
        <f>IF(B40="","",IF(V40&lt;&gt;"",V40,LaborCostHour))</f>
        <v>0</v>
      </c>
      <c r="AF40" s="20">
        <f>IF(B40="","",ROUND(AD40/60*AE40,2))</f>
        <v>0</v>
      </c>
      <c r="AG40" s="20">
        <f>IF(B40="","",ROUND(IF(O40="",0,O40)/60*IF(P40="",0,P40),2))</f>
        <v>0</v>
      </c>
      <c r="AH40" s="20">
        <f>IF(B40="","",ROUND(AG40+AD40/60*SuppliesPerHour,2))</f>
        <v>0</v>
      </c>
      <c r="AI40" s="20">
        <f>IF(B40="","",ROUND((IF(E40="",0,E40)*IFERROR(INDEX(Materials!$V$5:$V$254,MATCH(D40,Materials!$A$5:$A$254,0)),0)+IF(H40="",0,H40)*IFERROR(INDEX(Materials!$V$5:$V$254,MATCH(G40,Materials!$A$5:$A$254,0)),0))*Y40,2))</f>
        <v>0</v>
      </c>
      <c r="AJ40" s="20">
        <f>IF(B40="","",ROUND(AC40+AF40+AH40,2))</f>
        <v>0</v>
      </c>
      <c r="AK40" s="33">
        <f>IF(B40="","",IFERROR(INDEX(Channels!$S$5:$S$18,MATCH(DefaultChannel,Channels!$A$5:$A$18,0)),0))</f>
        <v>0</v>
      </c>
      <c r="AL40" s="20">
        <f>IF(B40="","",IFERROR(INDEX(Channels!$T$5:$T$18,MATCH(DefaultChannel,Channels!$A$5:$A$18,0)),0))</f>
        <v>0</v>
      </c>
      <c r="AM40" s="41">
        <f>IF(B40="","",1-TargetRetailMargin-AK40)</f>
        <v>0</v>
      </c>
      <c r="AN40" s="20">
        <f>IF(B40="","",IF(AM40&lt;=0,"",(AJ40+AL40)/AM40))</f>
        <v>0</v>
      </c>
      <c r="AO40" s="20">
        <f>IF(B40="","",IF(AN40="","Check the settings",ROUND(IF(RoundingRule="None",AN40,IF(RoundingRule="Nearest 0.99",MAX(0.99,CEILING(AN40,1)-0.01),IF(RoundingRule="Nearest 0.95",MAX(0.95,CEILING(AN40,1)-0.05),IF(RoundingRule="Nearest 0.50",CEILING(AN40,0.5),IF(RoundingRule="Nearest 1",CEILING(AN40,1),IF(RoundingRule="Nearest 5",CEILING(AN40,5),IF(RoundingRule="Up to whole 1",CEILING(AN40,1),IF(RoundingRule="Up to whole 5",CEILING(AN40,5),ROUND(AN40,2))))))))),2)))</f>
        <v>0</v>
      </c>
      <c r="AP40" s="20">
        <f>IF(B40="","",IF(W40&lt;&gt;"",W40,IF(ISNUMBER(AO40),AO40,"")))</f>
        <v>0</v>
      </c>
      <c r="AQ40" s="20">
        <f>IF(B40="","",IF(AP40="","",ROUND(AP40-AJ40-(AP40*AK40+AL40),2)))</f>
        <v>0</v>
      </c>
      <c r="AR40" s="33">
        <f>IF(B40="","",IF(OR(AP40="",AP40=0),"",AQ40/AP40))</f>
        <v>0</v>
      </c>
      <c r="AS40" s="41">
        <f>IF(B40="","",ROUND(AD40/60,3))</f>
        <v>0</v>
      </c>
      <c r="AT40" s="20">
        <f>IF(B40="","",IF(OR(AS40=0,AS40="",AQ40=""),"",ROUND((AQ40+AF40)/AS40,2)))</f>
        <v>0</v>
      </c>
      <c r="AU40" s="43">
        <f>IF(B40="","",IF(AND(A40&lt;&gt;"",ISERROR(MATCH(A40,Products!$A$5:$A$304,0))),"Check - no such product ID",IF(AC40=0,"Add - no material cost yet",IF(AD40=0,"Add - how long does it take?",IF(AND(A40&lt;&gt;"",COUNTIFS('Material Usage'!$A$5:$A$904,A40)&gt;0),"Check - this product also has a bill of materials",IF(AND(A40&lt;&gt;"",COUNTIFS(Labor!$A$5:$A$304,A40)&gt;0),"Check - this product also has labour lines",IF(AT40&lt;MinimumWage,"Below - pays under minimum wage","OK")))))) )</f>
        <v>0</v>
      </c>
    </row>
    <row r="41" spans="25:47">
      <c r="Y41" s="33">
        <f>IF(B41="","",IF(F41="",DefaultWaste,F41))</f>
        <v>0</v>
      </c>
      <c r="Z41" s="36">
        <f>IF(B41="","",ROUND((IF(E41="",0,E41)+IF(H41="",0,H41))*(1+Y41),1))</f>
        <v>0</v>
      </c>
      <c r="AA41" s="20">
        <f>IF(B41="","",ROUND(IF(E41="",0,E41)*(1+Y41)*IFERROR(INDEX(Materials!$V$5:$V$254,MATCH(D41,Materials!$A$5:$A$254,0)),0)+IF(H41="",0,H41)*(1+Y41)*IFERROR(INDEX(Materials!$V$5:$V$254,MATCH(G41,Materials!$A$5:$A$254,0)),0),2))</f>
        <v>0</v>
      </c>
      <c r="AB41" s="20">
        <f>IF(B41="","",ROUND(IF(L41="",0,L41)*IF(M41="",0,M41),2))</f>
        <v>0</v>
      </c>
      <c r="AC41" s="20">
        <f>IF(B41="","",ROUND(AA41+AB41+IF(I41="",0,I41)+IF(J41="",0,J41)+IF(N41="",0,N41),2))</f>
        <v>0</v>
      </c>
      <c r="AD41" s="36">
        <f>IF(B41="","",IF(Q41="",0,Q41)+IF(R41="",0,R41)+IF(S41="",0,S41)+IF(T41="",0,T41))</f>
        <v>0</v>
      </c>
      <c r="AE41" s="20">
        <f>IF(B41="","",IF(V41&lt;&gt;"",V41,LaborCostHour))</f>
        <v>0</v>
      </c>
      <c r="AF41" s="20">
        <f>IF(B41="","",ROUND(AD41/60*AE41,2))</f>
        <v>0</v>
      </c>
      <c r="AG41" s="20">
        <f>IF(B41="","",ROUND(IF(O41="",0,O41)/60*IF(P41="",0,P41),2))</f>
        <v>0</v>
      </c>
      <c r="AH41" s="20">
        <f>IF(B41="","",ROUND(AG41+AD41/60*SuppliesPerHour,2))</f>
        <v>0</v>
      </c>
      <c r="AI41" s="20">
        <f>IF(B41="","",ROUND((IF(E41="",0,E41)*IFERROR(INDEX(Materials!$V$5:$V$254,MATCH(D41,Materials!$A$5:$A$254,0)),0)+IF(H41="",0,H41)*IFERROR(INDEX(Materials!$V$5:$V$254,MATCH(G41,Materials!$A$5:$A$254,0)),0))*Y41,2))</f>
        <v>0</v>
      </c>
      <c r="AJ41" s="20">
        <f>IF(B41="","",ROUND(AC41+AF41+AH41,2))</f>
        <v>0</v>
      </c>
      <c r="AK41" s="33">
        <f>IF(B41="","",IFERROR(INDEX(Channels!$S$5:$S$18,MATCH(DefaultChannel,Channels!$A$5:$A$18,0)),0))</f>
        <v>0</v>
      </c>
      <c r="AL41" s="20">
        <f>IF(B41="","",IFERROR(INDEX(Channels!$T$5:$T$18,MATCH(DefaultChannel,Channels!$A$5:$A$18,0)),0))</f>
        <v>0</v>
      </c>
      <c r="AM41" s="41">
        <f>IF(B41="","",1-TargetRetailMargin-AK41)</f>
        <v>0</v>
      </c>
      <c r="AN41" s="20">
        <f>IF(B41="","",IF(AM41&lt;=0,"",(AJ41+AL41)/AM41))</f>
        <v>0</v>
      </c>
      <c r="AO41" s="20">
        <f>IF(B41="","",IF(AN41="","Check the settings",ROUND(IF(RoundingRule="None",AN41,IF(RoundingRule="Nearest 0.99",MAX(0.99,CEILING(AN41,1)-0.01),IF(RoundingRule="Nearest 0.95",MAX(0.95,CEILING(AN41,1)-0.05),IF(RoundingRule="Nearest 0.50",CEILING(AN41,0.5),IF(RoundingRule="Nearest 1",CEILING(AN41,1),IF(RoundingRule="Nearest 5",CEILING(AN41,5),IF(RoundingRule="Up to whole 1",CEILING(AN41,1),IF(RoundingRule="Up to whole 5",CEILING(AN41,5),ROUND(AN41,2))))))))),2)))</f>
        <v>0</v>
      </c>
      <c r="AP41" s="20">
        <f>IF(B41="","",IF(W41&lt;&gt;"",W41,IF(ISNUMBER(AO41),AO41,"")))</f>
        <v>0</v>
      </c>
      <c r="AQ41" s="20">
        <f>IF(B41="","",IF(AP41="","",ROUND(AP41-AJ41-(AP41*AK41+AL41),2)))</f>
        <v>0</v>
      </c>
      <c r="AR41" s="33">
        <f>IF(B41="","",IF(OR(AP41="",AP41=0),"",AQ41/AP41))</f>
        <v>0</v>
      </c>
      <c r="AS41" s="41">
        <f>IF(B41="","",ROUND(AD41/60,3))</f>
        <v>0</v>
      </c>
      <c r="AT41" s="20">
        <f>IF(B41="","",IF(OR(AS41=0,AS41="",AQ41=""),"",ROUND((AQ41+AF41)/AS41,2)))</f>
        <v>0</v>
      </c>
      <c r="AU41" s="43">
        <f>IF(B41="","",IF(AND(A41&lt;&gt;"",ISERROR(MATCH(A41,Products!$A$5:$A$304,0))),"Check - no such product ID",IF(AC41=0,"Add - no material cost yet",IF(AD41=0,"Add - how long does it take?",IF(AND(A41&lt;&gt;"",COUNTIFS('Material Usage'!$A$5:$A$904,A41)&gt;0),"Check - this product also has a bill of materials",IF(AND(A41&lt;&gt;"",COUNTIFS(Labor!$A$5:$A$304,A41)&gt;0),"Check - this product also has labour lines",IF(AT41&lt;MinimumWage,"Below - pays under minimum wage","OK")))))) )</f>
        <v>0</v>
      </c>
    </row>
    <row r="42" spans="25:47">
      <c r="Y42" s="33">
        <f>IF(B42="","",IF(F42="",DefaultWaste,F42))</f>
        <v>0</v>
      </c>
      <c r="Z42" s="36">
        <f>IF(B42="","",ROUND((IF(E42="",0,E42)+IF(H42="",0,H42))*(1+Y42),1))</f>
        <v>0</v>
      </c>
      <c r="AA42" s="20">
        <f>IF(B42="","",ROUND(IF(E42="",0,E42)*(1+Y42)*IFERROR(INDEX(Materials!$V$5:$V$254,MATCH(D42,Materials!$A$5:$A$254,0)),0)+IF(H42="",0,H42)*(1+Y42)*IFERROR(INDEX(Materials!$V$5:$V$254,MATCH(G42,Materials!$A$5:$A$254,0)),0),2))</f>
        <v>0</v>
      </c>
      <c r="AB42" s="20">
        <f>IF(B42="","",ROUND(IF(L42="",0,L42)*IF(M42="",0,M42),2))</f>
        <v>0</v>
      </c>
      <c r="AC42" s="20">
        <f>IF(B42="","",ROUND(AA42+AB42+IF(I42="",0,I42)+IF(J42="",0,J42)+IF(N42="",0,N42),2))</f>
        <v>0</v>
      </c>
      <c r="AD42" s="36">
        <f>IF(B42="","",IF(Q42="",0,Q42)+IF(R42="",0,R42)+IF(S42="",0,S42)+IF(T42="",0,T42))</f>
        <v>0</v>
      </c>
      <c r="AE42" s="20">
        <f>IF(B42="","",IF(V42&lt;&gt;"",V42,LaborCostHour))</f>
        <v>0</v>
      </c>
      <c r="AF42" s="20">
        <f>IF(B42="","",ROUND(AD42/60*AE42,2))</f>
        <v>0</v>
      </c>
      <c r="AG42" s="20">
        <f>IF(B42="","",ROUND(IF(O42="",0,O42)/60*IF(P42="",0,P42),2))</f>
        <v>0</v>
      </c>
      <c r="AH42" s="20">
        <f>IF(B42="","",ROUND(AG42+AD42/60*SuppliesPerHour,2))</f>
        <v>0</v>
      </c>
      <c r="AI42" s="20">
        <f>IF(B42="","",ROUND((IF(E42="",0,E42)*IFERROR(INDEX(Materials!$V$5:$V$254,MATCH(D42,Materials!$A$5:$A$254,0)),0)+IF(H42="",0,H42)*IFERROR(INDEX(Materials!$V$5:$V$254,MATCH(G42,Materials!$A$5:$A$254,0)),0))*Y42,2))</f>
        <v>0</v>
      </c>
      <c r="AJ42" s="20">
        <f>IF(B42="","",ROUND(AC42+AF42+AH42,2))</f>
        <v>0</v>
      </c>
      <c r="AK42" s="33">
        <f>IF(B42="","",IFERROR(INDEX(Channels!$S$5:$S$18,MATCH(DefaultChannel,Channels!$A$5:$A$18,0)),0))</f>
        <v>0</v>
      </c>
      <c r="AL42" s="20">
        <f>IF(B42="","",IFERROR(INDEX(Channels!$T$5:$T$18,MATCH(DefaultChannel,Channels!$A$5:$A$18,0)),0))</f>
        <v>0</v>
      </c>
      <c r="AM42" s="41">
        <f>IF(B42="","",1-TargetRetailMargin-AK42)</f>
        <v>0</v>
      </c>
      <c r="AN42" s="20">
        <f>IF(B42="","",IF(AM42&lt;=0,"",(AJ42+AL42)/AM42))</f>
        <v>0</v>
      </c>
      <c r="AO42" s="20">
        <f>IF(B42="","",IF(AN42="","Check the settings",ROUND(IF(RoundingRule="None",AN42,IF(RoundingRule="Nearest 0.99",MAX(0.99,CEILING(AN42,1)-0.01),IF(RoundingRule="Nearest 0.95",MAX(0.95,CEILING(AN42,1)-0.05),IF(RoundingRule="Nearest 0.50",CEILING(AN42,0.5),IF(RoundingRule="Nearest 1",CEILING(AN42,1),IF(RoundingRule="Nearest 5",CEILING(AN42,5),IF(RoundingRule="Up to whole 1",CEILING(AN42,1),IF(RoundingRule="Up to whole 5",CEILING(AN42,5),ROUND(AN42,2))))))))),2)))</f>
        <v>0</v>
      </c>
      <c r="AP42" s="20">
        <f>IF(B42="","",IF(W42&lt;&gt;"",W42,IF(ISNUMBER(AO42),AO42,"")))</f>
        <v>0</v>
      </c>
      <c r="AQ42" s="20">
        <f>IF(B42="","",IF(AP42="","",ROUND(AP42-AJ42-(AP42*AK42+AL42),2)))</f>
        <v>0</v>
      </c>
      <c r="AR42" s="33">
        <f>IF(B42="","",IF(OR(AP42="",AP42=0),"",AQ42/AP42))</f>
        <v>0</v>
      </c>
      <c r="AS42" s="41">
        <f>IF(B42="","",ROUND(AD42/60,3))</f>
        <v>0</v>
      </c>
      <c r="AT42" s="20">
        <f>IF(B42="","",IF(OR(AS42=0,AS42="",AQ42=""),"",ROUND((AQ42+AF42)/AS42,2)))</f>
        <v>0</v>
      </c>
      <c r="AU42" s="43">
        <f>IF(B42="","",IF(AND(A42&lt;&gt;"",ISERROR(MATCH(A42,Products!$A$5:$A$304,0))),"Check - no such product ID",IF(AC42=0,"Add - no material cost yet",IF(AD42=0,"Add - how long does it take?",IF(AND(A42&lt;&gt;"",COUNTIFS('Material Usage'!$A$5:$A$904,A42)&gt;0),"Check - this product also has a bill of materials",IF(AND(A42&lt;&gt;"",COUNTIFS(Labor!$A$5:$A$304,A42)&gt;0),"Check - this product also has labour lines",IF(AT42&lt;MinimumWage,"Below - pays under minimum wage","OK")))))) )</f>
        <v>0</v>
      </c>
    </row>
    <row r="43" spans="25:47">
      <c r="Y43" s="33">
        <f>IF(B43="","",IF(F43="",DefaultWaste,F43))</f>
        <v>0</v>
      </c>
      <c r="Z43" s="36">
        <f>IF(B43="","",ROUND((IF(E43="",0,E43)+IF(H43="",0,H43))*(1+Y43),1))</f>
        <v>0</v>
      </c>
      <c r="AA43" s="20">
        <f>IF(B43="","",ROUND(IF(E43="",0,E43)*(1+Y43)*IFERROR(INDEX(Materials!$V$5:$V$254,MATCH(D43,Materials!$A$5:$A$254,0)),0)+IF(H43="",0,H43)*(1+Y43)*IFERROR(INDEX(Materials!$V$5:$V$254,MATCH(G43,Materials!$A$5:$A$254,0)),0),2))</f>
        <v>0</v>
      </c>
      <c r="AB43" s="20">
        <f>IF(B43="","",ROUND(IF(L43="",0,L43)*IF(M43="",0,M43),2))</f>
        <v>0</v>
      </c>
      <c r="AC43" s="20">
        <f>IF(B43="","",ROUND(AA43+AB43+IF(I43="",0,I43)+IF(J43="",0,J43)+IF(N43="",0,N43),2))</f>
        <v>0</v>
      </c>
      <c r="AD43" s="36">
        <f>IF(B43="","",IF(Q43="",0,Q43)+IF(R43="",0,R43)+IF(S43="",0,S43)+IF(T43="",0,T43))</f>
        <v>0</v>
      </c>
      <c r="AE43" s="20">
        <f>IF(B43="","",IF(V43&lt;&gt;"",V43,LaborCostHour))</f>
        <v>0</v>
      </c>
      <c r="AF43" s="20">
        <f>IF(B43="","",ROUND(AD43/60*AE43,2))</f>
        <v>0</v>
      </c>
      <c r="AG43" s="20">
        <f>IF(B43="","",ROUND(IF(O43="",0,O43)/60*IF(P43="",0,P43),2))</f>
        <v>0</v>
      </c>
      <c r="AH43" s="20">
        <f>IF(B43="","",ROUND(AG43+AD43/60*SuppliesPerHour,2))</f>
        <v>0</v>
      </c>
      <c r="AI43" s="20">
        <f>IF(B43="","",ROUND((IF(E43="",0,E43)*IFERROR(INDEX(Materials!$V$5:$V$254,MATCH(D43,Materials!$A$5:$A$254,0)),0)+IF(H43="",0,H43)*IFERROR(INDEX(Materials!$V$5:$V$254,MATCH(G43,Materials!$A$5:$A$254,0)),0))*Y43,2))</f>
        <v>0</v>
      </c>
      <c r="AJ43" s="20">
        <f>IF(B43="","",ROUND(AC43+AF43+AH43,2))</f>
        <v>0</v>
      </c>
      <c r="AK43" s="33">
        <f>IF(B43="","",IFERROR(INDEX(Channels!$S$5:$S$18,MATCH(DefaultChannel,Channels!$A$5:$A$18,0)),0))</f>
        <v>0</v>
      </c>
      <c r="AL43" s="20">
        <f>IF(B43="","",IFERROR(INDEX(Channels!$T$5:$T$18,MATCH(DefaultChannel,Channels!$A$5:$A$18,0)),0))</f>
        <v>0</v>
      </c>
      <c r="AM43" s="41">
        <f>IF(B43="","",1-TargetRetailMargin-AK43)</f>
        <v>0</v>
      </c>
      <c r="AN43" s="20">
        <f>IF(B43="","",IF(AM43&lt;=0,"",(AJ43+AL43)/AM43))</f>
        <v>0</v>
      </c>
      <c r="AO43" s="20">
        <f>IF(B43="","",IF(AN43="","Check the settings",ROUND(IF(RoundingRule="None",AN43,IF(RoundingRule="Nearest 0.99",MAX(0.99,CEILING(AN43,1)-0.01),IF(RoundingRule="Nearest 0.95",MAX(0.95,CEILING(AN43,1)-0.05),IF(RoundingRule="Nearest 0.50",CEILING(AN43,0.5),IF(RoundingRule="Nearest 1",CEILING(AN43,1),IF(RoundingRule="Nearest 5",CEILING(AN43,5),IF(RoundingRule="Up to whole 1",CEILING(AN43,1),IF(RoundingRule="Up to whole 5",CEILING(AN43,5),ROUND(AN43,2))))))))),2)))</f>
        <v>0</v>
      </c>
      <c r="AP43" s="20">
        <f>IF(B43="","",IF(W43&lt;&gt;"",W43,IF(ISNUMBER(AO43),AO43,"")))</f>
        <v>0</v>
      </c>
      <c r="AQ43" s="20">
        <f>IF(B43="","",IF(AP43="","",ROUND(AP43-AJ43-(AP43*AK43+AL43),2)))</f>
        <v>0</v>
      </c>
      <c r="AR43" s="33">
        <f>IF(B43="","",IF(OR(AP43="",AP43=0),"",AQ43/AP43))</f>
        <v>0</v>
      </c>
      <c r="AS43" s="41">
        <f>IF(B43="","",ROUND(AD43/60,3))</f>
        <v>0</v>
      </c>
      <c r="AT43" s="20">
        <f>IF(B43="","",IF(OR(AS43=0,AS43="",AQ43=""),"",ROUND((AQ43+AF43)/AS43,2)))</f>
        <v>0</v>
      </c>
      <c r="AU43" s="43">
        <f>IF(B43="","",IF(AND(A43&lt;&gt;"",ISERROR(MATCH(A43,Products!$A$5:$A$304,0))),"Check - no such product ID",IF(AC43=0,"Add - no material cost yet",IF(AD43=0,"Add - how long does it take?",IF(AND(A43&lt;&gt;"",COUNTIFS('Material Usage'!$A$5:$A$904,A43)&gt;0),"Check - this product also has a bill of materials",IF(AND(A43&lt;&gt;"",COUNTIFS(Labor!$A$5:$A$304,A43)&gt;0),"Check - this product also has labour lines",IF(AT43&lt;MinimumWage,"Below - pays under minimum wage","OK")))))) )</f>
        <v>0</v>
      </c>
    </row>
    <row r="44" spans="25:47">
      <c r="Y44" s="33">
        <f>IF(B44="","",IF(F44="",DefaultWaste,F44))</f>
        <v>0</v>
      </c>
      <c r="Z44" s="36">
        <f>IF(B44="","",ROUND((IF(E44="",0,E44)+IF(H44="",0,H44))*(1+Y44),1))</f>
        <v>0</v>
      </c>
      <c r="AA44" s="20">
        <f>IF(B44="","",ROUND(IF(E44="",0,E44)*(1+Y44)*IFERROR(INDEX(Materials!$V$5:$V$254,MATCH(D44,Materials!$A$5:$A$254,0)),0)+IF(H44="",0,H44)*(1+Y44)*IFERROR(INDEX(Materials!$V$5:$V$254,MATCH(G44,Materials!$A$5:$A$254,0)),0),2))</f>
        <v>0</v>
      </c>
      <c r="AB44" s="20">
        <f>IF(B44="","",ROUND(IF(L44="",0,L44)*IF(M44="",0,M44),2))</f>
        <v>0</v>
      </c>
      <c r="AC44" s="20">
        <f>IF(B44="","",ROUND(AA44+AB44+IF(I44="",0,I44)+IF(J44="",0,J44)+IF(N44="",0,N44),2))</f>
        <v>0</v>
      </c>
      <c r="AD44" s="36">
        <f>IF(B44="","",IF(Q44="",0,Q44)+IF(R44="",0,R44)+IF(S44="",0,S44)+IF(T44="",0,T44))</f>
        <v>0</v>
      </c>
      <c r="AE44" s="20">
        <f>IF(B44="","",IF(V44&lt;&gt;"",V44,LaborCostHour))</f>
        <v>0</v>
      </c>
      <c r="AF44" s="20">
        <f>IF(B44="","",ROUND(AD44/60*AE44,2))</f>
        <v>0</v>
      </c>
      <c r="AG44" s="20">
        <f>IF(B44="","",ROUND(IF(O44="",0,O44)/60*IF(P44="",0,P44),2))</f>
        <v>0</v>
      </c>
      <c r="AH44" s="20">
        <f>IF(B44="","",ROUND(AG44+AD44/60*SuppliesPerHour,2))</f>
        <v>0</v>
      </c>
      <c r="AI44" s="20">
        <f>IF(B44="","",ROUND((IF(E44="",0,E44)*IFERROR(INDEX(Materials!$V$5:$V$254,MATCH(D44,Materials!$A$5:$A$254,0)),0)+IF(H44="",0,H44)*IFERROR(INDEX(Materials!$V$5:$V$254,MATCH(G44,Materials!$A$5:$A$254,0)),0))*Y44,2))</f>
        <v>0</v>
      </c>
      <c r="AJ44" s="20">
        <f>IF(B44="","",ROUND(AC44+AF44+AH44,2))</f>
        <v>0</v>
      </c>
      <c r="AK44" s="33">
        <f>IF(B44="","",IFERROR(INDEX(Channels!$S$5:$S$18,MATCH(DefaultChannel,Channels!$A$5:$A$18,0)),0))</f>
        <v>0</v>
      </c>
      <c r="AL44" s="20">
        <f>IF(B44="","",IFERROR(INDEX(Channels!$T$5:$T$18,MATCH(DefaultChannel,Channels!$A$5:$A$18,0)),0))</f>
        <v>0</v>
      </c>
      <c r="AM44" s="41">
        <f>IF(B44="","",1-TargetRetailMargin-AK44)</f>
        <v>0</v>
      </c>
      <c r="AN44" s="20">
        <f>IF(B44="","",IF(AM44&lt;=0,"",(AJ44+AL44)/AM44))</f>
        <v>0</v>
      </c>
      <c r="AO44" s="20">
        <f>IF(B44="","",IF(AN44="","Check the settings",ROUND(IF(RoundingRule="None",AN44,IF(RoundingRule="Nearest 0.99",MAX(0.99,CEILING(AN44,1)-0.01),IF(RoundingRule="Nearest 0.95",MAX(0.95,CEILING(AN44,1)-0.05),IF(RoundingRule="Nearest 0.50",CEILING(AN44,0.5),IF(RoundingRule="Nearest 1",CEILING(AN44,1),IF(RoundingRule="Nearest 5",CEILING(AN44,5),IF(RoundingRule="Up to whole 1",CEILING(AN44,1),IF(RoundingRule="Up to whole 5",CEILING(AN44,5),ROUND(AN44,2))))))))),2)))</f>
        <v>0</v>
      </c>
      <c r="AP44" s="20">
        <f>IF(B44="","",IF(W44&lt;&gt;"",W44,IF(ISNUMBER(AO44),AO44,"")))</f>
        <v>0</v>
      </c>
      <c r="AQ44" s="20">
        <f>IF(B44="","",IF(AP44="","",ROUND(AP44-AJ44-(AP44*AK44+AL44),2)))</f>
        <v>0</v>
      </c>
      <c r="AR44" s="33">
        <f>IF(B44="","",IF(OR(AP44="",AP44=0),"",AQ44/AP44))</f>
        <v>0</v>
      </c>
      <c r="AS44" s="41">
        <f>IF(B44="","",ROUND(AD44/60,3))</f>
        <v>0</v>
      </c>
      <c r="AT44" s="20">
        <f>IF(B44="","",IF(OR(AS44=0,AS44="",AQ44=""),"",ROUND((AQ44+AF44)/AS44,2)))</f>
        <v>0</v>
      </c>
      <c r="AU44" s="43">
        <f>IF(B44="","",IF(AND(A44&lt;&gt;"",ISERROR(MATCH(A44,Products!$A$5:$A$304,0))),"Check - no such product ID",IF(AC44=0,"Add - no material cost yet",IF(AD44=0,"Add - how long does it take?",IF(AND(A44&lt;&gt;"",COUNTIFS('Material Usage'!$A$5:$A$904,A44)&gt;0),"Check - this product also has a bill of materials",IF(AND(A44&lt;&gt;"",COUNTIFS(Labor!$A$5:$A$304,A44)&gt;0),"Check - this product also has labour lines",IF(AT44&lt;MinimumWage,"Below - pays under minimum wage","OK")))))) )</f>
        <v>0</v>
      </c>
    </row>
    <row r="45" spans="25:47">
      <c r="Y45" s="33">
        <f>IF(B45="","",IF(F45="",DefaultWaste,F45))</f>
        <v>0</v>
      </c>
      <c r="Z45" s="36">
        <f>IF(B45="","",ROUND((IF(E45="",0,E45)+IF(H45="",0,H45))*(1+Y45),1))</f>
        <v>0</v>
      </c>
      <c r="AA45" s="20">
        <f>IF(B45="","",ROUND(IF(E45="",0,E45)*(1+Y45)*IFERROR(INDEX(Materials!$V$5:$V$254,MATCH(D45,Materials!$A$5:$A$254,0)),0)+IF(H45="",0,H45)*(1+Y45)*IFERROR(INDEX(Materials!$V$5:$V$254,MATCH(G45,Materials!$A$5:$A$254,0)),0),2))</f>
        <v>0</v>
      </c>
      <c r="AB45" s="20">
        <f>IF(B45="","",ROUND(IF(L45="",0,L45)*IF(M45="",0,M45),2))</f>
        <v>0</v>
      </c>
      <c r="AC45" s="20">
        <f>IF(B45="","",ROUND(AA45+AB45+IF(I45="",0,I45)+IF(J45="",0,J45)+IF(N45="",0,N45),2))</f>
        <v>0</v>
      </c>
      <c r="AD45" s="36">
        <f>IF(B45="","",IF(Q45="",0,Q45)+IF(R45="",0,R45)+IF(S45="",0,S45)+IF(T45="",0,T45))</f>
        <v>0</v>
      </c>
      <c r="AE45" s="20">
        <f>IF(B45="","",IF(V45&lt;&gt;"",V45,LaborCostHour))</f>
        <v>0</v>
      </c>
      <c r="AF45" s="20">
        <f>IF(B45="","",ROUND(AD45/60*AE45,2))</f>
        <v>0</v>
      </c>
      <c r="AG45" s="20">
        <f>IF(B45="","",ROUND(IF(O45="",0,O45)/60*IF(P45="",0,P45),2))</f>
        <v>0</v>
      </c>
      <c r="AH45" s="20">
        <f>IF(B45="","",ROUND(AG45+AD45/60*SuppliesPerHour,2))</f>
        <v>0</v>
      </c>
      <c r="AI45" s="20">
        <f>IF(B45="","",ROUND((IF(E45="",0,E45)*IFERROR(INDEX(Materials!$V$5:$V$254,MATCH(D45,Materials!$A$5:$A$254,0)),0)+IF(H45="",0,H45)*IFERROR(INDEX(Materials!$V$5:$V$254,MATCH(G45,Materials!$A$5:$A$254,0)),0))*Y45,2))</f>
        <v>0</v>
      </c>
      <c r="AJ45" s="20">
        <f>IF(B45="","",ROUND(AC45+AF45+AH45,2))</f>
        <v>0</v>
      </c>
      <c r="AK45" s="33">
        <f>IF(B45="","",IFERROR(INDEX(Channels!$S$5:$S$18,MATCH(DefaultChannel,Channels!$A$5:$A$18,0)),0))</f>
        <v>0</v>
      </c>
      <c r="AL45" s="20">
        <f>IF(B45="","",IFERROR(INDEX(Channels!$T$5:$T$18,MATCH(DefaultChannel,Channels!$A$5:$A$18,0)),0))</f>
        <v>0</v>
      </c>
      <c r="AM45" s="41">
        <f>IF(B45="","",1-TargetRetailMargin-AK45)</f>
        <v>0</v>
      </c>
      <c r="AN45" s="20">
        <f>IF(B45="","",IF(AM45&lt;=0,"",(AJ45+AL45)/AM45))</f>
        <v>0</v>
      </c>
      <c r="AO45" s="20">
        <f>IF(B45="","",IF(AN45="","Check the settings",ROUND(IF(RoundingRule="None",AN45,IF(RoundingRule="Nearest 0.99",MAX(0.99,CEILING(AN45,1)-0.01),IF(RoundingRule="Nearest 0.95",MAX(0.95,CEILING(AN45,1)-0.05),IF(RoundingRule="Nearest 0.50",CEILING(AN45,0.5),IF(RoundingRule="Nearest 1",CEILING(AN45,1),IF(RoundingRule="Nearest 5",CEILING(AN45,5),IF(RoundingRule="Up to whole 1",CEILING(AN45,1),IF(RoundingRule="Up to whole 5",CEILING(AN45,5),ROUND(AN45,2))))))))),2)))</f>
        <v>0</v>
      </c>
      <c r="AP45" s="20">
        <f>IF(B45="","",IF(W45&lt;&gt;"",W45,IF(ISNUMBER(AO45),AO45,"")))</f>
        <v>0</v>
      </c>
      <c r="AQ45" s="20">
        <f>IF(B45="","",IF(AP45="","",ROUND(AP45-AJ45-(AP45*AK45+AL45),2)))</f>
        <v>0</v>
      </c>
      <c r="AR45" s="33">
        <f>IF(B45="","",IF(OR(AP45="",AP45=0),"",AQ45/AP45))</f>
        <v>0</v>
      </c>
      <c r="AS45" s="41">
        <f>IF(B45="","",ROUND(AD45/60,3))</f>
        <v>0</v>
      </c>
      <c r="AT45" s="20">
        <f>IF(B45="","",IF(OR(AS45=0,AS45="",AQ45=""),"",ROUND((AQ45+AF45)/AS45,2)))</f>
        <v>0</v>
      </c>
      <c r="AU45" s="43">
        <f>IF(B45="","",IF(AND(A45&lt;&gt;"",ISERROR(MATCH(A45,Products!$A$5:$A$304,0))),"Check - no such product ID",IF(AC45=0,"Add - no material cost yet",IF(AD45=0,"Add - how long does it take?",IF(AND(A45&lt;&gt;"",COUNTIFS('Material Usage'!$A$5:$A$904,A45)&gt;0),"Check - this product also has a bill of materials",IF(AND(A45&lt;&gt;"",COUNTIFS(Labor!$A$5:$A$304,A45)&gt;0),"Check - this product also has labour lines",IF(AT45&lt;MinimumWage,"Below - pays under minimum wage","OK")))))) )</f>
        <v>0</v>
      </c>
    </row>
    <row r="46" spans="25:47">
      <c r="Y46" s="33">
        <f>IF(B46="","",IF(F46="",DefaultWaste,F46))</f>
        <v>0</v>
      </c>
      <c r="Z46" s="36">
        <f>IF(B46="","",ROUND((IF(E46="",0,E46)+IF(H46="",0,H46))*(1+Y46),1))</f>
        <v>0</v>
      </c>
      <c r="AA46" s="20">
        <f>IF(B46="","",ROUND(IF(E46="",0,E46)*(1+Y46)*IFERROR(INDEX(Materials!$V$5:$V$254,MATCH(D46,Materials!$A$5:$A$254,0)),0)+IF(H46="",0,H46)*(1+Y46)*IFERROR(INDEX(Materials!$V$5:$V$254,MATCH(G46,Materials!$A$5:$A$254,0)),0),2))</f>
        <v>0</v>
      </c>
      <c r="AB46" s="20">
        <f>IF(B46="","",ROUND(IF(L46="",0,L46)*IF(M46="",0,M46),2))</f>
        <v>0</v>
      </c>
      <c r="AC46" s="20">
        <f>IF(B46="","",ROUND(AA46+AB46+IF(I46="",0,I46)+IF(J46="",0,J46)+IF(N46="",0,N46),2))</f>
        <v>0</v>
      </c>
      <c r="AD46" s="36">
        <f>IF(B46="","",IF(Q46="",0,Q46)+IF(R46="",0,R46)+IF(S46="",0,S46)+IF(T46="",0,T46))</f>
        <v>0</v>
      </c>
      <c r="AE46" s="20">
        <f>IF(B46="","",IF(V46&lt;&gt;"",V46,LaborCostHour))</f>
        <v>0</v>
      </c>
      <c r="AF46" s="20">
        <f>IF(B46="","",ROUND(AD46/60*AE46,2))</f>
        <v>0</v>
      </c>
      <c r="AG46" s="20">
        <f>IF(B46="","",ROUND(IF(O46="",0,O46)/60*IF(P46="",0,P46),2))</f>
        <v>0</v>
      </c>
      <c r="AH46" s="20">
        <f>IF(B46="","",ROUND(AG46+AD46/60*SuppliesPerHour,2))</f>
        <v>0</v>
      </c>
      <c r="AI46" s="20">
        <f>IF(B46="","",ROUND((IF(E46="",0,E46)*IFERROR(INDEX(Materials!$V$5:$V$254,MATCH(D46,Materials!$A$5:$A$254,0)),0)+IF(H46="",0,H46)*IFERROR(INDEX(Materials!$V$5:$V$254,MATCH(G46,Materials!$A$5:$A$254,0)),0))*Y46,2))</f>
        <v>0</v>
      </c>
      <c r="AJ46" s="20">
        <f>IF(B46="","",ROUND(AC46+AF46+AH46,2))</f>
        <v>0</v>
      </c>
      <c r="AK46" s="33">
        <f>IF(B46="","",IFERROR(INDEX(Channels!$S$5:$S$18,MATCH(DefaultChannel,Channels!$A$5:$A$18,0)),0))</f>
        <v>0</v>
      </c>
      <c r="AL46" s="20">
        <f>IF(B46="","",IFERROR(INDEX(Channels!$T$5:$T$18,MATCH(DefaultChannel,Channels!$A$5:$A$18,0)),0))</f>
        <v>0</v>
      </c>
      <c r="AM46" s="41">
        <f>IF(B46="","",1-TargetRetailMargin-AK46)</f>
        <v>0</v>
      </c>
      <c r="AN46" s="20">
        <f>IF(B46="","",IF(AM46&lt;=0,"",(AJ46+AL46)/AM46))</f>
        <v>0</v>
      </c>
      <c r="AO46" s="20">
        <f>IF(B46="","",IF(AN46="","Check the settings",ROUND(IF(RoundingRule="None",AN46,IF(RoundingRule="Nearest 0.99",MAX(0.99,CEILING(AN46,1)-0.01),IF(RoundingRule="Nearest 0.95",MAX(0.95,CEILING(AN46,1)-0.05),IF(RoundingRule="Nearest 0.50",CEILING(AN46,0.5),IF(RoundingRule="Nearest 1",CEILING(AN46,1),IF(RoundingRule="Nearest 5",CEILING(AN46,5),IF(RoundingRule="Up to whole 1",CEILING(AN46,1),IF(RoundingRule="Up to whole 5",CEILING(AN46,5),ROUND(AN46,2))))))))),2)))</f>
        <v>0</v>
      </c>
      <c r="AP46" s="20">
        <f>IF(B46="","",IF(W46&lt;&gt;"",W46,IF(ISNUMBER(AO46),AO46,"")))</f>
        <v>0</v>
      </c>
      <c r="AQ46" s="20">
        <f>IF(B46="","",IF(AP46="","",ROUND(AP46-AJ46-(AP46*AK46+AL46),2)))</f>
        <v>0</v>
      </c>
      <c r="AR46" s="33">
        <f>IF(B46="","",IF(OR(AP46="",AP46=0),"",AQ46/AP46))</f>
        <v>0</v>
      </c>
      <c r="AS46" s="41">
        <f>IF(B46="","",ROUND(AD46/60,3))</f>
        <v>0</v>
      </c>
      <c r="AT46" s="20">
        <f>IF(B46="","",IF(OR(AS46=0,AS46="",AQ46=""),"",ROUND((AQ46+AF46)/AS46,2)))</f>
        <v>0</v>
      </c>
      <c r="AU46" s="43">
        <f>IF(B46="","",IF(AND(A46&lt;&gt;"",ISERROR(MATCH(A46,Products!$A$5:$A$304,0))),"Check - no such product ID",IF(AC46=0,"Add - no material cost yet",IF(AD46=0,"Add - how long does it take?",IF(AND(A46&lt;&gt;"",COUNTIFS('Material Usage'!$A$5:$A$904,A46)&gt;0),"Check - this product also has a bill of materials",IF(AND(A46&lt;&gt;"",COUNTIFS(Labor!$A$5:$A$304,A46)&gt;0),"Check - this product also has labour lines",IF(AT46&lt;MinimumWage,"Below - pays under minimum wage","OK")))))) )</f>
        <v>0</v>
      </c>
    </row>
    <row r="47" spans="25:47">
      <c r="Y47" s="33">
        <f>IF(B47="","",IF(F47="",DefaultWaste,F47))</f>
        <v>0</v>
      </c>
      <c r="Z47" s="36">
        <f>IF(B47="","",ROUND((IF(E47="",0,E47)+IF(H47="",0,H47))*(1+Y47),1))</f>
        <v>0</v>
      </c>
      <c r="AA47" s="20">
        <f>IF(B47="","",ROUND(IF(E47="",0,E47)*(1+Y47)*IFERROR(INDEX(Materials!$V$5:$V$254,MATCH(D47,Materials!$A$5:$A$254,0)),0)+IF(H47="",0,H47)*(1+Y47)*IFERROR(INDEX(Materials!$V$5:$V$254,MATCH(G47,Materials!$A$5:$A$254,0)),0),2))</f>
        <v>0</v>
      </c>
      <c r="AB47" s="20">
        <f>IF(B47="","",ROUND(IF(L47="",0,L47)*IF(M47="",0,M47),2))</f>
        <v>0</v>
      </c>
      <c r="AC47" s="20">
        <f>IF(B47="","",ROUND(AA47+AB47+IF(I47="",0,I47)+IF(J47="",0,J47)+IF(N47="",0,N47),2))</f>
        <v>0</v>
      </c>
      <c r="AD47" s="36">
        <f>IF(B47="","",IF(Q47="",0,Q47)+IF(R47="",0,R47)+IF(S47="",0,S47)+IF(T47="",0,T47))</f>
        <v>0</v>
      </c>
      <c r="AE47" s="20">
        <f>IF(B47="","",IF(V47&lt;&gt;"",V47,LaborCostHour))</f>
        <v>0</v>
      </c>
      <c r="AF47" s="20">
        <f>IF(B47="","",ROUND(AD47/60*AE47,2))</f>
        <v>0</v>
      </c>
      <c r="AG47" s="20">
        <f>IF(B47="","",ROUND(IF(O47="",0,O47)/60*IF(P47="",0,P47),2))</f>
        <v>0</v>
      </c>
      <c r="AH47" s="20">
        <f>IF(B47="","",ROUND(AG47+AD47/60*SuppliesPerHour,2))</f>
        <v>0</v>
      </c>
      <c r="AI47" s="20">
        <f>IF(B47="","",ROUND((IF(E47="",0,E47)*IFERROR(INDEX(Materials!$V$5:$V$254,MATCH(D47,Materials!$A$5:$A$254,0)),0)+IF(H47="",0,H47)*IFERROR(INDEX(Materials!$V$5:$V$254,MATCH(G47,Materials!$A$5:$A$254,0)),0))*Y47,2))</f>
        <v>0</v>
      </c>
      <c r="AJ47" s="20">
        <f>IF(B47="","",ROUND(AC47+AF47+AH47,2))</f>
        <v>0</v>
      </c>
      <c r="AK47" s="33">
        <f>IF(B47="","",IFERROR(INDEX(Channels!$S$5:$S$18,MATCH(DefaultChannel,Channels!$A$5:$A$18,0)),0))</f>
        <v>0</v>
      </c>
      <c r="AL47" s="20">
        <f>IF(B47="","",IFERROR(INDEX(Channels!$T$5:$T$18,MATCH(DefaultChannel,Channels!$A$5:$A$18,0)),0))</f>
        <v>0</v>
      </c>
      <c r="AM47" s="41">
        <f>IF(B47="","",1-TargetRetailMargin-AK47)</f>
        <v>0</v>
      </c>
      <c r="AN47" s="20">
        <f>IF(B47="","",IF(AM47&lt;=0,"",(AJ47+AL47)/AM47))</f>
        <v>0</v>
      </c>
      <c r="AO47" s="20">
        <f>IF(B47="","",IF(AN47="","Check the settings",ROUND(IF(RoundingRule="None",AN47,IF(RoundingRule="Nearest 0.99",MAX(0.99,CEILING(AN47,1)-0.01),IF(RoundingRule="Nearest 0.95",MAX(0.95,CEILING(AN47,1)-0.05),IF(RoundingRule="Nearest 0.50",CEILING(AN47,0.5),IF(RoundingRule="Nearest 1",CEILING(AN47,1),IF(RoundingRule="Nearest 5",CEILING(AN47,5),IF(RoundingRule="Up to whole 1",CEILING(AN47,1),IF(RoundingRule="Up to whole 5",CEILING(AN47,5),ROUND(AN47,2))))))))),2)))</f>
        <v>0</v>
      </c>
      <c r="AP47" s="20">
        <f>IF(B47="","",IF(W47&lt;&gt;"",W47,IF(ISNUMBER(AO47),AO47,"")))</f>
        <v>0</v>
      </c>
      <c r="AQ47" s="20">
        <f>IF(B47="","",IF(AP47="","",ROUND(AP47-AJ47-(AP47*AK47+AL47),2)))</f>
        <v>0</v>
      </c>
      <c r="AR47" s="33">
        <f>IF(B47="","",IF(OR(AP47="",AP47=0),"",AQ47/AP47))</f>
        <v>0</v>
      </c>
      <c r="AS47" s="41">
        <f>IF(B47="","",ROUND(AD47/60,3))</f>
        <v>0</v>
      </c>
      <c r="AT47" s="20">
        <f>IF(B47="","",IF(OR(AS47=0,AS47="",AQ47=""),"",ROUND((AQ47+AF47)/AS47,2)))</f>
        <v>0</v>
      </c>
      <c r="AU47" s="43">
        <f>IF(B47="","",IF(AND(A47&lt;&gt;"",ISERROR(MATCH(A47,Products!$A$5:$A$304,0))),"Check - no such product ID",IF(AC47=0,"Add - no material cost yet",IF(AD47=0,"Add - how long does it take?",IF(AND(A47&lt;&gt;"",COUNTIFS('Material Usage'!$A$5:$A$904,A47)&gt;0),"Check - this product also has a bill of materials",IF(AND(A47&lt;&gt;"",COUNTIFS(Labor!$A$5:$A$304,A47)&gt;0),"Check - this product also has labour lines",IF(AT47&lt;MinimumWage,"Below - pays under minimum wage","OK")))))) )</f>
        <v>0</v>
      </c>
    </row>
    <row r="48" spans="25:47">
      <c r="Y48" s="33">
        <f>IF(B48="","",IF(F48="",DefaultWaste,F48))</f>
        <v>0</v>
      </c>
      <c r="Z48" s="36">
        <f>IF(B48="","",ROUND((IF(E48="",0,E48)+IF(H48="",0,H48))*(1+Y48),1))</f>
        <v>0</v>
      </c>
      <c r="AA48" s="20">
        <f>IF(B48="","",ROUND(IF(E48="",0,E48)*(1+Y48)*IFERROR(INDEX(Materials!$V$5:$V$254,MATCH(D48,Materials!$A$5:$A$254,0)),0)+IF(H48="",0,H48)*(1+Y48)*IFERROR(INDEX(Materials!$V$5:$V$254,MATCH(G48,Materials!$A$5:$A$254,0)),0),2))</f>
        <v>0</v>
      </c>
      <c r="AB48" s="20">
        <f>IF(B48="","",ROUND(IF(L48="",0,L48)*IF(M48="",0,M48),2))</f>
        <v>0</v>
      </c>
      <c r="AC48" s="20">
        <f>IF(B48="","",ROUND(AA48+AB48+IF(I48="",0,I48)+IF(J48="",0,J48)+IF(N48="",0,N48),2))</f>
        <v>0</v>
      </c>
      <c r="AD48" s="36">
        <f>IF(B48="","",IF(Q48="",0,Q48)+IF(R48="",0,R48)+IF(S48="",0,S48)+IF(T48="",0,T48))</f>
        <v>0</v>
      </c>
      <c r="AE48" s="20">
        <f>IF(B48="","",IF(V48&lt;&gt;"",V48,LaborCostHour))</f>
        <v>0</v>
      </c>
      <c r="AF48" s="20">
        <f>IF(B48="","",ROUND(AD48/60*AE48,2))</f>
        <v>0</v>
      </c>
      <c r="AG48" s="20">
        <f>IF(B48="","",ROUND(IF(O48="",0,O48)/60*IF(P48="",0,P48),2))</f>
        <v>0</v>
      </c>
      <c r="AH48" s="20">
        <f>IF(B48="","",ROUND(AG48+AD48/60*SuppliesPerHour,2))</f>
        <v>0</v>
      </c>
      <c r="AI48" s="20">
        <f>IF(B48="","",ROUND((IF(E48="",0,E48)*IFERROR(INDEX(Materials!$V$5:$V$254,MATCH(D48,Materials!$A$5:$A$254,0)),0)+IF(H48="",0,H48)*IFERROR(INDEX(Materials!$V$5:$V$254,MATCH(G48,Materials!$A$5:$A$254,0)),0))*Y48,2))</f>
        <v>0</v>
      </c>
      <c r="AJ48" s="20">
        <f>IF(B48="","",ROUND(AC48+AF48+AH48,2))</f>
        <v>0</v>
      </c>
      <c r="AK48" s="33">
        <f>IF(B48="","",IFERROR(INDEX(Channels!$S$5:$S$18,MATCH(DefaultChannel,Channels!$A$5:$A$18,0)),0))</f>
        <v>0</v>
      </c>
      <c r="AL48" s="20">
        <f>IF(B48="","",IFERROR(INDEX(Channels!$T$5:$T$18,MATCH(DefaultChannel,Channels!$A$5:$A$18,0)),0))</f>
        <v>0</v>
      </c>
      <c r="AM48" s="41">
        <f>IF(B48="","",1-TargetRetailMargin-AK48)</f>
        <v>0</v>
      </c>
      <c r="AN48" s="20">
        <f>IF(B48="","",IF(AM48&lt;=0,"",(AJ48+AL48)/AM48))</f>
        <v>0</v>
      </c>
      <c r="AO48" s="20">
        <f>IF(B48="","",IF(AN48="","Check the settings",ROUND(IF(RoundingRule="None",AN48,IF(RoundingRule="Nearest 0.99",MAX(0.99,CEILING(AN48,1)-0.01),IF(RoundingRule="Nearest 0.95",MAX(0.95,CEILING(AN48,1)-0.05),IF(RoundingRule="Nearest 0.50",CEILING(AN48,0.5),IF(RoundingRule="Nearest 1",CEILING(AN48,1),IF(RoundingRule="Nearest 5",CEILING(AN48,5),IF(RoundingRule="Up to whole 1",CEILING(AN48,1),IF(RoundingRule="Up to whole 5",CEILING(AN48,5),ROUND(AN48,2))))))))),2)))</f>
        <v>0</v>
      </c>
      <c r="AP48" s="20">
        <f>IF(B48="","",IF(W48&lt;&gt;"",W48,IF(ISNUMBER(AO48),AO48,"")))</f>
        <v>0</v>
      </c>
      <c r="AQ48" s="20">
        <f>IF(B48="","",IF(AP48="","",ROUND(AP48-AJ48-(AP48*AK48+AL48),2)))</f>
        <v>0</v>
      </c>
      <c r="AR48" s="33">
        <f>IF(B48="","",IF(OR(AP48="",AP48=0),"",AQ48/AP48))</f>
        <v>0</v>
      </c>
      <c r="AS48" s="41">
        <f>IF(B48="","",ROUND(AD48/60,3))</f>
        <v>0</v>
      </c>
      <c r="AT48" s="20">
        <f>IF(B48="","",IF(OR(AS48=0,AS48="",AQ48=""),"",ROUND((AQ48+AF48)/AS48,2)))</f>
        <v>0</v>
      </c>
      <c r="AU48" s="43">
        <f>IF(B48="","",IF(AND(A48&lt;&gt;"",ISERROR(MATCH(A48,Products!$A$5:$A$304,0))),"Check - no such product ID",IF(AC48=0,"Add - no material cost yet",IF(AD48=0,"Add - how long does it take?",IF(AND(A48&lt;&gt;"",COUNTIFS('Material Usage'!$A$5:$A$904,A48)&gt;0),"Check - this product also has a bill of materials",IF(AND(A48&lt;&gt;"",COUNTIFS(Labor!$A$5:$A$304,A48)&gt;0),"Check - this product also has labour lines",IF(AT48&lt;MinimumWage,"Below - pays under minimum wage","OK")))))) )</f>
        <v>0</v>
      </c>
    </row>
    <row r="49" spans="25:47">
      <c r="Y49" s="33">
        <f>IF(B49="","",IF(F49="",DefaultWaste,F49))</f>
        <v>0</v>
      </c>
      <c r="Z49" s="36">
        <f>IF(B49="","",ROUND((IF(E49="",0,E49)+IF(H49="",0,H49))*(1+Y49),1))</f>
        <v>0</v>
      </c>
      <c r="AA49" s="20">
        <f>IF(B49="","",ROUND(IF(E49="",0,E49)*(1+Y49)*IFERROR(INDEX(Materials!$V$5:$V$254,MATCH(D49,Materials!$A$5:$A$254,0)),0)+IF(H49="",0,H49)*(1+Y49)*IFERROR(INDEX(Materials!$V$5:$V$254,MATCH(G49,Materials!$A$5:$A$254,0)),0),2))</f>
        <v>0</v>
      </c>
      <c r="AB49" s="20">
        <f>IF(B49="","",ROUND(IF(L49="",0,L49)*IF(M49="",0,M49),2))</f>
        <v>0</v>
      </c>
      <c r="AC49" s="20">
        <f>IF(B49="","",ROUND(AA49+AB49+IF(I49="",0,I49)+IF(J49="",0,J49)+IF(N49="",0,N49),2))</f>
        <v>0</v>
      </c>
      <c r="AD49" s="36">
        <f>IF(B49="","",IF(Q49="",0,Q49)+IF(R49="",0,R49)+IF(S49="",0,S49)+IF(T49="",0,T49))</f>
        <v>0</v>
      </c>
      <c r="AE49" s="20">
        <f>IF(B49="","",IF(V49&lt;&gt;"",V49,LaborCostHour))</f>
        <v>0</v>
      </c>
      <c r="AF49" s="20">
        <f>IF(B49="","",ROUND(AD49/60*AE49,2))</f>
        <v>0</v>
      </c>
      <c r="AG49" s="20">
        <f>IF(B49="","",ROUND(IF(O49="",0,O49)/60*IF(P49="",0,P49),2))</f>
        <v>0</v>
      </c>
      <c r="AH49" s="20">
        <f>IF(B49="","",ROUND(AG49+AD49/60*SuppliesPerHour,2))</f>
        <v>0</v>
      </c>
      <c r="AI49" s="20">
        <f>IF(B49="","",ROUND((IF(E49="",0,E49)*IFERROR(INDEX(Materials!$V$5:$V$254,MATCH(D49,Materials!$A$5:$A$254,0)),0)+IF(H49="",0,H49)*IFERROR(INDEX(Materials!$V$5:$V$254,MATCH(G49,Materials!$A$5:$A$254,0)),0))*Y49,2))</f>
        <v>0</v>
      </c>
      <c r="AJ49" s="20">
        <f>IF(B49="","",ROUND(AC49+AF49+AH49,2))</f>
        <v>0</v>
      </c>
      <c r="AK49" s="33">
        <f>IF(B49="","",IFERROR(INDEX(Channels!$S$5:$S$18,MATCH(DefaultChannel,Channels!$A$5:$A$18,0)),0))</f>
        <v>0</v>
      </c>
      <c r="AL49" s="20">
        <f>IF(B49="","",IFERROR(INDEX(Channels!$T$5:$T$18,MATCH(DefaultChannel,Channels!$A$5:$A$18,0)),0))</f>
        <v>0</v>
      </c>
      <c r="AM49" s="41">
        <f>IF(B49="","",1-TargetRetailMargin-AK49)</f>
        <v>0</v>
      </c>
      <c r="AN49" s="20">
        <f>IF(B49="","",IF(AM49&lt;=0,"",(AJ49+AL49)/AM49))</f>
        <v>0</v>
      </c>
      <c r="AO49" s="20">
        <f>IF(B49="","",IF(AN49="","Check the settings",ROUND(IF(RoundingRule="None",AN49,IF(RoundingRule="Nearest 0.99",MAX(0.99,CEILING(AN49,1)-0.01),IF(RoundingRule="Nearest 0.95",MAX(0.95,CEILING(AN49,1)-0.05),IF(RoundingRule="Nearest 0.50",CEILING(AN49,0.5),IF(RoundingRule="Nearest 1",CEILING(AN49,1),IF(RoundingRule="Nearest 5",CEILING(AN49,5),IF(RoundingRule="Up to whole 1",CEILING(AN49,1),IF(RoundingRule="Up to whole 5",CEILING(AN49,5),ROUND(AN49,2))))))))),2)))</f>
        <v>0</v>
      </c>
      <c r="AP49" s="20">
        <f>IF(B49="","",IF(W49&lt;&gt;"",W49,IF(ISNUMBER(AO49),AO49,"")))</f>
        <v>0</v>
      </c>
      <c r="AQ49" s="20">
        <f>IF(B49="","",IF(AP49="","",ROUND(AP49-AJ49-(AP49*AK49+AL49),2)))</f>
        <v>0</v>
      </c>
      <c r="AR49" s="33">
        <f>IF(B49="","",IF(OR(AP49="",AP49=0),"",AQ49/AP49))</f>
        <v>0</v>
      </c>
      <c r="AS49" s="41">
        <f>IF(B49="","",ROUND(AD49/60,3))</f>
        <v>0</v>
      </c>
      <c r="AT49" s="20">
        <f>IF(B49="","",IF(OR(AS49=0,AS49="",AQ49=""),"",ROUND((AQ49+AF49)/AS49,2)))</f>
        <v>0</v>
      </c>
      <c r="AU49" s="43">
        <f>IF(B49="","",IF(AND(A49&lt;&gt;"",ISERROR(MATCH(A49,Products!$A$5:$A$304,0))),"Check - no such product ID",IF(AC49=0,"Add - no material cost yet",IF(AD49=0,"Add - how long does it take?",IF(AND(A49&lt;&gt;"",COUNTIFS('Material Usage'!$A$5:$A$904,A49)&gt;0),"Check - this product also has a bill of materials",IF(AND(A49&lt;&gt;"",COUNTIFS(Labor!$A$5:$A$304,A49)&gt;0),"Check - this product also has labour lines",IF(AT49&lt;MinimumWage,"Below - pays under minimum wage","OK")))))) )</f>
        <v>0</v>
      </c>
    </row>
    <row r="50" spans="25:47">
      <c r="Y50" s="33">
        <f>IF(B50="","",IF(F50="",DefaultWaste,F50))</f>
        <v>0</v>
      </c>
      <c r="Z50" s="36">
        <f>IF(B50="","",ROUND((IF(E50="",0,E50)+IF(H50="",0,H50))*(1+Y50),1))</f>
        <v>0</v>
      </c>
      <c r="AA50" s="20">
        <f>IF(B50="","",ROUND(IF(E50="",0,E50)*(1+Y50)*IFERROR(INDEX(Materials!$V$5:$V$254,MATCH(D50,Materials!$A$5:$A$254,0)),0)+IF(H50="",0,H50)*(1+Y50)*IFERROR(INDEX(Materials!$V$5:$V$254,MATCH(G50,Materials!$A$5:$A$254,0)),0),2))</f>
        <v>0</v>
      </c>
      <c r="AB50" s="20">
        <f>IF(B50="","",ROUND(IF(L50="",0,L50)*IF(M50="",0,M50),2))</f>
        <v>0</v>
      </c>
      <c r="AC50" s="20">
        <f>IF(B50="","",ROUND(AA50+AB50+IF(I50="",0,I50)+IF(J50="",0,J50)+IF(N50="",0,N50),2))</f>
        <v>0</v>
      </c>
      <c r="AD50" s="36">
        <f>IF(B50="","",IF(Q50="",0,Q50)+IF(R50="",0,R50)+IF(S50="",0,S50)+IF(T50="",0,T50))</f>
        <v>0</v>
      </c>
      <c r="AE50" s="20">
        <f>IF(B50="","",IF(V50&lt;&gt;"",V50,LaborCostHour))</f>
        <v>0</v>
      </c>
      <c r="AF50" s="20">
        <f>IF(B50="","",ROUND(AD50/60*AE50,2))</f>
        <v>0</v>
      </c>
      <c r="AG50" s="20">
        <f>IF(B50="","",ROUND(IF(O50="",0,O50)/60*IF(P50="",0,P50),2))</f>
        <v>0</v>
      </c>
      <c r="AH50" s="20">
        <f>IF(B50="","",ROUND(AG50+AD50/60*SuppliesPerHour,2))</f>
        <v>0</v>
      </c>
      <c r="AI50" s="20">
        <f>IF(B50="","",ROUND((IF(E50="",0,E50)*IFERROR(INDEX(Materials!$V$5:$V$254,MATCH(D50,Materials!$A$5:$A$254,0)),0)+IF(H50="",0,H50)*IFERROR(INDEX(Materials!$V$5:$V$254,MATCH(G50,Materials!$A$5:$A$254,0)),0))*Y50,2))</f>
        <v>0</v>
      </c>
      <c r="AJ50" s="20">
        <f>IF(B50="","",ROUND(AC50+AF50+AH50,2))</f>
        <v>0</v>
      </c>
      <c r="AK50" s="33">
        <f>IF(B50="","",IFERROR(INDEX(Channels!$S$5:$S$18,MATCH(DefaultChannel,Channels!$A$5:$A$18,0)),0))</f>
        <v>0</v>
      </c>
      <c r="AL50" s="20">
        <f>IF(B50="","",IFERROR(INDEX(Channels!$T$5:$T$18,MATCH(DefaultChannel,Channels!$A$5:$A$18,0)),0))</f>
        <v>0</v>
      </c>
      <c r="AM50" s="41">
        <f>IF(B50="","",1-TargetRetailMargin-AK50)</f>
        <v>0</v>
      </c>
      <c r="AN50" s="20">
        <f>IF(B50="","",IF(AM50&lt;=0,"",(AJ50+AL50)/AM50))</f>
        <v>0</v>
      </c>
      <c r="AO50" s="20">
        <f>IF(B50="","",IF(AN50="","Check the settings",ROUND(IF(RoundingRule="None",AN50,IF(RoundingRule="Nearest 0.99",MAX(0.99,CEILING(AN50,1)-0.01),IF(RoundingRule="Nearest 0.95",MAX(0.95,CEILING(AN50,1)-0.05),IF(RoundingRule="Nearest 0.50",CEILING(AN50,0.5),IF(RoundingRule="Nearest 1",CEILING(AN50,1),IF(RoundingRule="Nearest 5",CEILING(AN50,5),IF(RoundingRule="Up to whole 1",CEILING(AN50,1),IF(RoundingRule="Up to whole 5",CEILING(AN50,5),ROUND(AN50,2))))))))),2)))</f>
        <v>0</v>
      </c>
      <c r="AP50" s="20">
        <f>IF(B50="","",IF(W50&lt;&gt;"",W50,IF(ISNUMBER(AO50),AO50,"")))</f>
        <v>0</v>
      </c>
      <c r="AQ50" s="20">
        <f>IF(B50="","",IF(AP50="","",ROUND(AP50-AJ50-(AP50*AK50+AL50),2)))</f>
        <v>0</v>
      </c>
      <c r="AR50" s="33">
        <f>IF(B50="","",IF(OR(AP50="",AP50=0),"",AQ50/AP50))</f>
        <v>0</v>
      </c>
      <c r="AS50" s="41">
        <f>IF(B50="","",ROUND(AD50/60,3))</f>
        <v>0</v>
      </c>
      <c r="AT50" s="20">
        <f>IF(B50="","",IF(OR(AS50=0,AS50="",AQ50=""),"",ROUND((AQ50+AF50)/AS50,2)))</f>
        <v>0</v>
      </c>
      <c r="AU50" s="43">
        <f>IF(B50="","",IF(AND(A50&lt;&gt;"",ISERROR(MATCH(A50,Products!$A$5:$A$304,0))),"Check - no such product ID",IF(AC50=0,"Add - no material cost yet",IF(AD50=0,"Add - how long does it take?",IF(AND(A50&lt;&gt;"",COUNTIFS('Material Usage'!$A$5:$A$904,A50)&gt;0),"Check - this product also has a bill of materials",IF(AND(A50&lt;&gt;"",COUNTIFS(Labor!$A$5:$A$304,A50)&gt;0),"Check - this product also has labour lines",IF(AT50&lt;MinimumWage,"Below - pays under minimum wage","OK")))))) )</f>
        <v>0</v>
      </c>
    </row>
    <row r="51" spans="25:47">
      <c r="Y51" s="33">
        <f>IF(B51="","",IF(F51="",DefaultWaste,F51))</f>
        <v>0</v>
      </c>
      <c r="Z51" s="36">
        <f>IF(B51="","",ROUND((IF(E51="",0,E51)+IF(H51="",0,H51))*(1+Y51),1))</f>
        <v>0</v>
      </c>
      <c r="AA51" s="20">
        <f>IF(B51="","",ROUND(IF(E51="",0,E51)*(1+Y51)*IFERROR(INDEX(Materials!$V$5:$V$254,MATCH(D51,Materials!$A$5:$A$254,0)),0)+IF(H51="",0,H51)*(1+Y51)*IFERROR(INDEX(Materials!$V$5:$V$254,MATCH(G51,Materials!$A$5:$A$254,0)),0),2))</f>
        <v>0</v>
      </c>
      <c r="AB51" s="20">
        <f>IF(B51="","",ROUND(IF(L51="",0,L51)*IF(M51="",0,M51),2))</f>
        <v>0</v>
      </c>
      <c r="AC51" s="20">
        <f>IF(B51="","",ROUND(AA51+AB51+IF(I51="",0,I51)+IF(J51="",0,J51)+IF(N51="",0,N51),2))</f>
        <v>0</v>
      </c>
      <c r="AD51" s="36">
        <f>IF(B51="","",IF(Q51="",0,Q51)+IF(R51="",0,R51)+IF(S51="",0,S51)+IF(T51="",0,T51))</f>
        <v>0</v>
      </c>
      <c r="AE51" s="20">
        <f>IF(B51="","",IF(V51&lt;&gt;"",V51,LaborCostHour))</f>
        <v>0</v>
      </c>
      <c r="AF51" s="20">
        <f>IF(B51="","",ROUND(AD51/60*AE51,2))</f>
        <v>0</v>
      </c>
      <c r="AG51" s="20">
        <f>IF(B51="","",ROUND(IF(O51="",0,O51)/60*IF(P51="",0,P51),2))</f>
        <v>0</v>
      </c>
      <c r="AH51" s="20">
        <f>IF(B51="","",ROUND(AG51+AD51/60*SuppliesPerHour,2))</f>
        <v>0</v>
      </c>
      <c r="AI51" s="20">
        <f>IF(B51="","",ROUND((IF(E51="",0,E51)*IFERROR(INDEX(Materials!$V$5:$V$254,MATCH(D51,Materials!$A$5:$A$254,0)),0)+IF(H51="",0,H51)*IFERROR(INDEX(Materials!$V$5:$V$254,MATCH(G51,Materials!$A$5:$A$254,0)),0))*Y51,2))</f>
        <v>0</v>
      </c>
      <c r="AJ51" s="20">
        <f>IF(B51="","",ROUND(AC51+AF51+AH51,2))</f>
        <v>0</v>
      </c>
      <c r="AK51" s="33">
        <f>IF(B51="","",IFERROR(INDEX(Channels!$S$5:$S$18,MATCH(DefaultChannel,Channels!$A$5:$A$18,0)),0))</f>
        <v>0</v>
      </c>
      <c r="AL51" s="20">
        <f>IF(B51="","",IFERROR(INDEX(Channels!$T$5:$T$18,MATCH(DefaultChannel,Channels!$A$5:$A$18,0)),0))</f>
        <v>0</v>
      </c>
      <c r="AM51" s="41">
        <f>IF(B51="","",1-TargetRetailMargin-AK51)</f>
        <v>0</v>
      </c>
      <c r="AN51" s="20">
        <f>IF(B51="","",IF(AM51&lt;=0,"",(AJ51+AL51)/AM51))</f>
        <v>0</v>
      </c>
      <c r="AO51" s="20">
        <f>IF(B51="","",IF(AN51="","Check the settings",ROUND(IF(RoundingRule="None",AN51,IF(RoundingRule="Nearest 0.99",MAX(0.99,CEILING(AN51,1)-0.01),IF(RoundingRule="Nearest 0.95",MAX(0.95,CEILING(AN51,1)-0.05),IF(RoundingRule="Nearest 0.50",CEILING(AN51,0.5),IF(RoundingRule="Nearest 1",CEILING(AN51,1),IF(RoundingRule="Nearest 5",CEILING(AN51,5),IF(RoundingRule="Up to whole 1",CEILING(AN51,1),IF(RoundingRule="Up to whole 5",CEILING(AN51,5),ROUND(AN51,2))))))))),2)))</f>
        <v>0</v>
      </c>
      <c r="AP51" s="20">
        <f>IF(B51="","",IF(W51&lt;&gt;"",W51,IF(ISNUMBER(AO51),AO51,"")))</f>
        <v>0</v>
      </c>
      <c r="AQ51" s="20">
        <f>IF(B51="","",IF(AP51="","",ROUND(AP51-AJ51-(AP51*AK51+AL51),2)))</f>
        <v>0</v>
      </c>
      <c r="AR51" s="33">
        <f>IF(B51="","",IF(OR(AP51="",AP51=0),"",AQ51/AP51))</f>
        <v>0</v>
      </c>
      <c r="AS51" s="41">
        <f>IF(B51="","",ROUND(AD51/60,3))</f>
        <v>0</v>
      </c>
      <c r="AT51" s="20">
        <f>IF(B51="","",IF(OR(AS51=0,AS51="",AQ51=""),"",ROUND((AQ51+AF51)/AS51,2)))</f>
        <v>0</v>
      </c>
      <c r="AU51" s="43">
        <f>IF(B51="","",IF(AND(A51&lt;&gt;"",ISERROR(MATCH(A51,Products!$A$5:$A$304,0))),"Check - no such product ID",IF(AC51=0,"Add - no material cost yet",IF(AD51=0,"Add - how long does it take?",IF(AND(A51&lt;&gt;"",COUNTIFS('Material Usage'!$A$5:$A$904,A51)&gt;0),"Check - this product also has a bill of materials",IF(AND(A51&lt;&gt;"",COUNTIFS(Labor!$A$5:$A$304,A51)&gt;0),"Check - this product also has labour lines",IF(AT51&lt;MinimumWage,"Below - pays under minimum wage","OK")))))) )</f>
        <v>0</v>
      </c>
    </row>
    <row r="52" spans="25:47">
      <c r="Y52" s="33">
        <f>IF(B52="","",IF(F52="",DefaultWaste,F52))</f>
        <v>0</v>
      </c>
      <c r="Z52" s="36">
        <f>IF(B52="","",ROUND((IF(E52="",0,E52)+IF(H52="",0,H52))*(1+Y52),1))</f>
        <v>0</v>
      </c>
      <c r="AA52" s="20">
        <f>IF(B52="","",ROUND(IF(E52="",0,E52)*(1+Y52)*IFERROR(INDEX(Materials!$V$5:$V$254,MATCH(D52,Materials!$A$5:$A$254,0)),0)+IF(H52="",0,H52)*(1+Y52)*IFERROR(INDEX(Materials!$V$5:$V$254,MATCH(G52,Materials!$A$5:$A$254,0)),0),2))</f>
        <v>0</v>
      </c>
      <c r="AB52" s="20">
        <f>IF(B52="","",ROUND(IF(L52="",0,L52)*IF(M52="",0,M52),2))</f>
        <v>0</v>
      </c>
      <c r="AC52" s="20">
        <f>IF(B52="","",ROUND(AA52+AB52+IF(I52="",0,I52)+IF(J52="",0,J52)+IF(N52="",0,N52),2))</f>
        <v>0</v>
      </c>
      <c r="AD52" s="36">
        <f>IF(B52="","",IF(Q52="",0,Q52)+IF(R52="",0,R52)+IF(S52="",0,S52)+IF(T52="",0,T52))</f>
        <v>0</v>
      </c>
      <c r="AE52" s="20">
        <f>IF(B52="","",IF(V52&lt;&gt;"",V52,LaborCostHour))</f>
        <v>0</v>
      </c>
      <c r="AF52" s="20">
        <f>IF(B52="","",ROUND(AD52/60*AE52,2))</f>
        <v>0</v>
      </c>
      <c r="AG52" s="20">
        <f>IF(B52="","",ROUND(IF(O52="",0,O52)/60*IF(P52="",0,P52),2))</f>
        <v>0</v>
      </c>
      <c r="AH52" s="20">
        <f>IF(B52="","",ROUND(AG52+AD52/60*SuppliesPerHour,2))</f>
        <v>0</v>
      </c>
      <c r="AI52" s="20">
        <f>IF(B52="","",ROUND((IF(E52="",0,E52)*IFERROR(INDEX(Materials!$V$5:$V$254,MATCH(D52,Materials!$A$5:$A$254,0)),0)+IF(H52="",0,H52)*IFERROR(INDEX(Materials!$V$5:$V$254,MATCH(G52,Materials!$A$5:$A$254,0)),0))*Y52,2))</f>
        <v>0</v>
      </c>
      <c r="AJ52" s="20">
        <f>IF(B52="","",ROUND(AC52+AF52+AH52,2))</f>
        <v>0</v>
      </c>
      <c r="AK52" s="33">
        <f>IF(B52="","",IFERROR(INDEX(Channels!$S$5:$S$18,MATCH(DefaultChannel,Channels!$A$5:$A$18,0)),0))</f>
        <v>0</v>
      </c>
      <c r="AL52" s="20">
        <f>IF(B52="","",IFERROR(INDEX(Channels!$T$5:$T$18,MATCH(DefaultChannel,Channels!$A$5:$A$18,0)),0))</f>
        <v>0</v>
      </c>
      <c r="AM52" s="41">
        <f>IF(B52="","",1-TargetRetailMargin-AK52)</f>
        <v>0</v>
      </c>
      <c r="AN52" s="20">
        <f>IF(B52="","",IF(AM52&lt;=0,"",(AJ52+AL52)/AM52))</f>
        <v>0</v>
      </c>
      <c r="AO52" s="20">
        <f>IF(B52="","",IF(AN52="","Check the settings",ROUND(IF(RoundingRule="None",AN52,IF(RoundingRule="Nearest 0.99",MAX(0.99,CEILING(AN52,1)-0.01),IF(RoundingRule="Nearest 0.95",MAX(0.95,CEILING(AN52,1)-0.05),IF(RoundingRule="Nearest 0.50",CEILING(AN52,0.5),IF(RoundingRule="Nearest 1",CEILING(AN52,1),IF(RoundingRule="Nearest 5",CEILING(AN52,5),IF(RoundingRule="Up to whole 1",CEILING(AN52,1),IF(RoundingRule="Up to whole 5",CEILING(AN52,5),ROUND(AN52,2))))))))),2)))</f>
        <v>0</v>
      </c>
      <c r="AP52" s="20">
        <f>IF(B52="","",IF(W52&lt;&gt;"",W52,IF(ISNUMBER(AO52),AO52,"")))</f>
        <v>0</v>
      </c>
      <c r="AQ52" s="20">
        <f>IF(B52="","",IF(AP52="","",ROUND(AP52-AJ52-(AP52*AK52+AL52),2)))</f>
        <v>0</v>
      </c>
      <c r="AR52" s="33">
        <f>IF(B52="","",IF(OR(AP52="",AP52=0),"",AQ52/AP52))</f>
        <v>0</v>
      </c>
      <c r="AS52" s="41">
        <f>IF(B52="","",ROUND(AD52/60,3))</f>
        <v>0</v>
      </c>
      <c r="AT52" s="20">
        <f>IF(B52="","",IF(OR(AS52=0,AS52="",AQ52=""),"",ROUND((AQ52+AF52)/AS52,2)))</f>
        <v>0</v>
      </c>
      <c r="AU52" s="43">
        <f>IF(B52="","",IF(AND(A52&lt;&gt;"",ISERROR(MATCH(A52,Products!$A$5:$A$304,0))),"Check - no such product ID",IF(AC52=0,"Add - no material cost yet",IF(AD52=0,"Add - how long does it take?",IF(AND(A52&lt;&gt;"",COUNTIFS('Material Usage'!$A$5:$A$904,A52)&gt;0),"Check - this product also has a bill of materials",IF(AND(A52&lt;&gt;"",COUNTIFS(Labor!$A$5:$A$304,A52)&gt;0),"Check - this product also has labour lines",IF(AT52&lt;MinimumWage,"Below - pays under minimum wage","OK")))))) )</f>
        <v>0</v>
      </c>
    </row>
    <row r="53" spans="25:47">
      <c r="Y53" s="33">
        <f>IF(B53="","",IF(F53="",DefaultWaste,F53))</f>
        <v>0</v>
      </c>
      <c r="Z53" s="36">
        <f>IF(B53="","",ROUND((IF(E53="",0,E53)+IF(H53="",0,H53))*(1+Y53),1))</f>
        <v>0</v>
      </c>
      <c r="AA53" s="20">
        <f>IF(B53="","",ROUND(IF(E53="",0,E53)*(1+Y53)*IFERROR(INDEX(Materials!$V$5:$V$254,MATCH(D53,Materials!$A$5:$A$254,0)),0)+IF(H53="",0,H53)*(1+Y53)*IFERROR(INDEX(Materials!$V$5:$V$254,MATCH(G53,Materials!$A$5:$A$254,0)),0),2))</f>
        <v>0</v>
      </c>
      <c r="AB53" s="20">
        <f>IF(B53="","",ROUND(IF(L53="",0,L53)*IF(M53="",0,M53),2))</f>
        <v>0</v>
      </c>
      <c r="AC53" s="20">
        <f>IF(B53="","",ROUND(AA53+AB53+IF(I53="",0,I53)+IF(J53="",0,J53)+IF(N53="",0,N53),2))</f>
        <v>0</v>
      </c>
      <c r="AD53" s="36">
        <f>IF(B53="","",IF(Q53="",0,Q53)+IF(R53="",0,R53)+IF(S53="",0,S53)+IF(T53="",0,T53))</f>
        <v>0</v>
      </c>
      <c r="AE53" s="20">
        <f>IF(B53="","",IF(V53&lt;&gt;"",V53,LaborCostHour))</f>
        <v>0</v>
      </c>
      <c r="AF53" s="20">
        <f>IF(B53="","",ROUND(AD53/60*AE53,2))</f>
        <v>0</v>
      </c>
      <c r="AG53" s="20">
        <f>IF(B53="","",ROUND(IF(O53="",0,O53)/60*IF(P53="",0,P53),2))</f>
        <v>0</v>
      </c>
      <c r="AH53" s="20">
        <f>IF(B53="","",ROUND(AG53+AD53/60*SuppliesPerHour,2))</f>
        <v>0</v>
      </c>
      <c r="AI53" s="20">
        <f>IF(B53="","",ROUND((IF(E53="",0,E53)*IFERROR(INDEX(Materials!$V$5:$V$254,MATCH(D53,Materials!$A$5:$A$254,0)),0)+IF(H53="",0,H53)*IFERROR(INDEX(Materials!$V$5:$V$254,MATCH(G53,Materials!$A$5:$A$254,0)),0))*Y53,2))</f>
        <v>0</v>
      </c>
      <c r="AJ53" s="20">
        <f>IF(B53="","",ROUND(AC53+AF53+AH53,2))</f>
        <v>0</v>
      </c>
      <c r="AK53" s="33">
        <f>IF(B53="","",IFERROR(INDEX(Channels!$S$5:$S$18,MATCH(DefaultChannel,Channels!$A$5:$A$18,0)),0))</f>
        <v>0</v>
      </c>
      <c r="AL53" s="20">
        <f>IF(B53="","",IFERROR(INDEX(Channels!$T$5:$T$18,MATCH(DefaultChannel,Channels!$A$5:$A$18,0)),0))</f>
        <v>0</v>
      </c>
      <c r="AM53" s="41">
        <f>IF(B53="","",1-TargetRetailMargin-AK53)</f>
        <v>0</v>
      </c>
      <c r="AN53" s="20">
        <f>IF(B53="","",IF(AM53&lt;=0,"",(AJ53+AL53)/AM53))</f>
        <v>0</v>
      </c>
      <c r="AO53" s="20">
        <f>IF(B53="","",IF(AN53="","Check the settings",ROUND(IF(RoundingRule="None",AN53,IF(RoundingRule="Nearest 0.99",MAX(0.99,CEILING(AN53,1)-0.01),IF(RoundingRule="Nearest 0.95",MAX(0.95,CEILING(AN53,1)-0.05),IF(RoundingRule="Nearest 0.50",CEILING(AN53,0.5),IF(RoundingRule="Nearest 1",CEILING(AN53,1),IF(RoundingRule="Nearest 5",CEILING(AN53,5),IF(RoundingRule="Up to whole 1",CEILING(AN53,1),IF(RoundingRule="Up to whole 5",CEILING(AN53,5),ROUND(AN53,2))))))))),2)))</f>
        <v>0</v>
      </c>
      <c r="AP53" s="20">
        <f>IF(B53="","",IF(W53&lt;&gt;"",W53,IF(ISNUMBER(AO53),AO53,"")))</f>
        <v>0</v>
      </c>
      <c r="AQ53" s="20">
        <f>IF(B53="","",IF(AP53="","",ROUND(AP53-AJ53-(AP53*AK53+AL53),2)))</f>
        <v>0</v>
      </c>
      <c r="AR53" s="33">
        <f>IF(B53="","",IF(OR(AP53="",AP53=0),"",AQ53/AP53))</f>
        <v>0</v>
      </c>
      <c r="AS53" s="41">
        <f>IF(B53="","",ROUND(AD53/60,3))</f>
        <v>0</v>
      </c>
      <c r="AT53" s="20">
        <f>IF(B53="","",IF(OR(AS53=0,AS53="",AQ53=""),"",ROUND((AQ53+AF53)/AS53,2)))</f>
        <v>0</v>
      </c>
      <c r="AU53" s="43">
        <f>IF(B53="","",IF(AND(A53&lt;&gt;"",ISERROR(MATCH(A53,Products!$A$5:$A$304,0))),"Check - no such product ID",IF(AC53=0,"Add - no material cost yet",IF(AD53=0,"Add - how long does it take?",IF(AND(A53&lt;&gt;"",COUNTIFS('Material Usage'!$A$5:$A$904,A53)&gt;0),"Check - this product also has a bill of materials",IF(AND(A53&lt;&gt;"",COUNTIFS(Labor!$A$5:$A$304,A53)&gt;0),"Check - this product also has labour lines",IF(AT53&lt;MinimumWage,"Below - pays under minimum wage","OK")))))) )</f>
        <v>0</v>
      </c>
    </row>
    <row r="54" spans="25:47">
      <c r="Y54" s="33">
        <f>IF(B54="","",IF(F54="",DefaultWaste,F54))</f>
        <v>0</v>
      </c>
      <c r="Z54" s="36">
        <f>IF(B54="","",ROUND((IF(E54="",0,E54)+IF(H54="",0,H54))*(1+Y54),1))</f>
        <v>0</v>
      </c>
      <c r="AA54" s="20">
        <f>IF(B54="","",ROUND(IF(E54="",0,E54)*(1+Y54)*IFERROR(INDEX(Materials!$V$5:$V$254,MATCH(D54,Materials!$A$5:$A$254,0)),0)+IF(H54="",0,H54)*(1+Y54)*IFERROR(INDEX(Materials!$V$5:$V$254,MATCH(G54,Materials!$A$5:$A$254,0)),0),2))</f>
        <v>0</v>
      </c>
      <c r="AB54" s="20">
        <f>IF(B54="","",ROUND(IF(L54="",0,L54)*IF(M54="",0,M54),2))</f>
        <v>0</v>
      </c>
      <c r="AC54" s="20">
        <f>IF(B54="","",ROUND(AA54+AB54+IF(I54="",0,I54)+IF(J54="",0,J54)+IF(N54="",0,N54),2))</f>
        <v>0</v>
      </c>
      <c r="AD54" s="36">
        <f>IF(B54="","",IF(Q54="",0,Q54)+IF(R54="",0,R54)+IF(S54="",0,S54)+IF(T54="",0,T54))</f>
        <v>0</v>
      </c>
      <c r="AE54" s="20">
        <f>IF(B54="","",IF(V54&lt;&gt;"",V54,LaborCostHour))</f>
        <v>0</v>
      </c>
      <c r="AF54" s="20">
        <f>IF(B54="","",ROUND(AD54/60*AE54,2))</f>
        <v>0</v>
      </c>
      <c r="AG54" s="20">
        <f>IF(B54="","",ROUND(IF(O54="",0,O54)/60*IF(P54="",0,P54),2))</f>
        <v>0</v>
      </c>
      <c r="AH54" s="20">
        <f>IF(B54="","",ROUND(AG54+AD54/60*SuppliesPerHour,2))</f>
        <v>0</v>
      </c>
      <c r="AI54" s="20">
        <f>IF(B54="","",ROUND((IF(E54="",0,E54)*IFERROR(INDEX(Materials!$V$5:$V$254,MATCH(D54,Materials!$A$5:$A$254,0)),0)+IF(H54="",0,H54)*IFERROR(INDEX(Materials!$V$5:$V$254,MATCH(G54,Materials!$A$5:$A$254,0)),0))*Y54,2))</f>
        <v>0</v>
      </c>
      <c r="AJ54" s="20">
        <f>IF(B54="","",ROUND(AC54+AF54+AH54,2))</f>
        <v>0</v>
      </c>
      <c r="AK54" s="33">
        <f>IF(B54="","",IFERROR(INDEX(Channels!$S$5:$S$18,MATCH(DefaultChannel,Channels!$A$5:$A$18,0)),0))</f>
        <v>0</v>
      </c>
      <c r="AL54" s="20">
        <f>IF(B54="","",IFERROR(INDEX(Channels!$T$5:$T$18,MATCH(DefaultChannel,Channels!$A$5:$A$18,0)),0))</f>
        <v>0</v>
      </c>
      <c r="AM54" s="41">
        <f>IF(B54="","",1-TargetRetailMargin-AK54)</f>
        <v>0</v>
      </c>
      <c r="AN54" s="20">
        <f>IF(B54="","",IF(AM54&lt;=0,"",(AJ54+AL54)/AM54))</f>
        <v>0</v>
      </c>
      <c r="AO54" s="20">
        <f>IF(B54="","",IF(AN54="","Check the settings",ROUND(IF(RoundingRule="None",AN54,IF(RoundingRule="Nearest 0.99",MAX(0.99,CEILING(AN54,1)-0.01),IF(RoundingRule="Nearest 0.95",MAX(0.95,CEILING(AN54,1)-0.05),IF(RoundingRule="Nearest 0.50",CEILING(AN54,0.5),IF(RoundingRule="Nearest 1",CEILING(AN54,1),IF(RoundingRule="Nearest 5",CEILING(AN54,5),IF(RoundingRule="Up to whole 1",CEILING(AN54,1),IF(RoundingRule="Up to whole 5",CEILING(AN54,5),ROUND(AN54,2))))))))),2)))</f>
        <v>0</v>
      </c>
      <c r="AP54" s="20">
        <f>IF(B54="","",IF(W54&lt;&gt;"",W54,IF(ISNUMBER(AO54),AO54,"")))</f>
        <v>0</v>
      </c>
      <c r="AQ54" s="20">
        <f>IF(B54="","",IF(AP54="","",ROUND(AP54-AJ54-(AP54*AK54+AL54),2)))</f>
        <v>0</v>
      </c>
      <c r="AR54" s="33">
        <f>IF(B54="","",IF(OR(AP54="",AP54=0),"",AQ54/AP54))</f>
        <v>0</v>
      </c>
      <c r="AS54" s="41">
        <f>IF(B54="","",ROUND(AD54/60,3))</f>
        <v>0</v>
      </c>
      <c r="AT54" s="20">
        <f>IF(B54="","",IF(OR(AS54=0,AS54="",AQ54=""),"",ROUND((AQ54+AF54)/AS54,2)))</f>
        <v>0</v>
      </c>
      <c r="AU54" s="43">
        <f>IF(B54="","",IF(AND(A54&lt;&gt;"",ISERROR(MATCH(A54,Products!$A$5:$A$304,0))),"Check - no such product ID",IF(AC54=0,"Add - no material cost yet",IF(AD54=0,"Add - how long does it take?",IF(AND(A54&lt;&gt;"",COUNTIFS('Material Usage'!$A$5:$A$904,A54)&gt;0),"Check - this product also has a bill of materials",IF(AND(A54&lt;&gt;"",COUNTIFS(Labor!$A$5:$A$304,A54)&gt;0),"Check - this product also has labour lines",IF(AT54&lt;MinimumWage,"Below - pays under minimum wage","OK")))))) )</f>
        <v>0</v>
      </c>
    </row>
    <row r="55" spans="25:47">
      <c r="Y55" s="33">
        <f>IF(B55="","",IF(F55="",DefaultWaste,F55))</f>
        <v>0</v>
      </c>
      <c r="Z55" s="36">
        <f>IF(B55="","",ROUND((IF(E55="",0,E55)+IF(H55="",0,H55))*(1+Y55),1))</f>
        <v>0</v>
      </c>
      <c r="AA55" s="20">
        <f>IF(B55="","",ROUND(IF(E55="",0,E55)*(1+Y55)*IFERROR(INDEX(Materials!$V$5:$V$254,MATCH(D55,Materials!$A$5:$A$254,0)),0)+IF(H55="",0,H55)*(1+Y55)*IFERROR(INDEX(Materials!$V$5:$V$254,MATCH(G55,Materials!$A$5:$A$254,0)),0),2))</f>
        <v>0</v>
      </c>
      <c r="AB55" s="20">
        <f>IF(B55="","",ROUND(IF(L55="",0,L55)*IF(M55="",0,M55),2))</f>
        <v>0</v>
      </c>
      <c r="AC55" s="20">
        <f>IF(B55="","",ROUND(AA55+AB55+IF(I55="",0,I55)+IF(J55="",0,J55)+IF(N55="",0,N55),2))</f>
        <v>0</v>
      </c>
      <c r="AD55" s="36">
        <f>IF(B55="","",IF(Q55="",0,Q55)+IF(R55="",0,R55)+IF(S55="",0,S55)+IF(T55="",0,T55))</f>
        <v>0</v>
      </c>
      <c r="AE55" s="20">
        <f>IF(B55="","",IF(V55&lt;&gt;"",V55,LaborCostHour))</f>
        <v>0</v>
      </c>
      <c r="AF55" s="20">
        <f>IF(B55="","",ROUND(AD55/60*AE55,2))</f>
        <v>0</v>
      </c>
      <c r="AG55" s="20">
        <f>IF(B55="","",ROUND(IF(O55="",0,O55)/60*IF(P55="",0,P55),2))</f>
        <v>0</v>
      </c>
      <c r="AH55" s="20">
        <f>IF(B55="","",ROUND(AG55+AD55/60*SuppliesPerHour,2))</f>
        <v>0</v>
      </c>
      <c r="AI55" s="20">
        <f>IF(B55="","",ROUND((IF(E55="",0,E55)*IFERROR(INDEX(Materials!$V$5:$V$254,MATCH(D55,Materials!$A$5:$A$254,0)),0)+IF(H55="",0,H55)*IFERROR(INDEX(Materials!$V$5:$V$254,MATCH(G55,Materials!$A$5:$A$254,0)),0))*Y55,2))</f>
        <v>0</v>
      </c>
      <c r="AJ55" s="20">
        <f>IF(B55="","",ROUND(AC55+AF55+AH55,2))</f>
        <v>0</v>
      </c>
      <c r="AK55" s="33">
        <f>IF(B55="","",IFERROR(INDEX(Channels!$S$5:$S$18,MATCH(DefaultChannel,Channels!$A$5:$A$18,0)),0))</f>
        <v>0</v>
      </c>
      <c r="AL55" s="20">
        <f>IF(B55="","",IFERROR(INDEX(Channels!$T$5:$T$18,MATCH(DefaultChannel,Channels!$A$5:$A$18,0)),0))</f>
        <v>0</v>
      </c>
      <c r="AM55" s="41">
        <f>IF(B55="","",1-TargetRetailMargin-AK55)</f>
        <v>0</v>
      </c>
      <c r="AN55" s="20">
        <f>IF(B55="","",IF(AM55&lt;=0,"",(AJ55+AL55)/AM55))</f>
        <v>0</v>
      </c>
      <c r="AO55" s="20">
        <f>IF(B55="","",IF(AN55="","Check the settings",ROUND(IF(RoundingRule="None",AN55,IF(RoundingRule="Nearest 0.99",MAX(0.99,CEILING(AN55,1)-0.01),IF(RoundingRule="Nearest 0.95",MAX(0.95,CEILING(AN55,1)-0.05),IF(RoundingRule="Nearest 0.50",CEILING(AN55,0.5),IF(RoundingRule="Nearest 1",CEILING(AN55,1),IF(RoundingRule="Nearest 5",CEILING(AN55,5),IF(RoundingRule="Up to whole 1",CEILING(AN55,1),IF(RoundingRule="Up to whole 5",CEILING(AN55,5),ROUND(AN55,2))))))))),2)))</f>
        <v>0</v>
      </c>
      <c r="AP55" s="20">
        <f>IF(B55="","",IF(W55&lt;&gt;"",W55,IF(ISNUMBER(AO55),AO55,"")))</f>
        <v>0</v>
      </c>
      <c r="AQ55" s="20">
        <f>IF(B55="","",IF(AP55="","",ROUND(AP55-AJ55-(AP55*AK55+AL55),2)))</f>
        <v>0</v>
      </c>
      <c r="AR55" s="33">
        <f>IF(B55="","",IF(OR(AP55="",AP55=0),"",AQ55/AP55))</f>
        <v>0</v>
      </c>
      <c r="AS55" s="41">
        <f>IF(B55="","",ROUND(AD55/60,3))</f>
        <v>0</v>
      </c>
      <c r="AT55" s="20">
        <f>IF(B55="","",IF(OR(AS55=0,AS55="",AQ55=""),"",ROUND((AQ55+AF55)/AS55,2)))</f>
        <v>0</v>
      </c>
      <c r="AU55" s="43">
        <f>IF(B55="","",IF(AND(A55&lt;&gt;"",ISERROR(MATCH(A55,Products!$A$5:$A$304,0))),"Check - no such product ID",IF(AC55=0,"Add - no material cost yet",IF(AD55=0,"Add - how long does it take?",IF(AND(A55&lt;&gt;"",COUNTIFS('Material Usage'!$A$5:$A$904,A55)&gt;0),"Check - this product also has a bill of materials",IF(AND(A55&lt;&gt;"",COUNTIFS(Labor!$A$5:$A$304,A55)&gt;0),"Check - this product also has labour lines",IF(AT55&lt;MinimumWage,"Below - pays under minimum wage","OK")))))) )</f>
        <v>0</v>
      </c>
    </row>
    <row r="56" spans="25:47">
      <c r="Y56" s="33">
        <f>IF(B56="","",IF(F56="",DefaultWaste,F56))</f>
        <v>0</v>
      </c>
      <c r="Z56" s="36">
        <f>IF(B56="","",ROUND((IF(E56="",0,E56)+IF(H56="",0,H56))*(1+Y56),1))</f>
        <v>0</v>
      </c>
      <c r="AA56" s="20">
        <f>IF(B56="","",ROUND(IF(E56="",0,E56)*(1+Y56)*IFERROR(INDEX(Materials!$V$5:$V$254,MATCH(D56,Materials!$A$5:$A$254,0)),0)+IF(H56="",0,H56)*(1+Y56)*IFERROR(INDEX(Materials!$V$5:$V$254,MATCH(G56,Materials!$A$5:$A$254,0)),0),2))</f>
        <v>0</v>
      </c>
      <c r="AB56" s="20">
        <f>IF(B56="","",ROUND(IF(L56="",0,L56)*IF(M56="",0,M56),2))</f>
        <v>0</v>
      </c>
      <c r="AC56" s="20">
        <f>IF(B56="","",ROUND(AA56+AB56+IF(I56="",0,I56)+IF(J56="",0,J56)+IF(N56="",0,N56),2))</f>
        <v>0</v>
      </c>
      <c r="AD56" s="36">
        <f>IF(B56="","",IF(Q56="",0,Q56)+IF(R56="",0,R56)+IF(S56="",0,S56)+IF(T56="",0,T56))</f>
        <v>0</v>
      </c>
      <c r="AE56" s="20">
        <f>IF(B56="","",IF(V56&lt;&gt;"",V56,LaborCostHour))</f>
        <v>0</v>
      </c>
      <c r="AF56" s="20">
        <f>IF(B56="","",ROUND(AD56/60*AE56,2))</f>
        <v>0</v>
      </c>
      <c r="AG56" s="20">
        <f>IF(B56="","",ROUND(IF(O56="",0,O56)/60*IF(P56="",0,P56),2))</f>
        <v>0</v>
      </c>
      <c r="AH56" s="20">
        <f>IF(B56="","",ROUND(AG56+AD56/60*SuppliesPerHour,2))</f>
        <v>0</v>
      </c>
      <c r="AI56" s="20">
        <f>IF(B56="","",ROUND((IF(E56="",0,E56)*IFERROR(INDEX(Materials!$V$5:$V$254,MATCH(D56,Materials!$A$5:$A$254,0)),0)+IF(H56="",0,H56)*IFERROR(INDEX(Materials!$V$5:$V$254,MATCH(G56,Materials!$A$5:$A$254,0)),0))*Y56,2))</f>
        <v>0</v>
      </c>
      <c r="AJ56" s="20">
        <f>IF(B56="","",ROUND(AC56+AF56+AH56,2))</f>
        <v>0</v>
      </c>
      <c r="AK56" s="33">
        <f>IF(B56="","",IFERROR(INDEX(Channels!$S$5:$S$18,MATCH(DefaultChannel,Channels!$A$5:$A$18,0)),0))</f>
        <v>0</v>
      </c>
      <c r="AL56" s="20">
        <f>IF(B56="","",IFERROR(INDEX(Channels!$T$5:$T$18,MATCH(DefaultChannel,Channels!$A$5:$A$18,0)),0))</f>
        <v>0</v>
      </c>
      <c r="AM56" s="41">
        <f>IF(B56="","",1-TargetRetailMargin-AK56)</f>
        <v>0</v>
      </c>
      <c r="AN56" s="20">
        <f>IF(B56="","",IF(AM56&lt;=0,"",(AJ56+AL56)/AM56))</f>
        <v>0</v>
      </c>
      <c r="AO56" s="20">
        <f>IF(B56="","",IF(AN56="","Check the settings",ROUND(IF(RoundingRule="None",AN56,IF(RoundingRule="Nearest 0.99",MAX(0.99,CEILING(AN56,1)-0.01),IF(RoundingRule="Nearest 0.95",MAX(0.95,CEILING(AN56,1)-0.05),IF(RoundingRule="Nearest 0.50",CEILING(AN56,0.5),IF(RoundingRule="Nearest 1",CEILING(AN56,1),IF(RoundingRule="Nearest 5",CEILING(AN56,5),IF(RoundingRule="Up to whole 1",CEILING(AN56,1),IF(RoundingRule="Up to whole 5",CEILING(AN56,5),ROUND(AN56,2))))))))),2)))</f>
        <v>0</v>
      </c>
      <c r="AP56" s="20">
        <f>IF(B56="","",IF(W56&lt;&gt;"",W56,IF(ISNUMBER(AO56),AO56,"")))</f>
        <v>0</v>
      </c>
      <c r="AQ56" s="20">
        <f>IF(B56="","",IF(AP56="","",ROUND(AP56-AJ56-(AP56*AK56+AL56),2)))</f>
        <v>0</v>
      </c>
      <c r="AR56" s="33">
        <f>IF(B56="","",IF(OR(AP56="",AP56=0),"",AQ56/AP56))</f>
        <v>0</v>
      </c>
      <c r="AS56" s="41">
        <f>IF(B56="","",ROUND(AD56/60,3))</f>
        <v>0</v>
      </c>
      <c r="AT56" s="20">
        <f>IF(B56="","",IF(OR(AS56=0,AS56="",AQ56=""),"",ROUND((AQ56+AF56)/AS56,2)))</f>
        <v>0</v>
      </c>
      <c r="AU56" s="43">
        <f>IF(B56="","",IF(AND(A56&lt;&gt;"",ISERROR(MATCH(A56,Products!$A$5:$A$304,0))),"Check - no such product ID",IF(AC56=0,"Add - no material cost yet",IF(AD56=0,"Add - how long does it take?",IF(AND(A56&lt;&gt;"",COUNTIFS('Material Usage'!$A$5:$A$904,A56)&gt;0),"Check - this product also has a bill of materials",IF(AND(A56&lt;&gt;"",COUNTIFS(Labor!$A$5:$A$304,A56)&gt;0),"Check - this product also has labour lines",IF(AT56&lt;MinimumWage,"Below - pays under minimum wage","OK")))))) )</f>
        <v>0</v>
      </c>
    </row>
    <row r="57" spans="25:47">
      <c r="Y57" s="33">
        <f>IF(B57="","",IF(F57="",DefaultWaste,F57))</f>
        <v>0</v>
      </c>
      <c r="Z57" s="36">
        <f>IF(B57="","",ROUND((IF(E57="",0,E57)+IF(H57="",0,H57))*(1+Y57),1))</f>
        <v>0</v>
      </c>
      <c r="AA57" s="20">
        <f>IF(B57="","",ROUND(IF(E57="",0,E57)*(1+Y57)*IFERROR(INDEX(Materials!$V$5:$V$254,MATCH(D57,Materials!$A$5:$A$254,0)),0)+IF(H57="",0,H57)*(1+Y57)*IFERROR(INDEX(Materials!$V$5:$V$254,MATCH(G57,Materials!$A$5:$A$254,0)),0),2))</f>
        <v>0</v>
      </c>
      <c r="AB57" s="20">
        <f>IF(B57="","",ROUND(IF(L57="",0,L57)*IF(M57="",0,M57),2))</f>
        <v>0</v>
      </c>
      <c r="AC57" s="20">
        <f>IF(B57="","",ROUND(AA57+AB57+IF(I57="",0,I57)+IF(J57="",0,J57)+IF(N57="",0,N57),2))</f>
        <v>0</v>
      </c>
      <c r="AD57" s="36">
        <f>IF(B57="","",IF(Q57="",0,Q57)+IF(R57="",0,R57)+IF(S57="",0,S57)+IF(T57="",0,T57))</f>
        <v>0</v>
      </c>
      <c r="AE57" s="20">
        <f>IF(B57="","",IF(V57&lt;&gt;"",V57,LaborCostHour))</f>
        <v>0</v>
      </c>
      <c r="AF57" s="20">
        <f>IF(B57="","",ROUND(AD57/60*AE57,2))</f>
        <v>0</v>
      </c>
      <c r="AG57" s="20">
        <f>IF(B57="","",ROUND(IF(O57="",0,O57)/60*IF(P57="",0,P57),2))</f>
        <v>0</v>
      </c>
      <c r="AH57" s="20">
        <f>IF(B57="","",ROUND(AG57+AD57/60*SuppliesPerHour,2))</f>
        <v>0</v>
      </c>
      <c r="AI57" s="20">
        <f>IF(B57="","",ROUND((IF(E57="",0,E57)*IFERROR(INDEX(Materials!$V$5:$V$254,MATCH(D57,Materials!$A$5:$A$254,0)),0)+IF(H57="",0,H57)*IFERROR(INDEX(Materials!$V$5:$V$254,MATCH(G57,Materials!$A$5:$A$254,0)),0))*Y57,2))</f>
        <v>0</v>
      </c>
      <c r="AJ57" s="20">
        <f>IF(B57="","",ROUND(AC57+AF57+AH57,2))</f>
        <v>0</v>
      </c>
      <c r="AK57" s="33">
        <f>IF(B57="","",IFERROR(INDEX(Channels!$S$5:$S$18,MATCH(DefaultChannel,Channels!$A$5:$A$18,0)),0))</f>
        <v>0</v>
      </c>
      <c r="AL57" s="20">
        <f>IF(B57="","",IFERROR(INDEX(Channels!$T$5:$T$18,MATCH(DefaultChannel,Channels!$A$5:$A$18,0)),0))</f>
        <v>0</v>
      </c>
      <c r="AM57" s="41">
        <f>IF(B57="","",1-TargetRetailMargin-AK57)</f>
        <v>0</v>
      </c>
      <c r="AN57" s="20">
        <f>IF(B57="","",IF(AM57&lt;=0,"",(AJ57+AL57)/AM57))</f>
        <v>0</v>
      </c>
      <c r="AO57" s="20">
        <f>IF(B57="","",IF(AN57="","Check the settings",ROUND(IF(RoundingRule="None",AN57,IF(RoundingRule="Nearest 0.99",MAX(0.99,CEILING(AN57,1)-0.01),IF(RoundingRule="Nearest 0.95",MAX(0.95,CEILING(AN57,1)-0.05),IF(RoundingRule="Nearest 0.50",CEILING(AN57,0.5),IF(RoundingRule="Nearest 1",CEILING(AN57,1),IF(RoundingRule="Nearest 5",CEILING(AN57,5),IF(RoundingRule="Up to whole 1",CEILING(AN57,1),IF(RoundingRule="Up to whole 5",CEILING(AN57,5),ROUND(AN57,2))))))))),2)))</f>
        <v>0</v>
      </c>
      <c r="AP57" s="20">
        <f>IF(B57="","",IF(W57&lt;&gt;"",W57,IF(ISNUMBER(AO57),AO57,"")))</f>
        <v>0</v>
      </c>
      <c r="AQ57" s="20">
        <f>IF(B57="","",IF(AP57="","",ROUND(AP57-AJ57-(AP57*AK57+AL57),2)))</f>
        <v>0</v>
      </c>
      <c r="AR57" s="33">
        <f>IF(B57="","",IF(OR(AP57="",AP57=0),"",AQ57/AP57))</f>
        <v>0</v>
      </c>
      <c r="AS57" s="41">
        <f>IF(B57="","",ROUND(AD57/60,3))</f>
        <v>0</v>
      </c>
      <c r="AT57" s="20">
        <f>IF(B57="","",IF(OR(AS57=0,AS57="",AQ57=""),"",ROUND((AQ57+AF57)/AS57,2)))</f>
        <v>0</v>
      </c>
      <c r="AU57" s="43">
        <f>IF(B57="","",IF(AND(A57&lt;&gt;"",ISERROR(MATCH(A57,Products!$A$5:$A$304,0))),"Check - no such product ID",IF(AC57=0,"Add - no material cost yet",IF(AD57=0,"Add - how long does it take?",IF(AND(A57&lt;&gt;"",COUNTIFS('Material Usage'!$A$5:$A$904,A57)&gt;0),"Check - this product also has a bill of materials",IF(AND(A57&lt;&gt;"",COUNTIFS(Labor!$A$5:$A$304,A57)&gt;0),"Check - this product also has labour lines",IF(AT57&lt;MinimumWage,"Below - pays under minimum wage","OK")))))) )</f>
        <v>0</v>
      </c>
    </row>
    <row r="58" spans="25:47">
      <c r="Y58" s="33">
        <f>IF(B58="","",IF(F58="",DefaultWaste,F58))</f>
        <v>0</v>
      </c>
      <c r="Z58" s="36">
        <f>IF(B58="","",ROUND((IF(E58="",0,E58)+IF(H58="",0,H58))*(1+Y58),1))</f>
        <v>0</v>
      </c>
      <c r="AA58" s="20">
        <f>IF(B58="","",ROUND(IF(E58="",0,E58)*(1+Y58)*IFERROR(INDEX(Materials!$V$5:$V$254,MATCH(D58,Materials!$A$5:$A$254,0)),0)+IF(H58="",0,H58)*(1+Y58)*IFERROR(INDEX(Materials!$V$5:$V$254,MATCH(G58,Materials!$A$5:$A$254,0)),0),2))</f>
        <v>0</v>
      </c>
      <c r="AB58" s="20">
        <f>IF(B58="","",ROUND(IF(L58="",0,L58)*IF(M58="",0,M58),2))</f>
        <v>0</v>
      </c>
      <c r="AC58" s="20">
        <f>IF(B58="","",ROUND(AA58+AB58+IF(I58="",0,I58)+IF(J58="",0,J58)+IF(N58="",0,N58),2))</f>
        <v>0</v>
      </c>
      <c r="AD58" s="36">
        <f>IF(B58="","",IF(Q58="",0,Q58)+IF(R58="",0,R58)+IF(S58="",0,S58)+IF(T58="",0,T58))</f>
        <v>0</v>
      </c>
      <c r="AE58" s="20">
        <f>IF(B58="","",IF(V58&lt;&gt;"",V58,LaborCostHour))</f>
        <v>0</v>
      </c>
      <c r="AF58" s="20">
        <f>IF(B58="","",ROUND(AD58/60*AE58,2))</f>
        <v>0</v>
      </c>
      <c r="AG58" s="20">
        <f>IF(B58="","",ROUND(IF(O58="",0,O58)/60*IF(P58="",0,P58),2))</f>
        <v>0</v>
      </c>
      <c r="AH58" s="20">
        <f>IF(B58="","",ROUND(AG58+AD58/60*SuppliesPerHour,2))</f>
        <v>0</v>
      </c>
      <c r="AI58" s="20">
        <f>IF(B58="","",ROUND((IF(E58="",0,E58)*IFERROR(INDEX(Materials!$V$5:$V$254,MATCH(D58,Materials!$A$5:$A$254,0)),0)+IF(H58="",0,H58)*IFERROR(INDEX(Materials!$V$5:$V$254,MATCH(G58,Materials!$A$5:$A$254,0)),0))*Y58,2))</f>
        <v>0</v>
      </c>
      <c r="AJ58" s="20">
        <f>IF(B58="","",ROUND(AC58+AF58+AH58,2))</f>
        <v>0</v>
      </c>
      <c r="AK58" s="33">
        <f>IF(B58="","",IFERROR(INDEX(Channels!$S$5:$S$18,MATCH(DefaultChannel,Channels!$A$5:$A$18,0)),0))</f>
        <v>0</v>
      </c>
      <c r="AL58" s="20">
        <f>IF(B58="","",IFERROR(INDEX(Channels!$T$5:$T$18,MATCH(DefaultChannel,Channels!$A$5:$A$18,0)),0))</f>
        <v>0</v>
      </c>
      <c r="AM58" s="41">
        <f>IF(B58="","",1-TargetRetailMargin-AK58)</f>
        <v>0</v>
      </c>
      <c r="AN58" s="20">
        <f>IF(B58="","",IF(AM58&lt;=0,"",(AJ58+AL58)/AM58))</f>
        <v>0</v>
      </c>
      <c r="AO58" s="20">
        <f>IF(B58="","",IF(AN58="","Check the settings",ROUND(IF(RoundingRule="None",AN58,IF(RoundingRule="Nearest 0.99",MAX(0.99,CEILING(AN58,1)-0.01),IF(RoundingRule="Nearest 0.95",MAX(0.95,CEILING(AN58,1)-0.05),IF(RoundingRule="Nearest 0.50",CEILING(AN58,0.5),IF(RoundingRule="Nearest 1",CEILING(AN58,1),IF(RoundingRule="Nearest 5",CEILING(AN58,5),IF(RoundingRule="Up to whole 1",CEILING(AN58,1),IF(RoundingRule="Up to whole 5",CEILING(AN58,5),ROUND(AN58,2))))))))),2)))</f>
        <v>0</v>
      </c>
      <c r="AP58" s="20">
        <f>IF(B58="","",IF(W58&lt;&gt;"",W58,IF(ISNUMBER(AO58),AO58,"")))</f>
        <v>0</v>
      </c>
      <c r="AQ58" s="20">
        <f>IF(B58="","",IF(AP58="","",ROUND(AP58-AJ58-(AP58*AK58+AL58),2)))</f>
        <v>0</v>
      </c>
      <c r="AR58" s="33">
        <f>IF(B58="","",IF(OR(AP58="",AP58=0),"",AQ58/AP58))</f>
        <v>0</v>
      </c>
      <c r="AS58" s="41">
        <f>IF(B58="","",ROUND(AD58/60,3))</f>
        <v>0</v>
      </c>
      <c r="AT58" s="20">
        <f>IF(B58="","",IF(OR(AS58=0,AS58="",AQ58=""),"",ROUND((AQ58+AF58)/AS58,2)))</f>
        <v>0</v>
      </c>
      <c r="AU58" s="43">
        <f>IF(B58="","",IF(AND(A58&lt;&gt;"",ISERROR(MATCH(A58,Products!$A$5:$A$304,0))),"Check - no such product ID",IF(AC58=0,"Add - no material cost yet",IF(AD58=0,"Add - how long does it take?",IF(AND(A58&lt;&gt;"",COUNTIFS('Material Usage'!$A$5:$A$904,A58)&gt;0),"Check - this product also has a bill of materials",IF(AND(A58&lt;&gt;"",COUNTIFS(Labor!$A$5:$A$304,A58)&gt;0),"Check - this product also has labour lines",IF(AT58&lt;MinimumWage,"Below - pays under minimum wage","OK")))))) )</f>
        <v>0</v>
      </c>
    </row>
    <row r="59" spans="25:47">
      <c r="Y59" s="33">
        <f>IF(B59="","",IF(F59="",DefaultWaste,F59))</f>
        <v>0</v>
      </c>
      <c r="Z59" s="36">
        <f>IF(B59="","",ROUND((IF(E59="",0,E59)+IF(H59="",0,H59))*(1+Y59),1))</f>
        <v>0</v>
      </c>
      <c r="AA59" s="20">
        <f>IF(B59="","",ROUND(IF(E59="",0,E59)*(1+Y59)*IFERROR(INDEX(Materials!$V$5:$V$254,MATCH(D59,Materials!$A$5:$A$254,0)),0)+IF(H59="",0,H59)*(1+Y59)*IFERROR(INDEX(Materials!$V$5:$V$254,MATCH(G59,Materials!$A$5:$A$254,0)),0),2))</f>
        <v>0</v>
      </c>
      <c r="AB59" s="20">
        <f>IF(B59="","",ROUND(IF(L59="",0,L59)*IF(M59="",0,M59),2))</f>
        <v>0</v>
      </c>
      <c r="AC59" s="20">
        <f>IF(B59="","",ROUND(AA59+AB59+IF(I59="",0,I59)+IF(J59="",0,J59)+IF(N59="",0,N59),2))</f>
        <v>0</v>
      </c>
      <c r="AD59" s="36">
        <f>IF(B59="","",IF(Q59="",0,Q59)+IF(R59="",0,R59)+IF(S59="",0,S59)+IF(T59="",0,T59))</f>
        <v>0</v>
      </c>
      <c r="AE59" s="20">
        <f>IF(B59="","",IF(V59&lt;&gt;"",V59,LaborCostHour))</f>
        <v>0</v>
      </c>
      <c r="AF59" s="20">
        <f>IF(B59="","",ROUND(AD59/60*AE59,2))</f>
        <v>0</v>
      </c>
      <c r="AG59" s="20">
        <f>IF(B59="","",ROUND(IF(O59="",0,O59)/60*IF(P59="",0,P59),2))</f>
        <v>0</v>
      </c>
      <c r="AH59" s="20">
        <f>IF(B59="","",ROUND(AG59+AD59/60*SuppliesPerHour,2))</f>
        <v>0</v>
      </c>
      <c r="AI59" s="20">
        <f>IF(B59="","",ROUND((IF(E59="",0,E59)*IFERROR(INDEX(Materials!$V$5:$V$254,MATCH(D59,Materials!$A$5:$A$254,0)),0)+IF(H59="",0,H59)*IFERROR(INDEX(Materials!$V$5:$V$254,MATCH(G59,Materials!$A$5:$A$254,0)),0))*Y59,2))</f>
        <v>0</v>
      </c>
      <c r="AJ59" s="20">
        <f>IF(B59="","",ROUND(AC59+AF59+AH59,2))</f>
        <v>0</v>
      </c>
      <c r="AK59" s="33">
        <f>IF(B59="","",IFERROR(INDEX(Channels!$S$5:$S$18,MATCH(DefaultChannel,Channels!$A$5:$A$18,0)),0))</f>
        <v>0</v>
      </c>
      <c r="AL59" s="20">
        <f>IF(B59="","",IFERROR(INDEX(Channels!$T$5:$T$18,MATCH(DefaultChannel,Channels!$A$5:$A$18,0)),0))</f>
        <v>0</v>
      </c>
      <c r="AM59" s="41">
        <f>IF(B59="","",1-TargetRetailMargin-AK59)</f>
        <v>0</v>
      </c>
      <c r="AN59" s="20">
        <f>IF(B59="","",IF(AM59&lt;=0,"",(AJ59+AL59)/AM59))</f>
        <v>0</v>
      </c>
      <c r="AO59" s="20">
        <f>IF(B59="","",IF(AN59="","Check the settings",ROUND(IF(RoundingRule="None",AN59,IF(RoundingRule="Nearest 0.99",MAX(0.99,CEILING(AN59,1)-0.01),IF(RoundingRule="Nearest 0.95",MAX(0.95,CEILING(AN59,1)-0.05),IF(RoundingRule="Nearest 0.50",CEILING(AN59,0.5),IF(RoundingRule="Nearest 1",CEILING(AN59,1),IF(RoundingRule="Nearest 5",CEILING(AN59,5),IF(RoundingRule="Up to whole 1",CEILING(AN59,1),IF(RoundingRule="Up to whole 5",CEILING(AN59,5),ROUND(AN59,2))))))))),2)))</f>
        <v>0</v>
      </c>
      <c r="AP59" s="20">
        <f>IF(B59="","",IF(W59&lt;&gt;"",W59,IF(ISNUMBER(AO59),AO59,"")))</f>
        <v>0</v>
      </c>
      <c r="AQ59" s="20">
        <f>IF(B59="","",IF(AP59="","",ROUND(AP59-AJ59-(AP59*AK59+AL59),2)))</f>
        <v>0</v>
      </c>
      <c r="AR59" s="33">
        <f>IF(B59="","",IF(OR(AP59="",AP59=0),"",AQ59/AP59))</f>
        <v>0</v>
      </c>
      <c r="AS59" s="41">
        <f>IF(B59="","",ROUND(AD59/60,3))</f>
        <v>0</v>
      </c>
      <c r="AT59" s="20">
        <f>IF(B59="","",IF(OR(AS59=0,AS59="",AQ59=""),"",ROUND((AQ59+AF59)/AS59,2)))</f>
        <v>0</v>
      </c>
      <c r="AU59" s="43">
        <f>IF(B59="","",IF(AND(A59&lt;&gt;"",ISERROR(MATCH(A59,Products!$A$5:$A$304,0))),"Check - no such product ID",IF(AC59=0,"Add - no material cost yet",IF(AD59=0,"Add - how long does it take?",IF(AND(A59&lt;&gt;"",COUNTIFS('Material Usage'!$A$5:$A$904,A59)&gt;0),"Check - this product also has a bill of materials",IF(AND(A59&lt;&gt;"",COUNTIFS(Labor!$A$5:$A$304,A59)&gt;0),"Check - this product also has labour lines",IF(AT59&lt;MinimumWage,"Below - pays under minimum wage","OK")))))) )</f>
        <v>0</v>
      </c>
    </row>
    <row r="60" spans="25:47">
      <c r="Y60" s="33">
        <f>IF(B60="","",IF(F60="",DefaultWaste,F60))</f>
        <v>0</v>
      </c>
      <c r="Z60" s="36">
        <f>IF(B60="","",ROUND((IF(E60="",0,E60)+IF(H60="",0,H60))*(1+Y60),1))</f>
        <v>0</v>
      </c>
      <c r="AA60" s="20">
        <f>IF(B60="","",ROUND(IF(E60="",0,E60)*(1+Y60)*IFERROR(INDEX(Materials!$V$5:$V$254,MATCH(D60,Materials!$A$5:$A$254,0)),0)+IF(H60="",0,H60)*(1+Y60)*IFERROR(INDEX(Materials!$V$5:$V$254,MATCH(G60,Materials!$A$5:$A$254,0)),0),2))</f>
        <v>0</v>
      </c>
      <c r="AB60" s="20">
        <f>IF(B60="","",ROUND(IF(L60="",0,L60)*IF(M60="",0,M60),2))</f>
        <v>0</v>
      </c>
      <c r="AC60" s="20">
        <f>IF(B60="","",ROUND(AA60+AB60+IF(I60="",0,I60)+IF(J60="",0,J60)+IF(N60="",0,N60),2))</f>
        <v>0</v>
      </c>
      <c r="AD60" s="36">
        <f>IF(B60="","",IF(Q60="",0,Q60)+IF(R60="",0,R60)+IF(S60="",0,S60)+IF(T60="",0,T60))</f>
        <v>0</v>
      </c>
      <c r="AE60" s="20">
        <f>IF(B60="","",IF(V60&lt;&gt;"",V60,LaborCostHour))</f>
        <v>0</v>
      </c>
      <c r="AF60" s="20">
        <f>IF(B60="","",ROUND(AD60/60*AE60,2))</f>
        <v>0</v>
      </c>
      <c r="AG60" s="20">
        <f>IF(B60="","",ROUND(IF(O60="",0,O60)/60*IF(P60="",0,P60),2))</f>
        <v>0</v>
      </c>
      <c r="AH60" s="20">
        <f>IF(B60="","",ROUND(AG60+AD60/60*SuppliesPerHour,2))</f>
        <v>0</v>
      </c>
      <c r="AI60" s="20">
        <f>IF(B60="","",ROUND((IF(E60="",0,E60)*IFERROR(INDEX(Materials!$V$5:$V$254,MATCH(D60,Materials!$A$5:$A$254,0)),0)+IF(H60="",0,H60)*IFERROR(INDEX(Materials!$V$5:$V$254,MATCH(G60,Materials!$A$5:$A$254,0)),0))*Y60,2))</f>
        <v>0</v>
      </c>
      <c r="AJ60" s="20">
        <f>IF(B60="","",ROUND(AC60+AF60+AH60,2))</f>
        <v>0</v>
      </c>
      <c r="AK60" s="33">
        <f>IF(B60="","",IFERROR(INDEX(Channels!$S$5:$S$18,MATCH(DefaultChannel,Channels!$A$5:$A$18,0)),0))</f>
        <v>0</v>
      </c>
      <c r="AL60" s="20">
        <f>IF(B60="","",IFERROR(INDEX(Channels!$T$5:$T$18,MATCH(DefaultChannel,Channels!$A$5:$A$18,0)),0))</f>
        <v>0</v>
      </c>
      <c r="AM60" s="41">
        <f>IF(B60="","",1-TargetRetailMargin-AK60)</f>
        <v>0</v>
      </c>
      <c r="AN60" s="20">
        <f>IF(B60="","",IF(AM60&lt;=0,"",(AJ60+AL60)/AM60))</f>
        <v>0</v>
      </c>
      <c r="AO60" s="20">
        <f>IF(B60="","",IF(AN60="","Check the settings",ROUND(IF(RoundingRule="None",AN60,IF(RoundingRule="Nearest 0.99",MAX(0.99,CEILING(AN60,1)-0.01),IF(RoundingRule="Nearest 0.95",MAX(0.95,CEILING(AN60,1)-0.05),IF(RoundingRule="Nearest 0.50",CEILING(AN60,0.5),IF(RoundingRule="Nearest 1",CEILING(AN60,1),IF(RoundingRule="Nearest 5",CEILING(AN60,5),IF(RoundingRule="Up to whole 1",CEILING(AN60,1),IF(RoundingRule="Up to whole 5",CEILING(AN60,5),ROUND(AN60,2))))))))),2)))</f>
        <v>0</v>
      </c>
      <c r="AP60" s="20">
        <f>IF(B60="","",IF(W60&lt;&gt;"",W60,IF(ISNUMBER(AO60),AO60,"")))</f>
        <v>0</v>
      </c>
      <c r="AQ60" s="20">
        <f>IF(B60="","",IF(AP60="","",ROUND(AP60-AJ60-(AP60*AK60+AL60),2)))</f>
        <v>0</v>
      </c>
      <c r="AR60" s="33">
        <f>IF(B60="","",IF(OR(AP60="",AP60=0),"",AQ60/AP60))</f>
        <v>0</v>
      </c>
      <c r="AS60" s="41">
        <f>IF(B60="","",ROUND(AD60/60,3))</f>
        <v>0</v>
      </c>
      <c r="AT60" s="20">
        <f>IF(B60="","",IF(OR(AS60=0,AS60="",AQ60=""),"",ROUND((AQ60+AF60)/AS60,2)))</f>
        <v>0</v>
      </c>
      <c r="AU60" s="43">
        <f>IF(B60="","",IF(AND(A60&lt;&gt;"",ISERROR(MATCH(A60,Products!$A$5:$A$304,0))),"Check - no such product ID",IF(AC60=0,"Add - no material cost yet",IF(AD60=0,"Add - how long does it take?",IF(AND(A60&lt;&gt;"",COUNTIFS('Material Usage'!$A$5:$A$904,A60)&gt;0),"Check - this product also has a bill of materials",IF(AND(A60&lt;&gt;"",COUNTIFS(Labor!$A$5:$A$304,A60)&gt;0),"Check - this product also has labour lines",IF(AT60&lt;MinimumWage,"Below - pays under minimum wage","OK")))))) )</f>
        <v>0</v>
      </c>
    </row>
    <row r="61" spans="25:47">
      <c r="Y61" s="33">
        <f>IF(B61="","",IF(F61="",DefaultWaste,F61))</f>
        <v>0</v>
      </c>
      <c r="Z61" s="36">
        <f>IF(B61="","",ROUND((IF(E61="",0,E61)+IF(H61="",0,H61))*(1+Y61),1))</f>
        <v>0</v>
      </c>
      <c r="AA61" s="20">
        <f>IF(B61="","",ROUND(IF(E61="",0,E61)*(1+Y61)*IFERROR(INDEX(Materials!$V$5:$V$254,MATCH(D61,Materials!$A$5:$A$254,0)),0)+IF(H61="",0,H61)*(1+Y61)*IFERROR(INDEX(Materials!$V$5:$V$254,MATCH(G61,Materials!$A$5:$A$254,0)),0),2))</f>
        <v>0</v>
      </c>
      <c r="AB61" s="20">
        <f>IF(B61="","",ROUND(IF(L61="",0,L61)*IF(M61="",0,M61),2))</f>
        <v>0</v>
      </c>
      <c r="AC61" s="20">
        <f>IF(B61="","",ROUND(AA61+AB61+IF(I61="",0,I61)+IF(J61="",0,J61)+IF(N61="",0,N61),2))</f>
        <v>0</v>
      </c>
      <c r="AD61" s="36">
        <f>IF(B61="","",IF(Q61="",0,Q61)+IF(R61="",0,R61)+IF(S61="",0,S61)+IF(T61="",0,T61))</f>
        <v>0</v>
      </c>
      <c r="AE61" s="20">
        <f>IF(B61="","",IF(V61&lt;&gt;"",V61,LaborCostHour))</f>
        <v>0</v>
      </c>
      <c r="AF61" s="20">
        <f>IF(B61="","",ROUND(AD61/60*AE61,2))</f>
        <v>0</v>
      </c>
      <c r="AG61" s="20">
        <f>IF(B61="","",ROUND(IF(O61="",0,O61)/60*IF(P61="",0,P61),2))</f>
        <v>0</v>
      </c>
      <c r="AH61" s="20">
        <f>IF(B61="","",ROUND(AG61+AD61/60*SuppliesPerHour,2))</f>
        <v>0</v>
      </c>
      <c r="AI61" s="20">
        <f>IF(B61="","",ROUND((IF(E61="",0,E61)*IFERROR(INDEX(Materials!$V$5:$V$254,MATCH(D61,Materials!$A$5:$A$254,0)),0)+IF(H61="",0,H61)*IFERROR(INDEX(Materials!$V$5:$V$254,MATCH(G61,Materials!$A$5:$A$254,0)),0))*Y61,2))</f>
        <v>0</v>
      </c>
      <c r="AJ61" s="20">
        <f>IF(B61="","",ROUND(AC61+AF61+AH61,2))</f>
        <v>0</v>
      </c>
      <c r="AK61" s="33">
        <f>IF(B61="","",IFERROR(INDEX(Channels!$S$5:$S$18,MATCH(DefaultChannel,Channels!$A$5:$A$18,0)),0))</f>
        <v>0</v>
      </c>
      <c r="AL61" s="20">
        <f>IF(B61="","",IFERROR(INDEX(Channels!$T$5:$T$18,MATCH(DefaultChannel,Channels!$A$5:$A$18,0)),0))</f>
        <v>0</v>
      </c>
      <c r="AM61" s="41">
        <f>IF(B61="","",1-TargetRetailMargin-AK61)</f>
        <v>0</v>
      </c>
      <c r="AN61" s="20">
        <f>IF(B61="","",IF(AM61&lt;=0,"",(AJ61+AL61)/AM61))</f>
        <v>0</v>
      </c>
      <c r="AO61" s="20">
        <f>IF(B61="","",IF(AN61="","Check the settings",ROUND(IF(RoundingRule="None",AN61,IF(RoundingRule="Nearest 0.99",MAX(0.99,CEILING(AN61,1)-0.01),IF(RoundingRule="Nearest 0.95",MAX(0.95,CEILING(AN61,1)-0.05),IF(RoundingRule="Nearest 0.50",CEILING(AN61,0.5),IF(RoundingRule="Nearest 1",CEILING(AN61,1),IF(RoundingRule="Nearest 5",CEILING(AN61,5),IF(RoundingRule="Up to whole 1",CEILING(AN61,1),IF(RoundingRule="Up to whole 5",CEILING(AN61,5),ROUND(AN61,2))))))))),2)))</f>
        <v>0</v>
      </c>
      <c r="AP61" s="20">
        <f>IF(B61="","",IF(W61&lt;&gt;"",W61,IF(ISNUMBER(AO61),AO61,"")))</f>
        <v>0</v>
      </c>
      <c r="AQ61" s="20">
        <f>IF(B61="","",IF(AP61="","",ROUND(AP61-AJ61-(AP61*AK61+AL61),2)))</f>
        <v>0</v>
      </c>
      <c r="AR61" s="33">
        <f>IF(B61="","",IF(OR(AP61="",AP61=0),"",AQ61/AP61))</f>
        <v>0</v>
      </c>
      <c r="AS61" s="41">
        <f>IF(B61="","",ROUND(AD61/60,3))</f>
        <v>0</v>
      </c>
      <c r="AT61" s="20">
        <f>IF(B61="","",IF(OR(AS61=0,AS61="",AQ61=""),"",ROUND((AQ61+AF61)/AS61,2)))</f>
        <v>0</v>
      </c>
      <c r="AU61" s="43">
        <f>IF(B61="","",IF(AND(A61&lt;&gt;"",ISERROR(MATCH(A61,Products!$A$5:$A$304,0))),"Check - no such product ID",IF(AC61=0,"Add - no material cost yet",IF(AD61=0,"Add - how long does it take?",IF(AND(A61&lt;&gt;"",COUNTIFS('Material Usage'!$A$5:$A$904,A61)&gt;0),"Check - this product also has a bill of materials",IF(AND(A61&lt;&gt;"",COUNTIFS(Labor!$A$5:$A$304,A61)&gt;0),"Check - this product also has labour lines",IF(AT61&lt;MinimumWage,"Below - pays under minimum wage","OK")))))) )</f>
        <v>0</v>
      </c>
    </row>
    <row r="62" spans="25:47">
      <c r="Y62" s="33">
        <f>IF(B62="","",IF(F62="",DefaultWaste,F62))</f>
        <v>0</v>
      </c>
      <c r="Z62" s="36">
        <f>IF(B62="","",ROUND((IF(E62="",0,E62)+IF(H62="",0,H62))*(1+Y62),1))</f>
        <v>0</v>
      </c>
      <c r="AA62" s="20">
        <f>IF(B62="","",ROUND(IF(E62="",0,E62)*(1+Y62)*IFERROR(INDEX(Materials!$V$5:$V$254,MATCH(D62,Materials!$A$5:$A$254,0)),0)+IF(H62="",0,H62)*(1+Y62)*IFERROR(INDEX(Materials!$V$5:$V$254,MATCH(G62,Materials!$A$5:$A$254,0)),0),2))</f>
        <v>0</v>
      </c>
      <c r="AB62" s="20">
        <f>IF(B62="","",ROUND(IF(L62="",0,L62)*IF(M62="",0,M62),2))</f>
        <v>0</v>
      </c>
      <c r="AC62" s="20">
        <f>IF(B62="","",ROUND(AA62+AB62+IF(I62="",0,I62)+IF(J62="",0,J62)+IF(N62="",0,N62),2))</f>
        <v>0</v>
      </c>
      <c r="AD62" s="36">
        <f>IF(B62="","",IF(Q62="",0,Q62)+IF(R62="",0,R62)+IF(S62="",0,S62)+IF(T62="",0,T62))</f>
        <v>0</v>
      </c>
      <c r="AE62" s="20">
        <f>IF(B62="","",IF(V62&lt;&gt;"",V62,LaborCostHour))</f>
        <v>0</v>
      </c>
      <c r="AF62" s="20">
        <f>IF(B62="","",ROUND(AD62/60*AE62,2))</f>
        <v>0</v>
      </c>
      <c r="AG62" s="20">
        <f>IF(B62="","",ROUND(IF(O62="",0,O62)/60*IF(P62="",0,P62),2))</f>
        <v>0</v>
      </c>
      <c r="AH62" s="20">
        <f>IF(B62="","",ROUND(AG62+AD62/60*SuppliesPerHour,2))</f>
        <v>0</v>
      </c>
      <c r="AI62" s="20">
        <f>IF(B62="","",ROUND((IF(E62="",0,E62)*IFERROR(INDEX(Materials!$V$5:$V$254,MATCH(D62,Materials!$A$5:$A$254,0)),0)+IF(H62="",0,H62)*IFERROR(INDEX(Materials!$V$5:$V$254,MATCH(G62,Materials!$A$5:$A$254,0)),0))*Y62,2))</f>
        <v>0</v>
      </c>
      <c r="AJ62" s="20">
        <f>IF(B62="","",ROUND(AC62+AF62+AH62,2))</f>
        <v>0</v>
      </c>
      <c r="AK62" s="33">
        <f>IF(B62="","",IFERROR(INDEX(Channels!$S$5:$S$18,MATCH(DefaultChannel,Channels!$A$5:$A$18,0)),0))</f>
        <v>0</v>
      </c>
      <c r="AL62" s="20">
        <f>IF(B62="","",IFERROR(INDEX(Channels!$T$5:$T$18,MATCH(DefaultChannel,Channels!$A$5:$A$18,0)),0))</f>
        <v>0</v>
      </c>
      <c r="AM62" s="41">
        <f>IF(B62="","",1-TargetRetailMargin-AK62)</f>
        <v>0</v>
      </c>
      <c r="AN62" s="20">
        <f>IF(B62="","",IF(AM62&lt;=0,"",(AJ62+AL62)/AM62))</f>
        <v>0</v>
      </c>
      <c r="AO62" s="20">
        <f>IF(B62="","",IF(AN62="","Check the settings",ROUND(IF(RoundingRule="None",AN62,IF(RoundingRule="Nearest 0.99",MAX(0.99,CEILING(AN62,1)-0.01),IF(RoundingRule="Nearest 0.95",MAX(0.95,CEILING(AN62,1)-0.05),IF(RoundingRule="Nearest 0.50",CEILING(AN62,0.5),IF(RoundingRule="Nearest 1",CEILING(AN62,1),IF(RoundingRule="Nearest 5",CEILING(AN62,5),IF(RoundingRule="Up to whole 1",CEILING(AN62,1),IF(RoundingRule="Up to whole 5",CEILING(AN62,5),ROUND(AN62,2))))))))),2)))</f>
        <v>0</v>
      </c>
      <c r="AP62" s="20">
        <f>IF(B62="","",IF(W62&lt;&gt;"",W62,IF(ISNUMBER(AO62),AO62,"")))</f>
        <v>0</v>
      </c>
      <c r="AQ62" s="20">
        <f>IF(B62="","",IF(AP62="","",ROUND(AP62-AJ62-(AP62*AK62+AL62),2)))</f>
        <v>0</v>
      </c>
      <c r="AR62" s="33">
        <f>IF(B62="","",IF(OR(AP62="",AP62=0),"",AQ62/AP62))</f>
        <v>0</v>
      </c>
      <c r="AS62" s="41">
        <f>IF(B62="","",ROUND(AD62/60,3))</f>
        <v>0</v>
      </c>
      <c r="AT62" s="20">
        <f>IF(B62="","",IF(OR(AS62=0,AS62="",AQ62=""),"",ROUND((AQ62+AF62)/AS62,2)))</f>
        <v>0</v>
      </c>
      <c r="AU62" s="43">
        <f>IF(B62="","",IF(AND(A62&lt;&gt;"",ISERROR(MATCH(A62,Products!$A$5:$A$304,0))),"Check - no such product ID",IF(AC62=0,"Add - no material cost yet",IF(AD62=0,"Add - how long does it take?",IF(AND(A62&lt;&gt;"",COUNTIFS('Material Usage'!$A$5:$A$904,A62)&gt;0),"Check - this product also has a bill of materials",IF(AND(A62&lt;&gt;"",COUNTIFS(Labor!$A$5:$A$304,A62)&gt;0),"Check - this product also has labour lines",IF(AT62&lt;MinimumWage,"Below - pays under minimum wage","OK")))))) )</f>
        <v>0</v>
      </c>
    </row>
    <row r="63" spans="25:47">
      <c r="Y63" s="33">
        <f>IF(B63="","",IF(F63="",DefaultWaste,F63))</f>
        <v>0</v>
      </c>
      <c r="Z63" s="36">
        <f>IF(B63="","",ROUND((IF(E63="",0,E63)+IF(H63="",0,H63))*(1+Y63),1))</f>
        <v>0</v>
      </c>
      <c r="AA63" s="20">
        <f>IF(B63="","",ROUND(IF(E63="",0,E63)*(1+Y63)*IFERROR(INDEX(Materials!$V$5:$V$254,MATCH(D63,Materials!$A$5:$A$254,0)),0)+IF(H63="",0,H63)*(1+Y63)*IFERROR(INDEX(Materials!$V$5:$V$254,MATCH(G63,Materials!$A$5:$A$254,0)),0),2))</f>
        <v>0</v>
      </c>
      <c r="AB63" s="20">
        <f>IF(B63="","",ROUND(IF(L63="",0,L63)*IF(M63="",0,M63),2))</f>
        <v>0</v>
      </c>
      <c r="AC63" s="20">
        <f>IF(B63="","",ROUND(AA63+AB63+IF(I63="",0,I63)+IF(J63="",0,J63)+IF(N63="",0,N63),2))</f>
        <v>0</v>
      </c>
      <c r="AD63" s="36">
        <f>IF(B63="","",IF(Q63="",0,Q63)+IF(R63="",0,R63)+IF(S63="",0,S63)+IF(T63="",0,T63))</f>
        <v>0</v>
      </c>
      <c r="AE63" s="20">
        <f>IF(B63="","",IF(V63&lt;&gt;"",V63,LaborCostHour))</f>
        <v>0</v>
      </c>
      <c r="AF63" s="20">
        <f>IF(B63="","",ROUND(AD63/60*AE63,2))</f>
        <v>0</v>
      </c>
      <c r="AG63" s="20">
        <f>IF(B63="","",ROUND(IF(O63="",0,O63)/60*IF(P63="",0,P63),2))</f>
        <v>0</v>
      </c>
      <c r="AH63" s="20">
        <f>IF(B63="","",ROUND(AG63+AD63/60*SuppliesPerHour,2))</f>
        <v>0</v>
      </c>
      <c r="AI63" s="20">
        <f>IF(B63="","",ROUND((IF(E63="",0,E63)*IFERROR(INDEX(Materials!$V$5:$V$254,MATCH(D63,Materials!$A$5:$A$254,0)),0)+IF(H63="",0,H63)*IFERROR(INDEX(Materials!$V$5:$V$254,MATCH(G63,Materials!$A$5:$A$254,0)),0))*Y63,2))</f>
        <v>0</v>
      </c>
      <c r="AJ63" s="20">
        <f>IF(B63="","",ROUND(AC63+AF63+AH63,2))</f>
        <v>0</v>
      </c>
      <c r="AK63" s="33">
        <f>IF(B63="","",IFERROR(INDEX(Channels!$S$5:$S$18,MATCH(DefaultChannel,Channels!$A$5:$A$18,0)),0))</f>
        <v>0</v>
      </c>
      <c r="AL63" s="20">
        <f>IF(B63="","",IFERROR(INDEX(Channels!$T$5:$T$18,MATCH(DefaultChannel,Channels!$A$5:$A$18,0)),0))</f>
        <v>0</v>
      </c>
      <c r="AM63" s="41">
        <f>IF(B63="","",1-TargetRetailMargin-AK63)</f>
        <v>0</v>
      </c>
      <c r="AN63" s="20">
        <f>IF(B63="","",IF(AM63&lt;=0,"",(AJ63+AL63)/AM63))</f>
        <v>0</v>
      </c>
      <c r="AO63" s="20">
        <f>IF(B63="","",IF(AN63="","Check the settings",ROUND(IF(RoundingRule="None",AN63,IF(RoundingRule="Nearest 0.99",MAX(0.99,CEILING(AN63,1)-0.01),IF(RoundingRule="Nearest 0.95",MAX(0.95,CEILING(AN63,1)-0.05),IF(RoundingRule="Nearest 0.50",CEILING(AN63,0.5),IF(RoundingRule="Nearest 1",CEILING(AN63,1),IF(RoundingRule="Nearest 5",CEILING(AN63,5),IF(RoundingRule="Up to whole 1",CEILING(AN63,1),IF(RoundingRule="Up to whole 5",CEILING(AN63,5),ROUND(AN63,2))))))))),2)))</f>
        <v>0</v>
      </c>
      <c r="AP63" s="20">
        <f>IF(B63="","",IF(W63&lt;&gt;"",W63,IF(ISNUMBER(AO63),AO63,"")))</f>
        <v>0</v>
      </c>
      <c r="AQ63" s="20">
        <f>IF(B63="","",IF(AP63="","",ROUND(AP63-AJ63-(AP63*AK63+AL63),2)))</f>
        <v>0</v>
      </c>
      <c r="AR63" s="33">
        <f>IF(B63="","",IF(OR(AP63="",AP63=0),"",AQ63/AP63))</f>
        <v>0</v>
      </c>
      <c r="AS63" s="41">
        <f>IF(B63="","",ROUND(AD63/60,3))</f>
        <v>0</v>
      </c>
      <c r="AT63" s="20">
        <f>IF(B63="","",IF(OR(AS63=0,AS63="",AQ63=""),"",ROUND((AQ63+AF63)/AS63,2)))</f>
        <v>0</v>
      </c>
      <c r="AU63" s="43">
        <f>IF(B63="","",IF(AND(A63&lt;&gt;"",ISERROR(MATCH(A63,Products!$A$5:$A$304,0))),"Check - no such product ID",IF(AC63=0,"Add - no material cost yet",IF(AD63=0,"Add - how long does it take?",IF(AND(A63&lt;&gt;"",COUNTIFS('Material Usage'!$A$5:$A$904,A63)&gt;0),"Check - this product also has a bill of materials",IF(AND(A63&lt;&gt;"",COUNTIFS(Labor!$A$5:$A$304,A63)&gt;0),"Check - this product also has labour lines",IF(AT63&lt;MinimumWage,"Below - pays under minimum wage","OK")))))) )</f>
        <v>0</v>
      </c>
    </row>
    <row r="64" spans="25:47">
      <c r="Y64" s="33">
        <f>IF(B64="","",IF(F64="",DefaultWaste,F64))</f>
        <v>0</v>
      </c>
      <c r="Z64" s="36">
        <f>IF(B64="","",ROUND((IF(E64="",0,E64)+IF(H64="",0,H64))*(1+Y64),1))</f>
        <v>0</v>
      </c>
      <c r="AA64" s="20">
        <f>IF(B64="","",ROUND(IF(E64="",0,E64)*(1+Y64)*IFERROR(INDEX(Materials!$V$5:$V$254,MATCH(D64,Materials!$A$5:$A$254,0)),0)+IF(H64="",0,H64)*(1+Y64)*IFERROR(INDEX(Materials!$V$5:$V$254,MATCH(G64,Materials!$A$5:$A$254,0)),0),2))</f>
        <v>0</v>
      </c>
      <c r="AB64" s="20">
        <f>IF(B64="","",ROUND(IF(L64="",0,L64)*IF(M64="",0,M64),2))</f>
        <v>0</v>
      </c>
      <c r="AC64" s="20">
        <f>IF(B64="","",ROUND(AA64+AB64+IF(I64="",0,I64)+IF(J64="",0,J64)+IF(N64="",0,N64),2))</f>
        <v>0</v>
      </c>
      <c r="AD64" s="36">
        <f>IF(B64="","",IF(Q64="",0,Q64)+IF(R64="",0,R64)+IF(S64="",0,S64)+IF(T64="",0,T64))</f>
        <v>0</v>
      </c>
      <c r="AE64" s="20">
        <f>IF(B64="","",IF(V64&lt;&gt;"",V64,LaborCostHour))</f>
        <v>0</v>
      </c>
      <c r="AF64" s="20">
        <f>IF(B64="","",ROUND(AD64/60*AE64,2))</f>
        <v>0</v>
      </c>
      <c r="AG64" s="20">
        <f>IF(B64="","",ROUND(IF(O64="",0,O64)/60*IF(P64="",0,P64),2))</f>
        <v>0</v>
      </c>
      <c r="AH64" s="20">
        <f>IF(B64="","",ROUND(AG64+AD64/60*SuppliesPerHour,2))</f>
        <v>0</v>
      </c>
      <c r="AI64" s="20">
        <f>IF(B64="","",ROUND((IF(E64="",0,E64)*IFERROR(INDEX(Materials!$V$5:$V$254,MATCH(D64,Materials!$A$5:$A$254,0)),0)+IF(H64="",0,H64)*IFERROR(INDEX(Materials!$V$5:$V$254,MATCH(G64,Materials!$A$5:$A$254,0)),0))*Y64,2))</f>
        <v>0</v>
      </c>
      <c r="AJ64" s="20">
        <f>IF(B64="","",ROUND(AC64+AF64+AH64,2))</f>
        <v>0</v>
      </c>
      <c r="AK64" s="33">
        <f>IF(B64="","",IFERROR(INDEX(Channels!$S$5:$S$18,MATCH(DefaultChannel,Channels!$A$5:$A$18,0)),0))</f>
        <v>0</v>
      </c>
      <c r="AL64" s="20">
        <f>IF(B64="","",IFERROR(INDEX(Channels!$T$5:$T$18,MATCH(DefaultChannel,Channels!$A$5:$A$18,0)),0))</f>
        <v>0</v>
      </c>
      <c r="AM64" s="41">
        <f>IF(B64="","",1-TargetRetailMargin-AK64)</f>
        <v>0</v>
      </c>
      <c r="AN64" s="20">
        <f>IF(B64="","",IF(AM64&lt;=0,"",(AJ64+AL64)/AM64))</f>
        <v>0</v>
      </c>
      <c r="AO64" s="20">
        <f>IF(B64="","",IF(AN64="","Check the settings",ROUND(IF(RoundingRule="None",AN64,IF(RoundingRule="Nearest 0.99",MAX(0.99,CEILING(AN64,1)-0.01),IF(RoundingRule="Nearest 0.95",MAX(0.95,CEILING(AN64,1)-0.05),IF(RoundingRule="Nearest 0.50",CEILING(AN64,0.5),IF(RoundingRule="Nearest 1",CEILING(AN64,1),IF(RoundingRule="Nearest 5",CEILING(AN64,5),IF(RoundingRule="Up to whole 1",CEILING(AN64,1),IF(RoundingRule="Up to whole 5",CEILING(AN64,5),ROUND(AN64,2))))))))),2)))</f>
        <v>0</v>
      </c>
      <c r="AP64" s="20">
        <f>IF(B64="","",IF(W64&lt;&gt;"",W64,IF(ISNUMBER(AO64),AO64,"")))</f>
        <v>0</v>
      </c>
      <c r="AQ64" s="20">
        <f>IF(B64="","",IF(AP64="","",ROUND(AP64-AJ64-(AP64*AK64+AL64),2)))</f>
        <v>0</v>
      </c>
      <c r="AR64" s="33">
        <f>IF(B64="","",IF(OR(AP64="",AP64=0),"",AQ64/AP64))</f>
        <v>0</v>
      </c>
      <c r="AS64" s="41">
        <f>IF(B64="","",ROUND(AD64/60,3))</f>
        <v>0</v>
      </c>
      <c r="AT64" s="20">
        <f>IF(B64="","",IF(OR(AS64=0,AS64="",AQ64=""),"",ROUND((AQ64+AF64)/AS64,2)))</f>
        <v>0</v>
      </c>
      <c r="AU64" s="43">
        <f>IF(B64="","",IF(AND(A64&lt;&gt;"",ISERROR(MATCH(A64,Products!$A$5:$A$304,0))),"Check - no such product ID",IF(AC64=0,"Add - no material cost yet",IF(AD64=0,"Add - how long does it take?",IF(AND(A64&lt;&gt;"",COUNTIFS('Material Usage'!$A$5:$A$904,A64)&gt;0),"Check - this product also has a bill of materials",IF(AND(A64&lt;&gt;"",COUNTIFS(Labor!$A$5:$A$304,A64)&gt;0),"Check - this product also has labour lines",IF(AT64&lt;MinimumWage,"Below - pays under minimum wage","OK")))))) )</f>
        <v>0</v>
      </c>
    </row>
    <row r="65" spans="25:47">
      <c r="Y65" s="33">
        <f>IF(B65="","",IF(F65="",DefaultWaste,F65))</f>
        <v>0</v>
      </c>
      <c r="Z65" s="36">
        <f>IF(B65="","",ROUND((IF(E65="",0,E65)+IF(H65="",0,H65))*(1+Y65),1))</f>
        <v>0</v>
      </c>
      <c r="AA65" s="20">
        <f>IF(B65="","",ROUND(IF(E65="",0,E65)*(1+Y65)*IFERROR(INDEX(Materials!$V$5:$V$254,MATCH(D65,Materials!$A$5:$A$254,0)),0)+IF(H65="",0,H65)*(1+Y65)*IFERROR(INDEX(Materials!$V$5:$V$254,MATCH(G65,Materials!$A$5:$A$254,0)),0),2))</f>
        <v>0</v>
      </c>
      <c r="AB65" s="20">
        <f>IF(B65="","",ROUND(IF(L65="",0,L65)*IF(M65="",0,M65),2))</f>
        <v>0</v>
      </c>
      <c r="AC65" s="20">
        <f>IF(B65="","",ROUND(AA65+AB65+IF(I65="",0,I65)+IF(J65="",0,J65)+IF(N65="",0,N65),2))</f>
        <v>0</v>
      </c>
      <c r="AD65" s="36">
        <f>IF(B65="","",IF(Q65="",0,Q65)+IF(R65="",0,R65)+IF(S65="",0,S65)+IF(T65="",0,T65))</f>
        <v>0</v>
      </c>
      <c r="AE65" s="20">
        <f>IF(B65="","",IF(V65&lt;&gt;"",V65,LaborCostHour))</f>
        <v>0</v>
      </c>
      <c r="AF65" s="20">
        <f>IF(B65="","",ROUND(AD65/60*AE65,2))</f>
        <v>0</v>
      </c>
      <c r="AG65" s="20">
        <f>IF(B65="","",ROUND(IF(O65="",0,O65)/60*IF(P65="",0,P65),2))</f>
        <v>0</v>
      </c>
      <c r="AH65" s="20">
        <f>IF(B65="","",ROUND(AG65+AD65/60*SuppliesPerHour,2))</f>
        <v>0</v>
      </c>
      <c r="AI65" s="20">
        <f>IF(B65="","",ROUND((IF(E65="",0,E65)*IFERROR(INDEX(Materials!$V$5:$V$254,MATCH(D65,Materials!$A$5:$A$254,0)),0)+IF(H65="",0,H65)*IFERROR(INDEX(Materials!$V$5:$V$254,MATCH(G65,Materials!$A$5:$A$254,0)),0))*Y65,2))</f>
        <v>0</v>
      </c>
      <c r="AJ65" s="20">
        <f>IF(B65="","",ROUND(AC65+AF65+AH65,2))</f>
        <v>0</v>
      </c>
      <c r="AK65" s="33">
        <f>IF(B65="","",IFERROR(INDEX(Channels!$S$5:$S$18,MATCH(DefaultChannel,Channels!$A$5:$A$18,0)),0))</f>
        <v>0</v>
      </c>
      <c r="AL65" s="20">
        <f>IF(B65="","",IFERROR(INDEX(Channels!$T$5:$T$18,MATCH(DefaultChannel,Channels!$A$5:$A$18,0)),0))</f>
        <v>0</v>
      </c>
      <c r="AM65" s="41">
        <f>IF(B65="","",1-TargetRetailMargin-AK65)</f>
        <v>0</v>
      </c>
      <c r="AN65" s="20">
        <f>IF(B65="","",IF(AM65&lt;=0,"",(AJ65+AL65)/AM65))</f>
        <v>0</v>
      </c>
      <c r="AO65" s="20">
        <f>IF(B65="","",IF(AN65="","Check the settings",ROUND(IF(RoundingRule="None",AN65,IF(RoundingRule="Nearest 0.99",MAX(0.99,CEILING(AN65,1)-0.01),IF(RoundingRule="Nearest 0.95",MAX(0.95,CEILING(AN65,1)-0.05),IF(RoundingRule="Nearest 0.50",CEILING(AN65,0.5),IF(RoundingRule="Nearest 1",CEILING(AN65,1),IF(RoundingRule="Nearest 5",CEILING(AN65,5),IF(RoundingRule="Up to whole 1",CEILING(AN65,1),IF(RoundingRule="Up to whole 5",CEILING(AN65,5),ROUND(AN65,2))))))))),2)))</f>
        <v>0</v>
      </c>
      <c r="AP65" s="20">
        <f>IF(B65="","",IF(W65&lt;&gt;"",W65,IF(ISNUMBER(AO65),AO65,"")))</f>
        <v>0</v>
      </c>
      <c r="AQ65" s="20">
        <f>IF(B65="","",IF(AP65="","",ROUND(AP65-AJ65-(AP65*AK65+AL65),2)))</f>
        <v>0</v>
      </c>
      <c r="AR65" s="33">
        <f>IF(B65="","",IF(OR(AP65="",AP65=0),"",AQ65/AP65))</f>
        <v>0</v>
      </c>
      <c r="AS65" s="41">
        <f>IF(B65="","",ROUND(AD65/60,3))</f>
        <v>0</v>
      </c>
      <c r="AT65" s="20">
        <f>IF(B65="","",IF(OR(AS65=0,AS65="",AQ65=""),"",ROUND((AQ65+AF65)/AS65,2)))</f>
        <v>0</v>
      </c>
      <c r="AU65" s="43">
        <f>IF(B65="","",IF(AND(A65&lt;&gt;"",ISERROR(MATCH(A65,Products!$A$5:$A$304,0))),"Check - no such product ID",IF(AC65=0,"Add - no material cost yet",IF(AD65=0,"Add - how long does it take?",IF(AND(A65&lt;&gt;"",COUNTIFS('Material Usage'!$A$5:$A$904,A65)&gt;0),"Check - this product also has a bill of materials",IF(AND(A65&lt;&gt;"",COUNTIFS(Labor!$A$5:$A$304,A65)&gt;0),"Check - this product also has labour lines",IF(AT65&lt;MinimumWage,"Below - pays under minimum wage","OK")))))) )</f>
        <v>0</v>
      </c>
    </row>
    <row r="66" spans="25:47">
      <c r="Y66" s="33">
        <f>IF(B66="","",IF(F66="",DefaultWaste,F66))</f>
        <v>0</v>
      </c>
      <c r="Z66" s="36">
        <f>IF(B66="","",ROUND((IF(E66="",0,E66)+IF(H66="",0,H66))*(1+Y66),1))</f>
        <v>0</v>
      </c>
      <c r="AA66" s="20">
        <f>IF(B66="","",ROUND(IF(E66="",0,E66)*(1+Y66)*IFERROR(INDEX(Materials!$V$5:$V$254,MATCH(D66,Materials!$A$5:$A$254,0)),0)+IF(H66="",0,H66)*(1+Y66)*IFERROR(INDEX(Materials!$V$5:$V$254,MATCH(G66,Materials!$A$5:$A$254,0)),0),2))</f>
        <v>0</v>
      </c>
      <c r="AB66" s="20">
        <f>IF(B66="","",ROUND(IF(L66="",0,L66)*IF(M66="",0,M66),2))</f>
        <v>0</v>
      </c>
      <c r="AC66" s="20">
        <f>IF(B66="","",ROUND(AA66+AB66+IF(I66="",0,I66)+IF(J66="",0,J66)+IF(N66="",0,N66),2))</f>
        <v>0</v>
      </c>
      <c r="AD66" s="36">
        <f>IF(B66="","",IF(Q66="",0,Q66)+IF(R66="",0,R66)+IF(S66="",0,S66)+IF(T66="",0,T66))</f>
        <v>0</v>
      </c>
      <c r="AE66" s="20">
        <f>IF(B66="","",IF(V66&lt;&gt;"",V66,LaborCostHour))</f>
        <v>0</v>
      </c>
      <c r="AF66" s="20">
        <f>IF(B66="","",ROUND(AD66/60*AE66,2))</f>
        <v>0</v>
      </c>
      <c r="AG66" s="20">
        <f>IF(B66="","",ROUND(IF(O66="",0,O66)/60*IF(P66="",0,P66),2))</f>
        <v>0</v>
      </c>
      <c r="AH66" s="20">
        <f>IF(B66="","",ROUND(AG66+AD66/60*SuppliesPerHour,2))</f>
        <v>0</v>
      </c>
      <c r="AI66" s="20">
        <f>IF(B66="","",ROUND((IF(E66="",0,E66)*IFERROR(INDEX(Materials!$V$5:$V$254,MATCH(D66,Materials!$A$5:$A$254,0)),0)+IF(H66="",0,H66)*IFERROR(INDEX(Materials!$V$5:$V$254,MATCH(G66,Materials!$A$5:$A$254,0)),0))*Y66,2))</f>
        <v>0</v>
      </c>
      <c r="AJ66" s="20">
        <f>IF(B66="","",ROUND(AC66+AF66+AH66,2))</f>
        <v>0</v>
      </c>
      <c r="AK66" s="33">
        <f>IF(B66="","",IFERROR(INDEX(Channels!$S$5:$S$18,MATCH(DefaultChannel,Channels!$A$5:$A$18,0)),0))</f>
        <v>0</v>
      </c>
      <c r="AL66" s="20">
        <f>IF(B66="","",IFERROR(INDEX(Channels!$T$5:$T$18,MATCH(DefaultChannel,Channels!$A$5:$A$18,0)),0))</f>
        <v>0</v>
      </c>
      <c r="AM66" s="41">
        <f>IF(B66="","",1-TargetRetailMargin-AK66)</f>
        <v>0</v>
      </c>
      <c r="AN66" s="20">
        <f>IF(B66="","",IF(AM66&lt;=0,"",(AJ66+AL66)/AM66))</f>
        <v>0</v>
      </c>
      <c r="AO66" s="20">
        <f>IF(B66="","",IF(AN66="","Check the settings",ROUND(IF(RoundingRule="None",AN66,IF(RoundingRule="Nearest 0.99",MAX(0.99,CEILING(AN66,1)-0.01),IF(RoundingRule="Nearest 0.95",MAX(0.95,CEILING(AN66,1)-0.05),IF(RoundingRule="Nearest 0.50",CEILING(AN66,0.5),IF(RoundingRule="Nearest 1",CEILING(AN66,1),IF(RoundingRule="Nearest 5",CEILING(AN66,5),IF(RoundingRule="Up to whole 1",CEILING(AN66,1),IF(RoundingRule="Up to whole 5",CEILING(AN66,5),ROUND(AN66,2))))))))),2)))</f>
        <v>0</v>
      </c>
      <c r="AP66" s="20">
        <f>IF(B66="","",IF(W66&lt;&gt;"",W66,IF(ISNUMBER(AO66),AO66,"")))</f>
        <v>0</v>
      </c>
      <c r="AQ66" s="20">
        <f>IF(B66="","",IF(AP66="","",ROUND(AP66-AJ66-(AP66*AK66+AL66),2)))</f>
        <v>0</v>
      </c>
      <c r="AR66" s="33">
        <f>IF(B66="","",IF(OR(AP66="",AP66=0),"",AQ66/AP66))</f>
        <v>0</v>
      </c>
      <c r="AS66" s="41">
        <f>IF(B66="","",ROUND(AD66/60,3))</f>
        <v>0</v>
      </c>
      <c r="AT66" s="20">
        <f>IF(B66="","",IF(OR(AS66=0,AS66="",AQ66=""),"",ROUND((AQ66+AF66)/AS66,2)))</f>
        <v>0</v>
      </c>
      <c r="AU66" s="43">
        <f>IF(B66="","",IF(AND(A66&lt;&gt;"",ISERROR(MATCH(A66,Products!$A$5:$A$304,0))),"Check - no such product ID",IF(AC66=0,"Add - no material cost yet",IF(AD66=0,"Add - how long does it take?",IF(AND(A66&lt;&gt;"",COUNTIFS('Material Usage'!$A$5:$A$904,A66)&gt;0),"Check - this product also has a bill of materials",IF(AND(A66&lt;&gt;"",COUNTIFS(Labor!$A$5:$A$304,A66)&gt;0),"Check - this product also has labour lines",IF(AT66&lt;MinimumWage,"Below - pays under minimum wage","OK")))))) )</f>
        <v>0</v>
      </c>
    </row>
    <row r="67" spans="25:47">
      <c r="Y67" s="33">
        <f>IF(B67="","",IF(F67="",DefaultWaste,F67))</f>
        <v>0</v>
      </c>
      <c r="Z67" s="36">
        <f>IF(B67="","",ROUND((IF(E67="",0,E67)+IF(H67="",0,H67))*(1+Y67),1))</f>
        <v>0</v>
      </c>
      <c r="AA67" s="20">
        <f>IF(B67="","",ROUND(IF(E67="",0,E67)*(1+Y67)*IFERROR(INDEX(Materials!$V$5:$V$254,MATCH(D67,Materials!$A$5:$A$254,0)),0)+IF(H67="",0,H67)*(1+Y67)*IFERROR(INDEX(Materials!$V$5:$V$254,MATCH(G67,Materials!$A$5:$A$254,0)),0),2))</f>
        <v>0</v>
      </c>
      <c r="AB67" s="20">
        <f>IF(B67="","",ROUND(IF(L67="",0,L67)*IF(M67="",0,M67),2))</f>
        <v>0</v>
      </c>
      <c r="AC67" s="20">
        <f>IF(B67="","",ROUND(AA67+AB67+IF(I67="",0,I67)+IF(J67="",0,J67)+IF(N67="",0,N67),2))</f>
        <v>0</v>
      </c>
      <c r="AD67" s="36">
        <f>IF(B67="","",IF(Q67="",0,Q67)+IF(R67="",0,R67)+IF(S67="",0,S67)+IF(T67="",0,T67))</f>
        <v>0</v>
      </c>
      <c r="AE67" s="20">
        <f>IF(B67="","",IF(V67&lt;&gt;"",V67,LaborCostHour))</f>
        <v>0</v>
      </c>
      <c r="AF67" s="20">
        <f>IF(B67="","",ROUND(AD67/60*AE67,2))</f>
        <v>0</v>
      </c>
      <c r="AG67" s="20">
        <f>IF(B67="","",ROUND(IF(O67="",0,O67)/60*IF(P67="",0,P67),2))</f>
        <v>0</v>
      </c>
      <c r="AH67" s="20">
        <f>IF(B67="","",ROUND(AG67+AD67/60*SuppliesPerHour,2))</f>
        <v>0</v>
      </c>
      <c r="AI67" s="20">
        <f>IF(B67="","",ROUND((IF(E67="",0,E67)*IFERROR(INDEX(Materials!$V$5:$V$254,MATCH(D67,Materials!$A$5:$A$254,0)),0)+IF(H67="",0,H67)*IFERROR(INDEX(Materials!$V$5:$V$254,MATCH(G67,Materials!$A$5:$A$254,0)),0))*Y67,2))</f>
        <v>0</v>
      </c>
      <c r="AJ67" s="20">
        <f>IF(B67="","",ROUND(AC67+AF67+AH67,2))</f>
        <v>0</v>
      </c>
      <c r="AK67" s="33">
        <f>IF(B67="","",IFERROR(INDEX(Channels!$S$5:$S$18,MATCH(DefaultChannel,Channels!$A$5:$A$18,0)),0))</f>
        <v>0</v>
      </c>
      <c r="AL67" s="20">
        <f>IF(B67="","",IFERROR(INDEX(Channels!$T$5:$T$18,MATCH(DefaultChannel,Channels!$A$5:$A$18,0)),0))</f>
        <v>0</v>
      </c>
      <c r="AM67" s="41">
        <f>IF(B67="","",1-TargetRetailMargin-AK67)</f>
        <v>0</v>
      </c>
      <c r="AN67" s="20">
        <f>IF(B67="","",IF(AM67&lt;=0,"",(AJ67+AL67)/AM67))</f>
        <v>0</v>
      </c>
      <c r="AO67" s="20">
        <f>IF(B67="","",IF(AN67="","Check the settings",ROUND(IF(RoundingRule="None",AN67,IF(RoundingRule="Nearest 0.99",MAX(0.99,CEILING(AN67,1)-0.01),IF(RoundingRule="Nearest 0.95",MAX(0.95,CEILING(AN67,1)-0.05),IF(RoundingRule="Nearest 0.50",CEILING(AN67,0.5),IF(RoundingRule="Nearest 1",CEILING(AN67,1),IF(RoundingRule="Nearest 5",CEILING(AN67,5),IF(RoundingRule="Up to whole 1",CEILING(AN67,1),IF(RoundingRule="Up to whole 5",CEILING(AN67,5),ROUND(AN67,2))))))))),2)))</f>
        <v>0</v>
      </c>
      <c r="AP67" s="20">
        <f>IF(B67="","",IF(W67&lt;&gt;"",W67,IF(ISNUMBER(AO67),AO67,"")))</f>
        <v>0</v>
      </c>
      <c r="AQ67" s="20">
        <f>IF(B67="","",IF(AP67="","",ROUND(AP67-AJ67-(AP67*AK67+AL67),2)))</f>
        <v>0</v>
      </c>
      <c r="AR67" s="33">
        <f>IF(B67="","",IF(OR(AP67="",AP67=0),"",AQ67/AP67))</f>
        <v>0</v>
      </c>
      <c r="AS67" s="41">
        <f>IF(B67="","",ROUND(AD67/60,3))</f>
        <v>0</v>
      </c>
      <c r="AT67" s="20">
        <f>IF(B67="","",IF(OR(AS67=0,AS67="",AQ67=""),"",ROUND((AQ67+AF67)/AS67,2)))</f>
        <v>0</v>
      </c>
      <c r="AU67" s="43">
        <f>IF(B67="","",IF(AND(A67&lt;&gt;"",ISERROR(MATCH(A67,Products!$A$5:$A$304,0))),"Check - no such product ID",IF(AC67=0,"Add - no material cost yet",IF(AD67=0,"Add - how long does it take?",IF(AND(A67&lt;&gt;"",COUNTIFS('Material Usage'!$A$5:$A$904,A67)&gt;0),"Check - this product also has a bill of materials",IF(AND(A67&lt;&gt;"",COUNTIFS(Labor!$A$5:$A$304,A67)&gt;0),"Check - this product also has labour lines",IF(AT67&lt;MinimumWage,"Below - pays under minimum wage","OK")))))) )</f>
        <v>0</v>
      </c>
    </row>
    <row r="68" spans="25:47">
      <c r="Y68" s="33">
        <f>IF(B68="","",IF(F68="",DefaultWaste,F68))</f>
        <v>0</v>
      </c>
      <c r="Z68" s="36">
        <f>IF(B68="","",ROUND((IF(E68="",0,E68)+IF(H68="",0,H68))*(1+Y68),1))</f>
        <v>0</v>
      </c>
      <c r="AA68" s="20">
        <f>IF(B68="","",ROUND(IF(E68="",0,E68)*(1+Y68)*IFERROR(INDEX(Materials!$V$5:$V$254,MATCH(D68,Materials!$A$5:$A$254,0)),0)+IF(H68="",0,H68)*(1+Y68)*IFERROR(INDEX(Materials!$V$5:$V$254,MATCH(G68,Materials!$A$5:$A$254,0)),0),2))</f>
        <v>0</v>
      </c>
      <c r="AB68" s="20">
        <f>IF(B68="","",ROUND(IF(L68="",0,L68)*IF(M68="",0,M68),2))</f>
        <v>0</v>
      </c>
      <c r="AC68" s="20">
        <f>IF(B68="","",ROUND(AA68+AB68+IF(I68="",0,I68)+IF(J68="",0,J68)+IF(N68="",0,N68),2))</f>
        <v>0</v>
      </c>
      <c r="AD68" s="36">
        <f>IF(B68="","",IF(Q68="",0,Q68)+IF(R68="",0,R68)+IF(S68="",0,S68)+IF(T68="",0,T68))</f>
        <v>0</v>
      </c>
      <c r="AE68" s="20">
        <f>IF(B68="","",IF(V68&lt;&gt;"",V68,LaborCostHour))</f>
        <v>0</v>
      </c>
      <c r="AF68" s="20">
        <f>IF(B68="","",ROUND(AD68/60*AE68,2))</f>
        <v>0</v>
      </c>
      <c r="AG68" s="20">
        <f>IF(B68="","",ROUND(IF(O68="",0,O68)/60*IF(P68="",0,P68),2))</f>
        <v>0</v>
      </c>
      <c r="AH68" s="20">
        <f>IF(B68="","",ROUND(AG68+AD68/60*SuppliesPerHour,2))</f>
        <v>0</v>
      </c>
      <c r="AI68" s="20">
        <f>IF(B68="","",ROUND((IF(E68="",0,E68)*IFERROR(INDEX(Materials!$V$5:$V$254,MATCH(D68,Materials!$A$5:$A$254,0)),0)+IF(H68="",0,H68)*IFERROR(INDEX(Materials!$V$5:$V$254,MATCH(G68,Materials!$A$5:$A$254,0)),0))*Y68,2))</f>
        <v>0</v>
      </c>
      <c r="AJ68" s="20">
        <f>IF(B68="","",ROUND(AC68+AF68+AH68,2))</f>
        <v>0</v>
      </c>
      <c r="AK68" s="33">
        <f>IF(B68="","",IFERROR(INDEX(Channels!$S$5:$S$18,MATCH(DefaultChannel,Channels!$A$5:$A$18,0)),0))</f>
        <v>0</v>
      </c>
      <c r="AL68" s="20">
        <f>IF(B68="","",IFERROR(INDEX(Channels!$T$5:$T$18,MATCH(DefaultChannel,Channels!$A$5:$A$18,0)),0))</f>
        <v>0</v>
      </c>
      <c r="AM68" s="41">
        <f>IF(B68="","",1-TargetRetailMargin-AK68)</f>
        <v>0</v>
      </c>
      <c r="AN68" s="20">
        <f>IF(B68="","",IF(AM68&lt;=0,"",(AJ68+AL68)/AM68))</f>
        <v>0</v>
      </c>
      <c r="AO68" s="20">
        <f>IF(B68="","",IF(AN68="","Check the settings",ROUND(IF(RoundingRule="None",AN68,IF(RoundingRule="Nearest 0.99",MAX(0.99,CEILING(AN68,1)-0.01),IF(RoundingRule="Nearest 0.95",MAX(0.95,CEILING(AN68,1)-0.05),IF(RoundingRule="Nearest 0.50",CEILING(AN68,0.5),IF(RoundingRule="Nearest 1",CEILING(AN68,1),IF(RoundingRule="Nearest 5",CEILING(AN68,5),IF(RoundingRule="Up to whole 1",CEILING(AN68,1),IF(RoundingRule="Up to whole 5",CEILING(AN68,5),ROUND(AN68,2))))))))),2)))</f>
        <v>0</v>
      </c>
      <c r="AP68" s="20">
        <f>IF(B68="","",IF(W68&lt;&gt;"",W68,IF(ISNUMBER(AO68),AO68,"")))</f>
        <v>0</v>
      </c>
      <c r="AQ68" s="20">
        <f>IF(B68="","",IF(AP68="","",ROUND(AP68-AJ68-(AP68*AK68+AL68),2)))</f>
        <v>0</v>
      </c>
      <c r="AR68" s="33">
        <f>IF(B68="","",IF(OR(AP68="",AP68=0),"",AQ68/AP68))</f>
        <v>0</v>
      </c>
      <c r="AS68" s="41">
        <f>IF(B68="","",ROUND(AD68/60,3))</f>
        <v>0</v>
      </c>
      <c r="AT68" s="20">
        <f>IF(B68="","",IF(OR(AS68=0,AS68="",AQ68=""),"",ROUND((AQ68+AF68)/AS68,2)))</f>
        <v>0</v>
      </c>
      <c r="AU68" s="43">
        <f>IF(B68="","",IF(AND(A68&lt;&gt;"",ISERROR(MATCH(A68,Products!$A$5:$A$304,0))),"Check - no such product ID",IF(AC68=0,"Add - no material cost yet",IF(AD68=0,"Add - how long does it take?",IF(AND(A68&lt;&gt;"",COUNTIFS('Material Usage'!$A$5:$A$904,A68)&gt;0),"Check - this product also has a bill of materials",IF(AND(A68&lt;&gt;"",COUNTIFS(Labor!$A$5:$A$304,A68)&gt;0),"Check - this product also has labour lines",IF(AT68&lt;MinimumWage,"Below - pays under minimum wage","OK")))))) )</f>
        <v>0</v>
      </c>
    </row>
    <row r="69" spans="25:47">
      <c r="Y69" s="33">
        <f>IF(B69="","",IF(F69="",DefaultWaste,F69))</f>
        <v>0</v>
      </c>
      <c r="Z69" s="36">
        <f>IF(B69="","",ROUND((IF(E69="",0,E69)+IF(H69="",0,H69))*(1+Y69),1))</f>
        <v>0</v>
      </c>
      <c r="AA69" s="20">
        <f>IF(B69="","",ROUND(IF(E69="",0,E69)*(1+Y69)*IFERROR(INDEX(Materials!$V$5:$V$254,MATCH(D69,Materials!$A$5:$A$254,0)),0)+IF(H69="",0,H69)*(1+Y69)*IFERROR(INDEX(Materials!$V$5:$V$254,MATCH(G69,Materials!$A$5:$A$254,0)),0),2))</f>
        <v>0</v>
      </c>
      <c r="AB69" s="20">
        <f>IF(B69="","",ROUND(IF(L69="",0,L69)*IF(M69="",0,M69),2))</f>
        <v>0</v>
      </c>
      <c r="AC69" s="20">
        <f>IF(B69="","",ROUND(AA69+AB69+IF(I69="",0,I69)+IF(J69="",0,J69)+IF(N69="",0,N69),2))</f>
        <v>0</v>
      </c>
      <c r="AD69" s="36">
        <f>IF(B69="","",IF(Q69="",0,Q69)+IF(R69="",0,R69)+IF(S69="",0,S69)+IF(T69="",0,T69))</f>
        <v>0</v>
      </c>
      <c r="AE69" s="20">
        <f>IF(B69="","",IF(V69&lt;&gt;"",V69,LaborCostHour))</f>
        <v>0</v>
      </c>
      <c r="AF69" s="20">
        <f>IF(B69="","",ROUND(AD69/60*AE69,2))</f>
        <v>0</v>
      </c>
      <c r="AG69" s="20">
        <f>IF(B69="","",ROUND(IF(O69="",0,O69)/60*IF(P69="",0,P69),2))</f>
        <v>0</v>
      </c>
      <c r="AH69" s="20">
        <f>IF(B69="","",ROUND(AG69+AD69/60*SuppliesPerHour,2))</f>
        <v>0</v>
      </c>
      <c r="AI69" s="20">
        <f>IF(B69="","",ROUND((IF(E69="",0,E69)*IFERROR(INDEX(Materials!$V$5:$V$254,MATCH(D69,Materials!$A$5:$A$254,0)),0)+IF(H69="",0,H69)*IFERROR(INDEX(Materials!$V$5:$V$254,MATCH(G69,Materials!$A$5:$A$254,0)),0))*Y69,2))</f>
        <v>0</v>
      </c>
      <c r="AJ69" s="20">
        <f>IF(B69="","",ROUND(AC69+AF69+AH69,2))</f>
        <v>0</v>
      </c>
      <c r="AK69" s="33">
        <f>IF(B69="","",IFERROR(INDEX(Channels!$S$5:$S$18,MATCH(DefaultChannel,Channels!$A$5:$A$18,0)),0))</f>
        <v>0</v>
      </c>
      <c r="AL69" s="20">
        <f>IF(B69="","",IFERROR(INDEX(Channels!$T$5:$T$18,MATCH(DefaultChannel,Channels!$A$5:$A$18,0)),0))</f>
        <v>0</v>
      </c>
      <c r="AM69" s="41">
        <f>IF(B69="","",1-TargetRetailMargin-AK69)</f>
        <v>0</v>
      </c>
      <c r="AN69" s="20">
        <f>IF(B69="","",IF(AM69&lt;=0,"",(AJ69+AL69)/AM69))</f>
        <v>0</v>
      </c>
      <c r="AO69" s="20">
        <f>IF(B69="","",IF(AN69="","Check the settings",ROUND(IF(RoundingRule="None",AN69,IF(RoundingRule="Nearest 0.99",MAX(0.99,CEILING(AN69,1)-0.01),IF(RoundingRule="Nearest 0.95",MAX(0.95,CEILING(AN69,1)-0.05),IF(RoundingRule="Nearest 0.50",CEILING(AN69,0.5),IF(RoundingRule="Nearest 1",CEILING(AN69,1),IF(RoundingRule="Nearest 5",CEILING(AN69,5),IF(RoundingRule="Up to whole 1",CEILING(AN69,1),IF(RoundingRule="Up to whole 5",CEILING(AN69,5),ROUND(AN69,2))))))))),2)))</f>
        <v>0</v>
      </c>
      <c r="AP69" s="20">
        <f>IF(B69="","",IF(W69&lt;&gt;"",W69,IF(ISNUMBER(AO69),AO69,"")))</f>
        <v>0</v>
      </c>
      <c r="AQ69" s="20">
        <f>IF(B69="","",IF(AP69="","",ROUND(AP69-AJ69-(AP69*AK69+AL69),2)))</f>
        <v>0</v>
      </c>
      <c r="AR69" s="33">
        <f>IF(B69="","",IF(OR(AP69="",AP69=0),"",AQ69/AP69))</f>
        <v>0</v>
      </c>
      <c r="AS69" s="41">
        <f>IF(B69="","",ROUND(AD69/60,3))</f>
        <v>0</v>
      </c>
      <c r="AT69" s="20">
        <f>IF(B69="","",IF(OR(AS69=0,AS69="",AQ69=""),"",ROUND((AQ69+AF69)/AS69,2)))</f>
        <v>0</v>
      </c>
      <c r="AU69" s="43">
        <f>IF(B69="","",IF(AND(A69&lt;&gt;"",ISERROR(MATCH(A69,Products!$A$5:$A$304,0))),"Check - no such product ID",IF(AC69=0,"Add - no material cost yet",IF(AD69=0,"Add - how long does it take?",IF(AND(A69&lt;&gt;"",COUNTIFS('Material Usage'!$A$5:$A$904,A69)&gt;0),"Check - this product also has a bill of materials",IF(AND(A69&lt;&gt;"",COUNTIFS(Labor!$A$5:$A$304,A69)&gt;0),"Check - this product also has labour lines",IF(AT69&lt;MinimumWage,"Below - pays under minimum wage","OK")))))) )</f>
        <v>0</v>
      </c>
    </row>
    <row r="70" spans="25:47">
      <c r="Y70" s="33">
        <f>IF(B70="","",IF(F70="",DefaultWaste,F70))</f>
        <v>0</v>
      </c>
      <c r="Z70" s="36">
        <f>IF(B70="","",ROUND((IF(E70="",0,E70)+IF(H70="",0,H70))*(1+Y70),1))</f>
        <v>0</v>
      </c>
      <c r="AA70" s="20">
        <f>IF(B70="","",ROUND(IF(E70="",0,E70)*(1+Y70)*IFERROR(INDEX(Materials!$V$5:$V$254,MATCH(D70,Materials!$A$5:$A$254,0)),0)+IF(H70="",0,H70)*(1+Y70)*IFERROR(INDEX(Materials!$V$5:$V$254,MATCH(G70,Materials!$A$5:$A$254,0)),0),2))</f>
        <v>0</v>
      </c>
      <c r="AB70" s="20">
        <f>IF(B70="","",ROUND(IF(L70="",0,L70)*IF(M70="",0,M70),2))</f>
        <v>0</v>
      </c>
      <c r="AC70" s="20">
        <f>IF(B70="","",ROUND(AA70+AB70+IF(I70="",0,I70)+IF(J70="",0,J70)+IF(N70="",0,N70),2))</f>
        <v>0</v>
      </c>
      <c r="AD70" s="36">
        <f>IF(B70="","",IF(Q70="",0,Q70)+IF(R70="",0,R70)+IF(S70="",0,S70)+IF(T70="",0,T70))</f>
        <v>0</v>
      </c>
      <c r="AE70" s="20">
        <f>IF(B70="","",IF(V70&lt;&gt;"",V70,LaborCostHour))</f>
        <v>0</v>
      </c>
      <c r="AF70" s="20">
        <f>IF(B70="","",ROUND(AD70/60*AE70,2))</f>
        <v>0</v>
      </c>
      <c r="AG70" s="20">
        <f>IF(B70="","",ROUND(IF(O70="",0,O70)/60*IF(P70="",0,P70),2))</f>
        <v>0</v>
      </c>
      <c r="AH70" s="20">
        <f>IF(B70="","",ROUND(AG70+AD70/60*SuppliesPerHour,2))</f>
        <v>0</v>
      </c>
      <c r="AI70" s="20">
        <f>IF(B70="","",ROUND((IF(E70="",0,E70)*IFERROR(INDEX(Materials!$V$5:$V$254,MATCH(D70,Materials!$A$5:$A$254,0)),0)+IF(H70="",0,H70)*IFERROR(INDEX(Materials!$V$5:$V$254,MATCH(G70,Materials!$A$5:$A$254,0)),0))*Y70,2))</f>
        <v>0</v>
      </c>
      <c r="AJ70" s="20">
        <f>IF(B70="","",ROUND(AC70+AF70+AH70,2))</f>
        <v>0</v>
      </c>
      <c r="AK70" s="33">
        <f>IF(B70="","",IFERROR(INDEX(Channels!$S$5:$S$18,MATCH(DefaultChannel,Channels!$A$5:$A$18,0)),0))</f>
        <v>0</v>
      </c>
      <c r="AL70" s="20">
        <f>IF(B70="","",IFERROR(INDEX(Channels!$T$5:$T$18,MATCH(DefaultChannel,Channels!$A$5:$A$18,0)),0))</f>
        <v>0</v>
      </c>
      <c r="AM70" s="41">
        <f>IF(B70="","",1-TargetRetailMargin-AK70)</f>
        <v>0</v>
      </c>
      <c r="AN70" s="20">
        <f>IF(B70="","",IF(AM70&lt;=0,"",(AJ70+AL70)/AM70))</f>
        <v>0</v>
      </c>
      <c r="AO70" s="20">
        <f>IF(B70="","",IF(AN70="","Check the settings",ROUND(IF(RoundingRule="None",AN70,IF(RoundingRule="Nearest 0.99",MAX(0.99,CEILING(AN70,1)-0.01),IF(RoundingRule="Nearest 0.95",MAX(0.95,CEILING(AN70,1)-0.05),IF(RoundingRule="Nearest 0.50",CEILING(AN70,0.5),IF(RoundingRule="Nearest 1",CEILING(AN70,1),IF(RoundingRule="Nearest 5",CEILING(AN70,5),IF(RoundingRule="Up to whole 1",CEILING(AN70,1),IF(RoundingRule="Up to whole 5",CEILING(AN70,5),ROUND(AN70,2))))))))),2)))</f>
        <v>0</v>
      </c>
      <c r="AP70" s="20">
        <f>IF(B70="","",IF(W70&lt;&gt;"",W70,IF(ISNUMBER(AO70),AO70,"")))</f>
        <v>0</v>
      </c>
      <c r="AQ70" s="20">
        <f>IF(B70="","",IF(AP70="","",ROUND(AP70-AJ70-(AP70*AK70+AL70),2)))</f>
        <v>0</v>
      </c>
      <c r="AR70" s="33">
        <f>IF(B70="","",IF(OR(AP70="",AP70=0),"",AQ70/AP70))</f>
        <v>0</v>
      </c>
      <c r="AS70" s="41">
        <f>IF(B70="","",ROUND(AD70/60,3))</f>
        <v>0</v>
      </c>
      <c r="AT70" s="20">
        <f>IF(B70="","",IF(OR(AS70=0,AS70="",AQ70=""),"",ROUND((AQ70+AF70)/AS70,2)))</f>
        <v>0</v>
      </c>
      <c r="AU70" s="43">
        <f>IF(B70="","",IF(AND(A70&lt;&gt;"",ISERROR(MATCH(A70,Products!$A$5:$A$304,0))),"Check - no such product ID",IF(AC70=0,"Add - no material cost yet",IF(AD70=0,"Add - how long does it take?",IF(AND(A70&lt;&gt;"",COUNTIFS('Material Usage'!$A$5:$A$904,A70)&gt;0),"Check - this product also has a bill of materials",IF(AND(A70&lt;&gt;"",COUNTIFS(Labor!$A$5:$A$304,A70)&gt;0),"Check - this product also has labour lines",IF(AT70&lt;MinimumWage,"Below - pays under minimum wage","OK")))))) )</f>
        <v>0</v>
      </c>
    </row>
    <row r="71" spans="25:47">
      <c r="Y71" s="33">
        <f>IF(B71="","",IF(F71="",DefaultWaste,F71))</f>
        <v>0</v>
      </c>
      <c r="Z71" s="36">
        <f>IF(B71="","",ROUND((IF(E71="",0,E71)+IF(H71="",0,H71))*(1+Y71),1))</f>
        <v>0</v>
      </c>
      <c r="AA71" s="20">
        <f>IF(B71="","",ROUND(IF(E71="",0,E71)*(1+Y71)*IFERROR(INDEX(Materials!$V$5:$V$254,MATCH(D71,Materials!$A$5:$A$254,0)),0)+IF(H71="",0,H71)*(1+Y71)*IFERROR(INDEX(Materials!$V$5:$V$254,MATCH(G71,Materials!$A$5:$A$254,0)),0),2))</f>
        <v>0</v>
      </c>
      <c r="AB71" s="20">
        <f>IF(B71="","",ROUND(IF(L71="",0,L71)*IF(M71="",0,M71),2))</f>
        <v>0</v>
      </c>
      <c r="AC71" s="20">
        <f>IF(B71="","",ROUND(AA71+AB71+IF(I71="",0,I71)+IF(J71="",0,J71)+IF(N71="",0,N71),2))</f>
        <v>0</v>
      </c>
      <c r="AD71" s="36">
        <f>IF(B71="","",IF(Q71="",0,Q71)+IF(R71="",0,R71)+IF(S71="",0,S71)+IF(T71="",0,T71))</f>
        <v>0</v>
      </c>
      <c r="AE71" s="20">
        <f>IF(B71="","",IF(V71&lt;&gt;"",V71,LaborCostHour))</f>
        <v>0</v>
      </c>
      <c r="AF71" s="20">
        <f>IF(B71="","",ROUND(AD71/60*AE71,2))</f>
        <v>0</v>
      </c>
      <c r="AG71" s="20">
        <f>IF(B71="","",ROUND(IF(O71="",0,O71)/60*IF(P71="",0,P71),2))</f>
        <v>0</v>
      </c>
      <c r="AH71" s="20">
        <f>IF(B71="","",ROUND(AG71+AD71/60*SuppliesPerHour,2))</f>
        <v>0</v>
      </c>
      <c r="AI71" s="20">
        <f>IF(B71="","",ROUND((IF(E71="",0,E71)*IFERROR(INDEX(Materials!$V$5:$V$254,MATCH(D71,Materials!$A$5:$A$254,0)),0)+IF(H71="",0,H71)*IFERROR(INDEX(Materials!$V$5:$V$254,MATCH(G71,Materials!$A$5:$A$254,0)),0))*Y71,2))</f>
        <v>0</v>
      </c>
      <c r="AJ71" s="20">
        <f>IF(B71="","",ROUND(AC71+AF71+AH71,2))</f>
        <v>0</v>
      </c>
      <c r="AK71" s="33">
        <f>IF(B71="","",IFERROR(INDEX(Channels!$S$5:$S$18,MATCH(DefaultChannel,Channels!$A$5:$A$18,0)),0))</f>
        <v>0</v>
      </c>
      <c r="AL71" s="20">
        <f>IF(B71="","",IFERROR(INDEX(Channels!$T$5:$T$18,MATCH(DefaultChannel,Channels!$A$5:$A$18,0)),0))</f>
        <v>0</v>
      </c>
      <c r="AM71" s="41">
        <f>IF(B71="","",1-TargetRetailMargin-AK71)</f>
        <v>0</v>
      </c>
      <c r="AN71" s="20">
        <f>IF(B71="","",IF(AM71&lt;=0,"",(AJ71+AL71)/AM71))</f>
        <v>0</v>
      </c>
      <c r="AO71" s="20">
        <f>IF(B71="","",IF(AN71="","Check the settings",ROUND(IF(RoundingRule="None",AN71,IF(RoundingRule="Nearest 0.99",MAX(0.99,CEILING(AN71,1)-0.01),IF(RoundingRule="Nearest 0.95",MAX(0.95,CEILING(AN71,1)-0.05),IF(RoundingRule="Nearest 0.50",CEILING(AN71,0.5),IF(RoundingRule="Nearest 1",CEILING(AN71,1),IF(RoundingRule="Nearest 5",CEILING(AN71,5),IF(RoundingRule="Up to whole 1",CEILING(AN71,1),IF(RoundingRule="Up to whole 5",CEILING(AN71,5),ROUND(AN71,2))))))))),2)))</f>
        <v>0</v>
      </c>
      <c r="AP71" s="20">
        <f>IF(B71="","",IF(W71&lt;&gt;"",W71,IF(ISNUMBER(AO71),AO71,"")))</f>
        <v>0</v>
      </c>
      <c r="AQ71" s="20">
        <f>IF(B71="","",IF(AP71="","",ROUND(AP71-AJ71-(AP71*AK71+AL71),2)))</f>
        <v>0</v>
      </c>
      <c r="AR71" s="33">
        <f>IF(B71="","",IF(OR(AP71="",AP71=0),"",AQ71/AP71))</f>
        <v>0</v>
      </c>
      <c r="AS71" s="41">
        <f>IF(B71="","",ROUND(AD71/60,3))</f>
        <v>0</v>
      </c>
      <c r="AT71" s="20">
        <f>IF(B71="","",IF(OR(AS71=0,AS71="",AQ71=""),"",ROUND((AQ71+AF71)/AS71,2)))</f>
        <v>0</v>
      </c>
      <c r="AU71" s="43">
        <f>IF(B71="","",IF(AND(A71&lt;&gt;"",ISERROR(MATCH(A71,Products!$A$5:$A$304,0))),"Check - no such product ID",IF(AC71=0,"Add - no material cost yet",IF(AD71=0,"Add - how long does it take?",IF(AND(A71&lt;&gt;"",COUNTIFS('Material Usage'!$A$5:$A$904,A71)&gt;0),"Check - this product also has a bill of materials",IF(AND(A71&lt;&gt;"",COUNTIFS(Labor!$A$5:$A$304,A71)&gt;0),"Check - this product also has labour lines",IF(AT71&lt;MinimumWage,"Below - pays under minimum wage","OK")))))) )</f>
        <v>0</v>
      </c>
    </row>
    <row r="72" spans="25:47">
      <c r="Y72" s="33">
        <f>IF(B72="","",IF(F72="",DefaultWaste,F72))</f>
        <v>0</v>
      </c>
      <c r="Z72" s="36">
        <f>IF(B72="","",ROUND((IF(E72="",0,E72)+IF(H72="",0,H72))*(1+Y72),1))</f>
        <v>0</v>
      </c>
      <c r="AA72" s="20">
        <f>IF(B72="","",ROUND(IF(E72="",0,E72)*(1+Y72)*IFERROR(INDEX(Materials!$V$5:$V$254,MATCH(D72,Materials!$A$5:$A$254,0)),0)+IF(H72="",0,H72)*(1+Y72)*IFERROR(INDEX(Materials!$V$5:$V$254,MATCH(G72,Materials!$A$5:$A$254,0)),0),2))</f>
        <v>0</v>
      </c>
      <c r="AB72" s="20">
        <f>IF(B72="","",ROUND(IF(L72="",0,L72)*IF(M72="",0,M72),2))</f>
        <v>0</v>
      </c>
      <c r="AC72" s="20">
        <f>IF(B72="","",ROUND(AA72+AB72+IF(I72="",0,I72)+IF(J72="",0,J72)+IF(N72="",0,N72),2))</f>
        <v>0</v>
      </c>
      <c r="AD72" s="36">
        <f>IF(B72="","",IF(Q72="",0,Q72)+IF(R72="",0,R72)+IF(S72="",0,S72)+IF(T72="",0,T72))</f>
        <v>0</v>
      </c>
      <c r="AE72" s="20">
        <f>IF(B72="","",IF(V72&lt;&gt;"",V72,LaborCostHour))</f>
        <v>0</v>
      </c>
      <c r="AF72" s="20">
        <f>IF(B72="","",ROUND(AD72/60*AE72,2))</f>
        <v>0</v>
      </c>
      <c r="AG72" s="20">
        <f>IF(B72="","",ROUND(IF(O72="",0,O72)/60*IF(P72="",0,P72),2))</f>
        <v>0</v>
      </c>
      <c r="AH72" s="20">
        <f>IF(B72="","",ROUND(AG72+AD72/60*SuppliesPerHour,2))</f>
        <v>0</v>
      </c>
      <c r="AI72" s="20">
        <f>IF(B72="","",ROUND((IF(E72="",0,E72)*IFERROR(INDEX(Materials!$V$5:$V$254,MATCH(D72,Materials!$A$5:$A$254,0)),0)+IF(H72="",0,H72)*IFERROR(INDEX(Materials!$V$5:$V$254,MATCH(G72,Materials!$A$5:$A$254,0)),0))*Y72,2))</f>
        <v>0</v>
      </c>
      <c r="AJ72" s="20">
        <f>IF(B72="","",ROUND(AC72+AF72+AH72,2))</f>
        <v>0</v>
      </c>
      <c r="AK72" s="33">
        <f>IF(B72="","",IFERROR(INDEX(Channels!$S$5:$S$18,MATCH(DefaultChannel,Channels!$A$5:$A$18,0)),0))</f>
        <v>0</v>
      </c>
      <c r="AL72" s="20">
        <f>IF(B72="","",IFERROR(INDEX(Channels!$T$5:$T$18,MATCH(DefaultChannel,Channels!$A$5:$A$18,0)),0))</f>
        <v>0</v>
      </c>
      <c r="AM72" s="41">
        <f>IF(B72="","",1-TargetRetailMargin-AK72)</f>
        <v>0</v>
      </c>
      <c r="AN72" s="20">
        <f>IF(B72="","",IF(AM72&lt;=0,"",(AJ72+AL72)/AM72))</f>
        <v>0</v>
      </c>
      <c r="AO72" s="20">
        <f>IF(B72="","",IF(AN72="","Check the settings",ROUND(IF(RoundingRule="None",AN72,IF(RoundingRule="Nearest 0.99",MAX(0.99,CEILING(AN72,1)-0.01),IF(RoundingRule="Nearest 0.95",MAX(0.95,CEILING(AN72,1)-0.05),IF(RoundingRule="Nearest 0.50",CEILING(AN72,0.5),IF(RoundingRule="Nearest 1",CEILING(AN72,1),IF(RoundingRule="Nearest 5",CEILING(AN72,5),IF(RoundingRule="Up to whole 1",CEILING(AN72,1),IF(RoundingRule="Up to whole 5",CEILING(AN72,5),ROUND(AN72,2))))))))),2)))</f>
        <v>0</v>
      </c>
      <c r="AP72" s="20">
        <f>IF(B72="","",IF(W72&lt;&gt;"",W72,IF(ISNUMBER(AO72),AO72,"")))</f>
        <v>0</v>
      </c>
      <c r="AQ72" s="20">
        <f>IF(B72="","",IF(AP72="","",ROUND(AP72-AJ72-(AP72*AK72+AL72),2)))</f>
        <v>0</v>
      </c>
      <c r="AR72" s="33">
        <f>IF(B72="","",IF(OR(AP72="",AP72=0),"",AQ72/AP72))</f>
        <v>0</v>
      </c>
      <c r="AS72" s="41">
        <f>IF(B72="","",ROUND(AD72/60,3))</f>
        <v>0</v>
      </c>
      <c r="AT72" s="20">
        <f>IF(B72="","",IF(OR(AS72=0,AS72="",AQ72=""),"",ROUND((AQ72+AF72)/AS72,2)))</f>
        <v>0</v>
      </c>
      <c r="AU72" s="43">
        <f>IF(B72="","",IF(AND(A72&lt;&gt;"",ISERROR(MATCH(A72,Products!$A$5:$A$304,0))),"Check - no such product ID",IF(AC72=0,"Add - no material cost yet",IF(AD72=0,"Add - how long does it take?",IF(AND(A72&lt;&gt;"",COUNTIFS('Material Usage'!$A$5:$A$904,A72)&gt;0),"Check - this product also has a bill of materials",IF(AND(A72&lt;&gt;"",COUNTIFS(Labor!$A$5:$A$304,A72)&gt;0),"Check - this product also has labour lines",IF(AT72&lt;MinimumWage,"Below - pays under minimum wage","OK")))))) )</f>
        <v>0</v>
      </c>
    </row>
    <row r="73" spans="25:47">
      <c r="Y73" s="33">
        <f>IF(B73="","",IF(F73="",DefaultWaste,F73))</f>
        <v>0</v>
      </c>
      <c r="Z73" s="36">
        <f>IF(B73="","",ROUND((IF(E73="",0,E73)+IF(H73="",0,H73))*(1+Y73),1))</f>
        <v>0</v>
      </c>
      <c r="AA73" s="20">
        <f>IF(B73="","",ROUND(IF(E73="",0,E73)*(1+Y73)*IFERROR(INDEX(Materials!$V$5:$V$254,MATCH(D73,Materials!$A$5:$A$254,0)),0)+IF(H73="",0,H73)*(1+Y73)*IFERROR(INDEX(Materials!$V$5:$V$254,MATCH(G73,Materials!$A$5:$A$254,0)),0),2))</f>
        <v>0</v>
      </c>
      <c r="AB73" s="20">
        <f>IF(B73="","",ROUND(IF(L73="",0,L73)*IF(M73="",0,M73),2))</f>
        <v>0</v>
      </c>
      <c r="AC73" s="20">
        <f>IF(B73="","",ROUND(AA73+AB73+IF(I73="",0,I73)+IF(J73="",0,J73)+IF(N73="",0,N73),2))</f>
        <v>0</v>
      </c>
      <c r="AD73" s="36">
        <f>IF(B73="","",IF(Q73="",0,Q73)+IF(R73="",0,R73)+IF(S73="",0,S73)+IF(T73="",0,T73))</f>
        <v>0</v>
      </c>
      <c r="AE73" s="20">
        <f>IF(B73="","",IF(V73&lt;&gt;"",V73,LaborCostHour))</f>
        <v>0</v>
      </c>
      <c r="AF73" s="20">
        <f>IF(B73="","",ROUND(AD73/60*AE73,2))</f>
        <v>0</v>
      </c>
      <c r="AG73" s="20">
        <f>IF(B73="","",ROUND(IF(O73="",0,O73)/60*IF(P73="",0,P73),2))</f>
        <v>0</v>
      </c>
      <c r="AH73" s="20">
        <f>IF(B73="","",ROUND(AG73+AD73/60*SuppliesPerHour,2))</f>
        <v>0</v>
      </c>
      <c r="AI73" s="20">
        <f>IF(B73="","",ROUND((IF(E73="",0,E73)*IFERROR(INDEX(Materials!$V$5:$V$254,MATCH(D73,Materials!$A$5:$A$254,0)),0)+IF(H73="",0,H73)*IFERROR(INDEX(Materials!$V$5:$V$254,MATCH(G73,Materials!$A$5:$A$254,0)),0))*Y73,2))</f>
        <v>0</v>
      </c>
      <c r="AJ73" s="20">
        <f>IF(B73="","",ROUND(AC73+AF73+AH73,2))</f>
        <v>0</v>
      </c>
      <c r="AK73" s="33">
        <f>IF(B73="","",IFERROR(INDEX(Channels!$S$5:$S$18,MATCH(DefaultChannel,Channels!$A$5:$A$18,0)),0))</f>
        <v>0</v>
      </c>
      <c r="AL73" s="20">
        <f>IF(B73="","",IFERROR(INDEX(Channels!$T$5:$T$18,MATCH(DefaultChannel,Channels!$A$5:$A$18,0)),0))</f>
        <v>0</v>
      </c>
      <c r="AM73" s="41">
        <f>IF(B73="","",1-TargetRetailMargin-AK73)</f>
        <v>0</v>
      </c>
      <c r="AN73" s="20">
        <f>IF(B73="","",IF(AM73&lt;=0,"",(AJ73+AL73)/AM73))</f>
        <v>0</v>
      </c>
      <c r="AO73" s="20">
        <f>IF(B73="","",IF(AN73="","Check the settings",ROUND(IF(RoundingRule="None",AN73,IF(RoundingRule="Nearest 0.99",MAX(0.99,CEILING(AN73,1)-0.01),IF(RoundingRule="Nearest 0.95",MAX(0.95,CEILING(AN73,1)-0.05),IF(RoundingRule="Nearest 0.50",CEILING(AN73,0.5),IF(RoundingRule="Nearest 1",CEILING(AN73,1),IF(RoundingRule="Nearest 5",CEILING(AN73,5),IF(RoundingRule="Up to whole 1",CEILING(AN73,1),IF(RoundingRule="Up to whole 5",CEILING(AN73,5),ROUND(AN73,2))))))))),2)))</f>
        <v>0</v>
      </c>
      <c r="AP73" s="20">
        <f>IF(B73="","",IF(W73&lt;&gt;"",W73,IF(ISNUMBER(AO73),AO73,"")))</f>
        <v>0</v>
      </c>
      <c r="AQ73" s="20">
        <f>IF(B73="","",IF(AP73="","",ROUND(AP73-AJ73-(AP73*AK73+AL73),2)))</f>
        <v>0</v>
      </c>
      <c r="AR73" s="33">
        <f>IF(B73="","",IF(OR(AP73="",AP73=0),"",AQ73/AP73))</f>
        <v>0</v>
      </c>
      <c r="AS73" s="41">
        <f>IF(B73="","",ROUND(AD73/60,3))</f>
        <v>0</v>
      </c>
      <c r="AT73" s="20">
        <f>IF(B73="","",IF(OR(AS73=0,AS73="",AQ73=""),"",ROUND((AQ73+AF73)/AS73,2)))</f>
        <v>0</v>
      </c>
      <c r="AU73" s="43">
        <f>IF(B73="","",IF(AND(A73&lt;&gt;"",ISERROR(MATCH(A73,Products!$A$5:$A$304,0))),"Check - no such product ID",IF(AC73=0,"Add - no material cost yet",IF(AD73=0,"Add - how long does it take?",IF(AND(A73&lt;&gt;"",COUNTIFS('Material Usage'!$A$5:$A$904,A73)&gt;0),"Check - this product also has a bill of materials",IF(AND(A73&lt;&gt;"",COUNTIFS(Labor!$A$5:$A$304,A73)&gt;0),"Check - this product also has labour lines",IF(AT73&lt;MinimumWage,"Below - pays under minimum wage","OK")))))) )</f>
        <v>0</v>
      </c>
    </row>
    <row r="74" spans="25:47">
      <c r="Y74" s="33">
        <f>IF(B74="","",IF(F74="",DefaultWaste,F74))</f>
        <v>0</v>
      </c>
      <c r="Z74" s="36">
        <f>IF(B74="","",ROUND((IF(E74="",0,E74)+IF(H74="",0,H74))*(1+Y74),1))</f>
        <v>0</v>
      </c>
      <c r="AA74" s="20">
        <f>IF(B74="","",ROUND(IF(E74="",0,E74)*(1+Y74)*IFERROR(INDEX(Materials!$V$5:$V$254,MATCH(D74,Materials!$A$5:$A$254,0)),0)+IF(H74="",0,H74)*(1+Y74)*IFERROR(INDEX(Materials!$V$5:$V$254,MATCH(G74,Materials!$A$5:$A$254,0)),0),2))</f>
        <v>0</v>
      </c>
      <c r="AB74" s="20">
        <f>IF(B74="","",ROUND(IF(L74="",0,L74)*IF(M74="",0,M74),2))</f>
        <v>0</v>
      </c>
      <c r="AC74" s="20">
        <f>IF(B74="","",ROUND(AA74+AB74+IF(I74="",0,I74)+IF(J74="",0,J74)+IF(N74="",0,N74),2))</f>
        <v>0</v>
      </c>
      <c r="AD74" s="36">
        <f>IF(B74="","",IF(Q74="",0,Q74)+IF(R74="",0,R74)+IF(S74="",0,S74)+IF(T74="",0,T74))</f>
        <v>0</v>
      </c>
      <c r="AE74" s="20">
        <f>IF(B74="","",IF(V74&lt;&gt;"",V74,LaborCostHour))</f>
        <v>0</v>
      </c>
      <c r="AF74" s="20">
        <f>IF(B74="","",ROUND(AD74/60*AE74,2))</f>
        <v>0</v>
      </c>
      <c r="AG74" s="20">
        <f>IF(B74="","",ROUND(IF(O74="",0,O74)/60*IF(P74="",0,P74),2))</f>
        <v>0</v>
      </c>
      <c r="AH74" s="20">
        <f>IF(B74="","",ROUND(AG74+AD74/60*SuppliesPerHour,2))</f>
        <v>0</v>
      </c>
      <c r="AI74" s="20">
        <f>IF(B74="","",ROUND((IF(E74="",0,E74)*IFERROR(INDEX(Materials!$V$5:$V$254,MATCH(D74,Materials!$A$5:$A$254,0)),0)+IF(H74="",0,H74)*IFERROR(INDEX(Materials!$V$5:$V$254,MATCH(G74,Materials!$A$5:$A$254,0)),0))*Y74,2))</f>
        <v>0</v>
      </c>
      <c r="AJ74" s="20">
        <f>IF(B74="","",ROUND(AC74+AF74+AH74,2))</f>
        <v>0</v>
      </c>
      <c r="AK74" s="33">
        <f>IF(B74="","",IFERROR(INDEX(Channels!$S$5:$S$18,MATCH(DefaultChannel,Channels!$A$5:$A$18,0)),0))</f>
        <v>0</v>
      </c>
      <c r="AL74" s="20">
        <f>IF(B74="","",IFERROR(INDEX(Channels!$T$5:$T$18,MATCH(DefaultChannel,Channels!$A$5:$A$18,0)),0))</f>
        <v>0</v>
      </c>
      <c r="AM74" s="41">
        <f>IF(B74="","",1-TargetRetailMargin-AK74)</f>
        <v>0</v>
      </c>
      <c r="AN74" s="20">
        <f>IF(B74="","",IF(AM74&lt;=0,"",(AJ74+AL74)/AM74))</f>
        <v>0</v>
      </c>
      <c r="AO74" s="20">
        <f>IF(B74="","",IF(AN74="","Check the settings",ROUND(IF(RoundingRule="None",AN74,IF(RoundingRule="Nearest 0.99",MAX(0.99,CEILING(AN74,1)-0.01),IF(RoundingRule="Nearest 0.95",MAX(0.95,CEILING(AN74,1)-0.05),IF(RoundingRule="Nearest 0.50",CEILING(AN74,0.5),IF(RoundingRule="Nearest 1",CEILING(AN74,1),IF(RoundingRule="Nearest 5",CEILING(AN74,5),IF(RoundingRule="Up to whole 1",CEILING(AN74,1),IF(RoundingRule="Up to whole 5",CEILING(AN74,5),ROUND(AN74,2))))))))),2)))</f>
        <v>0</v>
      </c>
      <c r="AP74" s="20">
        <f>IF(B74="","",IF(W74&lt;&gt;"",W74,IF(ISNUMBER(AO74),AO74,"")))</f>
        <v>0</v>
      </c>
      <c r="AQ74" s="20">
        <f>IF(B74="","",IF(AP74="","",ROUND(AP74-AJ74-(AP74*AK74+AL74),2)))</f>
        <v>0</v>
      </c>
      <c r="AR74" s="33">
        <f>IF(B74="","",IF(OR(AP74="",AP74=0),"",AQ74/AP74))</f>
        <v>0</v>
      </c>
      <c r="AS74" s="41">
        <f>IF(B74="","",ROUND(AD74/60,3))</f>
        <v>0</v>
      </c>
      <c r="AT74" s="20">
        <f>IF(B74="","",IF(OR(AS74=0,AS74="",AQ74=""),"",ROUND((AQ74+AF74)/AS74,2)))</f>
        <v>0</v>
      </c>
      <c r="AU74" s="43">
        <f>IF(B74="","",IF(AND(A74&lt;&gt;"",ISERROR(MATCH(A74,Products!$A$5:$A$304,0))),"Check - no such product ID",IF(AC74=0,"Add - no material cost yet",IF(AD74=0,"Add - how long does it take?",IF(AND(A74&lt;&gt;"",COUNTIFS('Material Usage'!$A$5:$A$904,A74)&gt;0),"Check - this product also has a bill of materials",IF(AND(A74&lt;&gt;"",COUNTIFS(Labor!$A$5:$A$304,A74)&gt;0),"Check - this product also has labour lines",IF(AT74&lt;MinimumWage,"Below - pays under minimum wage","OK")))))) )</f>
        <v>0</v>
      </c>
    </row>
    <row r="75" spans="25:47">
      <c r="Y75" s="33">
        <f>IF(B75="","",IF(F75="",DefaultWaste,F75))</f>
        <v>0</v>
      </c>
      <c r="Z75" s="36">
        <f>IF(B75="","",ROUND((IF(E75="",0,E75)+IF(H75="",0,H75))*(1+Y75),1))</f>
        <v>0</v>
      </c>
      <c r="AA75" s="20">
        <f>IF(B75="","",ROUND(IF(E75="",0,E75)*(1+Y75)*IFERROR(INDEX(Materials!$V$5:$V$254,MATCH(D75,Materials!$A$5:$A$254,0)),0)+IF(H75="",0,H75)*(1+Y75)*IFERROR(INDEX(Materials!$V$5:$V$254,MATCH(G75,Materials!$A$5:$A$254,0)),0),2))</f>
        <v>0</v>
      </c>
      <c r="AB75" s="20">
        <f>IF(B75="","",ROUND(IF(L75="",0,L75)*IF(M75="",0,M75),2))</f>
        <v>0</v>
      </c>
      <c r="AC75" s="20">
        <f>IF(B75="","",ROUND(AA75+AB75+IF(I75="",0,I75)+IF(J75="",0,J75)+IF(N75="",0,N75),2))</f>
        <v>0</v>
      </c>
      <c r="AD75" s="36">
        <f>IF(B75="","",IF(Q75="",0,Q75)+IF(R75="",0,R75)+IF(S75="",0,S75)+IF(T75="",0,T75))</f>
        <v>0</v>
      </c>
      <c r="AE75" s="20">
        <f>IF(B75="","",IF(V75&lt;&gt;"",V75,LaborCostHour))</f>
        <v>0</v>
      </c>
      <c r="AF75" s="20">
        <f>IF(B75="","",ROUND(AD75/60*AE75,2))</f>
        <v>0</v>
      </c>
      <c r="AG75" s="20">
        <f>IF(B75="","",ROUND(IF(O75="",0,O75)/60*IF(P75="",0,P75),2))</f>
        <v>0</v>
      </c>
      <c r="AH75" s="20">
        <f>IF(B75="","",ROUND(AG75+AD75/60*SuppliesPerHour,2))</f>
        <v>0</v>
      </c>
      <c r="AI75" s="20">
        <f>IF(B75="","",ROUND((IF(E75="",0,E75)*IFERROR(INDEX(Materials!$V$5:$V$254,MATCH(D75,Materials!$A$5:$A$254,0)),0)+IF(H75="",0,H75)*IFERROR(INDEX(Materials!$V$5:$V$254,MATCH(G75,Materials!$A$5:$A$254,0)),0))*Y75,2))</f>
        <v>0</v>
      </c>
      <c r="AJ75" s="20">
        <f>IF(B75="","",ROUND(AC75+AF75+AH75,2))</f>
        <v>0</v>
      </c>
      <c r="AK75" s="33">
        <f>IF(B75="","",IFERROR(INDEX(Channels!$S$5:$S$18,MATCH(DefaultChannel,Channels!$A$5:$A$18,0)),0))</f>
        <v>0</v>
      </c>
      <c r="AL75" s="20">
        <f>IF(B75="","",IFERROR(INDEX(Channels!$T$5:$T$18,MATCH(DefaultChannel,Channels!$A$5:$A$18,0)),0))</f>
        <v>0</v>
      </c>
      <c r="AM75" s="41">
        <f>IF(B75="","",1-TargetRetailMargin-AK75)</f>
        <v>0</v>
      </c>
      <c r="AN75" s="20">
        <f>IF(B75="","",IF(AM75&lt;=0,"",(AJ75+AL75)/AM75))</f>
        <v>0</v>
      </c>
      <c r="AO75" s="20">
        <f>IF(B75="","",IF(AN75="","Check the settings",ROUND(IF(RoundingRule="None",AN75,IF(RoundingRule="Nearest 0.99",MAX(0.99,CEILING(AN75,1)-0.01),IF(RoundingRule="Nearest 0.95",MAX(0.95,CEILING(AN75,1)-0.05),IF(RoundingRule="Nearest 0.50",CEILING(AN75,0.5),IF(RoundingRule="Nearest 1",CEILING(AN75,1),IF(RoundingRule="Nearest 5",CEILING(AN75,5),IF(RoundingRule="Up to whole 1",CEILING(AN75,1),IF(RoundingRule="Up to whole 5",CEILING(AN75,5),ROUND(AN75,2))))))))),2)))</f>
        <v>0</v>
      </c>
      <c r="AP75" s="20">
        <f>IF(B75="","",IF(W75&lt;&gt;"",W75,IF(ISNUMBER(AO75),AO75,"")))</f>
        <v>0</v>
      </c>
      <c r="AQ75" s="20">
        <f>IF(B75="","",IF(AP75="","",ROUND(AP75-AJ75-(AP75*AK75+AL75),2)))</f>
        <v>0</v>
      </c>
      <c r="AR75" s="33">
        <f>IF(B75="","",IF(OR(AP75="",AP75=0),"",AQ75/AP75))</f>
        <v>0</v>
      </c>
      <c r="AS75" s="41">
        <f>IF(B75="","",ROUND(AD75/60,3))</f>
        <v>0</v>
      </c>
      <c r="AT75" s="20">
        <f>IF(B75="","",IF(OR(AS75=0,AS75="",AQ75=""),"",ROUND((AQ75+AF75)/AS75,2)))</f>
        <v>0</v>
      </c>
      <c r="AU75" s="43">
        <f>IF(B75="","",IF(AND(A75&lt;&gt;"",ISERROR(MATCH(A75,Products!$A$5:$A$304,0))),"Check - no such product ID",IF(AC75=0,"Add - no material cost yet",IF(AD75=0,"Add - how long does it take?",IF(AND(A75&lt;&gt;"",COUNTIFS('Material Usage'!$A$5:$A$904,A75)&gt;0),"Check - this product also has a bill of materials",IF(AND(A75&lt;&gt;"",COUNTIFS(Labor!$A$5:$A$304,A75)&gt;0),"Check - this product also has labour lines",IF(AT75&lt;MinimumWage,"Below - pays under minimum wage","OK")))))) )</f>
        <v>0</v>
      </c>
    </row>
    <row r="76" spans="25:47">
      <c r="Y76" s="33">
        <f>IF(B76="","",IF(F76="",DefaultWaste,F76))</f>
        <v>0</v>
      </c>
      <c r="Z76" s="36">
        <f>IF(B76="","",ROUND((IF(E76="",0,E76)+IF(H76="",0,H76))*(1+Y76),1))</f>
        <v>0</v>
      </c>
      <c r="AA76" s="20">
        <f>IF(B76="","",ROUND(IF(E76="",0,E76)*(1+Y76)*IFERROR(INDEX(Materials!$V$5:$V$254,MATCH(D76,Materials!$A$5:$A$254,0)),0)+IF(H76="",0,H76)*(1+Y76)*IFERROR(INDEX(Materials!$V$5:$V$254,MATCH(G76,Materials!$A$5:$A$254,0)),0),2))</f>
        <v>0</v>
      </c>
      <c r="AB76" s="20">
        <f>IF(B76="","",ROUND(IF(L76="",0,L76)*IF(M76="",0,M76),2))</f>
        <v>0</v>
      </c>
      <c r="AC76" s="20">
        <f>IF(B76="","",ROUND(AA76+AB76+IF(I76="",0,I76)+IF(J76="",0,J76)+IF(N76="",0,N76),2))</f>
        <v>0</v>
      </c>
      <c r="AD76" s="36">
        <f>IF(B76="","",IF(Q76="",0,Q76)+IF(R76="",0,R76)+IF(S76="",0,S76)+IF(T76="",0,T76))</f>
        <v>0</v>
      </c>
      <c r="AE76" s="20">
        <f>IF(B76="","",IF(V76&lt;&gt;"",V76,LaborCostHour))</f>
        <v>0</v>
      </c>
      <c r="AF76" s="20">
        <f>IF(B76="","",ROUND(AD76/60*AE76,2))</f>
        <v>0</v>
      </c>
      <c r="AG76" s="20">
        <f>IF(B76="","",ROUND(IF(O76="",0,O76)/60*IF(P76="",0,P76),2))</f>
        <v>0</v>
      </c>
      <c r="AH76" s="20">
        <f>IF(B76="","",ROUND(AG76+AD76/60*SuppliesPerHour,2))</f>
        <v>0</v>
      </c>
      <c r="AI76" s="20">
        <f>IF(B76="","",ROUND((IF(E76="",0,E76)*IFERROR(INDEX(Materials!$V$5:$V$254,MATCH(D76,Materials!$A$5:$A$254,0)),0)+IF(H76="",0,H76)*IFERROR(INDEX(Materials!$V$5:$V$254,MATCH(G76,Materials!$A$5:$A$254,0)),0))*Y76,2))</f>
        <v>0</v>
      </c>
      <c r="AJ76" s="20">
        <f>IF(B76="","",ROUND(AC76+AF76+AH76,2))</f>
        <v>0</v>
      </c>
      <c r="AK76" s="33">
        <f>IF(B76="","",IFERROR(INDEX(Channels!$S$5:$S$18,MATCH(DefaultChannel,Channels!$A$5:$A$18,0)),0))</f>
        <v>0</v>
      </c>
      <c r="AL76" s="20">
        <f>IF(B76="","",IFERROR(INDEX(Channels!$T$5:$T$18,MATCH(DefaultChannel,Channels!$A$5:$A$18,0)),0))</f>
        <v>0</v>
      </c>
      <c r="AM76" s="41">
        <f>IF(B76="","",1-TargetRetailMargin-AK76)</f>
        <v>0</v>
      </c>
      <c r="AN76" s="20">
        <f>IF(B76="","",IF(AM76&lt;=0,"",(AJ76+AL76)/AM76))</f>
        <v>0</v>
      </c>
      <c r="AO76" s="20">
        <f>IF(B76="","",IF(AN76="","Check the settings",ROUND(IF(RoundingRule="None",AN76,IF(RoundingRule="Nearest 0.99",MAX(0.99,CEILING(AN76,1)-0.01),IF(RoundingRule="Nearest 0.95",MAX(0.95,CEILING(AN76,1)-0.05),IF(RoundingRule="Nearest 0.50",CEILING(AN76,0.5),IF(RoundingRule="Nearest 1",CEILING(AN76,1),IF(RoundingRule="Nearest 5",CEILING(AN76,5),IF(RoundingRule="Up to whole 1",CEILING(AN76,1),IF(RoundingRule="Up to whole 5",CEILING(AN76,5),ROUND(AN76,2))))))))),2)))</f>
        <v>0</v>
      </c>
      <c r="AP76" s="20">
        <f>IF(B76="","",IF(W76&lt;&gt;"",W76,IF(ISNUMBER(AO76),AO76,"")))</f>
        <v>0</v>
      </c>
      <c r="AQ76" s="20">
        <f>IF(B76="","",IF(AP76="","",ROUND(AP76-AJ76-(AP76*AK76+AL76),2)))</f>
        <v>0</v>
      </c>
      <c r="AR76" s="33">
        <f>IF(B76="","",IF(OR(AP76="",AP76=0),"",AQ76/AP76))</f>
        <v>0</v>
      </c>
      <c r="AS76" s="41">
        <f>IF(B76="","",ROUND(AD76/60,3))</f>
        <v>0</v>
      </c>
      <c r="AT76" s="20">
        <f>IF(B76="","",IF(OR(AS76=0,AS76="",AQ76=""),"",ROUND((AQ76+AF76)/AS76,2)))</f>
        <v>0</v>
      </c>
      <c r="AU76" s="43">
        <f>IF(B76="","",IF(AND(A76&lt;&gt;"",ISERROR(MATCH(A76,Products!$A$5:$A$304,0))),"Check - no such product ID",IF(AC76=0,"Add - no material cost yet",IF(AD76=0,"Add - how long does it take?",IF(AND(A76&lt;&gt;"",COUNTIFS('Material Usage'!$A$5:$A$904,A76)&gt;0),"Check - this product also has a bill of materials",IF(AND(A76&lt;&gt;"",COUNTIFS(Labor!$A$5:$A$304,A76)&gt;0),"Check - this product also has labour lines",IF(AT76&lt;MinimumWage,"Below - pays under minimum wage","OK")))))) )</f>
        <v>0</v>
      </c>
    </row>
    <row r="77" spans="25:47">
      <c r="Y77" s="33">
        <f>IF(B77="","",IF(F77="",DefaultWaste,F77))</f>
        <v>0</v>
      </c>
      <c r="Z77" s="36">
        <f>IF(B77="","",ROUND((IF(E77="",0,E77)+IF(H77="",0,H77))*(1+Y77),1))</f>
        <v>0</v>
      </c>
      <c r="AA77" s="20">
        <f>IF(B77="","",ROUND(IF(E77="",0,E77)*(1+Y77)*IFERROR(INDEX(Materials!$V$5:$V$254,MATCH(D77,Materials!$A$5:$A$254,0)),0)+IF(H77="",0,H77)*(1+Y77)*IFERROR(INDEX(Materials!$V$5:$V$254,MATCH(G77,Materials!$A$5:$A$254,0)),0),2))</f>
        <v>0</v>
      </c>
      <c r="AB77" s="20">
        <f>IF(B77="","",ROUND(IF(L77="",0,L77)*IF(M77="",0,M77),2))</f>
        <v>0</v>
      </c>
      <c r="AC77" s="20">
        <f>IF(B77="","",ROUND(AA77+AB77+IF(I77="",0,I77)+IF(J77="",0,J77)+IF(N77="",0,N77),2))</f>
        <v>0</v>
      </c>
      <c r="AD77" s="36">
        <f>IF(B77="","",IF(Q77="",0,Q77)+IF(R77="",0,R77)+IF(S77="",0,S77)+IF(T77="",0,T77))</f>
        <v>0</v>
      </c>
      <c r="AE77" s="20">
        <f>IF(B77="","",IF(V77&lt;&gt;"",V77,LaborCostHour))</f>
        <v>0</v>
      </c>
      <c r="AF77" s="20">
        <f>IF(B77="","",ROUND(AD77/60*AE77,2))</f>
        <v>0</v>
      </c>
      <c r="AG77" s="20">
        <f>IF(B77="","",ROUND(IF(O77="",0,O77)/60*IF(P77="",0,P77),2))</f>
        <v>0</v>
      </c>
      <c r="AH77" s="20">
        <f>IF(B77="","",ROUND(AG77+AD77/60*SuppliesPerHour,2))</f>
        <v>0</v>
      </c>
      <c r="AI77" s="20">
        <f>IF(B77="","",ROUND((IF(E77="",0,E77)*IFERROR(INDEX(Materials!$V$5:$V$254,MATCH(D77,Materials!$A$5:$A$254,0)),0)+IF(H77="",0,H77)*IFERROR(INDEX(Materials!$V$5:$V$254,MATCH(G77,Materials!$A$5:$A$254,0)),0))*Y77,2))</f>
        <v>0</v>
      </c>
      <c r="AJ77" s="20">
        <f>IF(B77="","",ROUND(AC77+AF77+AH77,2))</f>
        <v>0</v>
      </c>
      <c r="AK77" s="33">
        <f>IF(B77="","",IFERROR(INDEX(Channels!$S$5:$S$18,MATCH(DefaultChannel,Channels!$A$5:$A$18,0)),0))</f>
        <v>0</v>
      </c>
      <c r="AL77" s="20">
        <f>IF(B77="","",IFERROR(INDEX(Channels!$T$5:$T$18,MATCH(DefaultChannel,Channels!$A$5:$A$18,0)),0))</f>
        <v>0</v>
      </c>
      <c r="AM77" s="41">
        <f>IF(B77="","",1-TargetRetailMargin-AK77)</f>
        <v>0</v>
      </c>
      <c r="AN77" s="20">
        <f>IF(B77="","",IF(AM77&lt;=0,"",(AJ77+AL77)/AM77))</f>
        <v>0</v>
      </c>
      <c r="AO77" s="20">
        <f>IF(B77="","",IF(AN77="","Check the settings",ROUND(IF(RoundingRule="None",AN77,IF(RoundingRule="Nearest 0.99",MAX(0.99,CEILING(AN77,1)-0.01),IF(RoundingRule="Nearest 0.95",MAX(0.95,CEILING(AN77,1)-0.05),IF(RoundingRule="Nearest 0.50",CEILING(AN77,0.5),IF(RoundingRule="Nearest 1",CEILING(AN77,1),IF(RoundingRule="Nearest 5",CEILING(AN77,5),IF(RoundingRule="Up to whole 1",CEILING(AN77,1),IF(RoundingRule="Up to whole 5",CEILING(AN77,5),ROUND(AN77,2))))))))),2)))</f>
        <v>0</v>
      </c>
      <c r="AP77" s="20">
        <f>IF(B77="","",IF(W77&lt;&gt;"",W77,IF(ISNUMBER(AO77),AO77,"")))</f>
        <v>0</v>
      </c>
      <c r="AQ77" s="20">
        <f>IF(B77="","",IF(AP77="","",ROUND(AP77-AJ77-(AP77*AK77+AL77),2)))</f>
        <v>0</v>
      </c>
      <c r="AR77" s="33">
        <f>IF(B77="","",IF(OR(AP77="",AP77=0),"",AQ77/AP77))</f>
        <v>0</v>
      </c>
      <c r="AS77" s="41">
        <f>IF(B77="","",ROUND(AD77/60,3))</f>
        <v>0</v>
      </c>
      <c r="AT77" s="20">
        <f>IF(B77="","",IF(OR(AS77=0,AS77="",AQ77=""),"",ROUND((AQ77+AF77)/AS77,2)))</f>
        <v>0</v>
      </c>
      <c r="AU77" s="43">
        <f>IF(B77="","",IF(AND(A77&lt;&gt;"",ISERROR(MATCH(A77,Products!$A$5:$A$304,0))),"Check - no such product ID",IF(AC77=0,"Add - no material cost yet",IF(AD77=0,"Add - how long does it take?",IF(AND(A77&lt;&gt;"",COUNTIFS('Material Usage'!$A$5:$A$904,A77)&gt;0),"Check - this product also has a bill of materials",IF(AND(A77&lt;&gt;"",COUNTIFS(Labor!$A$5:$A$304,A77)&gt;0),"Check - this product also has labour lines",IF(AT77&lt;MinimumWage,"Below - pays under minimum wage","OK")))))) )</f>
        <v>0</v>
      </c>
    </row>
    <row r="78" spans="25:47">
      <c r="Y78" s="33">
        <f>IF(B78="","",IF(F78="",DefaultWaste,F78))</f>
        <v>0</v>
      </c>
      <c r="Z78" s="36">
        <f>IF(B78="","",ROUND((IF(E78="",0,E78)+IF(H78="",0,H78))*(1+Y78),1))</f>
        <v>0</v>
      </c>
      <c r="AA78" s="20">
        <f>IF(B78="","",ROUND(IF(E78="",0,E78)*(1+Y78)*IFERROR(INDEX(Materials!$V$5:$V$254,MATCH(D78,Materials!$A$5:$A$254,0)),0)+IF(H78="",0,H78)*(1+Y78)*IFERROR(INDEX(Materials!$V$5:$V$254,MATCH(G78,Materials!$A$5:$A$254,0)),0),2))</f>
        <v>0</v>
      </c>
      <c r="AB78" s="20">
        <f>IF(B78="","",ROUND(IF(L78="",0,L78)*IF(M78="",0,M78),2))</f>
        <v>0</v>
      </c>
      <c r="AC78" s="20">
        <f>IF(B78="","",ROUND(AA78+AB78+IF(I78="",0,I78)+IF(J78="",0,J78)+IF(N78="",0,N78),2))</f>
        <v>0</v>
      </c>
      <c r="AD78" s="36">
        <f>IF(B78="","",IF(Q78="",0,Q78)+IF(R78="",0,R78)+IF(S78="",0,S78)+IF(T78="",0,T78))</f>
        <v>0</v>
      </c>
      <c r="AE78" s="20">
        <f>IF(B78="","",IF(V78&lt;&gt;"",V78,LaborCostHour))</f>
        <v>0</v>
      </c>
      <c r="AF78" s="20">
        <f>IF(B78="","",ROUND(AD78/60*AE78,2))</f>
        <v>0</v>
      </c>
      <c r="AG78" s="20">
        <f>IF(B78="","",ROUND(IF(O78="",0,O78)/60*IF(P78="",0,P78),2))</f>
        <v>0</v>
      </c>
      <c r="AH78" s="20">
        <f>IF(B78="","",ROUND(AG78+AD78/60*SuppliesPerHour,2))</f>
        <v>0</v>
      </c>
      <c r="AI78" s="20">
        <f>IF(B78="","",ROUND((IF(E78="",0,E78)*IFERROR(INDEX(Materials!$V$5:$V$254,MATCH(D78,Materials!$A$5:$A$254,0)),0)+IF(H78="",0,H78)*IFERROR(INDEX(Materials!$V$5:$V$254,MATCH(G78,Materials!$A$5:$A$254,0)),0))*Y78,2))</f>
        <v>0</v>
      </c>
      <c r="AJ78" s="20">
        <f>IF(B78="","",ROUND(AC78+AF78+AH78,2))</f>
        <v>0</v>
      </c>
      <c r="AK78" s="33">
        <f>IF(B78="","",IFERROR(INDEX(Channels!$S$5:$S$18,MATCH(DefaultChannel,Channels!$A$5:$A$18,0)),0))</f>
        <v>0</v>
      </c>
      <c r="AL78" s="20">
        <f>IF(B78="","",IFERROR(INDEX(Channels!$T$5:$T$18,MATCH(DefaultChannel,Channels!$A$5:$A$18,0)),0))</f>
        <v>0</v>
      </c>
      <c r="AM78" s="41">
        <f>IF(B78="","",1-TargetRetailMargin-AK78)</f>
        <v>0</v>
      </c>
      <c r="AN78" s="20">
        <f>IF(B78="","",IF(AM78&lt;=0,"",(AJ78+AL78)/AM78))</f>
        <v>0</v>
      </c>
      <c r="AO78" s="20">
        <f>IF(B78="","",IF(AN78="","Check the settings",ROUND(IF(RoundingRule="None",AN78,IF(RoundingRule="Nearest 0.99",MAX(0.99,CEILING(AN78,1)-0.01),IF(RoundingRule="Nearest 0.95",MAX(0.95,CEILING(AN78,1)-0.05),IF(RoundingRule="Nearest 0.50",CEILING(AN78,0.5),IF(RoundingRule="Nearest 1",CEILING(AN78,1),IF(RoundingRule="Nearest 5",CEILING(AN78,5),IF(RoundingRule="Up to whole 1",CEILING(AN78,1),IF(RoundingRule="Up to whole 5",CEILING(AN78,5),ROUND(AN78,2))))))))),2)))</f>
        <v>0</v>
      </c>
      <c r="AP78" s="20">
        <f>IF(B78="","",IF(W78&lt;&gt;"",W78,IF(ISNUMBER(AO78),AO78,"")))</f>
        <v>0</v>
      </c>
      <c r="AQ78" s="20">
        <f>IF(B78="","",IF(AP78="","",ROUND(AP78-AJ78-(AP78*AK78+AL78),2)))</f>
        <v>0</v>
      </c>
      <c r="AR78" s="33">
        <f>IF(B78="","",IF(OR(AP78="",AP78=0),"",AQ78/AP78))</f>
        <v>0</v>
      </c>
      <c r="AS78" s="41">
        <f>IF(B78="","",ROUND(AD78/60,3))</f>
        <v>0</v>
      </c>
      <c r="AT78" s="20">
        <f>IF(B78="","",IF(OR(AS78=0,AS78="",AQ78=""),"",ROUND((AQ78+AF78)/AS78,2)))</f>
        <v>0</v>
      </c>
      <c r="AU78" s="43">
        <f>IF(B78="","",IF(AND(A78&lt;&gt;"",ISERROR(MATCH(A78,Products!$A$5:$A$304,0))),"Check - no such product ID",IF(AC78=0,"Add - no material cost yet",IF(AD78=0,"Add - how long does it take?",IF(AND(A78&lt;&gt;"",COUNTIFS('Material Usage'!$A$5:$A$904,A78)&gt;0),"Check - this product also has a bill of materials",IF(AND(A78&lt;&gt;"",COUNTIFS(Labor!$A$5:$A$304,A78)&gt;0),"Check - this product also has labour lines",IF(AT78&lt;MinimumWage,"Below - pays under minimum wage","OK")))))) )</f>
        <v>0</v>
      </c>
    </row>
    <row r="79" spans="25:47">
      <c r="Y79" s="33">
        <f>IF(B79="","",IF(F79="",DefaultWaste,F79))</f>
        <v>0</v>
      </c>
      <c r="Z79" s="36">
        <f>IF(B79="","",ROUND((IF(E79="",0,E79)+IF(H79="",0,H79))*(1+Y79),1))</f>
        <v>0</v>
      </c>
      <c r="AA79" s="20">
        <f>IF(B79="","",ROUND(IF(E79="",0,E79)*(1+Y79)*IFERROR(INDEX(Materials!$V$5:$V$254,MATCH(D79,Materials!$A$5:$A$254,0)),0)+IF(H79="",0,H79)*(1+Y79)*IFERROR(INDEX(Materials!$V$5:$V$254,MATCH(G79,Materials!$A$5:$A$254,0)),0),2))</f>
        <v>0</v>
      </c>
      <c r="AB79" s="20">
        <f>IF(B79="","",ROUND(IF(L79="",0,L79)*IF(M79="",0,M79),2))</f>
        <v>0</v>
      </c>
      <c r="AC79" s="20">
        <f>IF(B79="","",ROUND(AA79+AB79+IF(I79="",0,I79)+IF(J79="",0,J79)+IF(N79="",0,N79),2))</f>
        <v>0</v>
      </c>
      <c r="AD79" s="36">
        <f>IF(B79="","",IF(Q79="",0,Q79)+IF(R79="",0,R79)+IF(S79="",0,S79)+IF(T79="",0,T79))</f>
        <v>0</v>
      </c>
      <c r="AE79" s="20">
        <f>IF(B79="","",IF(V79&lt;&gt;"",V79,LaborCostHour))</f>
        <v>0</v>
      </c>
      <c r="AF79" s="20">
        <f>IF(B79="","",ROUND(AD79/60*AE79,2))</f>
        <v>0</v>
      </c>
      <c r="AG79" s="20">
        <f>IF(B79="","",ROUND(IF(O79="",0,O79)/60*IF(P79="",0,P79),2))</f>
        <v>0</v>
      </c>
      <c r="AH79" s="20">
        <f>IF(B79="","",ROUND(AG79+AD79/60*SuppliesPerHour,2))</f>
        <v>0</v>
      </c>
      <c r="AI79" s="20">
        <f>IF(B79="","",ROUND((IF(E79="",0,E79)*IFERROR(INDEX(Materials!$V$5:$V$254,MATCH(D79,Materials!$A$5:$A$254,0)),0)+IF(H79="",0,H79)*IFERROR(INDEX(Materials!$V$5:$V$254,MATCH(G79,Materials!$A$5:$A$254,0)),0))*Y79,2))</f>
        <v>0</v>
      </c>
      <c r="AJ79" s="20">
        <f>IF(B79="","",ROUND(AC79+AF79+AH79,2))</f>
        <v>0</v>
      </c>
      <c r="AK79" s="33">
        <f>IF(B79="","",IFERROR(INDEX(Channels!$S$5:$S$18,MATCH(DefaultChannel,Channels!$A$5:$A$18,0)),0))</f>
        <v>0</v>
      </c>
      <c r="AL79" s="20">
        <f>IF(B79="","",IFERROR(INDEX(Channels!$T$5:$T$18,MATCH(DefaultChannel,Channels!$A$5:$A$18,0)),0))</f>
        <v>0</v>
      </c>
      <c r="AM79" s="41">
        <f>IF(B79="","",1-TargetRetailMargin-AK79)</f>
        <v>0</v>
      </c>
      <c r="AN79" s="20">
        <f>IF(B79="","",IF(AM79&lt;=0,"",(AJ79+AL79)/AM79))</f>
        <v>0</v>
      </c>
      <c r="AO79" s="20">
        <f>IF(B79="","",IF(AN79="","Check the settings",ROUND(IF(RoundingRule="None",AN79,IF(RoundingRule="Nearest 0.99",MAX(0.99,CEILING(AN79,1)-0.01),IF(RoundingRule="Nearest 0.95",MAX(0.95,CEILING(AN79,1)-0.05),IF(RoundingRule="Nearest 0.50",CEILING(AN79,0.5),IF(RoundingRule="Nearest 1",CEILING(AN79,1),IF(RoundingRule="Nearest 5",CEILING(AN79,5),IF(RoundingRule="Up to whole 1",CEILING(AN79,1),IF(RoundingRule="Up to whole 5",CEILING(AN79,5),ROUND(AN79,2))))))))),2)))</f>
        <v>0</v>
      </c>
      <c r="AP79" s="20">
        <f>IF(B79="","",IF(W79&lt;&gt;"",W79,IF(ISNUMBER(AO79),AO79,"")))</f>
        <v>0</v>
      </c>
      <c r="AQ79" s="20">
        <f>IF(B79="","",IF(AP79="","",ROUND(AP79-AJ79-(AP79*AK79+AL79),2)))</f>
        <v>0</v>
      </c>
      <c r="AR79" s="33">
        <f>IF(B79="","",IF(OR(AP79="",AP79=0),"",AQ79/AP79))</f>
        <v>0</v>
      </c>
      <c r="AS79" s="41">
        <f>IF(B79="","",ROUND(AD79/60,3))</f>
        <v>0</v>
      </c>
      <c r="AT79" s="20">
        <f>IF(B79="","",IF(OR(AS79=0,AS79="",AQ79=""),"",ROUND((AQ79+AF79)/AS79,2)))</f>
        <v>0</v>
      </c>
      <c r="AU79" s="43">
        <f>IF(B79="","",IF(AND(A79&lt;&gt;"",ISERROR(MATCH(A79,Products!$A$5:$A$304,0))),"Check - no such product ID",IF(AC79=0,"Add - no material cost yet",IF(AD79=0,"Add - how long does it take?",IF(AND(A79&lt;&gt;"",COUNTIFS('Material Usage'!$A$5:$A$904,A79)&gt;0),"Check - this product also has a bill of materials",IF(AND(A79&lt;&gt;"",COUNTIFS(Labor!$A$5:$A$304,A79)&gt;0),"Check - this product also has labour lines",IF(AT79&lt;MinimumWage,"Below - pays under minimum wage","OK")))))) )</f>
        <v>0</v>
      </c>
    </row>
    <row r="80" spans="25:47">
      <c r="Y80" s="33">
        <f>IF(B80="","",IF(F80="",DefaultWaste,F80))</f>
        <v>0</v>
      </c>
      <c r="Z80" s="36">
        <f>IF(B80="","",ROUND((IF(E80="",0,E80)+IF(H80="",0,H80))*(1+Y80),1))</f>
        <v>0</v>
      </c>
      <c r="AA80" s="20">
        <f>IF(B80="","",ROUND(IF(E80="",0,E80)*(1+Y80)*IFERROR(INDEX(Materials!$V$5:$V$254,MATCH(D80,Materials!$A$5:$A$254,0)),0)+IF(H80="",0,H80)*(1+Y80)*IFERROR(INDEX(Materials!$V$5:$V$254,MATCH(G80,Materials!$A$5:$A$254,0)),0),2))</f>
        <v>0</v>
      </c>
      <c r="AB80" s="20">
        <f>IF(B80="","",ROUND(IF(L80="",0,L80)*IF(M80="",0,M80),2))</f>
        <v>0</v>
      </c>
      <c r="AC80" s="20">
        <f>IF(B80="","",ROUND(AA80+AB80+IF(I80="",0,I80)+IF(J80="",0,J80)+IF(N80="",0,N80),2))</f>
        <v>0</v>
      </c>
      <c r="AD80" s="36">
        <f>IF(B80="","",IF(Q80="",0,Q80)+IF(R80="",0,R80)+IF(S80="",0,S80)+IF(T80="",0,T80))</f>
        <v>0</v>
      </c>
      <c r="AE80" s="20">
        <f>IF(B80="","",IF(V80&lt;&gt;"",V80,LaborCostHour))</f>
        <v>0</v>
      </c>
      <c r="AF80" s="20">
        <f>IF(B80="","",ROUND(AD80/60*AE80,2))</f>
        <v>0</v>
      </c>
      <c r="AG80" s="20">
        <f>IF(B80="","",ROUND(IF(O80="",0,O80)/60*IF(P80="",0,P80),2))</f>
        <v>0</v>
      </c>
      <c r="AH80" s="20">
        <f>IF(B80="","",ROUND(AG80+AD80/60*SuppliesPerHour,2))</f>
        <v>0</v>
      </c>
      <c r="AI80" s="20">
        <f>IF(B80="","",ROUND((IF(E80="",0,E80)*IFERROR(INDEX(Materials!$V$5:$V$254,MATCH(D80,Materials!$A$5:$A$254,0)),0)+IF(H80="",0,H80)*IFERROR(INDEX(Materials!$V$5:$V$254,MATCH(G80,Materials!$A$5:$A$254,0)),0))*Y80,2))</f>
        <v>0</v>
      </c>
      <c r="AJ80" s="20">
        <f>IF(B80="","",ROUND(AC80+AF80+AH80,2))</f>
        <v>0</v>
      </c>
      <c r="AK80" s="33">
        <f>IF(B80="","",IFERROR(INDEX(Channels!$S$5:$S$18,MATCH(DefaultChannel,Channels!$A$5:$A$18,0)),0))</f>
        <v>0</v>
      </c>
      <c r="AL80" s="20">
        <f>IF(B80="","",IFERROR(INDEX(Channels!$T$5:$T$18,MATCH(DefaultChannel,Channels!$A$5:$A$18,0)),0))</f>
        <v>0</v>
      </c>
      <c r="AM80" s="41">
        <f>IF(B80="","",1-TargetRetailMargin-AK80)</f>
        <v>0</v>
      </c>
      <c r="AN80" s="20">
        <f>IF(B80="","",IF(AM80&lt;=0,"",(AJ80+AL80)/AM80))</f>
        <v>0</v>
      </c>
      <c r="AO80" s="20">
        <f>IF(B80="","",IF(AN80="","Check the settings",ROUND(IF(RoundingRule="None",AN80,IF(RoundingRule="Nearest 0.99",MAX(0.99,CEILING(AN80,1)-0.01),IF(RoundingRule="Nearest 0.95",MAX(0.95,CEILING(AN80,1)-0.05),IF(RoundingRule="Nearest 0.50",CEILING(AN80,0.5),IF(RoundingRule="Nearest 1",CEILING(AN80,1),IF(RoundingRule="Nearest 5",CEILING(AN80,5),IF(RoundingRule="Up to whole 1",CEILING(AN80,1),IF(RoundingRule="Up to whole 5",CEILING(AN80,5),ROUND(AN80,2))))))))),2)))</f>
        <v>0</v>
      </c>
      <c r="AP80" s="20">
        <f>IF(B80="","",IF(W80&lt;&gt;"",W80,IF(ISNUMBER(AO80),AO80,"")))</f>
        <v>0</v>
      </c>
      <c r="AQ80" s="20">
        <f>IF(B80="","",IF(AP80="","",ROUND(AP80-AJ80-(AP80*AK80+AL80),2)))</f>
        <v>0</v>
      </c>
      <c r="AR80" s="33">
        <f>IF(B80="","",IF(OR(AP80="",AP80=0),"",AQ80/AP80))</f>
        <v>0</v>
      </c>
      <c r="AS80" s="41">
        <f>IF(B80="","",ROUND(AD80/60,3))</f>
        <v>0</v>
      </c>
      <c r="AT80" s="20">
        <f>IF(B80="","",IF(OR(AS80=0,AS80="",AQ80=""),"",ROUND((AQ80+AF80)/AS80,2)))</f>
        <v>0</v>
      </c>
      <c r="AU80" s="43">
        <f>IF(B80="","",IF(AND(A80&lt;&gt;"",ISERROR(MATCH(A80,Products!$A$5:$A$304,0))),"Check - no such product ID",IF(AC80=0,"Add - no material cost yet",IF(AD80=0,"Add - how long does it take?",IF(AND(A80&lt;&gt;"",COUNTIFS('Material Usage'!$A$5:$A$904,A80)&gt;0),"Check - this product also has a bill of materials",IF(AND(A80&lt;&gt;"",COUNTIFS(Labor!$A$5:$A$304,A80)&gt;0),"Check - this product also has labour lines",IF(AT80&lt;MinimumWage,"Below - pays under minimum wage","OK")))))) )</f>
        <v>0</v>
      </c>
    </row>
    <row r="81" spans="25:47">
      <c r="Y81" s="33">
        <f>IF(B81="","",IF(F81="",DefaultWaste,F81))</f>
        <v>0</v>
      </c>
      <c r="Z81" s="36">
        <f>IF(B81="","",ROUND((IF(E81="",0,E81)+IF(H81="",0,H81))*(1+Y81),1))</f>
        <v>0</v>
      </c>
      <c r="AA81" s="20">
        <f>IF(B81="","",ROUND(IF(E81="",0,E81)*(1+Y81)*IFERROR(INDEX(Materials!$V$5:$V$254,MATCH(D81,Materials!$A$5:$A$254,0)),0)+IF(H81="",0,H81)*(1+Y81)*IFERROR(INDEX(Materials!$V$5:$V$254,MATCH(G81,Materials!$A$5:$A$254,0)),0),2))</f>
        <v>0</v>
      </c>
      <c r="AB81" s="20">
        <f>IF(B81="","",ROUND(IF(L81="",0,L81)*IF(M81="",0,M81),2))</f>
        <v>0</v>
      </c>
      <c r="AC81" s="20">
        <f>IF(B81="","",ROUND(AA81+AB81+IF(I81="",0,I81)+IF(J81="",0,J81)+IF(N81="",0,N81),2))</f>
        <v>0</v>
      </c>
      <c r="AD81" s="36">
        <f>IF(B81="","",IF(Q81="",0,Q81)+IF(R81="",0,R81)+IF(S81="",0,S81)+IF(T81="",0,T81))</f>
        <v>0</v>
      </c>
      <c r="AE81" s="20">
        <f>IF(B81="","",IF(V81&lt;&gt;"",V81,LaborCostHour))</f>
        <v>0</v>
      </c>
      <c r="AF81" s="20">
        <f>IF(B81="","",ROUND(AD81/60*AE81,2))</f>
        <v>0</v>
      </c>
      <c r="AG81" s="20">
        <f>IF(B81="","",ROUND(IF(O81="",0,O81)/60*IF(P81="",0,P81),2))</f>
        <v>0</v>
      </c>
      <c r="AH81" s="20">
        <f>IF(B81="","",ROUND(AG81+AD81/60*SuppliesPerHour,2))</f>
        <v>0</v>
      </c>
      <c r="AI81" s="20">
        <f>IF(B81="","",ROUND((IF(E81="",0,E81)*IFERROR(INDEX(Materials!$V$5:$V$254,MATCH(D81,Materials!$A$5:$A$254,0)),0)+IF(H81="",0,H81)*IFERROR(INDEX(Materials!$V$5:$V$254,MATCH(G81,Materials!$A$5:$A$254,0)),0))*Y81,2))</f>
        <v>0</v>
      </c>
      <c r="AJ81" s="20">
        <f>IF(B81="","",ROUND(AC81+AF81+AH81,2))</f>
        <v>0</v>
      </c>
      <c r="AK81" s="33">
        <f>IF(B81="","",IFERROR(INDEX(Channels!$S$5:$S$18,MATCH(DefaultChannel,Channels!$A$5:$A$18,0)),0))</f>
        <v>0</v>
      </c>
      <c r="AL81" s="20">
        <f>IF(B81="","",IFERROR(INDEX(Channels!$T$5:$T$18,MATCH(DefaultChannel,Channels!$A$5:$A$18,0)),0))</f>
        <v>0</v>
      </c>
      <c r="AM81" s="41">
        <f>IF(B81="","",1-TargetRetailMargin-AK81)</f>
        <v>0</v>
      </c>
      <c r="AN81" s="20">
        <f>IF(B81="","",IF(AM81&lt;=0,"",(AJ81+AL81)/AM81))</f>
        <v>0</v>
      </c>
      <c r="AO81" s="20">
        <f>IF(B81="","",IF(AN81="","Check the settings",ROUND(IF(RoundingRule="None",AN81,IF(RoundingRule="Nearest 0.99",MAX(0.99,CEILING(AN81,1)-0.01),IF(RoundingRule="Nearest 0.95",MAX(0.95,CEILING(AN81,1)-0.05),IF(RoundingRule="Nearest 0.50",CEILING(AN81,0.5),IF(RoundingRule="Nearest 1",CEILING(AN81,1),IF(RoundingRule="Nearest 5",CEILING(AN81,5),IF(RoundingRule="Up to whole 1",CEILING(AN81,1),IF(RoundingRule="Up to whole 5",CEILING(AN81,5),ROUND(AN81,2))))))))),2)))</f>
        <v>0</v>
      </c>
      <c r="AP81" s="20">
        <f>IF(B81="","",IF(W81&lt;&gt;"",W81,IF(ISNUMBER(AO81),AO81,"")))</f>
        <v>0</v>
      </c>
      <c r="AQ81" s="20">
        <f>IF(B81="","",IF(AP81="","",ROUND(AP81-AJ81-(AP81*AK81+AL81),2)))</f>
        <v>0</v>
      </c>
      <c r="AR81" s="33">
        <f>IF(B81="","",IF(OR(AP81="",AP81=0),"",AQ81/AP81))</f>
        <v>0</v>
      </c>
      <c r="AS81" s="41">
        <f>IF(B81="","",ROUND(AD81/60,3))</f>
        <v>0</v>
      </c>
      <c r="AT81" s="20">
        <f>IF(B81="","",IF(OR(AS81=0,AS81="",AQ81=""),"",ROUND((AQ81+AF81)/AS81,2)))</f>
        <v>0</v>
      </c>
      <c r="AU81" s="43">
        <f>IF(B81="","",IF(AND(A81&lt;&gt;"",ISERROR(MATCH(A81,Products!$A$5:$A$304,0))),"Check - no such product ID",IF(AC81=0,"Add - no material cost yet",IF(AD81=0,"Add - how long does it take?",IF(AND(A81&lt;&gt;"",COUNTIFS('Material Usage'!$A$5:$A$904,A81)&gt;0),"Check - this product also has a bill of materials",IF(AND(A81&lt;&gt;"",COUNTIFS(Labor!$A$5:$A$304,A81)&gt;0),"Check - this product also has labour lines",IF(AT81&lt;MinimumWage,"Below - pays under minimum wage","OK")))))) )</f>
        <v>0</v>
      </c>
    </row>
    <row r="82" spans="25:47">
      <c r="Y82" s="33">
        <f>IF(B82="","",IF(F82="",DefaultWaste,F82))</f>
        <v>0</v>
      </c>
      <c r="Z82" s="36">
        <f>IF(B82="","",ROUND((IF(E82="",0,E82)+IF(H82="",0,H82))*(1+Y82),1))</f>
        <v>0</v>
      </c>
      <c r="AA82" s="20">
        <f>IF(B82="","",ROUND(IF(E82="",0,E82)*(1+Y82)*IFERROR(INDEX(Materials!$V$5:$V$254,MATCH(D82,Materials!$A$5:$A$254,0)),0)+IF(H82="",0,H82)*(1+Y82)*IFERROR(INDEX(Materials!$V$5:$V$254,MATCH(G82,Materials!$A$5:$A$254,0)),0),2))</f>
        <v>0</v>
      </c>
      <c r="AB82" s="20">
        <f>IF(B82="","",ROUND(IF(L82="",0,L82)*IF(M82="",0,M82),2))</f>
        <v>0</v>
      </c>
      <c r="AC82" s="20">
        <f>IF(B82="","",ROUND(AA82+AB82+IF(I82="",0,I82)+IF(J82="",0,J82)+IF(N82="",0,N82),2))</f>
        <v>0</v>
      </c>
      <c r="AD82" s="36">
        <f>IF(B82="","",IF(Q82="",0,Q82)+IF(R82="",0,R82)+IF(S82="",0,S82)+IF(T82="",0,T82))</f>
        <v>0</v>
      </c>
      <c r="AE82" s="20">
        <f>IF(B82="","",IF(V82&lt;&gt;"",V82,LaborCostHour))</f>
        <v>0</v>
      </c>
      <c r="AF82" s="20">
        <f>IF(B82="","",ROUND(AD82/60*AE82,2))</f>
        <v>0</v>
      </c>
      <c r="AG82" s="20">
        <f>IF(B82="","",ROUND(IF(O82="",0,O82)/60*IF(P82="",0,P82),2))</f>
        <v>0</v>
      </c>
      <c r="AH82" s="20">
        <f>IF(B82="","",ROUND(AG82+AD82/60*SuppliesPerHour,2))</f>
        <v>0</v>
      </c>
      <c r="AI82" s="20">
        <f>IF(B82="","",ROUND((IF(E82="",0,E82)*IFERROR(INDEX(Materials!$V$5:$V$254,MATCH(D82,Materials!$A$5:$A$254,0)),0)+IF(H82="",0,H82)*IFERROR(INDEX(Materials!$V$5:$V$254,MATCH(G82,Materials!$A$5:$A$254,0)),0))*Y82,2))</f>
        <v>0</v>
      </c>
      <c r="AJ82" s="20">
        <f>IF(B82="","",ROUND(AC82+AF82+AH82,2))</f>
        <v>0</v>
      </c>
      <c r="AK82" s="33">
        <f>IF(B82="","",IFERROR(INDEX(Channels!$S$5:$S$18,MATCH(DefaultChannel,Channels!$A$5:$A$18,0)),0))</f>
        <v>0</v>
      </c>
      <c r="AL82" s="20">
        <f>IF(B82="","",IFERROR(INDEX(Channels!$T$5:$T$18,MATCH(DefaultChannel,Channels!$A$5:$A$18,0)),0))</f>
        <v>0</v>
      </c>
      <c r="AM82" s="41">
        <f>IF(B82="","",1-TargetRetailMargin-AK82)</f>
        <v>0</v>
      </c>
      <c r="AN82" s="20">
        <f>IF(B82="","",IF(AM82&lt;=0,"",(AJ82+AL82)/AM82))</f>
        <v>0</v>
      </c>
      <c r="AO82" s="20">
        <f>IF(B82="","",IF(AN82="","Check the settings",ROUND(IF(RoundingRule="None",AN82,IF(RoundingRule="Nearest 0.99",MAX(0.99,CEILING(AN82,1)-0.01),IF(RoundingRule="Nearest 0.95",MAX(0.95,CEILING(AN82,1)-0.05),IF(RoundingRule="Nearest 0.50",CEILING(AN82,0.5),IF(RoundingRule="Nearest 1",CEILING(AN82,1),IF(RoundingRule="Nearest 5",CEILING(AN82,5),IF(RoundingRule="Up to whole 1",CEILING(AN82,1),IF(RoundingRule="Up to whole 5",CEILING(AN82,5),ROUND(AN82,2))))))))),2)))</f>
        <v>0</v>
      </c>
      <c r="AP82" s="20">
        <f>IF(B82="","",IF(W82&lt;&gt;"",W82,IF(ISNUMBER(AO82),AO82,"")))</f>
        <v>0</v>
      </c>
      <c r="AQ82" s="20">
        <f>IF(B82="","",IF(AP82="","",ROUND(AP82-AJ82-(AP82*AK82+AL82),2)))</f>
        <v>0</v>
      </c>
      <c r="AR82" s="33">
        <f>IF(B82="","",IF(OR(AP82="",AP82=0),"",AQ82/AP82))</f>
        <v>0</v>
      </c>
      <c r="AS82" s="41">
        <f>IF(B82="","",ROUND(AD82/60,3))</f>
        <v>0</v>
      </c>
      <c r="AT82" s="20">
        <f>IF(B82="","",IF(OR(AS82=0,AS82="",AQ82=""),"",ROUND((AQ82+AF82)/AS82,2)))</f>
        <v>0</v>
      </c>
      <c r="AU82" s="43">
        <f>IF(B82="","",IF(AND(A82&lt;&gt;"",ISERROR(MATCH(A82,Products!$A$5:$A$304,0))),"Check - no such product ID",IF(AC82=0,"Add - no material cost yet",IF(AD82=0,"Add - how long does it take?",IF(AND(A82&lt;&gt;"",COUNTIFS('Material Usage'!$A$5:$A$904,A82)&gt;0),"Check - this product also has a bill of materials",IF(AND(A82&lt;&gt;"",COUNTIFS(Labor!$A$5:$A$304,A82)&gt;0),"Check - this product also has labour lines",IF(AT82&lt;MinimumWage,"Below - pays under minimum wage","OK")))))) )</f>
        <v>0</v>
      </c>
    </row>
    <row r="83" spans="25:47">
      <c r="Y83" s="33">
        <f>IF(B83="","",IF(F83="",DefaultWaste,F83))</f>
        <v>0</v>
      </c>
      <c r="Z83" s="36">
        <f>IF(B83="","",ROUND((IF(E83="",0,E83)+IF(H83="",0,H83))*(1+Y83),1))</f>
        <v>0</v>
      </c>
      <c r="AA83" s="20">
        <f>IF(B83="","",ROUND(IF(E83="",0,E83)*(1+Y83)*IFERROR(INDEX(Materials!$V$5:$V$254,MATCH(D83,Materials!$A$5:$A$254,0)),0)+IF(H83="",0,H83)*(1+Y83)*IFERROR(INDEX(Materials!$V$5:$V$254,MATCH(G83,Materials!$A$5:$A$254,0)),0),2))</f>
        <v>0</v>
      </c>
      <c r="AB83" s="20">
        <f>IF(B83="","",ROUND(IF(L83="",0,L83)*IF(M83="",0,M83),2))</f>
        <v>0</v>
      </c>
      <c r="AC83" s="20">
        <f>IF(B83="","",ROUND(AA83+AB83+IF(I83="",0,I83)+IF(J83="",0,J83)+IF(N83="",0,N83),2))</f>
        <v>0</v>
      </c>
      <c r="AD83" s="36">
        <f>IF(B83="","",IF(Q83="",0,Q83)+IF(R83="",0,R83)+IF(S83="",0,S83)+IF(T83="",0,T83))</f>
        <v>0</v>
      </c>
      <c r="AE83" s="20">
        <f>IF(B83="","",IF(V83&lt;&gt;"",V83,LaborCostHour))</f>
        <v>0</v>
      </c>
      <c r="AF83" s="20">
        <f>IF(B83="","",ROUND(AD83/60*AE83,2))</f>
        <v>0</v>
      </c>
      <c r="AG83" s="20">
        <f>IF(B83="","",ROUND(IF(O83="",0,O83)/60*IF(P83="",0,P83),2))</f>
        <v>0</v>
      </c>
      <c r="AH83" s="20">
        <f>IF(B83="","",ROUND(AG83+AD83/60*SuppliesPerHour,2))</f>
        <v>0</v>
      </c>
      <c r="AI83" s="20">
        <f>IF(B83="","",ROUND((IF(E83="",0,E83)*IFERROR(INDEX(Materials!$V$5:$V$254,MATCH(D83,Materials!$A$5:$A$254,0)),0)+IF(H83="",0,H83)*IFERROR(INDEX(Materials!$V$5:$V$254,MATCH(G83,Materials!$A$5:$A$254,0)),0))*Y83,2))</f>
        <v>0</v>
      </c>
      <c r="AJ83" s="20">
        <f>IF(B83="","",ROUND(AC83+AF83+AH83,2))</f>
        <v>0</v>
      </c>
      <c r="AK83" s="33">
        <f>IF(B83="","",IFERROR(INDEX(Channels!$S$5:$S$18,MATCH(DefaultChannel,Channels!$A$5:$A$18,0)),0))</f>
        <v>0</v>
      </c>
      <c r="AL83" s="20">
        <f>IF(B83="","",IFERROR(INDEX(Channels!$T$5:$T$18,MATCH(DefaultChannel,Channels!$A$5:$A$18,0)),0))</f>
        <v>0</v>
      </c>
      <c r="AM83" s="41">
        <f>IF(B83="","",1-TargetRetailMargin-AK83)</f>
        <v>0</v>
      </c>
      <c r="AN83" s="20">
        <f>IF(B83="","",IF(AM83&lt;=0,"",(AJ83+AL83)/AM83))</f>
        <v>0</v>
      </c>
      <c r="AO83" s="20">
        <f>IF(B83="","",IF(AN83="","Check the settings",ROUND(IF(RoundingRule="None",AN83,IF(RoundingRule="Nearest 0.99",MAX(0.99,CEILING(AN83,1)-0.01),IF(RoundingRule="Nearest 0.95",MAX(0.95,CEILING(AN83,1)-0.05),IF(RoundingRule="Nearest 0.50",CEILING(AN83,0.5),IF(RoundingRule="Nearest 1",CEILING(AN83,1),IF(RoundingRule="Nearest 5",CEILING(AN83,5),IF(RoundingRule="Up to whole 1",CEILING(AN83,1),IF(RoundingRule="Up to whole 5",CEILING(AN83,5),ROUND(AN83,2))))))))),2)))</f>
        <v>0</v>
      </c>
      <c r="AP83" s="20">
        <f>IF(B83="","",IF(W83&lt;&gt;"",W83,IF(ISNUMBER(AO83),AO83,"")))</f>
        <v>0</v>
      </c>
      <c r="AQ83" s="20">
        <f>IF(B83="","",IF(AP83="","",ROUND(AP83-AJ83-(AP83*AK83+AL83),2)))</f>
        <v>0</v>
      </c>
      <c r="AR83" s="33">
        <f>IF(B83="","",IF(OR(AP83="",AP83=0),"",AQ83/AP83))</f>
        <v>0</v>
      </c>
      <c r="AS83" s="41">
        <f>IF(B83="","",ROUND(AD83/60,3))</f>
        <v>0</v>
      </c>
      <c r="AT83" s="20">
        <f>IF(B83="","",IF(OR(AS83=0,AS83="",AQ83=""),"",ROUND((AQ83+AF83)/AS83,2)))</f>
        <v>0</v>
      </c>
      <c r="AU83" s="43">
        <f>IF(B83="","",IF(AND(A83&lt;&gt;"",ISERROR(MATCH(A83,Products!$A$5:$A$304,0))),"Check - no such product ID",IF(AC83=0,"Add - no material cost yet",IF(AD83=0,"Add - how long does it take?",IF(AND(A83&lt;&gt;"",COUNTIFS('Material Usage'!$A$5:$A$904,A83)&gt;0),"Check - this product also has a bill of materials",IF(AND(A83&lt;&gt;"",COUNTIFS(Labor!$A$5:$A$304,A83)&gt;0),"Check - this product also has labour lines",IF(AT83&lt;MinimumWage,"Below - pays under minimum wage","OK")))))) )</f>
        <v>0</v>
      </c>
    </row>
    <row r="84" spans="25:47">
      <c r="Y84" s="33">
        <f>IF(B84="","",IF(F84="",DefaultWaste,F84))</f>
        <v>0</v>
      </c>
      <c r="Z84" s="36">
        <f>IF(B84="","",ROUND((IF(E84="",0,E84)+IF(H84="",0,H84))*(1+Y84),1))</f>
        <v>0</v>
      </c>
      <c r="AA84" s="20">
        <f>IF(B84="","",ROUND(IF(E84="",0,E84)*(1+Y84)*IFERROR(INDEX(Materials!$V$5:$V$254,MATCH(D84,Materials!$A$5:$A$254,0)),0)+IF(H84="",0,H84)*(1+Y84)*IFERROR(INDEX(Materials!$V$5:$V$254,MATCH(G84,Materials!$A$5:$A$254,0)),0),2))</f>
        <v>0</v>
      </c>
      <c r="AB84" s="20">
        <f>IF(B84="","",ROUND(IF(L84="",0,L84)*IF(M84="",0,M84),2))</f>
        <v>0</v>
      </c>
      <c r="AC84" s="20">
        <f>IF(B84="","",ROUND(AA84+AB84+IF(I84="",0,I84)+IF(J84="",0,J84)+IF(N84="",0,N84),2))</f>
        <v>0</v>
      </c>
      <c r="AD84" s="36">
        <f>IF(B84="","",IF(Q84="",0,Q84)+IF(R84="",0,R84)+IF(S84="",0,S84)+IF(T84="",0,T84))</f>
        <v>0</v>
      </c>
      <c r="AE84" s="20">
        <f>IF(B84="","",IF(V84&lt;&gt;"",V84,LaborCostHour))</f>
        <v>0</v>
      </c>
      <c r="AF84" s="20">
        <f>IF(B84="","",ROUND(AD84/60*AE84,2))</f>
        <v>0</v>
      </c>
      <c r="AG84" s="20">
        <f>IF(B84="","",ROUND(IF(O84="",0,O84)/60*IF(P84="",0,P84),2))</f>
        <v>0</v>
      </c>
      <c r="AH84" s="20">
        <f>IF(B84="","",ROUND(AG84+AD84/60*SuppliesPerHour,2))</f>
        <v>0</v>
      </c>
      <c r="AI84" s="20">
        <f>IF(B84="","",ROUND((IF(E84="",0,E84)*IFERROR(INDEX(Materials!$V$5:$V$254,MATCH(D84,Materials!$A$5:$A$254,0)),0)+IF(H84="",0,H84)*IFERROR(INDEX(Materials!$V$5:$V$254,MATCH(G84,Materials!$A$5:$A$254,0)),0))*Y84,2))</f>
        <v>0</v>
      </c>
      <c r="AJ84" s="20">
        <f>IF(B84="","",ROUND(AC84+AF84+AH84,2))</f>
        <v>0</v>
      </c>
      <c r="AK84" s="33">
        <f>IF(B84="","",IFERROR(INDEX(Channels!$S$5:$S$18,MATCH(DefaultChannel,Channels!$A$5:$A$18,0)),0))</f>
        <v>0</v>
      </c>
      <c r="AL84" s="20">
        <f>IF(B84="","",IFERROR(INDEX(Channels!$T$5:$T$18,MATCH(DefaultChannel,Channels!$A$5:$A$18,0)),0))</f>
        <v>0</v>
      </c>
      <c r="AM84" s="41">
        <f>IF(B84="","",1-TargetRetailMargin-AK84)</f>
        <v>0</v>
      </c>
      <c r="AN84" s="20">
        <f>IF(B84="","",IF(AM84&lt;=0,"",(AJ84+AL84)/AM84))</f>
        <v>0</v>
      </c>
      <c r="AO84" s="20">
        <f>IF(B84="","",IF(AN84="","Check the settings",ROUND(IF(RoundingRule="None",AN84,IF(RoundingRule="Nearest 0.99",MAX(0.99,CEILING(AN84,1)-0.01),IF(RoundingRule="Nearest 0.95",MAX(0.95,CEILING(AN84,1)-0.05),IF(RoundingRule="Nearest 0.50",CEILING(AN84,0.5),IF(RoundingRule="Nearest 1",CEILING(AN84,1),IF(RoundingRule="Nearest 5",CEILING(AN84,5),IF(RoundingRule="Up to whole 1",CEILING(AN84,1),IF(RoundingRule="Up to whole 5",CEILING(AN84,5),ROUND(AN84,2))))))))),2)))</f>
        <v>0</v>
      </c>
      <c r="AP84" s="20">
        <f>IF(B84="","",IF(W84&lt;&gt;"",W84,IF(ISNUMBER(AO84),AO84,"")))</f>
        <v>0</v>
      </c>
      <c r="AQ84" s="20">
        <f>IF(B84="","",IF(AP84="","",ROUND(AP84-AJ84-(AP84*AK84+AL84),2)))</f>
        <v>0</v>
      </c>
      <c r="AR84" s="33">
        <f>IF(B84="","",IF(OR(AP84="",AP84=0),"",AQ84/AP84))</f>
        <v>0</v>
      </c>
      <c r="AS84" s="41">
        <f>IF(B84="","",ROUND(AD84/60,3))</f>
        <v>0</v>
      </c>
      <c r="AT84" s="20">
        <f>IF(B84="","",IF(OR(AS84=0,AS84="",AQ84=""),"",ROUND((AQ84+AF84)/AS84,2)))</f>
        <v>0</v>
      </c>
      <c r="AU84" s="43">
        <f>IF(B84="","",IF(AND(A84&lt;&gt;"",ISERROR(MATCH(A84,Products!$A$5:$A$304,0))),"Check - no such product ID",IF(AC84=0,"Add - no material cost yet",IF(AD84=0,"Add - how long does it take?",IF(AND(A84&lt;&gt;"",COUNTIFS('Material Usage'!$A$5:$A$904,A84)&gt;0),"Check - this product also has a bill of materials",IF(AND(A84&lt;&gt;"",COUNTIFS(Labor!$A$5:$A$304,A84)&gt;0),"Check - this product also has labour lines",IF(AT84&lt;MinimumWage,"Below - pays under minimum wage","OK")))))) )</f>
        <v>0</v>
      </c>
    </row>
  </sheetData>
  <sheetProtection password="EC7C" sheet="1" objects="1" scenarios="1" formatCells="0" formatColumns="0" formatRows="0" insertRows="0" insertHyperlinks="0" deleteRows="0" autoFilter="0"/>
  <autoFilter ref="A4:AU84"/>
  <mergeCells count="13">
    <mergeCell ref="A1:AR1"/>
    <mergeCell ref="AS1:AU1"/>
    <mergeCell ref="A2:AU2"/>
    <mergeCell ref="A3:B3"/>
    <mergeCell ref="C3:D3"/>
    <mergeCell ref="E3:F3"/>
    <mergeCell ref="G3:H3"/>
    <mergeCell ref="I3:J3"/>
    <mergeCell ref="K3:L3"/>
    <mergeCell ref="M3:N3"/>
    <mergeCell ref="O3:P3"/>
    <mergeCell ref="Q3:R3"/>
    <mergeCell ref="S3:AU3"/>
  </mergeCells>
  <conditionalFormatting sqref="AQ5:AQ84">
    <cfRule type="cellIs" dxfId="5" priority="1" operator="lessThan">
      <formula>0</formula>
    </cfRule>
    <cfRule type="cellIs" dxfId="1" priority="2" operator="greaterThan">
      <formula>0</formula>
    </cfRule>
  </conditionalFormatting>
  <conditionalFormatting sqref="AR5:AR8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T5:AT84">
    <cfRule type="cellIs" dxfId="2" priority="6" operator="lessThan">
      <formula>MinimumWage</formula>
    </cfRule>
  </conditionalFormatting>
  <conditionalFormatting sqref="AU5:AU84">
    <cfRule type="beginsWith" dxfId="1" priority="7" operator="beginsWith" text="OK">
      <formula>LEFT(AU5,2)="OK"</formula>
    </cfRule>
    <cfRule type="containsText" dxfId="2" priority="8" operator="containsText" text="Overdue">
      <formula>NOT(ISERROR(SEARCH("Overdue",AU5)))</formula>
    </cfRule>
    <cfRule type="containsText" dxfId="2" priority="9" operator="containsText" text="Late">
      <formula>NOT(ISERROR(SEARCH("Late",AU5)))</formula>
    </cfRule>
    <cfRule type="containsText" dxfId="2" priority="10" operator="containsText" text="Missing">
      <formula>NOT(ISERROR(SEARCH("Missing",AU5)))</formula>
    </cfRule>
    <cfRule type="containsText" dxfId="2" priority="11" operator="containsText" text="Conflict">
      <formula>NOT(ISERROR(SEARCH("Conflict",AU5)))</formula>
    </cfRule>
    <cfRule type="containsText" dxfId="2" priority="12" operator="containsText" text="Clash">
      <formula>NOT(ISERROR(SEARCH("Clash",AU5)))</formula>
    </cfRule>
    <cfRule type="containsText" dxfId="2" priority="13" operator="containsText" text="Expired">
      <formula>NOT(ISERROR(SEARCH("Expired",AU5)))</formula>
    </cfRule>
    <cfRule type="containsText" dxfId="2" priority="14" operator="containsText" text="Duplicate">
      <formula>NOT(ISERROR(SEARCH("Duplicate",AU5)))</formula>
    </cfRule>
    <cfRule type="containsText" dxfId="2" priority="15" operator="containsText" text="Unpaid">
      <formula>NOT(ISERROR(SEARCH("Unpaid",AU5)))</formula>
    </cfRule>
    <cfRule type="containsText" dxfId="2" priority="16" operator="containsText" text="Loss">
      <formula>NOT(ISERROR(SEARCH("Loss",AU5)))</formula>
    </cfRule>
    <cfRule type="containsText" dxfId="2" priority="17" operator="containsText" text="Below">
      <formula>NOT(ISERROR(SEARCH("Below",AU5)))</formula>
    </cfRule>
    <cfRule type="containsText" dxfId="0" priority="18" operator="containsText" text="Action">
      <formula>NOT(ISERROR(SEARCH("Action",AU5)))</formula>
    </cfRule>
    <cfRule type="containsText" dxfId="0" priority="19" operator="containsText" text="Due">
      <formula>NOT(ISERROR(SEARCH("Due",AU5)))</formula>
    </cfRule>
    <cfRule type="containsText" dxfId="0" priority="20" operator="containsText" text="Check">
      <formula>NOT(ISERROR(SEARCH("Check",AU5)))</formula>
    </cfRule>
    <cfRule type="containsText" dxfId="0" priority="21" operator="containsText" text="Chase">
      <formula>NOT(ISERROR(SEARCH("Chase",AU5)))</formula>
    </cfRule>
    <cfRule type="containsText" dxfId="0" priority="22" operator="containsText" text="Assign">
      <formula>NOT(ISERROR(SEARCH("Assign",AU5)))</formula>
    </cfRule>
    <cfRule type="containsText" dxfId="0" priority="23" operator="containsText" text="Confirm">
      <formula>NOT(ISERROR(SEARCH("Confirm",AU5)))</formula>
    </cfRule>
    <cfRule type="containsText" dxfId="0" priority="24" operator="containsText" text="Order">
      <formula>NOT(ISERROR(SEARCH("Order",AU5)))</formula>
    </cfRule>
    <cfRule type="containsText" dxfId="3" priority="25" operator="containsText" text="Today">
      <formula>NOT(ISERROR(SEARCH("Today",AU5)))</formula>
    </cfRule>
    <cfRule type="containsText" dxfId="3" priority="26" operator="containsText" text="Upcoming">
      <formula>NOT(ISERROR(SEARCH("Upcoming",AU5)))</formula>
    </cfRule>
    <cfRule type="containsText" dxfId="3" priority="27" operator="containsText" text="Tomorrow">
      <formula>NOT(ISERROR(SEARCH("Tomorrow",AU5)))</formula>
    </cfRule>
  </conditionalFormatting>
  <dataValidations count="22">
    <dataValidation type="list" allowBlank="1" showInputMessage="1" showErrorMessage="1" sqref="A5:A84">
      <formula1>ProductIDs</formula1>
    </dataValidation>
    <dataValidation type="list" allowBlank="1" showInputMessage="1" showErrorMessage="1" sqref="C5:C84">
      <formula1>WoodList</formula1>
    </dataValidation>
    <dataValidation type="list" allowBlank="1" showInputMessage="1" showErrorMessage="1" sqref="D5:D84">
      <formula1>MaterialIDs</formula1>
    </dataValidation>
    <dataValidation type="decimal" allowBlank="1" showInputMessage="1" showErrorMessage="1" errorTitle="Check the value" error="Enter a number between 0 and 1000000." promptTitle="Timber used (cm)" prompt="Length of board at the width and thickness you buy it in. Measure the cut list, not the finished piece." sqref="E5:E84">
      <formula1>0</formula1>
      <formula2>1000000</formula2>
    </dataValidation>
    <dataValidation type="decimal" allowBlank="1" showInputMessage="1" showErrorMessage="1" errorTitle="Check the value" error="Enter a number between 0 and 1." promptTitle="Offcut waste" prompt="Saw kerf, snipe, the end you cut off because it split. 15-30% is normal on small work." sqref="F5:F84">
      <formula1>0</formula1>
      <formula2>1</formula2>
    </dataValidation>
    <dataValidation type="list" allowBlank="1" showInputMessage="1" showErrorMessage="1" sqref="G5:G84">
      <formula1>MaterialIDs</formula1>
    </dataValidation>
    <dataValidation type="decimal" allowBlank="1" showInputMessage="1" showErrorMessage="1" errorTitle="Check the value" error="Enter a number between 0 and 1000000." sqref="H5:H84">
      <formula1>0</formula1>
      <formula2>1000000</formula2>
    </dataValidation>
    <dataValidation type="decimal" allowBlank="1" showInputMessage="1" showErrorMessage="1" errorTitle="Check the value" error="Enter a number between 0 and 100000." promptTitle="Hardware" prompt="Hinges, screws, feet, magnets, brackets." sqref="I5:I84">
      <formula1>0</formula1>
      <formula2>100000</formula2>
    </dataValidation>
    <dataValidation type="decimal" allowBlank="1" showInputMessage="1" showErrorMessage="1" errorTitle="Check the value" error="Enter a number between 0 and 10000." sqref="J5:J84">
      <formula1>0</formula1>
      <formula2>10000</formula2>
    </dataValidation>
    <dataValidation type="list" allowBlank="1" showInputMessage="1" showErrorMessage="1" sqref="K5:K84">
      <formula1>FinishList</formula1>
    </dataValidation>
    <dataValidation type="decimal" allowBlank="1" showInputMessage="1" showErrorMessage="1" errorTitle="Check the value" error="Enter a number between 0 and 100000." sqref="L5:L84">
      <formula1>0</formula1>
      <formula2>100000</formula2>
    </dataValidation>
    <dataValidation type="decimal" allowBlank="1" showInputMessage="1" showErrorMessage="1" errorTitle="Check the value" error="Enter a number between 0 and 1000." promptTitle="Finish cost a ml" prompt="A 500 ml tin of hard wax oil at $32 is $0.064 a millilitre." sqref="M5:M84">
      <formula1>0</formula1>
      <formula2>1000</formula2>
    </dataValidation>
    <dataValidation type="decimal" allowBlank="1" showInputMessage="1" showErrorMessage="1" errorTitle="Check the value" error="Enter a number between 0 and 10000." promptTitle="Abrasives &amp; blades" prompt="Sanding discs die on hardwood. They are a cost per piece, not an annual surprise." sqref="N5:N84">
      <formula1>0</formula1>
      <formula2>10000</formula2>
    </dataValidation>
    <dataValidation type="whole" allowBlank="1" showInputMessage="1" showErrorMessage="1" errorTitle="Check the value" error="Enter a number between 0 and 10000." promptTitle="Machine minutes" prompt="Time under power: planer, bandsaw, router, sander. Charged at the machine rate as well as your time." sqref="O5:O84">
      <formula1>0</formula1>
      <formula2>10000</formula2>
    </dataValidation>
    <dataValidation type="decimal" allowBlank="1" showInputMessage="1" showErrorMessage="1" errorTitle="Check the value" error="Enter a number between 0 and 1000." promptTitle="Machine rate an hour" prompt="Power, dust extraction, blade and belt wear, tool depreciation. $6-$12 an hour is a sane starting point for a small shop." sqref="P5:P84">
      <formula1>0</formula1>
      <formula2>1000</formula2>
    </dataValidation>
    <dataValidation type="whole" allowBlank="1" showInputMessage="1" showErrorMessage="1" errorTitle="Check the value" error="Enter a number between 0 and 10000." sqref="Q5:Q84">
      <formula1>0</formula1>
      <formula2>10000</formula2>
    </dataValidation>
    <dataValidation type="whole" allowBlank="1" showInputMessage="1" showErrorMessage="1" errorTitle="Check the value" error="Enter a number between 0 and 10000." sqref="R5:R84">
      <formula1>0</formula1>
      <formula2>10000</formula2>
    </dataValidation>
    <dataValidation type="whole" allowBlank="1" showInputMessage="1" showErrorMessage="1" errorTitle="Check the value" error="Enter a number between 0 and 10000." promptTitle="Sanding minutes" prompt="Always longer than anybody admits." sqref="S5:S84">
      <formula1>0</formula1>
      <formula2>10000</formula2>
    </dataValidation>
    <dataValidation type="whole" allowBlank="1" showInputMessage="1" showErrorMessage="1" errorTitle="Check the value" error="Enter a number between 0 and 10000." promptTitle="Finishing minutes" prompt="Coats, waiting, de-nibbing, another coat." sqref="T5:T84">
      <formula1>0</formula1>
      <formula2>10000</formula2>
    </dataValidation>
    <dataValidation type="whole" allowBlank="1" showInputMessage="1" showErrorMessage="1" errorTitle="Check the value" error="Enter a number between 0 and 365." sqref="U5:U84">
      <formula1>0</formula1>
      <formula2>365</formula2>
    </dataValidation>
    <dataValidation type="decimal" allowBlank="1" showInputMessage="1" showErrorMessage="1" errorTitle="Check the value" error="Enter a number between 0 and 1000." sqref="V5:V84">
      <formula1>0</formula1>
      <formula2>1000</formula2>
    </dataValidation>
    <dataValidation type="decimal" allowBlank="1" showInputMessage="1" showErrorMessage="1" errorTitle="Check the value" error="Enter a number between 0 and 100000." sqref="W5:W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&amp;L&amp;"Calibri,Bold"&amp;12&amp;C&amp;"Calibri,Bold"&amp;11Woodworking&amp;R&amp;"Calibri,Italic"&amp;9Handmade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5E7B5A"/>
    <pageSetUpPr fitToPage="1"/>
  </sheetPr>
  <dimension ref="A1:AP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8.7109375" style="15" customWidth="1"/>
    <col min="3" max="3" width="20.7109375" style="15" customWidth="1"/>
    <col min="4" max="4" width="16.7109375" style="15" customWidth="1"/>
    <col min="5" max="5" width="20.7109375" style="15" customWidth="1"/>
    <col min="6" max="6" width="11.7109375" style="52" customWidth="1"/>
    <col min="7" max="7" width="11.7109375" style="52" customWidth="1"/>
    <col min="8" max="8" width="11.7109375" style="52" customWidth="1"/>
    <col min="9" max="9" width="13.7109375" style="52" customWidth="1"/>
    <col min="10" max="10" width="14.7109375" style="18" customWidth="1"/>
    <col min="11" max="11" width="12.7109375" style="18" customWidth="1"/>
    <col min="12" max="12" width="12.7109375" style="16" customWidth="1"/>
    <col min="13" max="13" width="15.7109375" style="21" customWidth="1"/>
    <col min="14" max="14" width="11.7109375" style="52" customWidth="1"/>
    <col min="15" max="15" width="11.7109375" style="16" customWidth="1"/>
    <col min="16" max="16" width="11.7109375" style="22" customWidth="1"/>
    <col min="17" max="17" width="11.7109375" style="18" customWidth="1"/>
    <col min="18" max="18" width="11.7109375" style="18" customWidth="1"/>
    <col min="19" max="19" width="24.7109375" style="40" customWidth="1"/>
    <col min="20" max="20" width="11.7109375" style="20" hidden="1" customWidth="1"/>
    <col min="21" max="21" width="13.7109375" style="41" customWidth="1"/>
    <col min="22" max="22" width="13.7109375" style="20" customWidth="1"/>
    <col min="23" max="23" width="10.7109375" style="32" hidden="1" customWidth="1"/>
    <col min="24" max="24" width="10.7109375" style="20" hidden="1" customWidth="1"/>
    <col min="25" max="25" width="12.7109375" style="36" customWidth="1"/>
    <col min="26" max="26" width="12.7109375" style="20" customWidth="1"/>
    <col min="27" max="27" width="11.7109375" style="20" hidden="1" customWidth="1"/>
    <col min="28" max="28" width="12.7109375" style="20" customWidth="1"/>
    <col min="29" max="29" width="13.7109375" style="33" customWidth="1"/>
    <col min="30" max="30" width="14.7109375" style="32" customWidth="1"/>
    <col min="31" max="31" width="12.7109375" style="20" customWidth="1"/>
    <col min="32" max="32" width="9.7109375" style="33" hidden="1" customWidth="1"/>
    <col min="33" max="33" width="9.7109375" style="20" hidden="1" customWidth="1"/>
    <col min="34" max="34" width="9.7109375" style="41" hidden="1" customWidth="1"/>
    <col min="35" max="35" width="10.7109375" style="20" hidden="1" customWidth="1"/>
    <col min="36" max="36" width="13.7109375" style="20" customWidth="1"/>
    <col min="37" max="37" width="11.7109375" style="20" customWidth="1"/>
    <col min="38" max="38" width="11.7109375" style="20" customWidth="1"/>
    <col min="39" max="39" width="9.7109375" style="33" customWidth="1"/>
    <col min="40" max="40" width="9.7109375" style="41" hidden="1" customWidth="1"/>
    <col min="41" max="41" width="12.7109375" style="20" customWidth="1"/>
    <col min="42" max="42" width="30.7109375" style="43" customWidth="1"/>
  </cols>
  <sheetData>
    <row r="1" spans="1:42" ht="34" customHeight="1">
      <c r="A1" s="2" t="s">
        <v>1422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3" t="s">
        <v>1</v>
      </c>
      <c r="AO1" s="3"/>
      <c r="AP1" s="3"/>
    </row>
    <row r="2" spans="1:42" ht="18" customHeight="1">
      <c r="A2" s="4" t="s">
        <v>1423</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row>
    <row r="3" spans="1:42"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1424</v>
      </c>
      <c r="T3" s="44"/>
      <c r="U3" s="44"/>
      <c r="V3" s="44"/>
      <c r="W3" s="44"/>
      <c r="X3" s="44"/>
      <c r="Y3" s="44"/>
      <c r="Z3" s="44"/>
      <c r="AA3" s="44"/>
      <c r="AB3" s="44"/>
      <c r="AC3" s="44"/>
      <c r="AD3" s="44"/>
      <c r="AE3" s="44"/>
      <c r="AF3" s="44"/>
      <c r="AG3" s="44"/>
      <c r="AH3" s="44"/>
      <c r="AI3" s="44"/>
      <c r="AJ3" s="44"/>
      <c r="AK3" s="44"/>
      <c r="AL3" s="44"/>
      <c r="AM3" s="44"/>
      <c r="AN3" s="44"/>
      <c r="AO3" s="44"/>
      <c r="AP3" s="44"/>
    </row>
    <row r="4" spans="1:42" ht="30" customHeight="1">
      <c r="A4" s="8" t="s">
        <v>1229</v>
      </c>
      <c r="B4" s="8" t="s">
        <v>1425</v>
      </c>
      <c r="C4" s="9" t="s">
        <v>569</v>
      </c>
      <c r="D4" s="9" t="s">
        <v>1426</v>
      </c>
      <c r="E4" s="9" t="s">
        <v>1427</v>
      </c>
      <c r="F4" s="9" t="s">
        <v>1428</v>
      </c>
      <c r="G4" s="9" t="s">
        <v>1429</v>
      </c>
      <c r="H4" s="9" t="s">
        <v>1430</v>
      </c>
      <c r="I4" s="9" t="s">
        <v>1431</v>
      </c>
      <c r="J4" s="9" t="s">
        <v>1432</v>
      </c>
      <c r="K4" s="9" t="s">
        <v>1433</v>
      </c>
      <c r="L4" s="9" t="s">
        <v>1434</v>
      </c>
      <c r="M4" s="9" t="s">
        <v>1435</v>
      </c>
      <c r="N4" s="9" t="s">
        <v>1436</v>
      </c>
      <c r="O4" s="9" t="s">
        <v>1437</v>
      </c>
      <c r="P4" s="9" t="s">
        <v>464</v>
      </c>
      <c r="Q4" s="9" t="s">
        <v>767</v>
      </c>
      <c r="R4" s="9" t="s">
        <v>461</v>
      </c>
      <c r="S4" s="9" t="s">
        <v>466</v>
      </c>
      <c r="T4" s="9" t="s">
        <v>771</v>
      </c>
      <c r="U4" s="9" t="s">
        <v>1438</v>
      </c>
      <c r="V4" s="9" t="s">
        <v>1439</v>
      </c>
      <c r="W4" s="9" t="s">
        <v>1440</v>
      </c>
      <c r="X4" s="9" t="s">
        <v>17</v>
      </c>
      <c r="Y4" s="9" t="s">
        <v>1441</v>
      </c>
      <c r="Z4" s="9" t="s">
        <v>1442</v>
      </c>
      <c r="AA4" s="9" t="s">
        <v>1443</v>
      </c>
      <c r="AB4" s="9" t="s">
        <v>1444</v>
      </c>
      <c r="AC4" s="9" t="s">
        <v>1445</v>
      </c>
      <c r="AD4" s="9" t="s">
        <v>1446</v>
      </c>
      <c r="AE4" s="9" t="s">
        <v>1145</v>
      </c>
      <c r="AF4" s="9" t="s">
        <v>443</v>
      </c>
      <c r="AG4" s="9" t="s">
        <v>481</v>
      </c>
      <c r="AH4" s="9" t="s">
        <v>1055</v>
      </c>
      <c r="AI4" s="9" t="s">
        <v>1255</v>
      </c>
      <c r="AJ4" s="9" t="s">
        <v>487</v>
      </c>
      <c r="AK4" s="9" t="s">
        <v>488</v>
      </c>
      <c r="AL4" s="9" t="s">
        <v>421</v>
      </c>
      <c r="AM4" s="9" t="s">
        <v>42</v>
      </c>
      <c r="AN4" s="9" t="s">
        <v>471</v>
      </c>
      <c r="AO4" s="9" t="s">
        <v>492</v>
      </c>
      <c r="AP4" s="9" t="s">
        <v>729</v>
      </c>
    </row>
    <row r="5" spans="1:42">
      <c r="A5" s="46" t="s">
        <v>1447</v>
      </c>
      <c r="B5" s="15" t="s">
        <v>552</v>
      </c>
      <c r="C5" s="15" t="s">
        <v>1448</v>
      </c>
      <c r="D5" s="15" t="s">
        <v>1449</v>
      </c>
      <c r="E5" s="15" t="s">
        <v>1450</v>
      </c>
      <c r="F5" s="52">
        <v>6</v>
      </c>
      <c r="G5" s="52">
        <v>11</v>
      </c>
      <c r="H5" s="52">
        <v>4</v>
      </c>
      <c r="I5" s="52">
        <v>3</v>
      </c>
      <c r="J5" s="18">
        <v>0</v>
      </c>
      <c r="K5" s="18">
        <v>18</v>
      </c>
      <c r="L5" s="16">
        <v>220</v>
      </c>
      <c r="M5" s="21">
        <v>1.5</v>
      </c>
      <c r="N5" s="52">
        <v>2</v>
      </c>
      <c r="O5" s="16">
        <v>143</v>
      </c>
      <c r="P5" s="22">
        <v>45937</v>
      </c>
      <c r="R5" s="18">
        <v>8.5</v>
      </c>
      <c r="S5" s="40" t="s">
        <v>1451</v>
      </c>
      <c r="T5" s="20">
        <f>IF(B5="","",IF(Q5&lt;&gt;"",Q5,LaborCostHour))</f>
        <v>0</v>
      </c>
      <c r="U5" s="41">
        <f>IF(B5="","",IF(F5="",0,F5)+IF(G5="",0,G5)+IF(H5="",0,H5)+IF(I5="",0,I5)+IF(N5="",0,N5))</f>
        <v>0</v>
      </c>
      <c r="V5" s="20">
        <f>IF(B5="","",ROUND(U5*T5+IF(J5="",0,J5),2))</f>
        <v>0</v>
      </c>
      <c r="W5" s="32">
        <f>IF(B5="","",MAX(1,IF(L5="",1,L5)))</f>
        <v>0</v>
      </c>
      <c r="X5" s="20">
        <f>IF(B5="","",0)</f>
        <v>0</v>
      </c>
      <c r="Y5" s="36">
        <f>IF(B5="","",ROUND(U5*60/W5+IF(M5="",0,M5),1))</f>
        <v>0</v>
      </c>
      <c r="Z5" s="20">
        <f>IF(B5="","",ROUND(V5/W5+IF(M5="",0,M5)/60*T5,2))</f>
        <v>0</v>
      </c>
      <c r="AA5" s="20">
        <f>IF(B5="","",ROUND(IF(K5="",0,K5)/W5,2))</f>
        <v>0</v>
      </c>
      <c r="AB5" s="20">
        <f>IF(B5="","",ROUND(IF(O5="",0,O5)*MAX(0,AL5+Z5-IF(M5="",0,M5)/60*T5),2))</f>
        <v>0</v>
      </c>
      <c r="AC5" s="33">
        <f>IF(B5="","",IF(V5=0,"",AB5/V5))</f>
        <v>0</v>
      </c>
      <c r="AD5" s="32">
        <f>IF(B5="","",IF(OR(AK5="",AK5-AA5-(AK5*AF5+AG5)-IF(M5="",0,M5)/60*T5&lt;=0),"Never at this price",ROUNDUP(V5/(AK5-AA5-(AK5*AF5+AG5)-IF(M5="",0,M5)/60*T5),0)))</f>
        <v>0</v>
      </c>
      <c r="AE5" s="20">
        <f>IF(B5="","",ROUND(X5+Z5+AA5,2))</f>
        <v>0</v>
      </c>
      <c r="AF5" s="33">
        <f>IF(B5="","",IFERROR(INDEX(Channels!$S$5:$S$18,MATCH(DefaultChannel,Channels!$A$5:$A$18,0)),0))</f>
        <v>0</v>
      </c>
      <c r="AG5" s="20">
        <f>IF(B5="","",IFERROR(INDEX(Channels!$T$5:$T$18,MATCH(DefaultChannel,Channels!$A$5:$A$18,0)),0))</f>
        <v>0</v>
      </c>
      <c r="AH5" s="41">
        <f>IF(B5="","",1-TargetRetailMargin-AF5)</f>
        <v>0</v>
      </c>
      <c r="AI5" s="20">
        <f>IF(B5="","",IF(AH5&lt;=0,"",(AE5+AG5)/AH5))</f>
        <v>0</v>
      </c>
      <c r="AJ5" s="20">
        <f>IF(B5="","",IF(AI5="","Check the settings",ROUND(IF(RoundingRule="None",AI5,IF(RoundingRule="Nearest 0.99",MAX(0.99,CEILING(AI5,1)-0.01),IF(RoundingRule="Nearest 0.95",MAX(0.95,CEILING(AI5,1)-0.05),IF(RoundingRule="Nearest 0.50",CEILING(AI5,0.5),IF(RoundingRule="Nearest 1",CEILING(AI5,1),IF(RoundingRule="Nearest 5",CEILING(AI5,5),IF(RoundingRule="Up to whole 1",CEILING(AI5,1),IF(RoundingRule="Up to whole 5",CEILING(AI5,5),ROUND(AI5,2))))))))),2)))</f>
        <v>0</v>
      </c>
      <c r="AK5" s="20">
        <f>IF(B5="","",IF(R5&lt;&gt;"",R5,IF(ISNUMBER(AJ5),AJ5,"")))</f>
        <v>0</v>
      </c>
      <c r="AL5" s="20">
        <f>IF(B5="","",IF(AK5="","",ROUND(AK5-AE5-(AK5*AF5+AG5),2)))</f>
        <v>0</v>
      </c>
      <c r="AM5" s="33">
        <f>IF(B5="","",IF(OR(AK5="",AK5=0),"",AL5/AK5))</f>
        <v>0</v>
      </c>
      <c r="AN5" s="41">
        <f>IF(B5="","",ROUND(Y5/60,3))</f>
        <v>0</v>
      </c>
      <c r="AO5" s="20">
        <f>IF(B5="","",IF(OR(AN5=0,AN5="",AL5=""),"",ROUND((AL5+Z5)/AN5,2)))</f>
        <v>0</v>
      </c>
      <c r="AP5" s="43">
        <f>IF(B5="","",IF(AND(A5&lt;&gt;"",ISERROR(MATCH(A5,Products!$A$5:$A$304,0))),"Check - no such product ID",IF(Z5=0,"Add - no material cost yet",IF(Y5=0,"Add - how long does it take?",IF(AND(A5&lt;&gt;"",COUNTIFS('Material Usage'!$A$5:$A$904,A5)&gt;0),"Check - this product also has a bill of materials",IF(AND(A5&lt;&gt;"",COUNTIFS(Labor!$A$5:$A$304,A5)&gt;0),"Check - this product also has labour lines",IF(AO5&lt;MinimumWage,"Below - pays under minimum wage","OK")))))) )</f>
        <v>0</v>
      </c>
    </row>
    <row r="6" spans="1:42">
      <c r="A6" s="46" t="s">
        <v>1452</v>
      </c>
      <c r="B6" s="15" t="s">
        <v>555</v>
      </c>
      <c r="C6" s="15" t="s">
        <v>1448</v>
      </c>
      <c r="D6" s="15" t="s">
        <v>1453</v>
      </c>
      <c r="E6" s="15" t="s">
        <v>1454</v>
      </c>
      <c r="F6" s="52">
        <v>9</v>
      </c>
      <c r="G6" s="52">
        <v>14</v>
      </c>
      <c r="H6" s="52">
        <v>5</v>
      </c>
      <c r="I6" s="52">
        <v>4</v>
      </c>
      <c r="J6" s="18">
        <v>45</v>
      </c>
      <c r="K6" s="18">
        <v>18</v>
      </c>
      <c r="L6" s="16">
        <v>250</v>
      </c>
      <c r="M6" s="21">
        <v>2.5</v>
      </c>
      <c r="N6" s="52">
        <v>2</v>
      </c>
      <c r="O6" s="16">
        <v>38</v>
      </c>
      <c r="P6" s="22">
        <v>46197</v>
      </c>
      <c r="R6" s="18">
        <v>9.5</v>
      </c>
      <c r="S6" s="40" t="s">
        <v>1455</v>
      </c>
      <c r="T6" s="20">
        <f>IF(B6="","",IF(Q6&lt;&gt;"",Q6,LaborCostHour))</f>
        <v>0</v>
      </c>
      <c r="U6" s="41">
        <f>IF(B6="","",IF(F6="",0,F6)+IF(G6="",0,G6)+IF(H6="",0,H6)+IF(I6="",0,I6)+IF(N6="",0,N6))</f>
        <v>0</v>
      </c>
      <c r="V6" s="20">
        <f>IF(B6="","",ROUND(U6*T6+IF(J6="",0,J6),2))</f>
        <v>0</v>
      </c>
      <c r="W6" s="32">
        <f>IF(B6="","",MAX(1,IF(L6="",1,L6)))</f>
        <v>0</v>
      </c>
      <c r="X6" s="20">
        <f>IF(B6="","",0)</f>
        <v>0</v>
      </c>
      <c r="Y6" s="36">
        <f>IF(B6="","",ROUND(U6*60/W6+IF(M6="",0,M6),1))</f>
        <v>0</v>
      </c>
      <c r="Z6" s="20">
        <f>IF(B6="","",ROUND(V6/W6+IF(M6="",0,M6)/60*T6,2))</f>
        <v>0</v>
      </c>
      <c r="AA6" s="20">
        <f>IF(B6="","",ROUND(IF(K6="",0,K6)/W6,2))</f>
        <v>0</v>
      </c>
      <c r="AB6" s="20">
        <f>IF(B6="","",ROUND(IF(O6="",0,O6)*MAX(0,AL6+Z6-IF(M6="",0,M6)/60*T6),2))</f>
        <v>0</v>
      </c>
      <c r="AC6" s="33">
        <f>IF(B6="","",IF(V6=0,"",AB6/V6))</f>
        <v>0</v>
      </c>
      <c r="AD6" s="32">
        <f>IF(B6="","",IF(OR(AK6="",AK6-AA6-(AK6*AF6+AG6)-IF(M6="",0,M6)/60*T6&lt;=0),"Never at this price",ROUNDUP(V6/(AK6-AA6-(AK6*AF6+AG6)-IF(M6="",0,M6)/60*T6),0)))</f>
        <v>0</v>
      </c>
      <c r="AE6" s="20">
        <f>IF(B6="","",ROUND(X6+Z6+AA6,2))</f>
        <v>0</v>
      </c>
      <c r="AF6" s="33">
        <f>IF(B6="","",IFERROR(INDEX(Channels!$S$5:$S$18,MATCH(DefaultChannel,Channels!$A$5:$A$18,0)),0))</f>
        <v>0</v>
      </c>
      <c r="AG6" s="20">
        <f>IF(B6="","",IFERROR(INDEX(Channels!$T$5:$T$18,MATCH(DefaultChannel,Channels!$A$5:$A$18,0)),0))</f>
        <v>0</v>
      </c>
      <c r="AH6" s="41">
        <f>IF(B6="","",1-TargetRetailMargin-AF6)</f>
        <v>0</v>
      </c>
      <c r="AI6" s="20">
        <f>IF(B6="","",IF(AH6&lt;=0,"",(AE6+AG6)/AH6))</f>
        <v>0</v>
      </c>
      <c r="AJ6" s="20">
        <f>IF(B6="","",IF(AI6="","Check the settings",ROUND(IF(RoundingRule="None",AI6,IF(RoundingRule="Nearest 0.99",MAX(0.99,CEILING(AI6,1)-0.01),IF(RoundingRule="Nearest 0.95",MAX(0.95,CEILING(AI6,1)-0.05),IF(RoundingRule="Nearest 0.50",CEILING(AI6,0.5),IF(RoundingRule="Nearest 1",CEILING(AI6,1),IF(RoundingRule="Nearest 5",CEILING(AI6,5),IF(RoundingRule="Up to whole 1",CEILING(AI6,1),IF(RoundingRule="Up to whole 5",CEILING(AI6,5),ROUND(AI6,2))))))))),2)))</f>
        <v>0</v>
      </c>
      <c r="AK6" s="20">
        <f>IF(B6="","",IF(R6&lt;&gt;"",R6,IF(ISNUMBER(AJ6),AJ6,"")))</f>
        <v>0</v>
      </c>
      <c r="AL6" s="20">
        <f>IF(B6="","",IF(AK6="","",ROUND(AK6-AE6-(AK6*AF6+AG6),2)))</f>
        <v>0</v>
      </c>
      <c r="AM6" s="33">
        <f>IF(B6="","",IF(OR(AK6="",AK6=0),"",AL6/AK6))</f>
        <v>0</v>
      </c>
      <c r="AN6" s="41">
        <f>IF(B6="","",ROUND(Y6/60,3))</f>
        <v>0</v>
      </c>
      <c r="AO6" s="20">
        <f>IF(B6="","",IF(OR(AN6=0,AN6="",AL6=""),"",ROUND((AL6+Z6)/AN6,2)))</f>
        <v>0</v>
      </c>
      <c r="AP6" s="43">
        <f>IF(B6="","",IF(AND(A6&lt;&gt;"",ISERROR(MATCH(A6,Products!$A$5:$A$304,0))),"Check - no such product ID",IF(Z6=0,"Add - no material cost yet",IF(Y6=0,"Add - how long does it take?",IF(AND(A6&lt;&gt;"",COUNTIFS('Material Usage'!$A$5:$A$904,A6)&gt;0),"Check - this product also has a bill of materials",IF(AND(A6&lt;&gt;"",COUNTIFS(Labor!$A$5:$A$304,A6)&gt;0),"Check - this product also has labour lines",IF(AO6&lt;MinimumWage,"Below - pays under minimum wage","OK")))))) )</f>
        <v>0</v>
      </c>
    </row>
    <row r="7" spans="1:42">
      <c r="B7" s="15" t="s">
        <v>1456</v>
      </c>
      <c r="C7" s="15" t="s">
        <v>1457</v>
      </c>
      <c r="D7" s="15" t="s">
        <v>1458</v>
      </c>
      <c r="E7" s="15" t="s">
        <v>1454</v>
      </c>
      <c r="F7" s="52">
        <v>12</v>
      </c>
      <c r="G7" s="52">
        <v>3</v>
      </c>
      <c r="H7" s="52">
        <v>2</v>
      </c>
      <c r="I7" s="52">
        <v>2</v>
      </c>
      <c r="J7" s="18">
        <v>0</v>
      </c>
      <c r="K7" s="18">
        <v>24</v>
      </c>
      <c r="L7" s="16">
        <v>300</v>
      </c>
      <c r="M7" s="21">
        <v>0.5</v>
      </c>
      <c r="N7" s="52">
        <v>1</v>
      </c>
      <c r="O7" s="16">
        <v>0</v>
      </c>
      <c r="R7" s="18">
        <v>12</v>
      </c>
      <c r="S7" s="40" t="s">
        <v>1459</v>
      </c>
      <c r="T7" s="20">
        <f>IF(B7="","",IF(Q7&lt;&gt;"",Q7,LaborCostHour))</f>
        <v>0</v>
      </c>
      <c r="U7" s="41">
        <f>IF(B7="","",IF(F7="",0,F7)+IF(G7="",0,G7)+IF(H7="",0,H7)+IF(I7="",0,I7)+IF(N7="",0,N7))</f>
        <v>0</v>
      </c>
      <c r="V7" s="20">
        <f>IF(B7="","",ROUND(U7*T7+IF(J7="",0,J7),2))</f>
        <v>0</v>
      </c>
      <c r="W7" s="32">
        <f>IF(B7="","",MAX(1,IF(L7="",1,L7)))</f>
        <v>0</v>
      </c>
      <c r="X7" s="20">
        <f>IF(B7="","",0)</f>
        <v>0</v>
      </c>
      <c r="Y7" s="36">
        <f>IF(B7="","",ROUND(U7*60/W7+IF(M7="",0,M7),1))</f>
        <v>0</v>
      </c>
      <c r="Z7" s="20">
        <f>IF(B7="","",ROUND(V7/W7+IF(M7="",0,M7)/60*T7,2))</f>
        <v>0</v>
      </c>
      <c r="AA7" s="20">
        <f>IF(B7="","",ROUND(IF(K7="",0,K7)/W7,2))</f>
        <v>0</v>
      </c>
      <c r="AB7" s="20">
        <f>IF(B7="","",ROUND(IF(O7="",0,O7)*MAX(0,AL7+Z7-IF(M7="",0,M7)/60*T7),2))</f>
        <v>0</v>
      </c>
      <c r="AC7" s="33">
        <f>IF(B7="","",IF(V7=0,"",AB7/V7))</f>
        <v>0</v>
      </c>
      <c r="AD7" s="32">
        <f>IF(B7="","",IF(OR(AK7="",AK7-AA7-(AK7*AF7+AG7)-IF(M7="",0,M7)/60*T7&lt;=0),"Never at this price",ROUNDUP(V7/(AK7-AA7-(AK7*AF7+AG7)-IF(M7="",0,M7)/60*T7),0)))</f>
        <v>0</v>
      </c>
      <c r="AE7" s="20">
        <f>IF(B7="","",ROUND(X7+Z7+AA7,2))</f>
        <v>0</v>
      </c>
      <c r="AF7" s="33">
        <f>IF(B7="","",IFERROR(INDEX(Channels!$S$5:$S$18,MATCH(DefaultChannel,Channels!$A$5:$A$18,0)),0))</f>
        <v>0</v>
      </c>
      <c r="AG7" s="20">
        <f>IF(B7="","",IFERROR(INDEX(Channels!$T$5:$T$18,MATCH(DefaultChannel,Channels!$A$5:$A$18,0)),0))</f>
        <v>0</v>
      </c>
      <c r="AH7" s="41">
        <f>IF(B7="","",1-TargetRetailMargin-AF7)</f>
        <v>0</v>
      </c>
      <c r="AI7" s="20">
        <f>IF(B7="","",IF(AH7&lt;=0,"",(AE7+AG7)/AH7))</f>
        <v>0</v>
      </c>
      <c r="AJ7" s="20">
        <f>IF(B7="","",IF(AI7="","Check the settings",ROUND(IF(RoundingRule="None",AI7,IF(RoundingRule="Nearest 0.99",MAX(0.99,CEILING(AI7,1)-0.01),IF(RoundingRule="Nearest 0.95",MAX(0.95,CEILING(AI7,1)-0.05),IF(RoundingRule="Nearest 0.50",CEILING(AI7,0.5),IF(RoundingRule="Nearest 1",CEILING(AI7,1),IF(RoundingRule="Nearest 5",CEILING(AI7,5),IF(RoundingRule="Up to whole 1",CEILING(AI7,1),IF(RoundingRule="Up to whole 5",CEILING(AI7,5),ROUND(AI7,2))))))))),2)))</f>
        <v>0</v>
      </c>
      <c r="AK7" s="20">
        <f>IF(B7="","",IF(R7&lt;&gt;"",R7,IF(ISNUMBER(AJ7),AJ7,"")))</f>
        <v>0</v>
      </c>
      <c r="AL7" s="20">
        <f>IF(B7="","",IF(AK7="","",ROUND(AK7-AE7-(AK7*AF7+AG7),2)))</f>
        <v>0</v>
      </c>
      <c r="AM7" s="33">
        <f>IF(B7="","",IF(OR(AK7="",AK7=0),"",AL7/AK7))</f>
        <v>0</v>
      </c>
      <c r="AN7" s="41">
        <f>IF(B7="","",ROUND(Y7/60,3))</f>
        <v>0</v>
      </c>
      <c r="AO7" s="20">
        <f>IF(B7="","",IF(OR(AN7=0,AN7="",AL7=""),"",ROUND((AL7+Z7)/AN7,2)))</f>
        <v>0</v>
      </c>
      <c r="AP7" s="43">
        <f>IF(B7="","",IF(AND(A7&lt;&gt;"",ISERROR(MATCH(A7,Products!$A$5:$A$304,0))),"Check - no such product ID",IF(Z7=0,"Add - no material cost yet",IF(Y7=0,"Add - how long does it take?",IF(AND(A7&lt;&gt;"",COUNTIFS('Material Usage'!$A$5:$A$904,A7)&gt;0),"Check - this product also has a bill of materials",IF(AND(A7&lt;&gt;"",COUNTIFS(Labor!$A$5:$A$304,A7)&gt;0),"Check - this product also has labour lines",IF(AO7&lt;MinimumWage,"Below - pays under minimum wage","OK")))))) )</f>
        <v>0</v>
      </c>
    </row>
    <row r="8" spans="1:42">
      <c r="T8" s="20">
        <f>IF(B8="","",IF(Q8&lt;&gt;"",Q8,LaborCostHour))</f>
        <v>0</v>
      </c>
      <c r="U8" s="41">
        <f>IF(B8="","",IF(F8="",0,F8)+IF(G8="",0,G8)+IF(H8="",0,H8)+IF(I8="",0,I8)+IF(N8="",0,N8))</f>
        <v>0</v>
      </c>
      <c r="V8" s="20">
        <f>IF(B8="","",ROUND(U8*T8+IF(J8="",0,J8),2))</f>
        <v>0</v>
      </c>
      <c r="W8" s="32">
        <f>IF(B8="","",MAX(1,IF(L8="",1,L8)))</f>
        <v>0</v>
      </c>
      <c r="X8" s="20">
        <f>IF(B8="","",0)</f>
        <v>0</v>
      </c>
      <c r="Y8" s="36">
        <f>IF(B8="","",ROUND(U8*60/W8+IF(M8="",0,M8),1))</f>
        <v>0</v>
      </c>
      <c r="Z8" s="20">
        <f>IF(B8="","",ROUND(V8/W8+IF(M8="",0,M8)/60*T8,2))</f>
        <v>0</v>
      </c>
      <c r="AA8" s="20">
        <f>IF(B8="","",ROUND(IF(K8="",0,K8)/W8,2))</f>
        <v>0</v>
      </c>
      <c r="AB8" s="20">
        <f>IF(B8="","",ROUND(IF(O8="",0,O8)*MAX(0,AL8+Z8-IF(M8="",0,M8)/60*T8),2))</f>
        <v>0</v>
      </c>
      <c r="AC8" s="33">
        <f>IF(B8="","",IF(V8=0,"",AB8/V8))</f>
        <v>0</v>
      </c>
      <c r="AD8" s="32">
        <f>IF(B8="","",IF(OR(AK8="",AK8-AA8-(AK8*AF8+AG8)-IF(M8="",0,M8)/60*T8&lt;=0),"Never at this price",ROUNDUP(V8/(AK8-AA8-(AK8*AF8+AG8)-IF(M8="",0,M8)/60*T8),0)))</f>
        <v>0</v>
      </c>
      <c r="AE8" s="20">
        <f>IF(B8="","",ROUND(X8+Z8+AA8,2))</f>
        <v>0</v>
      </c>
      <c r="AF8" s="33">
        <f>IF(B8="","",IFERROR(INDEX(Channels!$S$5:$S$18,MATCH(DefaultChannel,Channels!$A$5:$A$18,0)),0))</f>
        <v>0</v>
      </c>
      <c r="AG8" s="20">
        <f>IF(B8="","",IFERROR(INDEX(Channels!$T$5:$T$18,MATCH(DefaultChannel,Channels!$A$5:$A$18,0)),0))</f>
        <v>0</v>
      </c>
      <c r="AH8" s="41">
        <f>IF(B8="","",1-TargetRetailMargin-AF8)</f>
        <v>0</v>
      </c>
      <c r="AI8" s="20">
        <f>IF(B8="","",IF(AH8&lt;=0,"",(AE8+AG8)/AH8))</f>
        <v>0</v>
      </c>
      <c r="AJ8" s="20">
        <f>IF(B8="","",IF(AI8="","Check the settings",ROUND(IF(RoundingRule="None",AI8,IF(RoundingRule="Nearest 0.99",MAX(0.99,CEILING(AI8,1)-0.01),IF(RoundingRule="Nearest 0.95",MAX(0.95,CEILING(AI8,1)-0.05),IF(RoundingRule="Nearest 0.50",CEILING(AI8,0.5),IF(RoundingRule="Nearest 1",CEILING(AI8,1),IF(RoundingRule="Nearest 5",CEILING(AI8,5),IF(RoundingRule="Up to whole 1",CEILING(AI8,1),IF(RoundingRule="Up to whole 5",CEILING(AI8,5),ROUND(AI8,2))))))))),2)))</f>
        <v>0</v>
      </c>
      <c r="AK8" s="20">
        <f>IF(B8="","",IF(R8&lt;&gt;"",R8,IF(ISNUMBER(AJ8),AJ8,"")))</f>
        <v>0</v>
      </c>
      <c r="AL8" s="20">
        <f>IF(B8="","",IF(AK8="","",ROUND(AK8-AE8-(AK8*AF8+AG8),2)))</f>
        <v>0</v>
      </c>
      <c r="AM8" s="33">
        <f>IF(B8="","",IF(OR(AK8="",AK8=0),"",AL8/AK8))</f>
        <v>0</v>
      </c>
      <c r="AN8" s="41">
        <f>IF(B8="","",ROUND(Y8/60,3))</f>
        <v>0</v>
      </c>
      <c r="AO8" s="20">
        <f>IF(B8="","",IF(OR(AN8=0,AN8="",AL8=""),"",ROUND((AL8+Z8)/AN8,2)))</f>
        <v>0</v>
      </c>
      <c r="AP8" s="43">
        <f>IF(B8="","",IF(AND(A8&lt;&gt;"",ISERROR(MATCH(A8,Products!$A$5:$A$304,0))),"Check - no such product ID",IF(Z8=0,"Add - no material cost yet",IF(Y8=0,"Add - how long does it take?",IF(AND(A8&lt;&gt;"",COUNTIFS('Material Usage'!$A$5:$A$904,A8)&gt;0),"Check - this product also has a bill of materials",IF(AND(A8&lt;&gt;"",COUNTIFS(Labor!$A$5:$A$304,A8)&gt;0),"Check - this product also has labour lines",IF(AO8&lt;MinimumWage,"Below - pays under minimum wage","OK")))))) )</f>
        <v>0</v>
      </c>
    </row>
    <row r="9" spans="1:42">
      <c r="T9" s="20">
        <f>IF(B9="","",IF(Q9&lt;&gt;"",Q9,LaborCostHour))</f>
        <v>0</v>
      </c>
      <c r="U9" s="41">
        <f>IF(B9="","",IF(F9="",0,F9)+IF(G9="",0,G9)+IF(H9="",0,H9)+IF(I9="",0,I9)+IF(N9="",0,N9))</f>
        <v>0</v>
      </c>
      <c r="V9" s="20">
        <f>IF(B9="","",ROUND(U9*T9+IF(J9="",0,J9),2))</f>
        <v>0</v>
      </c>
      <c r="W9" s="32">
        <f>IF(B9="","",MAX(1,IF(L9="",1,L9)))</f>
        <v>0</v>
      </c>
      <c r="X9" s="20">
        <f>IF(B9="","",0)</f>
        <v>0</v>
      </c>
      <c r="Y9" s="36">
        <f>IF(B9="","",ROUND(U9*60/W9+IF(M9="",0,M9),1))</f>
        <v>0</v>
      </c>
      <c r="Z9" s="20">
        <f>IF(B9="","",ROUND(V9/W9+IF(M9="",0,M9)/60*T9,2))</f>
        <v>0</v>
      </c>
      <c r="AA9" s="20">
        <f>IF(B9="","",ROUND(IF(K9="",0,K9)/W9,2))</f>
        <v>0</v>
      </c>
      <c r="AB9" s="20">
        <f>IF(B9="","",ROUND(IF(O9="",0,O9)*MAX(0,AL9+Z9-IF(M9="",0,M9)/60*T9),2))</f>
        <v>0</v>
      </c>
      <c r="AC9" s="33">
        <f>IF(B9="","",IF(V9=0,"",AB9/V9))</f>
        <v>0</v>
      </c>
      <c r="AD9" s="32">
        <f>IF(B9="","",IF(OR(AK9="",AK9-AA9-(AK9*AF9+AG9)-IF(M9="",0,M9)/60*T9&lt;=0),"Never at this price",ROUNDUP(V9/(AK9-AA9-(AK9*AF9+AG9)-IF(M9="",0,M9)/60*T9),0)))</f>
        <v>0</v>
      </c>
      <c r="AE9" s="20">
        <f>IF(B9="","",ROUND(X9+Z9+AA9,2))</f>
        <v>0</v>
      </c>
      <c r="AF9" s="33">
        <f>IF(B9="","",IFERROR(INDEX(Channels!$S$5:$S$18,MATCH(DefaultChannel,Channels!$A$5:$A$18,0)),0))</f>
        <v>0</v>
      </c>
      <c r="AG9" s="20">
        <f>IF(B9="","",IFERROR(INDEX(Channels!$T$5:$T$18,MATCH(DefaultChannel,Channels!$A$5:$A$18,0)),0))</f>
        <v>0</v>
      </c>
      <c r="AH9" s="41">
        <f>IF(B9="","",1-TargetRetailMargin-AF9)</f>
        <v>0</v>
      </c>
      <c r="AI9" s="20">
        <f>IF(B9="","",IF(AH9&lt;=0,"",(AE9+AG9)/AH9))</f>
        <v>0</v>
      </c>
      <c r="AJ9" s="20">
        <f>IF(B9="","",IF(AI9="","Check the settings",ROUND(IF(RoundingRule="None",AI9,IF(RoundingRule="Nearest 0.99",MAX(0.99,CEILING(AI9,1)-0.01),IF(RoundingRule="Nearest 0.95",MAX(0.95,CEILING(AI9,1)-0.05),IF(RoundingRule="Nearest 0.50",CEILING(AI9,0.5),IF(RoundingRule="Nearest 1",CEILING(AI9,1),IF(RoundingRule="Nearest 5",CEILING(AI9,5),IF(RoundingRule="Up to whole 1",CEILING(AI9,1),IF(RoundingRule="Up to whole 5",CEILING(AI9,5),ROUND(AI9,2))))))))),2)))</f>
        <v>0</v>
      </c>
      <c r="AK9" s="20">
        <f>IF(B9="","",IF(R9&lt;&gt;"",R9,IF(ISNUMBER(AJ9),AJ9,"")))</f>
        <v>0</v>
      </c>
      <c r="AL9" s="20">
        <f>IF(B9="","",IF(AK9="","",ROUND(AK9-AE9-(AK9*AF9+AG9),2)))</f>
        <v>0</v>
      </c>
      <c r="AM9" s="33">
        <f>IF(B9="","",IF(OR(AK9="",AK9=0),"",AL9/AK9))</f>
        <v>0</v>
      </c>
      <c r="AN9" s="41">
        <f>IF(B9="","",ROUND(Y9/60,3))</f>
        <v>0</v>
      </c>
      <c r="AO9" s="20">
        <f>IF(B9="","",IF(OR(AN9=0,AN9="",AL9=""),"",ROUND((AL9+Z9)/AN9,2)))</f>
        <v>0</v>
      </c>
      <c r="AP9" s="43">
        <f>IF(B9="","",IF(AND(A9&lt;&gt;"",ISERROR(MATCH(A9,Products!$A$5:$A$304,0))),"Check - no such product ID",IF(Z9=0,"Add - no material cost yet",IF(Y9=0,"Add - how long does it take?",IF(AND(A9&lt;&gt;"",COUNTIFS('Material Usage'!$A$5:$A$904,A9)&gt;0),"Check - this product also has a bill of materials",IF(AND(A9&lt;&gt;"",COUNTIFS(Labor!$A$5:$A$304,A9)&gt;0),"Check - this product also has labour lines",IF(AO9&lt;MinimumWage,"Below - pays under minimum wage","OK")))))) )</f>
        <v>0</v>
      </c>
    </row>
    <row r="10" spans="1:42">
      <c r="T10" s="20">
        <f>IF(B10="","",IF(Q10&lt;&gt;"",Q10,LaborCostHour))</f>
        <v>0</v>
      </c>
      <c r="U10" s="41">
        <f>IF(B10="","",IF(F10="",0,F10)+IF(G10="",0,G10)+IF(H10="",0,H10)+IF(I10="",0,I10)+IF(N10="",0,N10))</f>
        <v>0</v>
      </c>
      <c r="V10" s="20">
        <f>IF(B10="","",ROUND(U10*T10+IF(J10="",0,J10),2))</f>
        <v>0</v>
      </c>
      <c r="W10" s="32">
        <f>IF(B10="","",MAX(1,IF(L10="",1,L10)))</f>
        <v>0</v>
      </c>
      <c r="X10" s="20">
        <f>IF(B10="","",0)</f>
        <v>0</v>
      </c>
      <c r="Y10" s="36">
        <f>IF(B10="","",ROUND(U10*60/W10+IF(M10="",0,M10),1))</f>
        <v>0</v>
      </c>
      <c r="Z10" s="20">
        <f>IF(B10="","",ROUND(V10/W10+IF(M10="",0,M10)/60*T10,2))</f>
        <v>0</v>
      </c>
      <c r="AA10" s="20">
        <f>IF(B10="","",ROUND(IF(K10="",0,K10)/W10,2))</f>
        <v>0</v>
      </c>
      <c r="AB10" s="20">
        <f>IF(B10="","",ROUND(IF(O10="",0,O10)*MAX(0,AL10+Z10-IF(M10="",0,M10)/60*T10),2))</f>
        <v>0</v>
      </c>
      <c r="AC10" s="33">
        <f>IF(B10="","",IF(V10=0,"",AB10/V10))</f>
        <v>0</v>
      </c>
      <c r="AD10" s="32">
        <f>IF(B10="","",IF(OR(AK10="",AK10-AA10-(AK10*AF10+AG10)-IF(M10="",0,M10)/60*T10&lt;=0),"Never at this price",ROUNDUP(V10/(AK10-AA10-(AK10*AF10+AG10)-IF(M10="",0,M10)/60*T10),0)))</f>
        <v>0</v>
      </c>
      <c r="AE10" s="20">
        <f>IF(B10="","",ROUND(X10+Z10+AA10,2))</f>
        <v>0</v>
      </c>
      <c r="AF10" s="33">
        <f>IF(B10="","",IFERROR(INDEX(Channels!$S$5:$S$18,MATCH(DefaultChannel,Channels!$A$5:$A$18,0)),0))</f>
        <v>0</v>
      </c>
      <c r="AG10" s="20">
        <f>IF(B10="","",IFERROR(INDEX(Channels!$T$5:$T$18,MATCH(DefaultChannel,Channels!$A$5:$A$18,0)),0))</f>
        <v>0</v>
      </c>
      <c r="AH10" s="41">
        <f>IF(B10="","",1-TargetRetailMargin-AF10)</f>
        <v>0</v>
      </c>
      <c r="AI10" s="20">
        <f>IF(B10="","",IF(AH10&lt;=0,"",(AE10+AG10)/AH10))</f>
        <v>0</v>
      </c>
      <c r="AJ10" s="20">
        <f>IF(B10="","",IF(AI10="","Check the settings",ROUND(IF(RoundingRule="None",AI10,IF(RoundingRule="Nearest 0.99",MAX(0.99,CEILING(AI10,1)-0.01),IF(RoundingRule="Nearest 0.95",MAX(0.95,CEILING(AI10,1)-0.05),IF(RoundingRule="Nearest 0.50",CEILING(AI10,0.5),IF(RoundingRule="Nearest 1",CEILING(AI10,1),IF(RoundingRule="Nearest 5",CEILING(AI10,5),IF(RoundingRule="Up to whole 1",CEILING(AI10,1),IF(RoundingRule="Up to whole 5",CEILING(AI10,5),ROUND(AI10,2))))))))),2)))</f>
        <v>0</v>
      </c>
      <c r="AK10" s="20">
        <f>IF(B10="","",IF(R10&lt;&gt;"",R10,IF(ISNUMBER(AJ10),AJ10,"")))</f>
        <v>0</v>
      </c>
      <c r="AL10" s="20">
        <f>IF(B10="","",IF(AK10="","",ROUND(AK10-AE10-(AK10*AF10+AG10),2)))</f>
        <v>0</v>
      </c>
      <c r="AM10" s="33">
        <f>IF(B10="","",IF(OR(AK10="",AK10=0),"",AL10/AK10))</f>
        <v>0</v>
      </c>
      <c r="AN10" s="41">
        <f>IF(B10="","",ROUND(Y10/60,3))</f>
        <v>0</v>
      </c>
      <c r="AO10" s="20">
        <f>IF(B10="","",IF(OR(AN10=0,AN10="",AL10=""),"",ROUND((AL10+Z10)/AN10,2)))</f>
        <v>0</v>
      </c>
      <c r="AP10" s="43">
        <f>IF(B10="","",IF(AND(A10&lt;&gt;"",ISERROR(MATCH(A10,Products!$A$5:$A$304,0))),"Check - no such product ID",IF(Z10=0,"Add - no material cost yet",IF(Y10=0,"Add - how long does it take?",IF(AND(A10&lt;&gt;"",COUNTIFS('Material Usage'!$A$5:$A$904,A10)&gt;0),"Check - this product also has a bill of materials",IF(AND(A10&lt;&gt;"",COUNTIFS(Labor!$A$5:$A$304,A10)&gt;0),"Check - this product also has labour lines",IF(AO10&lt;MinimumWage,"Below - pays under minimum wage","OK")))))) )</f>
        <v>0</v>
      </c>
    </row>
    <row r="11" spans="1:42">
      <c r="T11" s="20">
        <f>IF(B11="","",IF(Q11&lt;&gt;"",Q11,LaborCostHour))</f>
        <v>0</v>
      </c>
      <c r="U11" s="41">
        <f>IF(B11="","",IF(F11="",0,F11)+IF(G11="",0,G11)+IF(H11="",0,H11)+IF(I11="",0,I11)+IF(N11="",0,N11))</f>
        <v>0</v>
      </c>
      <c r="V11" s="20">
        <f>IF(B11="","",ROUND(U11*T11+IF(J11="",0,J11),2))</f>
        <v>0</v>
      </c>
      <c r="W11" s="32">
        <f>IF(B11="","",MAX(1,IF(L11="",1,L11)))</f>
        <v>0</v>
      </c>
      <c r="X11" s="20">
        <f>IF(B11="","",0)</f>
        <v>0</v>
      </c>
      <c r="Y11" s="36">
        <f>IF(B11="","",ROUND(U11*60/W11+IF(M11="",0,M11),1))</f>
        <v>0</v>
      </c>
      <c r="Z11" s="20">
        <f>IF(B11="","",ROUND(V11/W11+IF(M11="",0,M11)/60*T11,2))</f>
        <v>0</v>
      </c>
      <c r="AA11" s="20">
        <f>IF(B11="","",ROUND(IF(K11="",0,K11)/W11,2))</f>
        <v>0</v>
      </c>
      <c r="AB11" s="20">
        <f>IF(B11="","",ROUND(IF(O11="",0,O11)*MAX(0,AL11+Z11-IF(M11="",0,M11)/60*T11),2))</f>
        <v>0</v>
      </c>
      <c r="AC11" s="33">
        <f>IF(B11="","",IF(V11=0,"",AB11/V11))</f>
        <v>0</v>
      </c>
      <c r="AD11" s="32">
        <f>IF(B11="","",IF(OR(AK11="",AK11-AA11-(AK11*AF11+AG11)-IF(M11="",0,M11)/60*T11&lt;=0),"Never at this price",ROUNDUP(V11/(AK11-AA11-(AK11*AF11+AG11)-IF(M11="",0,M11)/60*T11),0)))</f>
        <v>0</v>
      </c>
      <c r="AE11" s="20">
        <f>IF(B11="","",ROUND(X11+Z11+AA11,2))</f>
        <v>0</v>
      </c>
      <c r="AF11" s="33">
        <f>IF(B11="","",IFERROR(INDEX(Channels!$S$5:$S$18,MATCH(DefaultChannel,Channels!$A$5:$A$18,0)),0))</f>
        <v>0</v>
      </c>
      <c r="AG11" s="20">
        <f>IF(B11="","",IFERROR(INDEX(Channels!$T$5:$T$18,MATCH(DefaultChannel,Channels!$A$5:$A$18,0)),0))</f>
        <v>0</v>
      </c>
      <c r="AH11" s="41">
        <f>IF(B11="","",1-TargetRetailMargin-AF11)</f>
        <v>0</v>
      </c>
      <c r="AI11" s="20">
        <f>IF(B11="","",IF(AH11&lt;=0,"",(AE11+AG11)/AH11))</f>
        <v>0</v>
      </c>
      <c r="AJ11" s="20">
        <f>IF(B11="","",IF(AI11="","Check the settings",ROUND(IF(RoundingRule="None",AI11,IF(RoundingRule="Nearest 0.99",MAX(0.99,CEILING(AI11,1)-0.01),IF(RoundingRule="Nearest 0.95",MAX(0.95,CEILING(AI11,1)-0.05),IF(RoundingRule="Nearest 0.50",CEILING(AI11,0.5),IF(RoundingRule="Nearest 1",CEILING(AI11,1),IF(RoundingRule="Nearest 5",CEILING(AI11,5),IF(RoundingRule="Up to whole 1",CEILING(AI11,1),IF(RoundingRule="Up to whole 5",CEILING(AI11,5),ROUND(AI11,2))))))))),2)))</f>
        <v>0</v>
      </c>
      <c r="AK11" s="20">
        <f>IF(B11="","",IF(R11&lt;&gt;"",R11,IF(ISNUMBER(AJ11),AJ11,"")))</f>
        <v>0</v>
      </c>
      <c r="AL11" s="20">
        <f>IF(B11="","",IF(AK11="","",ROUND(AK11-AE11-(AK11*AF11+AG11),2)))</f>
        <v>0</v>
      </c>
      <c r="AM11" s="33">
        <f>IF(B11="","",IF(OR(AK11="",AK11=0),"",AL11/AK11))</f>
        <v>0</v>
      </c>
      <c r="AN11" s="41">
        <f>IF(B11="","",ROUND(Y11/60,3))</f>
        <v>0</v>
      </c>
      <c r="AO11" s="20">
        <f>IF(B11="","",IF(OR(AN11=0,AN11="",AL11=""),"",ROUND((AL11+Z11)/AN11,2)))</f>
        <v>0</v>
      </c>
      <c r="AP11" s="43">
        <f>IF(B11="","",IF(AND(A11&lt;&gt;"",ISERROR(MATCH(A11,Products!$A$5:$A$304,0))),"Check - no such product ID",IF(Z11=0,"Add - no material cost yet",IF(Y11=0,"Add - how long does it take?",IF(AND(A11&lt;&gt;"",COUNTIFS('Material Usage'!$A$5:$A$904,A11)&gt;0),"Check - this product also has a bill of materials",IF(AND(A11&lt;&gt;"",COUNTIFS(Labor!$A$5:$A$304,A11)&gt;0),"Check - this product also has labour lines",IF(AO11&lt;MinimumWage,"Below - pays under minimum wage","OK")))))) )</f>
        <v>0</v>
      </c>
    </row>
    <row r="12" spans="1:42">
      <c r="T12" s="20">
        <f>IF(B12="","",IF(Q12&lt;&gt;"",Q12,LaborCostHour))</f>
        <v>0</v>
      </c>
      <c r="U12" s="41">
        <f>IF(B12="","",IF(F12="",0,F12)+IF(G12="",0,G12)+IF(H12="",0,H12)+IF(I12="",0,I12)+IF(N12="",0,N12))</f>
        <v>0</v>
      </c>
      <c r="V12" s="20">
        <f>IF(B12="","",ROUND(U12*T12+IF(J12="",0,J12),2))</f>
        <v>0</v>
      </c>
      <c r="W12" s="32">
        <f>IF(B12="","",MAX(1,IF(L12="",1,L12)))</f>
        <v>0</v>
      </c>
      <c r="X12" s="20">
        <f>IF(B12="","",0)</f>
        <v>0</v>
      </c>
      <c r="Y12" s="36">
        <f>IF(B12="","",ROUND(U12*60/W12+IF(M12="",0,M12),1))</f>
        <v>0</v>
      </c>
      <c r="Z12" s="20">
        <f>IF(B12="","",ROUND(V12/W12+IF(M12="",0,M12)/60*T12,2))</f>
        <v>0</v>
      </c>
      <c r="AA12" s="20">
        <f>IF(B12="","",ROUND(IF(K12="",0,K12)/W12,2))</f>
        <v>0</v>
      </c>
      <c r="AB12" s="20">
        <f>IF(B12="","",ROUND(IF(O12="",0,O12)*MAX(0,AL12+Z12-IF(M12="",0,M12)/60*T12),2))</f>
        <v>0</v>
      </c>
      <c r="AC12" s="33">
        <f>IF(B12="","",IF(V12=0,"",AB12/V12))</f>
        <v>0</v>
      </c>
      <c r="AD12" s="32">
        <f>IF(B12="","",IF(OR(AK12="",AK12-AA12-(AK12*AF12+AG12)-IF(M12="",0,M12)/60*T12&lt;=0),"Never at this price",ROUNDUP(V12/(AK12-AA12-(AK12*AF12+AG12)-IF(M12="",0,M12)/60*T12),0)))</f>
        <v>0</v>
      </c>
      <c r="AE12" s="20">
        <f>IF(B12="","",ROUND(X12+Z12+AA12,2))</f>
        <v>0</v>
      </c>
      <c r="AF12" s="33">
        <f>IF(B12="","",IFERROR(INDEX(Channels!$S$5:$S$18,MATCH(DefaultChannel,Channels!$A$5:$A$18,0)),0))</f>
        <v>0</v>
      </c>
      <c r="AG12" s="20">
        <f>IF(B12="","",IFERROR(INDEX(Channels!$T$5:$T$18,MATCH(DefaultChannel,Channels!$A$5:$A$18,0)),0))</f>
        <v>0</v>
      </c>
      <c r="AH12" s="41">
        <f>IF(B12="","",1-TargetRetailMargin-AF12)</f>
        <v>0</v>
      </c>
      <c r="AI12" s="20">
        <f>IF(B12="","",IF(AH12&lt;=0,"",(AE12+AG12)/AH12))</f>
        <v>0</v>
      </c>
      <c r="AJ12" s="20">
        <f>IF(B12="","",IF(AI12="","Check the settings",ROUND(IF(RoundingRule="None",AI12,IF(RoundingRule="Nearest 0.99",MAX(0.99,CEILING(AI12,1)-0.01),IF(RoundingRule="Nearest 0.95",MAX(0.95,CEILING(AI12,1)-0.05),IF(RoundingRule="Nearest 0.50",CEILING(AI12,0.5),IF(RoundingRule="Nearest 1",CEILING(AI12,1),IF(RoundingRule="Nearest 5",CEILING(AI12,5),IF(RoundingRule="Up to whole 1",CEILING(AI12,1),IF(RoundingRule="Up to whole 5",CEILING(AI12,5),ROUND(AI12,2))))))))),2)))</f>
        <v>0</v>
      </c>
      <c r="AK12" s="20">
        <f>IF(B12="","",IF(R12&lt;&gt;"",R12,IF(ISNUMBER(AJ12),AJ12,"")))</f>
        <v>0</v>
      </c>
      <c r="AL12" s="20">
        <f>IF(B12="","",IF(AK12="","",ROUND(AK12-AE12-(AK12*AF12+AG12),2)))</f>
        <v>0</v>
      </c>
      <c r="AM12" s="33">
        <f>IF(B12="","",IF(OR(AK12="",AK12=0),"",AL12/AK12))</f>
        <v>0</v>
      </c>
      <c r="AN12" s="41">
        <f>IF(B12="","",ROUND(Y12/60,3))</f>
        <v>0</v>
      </c>
      <c r="AO12" s="20">
        <f>IF(B12="","",IF(OR(AN12=0,AN12="",AL12=""),"",ROUND((AL12+Z12)/AN12,2)))</f>
        <v>0</v>
      </c>
      <c r="AP12" s="43">
        <f>IF(B12="","",IF(AND(A12&lt;&gt;"",ISERROR(MATCH(A12,Products!$A$5:$A$304,0))),"Check - no such product ID",IF(Z12=0,"Add - no material cost yet",IF(Y12=0,"Add - how long does it take?",IF(AND(A12&lt;&gt;"",COUNTIFS('Material Usage'!$A$5:$A$904,A12)&gt;0),"Check - this product also has a bill of materials",IF(AND(A12&lt;&gt;"",COUNTIFS(Labor!$A$5:$A$304,A12)&gt;0),"Check - this product also has labour lines",IF(AO12&lt;MinimumWage,"Below - pays under minimum wage","OK")))))) )</f>
        <v>0</v>
      </c>
    </row>
    <row r="13" spans="1:42">
      <c r="T13" s="20">
        <f>IF(B13="","",IF(Q13&lt;&gt;"",Q13,LaborCostHour))</f>
        <v>0</v>
      </c>
      <c r="U13" s="41">
        <f>IF(B13="","",IF(F13="",0,F13)+IF(G13="",0,G13)+IF(H13="",0,H13)+IF(I13="",0,I13)+IF(N13="",0,N13))</f>
        <v>0</v>
      </c>
      <c r="V13" s="20">
        <f>IF(B13="","",ROUND(U13*T13+IF(J13="",0,J13),2))</f>
        <v>0</v>
      </c>
      <c r="W13" s="32">
        <f>IF(B13="","",MAX(1,IF(L13="",1,L13)))</f>
        <v>0</v>
      </c>
      <c r="X13" s="20">
        <f>IF(B13="","",0)</f>
        <v>0</v>
      </c>
      <c r="Y13" s="36">
        <f>IF(B13="","",ROUND(U13*60/W13+IF(M13="",0,M13),1))</f>
        <v>0</v>
      </c>
      <c r="Z13" s="20">
        <f>IF(B13="","",ROUND(V13/W13+IF(M13="",0,M13)/60*T13,2))</f>
        <v>0</v>
      </c>
      <c r="AA13" s="20">
        <f>IF(B13="","",ROUND(IF(K13="",0,K13)/W13,2))</f>
        <v>0</v>
      </c>
      <c r="AB13" s="20">
        <f>IF(B13="","",ROUND(IF(O13="",0,O13)*MAX(0,AL13+Z13-IF(M13="",0,M13)/60*T13),2))</f>
        <v>0</v>
      </c>
      <c r="AC13" s="33">
        <f>IF(B13="","",IF(V13=0,"",AB13/V13))</f>
        <v>0</v>
      </c>
      <c r="AD13" s="32">
        <f>IF(B13="","",IF(OR(AK13="",AK13-AA13-(AK13*AF13+AG13)-IF(M13="",0,M13)/60*T13&lt;=0),"Never at this price",ROUNDUP(V13/(AK13-AA13-(AK13*AF13+AG13)-IF(M13="",0,M13)/60*T13),0)))</f>
        <v>0</v>
      </c>
      <c r="AE13" s="20">
        <f>IF(B13="","",ROUND(X13+Z13+AA13,2))</f>
        <v>0</v>
      </c>
      <c r="AF13" s="33">
        <f>IF(B13="","",IFERROR(INDEX(Channels!$S$5:$S$18,MATCH(DefaultChannel,Channels!$A$5:$A$18,0)),0))</f>
        <v>0</v>
      </c>
      <c r="AG13" s="20">
        <f>IF(B13="","",IFERROR(INDEX(Channels!$T$5:$T$18,MATCH(DefaultChannel,Channels!$A$5:$A$18,0)),0))</f>
        <v>0</v>
      </c>
      <c r="AH13" s="41">
        <f>IF(B13="","",1-TargetRetailMargin-AF13)</f>
        <v>0</v>
      </c>
      <c r="AI13" s="20">
        <f>IF(B13="","",IF(AH13&lt;=0,"",(AE13+AG13)/AH13))</f>
        <v>0</v>
      </c>
      <c r="AJ13" s="20">
        <f>IF(B13="","",IF(AI13="","Check the settings",ROUND(IF(RoundingRule="None",AI13,IF(RoundingRule="Nearest 0.99",MAX(0.99,CEILING(AI13,1)-0.01),IF(RoundingRule="Nearest 0.95",MAX(0.95,CEILING(AI13,1)-0.05),IF(RoundingRule="Nearest 0.50",CEILING(AI13,0.5),IF(RoundingRule="Nearest 1",CEILING(AI13,1),IF(RoundingRule="Nearest 5",CEILING(AI13,5),IF(RoundingRule="Up to whole 1",CEILING(AI13,1),IF(RoundingRule="Up to whole 5",CEILING(AI13,5),ROUND(AI13,2))))))))),2)))</f>
        <v>0</v>
      </c>
      <c r="AK13" s="20">
        <f>IF(B13="","",IF(R13&lt;&gt;"",R13,IF(ISNUMBER(AJ13),AJ13,"")))</f>
        <v>0</v>
      </c>
      <c r="AL13" s="20">
        <f>IF(B13="","",IF(AK13="","",ROUND(AK13-AE13-(AK13*AF13+AG13),2)))</f>
        <v>0</v>
      </c>
      <c r="AM13" s="33">
        <f>IF(B13="","",IF(OR(AK13="",AK13=0),"",AL13/AK13))</f>
        <v>0</v>
      </c>
      <c r="AN13" s="41">
        <f>IF(B13="","",ROUND(Y13/60,3))</f>
        <v>0</v>
      </c>
      <c r="AO13" s="20">
        <f>IF(B13="","",IF(OR(AN13=0,AN13="",AL13=""),"",ROUND((AL13+Z13)/AN13,2)))</f>
        <v>0</v>
      </c>
      <c r="AP13" s="43">
        <f>IF(B13="","",IF(AND(A13&lt;&gt;"",ISERROR(MATCH(A13,Products!$A$5:$A$304,0))),"Check - no such product ID",IF(Z13=0,"Add - no material cost yet",IF(Y13=0,"Add - how long does it take?",IF(AND(A13&lt;&gt;"",COUNTIFS('Material Usage'!$A$5:$A$904,A13)&gt;0),"Check - this product also has a bill of materials",IF(AND(A13&lt;&gt;"",COUNTIFS(Labor!$A$5:$A$304,A13)&gt;0),"Check - this product also has labour lines",IF(AO13&lt;MinimumWage,"Below - pays under minimum wage","OK")))))) )</f>
        <v>0</v>
      </c>
    </row>
    <row r="14" spans="1:42">
      <c r="T14" s="20">
        <f>IF(B14="","",IF(Q14&lt;&gt;"",Q14,LaborCostHour))</f>
        <v>0</v>
      </c>
      <c r="U14" s="41">
        <f>IF(B14="","",IF(F14="",0,F14)+IF(G14="",0,G14)+IF(H14="",0,H14)+IF(I14="",0,I14)+IF(N14="",0,N14))</f>
        <v>0</v>
      </c>
      <c r="V14" s="20">
        <f>IF(B14="","",ROUND(U14*T14+IF(J14="",0,J14),2))</f>
        <v>0</v>
      </c>
      <c r="W14" s="32">
        <f>IF(B14="","",MAX(1,IF(L14="",1,L14)))</f>
        <v>0</v>
      </c>
      <c r="X14" s="20">
        <f>IF(B14="","",0)</f>
        <v>0</v>
      </c>
      <c r="Y14" s="36">
        <f>IF(B14="","",ROUND(U14*60/W14+IF(M14="",0,M14),1))</f>
        <v>0</v>
      </c>
      <c r="Z14" s="20">
        <f>IF(B14="","",ROUND(V14/W14+IF(M14="",0,M14)/60*T14,2))</f>
        <v>0</v>
      </c>
      <c r="AA14" s="20">
        <f>IF(B14="","",ROUND(IF(K14="",0,K14)/W14,2))</f>
        <v>0</v>
      </c>
      <c r="AB14" s="20">
        <f>IF(B14="","",ROUND(IF(O14="",0,O14)*MAX(0,AL14+Z14-IF(M14="",0,M14)/60*T14),2))</f>
        <v>0</v>
      </c>
      <c r="AC14" s="33">
        <f>IF(B14="","",IF(V14=0,"",AB14/V14))</f>
        <v>0</v>
      </c>
      <c r="AD14" s="32">
        <f>IF(B14="","",IF(OR(AK14="",AK14-AA14-(AK14*AF14+AG14)-IF(M14="",0,M14)/60*T14&lt;=0),"Never at this price",ROUNDUP(V14/(AK14-AA14-(AK14*AF14+AG14)-IF(M14="",0,M14)/60*T14),0)))</f>
        <v>0</v>
      </c>
      <c r="AE14" s="20">
        <f>IF(B14="","",ROUND(X14+Z14+AA14,2))</f>
        <v>0</v>
      </c>
      <c r="AF14" s="33">
        <f>IF(B14="","",IFERROR(INDEX(Channels!$S$5:$S$18,MATCH(DefaultChannel,Channels!$A$5:$A$18,0)),0))</f>
        <v>0</v>
      </c>
      <c r="AG14" s="20">
        <f>IF(B14="","",IFERROR(INDEX(Channels!$T$5:$T$18,MATCH(DefaultChannel,Channels!$A$5:$A$18,0)),0))</f>
        <v>0</v>
      </c>
      <c r="AH14" s="41">
        <f>IF(B14="","",1-TargetRetailMargin-AF14)</f>
        <v>0</v>
      </c>
      <c r="AI14" s="20">
        <f>IF(B14="","",IF(AH14&lt;=0,"",(AE14+AG14)/AH14))</f>
        <v>0</v>
      </c>
      <c r="AJ14" s="20">
        <f>IF(B14="","",IF(AI14="","Check the settings",ROUND(IF(RoundingRule="None",AI14,IF(RoundingRule="Nearest 0.99",MAX(0.99,CEILING(AI14,1)-0.01),IF(RoundingRule="Nearest 0.95",MAX(0.95,CEILING(AI14,1)-0.05),IF(RoundingRule="Nearest 0.50",CEILING(AI14,0.5),IF(RoundingRule="Nearest 1",CEILING(AI14,1),IF(RoundingRule="Nearest 5",CEILING(AI14,5),IF(RoundingRule="Up to whole 1",CEILING(AI14,1),IF(RoundingRule="Up to whole 5",CEILING(AI14,5),ROUND(AI14,2))))))))),2)))</f>
        <v>0</v>
      </c>
      <c r="AK14" s="20">
        <f>IF(B14="","",IF(R14&lt;&gt;"",R14,IF(ISNUMBER(AJ14),AJ14,"")))</f>
        <v>0</v>
      </c>
      <c r="AL14" s="20">
        <f>IF(B14="","",IF(AK14="","",ROUND(AK14-AE14-(AK14*AF14+AG14),2)))</f>
        <v>0</v>
      </c>
      <c r="AM14" s="33">
        <f>IF(B14="","",IF(OR(AK14="",AK14=0),"",AL14/AK14))</f>
        <v>0</v>
      </c>
      <c r="AN14" s="41">
        <f>IF(B14="","",ROUND(Y14/60,3))</f>
        <v>0</v>
      </c>
      <c r="AO14" s="20">
        <f>IF(B14="","",IF(OR(AN14=0,AN14="",AL14=""),"",ROUND((AL14+Z14)/AN14,2)))</f>
        <v>0</v>
      </c>
      <c r="AP14" s="43">
        <f>IF(B14="","",IF(AND(A14&lt;&gt;"",ISERROR(MATCH(A14,Products!$A$5:$A$304,0))),"Check - no such product ID",IF(Z14=0,"Add - no material cost yet",IF(Y14=0,"Add - how long does it take?",IF(AND(A14&lt;&gt;"",COUNTIFS('Material Usage'!$A$5:$A$904,A14)&gt;0),"Check - this product also has a bill of materials",IF(AND(A14&lt;&gt;"",COUNTIFS(Labor!$A$5:$A$304,A14)&gt;0),"Check - this product also has labour lines",IF(AO14&lt;MinimumWage,"Below - pays under minimum wage","OK")))))) )</f>
        <v>0</v>
      </c>
    </row>
    <row r="15" spans="1:42">
      <c r="T15" s="20">
        <f>IF(B15="","",IF(Q15&lt;&gt;"",Q15,LaborCostHour))</f>
        <v>0</v>
      </c>
      <c r="U15" s="41">
        <f>IF(B15="","",IF(F15="",0,F15)+IF(G15="",0,G15)+IF(H15="",0,H15)+IF(I15="",0,I15)+IF(N15="",0,N15))</f>
        <v>0</v>
      </c>
      <c r="V15" s="20">
        <f>IF(B15="","",ROUND(U15*T15+IF(J15="",0,J15),2))</f>
        <v>0</v>
      </c>
      <c r="W15" s="32">
        <f>IF(B15="","",MAX(1,IF(L15="",1,L15)))</f>
        <v>0</v>
      </c>
      <c r="X15" s="20">
        <f>IF(B15="","",0)</f>
        <v>0</v>
      </c>
      <c r="Y15" s="36">
        <f>IF(B15="","",ROUND(U15*60/W15+IF(M15="",0,M15),1))</f>
        <v>0</v>
      </c>
      <c r="Z15" s="20">
        <f>IF(B15="","",ROUND(V15/W15+IF(M15="",0,M15)/60*T15,2))</f>
        <v>0</v>
      </c>
      <c r="AA15" s="20">
        <f>IF(B15="","",ROUND(IF(K15="",0,K15)/W15,2))</f>
        <v>0</v>
      </c>
      <c r="AB15" s="20">
        <f>IF(B15="","",ROUND(IF(O15="",0,O15)*MAX(0,AL15+Z15-IF(M15="",0,M15)/60*T15),2))</f>
        <v>0</v>
      </c>
      <c r="AC15" s="33">
        <f>IF(B15="","",IF(V15=0,"",AB15/V15))</f>
        <v>0</v>
      </c>
      <c r="AD15" s="32">
        <f>IF(B15="","",IF(OR(AK15="",AK15-AA15-(AK15*AF15+AG15)-IF(M15="",0,M15)/60*T15&lt;=0),"Never at this price",ROUNDUP(V15/(AK15-AA15-(AK15*AF15+AG15)-IF(M15="",0,M15)/60*T15),0)))</f>
        <v>0</v>
      </c>
      <c r="AE15" s="20">
        <f>IF(B15="","",ROUND(X15+Z15+AA15,2))</f>
        <v>0</v>
      </c>
      <c r="AF15" s="33">
        <f>IF(B15="","",IFERROR(INDEX(Channels!$S$5:$S$18,MATCH(DefaultChannel,Channels!$A$5:$A$18,0)),0))</f>
        <v>0</v>
      </c>
      <c r="AG15" s="20">
        <f>IF(B15="","",IFERROR(INDEX(Channels!$T$5:$T$18,MATCH(DefaultChannel,Channels!$A$5:$A$18,0)),0))</f>
        <v>0</v>
      </c>
      <c r="AH15" s="41">
        <f>IF(B15="","",1-TargetRetailMargin-AF15)</f>
        <v>0</v>
      </c>
      <c r="AI15" s="20">
        <f>IF(B15="","",IF(AH15&lt;=0,"",(AE15+AG15)/AH15))</f>
        <v>0</v>
      </c>
      <c r="AJ15" s="20">
        <f>IF(B15="","",IF(AI15="","Check the settings",ROUND(IF(RoundingRule="None",AI15,IF(RoundingRule="Nearest 0.99",MAX(0.99,CEILING(AI15,1)-0.01),IF(RoundingRule="Nearest 0.95",MAX(0.95,CEILING(AI15,1)-0.05),IF(RoundingRule="Nearest 0.50",CEILING(AI15,0.5),IF(RoundingRule="Nearest 1",CEILING(AI15,1),IF(RoundingRule="Nearest 5",CEILING(AI15,5),IF(RoundingRule="Up to whole 1",CEILING(AI15,1),IF(RoundingRule="Up to whole 5",CEILING(AI15,5),ROUND(AI15,2))))))))),2)))</f>
        <v>0</v>
      </c>
      <c r="AK15" s="20">
        <f>IF(B15="","",IF(R15&lt;&gt;"",R15,IF(ISNUMBER(AJ15),AJ15,"")))</f>
        <v>0</v>
      </c>
      <c r="AL15" s="20">
        <f>IF(B15="","",IF(AK15="","",ROUND(AK15-AE15-(AK15*AF15+AG15),2)))</f>
        <v>0</v>
      </c>
      <c r="AM15" s="33">
        <f>IF(B15="","",IF(OR(AK15="",AK15=0),"",AL15/AK15))</f>
        <v>0</v>
      </c>
      <c r="AN15" s="41">
        <f>IF(B15="","",ROUND(Y15/60,3))</f>
        <v>0</v>
      </c>
      <c r="AO15" s="20">
        <f>IF(B15="","",IF(OR(AN15=0,AN15="",AL15=""),"",ROUND((AL15+Z15)/AN15,2)))</f>
        <v>0</v>
      </c>
      <c r="AP15" s="43">
        <f>IF(B15="","",IF(AND(A15&lt;&gt;"",ISERROR(MATCH(A15,Products!$A$5:$A$304,0))),"Check - no such product ID",IF(Z15=0,"Add - no material cost yet",IF(Y15=0,"Add - how long does it take?",IF(AND(A15&lt;&gt;"",COUNTIFS('Material Usage'!$A$5:$A$904,A15)&gt;0),"Check - this product also has a bill of materials",IF(AND(A15&lt;&gt;"",COUNTIFS(Labor!$A$5:$A$304,A15)&gt;0),"Check - this product also has labour lines",IF(AO15&lt;MinimumWage,"Below - pays under minimum wage","OK")))))) )</f>
        <v>0</v>
      </c>
    </row>
    <row r="16" spans="1:42">
      <c r="T16" s="20">
        <f>IF(B16="","",IF(Q16&lt;&gt;"",Q16,LaborCostHour))</f>
        <v>0</v>
      </c>
      <c r="U16" s="41">
        <f>IF(B16="","",IF(F16="",0,F16)+IF(G16="",0,G16)+IF(H16="",0,H16)+IF(I16="",0,I16)+IF(N16="",0,N16))</f>
        <v>0</v>
      </c>
      <c r="V16" s="20">
        <f>IF(B16="","",ROUND(U16*T16+IF(J16="",0,J16),2))</f>
        <v>0</v>
      </c>
      <c r="W16" s="32">
        <f>IF(B16="","",MAX(1,IF(L16="",1,L16)))</f>
        <v>0</v>
      </c>
      <c r="X16" s="20">
        <f>IF(B16="","",0)</f>
        <v>0</v>
      </c>
      <c r="Y16" s="36">
        <f>IF(B16="","",ROUND(U16*60/W16+IF(M16="",0,M16),1))</f>
        <v>0</v>
      </c>
      <c r="Z16" s="20">
        <f>IF(B16="","",ROUND(V16/W16+IF(M16="",0,M16)/60*T16,2))</f>
        <v>0</v>
      </c>
      <c r="AA16" s="20">
        <f>IF(B16="","",ROUND(IF(K16="",0,K16)/W16,2))</f>
        <v>0</v>
      </c>
      <c r="AB16" s="20">
        <f>IF(B16="","",ROUND(IF(O16="",0,O16)*MAX(0,AL16+Z16-IF(M16="",0,M16)/60*T16),2))</f>
        <v>0</v>
      </c>
      <c r="AC16" s="33">
        <f>IF(B16="","",IF(V16=0,"",AB16/V16))</f>
        <v>0</v>
      </c>
      <c r="AD16" s="32">
        <f>IF(B16="","",IF(OR(AK16="",AK16-AA16-(AK16*AF16+AG16)-IF(M16="",0,M16)/60*T16&lt;=0),"Never at this price",ROUNDUP(V16/(AK16-AA16-(AK16*AF16+AG16)-IF(M16="",0,M16)/60*T16),0)))</f>
        <v>0</v>
      </c>
      <c r="AE16" s="20">
        <f>IF(B16="","",ROUND(X16+Z16+AA16,2))</f>
        <v>0</v>
      </c>
      <c r="AF16" s="33">
        <f>IF(B16="","",IFERROR(INDEX(Channels!$S$5:$S$18,MATCH(DefaultChannel,Channels!$A$5:$A$18,0)),0))</f>
        <v>0</v>
      </c>
      <c r="AG16" s="20">
        <f>IF(B16="","",IFERROR(INDEX(Channels!$T$5:$T$18,MATCH(DefaultChannel,Channels!$A$5:$A$18,0)),0))</f>
        <v>0</v>
      </c>
      <c r="AH16" s="41">
        <f>IF(B16="","",1-TargetRetailMargin-AF16)</f>
        <v>0</v>
      </c>
      <c r="AI16" s="20">
        <f>IF(B16="","",IF(AH16&lt;=0,"",(AE16+AG16)/AH16))</f>
        <v>0</v>
      </c>
      <c r="AJ16" s="20">
        <f>IF(B16="","",IF(AI16="","Check the settings",ROUND(IF(RoundingRule="None",AI16,IF(RoundingRule="Nearest 0.99",MAX(0.99,CEILING(AI16,1)-0.01),IF(RoundingRule="Nearest 0.95",MAX(0.95,CEILING(AI16,1)-0.05),IF(RoundingRule="Nearest 0.50",CEILING(AI16,0.5),IF(RoundingRule="Nearest 1",CEILING(AI16,1),IF(RoundingRule="Nearest 5",CEILING(AI16,5),IF(RoundingRule="Up to whole 1",CEILING(AI16,1),IF(RoundingRule="Up to whole 5",CEILING(AI16,5),ROUND(AI16,2))))))))),2)))</f>
        <v>0</v>
      </c>
      <c r="AK16" s="20">
        <f>IF(B16="","",IF(R16&lt;&gt;"",R16,IF(ISNUMBER(AJ16),AJ16,"")))</f>
        <v>0</v>
      </c>
      <c r="AL16" s="20">
        <f>IF(B16="","",IF(AK16="","",ROUND(AK16-AE16-(AK16*AF16+AG16),2)))</f>
        <v>0</v>
      </c>
      <c r="AM16" s="33">
        <f>IF(B16="","",IF(OR(AK16="",AK16=0),"",AL16/AK16))</f>
        <v>0</v>
      </c>
      <c r="AN16" s="41">
        <f>IF(B16="","",ROUND(Y16/60,3))</f>
        <v>0</v>
      </c>
      <c r="AO16" s="20">
        <f>IF(B16="","",IF(OR(AN16=0,AN16="",AL16=""),"",ROUND((AL16+Z16)/AN16,2)))</f>
        <v>0</v>
      </c>
      <c r="AP16" s="43">
        <f>IF(B16="","",IF(AND(A16&lt;&gt;"",ISERROR(MATCH(A16,Products!$A$5:$A$304,0))),"Check - no such product ID",IF(Z16=0,"Add - no material cost yet",IF(Y16=0,"Add - how long does it take?",IF(AND(A16&lt;&gt;"",COUNTIFS('Material Usage'!$A$5:$A$904,A16)&gt;0),"Check - this product also has a bill of materials",IF(AND(A16&lt;&gt;"",COUNTIFS(Labor!$A$5:$A$304,A16)&gt;0),"Check - this product also has labour lines",IF(AO16&lt;MinimumWage,"Below - pays under minimum wage","OK")))))) )</f>
        <v>0</v>
      </c>
    </row>
    <row r="17" spans="20:42">
      <c r="T17" s="20">
        <f>IF(B17="","",IF(Q17&lt;&gt;"",Q17,LaborCostHour))</f>
        <v>0</v>
      </c>
      <c r="U17" s="41">
        <f>IF(B17="","",IF(F17="",0,F17)+IF(G17="",0,G17)+IF(H17="",0,H17)+IF(I17="",0,I17)+IF(N17="",0,N17))</f>
        <v>0</v>
      </c>
      <c r="V17" s="20">
        <f>IF(B17="","",ROUND(U17*T17+IF(J17="",0,J17),2))</f>
        <v>0</v>
      </c>
      <c r="W17" s="32">
        <f>IF(B17="","",MAX(1,IF(L17="",1,L17)))</f>
        <v>0</v>
      </c>
      <c r="X17" s="20">
        <f>IF(B17="","",0)</f>
        <v>0</v>
      </c>
      <c r="Y17" s="36">
        <f>IF(B17="","",ROUND(U17*60/W17+IF(M17="",0,M17),1))</f>
        <v>0</v>
      </c>
      <c r="Z17" s="20">
        <f>IF(B17="","",ROUND(V17/W17+IF(M17="",0,M17)/60*T17,2))</f>
        <v>0</v>
      </c>
      <c r="AA17" s="20">
        <f>IF(B17="","",ROUND(IF(K17="",0,K17)/W17,2))</f>
        <v>0</v>
      </c>
      <c r="AB17" s="20">
        <f>IF(B17="","",ROUND(IF(O17="",0,O17)*MAX(0,AL17+Z17-IF(M17="",0,M17)/60*T17),2))</f>
        <v>0</v>
      </c>
      <c r="AC17" s="33">
        <f>IF(B17="","",IF(V17=0,"",AB17/V17))</f>
        <v>0</v>
      </c>
      <c r="AD17" s="32">
        <f>IF(B17="","",IF(OR(AK17="",AK17-AA17-(AK17*AF17+AG17)-IF(M17="",0,M17)/60*T17&lt;=0),"Never at this price",ROUNDUP(V17/(AK17-AA17-(AK17*AF17+AG17)-IF(M17="",0,M17)/60*T17),0)))</f>
        <v>0</v>
      </c>
      <c r="AE17" s="20">
        <f>IF(B17="","",ROUND(X17+Z17+AA17,2))</f>
        <v>0</v>
      </c>
      <c r="AF17" s="33">
        <f>IF(B17="","",IFERROR(INDEX(Channels!$S$5:$S$18,MATCH(DefaultChannel,Channels!$A$5:$A$18,0)),0))</f>
        <v>0</v>
      </c>
      <c r="AG17" s="20">
        <f>IF(B17="","",IFERROR(INDEX(Channels!$T$5:$T$18,MATCH(DefaultChannel,Channels!$A$5:$A$18,0)),0))</f>
        <v>0</v>
      </c>
      <c r="AH17" s="41">
        <f>IF(B17="","",1-TargetRetailMargin-AF17)</f>
        <v>0</v>
      </c>
      <c r="AI17" s="20">
        <f>IF(B17="","",IF(AH17&lt;=0,"",(AE17+AG17)/AH17))</f>
        <v>0</v>
      </c>
      <c r="AJ17" s="20">
        <f>IF(B17="","",IF(AI17="","Check the settings",ROUND(IF(RoundingRule="None",AI17,IF(RoundingRule="Nearest 0.99",MAX(0.99,CEILING(AI17,1)-0.01),IF(RoundingRule="Nearest 0.95",MAX(0.95,CEILING(AI17,1)-0.05),IF(RoundingRule="Nearest 0.50",CEILING(AI17,0.5),IF(RoundingRule="Nearest 1",CEILING(AI17,1),IF(RoundingRule="Nearest 5",CEILING(AI17,5),IF(RoundingRule="Up to whole 1",CEILING(AI17,1),IF(RoundingRule="Up to whole 5",CEILING(AI17,5),ROUND(AI17,2))))))))),2)))</f>
        <v>0</v>
      </c>
      <c r="AK17" s="20">
        <f>IF(B17="","",IF(R17&lt;&gt;"",R17,IF(ISNUMBER(AJ17),AJ17,"")))</f>
        <v>0</v>
      </c>
      <c r="AL17" s="20">
        <f>IF(B17="","",IF(AK17="","",ROUND(AK17-AE17-(AK17*AF17+AG17),2)))</f>
        <v>0</v>
      </c>
      <c r="AM17" s="33">
        <f>IF(B17="","",IF(OR(AK17="",AK17=0),"",AL17/AK17))</f>
        <v>0</v>
      </c>
      <c r="AN17" s="41">
        <f>IF(B17="","",ROUND(Y17/60,3))</f>
        <v>0</v>
      </c>
      <c r="AO17" s="20">
        <f>IF(B17="","",IF(OR(AN17=0,AN17="",AL17=""),"",ROUND((AL17+Z17)/AN17,2)))</f>
        <v>0</v>
      </c>
      <c r="AP17" s="43">
        <f>IF(B17="","",IF(AND(A17&lt;&gt;"",ISERROR(MATCH(A17,Products!$A$5:$A$304,0))),"Check - no such product ID",IF(Z17=0,"Add - no material cost yet",IF(Y17=0,"Add - how long does it take?",IF(AND(A17&lt;&gt;"",COUNTIFS('Material Usage'!$A$5:$A$904,A17)&gt;0),"Check - this product also has a bill of materials",IF(AND(A17&lt;&gt;"",COUNTIFS(Labor!$A$5:$A$304,A17)&gt;0),"Check - this product also has labour lines",IF(AO17&lt;MinimumWage,"Below - pays under minimum wage","OK")))))) )</f>
        <v>0</v>
      </c>
    </row>
    <row r="18" spans="20:42">
      <c r="T18" s="20">
        <f>IF(B18="","",IF(Q18&lt;&gt;"",Q18,LaborCostHour))</f>
        <v>0</v>
      </c>
      <c r="U18" s="41">
        <f>IF(B18="","",IF(F18="",0,F18)+IF(G18="",0,G18)+IF(H18="",0,H18)+IF(I18="",0,I18)+IF(N18="",0,N18))</f>
        <v>0</v>
      </c>
      <c r="V18" s="20">
        <f>IF(B18="","",ROUND(U18*T18+IF(J18="",0,J18),2))</f>
        <v>0</v>
      </c>
      <c r="W18" s="32">
        <f>IF(B18="","",MAX(1,IF(L18="",1,L18)))</f>
        <v>0</v>
      </c>
      <c r="X18" s="20">
        <f>IF(B18="","",0)</f>
        <v>0</v>
      </c>
      <c r="Y18" s="36">
        <f>IF(B18="","",ROUND(U18*60/W18+IF(M18="",0,M18),1))</f>
        <v>0</v>
      </c>
      <c r="Z18" s="20">
        <f>IF(B18="","",ROUND(V18/W18+IF(M18="",0,M18)/60*T18,2))</f>
        <v>0</v>
      </c>
      <c r="AA18" s="20">
        <f>IF(B18="","",ROUND(IF(K18="",0,K18)/W18,2))</f>
        <v>0</v>
      </c>
      <c r="AB18" s="20">
        <f>IF(B18="","",ROUND(IF(O18="",0,O18)*MAX(0,AL18+Z18-IF(M18="",0,M18)/60*T18),2))</f>
        <v>0</v>
      </c>
      <c r="AC18" s="33">
        <f>IF(B18="","",IF(V18=0,"",AB18/V18))</f>
        <v>0</v>
      </c>
      <c r="AD18" s="32">
        <f>IF(B18="","",IF(OR(AK18="",AK18-AA18-(AK18*AF18+AG18)-IF(M18="",0,M18)/60*T18&lt;=0),"Never at this price",ROUNDUP(V18/(AK18-AA18-(AK18*AF18+AG18)-IF(M18="",0,M18)/60*T18),0)))</f>
        <v>0</v>
      </c>
      <c r="AE18" s="20">
        <f>IF(B18="","",ROUND(X18+Z18+AA18,2))</f>
        <v>0</v>
      </c>
      <c r="AF18" s="33">
        <f>IF(B18="","",IFERROR(INDEX(Channels!$S$5:$S$18,MATCH(DefaultChannel,Channels!$A$5:$A$18,0)),0))</f>
        <v>0</v>
      </c>
      <c r="AG18" s="20">
        <f>IF(B18="","",IFERROR(INDEX(Channels!$T$5:$T$18,MATCH(DefaultChannel,Channels!$A$5:$A$18,0)),0))</f>
        <v>0</v>
      </c>
      <c r="AH18" s="41">
        <f>IF(B18="","",1-TargetRetailMargin-AF18)</f>
        <v>0</v>
      </c>
      <c r="AI18" s="20">
        <f>IF(B18="","",IF(AH18&lt;=0,"",(AE18+AG18)/AH18))</f>
        <v>0</v>
      </c>
      <c r="AJ18" s="20">
        <f>IF(B18="","",IF(AI18="","Check the settings",ROUND(IF(RoundingRule="None",AI18,IF(RoundingRule="Nearest 0.99",MAX(0.99,CEILING(AI18,1)-0.01),IF(RoundingRule="Nearest 0.95",MAX(0.95,CEILING(AI18,1)-0.05),IF(RoundingRule="Nearest 0.50",CEILING(AI18,0.5),IF(RoundingRule="Nearest 1",CEILING(AI18,1),IF(RoundingRule="Nearest 5",CEILING(AI18,5),IF(RoundingRule="Up to whole 1",CEILING(AI18,1),IF(RoundingRule="Up to whole 5",CEILING(AI18,5),ROUND(AI18,2))))))))),2)))</f>
        <v>0</v>
      </c>
      <c r="AK18" s="20">
        <f>IF(B18="","",IF(R18&lt;&gt;"",R18,IF(ISNUMBER(AJ18),AJ18,"")))</f>
        <v>0</v>
      </c>
      <c r="AL18" s="20">
        <f>IF(B18="","",IF(AK18="","",ROUND(AK18-AE18-(AK18*AF18+AG18),2)))</f>
        <v>0</v>
      </c>
      <c r="AM18" s="33">
        <f>IF(B18="","",IF(OR(AK18="",AK18=0),"",AL18/AK18))</f>
        <v>0</v>
      </c>
      <c r="AN18" s="41">
        <f>IF(B18="","",ROUND(Y18/60,3))</f>
        <v>0</v>
      </c>
      <c r="AO18" s="20">
        <f>IF(B18="","",IF(OR(AN18=0,AN18="",AL18=""),"",ROUND((AL18+Z18)/AN18,2)))</f>
        <v>0</v>
      </c>
      <c r="AP18" s="43">
        <f>IF(B18="","",IF(AND(A18&lt;&gt;"",ISERROR(MATCH(A18,Products!$A$5:$A$304,0))),"Check - no such product ID",IF(Z18=0,"Add - no material cost yet",IF(Y18=0,"Add - how long does it take?",IF(AND(A18&lt;&gt;"",COUNTIFS('Material Usage'!$A$5:$A$904,A18)&gt;0),"Check - this product also has a bill of materials",IF(AND(A18&lt;&gt;"",COUNTIFS(Labor!$A$5:$A$304,A18)&gt;0),"Check - this product also has labour lines",IF(AO18&lt;MinimumWage,"Below - pays under minimum wage","OK")))))) )</f>
        <v>0</v>
      </c>
    </row>
    <row r="19" spans="20:42">
      <c r="T19" s="20">
        <f>IF(B19="","",IF(Q19&lt;&gt;"",Q19,LaborCostHour))</f>
        <v>0</v>
      </c>
      <c r="U19" s="41">
        <f>IF(B19="","",IF(F19="",0,F19)+IF(G19="",0,G19)+IF(H19="",0,H19)+IF(I19="",0,I19)+IF(N19="",0,N19))</f>
        <v>0</v>
      </c>
      <c r="V19" s="20">
        <f>IF(B19="","",ROUND(U19*T19+IF(J19="",0,J19),2))</f>
        <v>0</v>
      </c>
      <c r="W19" s="32">
        <f>IF(B19="","",MAX(1,IF(L19="",1,L19)))</f>
        <v>0</v>
      </c>
      <c r="X19" s="20">
        <f>IF(B19="","",0)</f>
        <v>0</v>
      </c>
      <c r="Y19" s="36">
        <f>IF(B19="","",ROUND(U19*60/W19+IF(M19="",0,M19),1))</f>
        <v>0</v>
      </c>
      <c r="Z19" s="20">
        <f>IF(B19="","",ROUND(V19/W19+IF(M19="",0,M19)/60*T19,2))</f>
        <v>0</v>
      </c>
      <c r="AA19" s="20">
        <f>IF(B19="","",ROUND(IF(K19="",0,K19)/W19,2))</f>
        <v>0</v>
      </c>
      <c r="AB19" s="20">
        <f>IF(B19="","",ROUND(IF(O19="",0,O19)*MAX(0,AL19+Z19-IF(M19="",0,M19)/60*T19),2))</f>
        <v>0</v>
      </c>
      <c r="AC19" s="33">
        <f>IF(B19="","",IF(V19=0,"",AB19/V19))</f>
        <v>0</v>
      </c>
      <c r="AD19" s="32">
        <f>IF(B19="","",IF(OR(AK19="",AK19-AA19-(AK19*AF19+AG19)-IF(M19="",0,M19)/60*T19&lt;=0),"Never at this price",ROUNDUP(V19/(AK19-AA19-(AK19*AF19+AG19)-IF(M19="",0,M19)/60*T19),0)))</f>
        <v>0</v>
      </c>
      <c r="AE19" s="20">
        <f>IF(B19="","",ROUND(X19+Z19+AA19,2))</f>
        <v>0</v>
      </c>
      <c r="AF19" s="33">
        <f>IF(B19="","",IFERROR(INDEX(Channels!$S$5:$S$18,MATCH(DefaultChannel,Channels!$A$5:$A$18,0)),0))</f>
        <v>0</v>
      </c>
      <c r="AG19" s="20">
        <f>IF(B19="","",IFERROR(INDEX(Channels!$T$5:$T$18,MATCH(DefaultChannel,Channels!$A$5:$A$18,0)),0))</f>
        <v>0</v>
      </c>
      <c r="AH19" s="41">
        <f>IF(B19="","",1-TargetRetailMargin-AF19)</f>
        <v>0</v>
      </c>
      <c r="AI19" s="20">
        <f>IF(B19="","",IF(AH19&lt;=0,"",(AE19+AG19)/AH19))</f>
        <v>0</v>
      </c>
      <c r="AJ19" s="20">
        <f>IF(B19="","",IF(AI19="","Check the settings",ROUND(IF(RoundingRule="None",AI19,IF(RoundingRule="Nearest 0.99",MAX(0.99,CEILING(AI19,1)-0.01),IF(RoundingRule="Nearest 0.95",MAX(0.95,CEILING(AI19,1)-0.05),IF(RoundingRule="Nearest 0.50",CEILING(AI19,0.5),IF(RoundingRule="Nearest 1",CEILING(AI19,1),IF(RoundingRule="Nearest 5",CEILING(AI19,5),IF(RoundingRule="Up to whole 1",CEILING(AI19,1),IF(RoundingRule="Up to whole 5",CEILING(AI19,5),ROUND(AI19,2))))))))),2)))</f>
        <v>0</v>
      </c>
      <c r="AK19" s="20">
        <f>IF(B19="","",IF(R19&lt;&gt;"",R19,IF(ISNUMBER(AJ19),AJ19,"")))</f>
        <v>0</v>
      </c>
      <c r="AL19" s="20">
        <f>IF(B19="","",IF(AK19="","",ROUND(AK19-AE19-(AK19*AF19+AG19),2)))</f>
        <v>0</v>
      </c>
      <c r="AM19" s="33">
        <f>IF(B19="","",IF(OR(AK19="",AK19=0),"",AL19/AK19))</f>
        <v>0</v>
      </c>
      <c r="AN19" s="41">
        <f>IF(B19="","",ROUND(Y19/60,3))</f>
        <v>0</v>
      </c>
      <c r="AO19" s="20">
        <f>IF(B19="","",IF(OR(AN19=0,AN19="",AL19=""),"",ROUND((AL19+Z19)/AN19,2)))</f>
        <v>0</v>
      </c>
      <c r="AP19" s="43">
        <f>IF(B19="","",IF(AND(A19&lt;&gt;"",ISERROR(MATCH(A19,Products!$A$5:$A$304,0))),"Check - no such product ID",IF(Z19=0,"Add - no material cost yet",IF(Y19=0,"Add - how long does it take?",IF(AND(A19&lt;&gt;"",COUNTIFS('Material Usage'!$A$5:$A$904,A19)&gt;0),"Check - this product also has a bill of materials",IF(AND(A19&lt;&gt;"",COUNTIFS(Labor!$A$5:$A$304,A19)&gt;0),"Check - this product also has labour lines",IF(AO19&lt;MinimumWage,"Below - pays under minimum wage","OK")))))) )</f>
        <v>0</v>
      </c>
    </row>
    <row r="20" spans="20:42">
      <c r="T20" s="20">
        <f>IF(B20="","",IF(Q20&lt;&gt;"",Q20,LaborCostHour))</f>
        <v>0</v>
      </c>
      <c r="U20" s="41">
        <f>IF(B20="","",IF(F20="",0,F20)+IF(G20="",0,G20)+IF(H20="",0,H20)+IF(I20="",0,I20)+IF(N20="",0,N20))</f>
        <v>0</v>
      </c>
      <c r="V20" s="20">
        <f>IF(B20="","",ROUND(U20*T20+IF(J20="",0,J20),2))</f>
        <v>0</v>
      </c>
      <c r="W20" s="32">
        <f>IF(B20="","",MAX(1,IF(L20="",1,L20)))</f>
        <v>0</v>
      </c>
      <c r="X20" s="20">
        <f>IF(B20="","",0)</f>
        <v>0</v>
      </c>
      <c r="Y20" s="36">
        <f>IF(B20="","",ROUND(U20*60/W20+IF(M20="",0,M20),1))</f>
        <v>0</v>
      </c>
      <c r="Z20" s="20">
        <f>IF(B20="","",ROUND(V20/W20+IF(M20="",0,M20)/60*T20,2))</f>
        <v>0</v>
      </c>
      <c r="AA20" s="20">
        <f>IF(B20="","",ROUND(IF(K20="",0,K20)/W20,2))</f>
        <v>0</v>
      </c>
      <c r="AB20" s="20">
        <f>IF(B20="","",ROUND(IF(O20="",0,O20)*MAX(0,AL20+Z20-IF(M20="",0,M20)/60*T20),2))</f>
        <v>0</v>
      </c>
      <c r="AC20" s="33">
        <f>IF(B20="","",IF(V20=0,"",AB20/V20))</f>
        <v>0</v>
      </c>
      <c r="AD20" s="32">
        <f>IF(B20="","",IF(OR(AK20="",AK20-AA20-(AK20*AF20+AG20)-IF(M20="",0,M20)/60*T20&lt;=0),"Never at this price",ROUNDUP(V20/(AK20-AA20-(AK20*AF20+AG20)-IF(M20="",0,M20)/60*T20),0)))</f>
        <v>0</v>
      </c>
      <c r="AE20" s="20">
        <f>IF(B20="","",ROUND(X20+Z20+AA20,2))</f>
        <v>0</v>
      </c>
      <c r="AF20" s="33">
        <f>IF(B20="","",IFERROR(INDEX(Channels!$S$5:$S$18,MATCH(DefaultChannel,Channels!$A$5:$A$18,0)),0))</f>
        <v>0</v>
      </c>
      <c r="AG20" s="20">
        <f>IF(B20="","",IFERROR(INDEX(Channels!$T$5:$T$18,MATCH(DefaultChannel,Channels!$A$5:$A$18,0)),0))</f>
        <v>0</v>
      </c>
      <c r="AH20" s="41">
        <f>IF(B20="","",1-TargetRetailMargin-AF20)</f>
        <v>0</v>
      </c>
      <c r="AI20" s="20">
        <f>IF(B20="","",IF(AH20&lt;=0,"",(AE20+AG20)/AH20))</f>
        <v>0</v>
      </c>
      <c r="AJ20" s="20">
        <f>IF(B20="","",IF(AI20="","Check the settings",ROUND(IF(RoundingRule="None",AI20,IF(RoundingRule="Nearest 0.99",MAX(0.99,CEILING(AI20,1)-0.01),IF(RoundingRule="Nearest 0.95",MAX(0.95,CEILING(AI20,1)-0.05),IF(RoundingRule="Nearest 0.50",CEILING(AI20,0.5),IF(RoundingRule="Nearest 1",CEILING(AI20,1),IF(RoundingRule="Nearest 5",CEILING(AI20,5),IF(RoundingRule="Up to whole 1",CEILING(AI20,1),IF(RoundingRule="Up to whole 5",CEILING(AI20,5),ROUND(AI20,2))))))))),2)))</f>
        <v>0</v>
      </c>
      <c r="AK20" s="20">
        <f>IF(B20="","",IF(R20&lt;&gt;"",R20,IF(ISNUMBER(AJ20),AJ20,"")))</f>
        <v>0</v>
      </c>
      <c r="AL20" s="20">
        <f>IF(B20="","",IF(AK20="","",ROUND(AK20-AE20-(AK20*AF20+AG20),2)))</f>
        <v>0</v>
      </c>
      <c r="AM20" s="33">
        <f>IF(B20="","",IF(OR(AK20="",AK20=0),"",AL20/AK20))</f>
        <v>0</v>
      </c>
      <c r="AN20" s="41">
        <f>IF(B20="","",ROUND(Y20/60,3))</f>
        <v>0</v>
      </c>
      <c r="AO20" s="20">
        <f>IF(B20="","",IF(OR(AN20=0,AN20="",AL20=""),"",ROUND((AL20+Z20)/AN20,2)))</f>
        <v>0</v>
      </c>
      <c r="AP20" s="43">
        <f>IF(B20="","",IF(AND(A20&lt;&gt;"",ISERROR(MATCH(A20,Products!$A$5:$A$304,0))),"Check - no such product ID",IF(Z20=0,"Add - no material cost yet",IF(Y20=0,"Add - how long does it take?",IF(AND(A20&lt;&gt;"",COUNTIFS('Material Usage'!$A$5:$A$904,A20)&gt;0),"Check - this product also has a bill of materials",IF(AND(A20&lt;&gt;"",COUNTIFS(Labor!$A$5:$A$304,A20)&gt;0),"Check - this product also has labour lines",IF(AO20&lt;MinimumWage,"Below - pays under minimum wage","OK")))))) )</f>
        <v>0</v>
      </c>
    </row>
    <row r="21" spans="20:42">
      <c r="T21" s="20">
        <f>IF(B21="","",IF(Q21&lt;&gt;"",Q21,LaborCostHour))</f>
        <v>0</v>
      </c>
      <c r="U21" s="41">
        <f>IF(B21="","",IF(F21="",0,F21)+IF(G21="",0,G21)+IF(H21="",0,H21)+IF(I21="",0,I21)+IF(N21="",0,N21))</f>
        <v>0</v>
      </c>
      <c r="V21" s="20">
        <f>IF(B21="","",ROUND(U21*T21+IF(J21="",0,J21),2))</f>
        <v>0</v>
      </c>
      <c r="W21" s="32">
        <f>IF(B21="","",MAX(1,IF(L21="",1,L21)))</f>
        <v>0</v>
      </c>
      <c r="X21" s="20">
        <f>IF(B21="","",0)</f>
        <v>0</v>
      </c>
      <c r="Y21" s="36">
        <f>IF(B21="","",ROUND(U21*60/W21+IF(M21="",0,M21),1))</f>
        <v>0</v>
      </c>
      <c r="Z21" s="20">
        <f>IF(B21="","",ROUND(V21/W21+IF(M21="",0,M21)/60*T21,2))</f>
        <v>0</v>
      </c>
      <c r="AA21" s="20">
        <f>IF(B21="","",ROUND(IF(K21="",0,K21)/W21,2))</f>
        <v>0</v>
      </c>
      <c r="AB21" s="20">
        <f>IF(B21="","",ROUND(IF(O21="",0,O21)*MAX(0,AL21+Z21-IF(M21="",0,M21)/60*T21),2))</f>
        <v>0</v>
      </c>
      <c r="AC21" s="33">
        <f>IF(B21="","",IF(V21=0,"",AB21/V21))</f>
        <v>0</v>
      </c>
      <c r="AD21" s="32">
        <f>IF(B21="","",IF(OR(AK21="",AK21-AA21-(AK21*AF21+AG21)-IF(M21="",0,M21)/60*T21&lt;=0),"Never at this price",ROUNDUP(V21/(AK21-AA21-(AK21*AF21+AG21)-IF(M21="",0,M21)/60*T21),0)))</f>
        <v>0</v>
      </c>
      <c r="AE21" s="20">
        <f>IF(B21="","",ROUND(X21+Z21+AA21,2))</f>
        <v>0</v>
      </c>
      <c r="AF21" s="33">
        <f>IF(B21="","",IFERROR(INDEX(Channels!$S$5:$S$18,MATCH(DefaultChannel,Channels!$A$5:$A$18,0)),0))</f>
        <v>0</v>
      </c>
      <c r="AG21" s="20">
        <f>IF(B21="","",IFERROR(INDEX(Channels!$T$5:$T$18,MATCH(DefaultChannel,Channels!$A$5:$A$18,0)),0))</f>
        <v>0</v>
      </c>
      <c r="AH21" s="41">
        <f>IF(B21="","",1-TargetRetailMargin-AF21)</f>
        <v>0</v>
      </c>
      <c r="AI21" s="20">
        <f>IF(B21="","",IF(AH21&lt;=0,"",(AE21+AG21)/AH21))</f>
        <v>0</v>
      </c>
      <c r="AJ21" s="20">
        <f>IF(B21="","",IF(AI21="","Check the settings",ROUND(IF(RoundingRule="None",AI21,IF(RoundingRule="Nearest 0.99",MAX(0.99,CEILING(AI21,1)-0.01),IF(RoundingRule="Nearest 0.95",MAX(0.95,CEILING(AI21,1)-0.05),IF(RoundingRule="Nearest 0.50",CEILING(AI21,0.5),IF(RoundingRule="Nearest 1",CEILING(AI21,1),IF(RoundingRule="Nearest 5",CEILING(AI21,5),IF(RoundingRule="Up to whole 1",CEILING(AI21,1),IF(RoundingRule="Up to whole 5",CEILING(AI21,5),ROUND(AI21,2))))))))),2)))</f>
        <v>0</v>
      </c>
      <c r="AK21" s="20">
        <f>IF(B21="","",IF(R21&lt;&gt;"",R21,IF(ISNUMBER(AJ21),AJ21,"")))</f>
        <v>0</v>
      </c>
      <c r="AL21" s="20">
        <f>IF(B21="","",IF(AK21="","",ROUND(AK21-AE21-(AK21*AF21+AG21),2)))</f>
        <v>0</v>
      </c>
      <c r="AM21" s="33">
        <f>IF(B21="","",IF(OR(AK21="",AK21=0),"",AL21/AK21))</f>
        <v>0</v>
      </c>
      <c r="AN21" s="41">
        <f>IF(B21="","",ROUND(Y21/60,3))</f>
        <v>0</v>
      </c>
      <c r="AO21" s="20">
        <f>IF(B21="","",IF(OR(AN21=0,AN21="",AL21=""),"",ROUND((AL21+Z21)/AN21,2)))</f>
        <v>0</v>
      </c>
      <c r="AP21" s="43">
        <f>IF(B21="","",IF(AND(A21&lt;&gt;"",ISERROR(MATCH(A21,Products!$A$5:$A$304,0))),"Check - no such product ID",IF(Z21=0,"Add - no material cost yet",IF(Y21=0,"Add - how long does it take?",IF(AND(A21&lt;&gt;"",COUNTIFS('Material Usage'!$A$5:$A$904,A21)&gt;0),"Check - this product also has a bill of materials",IF(AND(A21&lt;&gt;"",COUNTIFS(Labor!$A$5:$A$304,A21)&gt;0),"Check - this product also has labour lines",IF(AO21&lt;MinimumWage,"Below - pays under minimum wage","OK")))))) )</f>
        <v>0</v>
      </c>
    </row>
    <row r="22" spans="20:42">
      <c r="T22" s="20">
        <f>IF(B22="","",IF(Q22&lt;&gt;"",Q22,LaborCostHour))</f>
        <v>0</v>
      </c>
      <c r="U22" s="41">
        <f>IF(B22="","",IF(F22="",0,F22)+IF(G22="",0,G22)+IF(H22="",0,H22)+IF(I22="",0,I22)+IF(N22="",0,N22))</f>
        <v>0</v>
      </c>
      <c r="V22" s="20">
        <f>IF(B22="","",ROUND(U22*T22+IF(J22="",0,J22),2))</f>
        <v>0</v>
      </c>
      <c r="W22" s="32">
        <f>IF(B22="","",MAX(1,IF(L22="",1,L22)))</f>
        <v>0</v>
      </c>
      <c r="X22" s="20">
        <f>IF(B22="","",0)</f>
        <v>0</v>
      </c>
      <c r="Y22" s="36">
        <f>IF(B22="","",ROUND(U22*60/W22+IF(M22="",0,M22),1))</f>
        <v>0</v>
      </c>
      <c r="Z22" s="20">
        <f>IF(B22="","",ROUND(V22/W22+IF(M22="",0,M22)/60*T22,2))</f>
        <v>0</v>
      </c>
      <c r="AA22" s="20">
        <f>IF(B22="","",ROUND(IF(K22="",0,K22)/W22,2))</f>
        <v>0</v>
      </c>
      <c r="AB22" s="20">
        <f>IF(B22="","",ROUND(IF(O22="",0,O22)*MAX(0,AL22+Z22-IF(M22="",0,M22)/60*T22),2))</f>
        <v>0</v>
      </c>
      <c r="AC22" s="33">
        <f>IF(B22="","",IF(V22=0,"",AB22/V22))</f>
        <v>0</v>
      </c>
      <c r="AD22" s="32">
        <f>IF(B22="","",IF(OR(AK22="",AK22-AA22-(AK22*AF22+AG22)-IF(M22="",0,M22)/60*T22&lt;=0),"Never at this price",ROUNDUP(V22/(AK22-AA22-(AK22*AF22+AG22)-IF(M22="",0,M22)/60*T22),0)))</f>
        <v>0</v>
      </c>
      <c r="AE22" s="20">
        <f>IF(B22="","",ROUND(X22+Z22+AA22,2))</f>
        <v>0</v>
      </c>
      <c r="AF22" s="33">
        <f>IF(B22="","",IFERROR(INDEX(Channels!$S$5:$S$18,MATCH(DefaultChannel,Channels!$A$5:$A$18,0)),0))</f>
        <v>0</v>
      </c>
      <c r="AG22" s="20">
        <f>IF(B22="","",IFERROR(INDEX(Channels!$T$5:$T$18,MATCH(DefaultChannel,Channels!$A$5:$A$18,0)),0))</f>
        <v>0</v>
      </c>
      <c r="AH22" s="41">
        <f>IF(B22="","",1-TargetRetailMargin-AF22)</f>
        <v>0</v>
      </c>
      <c r="AI22" s="20">
        <f>IF(B22="","",IF(AH22&lt;=0,"",(AE22+AG22)/AH22))</f>
        <v>0</v>
      </c>
      <c r="AJ22" s="20">
        <f>IF(B22="","",IF(AI22="","Check the settings",ROUND(IF(RoundingRule="None",AI22,IF(RoundingRule="Nearest 0.99",MAX(0.99,CEILING(AI22,1)-0.01),IF(RoundingRule="Nearest 0.95",MAX(0.95,CEILING(AI22,1)-0.05),IF(RoundingRule="Nearest 0.50",CEILING(AI22,0.5),IF(RoundingRule="Nearest 1",CEILING(AI22,1),IF(RoundingRule="Nearest 5",CEILING(AI22,5),IF(RoundingRule="Up to whole 1",CEILING(AI22,1),IF(RoundingRule="Up to whole 5",CEILING(AI22,5),ROUND(AI22,2))))))))),2)))</f>
        <v>0</v>
      </c>
      <c r="AK22" s="20">
        <f>IF(B22="","",IF(R22&lt;&gt;"",R22,IF(ISNUMBER(AJ22),AJ22,"")))</f>
        <v>0</v>
      </c>
      <c r="AL22" s="20">
        <f>IF(B22="","",IF(AK22="","",ROUND(AK22-AE22-(AK22*AF22+AG22),2)))</f>
        <v>0</v>
      </c>
      <c r="AM22" s="33">
        <f>IF(B22="","",IF(OR(AK22="",AK22=0),"",AL22/AK22))</f>
        <v>0</v>
      </c>
      <c r="AN22" s="41">
        <f>IF(B22="","",ROUND(Y22/60,3))</f>
        <v>0</v>
      </c>
      <c r="AO22" s="20">
        <f>IF(B22="","",IF(OR(AN22=0,AN22="",AL22=""),"",ROUND((AL22+Z22)/AN22,2)))</f>
        <v>0</v>
      </c>
      <c r="AP22" s="43">
        <f>IF(B22="","",IF(AND(A22&lt;&gt;"",ISERROR(MATCH(A22,Products!$A$5:$A$304,0))),"Check - no such product ID",IF(Z22=0,"Add - no material cost yet",IF(Y22=0,"Add - how long does it take?",IF(AND(A22&lt;&gt;"",COUNTIFS('Material Usage'!$A$5:$A$904,A22)&gt;0),"Check - this product also has a bill of materials",IF(AND(A22&lt;&gt;"",COUNTIFS(Labor!$A$5:$A$304,A22)&gt;0),"Check - this product also has labour lines",IF(AO22&lt;MinimumWage,"Below - pays under minimum wage","OK")))))) )</f>
        <v>0</v>
      </c>
    </row>
    <row r="23" spans="20:42">
      <c r="T23" s="20">
        <f>IF(B23="","",IF(Q23&lt;&gt;"",Q23,LaborCostHour))</f>
        <v>0</v>
      </c>
      <c r="U23" s="41">
        <f>IF(B23="","",IF(F23="",0,F23)+IF(G23="",0,G23)+IF(H23="",0,H23)+IF(I23="",0,I23)+IF(N23="",0,N23))</f>
        <v>0</v>
      </c>
      <c r="V23" s="20">
        <f>IF(B23="","",ROUND(U23*T23+IF(J23="",0,J23),2))</f>
        <v>0</v>
      </c>
      <c r="W23" s="32">
        <f>IF(B23="","",MAX(1,IF(L23="",1,L23)))</f>
        <v>0</v>
      </c>
      <c r="X23" s="20">
        <f>IF(B23="","",0)</f>
        <v>0</v>
      </c>
      <c r="Y23" s="36">
        <f>IF(B23="","",ROUND(U23*60/W23+IF(M23="",0,M23),1))</f>
        <v>0</v>
      </c>
      <c r="Z23" s="20">
        <f>IF(B23="","",ROUND(V23/W23+IF(M23="",0,M23)/60*T23,2))</f>
        <v>0</v>
      </c>
      <c r="AA23" s="20">
        <f>IF(B23="","",ROUND(IF(K23="",0,K23)/W23,2))</f>
        <v>0</v>
      </c>
      <c r="AB23" s="20">
        <f>IF(B23="","",ROUND(IF(O23="",0,O23)*MAX(0,AL23+Z23-IF(M23="",0,M23)/60*T23),2))</f>
        <v>0</v>
      </c>
      <c r="AC23" s="33">
        <f>IF(B23="","",IF(V23=0,"",AB23/V23))</f>
        <v>0</v>
      </c>
      <c r="AD23" s="32">
        <f>IF(B23="","",IF(OR(AK23="",AK23-AA23-(AK23*AF23+AG23)-IF(M23="",0,M23)/60*T23&lt;=0),"Never at this price",ROUNDUP(V23/(AK23-AA23-(AK23*AF23+AG23)-IF(M23="",0,M23)/60*T23),0)))</f>
        <v>0</v>
      </c>
      <c r="AE23" s="20">
        <f>IF(B23="","",ROUND(X23+Z23+AA23,2))</f>
        <v>0</v>
      </c>
      <c r="AF23" s="33">
        <f>IF(B23="","",IFERROR(INDEX(Channels!$S$5:$S$18,MATCH(DefaultChannel,Channels!$A$5:$A$18,0)),0))</f>
        <v>0</v>
      </c>
      <c r="AG23" s="20">
        <f>IF(B23="","",IFERROR(INDEX(Channels!$T$5:$T$18,MATCH(DefaultChannel,Channels!$A$5:$A$18,0)),0))</f>
        <v>0</v>
      </c>
      <c r="AH23" s="41">
        <f>IF(B23="","",1-TargetRetailMargin-AF23)</f>
        <v>0</v>
      </c>
      <c r="AI23" s="20">
        <f>IF(B23="","",IF(AH23&lt;=0,"",(AE23+AG23)/AH23))</f>
        <v>0</v>
      </c>
      <c r="AJ23" s="20">
        <f>IF(B23="","",IF(AI23="","Check the settings",ROUND(IF(RoundingRule="None",AI23,IF(RoundingRule="Nearest 0.99",MAX(0.99,CEILING(AI23,1)-0.01),IF(RoundingRule="Nearest 0.95",MAX(0.95,CEILING(AI23,1)-0.05),IF(RoundingRule="Nearest 0.50",CEILING(AI23,0.5),IF(RoundingRule="Nearest 1",CEILING(AI23,1),IF(RoundingRule="Nearest 5",CEILING(AI23,5),IF(RoundingRule="Up to whole 1",CEILING(AI23,1),IF(RoundingRule="Up to whole 5",CEILING(AI23,5),ROUND(AI23,2))))))))),2)))</f>
        <v>0</v>
      </c>
      <c r="AK23" s="20">
        <f>IF(B23="","",IF(R23&lt;&gt;"",R23,IF(ISNUMBER(AJ23),AJ23,"")))</f>
        <v>0</v>
      </c>
      <c r="AL23" s="20">
        <f>IF(B23="","",IF(AK23="","",ROUND(AK23-AE23-(AK23*AF23+AG23),2)))</f>
        <v>0</v>
      </c>
      <c r="AM23" s="33">
        <f>IF(B23="","",IF(OR(AK23="",AK23=0),"",AL23/AK23))</f>
        <v>0</v>
      </c>
      <c r="AN23" s="41">
        <f>IF(B23="","",ROUND(Y23/60,3))</f>
        <v>0</v>
      </c>
      <c r="AO23" s="20">
        <f>IF(B23="","",IF(OR(AN23=0,AN23="",AL23=""),"",ROUND((AL23+Z23)/AN23,2)))</f>
        <v>0</v>
      </c>
      <c r="AP23" s="43">
        <f>IF(B23="","",IF(AND(A23&lt;&gt;"",ISERROR(MATCH(A23,Products!$A$5:$A$304,0))),"Check - no such product ID",IF(Z23=0,"Add - no material cost yet",IF(Y23=0,"Add - how long does it take?",IF(AND(A23&lt;&gt;"",COUNTIFS('Material Usage'!$A$5:$A$904,A23)&gt;0),"Check - this product also has a bill of materials",IF(AND(A23&lt;&gt;"",COUNTIFS(Labor!$A$5:$A$304,A23)&gt;0),"Check - this product also has labour lines",IF(AO23&lt;MinimumWage,"Below - pays under minimum wage","OK")))))) )</f>
        <v>0</v>
      </c>
    </row>
    <row r="24" spans="20:42">
      <c r="T24" s="20">
        <f>IF(B24="","",IF(Q24&lt;&gt;"",Q24,LaborCostHour))</f>
        <v>0</v>
      </c>
      <c r="U24" s="41">
        <f>IF(B24="","",IF(F24="",0,F24)+IF(G24="",0,G24)+IF(H24="",0,H24)+IF(I24="",0,I24)+IF(N24="",0,N24))</f>
        <v>0</v>
      </c>
      <c r="V24" s="20">
        <f>IF(B24="","",ROUND(U24*T24+IF(J24="",0,J24),2))</f>
        <v>0</v>
      </c>
      <c r="W24" s="32">
        <f>IF(B24="","",MAX(1,IF(L24="",1,L24)))</f>
        <v>0</v>
      </c>
      <c r="X24" s="20">
        <f>IF(B24="","",0)</f>
        <v>0</v>
      </c>
      <c r="Y24" s="36">
        <f>IF(B24="","",ROUND(U24*60/W24+IF(M24="",0,M24),1))</f>
        <v>0</v>
      </c>
      <c r="Z24" s="20">
        <f>IF(B24="","",ROUND(V24/W24+IF(M24="",0,M24)/60*T24,2))</f>
        <v>0</v>
      </c>
      <c r="AA24" s="20">
        <f>IF(B24="","",ROUND(IF(K24="",0,K24)/W24,2))</f>
        <v>0</v>
      </c>
      <c r="AB24" s="20">
        <f>IF(B24="","",ROUND(IF(O24="",0,O24)*MAX(0,AL24+Z24-IF(M24="",0,M24)/60*T24),2))</f>
        <v>0</v>
      </c>
      <c r="AC24" s="33">
        <f>IF(B24="","",IF(V24=0,"",AB24/V24))</f>
        <v>0</v>
      </c>
      <c r="AD24" s="32">
        <f>IF(B24="","",IF(OR(AK24="",AK24-AA24-(AK24*AF24+AG24)-IF(M24="",0,M24)/60*T24&lt;=0),"Never at this price",ROUNDUP(V24/(AK24-AA24-(AK24*AF24+AG24)-IF(M24="",0,M24)/60*T24),0)))</f>
        <v>0</v>
      </c>
      <c r="AE24" s="20">
        <f>IF(B24="","",ROUND(X24+Z24+AA24,2))</f>
        <v>0</v>
      </c>
      <c r="AF24" s="33">
        <f>IF(B24="","",IFERROR(INDEX(Channels!$S$5:$S$18,MATCH(DefaultChannel,Channels!$A$5:$A$18,0)),0))</f>
        <v>0</v>
      </c>
      <c r="AG24" s="20">
        <f>IF(B24="","",IFERROR(INDEX(Channels!$T$5:$T$18,MATCH(DefaultChannel,Channels!$A$5:$A$18,0)),0))</f>
        <v>0</v>
      </c>
      <c r="AH24" s="41">
        <f>IF(B24="","",1-TargetRetailMargin-AF24)</f>
        <v>0</v>
      </c>
      <c r="AI24" s="20">
        <f>IF(B24="","",IF(AH24&lt;=0,"",(AE24+AG24)/AH24))</f>
        <v>0</v>
      </c>
      <c r="AJ24" s="20">
        <f>IF(B24="","",IF(AI24="","Check the settings",ROUND(IF(RoundingRule="None",AI24,IF(RoundingRule="Nearest 0.99",MAX(0.99,CEILING(AI24,1)-0.01),IF(RoundingRule="Nearest 0.95",MAX(0.95,CEILING(AI24,1)-0.05),IF(RoundingRule="Nearest 0.50",CEILING(AI24,0.5),IF(RoundingRule="Nearest 1",CEILING(AI24,1),IF(RoundingRule="Nearest 5",CEILING(AI24,5),IF(RoundingRule="Up to whole 1",CEILING(AI24,1),IF(RoundingRule="Up to whole 5",CEILING(AI24,5),ROUND(AI24,2))))))))),2)))</f>
        <v>0</v>
      </c>
      <c r="AK24" s="20">
        <f>IF(B24="","",IF(R24&lt;&gt;"",R24,IF(ISNUMBER(AJ24),AJ24,"")))</f>
        <v>0</v>
      </c>
      <c r="AL24" s="20">
        <f>IF(B24="","",IF(AK24="","",ROUND(AK24-AE24-(AK24*AF24+AG24),2)))</f>
        <v>0</v>
      </c>
      <c r="AM24" s="33">
        <f>IF(B24="","",IF(OR(AK24="",AK24=0),"",AL24/AK24))</f>
        <v>0</v>
      </c>
      <c r="AN24" s="41">
        <f>IF(B24="","",ROUND(Y24/60,3))</f>
        <v>0</v>
      </c>
      <c r="AO24" s="20">
        <f>IF(B24="","",IF(OR(AN24=0,AN24="",AL24=""),"",ROUND((AL24+Z24)/AN24,2)))</f>
        <v>0</v>
      </c>
      <c r="AP24" s="43">
        <f>IF(B24="","",IF(AND(A24&lt;&gt;"",ISERROR(MATCH(A24,Products!$A$5:$A$304,0))),"Check - no such product ID",IF(Z24=0,"Add - no material cost yet",IF(Y24=0,"Add - how long does it take?",IF(AND(A24&lt;&gt;"",COUNTIFS('Material Usage'!$A$5:$A$904,A24)&gt;0),"Check - this product also has a bill of materials",IF(AND(A24&lt;&gt;"",COUNTIFS(Labor!$A$5:$A$304,A24)&gt;0),"Check - this product also has labour lines",IF(AO24&lt;MinimumWage,"Below - pays under minimum wage","OK")))))) )</f>
        <v>0</v>
      </c>
    </row>
    <row r="25" spans="20:42">
      <c r="T25" s="20">
        <f>IF(B25="","",IF(Q25&lt;&gt;"",Q25,LaborCostHour))</f>
        <v>0</v>
      </c>
      <c r="U25" s="41">
        <f>IF(B25="","",IF(F25="",0,F25)+IF(G25="",0,G25)+IF(H25="",0,H25)+IF(I25="",0,I25)+IF(N25="",0,N25))</f>
        <v>0</v>
      </c>
      <c r="V25" s="20">
        <f>IF(B25="","",ROUND(U25*T25+IF(J25="",0,J25),2))</f>
        <v>0</v>
      </c>
      <c r="W25" s="32">
        <f>IF(B25="","",MAX(1,IF(L25="",1,L25)))</f>
        <v>0</v>
      </c>
      <c r="X25" s="20">
        <f>IF(B25="","",0)</f>
        <v>0</v>
      </c>
      <c r="Y25" s="36">
        <f>IF(B25="","",ROUND(U25*60/W25+IF(M25="",0,M25),1))</f>
        <v>0</v>
      </c>
      <c r="Z25" s="20">
        <f>IF(B25="","",ROUND(V25/W25+IF(M25="",0,M25)/60*T25,2))</f>
        <v>0</v>
      </c>
      <c r="AA25" s="20">
        <f>IF(B25="","",ROUND(IF(K25="",0,K25)/W25,2))</f>
        <v>0</v>
      </c>
      <c r="AB25" s="20">
        <f>IF(B25="","",ROUND(IF(O25="",0,O25)*MAX(0,AL25+Z25-IF(M25="",0,M25)/60*T25),2))</f>
        <v>0</v>
      </c>
      <c r="AC25" s="33">
        <f>IF(B25="","",IF(V25=0,"",AB25/V25))</f>
        <v>0</v>
      </c>
      <c r="AD25" s="32">
        <f>IF(B25="","",IF(OR(AK25="",AK25-AA25-(AK25*AF25+AG25)-IF(M25="",0,M25)/60*T25&lt;=0),"Never at this price",ROUNDUP(V25/(AK25-AA25-(AK25*AF25+AG25)-IF(M25="",0,M25)/60*T25),0)))</f>
        <v>0</v>
      </c>
      <c r="AE25" s="20">
        <f>IF(B25="","",ROUND(X25+Z25+AA25,2))</f>
        <v>0</v>
      </c>
      <c r="AF25" s="33">
        <f>IF(B25="","",IFERROR(INDEX(Channels!$S$5:$S$18,MATCH(DefaultChannel,Channels!$A$5:$A$18,0)),0))</f>
        <v>0</v>
      </c>
      <c r="AG25" s="20">
        <f>IF(B25="","",IFERROR(INDEX(Channels!$T$5:$T$18,MATCH(DefaultChannel,Channels!$A$5:$A$18,0)),0))</f>
        <v>0</v>
      </c>
      <c r="AH25" s="41">
        <f>IF(B25="","",1-TargetRetailMargin-AF25)</f>
        <v>0</v>
      </c>
      <c r="AI25" s="20">
        <f>IF(B25="","",IF(AH25&lt;=0,"",(AE25+AG25)/AH25))</f>
        <v>0</v>
      </c>
      <c r="AJ25" s="20">
        <f>IF(B25="","",IF(AI25="","Check the settings",ROUND(IF(RoundingRule="None",AI25,IF(RoundingRule="Nearest 0.99",MAX(0.99,CEILING(AI25,1)-0.01),IF(RoundingRule="Nearest 0.95",MAX(0.95,CEILING(AI25,1)-0.05),IF(RoundingRule="Nearest 0.50",CEILING(AI25,0.5),IF(RoundingRule="Nearest 1",CEILING(AI25,1),IF(RoundingRule="Nearest 5",CEILING(AI25,5),IF(RoundingRule="Up to whole 1",CEILING(AI25,1),IF(RoundingRule="Up to whole 5",CEILING(AI25,5),ROUND(AI25,2))))))))),2)))</f>
        <v>0</v>
      </c>
      <c r="AK25" s="20">
        <f>IF(B25="","",IF(R25&lt;&gt;"",R25,IF(ISNUMBER(AJ25),AJ25,"")))</f>
        <v>0</v>
      </c>
      <c r="AL25" s="20">
        <f>IF(B25="","",IF(AK25="","",ROUND(AK25-AE25-(AK25*AF25+AG25),2)))</f>
        <v>0</v>
      </c>
      <c r="AM25" s="33">
        <f>IF(B25="","",IF(OR(AK25="",AK25=0),"",AL25/AK25))</f>
        <v>0</v>
      </c>
      <c r="AN25" s="41">
        <f>IF(B25="","",ROUND(Y25/60,3))</f>
        <v>0</v>
      </c>
      <c r="AO25" s="20">
        <f>IF(B25="","",IF(OR(AN25=0,AN25="",AL25=""),"",ROUND((AL25+Z25)/AN25,2)))</f>
        <v>0</v>
      </c>
      <c r="AP25" s="43">
        <f>IF(B25="","",IF(AND(A25&lt;&gt;"",ISERROR(MATCH(A25,Products!$A$5:$A$304,0))),"Check - no such product ID",IF(Z25=0,"Add - no material cost yet",IF(Y25=0,"Add - how long does it take?",IF(AND(A25&lt;&gt;"",COUNTIFS('Material Usage'!$A$5:$A$904,A25)&gt;0),"Check - this product also has a bill of materials",IF(AND(A25&lt;&gt;"",COUNTIFS(Labor!$A$5:$A$304,A25)&gt;0),"Check - this product also has labour lines",IF(AO25&lt;MinimumWage,"Below - pays under minimum wage","OK")))))) )</f>
        <v>0</v>
      </c>
    </row>
    <row r="26" spans="20:42">
      <c r="T26" s="20">
        <f>IF(B26="","",IF(Q26&lt;&gt;"",Q26,LaborCostHour))</f>
        <v>0</v>
      </c>
      <c r="U26" s="41">
        <f>IF(B26="","",IF(F26="",0,F26)+IF(G26="",0,G26)+IF(H26="",0,H26)+IF(I26="",0,I26)+IF(N26="",0,N26))</f>
        <v>0</v>
      </c>
      <c r="V26" s="20">
        <f>IF(B26="","",ROUND(U26*T26+IF(J26="",0,J26),2))</f>
        <v>0</v>
      </c>
      <c r="W26" s="32">
        <f>IF(B26="","",MAX(1,IF(L26="",1,L26)))</f>
        <v>0</v>
      </c>
      <c r="X26" s="20">
        <f>IF(B26="","",0)</f>
        <v>0</v>
      </c>
      <c r="Y26" s="36">
        <f>IF(B26="","",ROUND(U26*60/W26+IF(M26="",0,M26),1))</f>
        <v>0</v>
      </c>
      <c r="Z26" s="20">
        <f>IF(B26="","",ROUND(V26/W26+IF(M26="",0,M26)/60*T26,2))</f>
        <v>0</v>
      </c>
      <c r="AA26" s="20">
        <f>IF(B26="","",ROUND(IF(K26="",0,K26)/W26,2))</f>
        <v>0</v>
      </c>
      <c r="AB26" s="20">
        <f>IF(B26="","",ROUND(IF(O26="",0,O26)*MAX(0,AL26+Z26-IF(M26="",0,M26)/60*T26),2))</f>
        <v>0</v>
      </c>
      <c r="AC26" s="33">
        <f>IF(B26="","",IF(V26=0,"",AB26/V26))</f>
        <v>0</v>
      </c>
      <c r="AD26" s="32">
        <f>IF(B26="","",IF(OR(AK26="",AK26-AA26-(AK26*AF26+AG26)-IF(M26="",0,M26)/60*T26&lt;=0),"Never at this price",ROUNDUP(V26/(AK26-AA26-(AK26*AF26+AG26)-IF(M26="",0,M26)/60*T26),0)))</f>
        <v>0</v>
      </c>
      <c r="AE26" s="20">
        <f>IF(B26="","",ROUND(X26+Z26+AA26,2))</f>
        <v>0</v>
      </c>
      <c r="AF26" s="33">
        <f>IF(B26="","",IFERROR(INDEX(Channels!$S$5:$S$18,MATCH(DefaultChannel,Channels!$A$5:$A$18,0)),0))</f>
        <v>0</v>
      </c>
      <c r="AG26" s="20">
        <f>IF(B26="","",IFERROR(INDEX(Channels!$T$5:$T$18,MATCH(DefaultChannel,Channels!$A$5:$A$18,0)),0))</f>
        <v>0</v>
      </c>
      <c r="AH26" s="41">
        <f>IF(B26="","",1-TargetRetailMargin-AF26)</f>
        <v>0</v>
      </c>
      <c r="AI26" s="20">
        <f>IF(B26="","",IF(AH26&lt;=0,"",(AE26+AG26)/AH26))</f>
        <v>0</v>
      </c>
      <c r="AJ26" s="20">
        <f>IF(B26="","",IF(AI26="","Check the settings",ROUND(IF(RoundingRule="None",AI26,IF(RoundingRule="Nearest 0.99",MAX(0.99,CEILING(AI26,1)-0.01),IF(RoundingRule="Nearest 0.95",MAX(0.95,CEILING(AI26,1)-0.05),IF(RoundingRule="Nearest 0.50",CEILING(AI26,0.5),IF(RoundingRule="Nearest 1",CEILING(AI26,1),IF(RoundingRule="Nearest 5",CEILING(AI26,5),IF(RoundingRule="Up to whole 1",CEILING(AI26,1),IF(RoundingRule="Up to whole 5",CEILING(AI26,5),ROUND(AI26,2))))))))),2)))</f>
        <v>0</v>
      </c>
      <c r="AK26" s="20">
        <f>IF(B26="","",IF(R26&lt;&gt;"",R26,IF(ISNUMBER(AJ26),AJ26,"")))</f>
        <v>0</v>
      </c>
      <c r="AL26" s="20">
        <f>IF(B26="","",IF(AK26="","",ROUND(AK26-AE26-(AK26*AF26+AG26),2)))</f>
        <v>0</v>
      </c>
      <c r="AM26" s="33">
        <f>IF(B26="","",IF(OR(AK26="",AK26=0),"",AL26/AK26))</f>
        <v>0</v>
      </c>
      <c r="AN26" s="41">
        <f>IF(B26="","",ROUND(Y26/60,3))</f>
        <v>0</v>
      </c>
      <c r="AO26" s="20">
        <f>IF(B26="","",IF(OR(AN26=0,AN26="",AL26=""),"",ROUND((AL26+Z26)/AN26,2)))</f>
        <v>0</v>
      </c>
      <c r="AP26" s="43">
        <f>IF(B26="","",IF(AND(A26&lt;&gt;"",ISERROR(MATCH(A26,Products!$A$5:$A$304,0))),"Check - no such product ID",IF(Z26=0,"Add - no material cost yet",IF(Y26=0,"Add - how long does it take?",IF(AND(A26&lt;&gt;"",COUNTIFS('Material Usage'!$A$5:$A$904,A26)&gt;0),"Check - this product also has a bill of materials",IF(AND(A26&lt;&gt;"",COUNTIFS(Labor!$A$5:$A$304,A26)&gt;0),"Check - this product also has labour lines",IF(AO26&lt;MinimumWage,"Below - pays under minimum wage","OK")))))) )</f>
        <v>0</v>
      </c>
    </row>
    <row r="27" spans="20:42">
      <c r="T27" s="20">
        <f>IF(B27="","",IF(Q27&lt;&gt;"",Q27,LaborCostHour))</f>
        <v>0</v>
      </c>
      <c r="U27" s="41">
        <f>IF(B27="","",IF(F27="",0,F27)+IF(G27="",0,G27)+IF(H27="",0,H27)+IF(I27="",0,I27)+IF(N27="",0,N27))</f>
        <v>0</v>
      </c>
      <c r="V27" s="20">
        <f>IF(B27="","",ROUND(U27*T27+IF(J27="",0,J27),2))</f>
        <v>0</v>
      </c>
      <c r="W27" s="32">
        <f>IF(B27="","",MAX(1,IF(L27="",1,L27)))</f>
        <v>0</v>
      </c>
      <c r="X27" s="20">
        <f>IF(B27="","",0)</f>
        <v>0</v>
      </c>
      <c r="Y27" s="36">
        <f>IF(B27="","",ROUND(U27*60/W27+IF(M27="",0,M27),1))</f>
        <v>0</v>
      </c>
      <c r="Z27" s="20">
        <f>IF(B27="","",ROUND(V27/W27+IF(M27="",0,M27)/60*T27,2))</f>
        <v>0</v>
      </c>
      <c r="AA27" s="20">
        <f>IF(B27="","",ROUND(IF(K27="",0,K27)/W27,2))</f>
        <v>0</v>
      </c>
      <c r="AB27" s="20">
        <f>IF(B27="","",ROUND(IF(O27="",0,O27)*MAX(0,AL27+Z27-IF(M27="",0,M27)/60*T27),2))</f>
        <v>0</v>
      </c>
      <c r="AC27" s="33">
        <f>IF(B27="","",IF(V27=0,"",AB27/V27))</f>
        <v>0</v>
      </c>
      <c r="AD27" s="32">
        <f>IF(B27="","",IF(OR(AK27="",AK27-AA27-(AK27*AF27+AG27)-IF(M27="",0,M27)/60*T27&lt;=0),"Never at this price",ROUNDUP(V27/(AK27-AA27-(AK27*AF27+AG27)-IF(M27="",0,M27)/60*T27),0)))</f>
        <v>0</v>
      </c>
      <c r="AE27" s="20">
        <f>IF(B27="","",ROUND(X27+Z27+AA27,2))</f>
        <v>0</v>
      </c>
      <c r="AF27" s="33">
        <f>IF(B27="","",IFERROR(INDEX(Channels!$S$5:$S$18,MATCH(DefaultChannel,Channels!$A$5:$A$18,0)),0))</f>
        <v>0</v>
      </c>
      <c r="AG27" s="20">
        <f>IF(B27="","",IFERROR(INDEX(Channels!$T$5:$T$18,MATCH(DefaultChannel,Channels!$A$5:$A$18,0)),0))</f>
        <v>0</v>
      </c>
      <c r="AH27" s="41">
        <f>IF(B27="","",1-TargetRetailMargin-AF27)</f>
        <v>0</v>
      </c>
      <c r="AI27" s="20">
        <f>IF(B27="","",IF(AH27&lt;=0,"",(AE27+AG27)/AH27))</f>
        <v>0</v>
      </c>
      <c r="AJ27" s="20">
        <f>IF(B27="","",IF(AI27="","Check the settings",ROUND(IF(RoundingRule="None",AI27,IF(RoundingRule="Nearest 0.99",MAX(0.99,CEILING(AI27,1)-0.01),IF(RoundingRule="Nearest 0.95",MAX(0.95,CEILING(AI27,1)-0.05),IF(RoundingRule="Nearest 0.50",CEILING(AI27,0.5),IF(RoundingRule="Nearest 1",CEILING(AI27,1),IF(RoundingRule="Nearest 5",CEILING(AI27,5),IF(RoundingRule="Up to whole 1",CEILING(AI27,1),IF(RoundingRule="Up to whole 5",CEILING(AI27,5),ROUND(AI27,2))))))))),2)))</f>
        <v>0</v>
      </c>
      <c r="AK27" s="20">
        <f>IF(B27="","",IF(R27&lt;&gt;"",R27,IF(ISNUMBER(AJ27),AJ27,"")))</f>
        <v>0</v>
      </c>
      <c r="AL27" s="20">
        <f>IF(B27="","",IF(AK27="","",ROUND(AK27-AE27-(AK27*AF27+AG27),2)))</f>
        <v>0</v>
      </c>
      <c r="AM27" s="33">
        <f>IF(B27="","",IF(OR(AK27="",AK27=0),"",AL27/AK27))</f>
        <v>0</v>
      </c>
      <c r="AN27" s="41">
        <f>IF(B27="","",ROUND(Y27/60,3))</f>
        <v>0</v>
      </c>
      <c r="AO27" s="20">
        <f>IF(B27="","",IF(OR(AN27=0,AN27="",AL27=""),"",ROUND((AL27+Z27)/AN27,2)))</f>
        <v>0</v>
      </c>
      <c r="AP27" s="43">
        <f>IF(B27="","",IF(AND(A27&lt;&gt;"",ISERROR(MATCH(A27,Products!$A$5:$A$304,0))),"Check - no such product ID",IF(Z27=0,"Add - no material cost yet",IF(Y27=0,"Add - how long does it take?",IF(AND(A27&lt;&gt;"",COUNTIFS('Material Usage'!$A$5:$A$904,A27)&gt;0),"Check - this product also has a bill of materials",IF(AND(A27&lt;&gt;"",COUNTIFS(Labor!$A$5:$A$304,A27)&gt;0),"Check - this product also has labour lines",IF(AO27&lt;MinimumWage,"Below - pays under minimum wage","OK")))))) )</f>
        <v>0</v>
      </c>
    </row>
    <row r="28" spans="20:42">
      <c r="T28" s="20">
        <f>IF(B28="","",IF(Q28&lt;&gt;"",Q28,LaborCostHour))</f>
        <v>0</v>
      </c>
      <c r="U28" s="41">
        <f>IF(B28="","",IF(F28="",0,F28)+IF(G28="",0,G28)+IF(H28="",0,H28)+IF(I28="",0,I28)+IF(N28="",0,N28))</f>
        <v>0</v>
      </c>
      <c r="V28" s="20">
        <f>IF(B28="","",ROUND(U28*T28+IF(J28="",0,J28),2))</f>
        <v>0</v>
      </c>
      <c r="W28" s="32">
        <f>IF(B28="","",MAX(1,IF(L28="",1,L28)))</f>
        <v>0</v>
      </c>
      <c r="X28" s="20">
        <f>IF(B28="","",0)</f>
        <v>0</v>
      </c>
      <c r="Y28" s="36">
        <f>IF(B28="","",ROUND(U28*60/W28+IF(M28="",0,M28),1))</f>
        <v>0</v>
      </c>
      <c r="Z28" s="20">
        <f>IF(B28="","",ROUND(V28/W28+IF(M28="",0,M28)/60*T28,2))</f>
        <v>0</v>
      </c>
      <c r="AA28" s="20">
        <f>IF(B28="","",ROUND(IF(K28="",0,K28)/W28,2))</f>
        <v>0</v>
      </c>
      <c r="AB28" s="20">
        <f>IF(B28="","",ROUND(IF(O28="",0,O28)*MAX(0,AL28+Z28-IF(M28="",0,M28)/60*T28),2))</f>
        <v>0</v>
      </c>
      <c r="AC28" s="33">
        <f>IF(B28="","",IF(V28=0,"",AB28/V28))</f>
        <v>0</v>
      </c>
      <c r="AD28" s="32">
        <f>IF(B28="","",IF(OR(AK28="",AK28-AA28-(AK28*AF28+AG28)-IF(M28="",0,M28)/60*T28&lt;=0),"Never at this price",ROUNDUP(V28/(AK28-AA28-(AK28*AF28+AG28)-IF(M28="",0,M28)/60*T28),0)))</f>
        <v>0</v>
      </c>
      <c r="AE28" s="20">
        <f>IF(B28="","",ROUND(X28+Z28+AA28,2))</f>
        <v>0</v>
      </c>
      <c r="AF28" s="33">
        <f>IF(B28="","",IFERROR(INDEX(Channels!$S$5:$S$18,MATCH(DefaultChannel,Channels!$A$5:$A$18,0)),0))</f>
        <v>0</v>
      </c>
      <c r="AG28" s="20">
        <f>IF(B28="","",IFERROR(INDEX(Channels!$T$5:$T$18,MATCH(DefaultChannel,Channels!$A$5:$A$18,0)),0))</f>
        <v>0</v>
      </c>
      <c r="AH28" s="41">
        <f>IF(B28="","",1-TargetRetailMargin-AF28)</f>
        <v>0</v>
      </c>
      <c r="AI28" s="20">
        <f>IF(B28="","",IF(AH28&lt;=0,"",(AE28+AG28)/AH28))</f>
        <v>0</v>
      </c>
      <c r="AJ28" s="20">
        <f>IF(B28="","",IF(AI28="","Check the settings",ROUND(IF(RoundingRule="None",AI28,IF(RoundingRule="Nearest 0.99",MAX(0.99,CEILING(AI28,1)-0.01),IF(RoundingRule="Nearest 0.95",MAX(0.95,CEILING(AI28,1)-0.05),IF(RoundingRule="Nearest 0.50",CEILING(AI28,0.5),IF(RoundingRule="Nearest 1",CEILING(AI28,1),IF(RoundingRule="Nearest 5",CEILING(AI28,5),IF(RoundingRule="Up to whole 1",CEILING(AI28,1),IF(RoundingRule="Up to whole 5",CEILING(AI28,5),ROUND(AI28,2))))))))),2)))</f>
        <v>0</v>
      </c>
      <c r="AK28" s="20">
        <f>IF(B28="","",IF(R28&lt;&gt;"",R28,IF(ISNUMBER(AJ28),AJ28,"")))</f>
        <v>0</v>
      </c>
      <c r="AL28" s="20">
        <f>IF(B28="","",IF(AK28="","",ROUND(AK28-AE28-(AK28*AF28+AG28),2)))</f>
        <v>0</v>
      </c>
      <c r="AM28" s="33">
        <f>IF(B28="","",IF(OR(AK28="",AK28=0),"",AL28/AK28))</f>
        <v>0</v>
      </c>
      <c r="AN28" s="41">
        <f>IF(B28="","",ROUND(Y28/60,3))</f>
        <v>0</v>
      </c>
      <c r="AO28" s="20">
        <f>IF(B28="","",IF(OR(AN28=0,AN28="",AL28=""),"",ROUND((AL28+Z28)/AN28,2)))</f>
        <v>0</v>
      </c>
      <c r="AP28" s="43">
        <f>IF(B28="","",IF(AND(A28&lt;&gt;"",ISERROR(MATCH(A28,Products!$A$5:$A$304,0))),"Check - no such product ID",IF(Z28=0,"Add - no material cost yet",IF(Y28=0,"Add - how long does it take?",IF(AND(A28&lt;&gt;"",COUNTIFS('Material Usage'!$A$5:$A$904,A28)&gt;0),"Check - this product also has a bill of materials",IF(AND(A28&lt;&gt;"",COUNTIFS(Labor!$A$5:$A$304,A28)&gt;0),"Check - this product also has labour lines",IF(AO28&lt;MinimumWage,"Below - pays under minimum wage","OK")))))) )</f>
        <v>0</v>
      </c>
    </row>
    <row r="29" spans="20:42">
      <c r="T29" s="20">
        <f>IF(B29="","",IF(Q29&lt;&gt;"",Q29,LaborCostHour))</f>
        <v>0</v>
      </c>
      <c r="U29" s="41">
        <f>IF(B29="","",IF(F29="",0,F29)+IF(G29="",0,G29)+IF(H29="",0,H29)+IF(I29="",0,I29)+IF(N29="",0,N29))</f>
        <v>0</v>
      </c>
      <c r="V29" s="20">
        <f>IF(B29="","",ROUND(U29*T29+IF(J29="",0,J29),2))</f>
        <v>0</v>
      </c>
      <c r="W29" s="32">
        <f>IF(B29="","",MAX(1,IF(L29="",1,L29)))</f>
        <v>0</v>
      </c>
      <c r="X29" s="20">
        <f>IF(B29="","",0)</f>
        <v>0</v>
      </c>
      <c r="Y29" s="36">
        <f>IF(B29="","",ROUND(U29*60/W29+IF(M29="",0,M29),1))</f>
        <v>0</v>
      </c>
      <c r="Z29" s="20">
        <f>IF(B29="","",ROUND(V29/W29+IF(M29="",0,M29)/60*T29,2))</f>
        <v>0</v>
      </c>
      <c r="AA29" s="20">
        <f>IF(B29="","",ROUND(IF(K29="",0,K29)/W29,2))</f>
        <v>0</v>
      </c>
      <c r="AB29" s="20">
        <f>IF(B29="","",ROUND(IF(O29="",0,O29)*MAX(0,AL29+Z29-IF(M29="",0,M29)/60*T29),2))</f>
        <v>0</v>
      </c>
      <c r="AC29" s="33">
        <f>IF(B29="","",IF(V29=0,"",AB29/V29))</f>
        <v>0</v>
      </c>
      <c r="AD29" s="32">
        <f>IF(B29="","",IF(OR(AK29="",AK29-AA29-(AK29*AF29+AG29)-IF(M29="",0,M29)/60*T29&lt;=0),"Never at this price",ROUNDUP(V29/(AK29-AA29-(AK29*AF29+AG29)-IF(M29="",0,M29)/60*T29),0)))</f>
        <v>0</v>
      </c>
      <c r="AE29" s="20">
        <f>IF(B29="","",ROUND(X29+Z29+AA29,2))</f>
        <v>0</v>
      </c>
      <c r="AF29" s="33">
        <f>IF(B29="","",IFERROR(INDEX(Channels!$S$5:$S$18,MATCH(DefaultChannel,Channels!$A$5:$A$18,0)),0))</f>
        <v>0</v>
      </c>
      <c r="AG29" s="20">
        <f>IF(B29="","",IFERROR(INDEX(Channels!$T$5:$T$18,MATCH(DefaultChannel,Channels!$A$5:$A$18,0)),0))</f>
        <v>0</v>
      </c>
      <c r="AH29" s="41">
        <f>IF(B29="","",1-TargetRetailMargin-AF29)</f>
        <v>0</v>
      </c>
      <c r="AI29" s="20">
        <f>IF(B29="","",IF(AH29&lt;=0,"",(AE29+AG29)/AH29))</f>
        <v>0</v>
      </c>
      <c r="AJ29" s="20">
        <f>IF(B29="","",IF(AI29="","Check the settings",ROUND(IF(RoundingRule="None",AI29,IF(RoundingRule="Nearest 0.99",MAX(0.99,CEILING(AI29,1)-0.01),IF(RoundingRule="Nearest 0.95",MAX(0.95,CEILING(AI29,1)-0.05),IF(RoundingRule="Nearest 0.50",CEILING(AI29,0.5),IF(RoundingRule="Nearest 1",CEILING(AI29,1),IF(RoundingRule="Nearest 5",CEILING(AI29,5),IF(RoundingRule="Up to whole 1",CEILING(AI29,1),IF(RoundingRule="Up to whole 5",CEILING(AI29,5),ROUND(AI29,2))))))))),2)))</f>
        <v>0</v>
      </c>
      <c r="AK29" s="20">
        <f>IF(B29="","",IF(R29&lt;&gt;"",R29,IF(ISNUMBER(AJ29),AJ29,"")))</f>
        <v>0</v>
      </c>
      <c r="AL29" s="20">
        <f>IF(B29="","",IF(AK29="","",ROUND(AK29-AE29-(AK29*AF29+AG29),2)))</f>
        <v>0</v>
      </c>
      <c r="AM29" s="33">
        <f>IF(B29="","",IF(OR(AK29="",AK29=0),"",AL29/AK29))</f>
        <v>0</v>
      </c>
      <c r="AN29" s="41">
        <f>IF(B29="","",ROUND(Y29/60,3))</f>
        <v>0</v>
      </c>
      <c r="AO29" s="20">
        <f>IF(B29="","",IF(OR(AN29=0,AN29="",AL29=""),"",ROUND((AL29+Z29)/AN29,2)))</f>
        <v>0</v>
      </c>
      <c r="AP29" s="43">
        <f>IF(B29="","",IF(AND(A29&lt;&gt;"",ISERROR(MATCH(A29,Products!$A$5:$A$304,0))),"Check - no such product ID",IF(Z29=0,"Add - no material cost yet",IF(Y29=0,"Add - how long does it take?",IF(AND(A29&lt;&gt;"",COUNTIFS('Material Usage'!$A$5:$A$904,A29)&gt;0),"Check - this product also has a bill of materials",IF(AND(A29&lt;&gt;"",COUNTIFS(Labor!$A$5:$A$304,A29)&gt;0),"Check - this product also has labour lines",IF(AO29&lt;MinimumWage,"Below - pays under minimum wage","OK")))))) )</f>
        <v>0</v>
      </c>
    </row>
    <row r="30" spans="20:42">
      <c r="T30" s="20">
        <f>IF(B30="","",IF(Q30&lt;&gt;"",Q30,LaborCostHour))</f>
        <v>0</v>
      </c>
      <c r="U30" s="41">
        <f>IF(B30="","",IF(F30="",0,F30)+IF(G30="",0,G30)+IF(H30="",0,H30)+IF(I30="",0,I30)+IF(N30="",0,N30))</f>
        <v>0</v>
      </c>
      <c r="V30" s="20">
        <f>IF(B30="","",ROUND(U30*T30+IF(J30="",0,J30),2))</f>
        <v>0</v>
      </c>
      <c r="W30" s="32">
        <f>IF(B30="","",MAX(1,IF(L30="",1,L30)))</f>
        <v>0</v>
      </c>
      <c r="X30" s="20">
        <f>IF(B30="","",0)</f>
        <v>0</v>
      </c>
      <c r="Y30" s="36">
        <f>IF(B30="","",ROUND(U30*60/W30+IF(M30="",0,M30),1))</f>
        <v>0</v>
      </c>
      <c r="Z30" s="20">
        <f>IF(B30="","",ROUND(V30/W30+IF(M30="",0,M30)/60*T30,2))</f>
        <v>0</v>
      </c>
      <c r="AA30" s="20">
        <f>IF(B30="","",ROUND(IF(K30="",0,K30)/W30,2))</f>
        <v>0</v>
      </c>
      <c r="AB30" s="20">
        <f>IF(B30="","",ROUND(IF(O30="",0,O30)*MAX(0,AL30+Z30-IF(M30="",0,M30)/60*T30),2))</f>
        <v>0</v>
      </c>
      <c r="AC30" s="33">
        <f>IF(B30="","",IF(V30=0,"",AB30/V30))</f>
        <v>0</v>
      </c>
      <c r="AD30" s="32">
        <f>IF(B30="","",IF(OR(AK30="",AK30-AA30-(AK30*AF30+AG30)-IF(M30="",0,M30)/60*T30&lt;=0),"Never at this price",ROUNDUP(V30/(AK30-AA30-(AK30*AF30+AG30)-IF(M30="",0,M30)/60*T30),0)))</f>
        <v>0</v>
      </c>
      <c r="AE30" s="20">
        <f>IF(B30="","",ROUND(X30+Z30+AA30,2))</f>
        <v>0</v>
      </c>
      <c r="AF30" s="33">
        <f>IF(B30="","",IFERROR(INDEX(Channels!$S$5:$S$18,MATCH(DefaultChannel,Channels!$A$5:$A$18,0)),0))</f>
        <v>0</v>
      </c>
      <c r="AG30" s="20">
        <f>IF(B30="","",IFERROR(INDEX(Channels!$T$5:$T$18,MATCH(DefaultChannel,Channels!$A$5:$A$18,0)),0))</f>
        <v>0</v>
      </c>
      <c r="AH30" s="41">
        <f>IF(B30="","",1-TargetRetailMargin-AF30)</f>
        <v>0</v>
      </c>
      <c r="AI30" s="20">
        <f>IF(B30="","",IF(AH30&lt;=0,"",(AE30+AG30)/AH30))</f>
        <v>0</v>
      </c>
      <c r="AJ30" s="20">
        <f>IF(B30="","",IF(AI30="","Check the settings",ROUND(IF(RoundingRule="None",AI30,IF(RoundingRule="Nearest 0.99",MAX(0.99,CEILING(AI30,1)-0.01),IF(RoundingRule="Nearest 0.95",MAX(0.95,CEILING(AI30,1)-0.05),IF(RoundingRule="Nearest 0.50",CEILING(AI30,0.5),IF(RoundingRule="Nearest 1",CEILING(AI30,1),IF(RoundingRule="Nearest 5",CEILING(AI30,5),IF(RoundingRule="Up to whole 1",CEILING(AI30,1),IF(RoundingRule="Up to whole 5",CEILING(AI30,5),ROUND(AI30,2))))))))),2)))</f>
        <v>0</v>
      </c>
      <c r="AK30" s="20">
        <f>IF(B30="","",IF(R30&lt;&gt;"",R30,IF(ISNUMBER(AJ30),AJ30,"")))</f>
        <v>0</v>
      </c>
      <c r="AL30" s="20">
        <f>IF(B30="","",IF(AK30="","",ROUND(AK30-AE30-(AK30*AF30+AG30),2)))</f>
        <v>0</v>
      </c>
      <c r="AM30" s="33">
        <f>IF(B30="","",IF(OR(AK30="",AK30=0),"",AL30/AK30))</f>
        <v>0</v>
      </c>
      <c r="AN30" s="41">
        <f>IF(B30="","",ROUND(Y30/60,3))</f>
        <v>0</v>
      </c>
      <c r="AO30" s="20">
        <f>IF(B30="","",IF(OR(AN30=0,AN30="",AL30=""),"",ROUND((AL30+Z30)/AN30,2)))</f>
        <v>0</v>
      </c>
      <c r="AP30" s="43">
        <f>IF(B30="","",IF(AND(A30&lt;&gt;"",ISERROR(MATCH(A30,Products!$A$5:$A$304,0))),"Check - no such product ID",IF(Z30=0,"Add - no material cost yet",IF(Y30=0,"Add - how long does it take?",IF(AND(A30&lt;&gt;"",COUNTIFS('Material Usage'!$A$5:$A$904,A30)&gt;0),"Check - this product also has a bill of materials",IF(AND(A30&lt;&gt;"",COUNTIFS(Labor!$A$5:$A$304,A30)&gt;0),"Check - this product also has labour lines",IF(AO30&lt;MinimumWage,"Below - pays under minimum wage","OK")))))) )</f>
        <v>0</v>
      </c>
    </row>
    <row r="31" spans="20:42">
      <c r="T31" s="20">
        <f>IF(B31="","",IF(Q31&lt;&gt;"",Q31,LaborCostHour))</f>
        <v>0</v>
      </c>
      <c r="U31" s="41">
        <f>IF(B31="","",IF(F31="",0,F31)+IF(G31="",0,G31)+IF(H31="",0,H31)+IF(I31="",0,I31)+IF(N31="",0,N31))</f>
        <v>0</v>
      </c>
      <c r="V31" s="20">
        <f>IF(B31="","",ROUND(U31*T31+IF(J31="",0,J31),2))</f>
        <v>0</v>
      </c>
      <c r="W31" s="32">
        <f>IF(B31="","",MAX(1,IF(L31="",1,L31)))</f>
        <v>0</v>
      </c>
      <c r="X31" s="20">
        <f>IF(B31="","",0)</f>
        <v>0</v>
      </c>
      <c r="Y31" s="36">
        <f>IF(B31="","",ROUND(U31*60/W31+IF(M31="",0,M31),1))</f>
        <v>0</v>
      </c>
      <c r="Z31" s="20">
        <f>IF(B31="","",ROUND(V31/W31+IF(M31="",0,M31)/60*T31,2))</f>
        <v>0</v>
      </c>
      <c r="AA31" s="20">
        <f>IF(B31="","",ROUND(IF(K31="",0,K31)/W31,2))</f>
        <v>0</v>
      </c>
      <c r="AB31" s="20">
        <f>IF(B31="","",ROUND(IF(O31="",0,O31)*MAX(0,AL31+Z31-IF(M31="",0,M31)/60*T31),2))</f>
        <v>0</v>
      </c>
      <c r="AC31" s="33">
        <f>IF(B31="","",IF(V31=0,"",AB31/V31))</f>
        <v>0</v>
      </c>
      <c r="AD31" s="32">
        <f>IF(B31="","",IF(OR(AK31="",AK31-AA31-(AK31*AF31+AG31)-IF(M31="",0,M31)/60*T31&lt;=0),"Never at this price",ROUNDUP(V31/(AK31-AA31-(AK31*AF31+AG31)-IF(M31="",0,M31)/60*T31),0)))</f>
        <v>0</v>
      </c>
      <c r="AE31" s="20">
        <f>IF(B31="","",ROUND(X31+Z31+AA31,2))</f>
        <v>0</v>
      </c>
      <c r="AF31" s="33">
        <f>IF(B31="","",IFERROR(INDEX(Channels!$S$5:$S$18,MATCH(DefaultChannel,Channels!$A$5:$A$18,0)),0))</f>
        <v>0</v>
      </c>
      <c r="AG31" s="20">
        <f>IF(B31="","",IFERROR(INDEX(Channels!$T$5:$T$18,MATCH(DefaultChannel,Channels!$A$5:$A$18,0)),0))</f>
        <v>0</v>
      </c>
      <c r="AH31" s="41">
        <f>IF(B31="","",1-TargetRetailMargin-AF31)</f>
        <v>0</v>
      </c>
      <c r="AI31" s="20">
        <f>IF(B31="","",IF(AH31&lt;=0,"",(AE31+AG31)/AH31))</f>
        <v>0</v>
      </c>
      <c r="AJ31" s="20">
        <f>IF(B31="","",IF(AI31="","Check the settings",ROUND(IF(RoundingRule="None",AI31,IF(RoundingRule="Nearest 0.99",MAX(0.99,CEILING(AI31,1)-0.01),IF(RoundingRule="Nearest 0.95",MAX(0.95,CEILING(AI31,1)-0.05),IF(RoundingRule="Nearest 0.50",CEILING(AI31,0.5),IF(RoundingRule="Nearest 1",CEILING(AI31,1),IF(RoundingRule="Nearest 5",CEILING(AI31,5),IF(RoundingRule="Up to whole 1",CEILING(AI31,1),IF(RoundingRule="Up to whole 5",CEILING(AI31,5),ROUND(AI31,2))))))))),2)))</f>
        <v>0</v>
      </c>
      <c r="AK31" s="20">
        <f>IF(B31="","",IF(R31&lt;&gt;"",R31,IF(ISNUMBER(AJ31),AJ31,"")))</f>
        <v>0</v>
      </c>
      <c r="AL31" s="20">
        <f>IF(B31="","",IF(AK31="","",ROUND(AK31-AE31-(AK31*AF31+AG31),2)))</f>
        <v>0</v>
      </c>
      <c r="AM31" s="33">
        <f>IF(B31="","",IF(OR(AK31="",AK31=0),"",AL31/AK31))</f>
        <v>0</v>
      </c>
      <c r="AN31" s="41">
        <f>IF(B31="","",ROUND(Y31/60,3))</f>
        <v>0</v>
      </c>
      <c r="AO31" s="20">
        <f>IF(B31="","",IF(OR(AN31=0,AN31="",AL31=""),"",ROUND((AL31+Z31)/AN31,2)))</f>
        <v>0</v>
      </c>
      <c r="AP31" s="43">
        <f>IF(B31="","",IF(AND(A31&lt;&gt;"",ISERROR(MATCH(A31,Products!$A$5:$A$304,0))),"Check - no such product ID",IF(Z31=0,"Add - no material cost yet",IF(Y31=0,"Add - how long does it take?",IF(AND(A31&lt;&gt;"",COUNTIFS('Material Usage'!$A$5:$A$904,A31)&gt;0),"Check - this product also has a bill of materials",IF(AND(A31&lt;&gt;"",COUNTIFS(Labor!$A$5:$A$304,A31)&gt;0),"Check - this product also has labour lines",IF(AO31&lt;MinimumWage,"Below - pays under minimum wage","OK")))))) )</f>
        <v>0</v>
      </c>
    </row>
    <row r="32" spans="20:42">
      <c r="T32" s="20">
        <f>IF(B32="","",IF(Q32&lt;&gt;"",Q32,LaborCostHour))</f>
        <v>0</v>
      </c>
      <c r="U32" s="41">
        <f>IF(B32="","",IF(F32="",0,F32)+IF(G32="",0,G32)+IF(H32="",0,H32)+IF(I32="",0,I32)+IF(N32="",0,N32))</f>
        <v>0</v>
      </c>
      <c r="V32" s="20">
        <f>IF(B32="","",ROUND(U32*T32+IF(J32="",0,J32),2))</f>
        <v>0</v>
      </c>
      <c r="W32" s="32">
        <f>IF(B32="","",MAX(1,IF(L32="",1,L32)))</f>
        <v>0</v>
      </c>
      <c r="X32" s="20">
        <f>IF(B32="","",0)</f>
        <v>0</v>
      </c>
      <c r="Y32" s="36">
        <f>IF(B32="","",ROUND(U32*60/W32+IF(M32="",0,M32),1))</f>
        <v>0</v>
      </c>
      <c r="Z32" s="20">
        <f>IF(B32="","",ROUND(V32/W32+IF(M32="",0,M32)/60*T32,2))</f>
        <v>0</v>
      </c>
      <c r="AA32" s="20">
        <f>IF(B32="","",ROUND(IF(K32="",0,K32)/W32,2))</f>
        <v>0</v>
      </c>
      <c r="AB32" s="20">
        <f>IF(B32="","",ROUND(IF(O32="",0,O32)*MAX(0,AL32+Z32-IF(M32="",0,M32)/60*T32),2))</f>
        <v>0</v>
      </c>
      <c r="AC32" s="33">
        <f>IF(B32="","",IF(V32=0,"",AB32/V32))</f>
        <v>0</v>
      </c>
      <c r="AD32" s="32">
        <f>IF(B32="","",IF(OR(AK32="",AK32-AA32-(AK32*AF32+AG32)-IF(M32="",0,M32)/60*T32&lt;=0),"Never at this price",ROUNDUP(V32/(AK32-AA32-(AK32*AF32+AG32)-IF(M32="",0,M32)/60*T32),0)))</f>
        <v>0</v>
      </c>
      <c r="AE32" s="20">
        <f>IF(B32="","",ROUND(X32+Z32+AA32,2))</f>
        <v>0</v>
      </c>
      <c r="AF32" s="33">
        <f>IF(B32="","",IFERROR(INDEX(Channels!$S$5:$S$18,MATCH(DefaultChannel,Channels!$A$5:$A$18,0)),0))</f>
        <v>0</v>
      </c>
      <c r="AG32" s="20">
        <f>IF(B32="","",IFERROR(INDEX(Channels!$T$5:$T$18,MATCH(DefaultChannel,Channels!$A$5:$A$18,0)),0))</f>
        <v>0</v>
      </c>
      <c r="AH32" s="41">
        <f>IF(B32="","",1-TargetRetailMargin-AF32)</f>
        <v>0</v>
      </c>
      <c r="AI32" s="20">
        <f>IF(B32="","",IF(AH32&lt;=0,"",(AE32+AG32)/AH32))</f>
        <v>0</v>
      </c>
      <c r="AJ32" s="20">
        <f>IF(B32="","",IF(AI32="","Check the settings",ROUND(IF(RoundingRule="None",AI32,IF(RoundingRule="Nearest 0.99",MAX(0.99,CEILING(AI32,1)-0.01),IF(RoundingRule="Nearest 0.95",MAX(0.95,CEILING(AI32,1)-0.05),IF(RoundingRule="Nearest 0.50",CEILING(AI32,0.5),IF(RoundingRule="Nearest 1",CEILING(AI32,1),IF(RoundingRule="Nearest 5",CEILING(AI32,5),IF(RoundingRule="Up to whole 1",CEILING(AI32,1),IF(RoundingRule="Up to whole 5",CEILING(AI32,5),ROUND(AI32,2))))))))),2)))</f>
        <v>0</v>
      </c>
      <c r="AK32" s="20">
        <f>IF(B32="","",IF(R32&lt;&gt;"",R32,IF(ISNUMBER(AJ32),AJ32,"")))</f>
        <v>0</v>
      </c>
      <c r="AL32" s="20">
        <f>IF(B32="","",IF(AK32="","",ROUND(AK32-AE32-(AK32*AF32+AG32),2)))</f>
        <v>0</v>
      </c>
      <c r="AM32" s="33">
        <f>IF(B32="","",IF(OR(AK32="",AK32=0),"",AL32/AK32))</f>
        <v>0</v>
      </c>
      <c r="AN32" s="41">
        <f>IF(B32="","",ROUND(Y32/60,3))</f>
        <v>0</v>
      </c>
      <c r="AO32" s="20">
        <f>IF(B32="","",IF(OR(AN32=0,AN32="",AL32=""),"",ROUND((AL32+Z32)/AN32,2)))</f>
        <v>0</v>
      </c>
      <c r="AP32" s="43">
        <f>IF(B32="","",IF(AND(A32&lt;&gt;"",ISERROR(MATCH(A32,Products!$A$5:$A$304,0))),"Check - no such product ID",IF(Z32=0,"Add - no material cost yet",IF(Y32=0,"Add - how long does it take?",IF(AND(A32&lt;&gt;"",COUNTIFS('Material Usage'!$A$5:$A$904,A32)&gt;0),"Check - this product also has a bill of materials",IF(AND(A32&lt;&gt;"",COUNTIFS(Labor!$A$5:$A$304,A32)&gt;0),"Check - this product also has labour lines",IF(AO32&lt;MinimumWage,"Below - pays under minimum wage","OK")))))) )</f>
        <v>0</v>
      </c>
    </row>
    <row r="33" spans="20:42">
      <c r="T33" s="20">
        <f>IF(B33="","",IF(Q33&lt;&gt;"",Q33,LaborCostHour))</f>
        <v>0</v>
      </c>
      <c r="U33" s="41">
        <f>IF(B33="","",IF(F33="",0,F33)+IF(G33="",0,G33)+IF(H33="",0,H33)+IF(I33="",0,I33)+IF(N33="",0,N33))</f>
        <v>0</v>
      </c>
      <c r="V33" s="20">
        <f>IF(B33="","",ROUND(U33*T33+IF(J33="",0,J33),2))</f>
        <v>0</v>
      </c>
      <c r="W33" s="32">
        <f>IF(B33="","",MAX(1,IF(L33="",1,L33)))</f>
        <v>0</v>
      </c>
      <c r="X33" s="20">
        <f>IF(B33="","",0)</f>
        <v>0</v>
      </c>
      <c r="Y33" s="36">
        <f>IF(B33="","",ROUND(U33*60/W33+IF(M33="",0,M33),1))</f>
        <v>0</v>
      </c>
      <c r="Z33" s="20">
        <f>IF(B33="","",ROUND(V33/W33+IF(M33="",0,M33)/60*T33,2))</f>
        <v>0</v>
      </c>
      <c r="AA33" s="20">
        <f>IF(B33="","",ROUND(IF(K33="",0,K33)/W33,2))</f>
        <v>0</v>
      </c>
      <c r="AB33" s="20">
        <f>IF(B33="","",ROUND(IF(O33="",0,O33)*MAX(0,AL33+Z33-IF(M33="",0,M33)/60*T33),2))</f>
        <v>0</v>
      </c>
      <c r="AC33" s="33">
        <f>IF(B33="","",IF(V33=0,"",AB33/V33))</f>
        <v>0</v>
      </c>
      <c r="AD33" s="32">
        <f>IF(B33="","",IF(OR(AK33="",AK33-AA33-(AK33*AF33+AG33)-IF(M33="",0,M33)/60*T33&lt;=0),"Never at this price",ROUNDUP(V33/(AK33-AA33-(AK33*AF33+AG33)-IF(M33="",0,M33)/60*T33),0)))</f>
        <v>0</v>
      </c>
      <c r="AE33" s="20">
        <f>IF(B33="","",ROUND(X33+Z33+AA33,2))</f>
        <v>0</v>
      </c>
      <c r="AF33" s="33">
        <f>IF(B33="","",IFERROR(INDEX(Channels!$S$5:$S$18,MATCH(DefaultChannel,Channels!$A$5:$A$18,0)),0))</f>
        <v>0</v>
      </c>
      <c r="AG33" s="20">
        <f>IF(B33="","",IFERROR(INDEX(Channels!$T$5:$T$18,MATCH(DefaultChannel,Channels!$A$5:$A$18,0)),0))</f>
        <v>0</v>
      </c>
      <c r="AH33" s="41">
        <f>IF(B33="","",1-TargetRetailMargin-AF33)</f>
        <v>0</v>
      </c>
      <c r="AI33" s="20">
        <f>IF(B33="","",IF(AH33&lt;=0,"",(AE33+AG33)/AH33))</f>
        <v>0</v>
      </c>
      <c r="AJ33" s="20">
        <f>IF(B33="","",IF(AI33="","Check the settings",ROUND(IF(RoundingRule="None",AI33,IF(RoundingRule="Nearest 0.99",MAX(0.99,CEILING(AI33,1)-0.01),IF(RoundingRule="Nearest 0.95",MAX(0.95,CEILING(AI33,1)-0.05),IF(RoundingRule="Nearest 0.50",CEILING(AI33,0.5),IF(RoundingRule="Nearest 1",CEILING(AI33,1),IF(RoundingRule="Nearest 5",CEILING(AI33,5),IF(RoundingRule="Up to whole 1",CEILING(AI33,1),IF(RoundingRule="Up to whole 5",CEILING(AI33,5),ROUND(AI33,2))))))))),2)))</f>
        <v>0</v>
      </c>
      <c r="AK33" s="20">
        <f>IF(B33="","",IF(R33&lt;&gt;"",R33,IF(ISNUMBER(AJ33),AJ33,"")))</f>
        <v>0</v>
      </c>
      <c r="AL33" s="20">
        <f>IF(B33="","",IF(AK33="","",ROUND(AK33-AE33-(AK33*AF33+AG33),2)))</f>
        <v>0</v>
      </c>
      <c r="AM33" s="33">
        <f>IF(B33="","",IF(OR(AK33="",AK33=0),"",AL33/AK33))</f>
        <v>0</v>
      </c>
      <c r="AN33" s="41">
        <f>IF(B33="","",ROUND(Y33/60,3))</f>
        <v>0</v>
      </c>
      <c r="AO33" s="20">
        <f>IF(B33="","",IF(OR(AN33=0,AN33="",AL33=""),"",ROUND((AL33+Z33)/AN33,2)))</f>
        <v>0</v>
      </c>
      <c r="AP33" s="43">
        <f>IF(B33="","",IF(AND(A33&lt;&gt;"",ISERROR(MATCH(A33,Products!$A$5:$A$304,0))),"Check - no such product ID",IF(Z33=0,"Add - no material cost yet",IF(Y33=0,"Add - how long does it take?",IF(AND(A33&lt;&gt;"",COUNTIFS('Material Usage'!$A$5:$A$904,A33)&gt;0),"Check - this product also has a bill of materials",IF(AND(A33&lt;&gt;"",COUNTIFS(Labor!$A$5:$A$304,A33)&gt;0),"Check - this product also has labour lines",IF(AO33&lt;MinimumWage,"Below - pays under minimum wage","OK")))))) )</f>
        <v>0</v>
      </c>
    </row>
    <row r="34" spans="20:42">
      <c r="T34" s="20">
        <f>IF(B34="","",IF(Q34&lt;&gt;"",Q34,LaborCostHour))</f>
        <v>0</v>
      </c>
      <c r="U34" s="41">
        <f>IF(B34="","",IF(F34="",0,F34)+IF(G34="",0,G34)+IF(H34="",0,H34)+IF(I34="",0,I34)+IF(N34="",0,N34))</f>
        <v>0</v>
      </c>
      <c r="V34" s="20">
        <f>IF(B34="","",ROUND(U34*T34+IF(J34="",0,J34),2))</f>
        <v>0</v>
      </c>
      <c r="W34" s="32">
        <f>IF(B34="","",MAX(1,IF(L34="",1,L34)))</f>
        <v>0</v>
      </c>
      <c r="X34" s="20">
        <f>IF(B34="","",0)</f>
        <v>0</v>
      </c>
      <c r="Y34" s="36">
        <f>IF(B34="","",ROUND(U34*60/W34+IF(M34="",0,M34),1))</f>
        <v>0</v>
      </c>
      <c r="Z34" s="20">
        <f>IF(B34="","",ROUND(V34/W34+IF(M34="",0,M34)/60*T34,2))</f>
        <v>0</v>
      </c>
      <c r="AA34" s="20">
        <f>IF(B34="","",ROUND(IF(K34="",0,K34)/W34,2))</f>
        <v>0</v>
      </c>
      <c r="AB34" s="20">
        <f>IF(B34="","",ROUND(IF(O34="",0,O34)*MAX(0,AL34+Z34-IF(M34="",0,M34)/60*T34),2))</f>
        <v>0</v>
      </c>
      <c r="AC34" s="33">
        <f>IF(B34="","",IF(V34=0,"",AB34/V34))</f>
        <v>0</v>
      </c>
      <c r="AD34" s="32">
        <f>IF(B34="","",IF(OR(AK34="",AK34-AA34-(AK34*AF34+AG34)-IF(M34="",0,M34)/60*T34&lt;=0),"Never at this price",ROUNDUP(V34/(AK34-AA34-(AK34*AF34+AG34)-IF(M34="",0,M34)/60*T34),0)))</f>
        <v>0</v>
      </c>
      <c r="AE34" s="20">
        <f>IF(B34="","",ROUND(X34+Z34+AA34,2))</f>
        <v>0</v>
      </c>
      <c r="AF34" s="33">
        <f>IF(B34="","",IFERROR(INDEX(Channels!$S$5:$S$18,MATCH(DefaultChannel,Channels!$A$5:$A$18,0)),0))</f>
        <v>0</v>
      </c>
      <c r="AG34" s="20">
        <f>IF(B34="","",IFERROR(INDEX(Channels!$T$5:$T$18,MATCH(DefaultChannel,Channels!$A$5:$A$18,0)),0))</f>
        <v>0</v>
      </c>
      <c r="AH34" s="41">
        <f>IF(B34="","",1-TargetRetailMargin-AF34)</f>
        <v>0</v>
      </c>
      <c r="AI34" s="20">
        <f>IF(B34="","",IF(AH34&lt;=0,"",(AE34+AG34)/AH34))</f>
        <v>0</v>
      </c>
      <c r="AJ34" s="20">
        <f>IF(B34="","",IF(AI34="","Check the settings",ROUND(IF(RoundingRule="None",AI34,IF(RoundingRule="Nearest 0.99",MAX(0.99,CEILING(AI34,1)-0.01),IF(RoundingRule="Nearest 0.95",MAX(0.95,CEILING(AI34,1)-0.05),IF(RoundingRule="Nearest 0.50",CEILING(AI34,0.5),IF(RoundingRule="Nearest 1",CEILING(AI34,1),IF(RoundingRule="Nearest 5",CEILING(AI34,5),IF(RoundingRule="Up to whole 1",CEILING(AI34,1),IF(RoundingRule="Up to whole 5",CEILING(AI34,5),ROUND(AI34,2))))))))),2)))</f>
        <v>0</v>
      </c>
      <c r="AK34" s="20">
        <f>IF(B34="","",IF(R34&lt;&gt;"",R34,IF(ISNUMBER(AJ34),AJ34,"")))</f>
        <v>0</v>
      </c>
      <c r="AL34" s="20">
        <f>IF(B34="","",IF(AK34="","",ROUND(AK34-AE34-(AK34*AF34+AG34),2)))</f>
        <v>0</v>
      </c>
      <c r="AM34" s="33">
        <f>IF(B34="","",IF(OR(AK34="",AK34=0),"",AL34/AK34))</f>
        <v>0</v>
      </c>
      <c r="AN34" s="41">
        <f>IF(B34="","",ROUND(Y34/60,3))</f>
        <v>0</v>
      </c>
      <c r="AO34" s="20">
        <f>IF(B34="","",IF(OR(AN34=0,AN34="",AL34=""),"",ROUND((AL34+Z34)/AN34,2)))</f>
        <v>0</v>
      </c>
      <c r="AP34" s="43">
        <f>IF(B34="","",IF(AND(A34&lt;&gt;"",ISERROR(MATCH(A34,Products!$A$5:$A$304,0))),"Check - no such product ID",IF(Z34=0,"Add - no material cost yet",IF(Y34=0,"Add - how long does it take?",IF(AND(A34&lt;&gt;"",COUNTIFS('Material Usage'!$A$5:$A$904,A34)&gt;0),"Check - this product also has a bill of materials",IF(AND(A34&lt;&gt;"",COUNTIFS(Labor!$A$5:$A$304,A34)&gt;0),"Check - this product also has labour lines",IF(AO34&lt;MinimumWage,"Below - pays under minimum wage","OK")))))) )</f>
        <v>0</v>
      </c>
    </row>
    <row r="35" spans="20:42">
      <c r="T35" s="20">
        <f>IF(B35="","",IF(Q35&lt;&gt;"",Q35,LaborCostHour))</f>
        <v>0</v>
      </c>
      <c r="U35" s="41">
        <f>IF(B35="","",IF(F35="",0,F35)+IF(G35="",0,G35)+IF(H35="",0,H35)+IF(I35="",0,I35)+IF(N35="",0,N35))</f>
        <v>0</v>
      </c>
      <c r="V35" s="20">
        <f>IF(B35="","",ROUND(U35*T35+IF(J35="",0,J35),2))</f>
        <v>0</v>
      </c>
      <c r="W35" s="32">
        <f>IF(B35="","",MAX(1,IF(L35="",1,L35)))</f>
        <v>0</v>
      </c>
      <c r="X35" s="20">
        <f>IF(B35="","",0)</f>
        <v>0</v>
      </c>
      <c r="Y35" s="36">
        <f>IF(B35="","",ROUND(U35*60/W35+IF(M35="",0,M35),1))</f>
        <v>0</v>
      </c>
      <c r="Z35" s="20">
        <f>IF(B35="","",ROUND(V35/W35+IF(M35="",0,M35)/60*T35,2))</f>
        <v>0</v>
      </c>
      <c r="AA35" s="20">
        <f>IF(B35="","",ROUND(IF(K35="",0,K35)/W35,2))</f>
        <v>0</v>
      </c>
      <c r="AB35" s="20">
        <f>IF(B35="","",ROUND(IF(O35="",0,O35)*MAX(0,AL35+Z35-IF(M35="",0,M35)/60*T35),2))</f>
        <v>0</v>
      </c>
      <c r="AC35" s="33">
        <f>IF(B35="","",IF(V35=0,"",AB35/V35))</f>
        <v>0</v>
      </c>
      <c r="AD35" s="32">
        <f>IF(B35="","",IF(OR(AK35="",AK35-AA35-(AK35*AF35+AG35)-IF(M35="",0,M35)/60*T35&lt;=0),"Never at this price",ROUNDUP(V35/(AK35-AA35-(AK35*AF35+AG35)-IF(M35="",0,M35)/60*T35),0)))</f>
        <v>0</v>
      </c>
      <c r="AE35" s="20">
        <f>IF(B35="","",ROUND(X35+Z35+AA35,2))</f>
        <v>0</v>
      </c>
      <c r="AF35" s="33">
        <f>IF(B35="","",IFERROR(INDEX(Channels!$S$5:$S$18,MATCH(DefaultChannel,Channels!$A$5:$A$18,0)),0))</f>
        <v>0</v>
      </c>
      <c r="AG35" s="20">
        <f>IF(B35="","",IFERROR(INDEX(Channels!$T$5:$T$18,MATCH(DefaultChannel,Channels!$A$5:$A$18,0)),0))</f>
        <v>0</v>
      </c>
      <c r="AH35" s="41">
        <f>IF(B35="","",1-TargetRetailMargin-AF35)</f>
        <v>0</v>
      </c>
      <c r="AI35" s="20">
        <f>IF(B35="","",IF(AH35&lt;=0,"",(AE35+AG35)/AH35))</f>
        <v>0</v>
      </c>
      <c r="AJ35" s="20">
        <f>IF(B35="","",IF(AI35="","Check the settings",ROUND(IF(RoundingRule="None",AI35,IF(RoundingRule="Nearest 0.99",MAX(0.99,CEILING(AI35,1)-0.01),IF(RoundingRule="Nearest 0.95",MAX(0.95,CEILING(AI35,1)-0.05),IF(RoundingRule="Nearest 0.50",CEILING(AI35,0.5),IF(RoundingRule="Nearest 1",CEILING(AI35,1),IF(RoundingRule="Nearest 5",CEILING(AI35,5),IF(RoundingRule="Up to whole 1",CEILING(AI35,1),IF(RoundingRule="Up to whole 5",CEILING(AI35,5),ROUND(AI35,2))))))))),2)))</f>
        <v>0</v>
      </c>
      <c r="AK35" s="20">
        <f>IF(B35="","",IF(R35&lt;&gt;"",R35,IF(ISNUMBER(AJ35),AJ35,"")))</f>
        <v>0</v>
      </c>
      <c r="AL35" s="20">
        <f>IF(B35="","",IF(AK35="","",ROUND(AK35-AE35-(AK35*AF35+AG35),2)))</f>
        <v>0</v>
      </c>
      <c r="AM35" s="33">
        <f>IF(B35="","",IF(OR(AK35="",AK35=0),"",AL35/AK35))</f>
        <v>0</v>
      </c>
      <c r="AN35" s="41">
        <f>IF(B35="","",ROUND(Y35/60,3))</f>
        <v>0</v>
      </c>
      <c r="AO35" s="20">
        <f>IF(B35="","",IF(OR(AN35=0,AN35="",AL35=""),"",ROUND((AL35+Z35)/AN35,2)))</f>
        <v>0</v>
      </c>
      <c r="AP35" s="43">
        <f>IF(B35="","",IF(AND(A35&lt;&gt;"",ISERROR(MATCH(A35,Products!$A$5:$A$304,0))),"Check - no such product ID",IF(Z35=0,"Add - no material cost yet",IF(Y35=0,"Add - how long does it take?",IF(AND(A35&lt;&gt;"",COUNTIFS('Material Usage'!$A$5:$A$904,A35)&gt;0),"Check - this product also has a bill of materials",IF(AND(A35&lt;&gt;"",COUNTIFS(Labor!$A$5:$A$304,A35)&gt;0),"Check - this product also has labour lines",IF(AO35&lt;MinimumWage,"Below - pays under minimum wage","OK")))))) )</f>
        <v>0</v>
      </c>
    </row>
    <row r="36" spans="20:42">
      <c r="T36" s="20">
        <f>IF(B36="","",IF(Q36&lt;&gt;"",Q36,LaborCostHour))</f>
        <v>0</v>
      </c>
      <c r="U36" s="41">
        <f>IF(B36="","",IF(F36="",0,F36)+IF(G36="",0,G36)+IF(H36="",0,H36)+IF(I36="",0,I36)+IF(N36="",0,N36))</f>
        <v>0</v>
      </c>
      <c r="V36" s="20">
        <f>IF(B36="","",ROUND(U36*T36+IF(J36="",0,J36),2))</f>
        <v>0</v>
      </c>
      <c r="W36" s="32">
        <f>IF(B36="","",MAX(1,IF(L36="",1,L36)))</f>
        <v>0</v>
      </c>
      <c r="X36" s="20">
        <f>IF(B36="","",0)</f>
        <v>0</v>
      </c>
      <c r="Y36" s="36">
        <f>IF(B36="","",ROUND(U36*60/W36+IF(M36="",0,M36),1))</f>
        <v>0</v>
      </c>
      <c r="Z36" s="20">
        <f>IF(B36="","",ROUND(V36/W36+IF(M36="",0,M36)/60*T36,2))</f>
        <v>0</v>
      </c>
      <c r="AA36" s="20">
        <f>IF(B36="","",ROUND(IF(K36="",0,K36)/W36,2))</f>
        <v>0</v>
      </c>
      <c r="AB36" s="20">
        <f>IF(B36="","",ROUND(IF(O36="",0,O36)*MAX(0,AL36+Z36-IF(M36="",0,M36)/60*T36),2))</f>
        <v>0</v>
      </c>
      <c r="AC36" s="33">
        <f>IF(B36="","",IF(V36=0,"",AB36/V36))</f>
        <v>0</v>
      </c>
      <c r="AD36" s="32">
        <f>IF(B36="","",IF(OR(AK36="",AK36-AA36-(AK36*AF36+AG36)-IF(M36="",0,M36)/60*T36&lt;=0),"Never at this price",ROUNDUP(V36/(AK36-AA36-(AK36*AF36+AG36)-IF(M36="",0,M36)/60*T36),0)))</f>
        <v>0</v>
      </c>
      <c r="AE36" s="20">
        <f>IF(B36="","",ROUND(X36+Z36+AA36,2))</f>
        <v>0</v>
      </c>
      <c r="AF36" s="33">
        <f>IF(B36="","",IFERROR(INDEX(Channels!$S$5:$S$18,MATCH(DefaultChannel,Channels!$A$5:$A$18,0)),0))</f>
        <v>0</v>
      </c>
      <c r="AG36" s="20">
        <f>IF(B36="","",IFERROR(INDEX(Channels!$T$5:$T$18,MATCH(DefaultChannel,Channels!$A$5:$A$18,0)),0))</f>
        <v>0</v>
      </c>
      <c r="AH36" s="41">
        <f>IF(B36="","",1-TargetRetailMargin-AF36)</f>
        <v>0</v>
      </c>
      <c r="AI36" s="20">
        <f>IF(B36="","",IF(AH36&lt;=0,"",(AE36+AG36)/AH36))</f>
        <v>0</v>
      </c>
      <c r="AJ36" s="20">
        <f>IF(B36="","",IF(AI36="","Check the settings",ROUND(IF(RoundingRule="None",AI36,IF(RoundingRule="Nearest 0.99",MAX(0.99,CEILING(AI36,1)-0.01),IF(RoundingRule="Nearest 0.95",MAX(0.95,CEILING(AI36,1)-0.05),IF(RoundingRule="Nearest 0.50",CEILING(AI36,0.5),IF(RoundingRule="Nearest 1",CEILING(AI36,1),IF(RoundingRule="Nearest 5",CEILING(AI36,5),IF(RoundingRule="Up to whole 1",CEILING(AI36,1),IF(RoundingRule="Up to whole 5",CEILING(AI36,5),ROUND(AI36,2))))))))),2)))</f>
        <v>0</v>
      </c>
      <c r="AK36" s="20">
        <f>IF(B36="","",IF(R36&lt;&gt;"",R36,IF(ISNUMBER(AJ36),AJ36,"")))</f>
        <v>0</v>
      </c>
      <c r="AL36" s="20">
        <f>IF(B36="","",IF(AK36="","",ROUND(AK36-AE36-(AK36*AF36+AG36),2)))</f>
        <v>0</v>
      </c>
      <c r="AM36" s="33">
        <f>IF(B36="","",IF(OR(AK36="",AK36=0),"",AL36/AK36))</f>
        <v>0</v>
      </c>
      <c r="AN36" s="41">
        <f>IF(B36="","",ROUND(Y36/60,3))</f>
        <v>0</v>
      </c>
      <c r="AO36" s="20">
        <f>IF(B36="","",IF(OR(AN36=0,AN36="",AL36=""),"",ROUND((AL36+Z36)/AN36,2)))</f>
        <v>0</v>
      </c>
      <c r="AP36" s="43">
        <f>IF(B36="","",IF(AND(A36&lt;&gt;"",ISERROR(MATCH(A36,Products!$A$5:$A$304,0))),"Check - no such product ID",IF(Z36=0,"Add - no material cost yet",IF(Y36=0,"Add - how long does it take?",IF(AND(A36&lt;&gt;"",COUNTIFS('Material Usage'!$A$5:$A$904,A36)&gt;0),"Check - this product also has a bill of materials",IF(AND(A36&lt;&gt;"",COUNTIFS(Labor!$A$5:$A$304,A36)&gt;0),"Check - this product also has labour lines",IF(AO36&lt;MinimumWage,"Below - pays under minimum wage","OK")))))) )</f>
        <v>0</v>
      </c>
    </row>
    <row r="37" spans="20:42">
      <c r="T37" s="20">
        <f>IF(B37="","",IF(Q37&lt;&gt;"",Q37,LaborCostHour))</f>
        <v>0</v>
      </c>
      <c r="U37" s="41">
        <f>IF(B37="","",IF(F37="",0,F37)+IF(G37="",0,G37)+IF(H37="",0,H37)+IF(I37="",0,I37)+IF(N37="",0,N37))</f>
        <v>0</v>
      </c>
      <c r="V37" s="20">
        <f>IF(B37="","",ROUND(U37*T37+IF(J37="",0,J37),2))</f>
        <v>0</v>
      </c>
      <c r="W37" s="32">
        <f>IF(B37="","",MAX(1,IF(L37="",1,L37)))</f>
        <v>0</v>
      </c>
      <c r="X37" s="20">
        <f>IF(B37="","",0)</f>
        <v>0</v>
      </c>
      <c r="Y37" s="36">
        <f>IF(B37="","",ROUND(U37*60/W37+IF(M37="",0,M37),1))</f>
        <v>0</v>
      </c>
      <c r="Z37" s="20">
        <f>IF(B37="","",ROUND(V37/W37+IF(M37="",0,M37)/60*T37,2))</f>
        <v>0</v>
      </c>
      <c r="AA37" s="20">
        <f>IF(B37="","",ROUND(IF(K37="",0,K37)/W37,2))</f>
        <v>0</v>
      </c>
      <c r="AB37" s="20">
        <f>IF(B37="","",ROUND(IF(O37="",0,O37)*MAX(0,AL37+Z37-IF(M37="",0,M37)/60*T37),2))</f>
        <v>0</v>
      </c>
      <c r="AC37" s="33">
        <f>IF(B37="","",IF(V37=0,"",AB37/V37))</f>
        <v>0</v>
      </c>
      <c r="AD37" s="32">
        <f>IF(B37="","",IF(OR(AK37="",AK37-AA37-(AK37*AF37+AG37)-IF(M37="",0,M37)/60*T37&lt;=0),"Never at this price",ROUNDUP(V37/(AK37-AA37-(AK37*AF37+AG37)-IF(M37="",0,M37)/60*T37),0)))</f>
        <v>0</v>
      </c>
      <c r="AE37" s="20">
        <f>IF(B37="","",ROUND(X37+Z37+AA37,2))</f>
        <v>0</v>
      </c>
      <c r="AF37" s="33">
        <f>IF(B37="","",IFERROR(INDEX(Channels!$S$5:$S$18,MATCH(DefaultChannel,Channels!$A$5:$A$18,0)),0))</f>
        <v>0</v>
      </c>
      <c r="AG37" s="20">
        <f>IF(B37="","",IFERROR(INDEX(Channels!$T$5:$T$18,MATCH(DefaultChannel,Channels!$A$5:$A$18,0)),0))</f>
        <v>0</v>
      </c>
      <c r="AH37" s="41">
        <f>IF(B37="","",1-TargetRetailMargin-AF37)</f>
        <v>0</v>
      </c>
      <c r="AI37" s="20">
        <f>IF(B37="","",IF(AH37&lt;=0,"",(AE37+AG37)/AH37))</f>
        <v>0</v>
      </c>
      <c r="AJ37" s="20">
        <f>IF(B37="","",IF(AI37="","Check the settings",ROUND(IF(RoundingRule="None",AI37,IF(RoundingRule="Nearest 0.99",MAX(0.99,CEILING(AI37,1)-0.01),IF(RoundingRule="Nearest 0.95",MAX(0.95,CEILING(AI37,1)-0.05),IF(RoundingRule="Nearest 0.50",CEILING(AI37,0.5),IF(RoundingRule="Nearest 1",CEILING(AI37,1),IF(RoundingRule="Nearest 5",CEILING(AI37,5),IF(RoundingRule="Up to whole 1",CEILING(AI37,1),IF(RoundingRule="Up to whole 5",CEILING(AI37,5),ROUND(AI37,2))))))))),2)))</f>
        <v>0</v>
      </c>
      <c r="AK37" s="20">
        <f>IF(B37="","",IF(R37&lt;&gt;"",R37,IF(ISNUMBER(AJ37),AJ37,"")))</f>
        <v>0</v>
      </c>
      <c r="AL37" s="20">
        <f>IF(B37="","",IF(AK37="","",ROUND(AK37-AE37-(AK37*AF37+AG37),2)))</f>
        <v>0</v>
      </c>
      <c r="AM37" s="33">
        <f>IF(B37="","",IF(OR(AK37="",AK37=0),"",AL37/AK37))</f>
        <v>0</v>
      </c>
      <c r="AN37" s="41">
        <f>IF(B37="","",ROUND(Y37/60,3))</f>
        <v>0</v>
      </c>
      <c r="AO37" s="20">
        <f>IF(B37="","",IF(OR(AN37=0,AN37="",AL37=""),"",ROUND((AL37+Z37)/AN37,2)))</f>
        <v>0</v>
      </c>
      <c r="AP37" s="43">
        <f>IF(B37="","",IF(AND(A37&lt;&gt;"",ISERROR(MATCH(A37,Products!$A$5:$A$304,0))),"Check - no such product ID",IF(Z37=0,"Add - no material cost yet",IF(Y37=0,"Add - how long does it take?",IF(AND(A37&lt;&gt;"",COUNTIFS('Material Usage'!$A$5:$A$904,A37)&gt;0),"Check - this product also has a bill of materials",IF(AND(A37&lt;&gt;"",COUNTIFS(Labor!$A$5:$A$304,A37)&gt;0),"Check - this product also has labour lines",IF(AO37&lt;MinimumWage,"Below - pays under minimum wage","OK")))))) )</f>
        <v>0</v>
      </c>
    </row>
    <row r="38" spans="20:42">
      <c r="T38" s="20">
        <f>IF(B38="","",IF(Q38&lt;&gt;"",Q38,LaborCostHour))</f>
        <v>0</v>
      </c>
      <c r="U38" s="41">
        <f>IF(B38="","",IF(F38="",0,F38)+IF(G38="",0,G38)+IF(H38="",0,H38)+IF(I38="",0,I38)+IF(N38="",0,N38))</f>
        <v>0</v>
      </c>
      <c r="V38" s="20">
        <f>IF(B38="","",ROUND(U38*T38+IF(J38="",0,J38),2))</f>
        <v>0</v>
      </c>
      <c r="W38" s="32">
        <f>IF(B38="","",MAX(1,IF(L38="",1,L38)))</f>
        <v>0</v>
      </c>
      <c r="X38" s="20">
        <f>IF(B38="","",0)</f>
        <v>0</v>
      </c>
      <c r="Y38" s="36">
        <f>IF(B38="","",ROUND(U38*60/W38+IF(M38="",0,M38),1))</f>
        <v>0</v>
      </c>
      <c r="Z38" s="20">
        <f>IF(B38="","",ROUND(V38/W38+IF(M38="",0,M38)/60*T38,2))</f>
        <v>0</v>
      </c>
      <c r="AA38" s="20">
        <f>IF(B38="","",ROUND(IF(K38="",0,K38)/W38,2))</f>
        <v>0</v>
      </c>
      <c r="AB38" s="20">
        <f>IF(B38="","",ROUND(IF(O38="",0,O38)*MAX(0,AL38+Z38-IF(M38="",0,M38)/60*T38),2))</f>
        <v>0</v>
      </c>
      <c r="AC38" s="33">
        <f>IF(B38="","",IF(V38=0,"",AB38/V38))</f>
        <v>0</v>
      </c>
      <c r="AD38" s="32">
        <f>IF(B38="","",IF(OR(AK38="",AK38-AA38-(AK38*AF38+AG38)-IF(M38="",0,M38)/60*T38&lt;=0),"Never at this price",ROUNDUP(V38/(AK38-AA38-(AK38*AF38+AG38)-IF(M38="",0,M38)/60*T38),0)))</f>
        <v>0</v>
      </c>
      <c r="AE38" s="20">
        <f>IF(B38="","",ROUND(X38+Z38+AA38,2))</f>
        <v>0</v>
      </c>
      <c r="AF38" s="33">
        <f>IF(B38="","",IFERROR(INDEX(Channels!$S$5:$S$18,MATCH(DefaultChannel,Channels!$A$5:$A$18,0)),0))</f>
        <v>0</v>
      </c>
      <c r="AG38" s="20">
        <f>IF(B38="","",IFERROR(INDEX(Channels!$T$5:$T$18,MATCH(DefaultChannel,Channels!$A$5:$A$18,0)),0))</f>
        <v>0</v>
      </c>
      <c r="AH38" s="41">
        <f>IF(B38="","",1-TargetRetailMargin-AF38)</f>
        <v>0</v>
      </c>
      <c r="AI38" s="20">
        <f>IF(B38="","",IF(AH38&lt;=0,"",(AE38+AG38)/AH38))</f>
        <v>0</v>
      </c>
      <c r="AJ38" s="20">
        <f>IF(B38="","",IF(AI38="","Check the settings",ROUND(IF(RoundingRule="None",AI38,IF(RoundingRule="Nearest 0.99",MAX(0.99,CEILING(AI38,1)-0.01),IF(RoundingRule="Nearest 0.95",MAX(0.95,CEILING(AI38,1)-0.05),IF(RoundingRule="Nearest 0.50",CEILING(AI38,0.5),IF(RoundingRule="Nearest 1",CEILING(AI38,1),IF(RoundingRule="Nearest 5",CEILING(AI38,5),IF(RoundingRule="Up to whole 1",CEILING(AI38,1),IF(RoundingRule="Up to whole 5",CEILING(AI38,5),ROUND(AI38,2))))))))),2)))</f>
        <v>0</v>
      </c>
      <c r="AK38" s="20">
        <f>IF(B38="","",IF(R38&lt;&gt;"",R38,IF(ISNUMBER(AJ38),AJ38,"")))</f>
        <v>0</v>
      </c>
      <c r="AL38" s="20">
        <f>IF(B38="","",IF(AK38="","",ROUND(AK38-AE38-(AK38*AF38+AG38),2)))</f>
        <v>0</v>
      </c>
      <c r="AM38" s="33">
        <f>IF(B38="","",IF(OR(AK38="",AK38=0),"",AL38/AK38))</f>
        <v>0</v>
      </c>
      <c r="AN38" s="41">
        <f>IF(B38="","",ROUND(Y38/60,3))</f>
        <v>0</v>
      </c>
      <c r="AO38" s="20">
        <f>IF(B38="","",IF(OR(AN38=0,AN38="",AL38=""),"",ROUND((AL38+Z38)/AN38,2)))</f>
        <v>0</v>
      </c>
      <c r="AP38" s="43">
        <f>IF(B38="","",IF(AND(A38&lt;&gt;"",ISERROR(MATCH(A38,Products!$A$5:$A$304,0))),"Check - no such product ID",IF(Z38=0,"Add - no material cost yet",IF(Y38=0,"Add - how long does it take?",IF(AND(A38&lt;&gt;"",COUNTIFS('Material Usage'!$A$5:$A$904,A38)&gt;0),"Check - this product also has a bill of materials",IF(AND(A38&lt;&gt;"",COUNTIFS(Labor!$A$5:$A$304,A38)&gt;0),"Check - this product also has labour lines",IF(AO38&lt;MinimumWage,"Below - pays under minimum wage","OK")))))) )</f>
        <v>0</v>
      </c>
    </row>
    <row r="39" spans="20:42">
      <c r="T39" s="20">
        <f>IF(B39="","",IF(Q39&lt;&gt;"",Q39,LaborCostHour))</f>
        <v>0</v>
      </c>
      <c r="U39" s="41">
        <f>IF(B39="","",IF(F39="",0,F39)+IF(G39="",0,G39)+IF(H39="",0,H39)+IF(I39="",0,I39)+IF(N39="",0,N39))</f>
        <v>0</v>
      </c>
      <c r="V39" s="20">
        <f>IF(B39="","",ROUND(U39*T39+IF(J39="",0,J39),2))</f>
        <v>0</v>
      </c>
      <c r="W39" s="32">
        <f>IF(B39="","",MAX(1,IF(L39="",1,L39)))</f>
        <v>0</v>
      </c>
      <c r="X39" s="20">
        <f>IF(B39="","",0)</f>
        <v>0</v>
      </c>
      <c r="Y39" s="36">
        <f>IF(B39="","",ROUND(U39*60/W39+IF(M39="",0,M39),1))</f>
        <v>0</v>
      </c>
      <c r="Z39" s="20">
        <f>IF(B39="","",ROUND(V39/W39+IF(M39="",0,M39)/60*T39,2))</f>
        <v>0</v>
      </c>
      <c r="AA39" s="20">
        <f>IF(B39="","",ROUND(IF(K39="",0,K39)/W39,2))</f>
        <v>0</v>
      </c>
      <c r="AB39" s="20">
        <f>IF(B39="","",ROUND(IF(O39="",0,O39)*MAX(0,AL39+Z39-IF(M39="",0,M39)/60*T39),2))</f>
        <v>0</v>
      </c>
      <c r="AC39" s="33">
        <f>IF(B39="","",IF(V39=0,"",AB39/V39))</f>
        <v>0</v>
      </c>
      <c r="AD39" s="32">
        <f>IF(B39="","",IF(OR(AK39="",AK39-AA39-(AK39*AF39+AG39)-IF(M39="",0,M39)/60*T39&lt;=0),"Never at this price",ROUNDUP(V39/(AK39-AA39-(AK39*AF39+AG39)-IF(M39="",0,M39)/60*T39),0)))</f>
        <v>0</v>
      </c>
      <c r="AE39" s="20">
        <f>IF(B39="","",ROUND(X39+Z39+AA39,2))</f>
        <v>0</v>
      </c>
      <c r="AF39" s="33">
        <f>IF(B39="","",IFERROR(INDEX(Channels!$S$5:$S$18,MATCH(DefaultChannel,Channels!$A$5:$A$18,0)),0))</f>
        <v>0</v>
      </c>
      <c r="AG39" s="20">
        <f>IF(B39="","",IFERROR(INDEX(Channels!$T$5:$T$18,MATCH(DefaultChannel,Channels!$A$5:$A$18,0)),0))</f>
        <v>0</v>
      </c>
      <c r="AH39" s="41">
        <f>IF(B39="","",1-TargetRetailMargin-AF39)</f>
        <v>0</v>
      </c>
      <c r="AI39" s="20">
        <f>IF(B39="","",IF(AH39&lt;=0,"",(AE39+AG39)/AH39))</f>
        <v>0</v>
      </c>
      <c r="AJ39" s="20">
        <f>IF(B39="","",IF(AI39="","Check the settings",ROUND(IF(RoundingRule="None",AI39,IF(RoundingRule="Nearest 0.99",MAX(0.99,CEILING(AI39,1)-0.01),IF(RoundingRule="Nearest 0.95",MAX(0.95,CEILING(AI39,1)-0.05),IF(RoundingRule="Nearest 0.50",CEILING(AI39,0.5),IF(RoundingRule="Nearest 1",CEILING(AI39,1),IF(RoundingRule="Nearest 5",CEILING(AI39,5),IF(RoundingRule="Up to whole 1",CEILING(AI39,1),IF(RoundingRule="Up to whole 5",CEILING(AI39,5),ROUND(AI39,2))))))))),2)))</f>
        <v>0</v>
      </c>
      <c r="AK39" s="20">
        <f>IF(B39="","",IF(R39&lt;&gt;"",R39,IF(ISNUMBER(AJ39),AJ39,"")))</f>
        <v>0</v>
      </c>
      <c r="AL39" s="20">
        <f>IF(B39="","",IF(AK39="","",ROUND(AK39-AE39-(AK39*AF39+AG39),2)))</f>
        <v>0</v>
      </c>
      <c r="AM39" s="33">
        <f>IF(B39="","",IF(OR(AK39="",AK39=0),"",AL39/AK39))</f>
        <v>0</v>
      </c>
      <c r="AN39" s="41">
        <f>IF(B39="","",ROUND(Y39/60,3))</f>
        <v>0</v>
      </c>
      <c r="AO39" s="20">
        <f>IF(B39="","",IF(OR(AN39=0,AN39="",AL39=""),"",ROUND((AL39+Z39)/AN39,2)))</f>
        <v>0</v>
      </c>
      <c r="AP39" s="43">
        <f>IF(B39="","",IF(AND(A39&lt;&gt;"",ISERROR(MATCH(A39,Products!$A$5:$A$304,0))),"Check - no such product ID",IF(Z39=0,"Add - no material cost yet",IF(Y39=0,"Add - how long does it take?",IF(AND(A39&lt;&gt;"",COUNTIFS('Material Usage'!$A$5:$A$904,A39)&gt;0),"Check - this product also has a bill of materials",IF(AND(A39&lt;&gt;"",COUNTIFS(Labor!$A$5:$A$304,A39)&gt;0),"Check - this product also has labour lines",IF(AO39&lt;MinimumWage,"Below - pays under minimum wage","OK")))))) )</f>
        <v>0</v>
      </c>
    </row>
    <row r="40" spans="20:42">
      <c r="T40" s="20">
        <f>IF(B40="","",IF(Q40&lt;&gt;"",Q40,LaborCostHour))</f>
        <v>0</v>
      </c>
      <c r="U40" s="41">
        <f>IF(B40="","",IF(F40="",0,F40)+IF(G40="",0,G40)+IF(H40="",0,H40)+IF(I40="",0,I40)+IF(N40="",0,N40))</f>
        <v>0</v>
      </c>
      <c r="V40" s="20">
        <f>IF(B40="","",ROUND(U40*T40+IF(J40="",0,J40),2))</f>
        <v>0</v>
      </c>
      <c r="W40" s="32">
        <f>IF(B40="","",MAX(1,IF(L40="",1,L40)))</f>
        <v>0</v>
      </c>
      <c r="X40" s="20">
        <f>IF(B40="","",0)</f>
        <v>0</v>
      </c>
      <c r="Y40" s="36">
        <f>IF(B40="","",ROUND(U40*60/W40+IF(M40="",0,M40),1))</f>
        <v>0</v>
      </c>
      <c r="Z40" s="20">
        <f>IF(B40="","",ROUND(V40/W40+IF(M40="",0,M40)/60*T40,2))</f>
        <v>0</v>
      </c>
      <c r="AA40" s="20">
        <f>IF(B40="","",ROUND(IF(K40="",0,K40)/W40,2))</f>
        <v>0</v>
      </c>
      <c r="AB40" s="20">
        <f>IF(B40="","",ROUND(IF(O40="",0,O40)*MAX(0,AL40+Z40-IF(M40="",0,M40)/60*T40),2))</f>
        <v>0</v>
      </c>
      <c r="AC40" s="33">
        <f>IF(B40="","",IF(V40=0,"",AB40/V40))</f>
        <v>0</v>
      </c>
      <c r="AD40" s="32">
        <f>IF(B40="","",IF(OR(AK40="",AK40-AA40-(AK40*AF40+AG40)-IF(M40="",0,M40)/60*T40&lt;=0),"Never at this price",ROUNDUP(V40/(AK40-AA40-(AK40*AF40+AG40)-IF(M40="",0,M40)/60*T40),0)))</f>
        <v>0</v>
      </c>
      <c r="AE40" s="20">
        <f>IF(B40="","",ROUND(X40+Z40+AA40,2))</f>
        <v>0</v>
      </c>
      <c r="AF40" s="33">
        <f>IF(B40="","",IFERROR(INDEX(Channels!$S$5:$S$18,MATCH(DefaultChannel,Channels!$A$5:$A$18,0)),0))</f>
        <v>0</v>
      </c>
      <c r="AG40" s="20">
        <f>IF(B40="","",IFERROR(INDEX(Channels!$T$5:$T$18,MATCH(DefaultChannel,Channels!$A$5:$A$18,0)),0))</f>
        <v>0</v>
      </c>
      <c r="AH40" s="41">
        <f>IF(B40="","",1-TargetRetailMargin-AF40)</f>
        <v>0</v>
      </c>
      <c r="AI40" s="20">
        <f>IF(B40="","",IF(AH40&lt;=0,"",(AE40+AG40)/AH40))</f>
        <v>0</v>
      </c>
      <c r="AJ40" s="20">
        <f>IF(B40="","",IF(AI40="","Check the settings",ROUND(IF(RoundingRule="None",AI40,IF(RoundingRule="Nearest 0.99",MAX(0.99,CEILING(AI40,1)-0.01),IF(RoundingRule="Nearest 0.95",MAX(0.95,CEILING(AI40,1)-0.05),IF(RoundingRule="Nearest 0.50",CEILING(AI40,0.5),IF(RoundingRule="Nearest 1",CEILING(AI40,1),IF(RoundingRule="Nearest 5",CEILING(AI40,5),IF(RoundingRule="Up to whole 1",CEILING(AI40,1),IF(RoundingRule="Up to whole 5",CEILING(AI40,5),ROUND(AI40,2))))))))),2)))</f>
        <v>0</v>
      </c>
      <c r="AK40" s="20">
        <f>IF(B40="","",IF(R40&lt;&gt;"",R40,IF(ISNUMBER(AJ40),AJ40,"")))</f>
        <v>0</v>
      </c>
      <c r="AL40" s="20">
        <f>IF(B40="","",IF(AK40="","",ROUND(AK40-AE40-(AK40*AF40+AG40),2)))</f>
        <v>0</v>
      </c>
      <c r="AM40" s="33">
        <f>IF(B40="","",IF(OR(AK40="",AK40=0),"",AL40/AK40))</f>
        <v>0</v>
      </c>
      <c r="AN40" s="41">
        <f>IF(B40="","",ROUND(Y40/60,3))</f>
        <v>0</v>
      </c>
      <c r="AO40" s="20">
        <f>IF(B40="","",IF(OR(AN40=0,AN40="",AL40=""),"",ROUND((AL40+Z40)/AN40,2)))</f>
        <v>0</v>
      </c>
      <c r="AP40" s="43">
        <f>IF(B40="","",IF(AND(A40&lt;&gt;"",ISERROR(MATCH(A40,Products!$A$5:$A$304,0))),"Check - no such product ID",IF(Z40=0,"Add - no material cost yet",IF(Y40=0,"Add - how long does it take?",IF(AND(A40&lt;&gt;"",COUNTIFS('Material Usage'!$A$5:$A$904,A40)&gt;0),"Check - this product also has a bill of materials",IF(AND(A40&lt;&gt;"",COUNTIFS(Labor!$A$5:$A$304,A40)&gt;0),"Check - this product also has labour lines",IF(AO40&lt;MinimumWage,"Below - pays under minimum wage","OK")))))) )</f>
        <v>0</v>
      </c>
    </row>
    <row r="41" spans="20:42">
      <c r="T41" s="20">
        <f>IF(B41="","",IF(Q41&lt;&gt;"",Q41,LaborCostHour))</f>
        <v>0</v>
      </c>
      <c r="U41" s="41">
        <f>IF(B41="","",IF(F41="",0,F41)+IF(G41="",0,G41)+IF(H41="",0,H41)+IF(I41="",0,I41)+IF(N41="",0,N41))</f>
        <v>0</v>
      </c>
      <c r="V41" s="20">
        <f>IF(B41="","",ROUND(U41*T41+IF(J41="",0,J41),2))</f>
        <v>0</v>
      </c>
      <c r="W41" s="32">
        <f>IF(B41="","",MAX(1,IF(L41="",1,L41)))</f>
        <v>0</v>
      </c>
      <c r="X41" s="20">
        <f>IF(B41="","",0)</f>
        <v>0</v>
      </c>
      <c r="Y41" s="36">
        <f>IF(B41="","",ROUND(U41*60/W41+IF(M41="",0,M41),1))</f>
        <v>0</v>
      </c>
      <c r="Z41" s="20">
        <f>IF(B41="","",ROUND(V41/W41+IF(M41="",0,M41)/60*T41,2))</f>
        <v>0</v>
      </c>
      <c r="AA41" s="20">
        <f>IF(B41="","",ROUND(IF(K41="",0,K41)/W41,2))</f>
        <v>0</v>
      </c>
      <c r="AB41" s="20">
        <f>IF(B41="","",ROUND(IF(O41="",0,O41)*MAX(0,AL41+Z41-IF(M41="",0,M41)/60*T41),2))</f>
        <v>0</v>
      </c>
      <c r="AC41" s="33">
        <f>IF(B41="","",IF(V41=0,"",AB41/V41))</f>
        <v>0</v>
      </c>
      <c r="AD41" s="32">
        <f>IF(B41="","",IF(OR(AK41="",AK41-AA41-(AK41*AF41+AG41)-IF(M41="",0,M41)/60*T41&lt;=0),"Never at this price",ROUNDUP(V41/(AK41-AA41-(AK41*AF41+AG41)-IF(M41="",0,M41)/60*T41),0)))</f>
        <v>0</v>
      </c>
      <c r="AE41" s="20">
        <f>IF(B41="","",ROUND(X41+Z41+AA41,2))</f>
        <v>0</v>
      </c>
      <c r="AF41" s="33">
        <f>IF(B41="","",IFERROR(INDEX(Channels!$S$5:$S$18,MATCH(DefaultChannel,Channels!$A$5:$A$18,0)),0))</f>
        <v>0</v>
      </c>
      <c r="AG41" s="20">
        <f>IF(B41="","",IFERROR(INDEX(Channels!$T$5:$T$18,MATCH(DefaultChannel,Channels!$A$5:$A$18,0)),0))</f>
        <v>0</v>
      </c>
      <c r="AH41" s="41">
        <f>IF(B41="","",1-TargetRetailMargin-AF41)</f>
        <v>0</v>
      </c>
      <c r="AI41" s="20">
        <f>IF(B41="","",IF(AH41&lt;=0,"",(AE41+AG41)/AH41))</f>
        <v>0</v>
      </c>
      <c r="AJ41" s="20">
        <f>IF(B41="","",IF(AI41="","Check the settings",ROUND(IF(RoundingRule="None",AI41,IF(RoundingRule="Nearest 0.99",MAX(0.99,CEILING(AI41,1)-0.01),IF(RoundingRule="Nearest 0.95",MAX(0.95,CEILING(AI41,1)-0.05),IF(RoundingRule="Nearest 0.50",CEILING(AI41,0.5),IF(RoundingRule="Nearest 1",CEILING(AI41,1),IF(RoundingRule="Nearest 5",CEILING(AI41,5),IF(RoundingRule="Up to whole 1",CEILING(AI41,1),IF(RoundingRule="Up to whole 5",CEILING(AI41,5),ROUND(AI41,2))))))))),2)))</f>
        <v>0</v>
      </c>
      <c r="AK41" s="20">
        <f>IF(B41="","",IF(R41&lt;&gt;"",R41,IF(ISNUMBER(AJ41),AJ41,"")))</f>
        <v>0</v>
      </c>
      <c r="AL41" s="20">
        <f>IF(B41="","",IF(AK41="","",ROUND(AK41-AE41-(AK41*AF41+AG41),2)))</f>
        <v>0</v>
      </c>
      <c r="AM41" s="33">
        <f>IF(B41="","",IF(OR(AK41="",AK41=0),"",AL41/AK41))</f>
        <v>0</v>
      </c>
      <c r="AN41" s="41">
        <f>IF(B41="","",ROUND(Y41/60,3))</f>
        <v>0</v>
      </c>
      <c r="AO41" s="20">
        <f>IF(B41="","",IF(OR(AN41=0,AN41="",AL41=""),"",ROUND((AL41+Z41)/AN41,2)))</f>
        <v>0</v>
      </c>
      <c r="AP41" s="43">
        <f>IF(B41="","",IF(AND(A41&lt;&gt;"",ISERROR(MATCH(A41,Products!$A$5:$A$304,0))),"Check - no such product ID",IF(Z41=0,"Add - no material cost yet",IF(Y41=0,"Add - how long does it take?",IF(AND(A41&lt;&gt;"",COUNTIFS('Material Usage'!$A$5:$A$904,A41)&gt;0),"Check - this product also has a bill of materials",IF(AND(A41&lt;&gt;"",COUNTIFS(Labor!$A$5:$A$304,A41)&gt;0),"Check - this product also has labour lines",IF(AO41&lt;MinimumWage,"Below - pays under minimum wage","OK")))))) )</f>
        <v>0</v>
      </c>
    </row>
    <row r="42" spans="20:42">
      <c r="T42" s="20">
        <f>IF(B42="","",IF(Q42&lt;&gt;"",Q42,LaborCostHour))</f>
        <v>0</v>
      </c>
      <c r="U42" s="41">
        <f>IF(B42="","",IF(F42="",0,F42)+IF(G42="",0,G42)+IF(H42="",0,H42)+IF(I42="",0,I42)+IF(N42="",0,N42))</f>
        <v>0</v>
      </c>
      <c r="V42" s="20">
        <f>IF(B42="","",ROUND(U42*T42+IF(J42="",0,J42),2))</f>
        <v>0</v>
      </c>
      <c r="W42" s="32">
        <f>IF(B42="","",MAX(1,IF(L42="",1,L42)))</f>
        <v>0</v>
      </c>
      <c r="X42" s="20">
        <f>IF(B42="","",0)</f>
        <v>0</v>
      </c>
      <c r="Y42" s="36">
        <f>IF(B42="","",ROUND(U42*60/W42+IF(M42="",0,M42),1))</f>
        <v>0</v>
      </c>
      <c r="Z42" s="20">
        <f>IF(B42="","",ROUND(V42/W42+IF(M42="",0,M42)/60*T42,2))</f>
        <v>0</v>
      </c>
      <c r="AA42" s="20">
        <f>IF(B42="","",ROUND(IF(K42="",0,K42)/W42,2))</f>
        <v>0</v>
      </c>
      <c r="AB42" s="20">
        <f>IF(B42="","",ROUND(IF(O42="",0,O42)*MAX(0,AL42+Z42-IF(M42="",0,M42)/60*T42),2))</f>
        <v>0</v>
      </c>
      <c r="AC42" s="33">
        <f>IF(B42="","",IF(V42=0,"",AB42/V42))</f>
        <v>0</v>
      </c>
      <c r="AD42" s="32">
        <f>IF(B42="","",IF(OR(AK42="",AK42-AA42-(AK42*AF42+AG42)-IF(M42="",0,M42)/60*T42&lt;=0),"Never at this price",ROUNDUP(V42/(AK42-AA42-(AK42*AF42+AG42)-IF(M42="",0,M42)/60*T42),0)))</f>
        <v>0</v>
      </c>
      <c r="AE42" s="20">
        <f>IF(B42="","",ROUND(X42+Z42+AA42,2))</f>
        <v>0</v>
      </c>
      <c r="AF42" s="33">
        <f>IF(B42="","",IFERROR(INDEX(Channels!$S$5:$S$18,MATCH(DefaultChannel,Channels!$A$5:$A$18,0)),0))</f>
        <v>0</v>
      </c>
      <c r="AG42" s="20">
        <f>IF(B42="","",IFERROR(INDEX(Channels!$T$5:$T$18,MATCH(DefaultChannel,Channels!$A$5:$A$18,0)),0))</f>
        <v>0</v>
      </c>
      <c r="AH42" s="41">
        <f>IF(B42="","",1-TargetRetailMargin-AF42)</f>
        <v>0</v>
      </c>
      <c r="AI42" s="20">
        <f>IF(B42="","",IF(AH42&lt;=0,"",(AE42+AG42)/AH42))</f>
        <v>0</v>
      </c>
      <c r="AJ42" s="20">
        <f>IF(B42="","",IF(AI42="","Check the settings",ROUND(IF(RoundingRule="None",AI42,IF(RoundingRule="Nearest 0.99",MAX(0.99,CEILING(AI42,1)-0.01),IF(RoundingRule="Nearest 0.95",MAX(0.95,CEILING(AI42,1)-0.05),IF(RoundingRule="Nearest 0.50",CEILING(AI42,0.5),IF(RoundingRule="Nearest 1",CEILING(AI42,1),IF(RoundingRule="Nearest 5",CEILING(AI42,5),IF(RoundingRule="Up to whole 1",CEILING(AI42,1),IF(RoundingRule="Up to whole 5",CEILING(AI42,5),ROUND(AI42,2))))))))),2)))</f>
        <v>0</v>
      </c>
      <c r="AK42" s="20">
        <f>IF(B42="","",IF(R42&lt;&gt;"",R42,IF(ISNUMBER(AJ42),AJ42,"")))</f>
        <v>0</v>
      </c>
      <c r="AL42" s="20">
        <f>IF(B42="","",IF(AK42="","",ROUND(AK42-AE42-(AK42*AF42+AG42),2)))</f>
        <v>0</v>
      </c>
      <c r="AM42" s="33">
        <f>IF(B42="","",IF(OR(AK42="",AK42=0),"",AL42/AK42))</f>
        <v>0</v>
      </c>
      <c r="AN42" s="41">
        <f>IF(B42="","",ROUND(Y42/60,3))</f>
        <v>0</v>
      </c>
      <c r="AO42" s="20">
        <f>IF(B42="","",IF(OR(AN42=0,AN42="",AL42=""),"",ROUND((AL42+Z42)/AN42,2)))</f>
        <v>0</v>
      </c>
      <c r="AP42" s="43">
        <f>IF(B42="","",IF(AND(A42&lt;&gt;"",ISERROR(MATCH(A42,Products!$A$5:$A$304,0))),"Check - no such product ID",IF(Z42=0,"Add - no material cost yet",IF(Y42=0,"Add - how long does it take?",IF(AND(A42&lt;&gt;"",COUNTIFS('Material Usage'!$A$5:$A$904,A42)&gt;0),"Check - this product also has a bill of materials",IF(AND(A42&lt;&gt;"",COUNTIFS(Labor!$A$5:$A$304,A42)&gt;0),"Check - this product also has labour lines",IF(AO42&lt;MinimumWage,"Below - pays under minimum wage","OK")))))) )</f>
        <v>0</v>
      </c>
    </row>
    <row r="43" spans="20:42">
      <c r="T43" s="20">
        <f>IF(B43="","",IF(Q43&lt;&gt;"",Q43,LaborCostHour))</f>
        <v>0</v>
      </c>
      <c r="U43" s="41">
        <f>IF(B43="","",IF(F43="",0,F43)+IF(G43="",0,G43)+IF(H43="",0,H43)+IF(I43="",0,I43)+IF(N43="",0,N43))</f>
        <v>0</v>
      </c>
      <c r="V43" s="20">
        <f>IF(B43="","",ROUND(U43*T43+IF(J43="",0,J43),2))</f>
        <v>0</v>
      </c>
      <c r="W43" s="32">
        <f>IF(B43="","",MAX(1,IF(L43="",1,L43)))</f>
        <v>0</v>
      </c>
      <c r="X43" s="20">
        <f>IF(B43="","",0)</f>
        <v>0</v>
      </c>
      <c r="Y43" s="36">
        <f>IF(B43="","",ROUND(U43*60/W43+IF(M43="",0,M43),1))</f>
        <v>0</v>
      </c>
      <c r="Z43" s="20">
        <f>IF(B43="","",ROUND(V43/W43+IF(M43="",0,M43)/60*T43,2))</f>
        <v>0</v>
      </c>
      <c r="AA43" s="20">
        <f>IF(B43="","",ROUND(IF(K43="",0,K43)/W43,2))</f>
        <v>0</v>
      </c>
      <c r="AB43" s="20">
        <f>IF(B43="","",ROUND(IF(O43="",0,O43)*MAX(0,AL43+Z43-IF(M43="",0,M43)/60*T43),2))</f>
        <v>0</v>
      </c>
      <c r="AC43" s="33">
        <f>IF(B43="","",IF(V43=0,"",AB43/V43))</f>
        <v>0</v>
      </c>
      <c r="AD43" s="32">
        <f>IF(B43="","",IF(OR(AK43="",AK43-AA43-(AK43*AF43+AG43)-IF(M43="",0,M43)/60*T43&lt;=0),"Never at this price",ROUNDUP(V43/(AK43-AA43-(AK43*AF43+AG43)-IF(M43="",0,M43)/60*T43),0)))</f>
        <v>0</v>
      </c>
      <c r="AE43" s="20">
        <f>IF(B43="","",ROUND(X43+Z43+AA43,2))</f>
        <v>0</v>
      </c>
      <c r="AF43" s="33">
        <f>IF(B43="","",IFERROR(INDEX(Channels!$S$5:$S$18,MATCH(DefaultChannel,Channels!$A$5:$A$18,0)),0))</f>
        <v>0</v>
      </c>
      <c r="AG43" s="20">
        <f>IF(B43="","",IFERROR(INDEX(Channels!$T$5:$T$18,MATCH(DefaultChannel,Channels!$A$5:$A$18,0)),0))</f>
        <v>0</v>
      </c>
      <c r="AH43" s="41">
        <f>IF(B43="","",1-TargetRetailMargin-AF43)</f>
        <v>0</v>
      </c>
      <c r="AI43" s="20">
        <f>IF(B43="","",IF(AH43&lt;=0,"",(AE43+AG43)/AH43))</f>
        <v>0</v>
      </c>
      <c r="AJ43" s="20">
        <f>IF(B43="","",IF(AI43="","Check the settings",ROUND(IF(RoundingRule="None",AI43,IF(RoundingRule="Nearest 0.99",MAX(0.99,CEILING(AI43,1)-0.01),IF(RoundingRule="Nearest 0.95",MAX(0.95,CEILING(AI43,1)-0.05),IF(RoundingRule="Nearest 0.50",CEILING(AI43,0.5),IF(RoundingRule="Nearest 1",CEILING(AI43,1),IF(RoundingRule="Nearest 5",CEILING(AI43,5),IF(RoundingRule="Up to whole 1",CEILING(AI43,1),IF(RoundingRule="Up to whole 5",CEILING(AI43,5),ROUND(AI43,2))))))))),2)))</f>
        <v>0</v>
      </c>
      <c r="AK43" s="20">
        <f>IF(B43="","",IF(R43&lt;&gt;"",R43,IF(ISNUMBER(AJ43),AJ43,"")))</f>
        <v>0</v>
      </c>
      <c r="AL43" s="20">
        <f>IF(B43="","",IF(AK43="","",ROUND(AK43-AE43-(AK43*AF43+AG43),2)))</f>
        <v>0</v>
      </c>
      <c r="AM43" s="33">
        <f>IF(B43="","",IF(OR(AK43="",AK43=0),"",AL43/AK43))</f>
        <v>0</v>
      </c>
      <c r="AN43" s="41">
        <f>IF(B43="","",ROUND(Y43/60,3))</f>
        <v>0</v>
      </c>
      <c r="AO43" s="20">
        <f>IF(B43="","",IF(OR(AN43=0,AN43="",AL43=""),"",ROUND((AL43+Z43)/AN43,2)))</f>
        <v>0</v>
      </c>
      <c r="AP43" s="43">
        <f>IF(B43="","",IF(AND(A43&lt;&gt;"",ISERROR(MATCH(A43,Products!$A$5:$A$304,0))),"Check - no such product ID",IF(Z43=0,"Add - no material cost yet",IF(Y43=0,"Add - how long does it take?",IF(AND(A43&lt;&gt;"",COUNTIFS('Material Usage'!$A$5:$A$904,A43)&gt;0),"Check - this product also has a bill of materials",IF(AND(A43&lt;&gt;"",COUNTIFS(Labor!$A$5:$A$304,A43)&gt;0),"Check - this product also has labour lines",IF(AO43&lt;MinimumWage,"Below - pays under minimum wage","OK")))))) )</f>
        <v>0</v>
      </c>
    </row>
    <row r="44" spans="20:42">
      <c r="T44" s="20">
        <f>IF(B44="","",IF(Q44&lt;&gt;"",Q44,LaborCostHour))</f>
        <v>0</v>
      </c>
      <c r="U44" s="41">
        <f>IF(B44="","",IF(F44="",0,F44)+IF(G44="",0,G44)+IF(H44="",0,H44)+IF(I44="",0,I44)+IF(N44="",0,N44))</f>
        <v>0</v>
      </c>
      <c r="V44" s="20">
        <f>IF(B44="","",ROUND(U44*T44+IF(J44="",0,J44),2))</f>
        <v>0</v>
      </c>
      <c r="W44" s="32">
        <f>IF(B44="","",MAX(1,IF(L44="",1,L44)))</f>
        <v>0</v>
      </c>
      <c r="X44" s="20">
        <f>IF(B44="","",0)</f>
        <v>0</v>
      </c>
      <c r="Y44" s="36">
        <f>IF(B44="","",ROUND(U44*60/W44+IF(M44="",0,M44),1))</f>
        <v>0</v>
      </c>
      <c r="Z44" s="20">
        <f>IF(B44="","",ROUND(V44/W44+IF(M44="",0,M44)/60*T44,2))</f>
        <v>0</v>
      </c>
      <c r="AA44" s="20">
        <f>IF(B44="","",ROUND(IF(K44="",0,K44)/W44,2))</f>
        <v>0</v>
      </c>
      <c r="AB44" s="20">
        <f>IF(B44="","",ROUND(IF(O44="",0,O44)*MAX(0,AL44+Z44-IF(M44="",0,M44)/60*T44),2))</f>
        <v>0</v>
      </c>
      <c r="AC44" s="33">
        <f>IF(B44="","",IF(V44=0,"",AB44/V44))</f>
        <v>0</v>
      </c>
      <c r="AD44" s="32">
        <f>IF(B44="","",IF(OR(AK44="",AK44-AA44-(AK44*AF44+AG44)-IF(M44="",0,M44)/60*T44&lt;=0),"Never at this price",ROUNDUP(V44/(AK44-AA44-(AK44*AF44+AG44)-IF(M44="",0,M44)/60*T44),0)))</f>
        <v>0</v>
      </c>
      <c r="AE44" s="20">
        <f>IF(B44="","",ROUND(X44+Z44+AA44,2))</f>
        <v>0</v>
      </c>
      <c r="AF44" s="33">
        <f>IF(B44="","",IFERROR(INDEX(Channels!$S$5:$S$18,MATCH(DefaultChannel,Channels!$A$5:$A$18,0)),0))</f>
        <v>0</v>
      </c>
      <c r="AG44" s="20">
        <f>IF(B44="","",IFERROR(INDEX(Channels!$T$5:$T$18,MATCH(DefaultChannel,Channels!$A$5:$A$18,0)),0))</f>
        <v>0</v>
      </c>
      <c r="AH44" s="41">
        <f>IF(B44="","",1-TargetRetailMargin-AF44)</f>
        <v>0</v>
      </c>
      <c r="AI44" s="20">
        <f>IF(B44="","",IF(AH44&lt;=0,"",(AE44+AG44)/AH44))</f>
        <v>0</v>
      </c>
      <c r="AJ44" s="20">
        <f>IF(B44="","",IF(AI44="","Check the settings",ROUND(IF(RoundingRule="None",AI44,IF(RoundingRule="Nearest 0.99",MAX(0.99,CEILING(AI44,1)-0.01),IF(RoundingRule="Nearest 0.95",MAX(0.95,CEILING(AI44,1)-0.05),IF(RoundingRule="Nearest 0.50",CEILING(AI44,0.5),IF(RoundingRule="Nearest 1",CEILING(AI44,1),IF(RoundingRule="Nearest 5",CEILING(AI44,5),IF(RoundingRule="Up to whole 1",CEILING(AI44,1),IF(RoundingRule="Up to whole 5",CEILING(AI44,5),ROUND(AI44,2))))))))),2)))</f>
        <v>0</v>
      </c>
      <c r="AK44" s="20">
        <f>IF(B44="","",IF(R44&lt;&gt;"",R44,IF(ISNUMBER(AJ44),AJ44,"")))</f>
        <v>0</v>
      </c>
      <c r="AL44" s="20">
        <f>IF(B44="","",IF(AK44="","",ROUND(AK44-AE44-(AK44*AF44+AG44),2)))</f>
        <v>0</v>
      </c>
      <c r="AM44" s="33">
        <f>IF(B44="","",IF(OR(AK44="",AK44=0),"",AL44/AK44))</f>
        <v>0</v>
      </c>
      <c r="AN44" s="41">
        <f>IF(B44="","",ROUND(Y44/60,3))</f>
        <v>0</v>
      </c>
      <c r="AO44" s="20">
        <f>IF(B44="","",IF(OR(AN44=0,AN44="",AL44=""),"",ROUND((AL44+Z44)/AN44,2)))</f>
        <v>0</v>
      </c>
      <c r="AP44" s="43">
        <f>IF(B44="","",IF(AND(A44&lt;&gt;"",ISERROR(MATCH(A44,Products!$A$5:$A$304,0))),"Check - no such product ID",IF(Z44=0,"Add - no material cost yet",IF(Y44=0,"Add - how long does it take?",IF(AND(A44&lt;&gt;"",COUNTIFS('Material Usage'!$A$5:$A$904,A44)&gt;0),"Check - this product also has a bill of materials",IF(AND(A44&lt;&gt;"",COUNTIFS(Labor!$A$5:$A$304,A44)&gt;0),"Check - this product also has labour lines",IF(AO44&lt;MinimumWage,"Below - pays under minimum wage","OK")))))) )</f>
        <v>0</v>
      </c>
    </row>
    <row r="45" spans="20:42">
      <c r="T45" s="20">
        <f>IF(B45="","",IF(Q45&lt;&gt;"",Q45,LaborCostHour))</f>
        <v>0</v>
      </c>
      <c r="U45" s="41">
        <f>IF(B45="","",IF(F45="",0,F45)+IF(G45="",0,G45)+IF(H45="",0,H45)+IF(I45="",0,I45)+IF(N45="",0,N45))</f>
        <v>0</v>
      </c>
      <c r="V45" s="20">
        <f>IF(B45="","",ROUND(U45*T45+IF(J45="",0,J45),2))</f>
        <v>0</v>
      </c>
      <c r="W45" s="32">
        <f>IF(B45="","",MAX(1,IF(L45="",1,L45)))</f>
        <v>0</v>
      </c>
      <c r="X45" s="20">
        <f>IF(B45="","",0)</f>
        <v>0</v>
      </c>
      <c r="Y45" s="36">
        <f>IF(B45="","",ROUND(U45*60/W45+IF(M45="",0,M45),1))</f>
        <v>0</v>
      </c>
      <c r="Z45" s="20">
        <f>IF(B45="","",ROUND(V45/W45+IF(M45="",0,M45)/60*T45,2))</f>
        <v>0</v>
      </c>
      <c r="AA45" s="20">
        <f>IF(B45="","",ROUND(IF(K45="",0,K45)/W45,2))</f>
        <v>0</v>
      </c>
      <c r="AB45" s="20">
        <f>IF(B45="","",ROUND(IF(O45="",0,O45)*MAX(0,AL45+Z45-IF(M45="",0,M45)/60*T45),2))</f>
        <v>0</v>
      </c>
      <c r="AC45" s="33">
        <f>IF(B45="","",IF(V45=0,"",AB45/V45))</f>
        <v>0</v>
      </c>
      <c r="AD45" s="32">
        <f>IF(B45="","",IF(OR(AK45="",AK45-AA45-(AK45*AF45+AG45)-IF(M45="",0,M45)/60*T45&lt;=0),"Never at this price",ROUNDUP(V45/(AK45-AA45-(AK45*AF45+AG45)-IF(M45="",0,M45)/60*T45),0)))</f>
        <v>0</v>
      </c>
      <c r="AE45" s="20">
        <f>IF(B45="","",ROUND(X45+Z45+AA45,2))</f>
        <v>0</v>
      </c>
      <c r="AF45" s="33">
        <f>IF(B45="","",IFERROR(INDEX(Channels!$S$5:$S$18,MATCH(DefaultChannel,Channels!$A$5:$A$18,0)),0))</f>
        <v>0</v>
      </c>
      <c r="AG45" s="20">
        <f>IF(B45="","",IFERROR(INDEX(Channels!$T$5:$T$18,MATCH(DefaultChannel,Channels!$A$5:$A$18,0)),0))</f>
        <v>0</v>
      </c>
      <c r="AH45" s="41">
        <f>IF(B45="","",1-TargetRetailMargin-AF45)</f>
        <v>0</v>
      </c>
      <c r="AI45" s="20">
        <f>IF(B45="","",IF(AH45&lt;=0,"",(AE45+AG45)/AH45))</f>
        <v>0</v>
      </c>
      <c r="AJ45" s="20">
        <f>IF(B45="","",IF(AI45="","Check the settings",ROUND(IF(RoundingRule="None",AI45,IF(RoundingRule="Nearest 0.99",MAX(0.99,CEILING(AI45,1)-0.01),IF(RoundingRule="Nearest 0.95",MAX(0.95,CEILING(AI45,1)-0.05),IF(RoundingRule="Nearest 0.50",CEILING(AI45,0.5),IF(RoundingRule="Nearest 1",CEILING(AI45,1),IF(RoundingRule="Nearest 5",CEILING(AI45,5),IF(RoundingRule="Up to whole 1",CEILING(AI45,1),IF(RoundingRule="Up to whole 5",CEILING(AI45,5),ROUND(AI45,2))))))))),2)))</f>
        <v>0</v>
      </c>
      <c r="AK45" s="20">
        <f>IF(B45="","",IF(R45&lt;&gt;"",R45,IF(ISNUMBER(AJ45),AJ45,"")))</f>
        <v>0</v>
      </c>
      <c r="AL45" s="20">
        <f>IF(B45="","",IF(AK45="","",ROUND(AK45-AE45-(AK45*AF45+AG45),2)))</f>
        <v>0</v>
      </c>
      <c r="AM45" s="33">
        <f>IF(B45="","",IF(OR(AK45="",AK45=0),"",AL45/AK45))</f>
        <v>0</v>
      </c>
      <c r="AN45" s="41">
        <f>IF(B45="","",ROUND(Y45/60,3))</f>
        <v>0</v>
      </c>
      <c r="AO45" s="20">
        <f>IF(B45="","",IF(OR(AN45=0,AN45="",AL45=""),"",ROUND((AL45+Z45)/AN45,2)))</f>
        <v>0</v>
      </c>
      <c r="AP45" s="43">
        <f>IF(B45="","",IF(AND(A45&lt;&gt;"",ISERROR(MATCH(A45,Products!$A$5:$A$304,0))),"Check - no such product ID",IF(Z45=0,"Add - no material cost yet",IF(Y45=0,"Add - how long does it take?",IF(AND(A45&lt;&gt;"",COUNTIFS('Material Usage'!$A$5:$A$904,A45)&gt;0),"Check - this product also has a bill of materials",IF(AND(A45&lt;&gt;"",COUNTIFS(Labor!$A$5:$A$304,A45)&gt;0),"Check - this product also has labour lines",IF(AO45&lt;MinimumWage,"Below - pays under minimum wage","OK")))))) )</f>
        <v>0</v>
      </c>
    </row>
    <row r="46" spans="20:42">
      <c r="T46" s="20">
        <f>IF(B46="","",IF(Q46&lt;&gt;"",Q46,LaborCostHour))</f>
        <v>0</v>
      </c>
      <c r="U46" s="41">
        <f>IF(B46="","",IF(F46="",0,F46)+IF(G46="",0,G46)+IF(H46="",0,H46)+IF(I46="",0,I46)+IF(N46="",0,N46))</f>
        <v>0</v>
      </c>
      <c r="V46" s="20">
        <f>IF(B46="","",ROUND(U46*T46+IF(J46="",0,J46),2))</f>
        <v>0</v>
      </c>
      <c r="W46" s="32">
        <f>IF(B46="","",MAX(1,IF(L46="",1,L46)))</f>
        <v>0</v>
      </c>
      <c r="X46" s="20">
        <f>IF(B46="","",0)</f>
        <v>0</v>
      </c>
      <c r="Y46" s="36">
        <f>IF(B46="","",ROUND(U46*60/W46+IF(M46="",0,M46),1))</f>
        <v>0</v>
      </c>
      <c r="Z46" s="20">
        <f>IF(B46="","",ROUND(V46/W46+IF(M46="",0,M46)/60*T46,2))</f>
        <v>0</v>
      </c>
      <c r="AA46" s="20">
        <f>IF(B46="","",ROUND(IF(K46="",0,K46)/W46,2))</f>
        <v>0</v>
      </c>
      <c r="AB46" s="20">
        <f>IF(B46="","",ROUND(IF(O46="",0,O46)*MAX(0,AL46+Z46-IF(M46="",0,M46)/60*T46),2))</f>
        <v>0</v>
      </c>
      <c r="AC46" s="33">
        <f>IF(B46="","",IF(V46=0,"",AB46/V46))</f>
        <v>0</v>
      </c>
      <c r="AD46" s="32">
        <f>IF(B46="","",IF(OR(AK46="",AK46-AA46-(AK46*AF46+AG46)-IF(M46="",0,M46)/60*T46&lt;=0),"Never at this price",ROUNDUP(V46/(AK46-AA46-(AK46*AF46+AG46)-IF(M46="",0,M46)/60*T46),0)))</f>
        <v>0</v>
      </c>
      <c r="AE46" s="20">
        <f>IF(B46="","",ROUND(X46+Z46+AA46,2))</f>
        <v>0</v>
      </c>
      <c r="AF46" s="33">
        <f>IF(B46="","",IFERROR(INDEX(Channels!$S$5:$S$18,MATCH(DefaultChannel,Channels!$A$5:$A$18,0)),0))</f>
        <v>0</v>
      </c>
      <c r="AG46" s="20">
        <f>IF(B46="","",IFERROR(INDEX(Channels!$T$5:$T$18,MATCH(DefaultChannel,Channels!$A$5:$A$18,0)),0))</f>
        <v>0</v>
      </c>
      <c r="AH46" s="41">
        <f>IF(B46="","",1-TargetRetailMargin-AF46)</f>
        <v>0</v>
      </c>
      <c r="AI46" s="20">
        <f>IF(B46="","",IF(AH46&lt;=0,"",(AE46+AG46)/AH46))</f>
        <v>0</v>
      </c>
      <c r="AJ46" s="20">
        <f>IF(B46="","",IF(AI46="","Check the settings",ROUND(IF(RoundingRule="None",AI46,IF(RoundingRule="Nearest 0.99",MAX(0.99,CEILING(AI46,1)-0.01),IF(RoundingRule="Nearest 0.95",MAX(0.95,CEILING(AI46,1)-0.05),IF(RoundingRule="Nearest 0.50",CEILING(AI46,0.5),IF(RoundingRule="Nearest 1",CEILING(AI46,1),IF(RoundingRule="Nearest 5",CEILING(AI46,5),IF(RoundingRule="Up to whole 1",CEILING(AI46,1),IF(RoundingRule="Up to whole 5",CEILING(AI46,5),ROUND(AI46,2))))))))),2)))</f>
        <v>0</v>
      </c>
      <c r="AK46" s="20">
        <f>IF(B46="","",IF(R46&lt;&gt;"",R46,IF(ISNUMBER(AJ46),AJ46,"")))</f>
        <v>0</v>
      </c>
      <c r="AL46" s="20">
        <f>IF(B46="","",IF(AK46="","",ROUND(AK46-AE46-(AK46*AF46+AG46),2)))</f>
        <v>0</v>
      </c>
      <c r="AM46" s="33">
        <f>IF(B46="","",IF(OR(AK46="",AK46=0),"",AL46/AK46))</f>
        <v>0</v>
      </c>
      <c r="AN46" s="41">
        <f>IF(B46="","",ROUND(Y46/60,3))</f>
        <v>0</v>
      </c>
      <c r="AO46" s="20">
        <f>IF(B46="","",IF(OR(AN46=0,AN46="",AL46=""),"",ROUND((AL46+Z46)/AN46,2)))</f>
        <v>0</v>
      </c>
      <c r="AP46" s="43">
        <f>IF(B46="","",IF(AND(A46&lt;&gt;"",ISERROR(MATCH(A46,Products!$A$5:$A$304,0))),"Check - no such product ID",IF(Z46=0,"Add - no material cost yet",IF(Y46=0,"Add - how long does it take?",IF(AND(A46&lt;&gt;"",COUNTIFS('Material Usage'!$A$5:$A$904,A46)&gt;0),"Check - this product also has a bill of materials",IF(AND(A46&lt;&gt;"",COUNTIFS(Labor!$A$5:$A$304,A46)&gt;0),"Check - this product also has labour lines",IF(AO46&lt;MinimumWage,"Below - pays under minimum wage","OK")))))) )</f>
        <v>0</v>
      </c>
    </row>
    <row r="47" spans="20:42">
      <c r="T47" s="20">
        <f>IF(B47="","",IF(Q47&lt;&gt;"",Q47,LaborCostHour))</f>
        <v>0</v>
      </c>
      <c r="U47" s="41">
        <f>IF(B47="","",IF(F47="",0,F47)+IF(G47="",0,G47)+IF(H47="",0,H47)+IF(I47="",0,I47)+IF(N47="",0,N47))</f>
        <v>0</v>
      </c>
      <c r="V47" s="20">
        <f>IF(B47="","",ROUND(U47*T47+IF(J47="",0,J47),2))</f>
        <v>0</v>
      </c>
      <c r="W47" s="32">
        <f>IF(B47="","",MAX(1,IF(L47="",1,L47)))</f>
        <v>0</v>
      </c>
      <c r="X47" s="20">
        <f>IF(B47="","",0)</f>
        <v>0</v>
      </c>
      <c r="Y47" s="36">
        <f>IF(B47="","",ROUND(U47*60/W47+IF(M47="",0,M47),1))</f>
        <v>0</v>
      </c>
      <c r="Z47" s="20">
        <f>IF(B47="","",ROUND(V47/W47+IF(M47="",0,M47)/60*T47,2))</f>
        <v>0</v>
      </c>
      <c r="AA47" s="20">
        <f>IF(B47="","",ROUND(IF(K47="",0,K47)/W47,2))</f>
        <v>0</v>
      </c>
      <c r="AB47" s="20">
        <f>IF(B47="","",ROUND(IF(O47="",0,O47)*MAX(0,AL47+Z47-IF(M47="",0,M47)/60*T47),2))</f>
        <v>0</v>
      </c>
      <c r="AC47" s="33">
        <f>IF(B47="","",IF(V47=0,"",AB47/V47))</f>
        <v>0</v>
      </c>
      <c r="AD47" s="32">
        <f>IF(B47="","",IF(OR(AK47="",AK47-AA47-(AK47*AF47+AG47)-IF(M47="",0,M47)/60*T47&lt;=0),"Never at this price",ROUNDUP(V47/(AK47-AA47-(AK47*AF47+AG47)-IF(M47="",0,M47)/60*T47),0)))</f>
        <v>0</v>
      </c>
      <c r="AE47" s="20">
        <f>IF(B47="","",ROUND(X47+Z47+AA47,2))</f>
        <v>0</v>
      </c>
      <c r="AF47" s="33">
        <f>IF(B47="","",IFERROR(INDEX(Channels!$S$5:$S$18,MATCH(DefaultChannel,Channels!$A$5:$A$18,0)),0))</f>
        <v>0</v>
      </c>
      <c r="AG47" s="20">
        <f>IF(B47="","",IFERROR(INDEX(Channels!$T$5:$T$18,MATCH(DefaultChannel,Channels!$A$5:$A$18,0)),0))</f>
        <v>0</v>
      </c>
      <c r="AH47" s="41">
        <f>IF(B47="","",1-TargetRetailMargin-AF47)</f>
        <v>0</v>
      </c>
      <c r="AI47" s="20">
        <f>IF(B47="","",IF(AH47&lt;=0,"",(AE47+AG47)/AH47))</f>
        <v>0</v>
      </c>
      <c r="AJ47" s="20">
        <f>IF(B47="","",IF(AI47="","Check the settings",ROUND(IF(RoundingRule="None",AI47,IF(RoundingRule="Nearest 0.99",MAX(0.99,CEILING(AI47,1)-0.01),IF(RoundingRule="Nearest 0.95",MAX(0.95,CEILING(AI47,1)-0.05),IF(RoundingRule="Nearest 0.50",CEILING(AI47,0.5),IF(RoundingRule="Nearest 1",CEILING(AI47,1),IF(RoundingRule="Nearest 5",CEILING(AI47,5),IF(RoundingRule="Up to whole 1",CEILING(AI47,1),IF(RoundingRule="Up to whole 5",CEILING(AI47,5),ROUND(AI47,2))))))))),2)))</f>
        <v>0</v>
      </c>
      <c r="AK47" s="20">
        <f>IF(B47="","",IF(R47&lt;&gt;"",R47,IF(ISNUMBER(AJ47),AJ47,"")))</f>
        <v>0</v>
      </c>
      <c r="AL47" s="20">
        <f>IF(B47="","",IF(AK47="","",ROUND(AK47-AE47-(AK47*AF47+AG47),2)))</f>
        <v>0</v>
      </c>
      <c r="AM47" s="33">
        <f>IF(B47="","",IF(OR(AK47="",AK47=0),"",AL47/AK47))</f>
        <v>0</v>
      </c>
      <c r="AN47" s="41">
        <f>IF(B47="","",ROUND(Y47/60,3))</f>
        <v>0</v>
      </c>
      <c r="AO47" s="20">
        <f>IF(B47="","",IF(OR(AN47=0,AN47="",AL47=""),"",ROUND((AL47+Z47)/AN47,2)))</f>
        <v>0</v>
      </c>
      <c r="AP47" s="43">
        <f>IF(B47="","",IF(AND(A47&lt;&gt;"",ISERROR(MATCH(A47,Products!$A$5:$A$304,0))),"Check - no such product ID",IF(Z47=0,"Add - no material cost yet",IF(Y47=0,"Add - how long does it take?",IF(AND(A47&lt;&gt;"",COUNTIFS('Material Usage'!$A$5:$A$904,A47)&gt;0),"Check - this product also has a bill of materials",IF(AND(A47&lt;&gt;"",COUNTIFS(Labor!$A$5:$A$304,A47)&gt;0),"Check - this product also has labour lines",IF(AO47&lt;MinimumWage,"Below - pays under minimum wage","OK")))))) )</f>
        <v>0</v>
      </c>
    </row>
    <row r="48" spans="20:42">
      <c r="T48" s="20">
        <f>IF(B48="","",IF(Q48&lt;&gt;"",Q48,LaborCostHour))</f>
        <v>0</v>
      </c>
      <c r="U48" s="41">
        <f>IF(B48="","",IF(F48="",0,F48)+IF(G48="",0,G48)+IF(H48="",0,H48)+IF(I48="",0,I48)+IF(N48="",0,N48))</f>
        <v>0</v>
      </c>
      <c r="V48" s="20">
        <f>IF(B48="","",ROUND(U48*T48+IF(J48="",0,J48),2))</f>
        <v>0</v>
      </c>
      <c r="W48" s="32">
        <f>IF(B48="","",MAX(1,IF(L48="",1,L48)))</f>
        <v>0</v>
      </c>
      <c r="X48" s="20">
        <f>IF(B48="","",0)</f>
        <v>0</v>
      </c>
      <c r="Y48" s="36">
        <f>IF(B48="","",ROUND(U48*60/W48+IF(M48="",0,M48),1))</f>
        <v>0</v>
      </c>
      <c r="Z48" s="20">
        <f>IF(B48="","",ROUND(V48/W48+IF(M48="",0,M48)/60*T48,2))</f>
        <v>0</v>
      </c>
      <c r="AA48" s="20">
        <f>IF(B48="","",ROUND(IF(K48="",0,K48)/W48,2))</f>
        <v>0</v>
      </c>
      <c r="AB48" s="20">
        <f>IF(B48="","",ROUND(IF(O48="",0,O48)*MAX(0,AL48+Z48-IF(M48="",0,M48)/60*T48),2))</f>
        <v>0</v>
      </c>
      <c r="AC48" s="33">
        <f>IF(B48="","",IF(V48=0,"",AB48/V48))</f>
        <v>0</v>
      </c>
      <c r="AD48" s="32">
        <f>IF(B48="","",IF(OR(AK48="",AK48-AA48-(AK48*AF48+AG48)-IF(M48="",0,M48)/60*T48&lt;=0),"Never at this price",ROUNDUP(V48/(AK48-AA48-(AK48*AF48+AG48)-IF(M48="",0,M48)/60*T48),0)))</f>
        <v>0</v>
      </c>
      <c r="AE48" s="20">
        <f>IF(B48="","",ROUND(X48+Z48+AA48,2))</f>
        <v>0</v>
      </c>
      <c r="AF48" s="33">
        <f>IF(B48="","",IFERROR(INDEX(Channels!$S$5:$S$18,MATCH(DefaultChannel,Channels!$A$5:$A$18,0)),0))</f>
        <v>0</v>
      </c>
      <c r="AG48" s="20">
        <f>IF(B48="","",IFERROR(INDEX(Channels!$T$5:$T$18,MATCH(DefaultChannel,Channels!$A$5:$A$18,0)),0))</f>
        <v>0</v>
      </c>
      <c r="AH48" s="41">
        <f>IF(B48="","",1-TargetRetailMargin-AF48)</f>
        <v>0</v>
      </c>
      <c r="AI48" s="20">
        <f>IF(B48="","",IF(AH48&lt;=0,"",(AE48+AG48)/AH48))</f>
        <v>0</v>
      </c>
      <c r="AJ48" s="20">
        <f>IF(B48="","",IF(AI48="","Check the settings",ROUND(IF(RoundingRule="None",AI48,IF(RoundingRule="Nearest 0.99",MAX(0.99,CEILING(AI48,1)-0.01),IF(RoundingRule="Nearest 0.95",MAX(0.95,CEILING(AI48,1)-0.05),IF(RoundingRule="Nearest 0.50",CEILING(AI48,0.5),IF(RoundingRule="Nearest 1",CEILING(AI48,1),IF(RoundingRule="Nearest 5",CEILING(AI48,5),IF(RoundingRule="Up to whole 1",CEILING(AI48,1),IF(RoundingRule="Up to whole 5",CEILING(AI48,5),ROUND(AI48,2))))))))),2)))</f>
        <v>0</v>
      </c>
      <c r="AK48" s="20">
        <f>IF(B48="","",IF(R48&lt;&gt;"",R48,IF(ISNUMBER(AJ48),AJ48,"")))</f>
        <v>0</v>
      </c>
      <c r="AL48" s="20">
        <f>IF(B48="","",IF(AK48="","",ROUND(AK48-AE48-(AK48*AF48+AG48),2)))</f>
        <v>0</v>
      </c>
      <c r="AM48" s="33">
        <f>IF(B48="","",IF(OR(AK48="",AK48=0),"",AL48/AK48))</f>
        <v>0</v>
      </c>
      <c r="AN48" s="41">
        <f>IF(B48="","",ROUND(Y48/60,3))</f>
        <v>0</v>
      </c>
      <c r="AO48" s="20">
        <f>IF(B48="","",IF(OR(AN48=0,AN48="",AL48=""),"",ROUND((AL48+Z48)/AN48,2)))</f>
        <v>0</v>
      </c>
      <c r="AP48" s="43">
        <f>IF(B48="","",IF(AND(A48&lt;&gt;"",ISERROR(MATCH(A48,Products!$A$5:$A$304,0))),"Check - no such product ID",IF(Z48=0,"Add - no material cost yet",IF(Y48=0,"Add - how long does it take?",IF(AND(A48&lt;&gt;"",COUNTIFS('Material Usage'!$A$5:$A$904,A48)&gt;0),"Check - this product also has a bill of materials",IF(AND(A48&lt;&gt;"",COUNTIFS(Labor!$A$5:$A$304,A48)&gt;0),"Check - this product also has labour lines",IF(AO48&lt;MinimumWage,"Below - pays under minimum wage","OK")))))) )</f>
        <v>0</v>
      </c>
    </row>
    <row r="49" spans="20:42">
      <c r="T49" s="20">
        <f>IF(B49="","",IF(Q49&lt;&gt;"",Q49,LaborCostHour))</f>
        <v>0</v>
      </c>
      <c r="U49" s="41">
        <f>IF(B49="","",IF(F49="",0,F49)+IF(G49="",0,G49)+IF(H49="",0,H49)+IF(I49="",0,I49)+IF(N49="",0,N49))</f>
        <v>0</v>
      </c>
      <c r="V49" s="20">
        <f>IF(B49="","",ROUND(U49*T49+IF(J49="",0,J49),2))</f>
        <v>0</v>
      </c>
      <c r="W49" s="32">
        <f>IF(B49="","",MAX(1,IF(L49="",1,L49)))</f>
        <v>0</v>
      </c>
      <c r="X49" s="20">
        <f>IF(B49="","",0)</f>
        <v>0</v>
      </c>
      <c r="Y49" s="36">
        <f>IF(B49="","",ROUND(U49*60/W49+IF(M49="",0,M49),1))</f>
        <v>0</v>
      </c>
      <c r="Z49" s="20">
        <f>IF(B49="","",ROUND(V49/W49+IF(M49="",0,M49)/60*T49,2))</f>
        <v>0</v>
      </c>
      <c r="AA49" s="20">
        <f>IF(B49="","",ROUND(IF(K49="",0,K49)/W49,2))</f>
        <v>0</v>
      </c>
      <c r="AB49" s="20">
        <f>IF(B49="","",ROUND(IF(O49="",0,O49)*MAX(0,AL49+Z49-IF(M49="",0,M49)/60*T49),2))</f>
        <v>0</v>
      </c>
      <c r="AC49" s="33">
        <f>IF(B49="","",IF(V49=0,"",AB49/V49))</f>
        <v>0</v>
      </c>
      <c r="AD49" s="32">
        <f>IF(B49="","",IF(OR(AK49="",AK49-AA49-(AK49*AF49+AG49)-IF(M49="",0,M49)/60*T49&lt;=0),"Never at this price",ROUNDUP(V49/(AK49-AA49-(AK49*AF49+AG49)-IF(M49="",0,M49)/60*T49),0)))</f>
        <v>0</v>
      </c>
      <c r="AE49" s="20">
        <f>IF(B49="","",ROUND(X49+Z49+AA49,2))</f>
        <v>0</v>
      </c>
      <c r="AF49" s="33">
        <f>IF(B49="","",IFERROR(INDEX(Channels!$S$5:$S$18,MATCH(DefaultChannel,Channels!$A$5:$A$18,0)),0))</f>
        <v>0</v>
      </c>
      <c r="AG49" s="20">
        <f>IF(B49="","",IFERROR(INDEX(Channels!$T$5:$T$18,MATCH(DefaultChannel,Channels!$A$5:$A$18,0)),0))</f>
        <v>0</v>
      </c>
      <c r="AH49" s="41">
        <f>IF(B49="","",1-TargetRetailMargin-AF49)</f>
        <v>0</v>
      </c>
      <c r="AI49" s="20">
        <f>IF(B49="","",IF(AH49&lt;=0,"",(AE49+AG49)/AH49))</f>
        <v>0</v>
      </c>
      <c r="AJ49" s="20">
        <f>IF(B49="","",IF(AI49="","Check the settings",ROUND(IF(RoundingRule="None",AI49,IF(RoundingRule="Nearest 0.99",MAX(0.99,CEILING(AI49,1)-0.01),IF(RoundingRule="Nearest 0.95",MAX(0.95,CEILING(AI49,1)-0.05),IF(RoundingRule="Nearest 0.50",CEILING(AI49,0.5),IF(RoundingRule="Nearest 1",CEILING(AI49,1),IF(RoundingRule="Nearest 5",CEILING(AI49,5),IF(RoundingRule="Up to whole 1",CEILING(AI49,1),IF(RoundingRule="Up to whole 5",CEILING(AI49,5),ROUND(AI49,2))))))))),2)))</f>
        <v>0</v>
      </c>
      <c r="AK49" s="20">
        <f>IF(B49="","",IF(R49&lt;&gt;"",R49,IF(ISNUMBER(AJ49),AJ49,"")))</f>
        <v>0</v>
      </c>
      <c r="AL49" s="20">
        <f>IF(B49="","",IF(AK49="","",ROUND(AK49-AE49-(AK49*AF49+AG49),2)))</f>
        <v>0</v>
      </c>
      <c r="AM49" s="33">
        <f>IF(B49="","",IF(OR(AK49="",AK49=0),"",AL49/AK49))</f>
        <v>0</v>
      </c>
      <c r="AN49" s="41">
        <f>IF(B49="","",ROUND(Y49/60,3))</f>
        <v>0</v>
      </c>
      <c r="AO49" s="20">
        <f>IF(B49="","",IF(OR(AN49=0,AN49="",AL49=""),"",ROUND((AL49+Z49)/AN49,2)))</f>
        <v>0</v>
      </c>
      <c r="AP49" s="43">
        <f>IF(B49="","",IF(AND(A49&lt;&gt;"",ISERROR(MATCH(A49,Products!$A$5:$A$304,0))),"Check - no such product ID",IF(Z49=0,"Add - no material cost yet",IF(Y49=0,"Add - how long does it take?",IF(AND(A49&lt;&gt;"",COUNTIFS('Material Usage'!$A$5:$A$904,A49)&gt;0),"Check - this product also has a bill of materials",IF(AND(A49&lt;&gt;"",COUNTIFS(Labor!$A$5:$A$304,A49)&gt;0),"Check - this product also has labour lines",IF(AO49&lt;MinimumWage,"Below - pays under minimum wage","OK")))))) )</f>
        <v>0</v>
      </c>
    </row>
    <row r="50" spans="20:42">
      <c r="T50" s="20">
        <f>IF(B50="","",IF(Q50&lt;&gt;"",Q50,LaborCostHour))</f>
        <v>0</v>
      </c>
      <c r="U50" s="41">
        <f>IF(B50="","",IF(F50="",0,F50)+IF(G50="",0,G50)+IF(H50="",0,H50)+IF(I50="",0,I50)+IF(N50="",0,N50))</f>
        <v>0</v>
      </c>
      <c r="V50" s="20">
        <f>IF(B50="","",ROUND(U50*T50+IF(J50="",0,J50),2))</f>
        <v>0</v>
      </c>
      <c r="W50" s="32">
        <f>IF(B50="","",MAX(1,IF(L50="",1,L50)))</f>
        <v>0</v>
      </c>
      <c r="X50" s="20">
        <f>IF(B50="","",0)</f>
        <v>0</v>
      </c>
      <c r="Y50" s="36">
        <f>IF(B50="","",ROUND(U50*60/W50+IF(M50="",0,M50),1))</f>
        <v>0</v>
      </c>
      <c r="Z50" s="20">
        <f>IF(B50="","",ROUND(V50/W50+IF(M50="",0,M50)/60*T50,2))</f>
        <v>0</v>
      </c>
      <c r="AA50" s="20">
        <f>IF(B50="","",ROUND(IF(K50="",0,K50)/W50,2))</f>
        <v>0</v>
      </c>
      <c r="AB50" s="20">
        <f>IF(B50="","",ROUND(IF(O50="",0,O50)*MAX(0,AL50+Z50-IF(M50="",0,M50)/60*T50),2))</f>
        <v>0</v>
      </c>
      <c r="AC50" s="33">
        <f>IF(B50="","",IF(V50=0,"",AB50/V50))</f>
        <v>0</v>
      </c>
      <c r="AD50" s="32">
        <f>IF(B50="","",IF(OR(AK50="",AK50-AA50-(AK50*AF50+AG50)-IF(M50="",0,M50)/60*T50&lt;=0),"Never at this price",ROUNDUP(V50/(AK50-AA50-(AK50*AF50+AG50)-IF(M50="",0,M50)/60*T50),0)))</f>
        <v>0</v>
      </c>
      <c r="AE50" s="20">
        <f>IF(B50="","",ROUND(X50+Z50+AA50,2))</f>
        <v>0</v>
      </c>
      <c r="AF50" s="33">
        <f>IF(B50="","",IFERROR(INDEX(Channels!$S$5:$S$18,MATCH(DefaultChannel,Channels!$A$5:$A$18,0)),0))</f>
        <v>0</v>
      </c>
      <c r="AG50" s="20">
        <f>IF(B50="","",IFERROR(INDEX(Channels!$T$5:$T$18,MATCH(DefaultChannel,Channels!$A$5:$A$18,0)),0))</f>
        <v>0</v>
      </c>
      <c r="AH50" s="41">
        <f>IF(B50="","",1-TargetRetailMargin-AF50)</f>
        <v>0</v>
      </c>
      <c r="AI50" s="20">
        <f>IF(B50="","",IF(AH50&lt;=0,"",(AE50+AG50)/AH50))</f>
        <v>0</v>
      </c>
      <c r="AJ50" s="20">
        <f>IF(B50="","",IF(AI50="","Check the settings",ROUND(IF(RoundingRule="None",AI50,IF(RoundingRule="Nearest 0.99",MAX(0.99,CEILING(AI50,1)-0.01),IF(RoundingRule="Nearest 0.95",MAX(0.95,CEILING(AI50,1)-0.05),IF(RoundingRule="Nearest 0.50",CEILING(AI50,0.5),IF(RoundingRule="Nearest 1",CEILING(AI50,1),IF(RoundingRule="Nearest 5",CEILING(AI50,5),IF(RoundingRule="Up to whole 1",CEILING(AI50,1),IF(RoundingRule="Up to whole 5",CEILING(AI50,5),ROUND(AI50,2))))))))),2)))</f>
        <v>0</v>
      </c>
      <c r="AK50" s="20">
        <f>IF(B50="","",IF(R50&lt;&gt;"",R50,IF(ISNUMBER(AJ50),AJ50,"")))</f>
        <v>0</v>
      </c>
      <c r="AL50" s="20">
        <f>IF(B50="","",IF(AK50="","",ROUND(AK50-AE50-(AK50*AF50+AG50),2)))</f>
        <v>0</v>
      </c>
      <c r="AM50" s="33">
        <f>IF(B50="","",IF(OR(AK50="",AK50=0),"",AL50/AK50))</f>
        <v>0</v>
      </c>
      <c r="AN50" s="41">
        <f>IF(B50="","",ROUND(Y50/60,3))</f>
        <v>0</v>
      </c>
      <c r="AO50" s="20">
        <f>IF(B50="","",IF(OR(AN50=0,AN50="",AL50=""),"",ROUND((AL50+Z50)/AN50,2)))</f>
        <v>0</v>
      </c>
      <c r="AP50" s="43">
        <f>IF(B50="","",IF(AND(A50&lt;&gt;"",ISERROR(MATCH(A50,Products!$A$5:$A$304,0))),"Check - no such product ID",IF(Z50=0,"Add - no material cost yet",IF(Y50=0,"Add - how long does it take?",IF(AND(A50&lt;&gt;"",COUNTIFS('Material Usage'!$A$5:$A$904,A50)&gt;0),"Check - this product also has a bill of materials",IF(AND(A50&lt;&gt;"",COUNTIFS(Labor!$A$5:$A$304,A50)&gt;0),"Check - this product also has labour lines",IF(AO50&lt;MinimumWage,"Below - pays under minimum wage","OK")))))) )</f>
        <v>0</v>
      </c>
    </row>
    <row r="51" spans="20:42">
      <c r="T51" s="20">
        <f>IF(B51="","",IF(Q51&lt;&gt;"",Q51,LaborCostHour))</f>
        <v>0</v>
      </c>
      <c r="U51" s="41">
        <f>IF(B51="","",IF(F51="",0,F51)+IF(G51="",0,G51)+IF(H51="",0,H51)+IF(I51="",0,I51)+IF(N51="",0,N51))</f>
        <v>0</v>
      </c>
      <c r="V51" s="20">
        <f>IF(B51="","",ROUND(U51*T51+IF(J51="",0,J51),2))</f>
        <v>0</v>
      </c>
      <c r="W51" s="32">
        <f>IF(B51="","",MAX(1,IF(L51="",1,L51)))</f>
        <v>0</v>
      </c>
      <c r="X51" s="20">
        <f>IF(B51="","",0)</f>
        <v>0</v>
      </c>
      <c r="Y51" s="36">
        <f>IF(B51="","",ROUND(U51*60/W51+IF(M51="",0,M51),1))</f>
        <v>0</v>
      </c>
      <c r="Z51" s="20">
        <f>IF(B51="","",ROUND(V51/W51+IF(M51="",0,M51)/60*T51,2))</f>
        <v>0</v>
      </c>
      <c r="AA51" s="20">
        <f>IF(B51="","",ROUND(IF(K51="",0,K51)/W51,2))</f>
        <v>0</v>
      </c>
      <c r="AB51" s="20">
        <f>IF(B51="","",ROUND(IF(O51="",0,O51)*MAX(0,AL51+Z51-IF(M51="",0,M51)/60*T51),2))</f>
        <v>0</v>
      </c>
      <c r="AC51" s="33">
        <f>IF(B51="","",IF(V51=0,"",AB51/V51))</f>
        <v>0</v>
      </c>
      <c r="AD51" s="32">
        <f>IF(B51="","",IF(OR(AK51="",AK51-AA51-(AK51*AF51+AG51)-IF(M51="",0,M51)/60*T51&lt;=0),"Never at this price",ROUNDUP(V51/(AK51-AA51-(AK51*AF51+AG51)-IF(M51="",0,M51)/60*T51),0)))</f>
        <v>0</v>
      </c>
      <c r="AE51" s="20">
        <f>IF(B51="","",ROUND(X51+Z51+AA51,2))</f>
        <v>0</v>
      </c>
      <c r="AF51" s="33">
        <f>IF(B51="","",IFERROR(INDEX(Channels!$S$5:$S$18,MATCH(DefaultChannel,Channels!$A$5:$A$18,0)),0))</f>
        <v>0</v>
      </c>
      <c r="AG51" s="20">
        <f>IF(B51="","",IFERROR(INDEX(Channels!$T$5:$T$18,MATCH(DefaultChannel,Channels!$A$5:$A$18,0)),0))</f>
        <v>0</v>
      </c>
      <c r="AH51" s="41">
        <f>IF(B51="","",1-TargetRetailMargin-AF51)</f>
        <v>0</v>
      </c>
      <c r="AI51" s="20">
        <f>IF(B51="","",IF(AH51&lt;=0,"",(AE51+AG51)/AH51))</f>
        <v>0</v>
      </c>
      <c r="AJ51" s="20">
        <f>IF(B51="","",IF(AI51="","Check the settings",ROUND(IF(RoundingRule="None",AI51,IF(RoundingRule="Nearest 0.99",MAX(0.99,CEILING(AI51,1)-0.01),IF(RoundingRule="Nearest 0.95",MAX(0.95,CEILING(AI51,1)-0.05),IF(RoundingRule="Nearest 0.50",CEILING(AI51,0.5),IF(RoundingRule="Nearest 1",CEILING(AI51,1),IF(RoundingRule="Nearest 5",CEILING(AI51,5),IF(RoundingRule="Up to whole 1",CEILING(AI51,1),IF(RoundingRule="Up to whole 5",CEILING(AI51,5),ROUND(AI51,2))))))))),2)))</f>
        <v>0</v>
      </c>
      <c r="AK51" s="20">
        <f>IF(B51="","",IF(R51&lt;&gt;"",R51,IF(ISNUMBER(AJ51),AJ51,"")))</f>
        <v>0</v>
      </c>
      <c r="AL51" s="20">
        <f>IF(B51="","",IF(AK51="","",ROUND(AK51-AE51-(AK51*AF51+AG51),2)))</f>
        <v>0</v>
      </c>
      <c r="AM51" s="33">
        <f>IF(B51="","",IF(OR(AK51="",AK51=0),"",AL51/AK51))</f>
        <v>0</v>
      </c>
      <c r="AN51" s="41">
        <f>IF(B51="","",ROUND(Y51/60,3))</f>
        <v>0</v>
      </c>
      <c r="AO51" s="20">
        <f>IF(B51="","",IF(OR(AN51=0,AN51="",AL51=""),"",ROUND((AL51+Z51)/AN51,2)))</f>
        <v>0</v>
      </c>
      <c r="AP51" s="43">
        <f>IF(B51="","",IF(AND(A51&lt;&gt;"",ISERROR(MATCH(A51,Products!$A$5:$A$304,0))),"Check - no such product ID",IF(Z51=0,"Add - no material cost yet",IF(Y51=0,"Add - how long does it take?",IF(AND(A51&lt;&gt;"",COUNTIFS('Material Usage'!$A$5:$A$904,A51)&gt;0),"Check - this product also has a bill of materials",IF(AND(A51&lt;&gt;"",COUNTIFS(Labor!$A$5:$A$304,A51)&gt;0),"Check - this product also has labour lines",IF(AO51&lt;MinimumWage,"Below - pays under minimum wage","OK")))))) )</f>
        <v>0</v>
      </c>
    </row>
    <row r="52" spans="20:42">
      <c r="T52" s="20">
        <f>IF(B52="","",IF(Q52&lt;&gt;"",Q52,LaborCostHour))</f>
        <v>0</v>
      </c>
      <c r="U52" s="41">
        <f>IF(B52="","",IF(F52="",0,F52)+IF(G52="",0,G52)+IF(H52="",0,H52)+IF(I52="",0,I52)+IF(N52="",0,N52))</f>
        <v>0</v>
      </c>
      <c r="V52" s="20">
        <f>IF(B52="","",ROUND(U52*T52+IF(J52="",0,J52),2))</f>
        <v>0</v>
      </c>
      <c r="W52" s="32">
        <f>IF(B52="","",MAX(1,IF(L52="",1,L52)))</f>
        <v>0</v>
      </c>
      <c r="X52" s="20">
        <f>IF(B52="","",0)</f>
        <v>0</v>
      </c>
      <c r="Y52" s="36">
        <f>IF(B52="","",ROUND(U52*60/W52+IF(M52="",0,M52),1))</f>
        <v>0</v>
      </c>
      <c r="Z52" s="20">
        <f>IF(B52="","",ROUND(V52/W52+IF(M52="",0,M52)/60*T52,2))</f>
        <v>0</v>
      </c>
      <c r="AA52" s="20">
        <f>IF(B52="","",ROUND(IF(K52="",0,K52)/W52,2))</f>
        <v>0</v>
      </c>
      <c r="AB52" s="20">
        <f>IF(B52="","",ROUND(IF(O52="",0,O52)*MAX(0,AL52+Z52-IF(M52="",0,M52)/60*T52),2))</f>
        <v>0</v>
      </c>
      <c r="AC52" s="33">
        <f>IF(B52="","",IF(V52=0,"",AB52/V52))</f>
        <v>0</v>
      </c>
      <c r="AD52" s="32">
        <f>IF(B52="","",IF(OR(AK52="",AK52-AA52-(AK52*AF52+AG52)-IF(M52="",0,M52)/60*T52&lt;=0),"Never at this price",ROUNDUP(V52/(AK52-AA52-(AK52*AF52+AG52)-IF(M52="",0,M52)/60*T52),0)))</f>
        <v>0</v>
      </c>
      <c r="AE52" s="20">
        <f>IF(B52="","",ROUND(X52+Z52+AA52,2))</f>
        <v>0</v>
      </c>
      <c r="AF52" s="33">
        <f>IF(B52="","",IFERROR(INDEX(Channels!$S$5:$S$18,MATCH(DefaultChannel,Channels!$A$5:$A$18,0)),0))</f>
        <v>0</v>
      </c>
      <c r="AG52" s="20">
        <f>IF(B52="","",IFERROR(INDEX(Channels!$T$5:$T$18,MATCH(DefaultChannel,Channels!$A$5:$A$18,0)),0))</f>
        <v>0</v>
      </c>
      <c r="AH52" s="41">
        <f>IF(B52="","",1-TargetRetailMargin-AF52)</f>
        <v>0</v>
      </c>
      <c r="AI52" s="20">
        <f>IF(B52="","",IF(AH52&lt;=0,"",(AE52+AG52)/AH52))</f>
        <v>0</v>
      </c>
      <c r="AJ52" s="20">
        <f>IF(B52="","",IF(AI52="","Check the settings",ROUND(IF(RoundingRule="None",AI52,IF(RoundingRule="Nearest 0.99",MAX(0.99,CEILING(AI52,1)-0.01),IF(RoundingRule="Nearest 0.95",MAX(0.95,CEILING(AI52,1)-0.05),IF(RoundingRule="Nearest 0.50",CEILING(AI52,0.5),IF(RoundingRule="Nearest 1",CEILING(AI52,1),IF(RoundingRule="Nearest 5",CEILING(AI52,5),IF(RoundingRule="Up to whole 1",CEILING(AI52,1),IF(RoundingRule="Up to whole 5",CEILING(AI52,5),ROUND(AI52,2))))))))),2)))</f>
        <v>0</v>
      </c>
      <c r="AK52" s="20">
        <f>IF(B52="","",IF(R52&lt;&gt;"",R52,IF(ISNUMBER(AJ52),AJ52,"")))</f>
        <v>0</v>
      </c>
      <c r="AL52" s="20">
        <f>IF(B52="","",IF(AK52="","",ROUND(AK52-AE52-(AK52*AF52+AG52),2)))</f>
        <v>0</v>
      </c>
      <c r="AM52" s="33">
        <f>IF(B52="","",IF(OR(AK52="",AK52=0),"",AL52/AK52))</f>
        <v>0</v>
      </c>
      <c r="AN52" s="41">
        <f>IF(B52="","",ROUND(Y52/60,3))</f>
        <v>0</v>
      </c>
      <c r="AO52" s="20">
        <f>IF(B52="","",IF(OR(AN52=0,AN52="",AL52=""),"",ROUND((AL52+Z52)/AN52,2)))</f>
        <v>0</v>
      </c>
      <c r="AP52" s="43">
        <f>IF(B52="","",IF(AND(A52&lt;&gt;"",ISERROR(MATCH(A52,Products!$A$5:$A$304,0))),"Check - no such product ID",IF(Z52=0,"Add - no material cost yet",IF(Y52=0,"Add - how long does it take?",IF(AND(A52&lt;&gt;"",COUNTIFS('Material Usage'!$A$5:$A$904,A52)&gt;0),"Check - this product also has a bill of materials",IF(AND(A52&lt;&gt;"",COUNTIFS(Labor!$A$5:$A$304,A52)&gt;0),"Check - this product also has labour lines",IF(AO52&lt;MinimumWage,"Below - pays under minimum wage","OK")))))) )</f>
        <v>0</v>
      </c>
    </row>
    <row r="53" spans="20:42">
      <c r="T53" s="20">
        <f>IF(B53="","",IF(Q53&lt;&gt;"",Q53,LaborCostHour))</f>
        <v>0</v>
      </c>
      <c r="U53" s="41">
        <f>IF(B53="","",IF(F53="",0,F53)+IF(G53="",0,G53)+IF(H53="",0,H53)+IF(I53="",0,I53)+IF(N53="",0,N53))</f>
        <v>0</v>
      </c>
      <c r="V53" s="20">
        <f>IF(B53="","",ROUND(U53*T53+IF(J53="",0,J53),2))</f>
        <v>0</v>
      </c>
      <c r="W53" s="32">
        <f>IF(B53="","",MAX(1,IF(L53="",1,L53)))</f>
        <v>0</v>
      </c>
      <c r="X53" s="20">
        <f>IF(B53="","",0)</f>
        <v>0</v>
      </c>
      <c r="Y53" s="36">
        <f>IF(B53="","",ROUND(U53*60/W53+IF(M53="",0,M53),1))</f>
        <v>0</v>
      </c>
      <c r="Z53" s="20">
        <f>IF(B53="","",ROUND(V53/W53+IF(M53="",0,M53)/60*T53,2))</f>
        <v>0</v>
      </c>
      <c r="AA53" s="20">
        <f>IF(B53="","",ROUND(IF(K53="",0,K53)/W53,2))</f>
        <v>0</v>
      </c>
      <c r="AB53" s="20">
        <f>IF(B53="","",ROUND(IF(O53="",0,O53)*MAX(0,AL53+Z53-IF(M53="",0,M53)/60*T53),2))</f>
        <v>0</v>
      </c>
      <c r="AC53" s="33">
        <f>IF(B53="","",IF(V53=0,"",AB53/V53))</f>
        <v>0</v>
      </c>
      <c r="AD53" s="32">
        <f>IF(B53="","",IF(OR(AK53="",AK53-AA53-(AK53*AF53+AG53)-IF(M53="",0,M53)/60*T53&lt;=0),"Never at this price",ROUNDUP(V53/(AK53-AA53-(AK53*AF53+AG53)-IF(M53="",0,M53)/60*T53),0)))</f>
        <v>0</v>
      </c>
      <c r="AE53" s="20">
        <f>IF(B53="","",ROUND(X53+Z53+AA53,2))</f>
        <v>0</v>
      </c>
      <c r="AF53" s="33">
        <f>IF(B53="","",IFERROR(INDEX(Channels!$S$5:$S$18,MATCH(DefaultChannel,Channels!$A$5:$A$18,0)),0))</f>
        <v>0</v>
      </c>
      <c r="AG53" s="20">
        <f>IF(B53="","",IFERROR(INDEX(Channels!$T$5:$T$18,MATCH(DefaultChannel,Channels!$A$5:$A$18,0)),0))</f>
        <v>0</v>
      </c>
      <c r="AH53" s="41">
        <f>IF(B53="","",1-TargetRetailMargin-AF53)</f>
        <v>0</v>
      </c>
      <c r="AI53" s="20">
        <f>IF(B53="","",IF(AH53&lt;=0,"",(AE53+AG53)/AH53))</f>
        <v>0</v>
      </c>
      <c r="AJ53" s="20">
        <f>IF(B53="","",IF(AI53="","Check the settings",ROUND(IF(RoundingRule="None",AI53,IF(RoundingRule="Nearest 0.99",MAX(0.99,CEILING(AI53,1)-0.01),IF(RoundingRule="Nearest 0.95",MAX(0.95,CEILING(AI53,1)-0.05),IF(RoundingRule="Nearest 0.50",CEILING(AI53,0.5),IF(RoundingRule="Nearest 1",CEILING(AI53,1),IF(RoundingRule="Nearest 5",CEILING(AI53,5),IF(RoundingRule="Up to whole 1",CEILING(AI53,1),IF(RoundingRule="Up to whole 5",CEILING(AI53,5),ROUND(AI53,2))))))))),2)))</f>
        <v>0</v>
      </c>
      <c r="AK53" s="20">
        <f>IF(B53="","",IF(R53&lt;&gt;"",R53,IF(ISNUMBER(AJ53),AJ53,"")))</f>
        <v>0</v>
      </c>
      <c r="AL53" s="20">
        <f>IF(B53="","",IF(AK53="","",ROUND(AK53-AE53-(AK53*AF53+AG53),2)))</f>
        <v>0</v>
      </c>
      <c r="AM53" s="33">
        <f>IF(B53="","",IF(OR(AK53="",AK53=0),"",AL53/AK53))</f>
        <v>0</v>
      </c>
      <c r="AN53" s="41">
        <f>IF(B53="","",ROUND(Y53/60,3))</f>
        <v>0</v>
      </c>
      <c r="AO53" s="20">
        <f>IF(B53="","",IF(OR(AN53=0,AN53="",AL53=""),"",ROUND((AL53+Z53)/AN53,2)))</f>
        <v>0</v>
      </c>
      <c r="AP53" s="43">
        <f>IF(B53="","",IF(AND(A53&lt;&gt;"",ISERROR(MATCH(A53,Products!$A$5:$A$304,0))),"Check - no such product ID",IF(Z53=0,"Add - no material cost yet",IF(Y53=0,"Add - how long does it take?",IF(AND(A53&lt;&gt;"",COUNTIFS('Material Usage'!$A$5:$A$904,A53)&gt;0),"Check - this product also has a bill of materials",IF(AND(A53&lt;&gt;"",COUNTIFS(Labor!$A$5:$A$304,A53)&gt;0),"Check - this product also has labour lines",IF(AO53&lt;MinimumWage,"Below - pays under minimum wage","OK")))))) )</f>
        <v>0</v>
      </c>
    </row>
    <row r="54" spans="20:42">
      <c r="T54" s="20">
        <f>IF(B54="","",IF(Q54&lt;&gt;"",Q54,LaborCostHour))</f>
        <v>0</v>
      </c>
      <c r="U54" s="41">
        <f>IF(B54="","",IF(F54="",0,F54)+IF(G54="",0,G54)+IF(H54="",0,H54)+IF(I54="",0,I54)+IF(N54="",0,N54))</f>
        <v>0</v>
      </c>
      <c r="V54" s="20">
        <f>IF(B54="","",ROUND(U54*T54+IF(J54="",0,J54),2))</f>
        <v>0</v>
      </c>
      <c r="W54" s="32">
        <f>IF(B54="","",MAX(1,IF(L54="",1,L54)))</f>
        <v>0</v>
      </c>
      <c r="X54" s="20">
        <f>IF(B54="","",0)</f>
        <v>0</v>
      </c>
      <c r="Y54" s="36">
        <f>IF(B54="","",ROUND(U54*60/W54+IF(M54="",0,M54),1))</f>
        <v>0</v>
      </c>
      <c r="Z54" s="20">
        <f>IF(B54="","",ROUND(V54/W54+IF(M54="",0,M54)/60*T54,2))</f>
        <v>0</v>
      </c>
      <c r="AA54" s="20">
        <f>IF(B54="","",ROUND(IF(K54="",0,K54)/W54,2))</f>
        <v>0</v>
      </c>
      <c r="AB54" s="20">
        <f>IF(B54="","",ROUND(IF(O54="",0,O54)*MAX(0,AL54+Z54-IF(M54="",0,M54)/60*T54),2))</f>
        <v>0</v>
      </c>
      <c r="AC54" s="33">
        <f>IF(B54="","",IF(V54=0,"",AB54/V54))</f>
        <v>0</v>
      </c>
      <c r="AD54" s="32">
        <f>IF(B54="","",IF(OR(AK54="",AK54-AA54-(AK54*AF54+AG54)-IF(M54="",0,M54)/60*T54&lt;=0),"Never at this price",ROUNDUP(V54/(AK54-AA54-(AK54*AF54+AG54)-IF(M54="",0,M54)/60*T54),0)))</f>
        <v>0</v>
      </c>
      <c r="AE54" s="20">
        <f>IF(B54="","",ROUND(X54+Z54+AA54,2))</f>
        <v>0</v>
      </c>
      <c r="AF54" s="33">
        <f>IF(B54="","",IFERROR(INDEX(Channels!$S$5:$S$18,MATCH(DefaultChannel,Channels!$A$5:$A$18,0)),0))</f>
        <v>0</v>
      </c>
      <c r="AG54" s="20">
        <f>IF(B54="","",IFERROR(INDEX(Channels!$T$5:$T$18,MATCH(DefaultChannel,Channels!$A$5:$A$18,0)),0))</f>
        <v>0</v>
      </c>
      <c r="AH54" s="41">
        <f>IF(B54="","",1-TargetRetailMargin-AF54)</f>
        <v>0</v>
      </c>
      <c r="AI54" s="20">
        <f>IF(B54="","",IF(AH54&lt;=0,"",(AE54+AG54)/AH54))</f>
        <v>0</v>
      </c>
      <c r="AJ54" s="20">
        <f>IF(B54="","",IF(AI54="","Check the settings",ROUND(IF(RoundingRule="None",AI54,IF(RoundingRule="Nearest 0.99",MAX(0.99,CEILING(AI54,1)-0.01),IF(RoundingRule="Nearest 0.95",MAX(0.95,CEILING(AI54,1)-0.05),IF(RoundingRule="Nearest 0.50",CEILING(AI54,0.5),IF(RoundingRule="Nearest 1",CEILING(AI54,1),IF(RoundingRule="Nearest 5",CEILING(AI54,5),IF(RoundingRule="Up to whole 1",CEILING(AI54,1),IF(RoundingRule="Up to whole 5",CEILING(AI54,5),ROUND(AI54,2))))))))),2)))</f>
        <v>0</v>
      </c>
      <c r="AK54" s="20">
        <f>IF(B54="","",IF(R54&lt;&gt;"",R54,IF(ISNUMBER(AJ54),AJ54,"")))</f>
        <v>0</v>
      </c>
      <c r="AL54" s="20">
        <f>IF(B54="","",IF(AK54="","",ROUND(AK54-AE54-(AK54*AF54+AG54),2)))</f>
        <v>0</v>
      </c>
      <c r="AM54" s="33">
        <f>IF(B54="","",IF(OR(AK54="",AK54=0),"",AL54/AK54))</f>
        <v>0</v>
      </c>
      <c r="AN54" s="41">
        <f>IF(B54="","",ROUND(Y54/60,3))</f>
        <v>0</v>
      </c>
      <c r="AO54" s="20">
        <f>IF(B54="","",IF(OR(AN54=0,AN54="",AL54=""),"",ROUND((AL54+Z54)/AN54,2)))</f>
        <v>0</v>
      </c>
      <c r="AP54" s="43">
        <f>IF(B54="","",IF(AND(A54&lt;&gt;"",ISERROR(MATCH(A54,Products!$A$5:$A$304,0))),"Check - no such product ID",IF(Z54=0,"Add - no material cost yet",IF(Y54=0,"Add - how long does it take?",IF(AND(A54&lt;&gt;"",COUNTIFS('Material Usage'!$A$5:$A$904,A54)&gt;0),"Check - this product also has a bill of materials",IF(AND(A54&lt;&gt;"",COUNTIFS(Labor!$A$5:$A$304,A54)&gt;0),"Check - this product also has labour lines",IF(AO54&lt;MinimumWage,"Below - pays under minimum wage","OK")))))) )</f>
        <v>0</v>
      </c>
    </row>
    <row r="55" spans="20:42">
      <c r="T55" s="20">
        <f>IF(B55="","",IF(Q55&lt;&gt;"",Q55,LaborCostHour))</f>
        <v>0</v>
      </c>
      <c r="U55" s="41">
        <f>IF(B55="","",IF(F55="",0,F55)+IF(G55="",0,G55)+IF(H55="",0,H55)+IF(I55="",0,I55)+IF(N55="",0,N55))</f>
        <v>0</v>
      </c>
      <c r="V55" s="20">
        <f>IF(B55="","",ROUND(U55*T55+IF(J55="",0,J55),2))</f>
        <v>0</v>
      </c>
      <c r="W55" s="32">
        <f>IF(B55="","",MAX(1,IF(L55="",1,L55)))</f>
        <v>0</v>
      </c>
      <c r="X55" s="20">
        <f>IF(B55="","",0)</f>
        <v>0</v>
      </c>
      <c r="Y55" s="36">
        <f>IF(B55="","",ROUND(U55*60/W55+IF(M55="",0,M55),1))</f>
        <v>0</v>
      </c>
      <c r="Z55" s="20">
        <f>IF(B55="","",ROUND(V55/W55+IF(M55="",0,M55)/60*T55,2))</f>
        <v>0</v>
      </c>
      <c r="AA55" s="20">
        <f>IF(B55="","",ROUND(IF(K55="",0,K55)/W55,2))</f>
        <v>0</v>
      </c>
      <c r="AB55" s="20">
        <f>IF(B55="","",ROUND(IF(O55="",0,O55)*MAX(0,AL55+Z55-IF(M55="",0,M55)/60*T55),2))</f>
        <v>0</v>
      </c>
      <c r="AC55" s="33">
        <f>IF(B55="","",IF(V55=0,"",AB55/V55))</f>
        <v>0</v>
      </c>
      <c r="AD55" s="32">
        <f>IF(B55="","",IF(OR(AK55="",AK55-AA55-(AK55*AF55+AG55)-IF(M55="",0,M55)/60*T55&lt;=0),"Never at this price",ROUNDUP(V55/(AK55-AA55-(AK55*AF55+AG55)-IF(M55="",0,M55)/60*T55),0)))</f>
        <v>0</v>
      </c>
      <c r="AE55" s="20">
        <f>IF(B55="","",ROUND(X55+Z55+AA55,2))</f>
        <v>0</v>
      </c>
      <c r="AF55" s="33">
        <f>IF(B55="","",IFERROR(INDEX(Channels!$S$5:$S$18,MATCH(DefaultChannel,Channels!$A$5:$A$18,0)),0))</f>
        <v>0</v>
      </c>
      <c r="AG55" s="20">
        <f>IF(B55="","",IFERROR(INDEX(Channels!$T$5:$T$18,MATCH(DefaultChannel,Channels!$A$5:$A$18,0)),0))</f>
        <v>0</v>
      </c>
      <c r="AH55" s="41">
        <f>IF(B55="","",1-TargetRetailMargin-AF55)</f>
        <v>0</v>
      </c>
      <c r="AI55" s="20">
        <f>IF(B55="","",IF(AH55&lt;=0,"",(AE55+AG55)/AH55))</f>
        <v>0</v>
      </c>
      <c r="AJ55" s="20">
        <f>IF(B55="","",IF(AI55="","Check the settings",ROUND(IF(RoundingRule="None",AI55,IF(RoundingRule="Nearest 0.99",MAX(0.99,CEILING(AI55,1)-0.01),IF(RoundingRule="Nearest 0.95",MAX(0.95,CEILING(AI55,1)-0.05),IF(RoundingRule="Nearest 0.50",CEILING(AI55,0.5),IF(RoundingRule="Nearest 1",CEILING(AI55,1),IF(RoundingRule="Nearest 5",CEILING(AI55,5),IF(RoundingRule="Up to whole 1",CEILING(AI55,1),IF(RoundingRule="Up to whole 5",CEILING(AI55,5),ROUND(AI55,2))))))))),2)))</f>
        <v>0</v>
      </c>
      <c r="AK55" s="20">
        <f>IF(B55="","",IF(R55&lt;&gt;"",R55,IF(ISNUMBER(AJ55),AJ55,"")))</f>
        <v>0</v>
      </c>
      <c r="AL55" s="20">
        <f>IF(B55="","",IF(AK55="","",ROUND(AK55-AE55-(AK55*AF55+AG55),2)))</f>
        <v>0</v>
      </c>
      <c r="AM55" s="33">
        <f>IF(B55="","",IF(OR(AK55="",AK55=0),"",AL55/AK55))</f>
        <v>0</v>
      </c>
      <c r="AN55" s="41">
        <f>IF(B55="","",ROUND(Y55/60,3))</f>
        <v>0</v>
      </c>
      <c r="AO55" s="20">
        <f>IF(B55="","",IF(OR(AN55=0,AN55="",AL55=""),"",ROUND((AL55+Z55)/AN55,2)))</f>
        <v>0</v>
      </c>
      <c r="AP55" s="43">
        <f>IF(B55="","",IF(AND(A55&lt;&gt;"",ISERROR(MATCH(A55,Products!$A$5:$A$304,0))),"Check - no such product ID",IF(Z55=0,"Add - no material cost yet",IF(Y55=0,"Add - how long does it take?",IF(AND(A55&lt;&gt;"",COUNTIFS('Material Usage'!$A$5:$A$904,A55)&gt;0),"Check - this product also has a bill of materials",IF(AND(A55&lt;&gt;"",COUNTIFS(Labor!$A$5:$A$304,A55)&gt;0),"Check - this product also has labour lines",IF(AO55&lt;MinimumWage,"Below - pays under minimum wage","OK")))))) )</f>
        <v>0</v>
      </c>
    </row>
    <row r="56" spans="20:42">
      <c r="T56" s="20">
        <f>IF(B56="","",IF(Q56&lt;&gt;"",Q56,LaborCostHour))</f>
        <v>0</v>
      </c>
      <c r="U56" s="41">
        <f>IF(B56="","",IF(F56="",0,F56)+IF(G56="",0,G56)+IF(H56="",0,H56)+IF(I56="",0,I56)+IF(N56="",0,N56))</f>
        <v>0</v>
      </c>
      <c r="V56" s="20">
        <f>IF(B56="","",ROUND(U56*T56+IF(J56="",0,J56),2))</f>
        <v>0</v>
      </c>
      <c r="W56" s="32">
        <f>IF(B56="","",MAX(1,IF(L56="",1,L56)))</f>
        <v>0</v>
      </c>
      <c r="X56" s="20">
        <f>IF(B56="","",0)</f>
        <v>0</v>
      </c>
      <c r="Y56" s="36">
        <f>IF(B56="","",ROUND(U56*60/W56+IF(M56="",0,M56),1))</f>
        <v>0</v>
      </c>
      <c r="Z56" s="20">
        <f>IF(B56="","",ROUND(V56/W56+IF(M56="",0,M56)/60*T56,2))</f>
        <v>0</v>
      </c>
      <c r="AA56" s="20">
        <f>IF(B56="","",ROUND(IF(K56="",0,K56)/W56,2))</f>
        <v>0</v>
      </c>
      <c r="AB56" s="20">
        <f>IF(B56="","",ROUND(IF(O56="",0,O56)*MAX(0,AL56+Z56-IF(M56="",0,M56)/60*T56),2))</f>
        <v>0</v>
      </c>
      <c r="AC56" s="33">
        <f>IF(B56="","",IF(V56=0,"",AB56/V56))</f>
        <v>0</v>
      </c>
      <c r="AD56" s="32">
        <f>IF(B56="","",IF(OR(AK56="",AK56-AA56-(AK56*AF56+AG56)-IF(M56="",0,M56)/60*T56&lt;=0),"Never at this price",ROUNDUP(V56/(AK56-AA56-(AK56*AF56+AG56)-IF(M56="",0,M56)/60*T56),0)))</f>
        <v>0</v>
      </c>
      <c r="AE56" s="20">
        <f>IF(B56="","",ROUND(X56+Z56+AA56,2))</f>
        <v>0</v>
      </c>
      <c r="AF56" s="33">
        <f>IF(B56="","",IFERROR(INDEX(Channels!$S$5:$S$18,MATCH(DefaultChannel,Channels!$A$5:$A$18,0)),0))</f>
        <v>0</v>
      </c>
      <c r="AG56" s="20">
        <f>IF(B56="","",IFERROR(INDEX(Channels!$T$5:$T$18,MATCH(DefaultChannel,Channels!$A$5:$A$18,0)),0))</f>
        <v>0</v>
      </c>
      <c r="AH56" s="41">
        <f>IF(B56="","",1-TargetRetailMargin-AF56)</f>
        <v>0</v>
      </c>
      <c r="AI56" s="20">
        <f>IF(B56="","",IF(AH56&lt;=0,"",(AE56+AG56)/AH56))</f>
        <v>0</v>
      </c>
      <c r="AJ56" s="20">
        <f>IF(B56="","",IF(AI56="","Check the settings",ROUND(IF(RoundingRule="None",AI56,IF(RoundingRule="Nearest 0.99",MAX(0.99,CEILING(AI56,1)-0.01),IF(RoundingRule="Nearest 0.95",MAX(0.95,CEILING(AI56,1)-0.05),IF(RoundingRule="Nearest 0.50",CEILING(AI56,0.5),IF(RoundingRule="Nearest 1",CEILING(AI56,1),IF(RoundingRule="Nearest 5",CEILING(AI56,5),IF(RoundingRule="Up to whole 1",CEILING(AI56,1),IF(RoundingRule="Up to whole 5",CEILING(AI56,5),ROUND(AI56,2))))))))),2)))</f>
        <v>0</v>
      </c>
      <c r="AK56" s="20">
        <f>IF(B56="","",IF(R56&lt;&gt;"",R56,IF(ISNUMBER(AJ56),AJ56,"")))</f>
        <v>0</v>
      </c>
      <c r="AL56" s="20">
        <f>IF(B56="","",IF(AK56="","",ROUND(AK56-AE56-(AK56*AF56+AG56),2)))</f>
        <v>0</v>
      </c>
      <c r="AM56" s="33">
        <f>IF(B56="","",IF(OR(AK56="",AK56=0),"",AL56/AK56))</f>
        <v>0</v>
      </c>
      <c r="AN56" s="41">
        <f>IF(B56="","",ROUND(Y56/60,3))</f>
        <v>0</v>
      </c>
      <c r="AO56" s="20">
        <f>IF(B56="","",IF(OR(AN56=0,AN56="",AL56=""),"",ROUND((AL56+Z56)/AN56,2)))</f>
        <v>0</v>
      </c>
      <c r="AP56" s="43">
        <f>IF(B56="","",IF(AND(A56&lt;&gt;"",ISERROR(MATCH(A56,Products!$A$5:$A$304,0))),"Check - no such product ID",IF(Z56=0,"Add - no material cost yet",IF(Y56=0,"Add - how long does it take?",IF(AND(A56&lt;&gt;"",COUNTIFS('Material Usage'!$A$5:$A$904,A56)&gt;0),"Check - this product also has a bill of materials",IF(AND(A56&lt;&gt;"",COUNTIFS(Labor!$A$5:$A$304,A56)&gt;0),"Check - this product also has labour lines",IF(AO56&lt;MinimumWage,"Below - pays under minimum wage","OK")))))) )</f>
        <v>0</v>
      </c>
    </row>
    <row r="57" spans="20:42">
      <c r="T57" s="20">
        <f>IF(B57="","",IF(Q57&lt;&gt;"",Q57,LaborCostHour))</f>
        <v>0</v>
      </c>
      <c r="U57" s="41">
        <f>IF(B57="","",IF(F57="",0,F57)+IF(G57="",0,G57)+IF(H57="",0,H57)+IF(I57="",0,I57)+IF(N57="",0,N57))</f>
        <v>0</v>
      </c>
      <c r="V57" s="20">
        <f>IF(B57="","",ROUND(U57*T57+IF(J57="",0,J57),2))</f>
        <v>0</v>
      </c>
      <c r="W57" s="32">
        <f>IF(B57="","",MAX(1,IF(L57="",1,L57)))</f>
        <v>0</v>
      </c>
      <c r="X57" s="20">
        <f>IF(B57="","",0)</f>
        <v>0</v>
      </c>
      <c r="Y57" s="36">
        <f>IF(B57="","",ROUND(U57*60/W57+IF(M57="",0,M57),1))</f>
        <v>0</v>
      </c>
      <c r="Z57" s="20">
        <f>IF(B57="","",ROUND(V57/W57+IF(M57="",0,M57)/60*T57,2))</f>
        <v>0</v>
      </c>
      <c r="AA57" s="20">
        <f>IF(B57="","",ROUND(IF(K57="",0,K57)/W57,2))</f>
        <v>0</v>
      </c>
      <c r="AB57" s="20">
        <f>IF(B57="","",ROUND(IF(O57="",0,O57)*MAX(0,AL57+Z57-IF(M57="",0,M57)/60*T57),2))</f>
        <v>0</v>
      </c>
      <c r="AC57" s="33">
        <f>IF(B57="","",IF(V57=0,"",AB57/V57))</f>
        <v>0</v>
      </c>
      <c r="AD57" s="32">
        <f>IF(B57="","",IF(OR(AK57="",AK57-AA57-(AK57*AF57+AG57)-IF(M57="",0,M57)/60*T57&lt;=0),"Never at this price",ROUNDUP(V57/(AK57-AA57-(AK57*AF57+AG57)-IF(M57="",0,M57)/60*T57),0)))</f>
        <v>0</v>
      </c>
      <c r="AE57" s="20">
        <f>IF(B57="","",ROUND(X57+Z57+AA57,2))</f>
        <v>0</v>
      </c>
      <c r="AF57" s="33">
        <f>IF(B57="","",IFERROR(INDEX(Channels!$S$5:$S$18,MATCH(DefaultChannel,Channels!$A$5:$A$18,0)),0))</f>
        <v>0</v>
      </c>
      <c r="AG57" s="20">
        <f>IF(B57="","",IFERROR(INDEX(Channels!$T$5:$T$18,MATCH(DefaultChannel,Channels!$A$5:$A$18,0)),0))</f>
        <v>0</v>
      </c>
      <c r="AH57" s="41">
        <f>IF(B57="","",1-TargetRetailMargin-AF57)</f>
        <v>0</v>
      </c>
      <c r="AI57" s="20">
        <f>IF(B57="","",IF(AH57&lt;=0,"",(AE57+AG57)/AH57))</f>
        <v>0</v>
      </c>
      <c r="AJ57" s="20">
        <f>IF(B57="","",IF(AI57="","Check the settings",ROUND(IF(RoundingRule="None",AI57,IF(RoundingRule="Nearest 0.99",MAX(0.99,CEILING(AI57,1)-0.01),IF(RoundingRule="Nearest 0.95",MAX(0.95,CEILING(AI57,1)-0.05),IF(RoundingRule="Nearest 0.50",CEILING(AI57,0.5),IF(RoundingRule="Nearest 1",CEILING(AI57,1),IF(RoundingRule="Nearest 5",CEILING(AI57,5),IF(RoundingRule="Up to whole 1",CEILING(AI57,1),IF(RoundingRule="Up to whole 5",CEILING(AI57,5),ROUND(AI57,2))))))))),2)))</f>
        <v>0</v>
      </c>
      <c r="AK57" s="20">
        <f>IF(B57="","",IF(R57&lt;&gt;"",R57,IF(ISNUMBER(AJ57),AJ57,"")))</f>
        <v>0</v>
      </c>
      <c r="AL57" s="20">
        <f>IF(B57="","",IF(AK57="","",ROUND(AK57-AE57-(AK57*AF57+AG57),2)))</f>
        <v>0</v>
      </c>
      <c r="AM57" s="33">
        <f>IF(B57="","",IF(OR(AK57="",AK57=0),"",AL57/AK57))</f>
        <v>0</v>
      </c>
      <c r="AN57" s="41">
        <f>IF(B57="","",ROUND(Y57/60,3))</f>
        <v>0</v>
      </c>
      <c r="AO57" s="20">
        <f>IF(B57="","",IF(OR(AN57=0,AN57="",AL57=""),"",ROUND((AL57+Z57)/AN57,2)))</f>
        <v>0</v>
      </c>
      <c r="AP57" s="43">
        <f>IF(B57="","",IF(AND(A57&lt;&gt;"",ISERROR(MATCH(A57,Products!$A$5:$A$304,0))),"Check - no such product ID",IF(Z57=0,"Add - no material cost yet",IF(Y57=0,"Add - how long does it take?",IF(AND(A57&lt;&gt;"",COUNTIFS('Material Usage'!$A$5:$A$904,A57)&gt;0),"Check - this product also has a bill of materials",IF(AND(A57&lt;&gt;"",COUNTIFS(Labor!$A$5:$A$304,A57)&gt;0),"Check - this product also has labour lines",IF(AO57&lt;MinimumWage,"Below - pays under minimum wage","OK")))))) )</f>
        <v>0</v>
      </c>
    </row>
    <row r="58" spans="20:42">
      <c r="T58" s="20">
        <f>IF(B58="","",IF(Q58&lt;&gt;"",Q58,LaborCostHour))</f>
        <v>0</v>
      </c>
      <c r="U58" s="41">
        <f>IF(B58="","",IF(F58="",0,F58)+IF(G58="",0,G58)+IF(H58="",0,H58)+IF(I58="",0,I58)+IF(N58="",0,N58))</f>
        <v>0</v>
      </c>
      <c r="V58" s="20">
        <f>IF(B58="","",ROUND(U58*T58+IF(J58="",0,J58),2))</f>
        <v>0</v>
      </c>
      <c r="W58" s="32">
        <f>IF(B58="","",MAX(1,IF(L58="",1,L58)))</f>
        <v>0</v>
      </c>
      <c r="X58" s="20">
        <f>IF(B58="","",0)</f>
        <v>0</v>
      </c>
      <c r="Y58" s="36">
        <f>IF(B58="","",ROUND(U58*60/W58+IF(M58="",0,M58),1))</f>
        <v>0</v>
      </c>
      <c r="Z58" s="20">
        <f>IF(B58="","",ROUND(V58/W58+IF(M58="",0,M58)/60*T58,2))</f>
        <v>0</v>
      </c>
      <c r="AA58" s="20">
        <f>IF(B58="","",ROUND(IF(K58="",0,K58)/W58,2))</f>
        <v>0</v>
      </c>
      <c r="AB58" s="20">
        <f>IF(B58="","",ROUND(IF(O58="",0,O58)*MAX(0,AL58+Z58-IF(M58="",0,M58)/60*T58),2))</f>
        <v>0</v>
      </c>
      <c r="AC58" s="33">
        <f>IF(B58="","",IF(V58=0,"",AB58/V58))</f>
        <v>0</v>
      </c>
      <c r="AD58" s="32">
        <f>IF(B58="","",IF(OR(AK58="",AK58-AA58-(AK58*AF58+AG58)-IF(M58="",0,M58)/60*T58&lt;=0),"Never at this price",ROUNDUP(V58/(AK58-AA58-(AK58*AF58+AG58)-IF(M58="",0,M58)/60*T58),0)))</f>
        <v>0</v>
      </c>
      <c r="AE58" s="20">
        <f>IF(B58="","",ROUND(X58+Z58+AA58,2))</f>
        <v>0</v>
      </c>
      <c r="AF58" s="33">
        <f>IF(B58="","",IFERROR(INDEX(Channels!$S$5:$S$18,MATCH(DefaultChannel,Channels!$A$5:$A$18,0)),0))</f>
        <v>0</v>
      </c>
      <c r="AG58" s="20">
        <f>IF(B58="","",IFERROR(INDEX(Channels!$T$5:$T$18,MATCH(DefaultChannel,Channels!$A$5:$A$18,0)),0))</f>
        <v>0</v>
      </c>
      <c r="AH58" s="41">
        <f>IF(B58="","",1-TargetRetailMargin-AF58)</f>
        <v>0</v>
      </c>
      <c r="AI58" s="20">
        <f>IF(B58="","",IF(AH58&lt;=0,"",(AE58+AG58)/AH58))</f>
        <v>0</v>
      </c>
      <c r="AJ58" s="20">
        <f>IF(B58="","",IF(AI58="","Check the settings",ROUND(IF(RoundingRule="None",AI58,IF(RoundingRule="Nearest 0.99",MAX(0.99,CEILING(AI58,1)-0.01),IF(RoundingRule="Nearest 0.95",MAX(0.95,CEILING(AI58,1)-0.05),IF(RoundingRule="Nearest 0.50",CEILING(AI58,0.5),IF(RoundingRule="Nearest 1",CEILING(AI58,1),IF(RoundingRule="Nearest 5",CEILING(AI58,5),IF(RoundingRule="Up to whole 1",CEILING(AI58,1),IF(RoundingRule="Up to whole 5",CEILING(AI58,5),ROUND(AI58,2))))))))),2)))</f>
        <v>0</v>
      </c>
      <c r="AK58" s="20">
        <f>IF(B58="","",IF(R58&lt;&gt;"",R58,IF(ISNUMBER(AJ58),AJ58,"")))</f>
        <v>0</v>
      </c>
      <c r="AL58" s="20">
        <f>IF(B58="","",IF(AK58="","",ROUND(AK58-AE58-(AK58*AF58+AG58),2)))</f>
        <v>0</v>
      </c>
      <c r="AM58" s="33">
        <f>IF(B58="","",IF(OR(AK58="",AK58=0),"",AL58/AK58))</f>
        <v>0</v>
      </c>
      <c r="AN58" s="41">
        <f>IF(B58="","",ROUND(Y58/60,3))</f>
        <v>0</v>
      </c>
      <c r="AO58" s="20">
        <f>IF(B58="","",IF(OR(AN58=0,AN58="",AL58=""),"",ROUND((AL58+Z58)/AN58,2)))</f>
        <v>0</v>
      </c>
      <c r="AP58" s="43">
        <f>IF(B58="","",IF(AND(A58&lt;&gt;"",ISERROR(MATCH(A58,Products!$A$5:$A$304,0))),"Check - no such product ID",IF(Z58=0,"Add - no material cost yet",IF(Y58=0,"Add - how long does it take?",IF(AND(A58&lt;&gt;"",COUNTIFS('Material Usage'!$A$5:$A$904,A58)&gt;0),"Check - this product also has a bill of materials",IF(AND(A58&lt;&gt;"",COUNTIFS(Labor!$A$5:$A$304,A58)&gt;0),"Check - this product also has labour lines",IF(AO58&lt;MinimumWage,"Below - pays under minimum wage","OK")))))) )</f>
        <v>0</v>
      </c>
    </row>
    <row r="59" spans="20:42">
      <c r="T59" s="20">
        <f>IF(B59="","",IF(Q59&lt;&gt;"",Q59,LaborCostHour))</f>
        <v>0</v>
      </c>
      <c r="U59" s="41">
        <f>IF(B59="","",IF(F59="",0,F59)+IF(G59="",0,G59)+IF(H59="",0,H59)+IF(I59="",0,I59)+IF(N59="",0,N59))</f>
        <v>0</v>
      </c>
      <c r="V59" s="20">
        <f>IF(B59="","",ROUND(U59*T59+IF(J59="",0,J59),2))</f>
        <v>0</v>
      </c>
      <c r="W59" s="32">
        <f>IF(B59="","",MAX(1,IF(L59="",1,L59)))</f>
        <v>0</v>
      </c>
      <c r="X59" s="20">
        <f>IF(B59="","",0)</f>
        <v>0</v>
      </c>
      <c r="Y59" s="36">
        <f>IF(B59="","",ROUND(U59*60/W59+IF(M59="",0,M59),1))</f>
        <v>0</v>
      </c>
      <c r="Z59" s="20">
        <f>IF(B59="","",ROUND(V59/W59+IF(M59="",0,M59)/60*T59,2))</f>
        <v>0</v>
      </c>
      <c r="AA59" s="20">
        <f>IF(B59="","",ROUND(IF(K59="",0,K59)/W59,2))</f>
        <v>0</v>
      </c>
      <c r="AB59" s="20">
        <f>IF(B59="","",ROUND(IF(O59="",0,O59)*MAX(0,AL59+Z59-IF(M59="",0,M59)/60*T59),2))</f>
        <v>0</v>
      </c>
      <c r="AC59" s="33">
        <f>IF(B59="","",IF(V59=0,"",AB59/V59))</f>
        <v>0</v>
      </c>
      <c r="AD59" s="32">
        <f>IF(B59="","",IF(OR(AK59="",AK59-AA59-(AK59*AF59+AG59)-IF(M59="",0,M59)/60*T59&lt;=0),"Never at this price",ROUNDUP(V59/(AK59-AA59-(AK59*AF59+AG59)-IF(M59="",0,M59)/60*T59),0)))</f>
        <v>0</v>
      </c>
      <c r="AE59" s="20">
        <f>IF(B59="","",ROUND(X59+Z59+AA59,2))</f>
        <v>0</v>
      </c>
      <c r="AF59" s="33">
        <f>IF(B59="","",IFERROR(INDEX(Channels!$S$5:$S$18,MATCH(DefaultChannel,Channels!$A$5:$A$18,0)),0))</f>
        <v>0</v>
      </c>
      <c r="AG59" s="20">
        <f>IF(B59="","",IFERROR(INDEX(Channels!$T$5:$T$18,MATCH(DefaultChannel,Channels!$A$5:$A$18,0)),0))</f>
        <v>0</v>
      </c>
      <c r="AH59" s="41">
        <f>IF(B59="","",1-TargetRetailMargin-AF59)</f>
        <v>0</v>
      </c>
      <c r="AI59" s="20">
        <f>IF(B59="","",IF(AH59&lt;=0,"",(AE59+AG59)/AH59))</f>
        <v>0</v>
      </c>
      <c r="AJ59" s="20">
        <f>IF(B59="","",IF(AI59="","Check the settings",ROUND(IF(RoundingRule="None",AI59,IF(RoundingRule="Nearest 0.99",MAX(0.99,CEILING(AI59,1)-0.01),IF(RoundingRule="Nearest 0.95",MAX(0.95,CEILING(AI59,1)-0.05),IF(RoundingRule="Nearest 0.50",CEILING(AI59,0.5),IF(RoundingRule="Nearest 1",CEILING(AI59,1),IF(RoundingRule="Nearest 5",CEILING(AI59,5),IF(RoundingRule="Up to whole 1",CEILING(AI59,1),IF(RoundingRule="Up to whole 5",CEILING(AI59,5),ROUND(AI59,2))))))))),2)))</f>
        <v>0</v>
      </c>
      <c r="AK59" s="20">
        <f>IF(B59="","",IF(R59&lt;&gt;"",R59,IF(ISNUMBER(AJ59),AJ59,"")))</f>
        <v>0</v>
      </c>
      <c r="AL59" s="20">
        <f>IF(B59="","",IF(AK59="","",ROUND(AK59-AE59-(AK59*AF59+AG59),2)))</f>
        <v>0</v>
      </c>
      <c r="AM59" s="33">
        <f>IF(B59="","",IF(OR(AK59="",AK59=0),"",AL59/AK59))</f>
        <v>0</v>
      </c>
      <c r="AN59" s="41">
        <f>IF(B59="","",ROUND(Y59/60,3))</f>
        <v>0</v>
      </c>
      <c r="AO59" s="20">
        <f>IF(B59="","",IF(OR(AN59=0,AN59="",AL59=""),"",ROUND((AL59+Z59)/AN59,2)))</f>
        <v>0</v>
      </c>
      <c r="AP59" s="43">
        <f>IF(B59="","",IF(AND(A59&lt;&gt;"",ISERROR(MATCH(A59,Products!$A$5:$A$304,0))),"Check - no such product ID",IF(Z59=0,"Add - no material cost yet",IF(Y59=0,"Add - how long does it take?",IF(AND(A59&lt;&gt;"",COUNTIFS('Material Usage'!$A$5:$A$904,A59)&gt;0),"Check - this product also has a bill of materials",IF(AND(A59&lt;&gt;"",COUNTIFS(Labor!$A$5:$A$304,A59)&gt;0),"Check - this product also has labour lines",IF(AO59&lt;MinimumWage,"Below - pays under minimum wage","OK")))))) )</f>
        <v>0</v>
      </c>
    </row>
    <row r="60" spans="20:42">
      <c r="T60" s="20">
        <f>IF(B60="","",IF(Q60&lt;&gt;"",Q60,LaborCostHour))</f>
        <v>0</v>
      </c>
      <c r="U60" s="41">
        <f>IF(B60="","",IF(F60="",0,F60)+IF(G60="",0,G60)+IF(H60="",0,H60)+IF(I60="",0,I60)+IF(N60="",0,N60))</f>
        <v>0</v>
      </c>
      <c r="V60" s="20">
        <f>IF(B60="","",ROUND(U60*T60+IF(J60="",0,J60),2))</f>
        <v>0</v>
      </c>
      <c r="W60" s="32">
        <f>IF(B60="","",MAX(1,IF(L60="",1,L60)))</f>
        <v>0</v>
      </c>
      <c r="X60" s="20">
        <f>IF(B60="","",0)</f>
        <v>0</v>
      </c>
      <c r="Y60" s="36">
        <f>IF(B60="","",ROUND(U60*60/W60+IF(M60="",0,M60),1))</f>
        <v>0</v>
      </c>
      <c r="Z60" s="20">
        <f>IF(B60="","",ROUND(V60/W60+IF(M60="",0,M60)/60*T60,2))</f>
        <v>0</v>
      </c>
      <c r="AA60" s="20">
        <f>IF(B60="","",ROUND(IF(K60="",0,K60)/W60,2))</f>
        <v>0</v>
      </c>
      <c r="AB60" s="20">
        <f>IF(B60="","",ROUND(IF(O60="",0,O60)*MAX(0,AL60+Z60-IF(M60="",0,M60)/60*T60),2))</f>
        <v>0</v>
      </c>
      <c r="AC60" s="33">
        <f>IF(B60="","",IF(V60=0,"",AB60/V60))</f>
        <v>0</v>
      </c>
      <c r="AD60" s="32">
        <f>IF(B60="","",IF(OR(AK60="",AK60-AA60-(AK60*AF60+AG60)-IF(M60="",0,M60)/60*T60&lt;=0),"Never at this price",ROUNDUP(V60/(AK60-AA60-(AK60*AF60+AG60)-IF(M60="",0,M60)/60*T60),0)))</f>
        <v>0</v>
      </c>
      <c r="AE60" s="20">
        <f>IF(B60="","",ROUND(X60+Z60+AA60,2))</f>
        <v>0</v>
      </c>
      <c r="AF60" s="33">
        <f>IF(B60="","",IFERROR(INDEX(Channels!$S$5:$S$18,MATCH(DefaultChannel,Channels!$A$5:$A$18,0)),0))</f>
        <v>0</v>
      </c>
      <c r="AG60" s="20">
        <f>IF(B60="","",IFERROR(INDEX(Channels!$T$5:$T$18,MATCH(DefaultChannel,Channels!$A$5:$A$18,0)),0))</f>
        <v>0</v>
      </c>
      <c r="AH60" s="41">
        <f>IF(B60="","",1-TargetRetailMargin-AF60)</f>
        <v>0</v>
      </c>
      <c r="AI60" s="20">
        <f>IF(B60="","",IF(AH60&lt;=0,"",(AE60+AG60)/AH60))</f>
        <v>0</v>
      </c>
      <c r="AJ60" s="20">
        <f>IF(B60="","",IF(AI60="","Check the settings",ROUND(IF(RoundingRule="None",AI60,IF(RoundingRule="Nearest 0.99",MAX(0.99,CEILING(AI60,1)-0.01),IF(RoundingRule="Nearest 0.95",MAX(0.95,CEILING(AI60,1)-0.05),IF(RoundingRule="Nearest 0.50",CEILING(AI60,0.5),IF(RoundingRule="Nearest 1",CEILING(AI60,1),IF(RoundingRule="Nearest 5",CEILING(AI60,5),IF(RoundingRule="Up to whole 1",CEILING(AI60,1),IF(RoundingRule="Up to whole 5",CEILING(AI60,5),ROUND(AI60,2))))))))),2)))</f>
        <v>0</v>
      </c>
      <c r="AK60" s="20">
        <f>IF(B60="","",IF(R60&lt;&gt;"",R60,IF(ISNUMBER(AJ60),AJ60,"")))</f>
        <v>0</v>
      </c>
      <c r="AL60" s="20">
        <f>IF(B60="","",IF(AK60="","",ROUND(AK60-AE60-(AK60*AF60+AG60),2)))</f>
        <v>0</v>
      </c>
      <c r="AM60" s="33">
        <f>IF(B60="","",IF(OR(AK60="",AK60=0),"",AL60/AK60))</f>
        <v>0</v>
      </c>
      <c r="AN60" s="41">
        <f>IF(B60="","",ROUND(Y60/60,3))</f>
        <v>0</v>
      </c>
      <c r="AO60" s="20">
        <f>IF(B60="","",IF(OR(AN60=0,AN60="",AL60=""),"",ROUND((AL60+Z60)/AN60,2)))</f>
        <v>0</v>
      </c>
      <c r="AP60" s="43">
        <f>IF(B60="","",IF(AND(A60&lt;&gt;"",ISERROR(MATCH(A60,Products!$A$5:$A$304,0))),"Check - no such product ID",IF(Z60=0,"Add - no material cost yet",IF(Y60=0,"Add - how long does it take?",IF(AND(A60&lt;&gt;"",COUNTIFS('Material Usage'!$A$5:$A$904,A60)&gt;0),"Check - this product also has a bill of materials",IF(AND(A60&lt;&gt;"",COUNTIFS(Labor!$A$5:$A$304,A60)&gt;0),"Check - this product also has labour lines",IF(AO60&lt;MinimumWage,"Below - pays under minimum wage","OK")))))) )</f>
        <v>0</v>
      </c>
    </row>
    <row r="61" spans="20:42">
      <c r="T61" s="20">
        <f>IF(B61="","",IF(Q61&lt;&gt;"",Q61,LaborCostHour))</f>
        <v>0</v>
      </c>
      <c r="U61" s="41">
        <f>IF(B61="","",IF(F61="",0,F61)+IF(G61="",0,G61)+IF(H61="",0,H61)+IF(I61="",0,I61)+IF(N61="",0,N61))</f>
        <v>0</v>
      </c>
      <c r="V61" s="20">
        <f>IF(B61="","",ROUND(U61*T61+IF(J61="",0,J61),2))</f>
        <v>0</v>
      </c>
      <c r="W61" s="32">
        <f>IF(B61="","",MAX(1,IF(L61="",1,L61)))</f>
        <v>0</v>
      </c>
      <c r="X61" s="20">
        <f>IF(B61="","",0)</f>
        <v>0</v>
      </c>
      <c r="Y61" s="36">
        <f>IF(B61="","",ROUND(U61*60/W61+IF(M61="",0,M61),1))</f>
        <v>0</v>
      </c>
      <c r="Z61" s="20">
        <f>IF(B61="","",ROUND(V61/W61+IF(M61="",0,M61)/60*T61,2))</f>
        <v>0</v>
      </c>
      <c r="AA61" s="20">
        <f>IF(B61="","",ROUND(IF(K61="",0,K61)/W61,2))</f>
        <v>0</v>
      </c>
      <c r="AB61" s="20">
        <f>IF(B61="","",ROUND(IF(O61="",0,O61)*MAX(0,AL61+Z61-IF(M61="",0,M61)/60*T61),2))</f>
        <v>0</v>
      </c>
      <c r="AC61" s="33">
        <f>IF(B61="","",IF(V61=0,"",AB61/V61))</f>
        <v>0</v>
      </c>
      <c r="AD61" s="32">
        <f>IF(B61="","",IF(OR(AK61="",AK61-AA61-(AK61*AF61+AG61)-IF(M61="",0,M61)/60*T61&lt;=0),"Never at this price",ROUNDUP(V61/(AK61-AA61-(AK61*AF61+AG61)-IF(M61="",0,M61)/60*T61),0)))</f>
        <v>0</v>
      </c>
      <c r="AE61" s="20">
        <f>IF(B61="","",ROUND(X61+Z61+AA61,2))</f>
        <v>0</v>
      </c>
      <c r="AF61" s="33">
        <f>IF(B61="","",IFERROR(INDEX(Channels!$S$5:$S$18,MATCH(DefaultChannel,Channels!$A$5:$A$18,0)),0))</f>
        <v>0</v>
      </c>
      <c r="AG61" s="20">
        <f>IF(B61="","",IFERROR(INDEX(Channels!$T$5:$T$18,MATCH(DefaultChannel,Channels!$A$5:$A$18,0)),0))</f>
        <v>0</v>
      </c>
      <c r="AH61" s="41">
        <f>IF(B61="","",1-TargetRetailMargin-AF61)</f>
        <v>0</v>
      </c>
      <c r="AI61" s="20">
        <f>IF(B61="","",IF(AH61&lt;=0,"",(AE61+AG61)/AH61))</f>
        <v>0</v>
      </c>
      <c r="AJ61" s="20">
        <f>IF(B61="","",IF(AI61="","Check the settings",ROUND(IF(RoundingRule="None",AI61,IF(RoundingRule="Nearest 0.99",MAX(0.99,CEILING(AI61,1)-0.01),IF(RoundingRule="Nearest 0.95",MAX(0.95,CEILING(AI61,1)-0.05),IF(RoundingRule="Nearest 0.50",CEILING(AI61,0.5),IF(RoundingRule="Nearest 1",CEILING(AI61,1),IF(RoundingRule="Nearest 5",CEILING(AI61,5),IF(RoundingRule="Up to whole 1",CEILING(AI61,1),IF(RoundingRule="Up to whole 5",CEILING(AI61,5),ROUND(AI61,2))))))))),2)))</f>
        <v>0</v>
      </c>
      <c r="AK61" s="20">
        <f>IF(B61="","",IF(R61&lt;&gt;"",R61,IF(ISNUMBER(AJ61),AJ61,"")))</f>
        <v>0</v>
      </c>
      <c r="AL61" s="20">
        <f>IF(B61="","",IF(AK61="","",ROUND(AK61-AE61-(AK61*AF61+AG61),2)))</f>
        <v>0</v>
      </c>
      <c r="AM61" s="33">
        <f>IF(B61="","",IF(OR(AK61="",AK61=0),"",AL61/AK61))</f>
        <v>0</v>
      </c>
      <c r="AN61" s="41">
        <f>IF(B61="","",ROUND(Y61/60,3))</f>
        <v>0</v>
      </c>
      <c r="AO61" s="20">
        <f>IF(B61="","",IF(OR(AN61=0,AN61="",AL61=""),"",ROUND((AL61+Z61)/AN61,2)))</f>
        <v>0</v>
      </c>
      <c r="AP61" s="43">
        <f>IF(B61="","",IF(AND(A61&lt;&gt;"",ISERROR(MATCH(A61,Products!$A$5:$A$304,0))),"Check - no such product ID",IF(Z61=0,"Add - no material cost yet",IF(Y61=0,"Add - how long does it take?",IF(AND(A61&lt;&gt;"",COUNTIFS('Material Usage'!$A$5:$A$904,A61)&gt;0),"Check - this product also has a bill of materials",IF(AND(A61&lt;&gt;"",COUNTIFS(Labor!$A$5:$A$304,A61)&gt;0),"Check - this product also has labour lines",IF(AO61&lt;MinimumWage,"Below - pays under minimum wage","OK")))))) )</f>
        <v>0</v>
      </c>
    </row>
    <row r="62" spans="20:42">
      <c r="T62" s="20">
        <f>IF(B62="","",IF(Q62&lt;&gt;"",Q62,LaborCostHour))</f>
        <v>0</v>
      </c>
      <c r="U62" s="41">
        <f>IF(B62="","",IF(F62="",0,F62)+IF(G62="",0,G62)+IF(H62="",0,H62)+IF(I62="",0,I62)+IF(N62="",0,N62))</f>
        <v>0</v>
      </c>
      <c r="V62" s="20">
        <f>IF(B62="","",ROUND(U62*T62+IF(J62="",0,J62),2))</f>
        <v>0</v>
      </c>
      <c r="W62" s="32">
        <f>IF(B62="","",MAX(1,IF(L62="",1,L62)))</f>
        <v>0</v>
      </c>
      <c r="X62" s="20">
        <f>IF(B62="","",0)</f>
        <v>0</v>
      </c>
      <c r="Y62" s="36">
        <f>IF(B62="","",ROUND(U62*60/W62+IF(M62="",0,M62),1))</f>
        <v>0</v>
      </c>
      <c r="Z62" s="20">
        <f>IF(B62="","",ROUND(V62/W62+IF(M62="",0,M62)/60*T62,2))</f>
        <v>0</v>
      </c>
      <c r="AA62" s="20">
        <f>IF(B62="","",ROUND(IF(K62="",0,K62)/W62,2))</f>
        <v>0</v>
      </c>
      <c r="AB62" s="20">
        <f>IF(B62="","",ROUND(IF(O62="",0,O62)*MAX(0,AL62+Z62-IF(M62="",0,M62)/60*T62),2))</f>
        <v>0</v>
      </c>
      <c r="AC62" s="33">
        <f>IF(B62="","",IF(V62=0,"",AB62/V62))</f>
        <v>0</v>
      </c>
      <c r="AD62" s="32">
        <f>IF(B62="","",IF(OR(AK62="",AK62-AA62-(AK62*AF62+AG62)-IF(M62="",0,M62)/60*T62&lt;=0),"Never at this price",ROUNDUP(V62/(AK62-AA62-(AK62*AF62+AG62)-IF(M62="",0,M62)/60*T62),0)))</f>
        <v>0</v>
      </c>
      <c r="AE62" s="20">
        <f>IF(B62="","",ROUND(X62+Z62+AA62,2))</f>
        <v>0</v>
      </c>
      <c r="AF62" s="33">
        <f>IF(B62="","",IFERROR(INDEX(Channels!$S$5:$S$18,MATCH(DefaultChannel,Channels!$A$5:$A$18,0)),0))</f>
        <v>0</v>
      </c>
      <c r="AG62" s="20">
        <f>IF(B62="","",IFERROR(INDEX(Channels!$T$5:$T$18,MATCH(DefaultChannel,Channels!$A$5:$A$18,0)),0))</f>
        <v>0</v>
      </c>
      <c r="AH62" s="41">
        <f>IF(B62="","",1-TargetRetailMargin-AF62)</f>
        <v>0</v>
      </c>
      <c r="AI62" s="20">
        <f>IF(B62="","",IF(AH62&lt;=0,"",(AE62+AG62)/AH62))</f>
        <v>0</v>
      </c>
      <c r="AJ62" s="20">
        <f>IF(B62="","",IF(AI62="","Check the settings",ROUND(IF(RoundingRule="None",AI62,IF(RoundingRule="Nearest 0.99",MAX(0.99,CEILING(AI62,1)-0.01),IF(RoundingRule="Nearest 0.95",MAX(0.95,CEILING(AI62,1)-0.05),IF(RoundingRule="Nearest 0.50",CEILING(AI62,0.5),IF(RoundingRule="Nearest 1",CEILING(AI62,1),IF(RoundingRule="Nearest 5",CEILING(AI62,5),IF(RoundingRule="Up to whole 1",CEILING(AI62,1),IF(RoundingRule="Up to whole 5",CEILING(AI62,5),ROUND(AI62,2))))))))),2)))</f>
        <v>0</v>
      </c>
      <c r="AK62" s="20">
        <f>IF(B62="","",IF(R62&lt;&gt;"",R62,IF(ISNUMBER(AJ62),AJ62,"")))</f>
        <v>0</v>
      </c>
      <c r="AL62" s="20">
        <f>IF(B62="","",IF(AK62="","",ROUND(AK62-AE62-(AK62*AF62+AG62),2)))</f>
        <v>0</v>
      </c>
      <c r="AM62" s="33">
        <f>IF(B62="","",IF(OR(AK62="",AK62=0),"",AL62/AK62))</f>
        <v>0</v>
      </c>
      <c r="AN62" s="41">
        <f>IF(B62="","",ROUND(Y62/60,3))</f>
        <v>0</v>
      </c>
      <c r="AO62" s="20">
        <f>IF(B62="","",IF(OR(AN62=0,AN62="",AL62=""),"",ROUND((AL62+Z62)/AN62,2)))</f>
        <v>0</v>
      </c>
      <c r="AP62" s="43">
        <f>IF(B62="","",IF(AND(A62&lt;&gt;"",ISERROR(MATCH(A62,Products!$A$5:$A$304,0))),"Check - no such product ID",IF(Z62=0,"Add - no material cost yet",IF(Y62=0,"Add - how long does it take?",IF(AND(A62&lt;&gt;"",COUNTIFS('Material Usage'!$A$5:$A$904,A62)&gt;0),"Check - this product also has a bill of materials",IF(AND(A62&lt;&gt;"",COUNTIFS(Labor!$A$5:$A$304,A62)&gt;0),"Check - this product also has labour lines",IF(AO62&lt;MinimumWage,"Below - pays under minimum wage","OK")))))) )</f>
        <v>0</v>
      </c>
    </row>
    <row r="63" spans="20:42">
      <c r="T63" s="20">
        <f>IF(B63="","",IF(Q63&lt;&gt;"",Q63,LaborCostHour))</f>
        <v>0</v>
      </c>
      <c r="U63" s="41">
        <f>IF(B63="","",IF(F63="",0,F63)+IF(G63="",0,G63)+IF(H63="",0,H63)+IF(I63="",0,I63)+IF(N63="",0,N63))</f>
        <v>0</v>
      </c>
      <c r="V63" s="20">
        <f>IF(B63="","",ROUND(U63*T63+IF(J63="",0,J63),2))</f>
        <v>0</v>
      </c>
      <c r="W63" s="32">
        <f>IF(B63="","",MAX(1,IF(L63="",1,L63)))</f>
        <v>0</v>
      </c>
      <c r="X63" s="20">
        <f>IF(B63="","",0)</f>
        <v>0</v>
      </c>
      <c r="Y63" s="36">
        <f>IF(B63="","",ROUND(U63*60/W63+IF(M63="",0,M63),1))</f>
        <v>0</v>
      </c>
      <c r="Z63" s="20">
        <f>IF(B63="","",ROUND(V63/W63+IF(M63="",0,M63)/60*T63,2))</f>
        <v>0</v>
      </c>
      <c r="AA63" s="20">
        <f>IF(B63="","",ROUND(IF(K63="",0,K63)/W63,2))</f>
        <v>0</v>
      </c>
      <c r="AB63" s="20">
        <f>IF(B63="","",ROUND(IF(O63="",0,O63)*MAX(0,AL63+Z63-IF(M63="",0,M63)/60*T63),2))</f>
        <v>0</v>
      </c>
      <c r="AC63" s="33">
        <f>IF(B63="","",IF(V63=0,"",AB63/V63))</f>
        <v>0</v>
      </c>
      <c r="AD63" s="32">
        <f>IF(B63="","",IF(OR(AK63="",AK63-AA63-(AK63*AF63+AG63)-IF(M63="",0,M63)/60*T63&lt;=0),"Never at this price",ROUNDUP(V63/(AK63-AA63-(AK63*AF63+AG63)-IF(M63="",0,M63)/60*T63),0)))</f>
        <v>0</v>
      </c>
      <c r="AE63" s="20">
        <f>IF(B63="","",ROUND(X63+Z63+AA63,2))</f>
        <v>0</v>
      </c>
      <c r="AF63" s="33">
        <f>IF(B63="","",IFERROR(INDEX(Channels!$S$5:$S$18,MATCH(DefaultChannel,Channels!$A$5:$A$18,0)),0))</f>
        <v>0</v>
      </c>
      <c r="AG63" s="20">
        <f>IF(B63="","",IFERROR(INDEX(Channels!$T$5:$T$18,MATCH(DefaultChannel,Channels!$A$5:$A$18,0)),0))</f>
        <v>0</v>
      </c>
      <c r="AH63" s="41">
        <f>IF(B63="","",1-TargetRetailMargin-AF63)</f>
        <v>0</v>
      </c>
      <c r="AI63" s="20">
        <f>IF(B63="","",IF(AH63&lt;=0,"",(AE63+AG63)/AH63))</f>
        <v>0</v>
      </c>
      <c r="AJ63" s="20">
        <f>IF(B63="","",IF(AI63="","Check the settings",ROUND(IF(RoundingRule="None",AI63,IF(RoundingRule="Nearest 0.99",MAX(0.99,CEILING(AI63,1)-0.01),IF(RoundingRule="Nearest 0.95",MAX(0.95,CEILING(AI63,1)-0.05),IF(RoundingRule="Nearest 0.50",CEILING(AI63,0.5),IF(RoundingRule="Nearest 1",CEILING(AI63,1),IF(RoundingRule="Nearest 5",CEILING(AI63,5),IF(RoundingRule="Up to whole 1",CEILING(AI63,1),IF(RoundingRule="Up to whole 5",CEILING(AI63,5),ROUND(AI63,2))))))))),2)))</f>
        <v>0</v>
      </c>
      <c r="AK63" s="20">
        <f>IF(B63="","",IF(R63&lt;&gt;"",R63,IF(ISNUMBER(AJ63),AJ63,"")))</f>
        <v>0</v>
      </c>
      <c r="AL63" s="20">
        <f>IF(B63="","",IF(AK63="","",ROUND(AK63-AE63-(AK63*AF63+AG63),2)))</f>
        <v>0</v>
      </c>
      <c r="AM63" s="33">
        <f>IF(B63="","",IF(OR(AK63="",AK63=0),"",AL63/AK63))</f>
        <v>0</v>
      </c>
      <c r="AN63" s="41">
        <f>IF(B63="","",ROUND(Y63/60,3))</f>
        <v>0</v>
      </c>
      <c r="AO63" s="20">
        <f>IF(B63="","",IF(OR(AN63=0,AN63="",AL63=""),"",ROUND((AL63+Z63)/AN63,2)))</f>
        <v>0</v>
      </c>
      <c r="AP63" s="43">
        <f>IF(B63="","",IF(AND(A63&lt;&gt;"",ISERROR(MATCH(A63,Products!$A$5:$A$304,0))),"Check - no such product ID",IF(Z63=0,"Add - no material cost yet",IF(Y63=0,"Add - how long does it take?",IF(AND(A63&lt;&gt;"",COUNTIFS('Material Usage'!$A$5:$A$904,A63)&gt;0),"Check - this product also has a bill of materials",IF(AND(A63&lt;&gt;"",COUNTIFS(Labor!$A$5:$A$304,A63)&gt;0),"Check - this product also has labour lines",IF(AO63&lt;MinimumWage,"Below - pays under minimum wage","OK")))))) )</f>
        <v>0</v>
      </c>
    </row>
    <row r="64" spans="20:42">
      <c r="T64" s="20">
        <f>IF(B64="","",IF(Q64&lt;&gt;"",Q64,LaborCostHour))</f>
        <v>0</v>
      </c>
      <c r="U64" s="41">
        <f>IF(B64="","",IF(F64="",0,F64)+IF(G64="",0,G64)+IF(H64="",0,H64)+IF(I64="",0,I64)+IF(N64="",0,N64))</f>
        <v>0</v>
      </c>
      <c r="V64" s="20">
        <f>IF(B64="","",ROUND(U64*T64+IF(J64="",0,J64),2))</f>
        <v>0</v>
      </c>
      <c r="W64" s="32">
        <f>IF(B64="","",MAX(1,IF(L64="",1,L64)))</f>
        <v>0</v>
      </c>
      <c r="X64" s="20">
        <f>IF(B64="","",0)</f>
        <v>0</v>
      </c>
      <c r="Y64" s="36">
        <f>IF(B64="","",ROUND(U64*60/W64+IF(M64="",0,M64),1))</f>
        <v>0</v>
      </c>
      <c r="Z64" s="20">
        <f>IF(B64="","",ROUND(V64/W64+IF(M64="",0,M64)/60*T64,2))</f>
        <v>0</v>
      </c>
      <c r="AA64" s="20">
        <f>IF(B64="","",ROUND(IF(K64="",0,K64)/W64,2))</f>
        <v>0</v>
      </c>
      <c r="AB64" s="20">
        <f>IF(B64="","",ROUND(IF(O64="",0,O64)*MAX(0,AL64+Z64-IF(M64="",0,M64)/60*T64),2))</f>
        <v>0</v>
      </c>
      <c r="AC64" s="33">
        <f>IF(B64="","",IF(V64=0,"",AB64/V64))</f>
        <v>0</v>
      </c>
      <c r="AD64" s="32">
        <f>IF(B64="","",IF(OR(AK64="",AK64-AA64-(AK64*AF64+AG64)-IF(M64="",0,M64)/60*T64&lt;=0),"Never at this price",ROUNDUP(V64/(AK64-AA64-(AK64*AF64+AG64)-IF(M64="",0,M64)/60*T64),0)))</f>
        <v>0</v>
      </c>
      <c r="AE64" s="20">
        <f>IF(B64="","",ROUND(X64+Z64+AA64,2))</f>
        <v>0</v>
      </c>
      <c r="AF64" s="33">
        <f>IF(B64="","",IFERROR(INDEX(Channels!$S$5:$S$18,MATCH(DefaultChannel,Channels!$A$5:$A$18,0)),0))</f>
        <v>0</v>
      </c>
      <c r="AG64" s="20">
        <f>IF(B64="","",IFERROR(INDEX(Channels!$T$5:$T$18,MATCH(DefaultChannel,Channels!$A$5:$A$18,0)),0))</f>
        <v>0</v>
      </c>
      <c r="AH64" s="41">
        <f>IF(B64="","",1-TargetRetailMargin-AF64)</f>
        <v>0</v>
      </c>
      <c r="AI64" s="20">
        <f>IF(B64="","",IF(AH64&lt;=0,"",(AE64+AG64)/AH64))</f>
        <v>0</v>
      </c>
      <c r="AJ64" s="20">
        <f>IF(B64="","",IF(AI64="","Check the settings",ROUND(IF(RoundingRule="None",AI64,IF(RoundingRule="Nearest 0.99",MAX(0.99,CEILING(AI64,1)-0.01),IF(RoundingRule="Nearest 0.95",MAX(0.95,CEILING(AI64,1)-0.05),IF(RoundingRule="Nearest 0.50",CEILING(AI64,0.5),IF(RoundingRule="Nearest 1",CEILING(AI64,1),IF(RoundingRule="Nearest 5",CEILING(AI64,5),IF(RoundingRule="Up to whole 1",CEILING(AI64,1),IF(RoundingRule="Up to whole 5",CEILING(AI64,5),ROUND(AI64,2))))))))),2)))</f>
        <v>0</v>
      </c>
      <c r="AK64" s="20">
        <f>IF(B64="","",IF(R64&lt;&gt;"",R64,IF(ISNUMBER(AJ64),AJ64,"")))</f>
        <v>0</v>
      </c>
      <c r="AL64" s="20">
        <f>IF(B64="","",IF(AK64="","",ROUND(AK64-AE64-(AK64*AF64+AG64),2)))</f>
        <v>0</v>
      </c>
      <c r="AM64" s="33">
        <f>IF(B64="","",IF(OR(AK64="",AK64=0),"",AL64/AK64))</f>
        <v>0</v>
      </c>
      <c r="AN64" s="41">
        <f>IF(B64="","",ROUND(Y64/60,3))</f>
        <v>0</v>
      </c>
      <c r="AO64" s="20">
        <f>IF(B64="","",IF(OR(AN64=0,AN64="",AL64=""),"",ROUND((AL64+Z64)/AN64,2)))</f>
        <v>0</v>
      </c>
      <c r="AP64" s="43">
        <f>IF(B64="","",IF(AND(A64&lt;&gt;"",ISERROR(MATCH(A64,Products!$A$5:$A$304,0))),"Check - no such product ID",IF(Z64=0,"Add - no material cost yet",IF(Y64=0,"Add - how long does it take?",IF(AND(A64&lt;&gt;"",COUNTIFS('Material Usage'!$A$5:$A$904,A64)&gt;0),"Check - this product also has a bill of materials",IF(AND(A64&lt;&gt;"",COUNTIFS(Labor!$A$5:$A$304,A64)&gt;0),"Check - this product also has labour lines",IF(AO64&lt;MinimumWage,"Below - pays under minimum wage","OK")))))) )</f>
        <v>0</v>
      </c>
    </row>
    <row r="65" spans="20:42">
      <c r="T65" s="20">
        <f>IF(B65="","",IF(Q65&lt;&gt;"",Q65,LaborCostHour))</f>
        <v>0</v>
      </c>
      <c r="U65" s="41">
        <f>IF(B65="","",IF(F65="",0,F65)+IF(G65="",0,G65)+IF(H65="",0,H65)+IF(I65="",0,I65)+IF(N65="",0,N65))</f>
        <v>0</v>
      </c>
      <c r="V65" s="20">
        <f>IF(B65="","",ROUND(U65*T65+IF(J65="",0,J65),2))</f>
        <v>0</v>
      </c>
      <c r="W65" s="32">
        <f>IF(B65="","",MAX(1,IF(L65="",1,L65)))</f>
        <v>0</v>
      </c>
      <c r="X65" s="20">
        <f>IF(B65="","",0)</f>
        <v>0</v>
      </c>
      <c r="Y65" s="36">
        <f>IF(B65="","",ROUND(U65*60/W65+IF(M65="",0,M65),1))</f>
        <v>0</v>
      </c>
      <c r="Z65" s="20">
        <f>IF(B65="","",ROUND(V65/W65+IF(M65="",0,M65)/60*T65,2))</f>
        <v>0</v>
      </c>
      <c r="AA65" s="20">
        <f>IF(B65="","",ROUND(IF(K65="",0,K65)/W65,2))</f>
        <v>0</v>
      </c>
      <c r="AB65" s="20">
        <f>IF(B65="","",ROUND(IF(O65="",0,O65)*MAX(0,AL65+Z65-IF(M65="",0,M65)/60*T65),2))</f>
        <v>0</v>
      </c>
      <c r="AC65" s="33">
        <f>IF(B65="","",IF(V65=0,"",AB65/V65))</f>
        <v>0</v>
      </c>
      <c r="AD65" s="32">
        <f>IF(B65="","",IF(OR(AK65="",AK65-AA65-(AK65*AF65+AG65)-IF(M65="",0,M65)/60*T65&lt;=0),"Never at this price",ROUNDUP(V65/(AK65-AA65-(AK65*AF65+AG65)-IF(M65="",0,M65)/60*T65),0)))</f>
        <v>0</v>
      </c>
      <c r="AE65" s="20">
        <f>IF(B65="","",ROUND(X65+Z65+AA65,2))</f>
        <v>0</v>
      </c>
      <c r="AF65" s="33">
        <f>IF(B65="","",IFERROR(INDEX(Channels!$S$5:$S$18,MATCH(DefaultChannel,Channels!$A$5:$A$18,0)),0))</f>
        <v>0</v>
      </c>
      <c r="AG65" s="20">
        <f>IF(B65="","",IFERROR(INDEX(Channels!$T$5:$T$18,MATCH(DefaultChannel,Channels!$A$5:$A$18,0)),0))</f>
        <v>0</v>
      </c>
      <c r="AH65" s="41">
        <f>IF(B65="","",1-TargetRetailMargin-AF65)</f>
        <v>0</v>
      </c>
      <c r="AI65" s="20">
        <f>IF(B65="","",IF(AH65&lt;=0,"",(AE65+AG65)/AH65))</f>
        <v>0</v>
      </c>
      <c r="AJ65" s="20">
        <f>IF(B65="","",IF(AI65="","Check the settings",ROUND(IF(RoundingRule="None",AI65,IF(RoundingRule="Nearest 0.99",MAX(0.99,CEILING(AI65,1)-0.01),IF(RoundingRule="Nearest 0.95",MAX(0.95,CEILING(AI65,1)-0.05),IF(RoundingRule="Nearest 0.50",CEILING(AI65,0.5),IF(RoundingRule="Nearest 1",CEILING(AI65,1),IF(RoundingRule="Nearest 5",CEILING(AI65,5),IF(RoundingRule="Up to whole 1",CEILING(AI65,1),IF(RoundingRule="Up to whole 5",CEILING(AI65,5),ROUND(AI65,2))))))))),2)))</f>
        <v>0</v>
      </c>
      <c r="AK65" s="20">
        <f>IF(B65="","",IF(R65&lt;&gt;"",R65,IF(ISNUMBER(AJ65),AJ65,"")))</f>
        <v>0</v>
      </c>
      <c r="AL65" s="20">
        <f>IF(B65="","",IF(AK65="","",ROUND(AK65-AE65-(AK65*AF65+AG65),2)))</f>
        <v>0</v>
      </c>
      <c r="AM65" s="33">
        <f>IF(B65="","",IF(OR(AK65="",AK65=0),"",AL65/AK65))</f>
        <v>0</v>
      </c>
      <c r="AN65" s="41">
        <f>IF(B65="","",ROUND(Y65/60,3))</f>
        <v>0</v>
      </c>
      <c r="AO65" s="20">
        <f>IF(B65="","",IF(OR(AN65=0,AN65="",AL65=""),"",ROUND((AL65+Z65)/AN65,2)))</f>
        <v>0</v>
      </c>
      <c r="AP65" s="43">
        <f>IF(B65="","",IF(AND(A65&lt;&gt;"",ISERROR(MATCH(A65,Products!$A$5:$A$304,0))),"Check - no such product ID",IF(Z65=0,"Add - no material cost yet",IF(Y65=0,"Add - how long does it take?",IF(AND(A65&lt;&gt;"",COUNTIFS('Material Usage'!$A$5:$A$904,A65)&gt;0),"Check - this product also has a bill of materials",IF(AND(A65&lt;&gt;"",COUNTIFS(Labor!$A$5:$A$304,A65)&gt;0),"Check - this product also has labour lines",IF(AO65&lt;MinimumWage,"Below - pays under minimum wage","OK")))))) )</f>
        <v>0</v>
      </c>
    </row>
    <row r="66" spans="20:42">
      <c r="T66" s="20">
        <f>IF(B66="","",IF(Q66&lt;&gt;"",Q66,LaborCostHour))</f>
        <v>0</v>
      </c>
      <c r="U66" s="41">
        <f>IF(B66="","",IF(F66="",0,F66)+IF(G66="",0,G66)+IF(H66="",0,H66)+IF(I66="",0,I66)+IF(N66="",0,N66))</f>
        <v>0</v>
      </c>
      <c r="V66" s="20">
        <f>IF(B66="","",ROUND(U66*T66+IF(J66="",0,J66),2))</f>
        <v>0</v>
      </c>
      <c r="W66" s="32">
        <f>IF(B66="","",MAX(1,IF(L66="",1,L66)))</f>
        <v>0</v>
      </c>
      <c r="X66" s="20">
        <f>IF(B66="","",0)</f>
        <v>0</v>
      </c>
      <c r="Y66" s="36">
        <f>IF(B66="","",ROUND(U66*60/W66+IF(M66="",0,M66),1))</f>
        <v>0</v>
      </c>
      <c r="Z66" s="20">
        <f>IF(B66="","",ROUND(V66/W66+IF(M66="",0,M66)/60*T66,2))</f>
        <v>0</v>
      </c>
      <c r="AA66" s="20">
        <f>IF(B66="","",ROUND(IF(K66="",0,K66)/W66,2))</f>
        <v>0</v>
      </c>
      <c r="AB66" s="20">
        <f>IF(B66="","",ROUND(IF(O66="",0,O66)*MAX(0,AL66+Z66-IF(M66="",0,M66)/60*T66),2))</f>
        <v>0</v>
      </c>
      <c r="AC66" s="33">
        <f>IF(B66="","",IF(V66=0,"",AB66/V66))</f>
        <v>0</v>
      </c>
      <c r="AD66" s="32">
        <f>IF(B66="","",IF(OR(AK66="",AK66-AA66-(AK66*AF66+AG66)-IF(M66="",0,M66)/60*T66&lt;=0),"Never at this price",ROUNDUP(V66/(AK66-AA66-(AK66*AF66+AG66)-IF(M66="",0,M66)/60*T66),0)))</f>
        <v>0</v>
      </c>
      <c r="AE66" s="20">
        <f>IF(B66="","",ROUND(X66+Z66+AA66,2))</f>
        <v>0</v>
      </c>
      <c r="AF66" s="33">
        <f>IF(B66="","",IFERROR(INDEX(Channels!$S$5:$S$18,MATCH(DefaultChannel,Channels!$A$5:$A$18,0)),0))</f>
        <v>0</v>
      </c>
      <c r="AG66" s="20">
        <f>IF(B66="","",IFERROR(INDEX(Channels!$T$5:$T$18,MATCH(DefaultChannel,Channels!$A$5:$A$18,0)),0))</f>
        <v>0</v>
      </c>
      <c r="AH66" s="41">
        <f>IF(B66="","",1-TargetRetailMargin-AF66)</f>
        <v>0</v>
      </c>
      <c r="AI66" s="20">
        <f>IF(B66="","",IF(AH66&lt;=0,"",(AE66+AG66)/AH66))</f>
        <v>0</v>
      </c>
      <c r="AJ66" s="20">
        <f>IF(B66="","",IF(AI66="","Check the settings",ROUND(IF(RoundingRule="None",AI66,IF(RoundingRule="Nearest 0.99",MAX(0.99,CEILING(AI66,1)-0.01),IF(RoundingRule="Nearest 0.95",MAX(0.95,CEILING(AI66,1)-0.05),IF(RoundingRule="Nearest 0.50",CEILING(AI66,0.5),IF(RoundingRule="Nearest 1",CEILING(AI66,1),IF(RoundingRule="Nearest 5",CEILING(AI66,5),IF(RoundingRule="Up to whole 1",CEILING(AI66,1),IF(RoundingRule="Up to whole 5",CEILING(AI66,5),ROUND(AI66,2))))))))),2)))</f>
        <v>0</v>
      </c>
      <c r="AK66" s="20">
        <f>IF(B66="","",IF(R66&lt;&gt;"",R66,IF(ISNUMBER(AJ66),AJ66,"")))</f>
        <v>0</v>
      </c>
      <c r="AL66" s="20">
        <f>IF(B66="","",IF(AK66="","",ROUND(AK66-AE66-(AK66*AF66+AG66),2)))</f>
        <v>0</v>
      </c>
      <c r="AM66" s="33">
        <f>IF(B66="","",IF(OR(AK66="",AK66=0),"",AL66/AK66))</f>
        <v>0</v>
      </c>
      <c r="AN66" s="41">
        <f>IF(B66="","",ROUND(Y66/60,3))</f>
        <v>0</v>
      </c>
      <c r="AO66" s="20">
        <f>IF(B66="","",IF(OR(AN66=0,AN66="",AL66=""),"",ROUND((AL66+Z66)/AN66,2)))</f>
        <v>0</v>
      </c>
      <c r="AP66" s="43">
        <f>IF(B66="","",IF(AND(A66&lt;&gt;"",ISERROR(MATCH(A66,Products!$A$5:$A$304,0))),"Check - no such product ID",IF(Z66=0,"Add - no material cost yet",IF(Y66=0,"Add - how long does it take?",IF(AND(A66&lt;&gt;"",COUNTIFS('Material Usage'!$A$5:$A$904,A66)&gt;0),"Check - this product also has a bill of materials",IF(AND(A66&lt;&gt;"",COUNTIFS(Labor!$A$5:$A$304,A66)&gt;0),"Check - this product also has labour lines",IF(AO66&lt;MinimumWage,"Below - pays under minimum wage","OK")))))) )</f>
        <v>0</v>
      </c>
    </row>
    <row r="67" spans="20:42">
      <c r="T67" s="20">
        <f>IF(B67="","",IF(Q67&lt;&gt;"",Q67,LaborCostHour))</f>
        <v>0</v>
      </c>
      <c r="U67" s="41">
        <f>IF(B67="","",IF(F67="",0,F67)+IF(G67="",0,G67)+IF(H67="",0,H67)+IF(I67="",0,I67)+IF(N67="",0,N67))</f>
        <v>0</v>
      </c>
      <c r="V67" s="20">
        <f>IF(B67="","",ROUND(U67*T67+IF(J67="",0,J67),2))</f>
        <v>0</v>
      </c>
      <c r="W67" s="32">
        <f>IF(B67="","",MAX(1,IF(L67="",1,L67)))</f>
        <v>0</v>
      </c>
      <c r="X67" s="20">
        <f>IF(B67="","",0)</f>
        <v>0</v>
      </c>
      <c r="Y67" s="36">
        <f>IF(B67="","",ROUND(U67*60/W67+IF(M67="",0,M67),1))</f>
        <v>0</v>
      </c>
      <c r="Z67" s="20">
        <f>IF(B67="","",ROUND(V67/W67+IF(M67="",0,M67)/60*T67,2))</f>
        <v>0</v>
      </c>
      <c r="AA67" s="20">
        <f>IF(B67="","",ROUND(IF(K67="",0,K67)/W67,2))</f>
        <v>0</v>
      </c>
      <c r="AB67" s="20">
        <f>IF(B67="","",ROUND(IF(O67="",0,O67)*MAX(0,AL67+Z67-IF(M67="",0,M67)/60*T67),2))</f>
        <v>0</v>
      </c>
      <c r="AC67" s="33">
        <f>IF(B67="","",IF(V67=0,"",AB67/V67))</f>
        <v>0</v>
      </c>
      <c r="AD67" s="32">
        <f>IF(B67="","",IF(OR(AK67="",AK67-AA67-(AK67*AF67+AG67)-IF(M67="",0,M67)/60*T67&lt;=0),"Never at this price",ROUNDUP(V67/(AK67-AA67-(AK67*AF67+AG67)-IF(M67="",0,M67)/60*T67),0)))</f>
        <v>0</v>
      </c>
      <c r="AE67" s="20">
        <f>IF(B67="","",ROUND(X67+Z67+AA67,2))</f>
        <v>0</v>
      </c>
      <c r="AF67" s="33">
        <f>IF(B67="","",IFERROR(INDEX(Channels!$S$5:$S$18,MATCH(DefaultChannel,Channels!$A$5:$A$18,0)),0))</f>
        <v>0</v>
      </c>
      <c r="AG67" s="20">
        <f>IF(B67="","",IFERROR(INDEX(Channels!$T$5:$T$18,MATCH(DefaultChannel,Channels!$A$5:$A$18,0)),0))</f>
        <v>0</v>
      </c>
      <c r="AH67" s="41">
        <f>IF(B67="","",1-TargetRetailMargin-AF67)</f>
        <v>0</v>
      </c>
      <c r="AI67" s="20">
        <f>IF(B67="","",IF(AH67&lt;=0,"",(AE67+AG67)/AH67))</f>
        <v>0</v>
      </c>
      <c r="AJ67" s="20">
        <f>IF(B67="","",IF(AI67="","Check the settings",ROUND(IF(RoundingRule="None",AI67,IF(RoundingRule="Nearest 0.99",MAX(0.99,CEILING(AI67,1)-0.01),IF(RoundingRule="Nearest 0.95",MAX(0.95,CEILING(AI67,1)-0.05),IF(RoundingRule="Nearest 0.50",CEILING(AI67,0.5),IF(RoundingRule="Nearest 1",CEILING(AI67,1),IF(RoundingRule="Nearest 5",CEILING(AI67,5),IF(RoundingRule="Up to whole 1",CEILING(AI67,1),IF(RoundingRule="Up to whole 5",CEILING(AI67,5),ROUND(AI67,2))))))))),2)))</f>
        <v>0</v>
      </c>
      <c r="AK67" s="20">
        <f>IF(B67="","",IF(R67&lt;&gt;"",R67,IF(ISNUMBER(AJ67),AJ67,"")))</f>
        <v>0</v>
      </c>
      <c r="AL67" s="20">
        <f>IF(B67="","",IF(AK67="","",ROUND(AK67-AE67-(AK67*AF67+AG67),2)))</f>
        <v>0</v>
      </c>
      <c r="AM67" s="33">
        <f>IF(B67="","",IF(OR(AK67="",AK67=0),"",AL67/AK67))</f>
        <v>0</v>
      </c>
      <c r="AN67" s="41">
        <f>IF(B67="","",ROUND(Y67/60,3))</f>
        <v>0</v>
      </c>
      <c r="AO67" s="20">
        <f>IF(B67="","",IF(OR(AN67=0,AN67="",AL67=""),"",ROUND((AL67+Z67)/AN67,2)))</f>
        <v>0</v>
      </c>
      <c r="AP67" s="43">
        <f>IF(B67="","",IF(AND(A67&lt;&gt;"",ISERROR(MATCH(A67,Products!$A$5:$A$304,0))),"Check - no such product ID",IF(Z67=0,"Add - no material cost yet",IF(Y67=0,"Add - how long does it take?",IF(AND(A67&lt;&gt;"",COUNTIFS('Material Usage'!$A$5:$A$904,A67)&gt;0),"Check - this product also has a bill of materials",IF(AND(A67&lt;&gt;"",COUNTIFS(Labor!$A$5:$A$304,A67)&gt;0),"Check - this product also has labour lines",IF(AO67&lt;MinimumWage,"Below - pays under minimum wage","OK")))))) )</f>
        <v>0</v>
      </c>
    </row>
    <row r="68" spans="20:42">
      <c r="T68" s="20">
        <f>IF(B68="","",IF(Q68&lt;&gt;"",Q68,LaborCostHour))</f>
        <v>0</v>
      </c>
      <c r="U68" s="41">
        <f>IF(B68="","",IF(F68="",0,F68)+IF(G68="",0,G68)+IF(H68="",0,H68)+IF(I68="",0,I68)+IF(N68="",0,N68))</f>
        <v>0</v>
      </c>
      <c r="V68" s="20">
        <f>IF(B68="","",ROUND(U68*T68+IF(J68="",0,J68),2))</f>
        <v>0</v>
      </c>
      <c r="W68" s="32">
        <f>IF(B68="","",MAX(1,IF(L68="",1,L68)))</f>
        <v>0</v>
      </c>
      <c r="X68" s="20">
        <f>IF(B68="","",0)</f>
        <v>0</v>
      </c>
      <c r="Y68" s="36">
        <f>IF(B68="","",ROUND(U68*60/W68+IF(M68="",0,M68),1))</f>
        <v>0</v>
      </c>
      <c r="Z68" s="20">
        <f>IF(B68="","",ROUND(V68/W68+IF(M68="",0,M68)/60*T68,2))</f>
        <v>0</v>
      </c>
      <c r="AA68" s="20">
        <f>IF(B68="","",ROUND(IF(K68="",0,K68)/W68,2))</f>
        <v>0</v>
      </c>
      <c r="AB68" s="20">
        <f>IF(B68="","",ROUND(IF(O68="",0,O68)*MAX(0,AL68+Z68-IF(M68="",0,M68)/60*T68),2))</f>
        <v>0</v>
      </c>
      <c r="AC68" s="33">
        <f>IF(B68="","",IF(V68=0,"",AB68/V68))</f>
        <v>0</v>
      </c>
      <c r="AD68" s="32">
        <f>IF(B68="","",IF(OR(AK68="",AK68-AA68-(AK68*AF68+AG68)-IF(M68="",0,M68)/60*T68&lt;=0),"Never at this price",ROUNDUP(V68/(AK68-AA68-(AK68*AF68+AG68)-IF(M68="",0,M68)/60*T68),0)))</f>
        <v>0</v>
      </c>
      <c r="AE68" s="20">
        <f>IF(B68="","",ROUND(X68+Z68+AA68,2))</f>
        <v>0</v>
      </c>
      <c r="AF68" s="33">
        <f>IF(B68="","",IFERROR(INDEX(Channels!$S$5:$S$18,MATCH(DefaultChannel,Channels!$A$5:$A$18,0)),0))</f>
        <v>0</v>
      </c>
      <c r="AG68" s="20">
        <f>IF(B68="","",IFERROR(INDEX(Channels!$T$5:$T$18,MATCH(DefaultChannel,Channels!$A$5:$A$18,0)),0))</f>
        <v>0</v>
      </c>
      <c r="AH68" s="41">
        <f>IF(B68="","",1-TargetRetailMargin-AF68)</f>
        <v>0</v>
      </c>
      <c r="AI68" s="20">
        <f>IF(B68="","",IF(AH68&lt;=0,"",(AE68+AG68)/AH68))</f>
        <v>0</v>
      </c>
      <c r="AJ68" s="20">
        <f>IF(B68="","",IF(AI68="","Check the settings",ROUND(IF(RoundingRule="None",AI68,IF(RoundingRule="Nearest 0.99",MAX(0.99,CEILING(AI68,1)-0.01),IF(RoundingRule="Nearest 0.95",MAX(0.95,CEILING(AI68,1)-0.05),IF(RoundingRule="Nearest 0.50",CEILING(AI68,0.5),IF(RoundingRule="Nearest 1",CEILING(AI68,1),IF(RoundingRule="Nearest 5",CEILING(AI68,5),IF(RoundingRule="Up to whole 1",CEILING(AI68,1),IF(RoundingRule="Up to whole 5",CEILING(AI68,5),ROUND(AI68,2))))))))),2)))</f>
        <v>0</v>
      </c>
      <c r="AK68" s="20">
        <f>IF(B68="","",IF(R68&lt;&gt;"",R68,IF(ISNUMBER(AJ68),AJ68,"")))</f>
        <v>0</v>
      </c>
      <c r="AL68" s="20">
        <f>IF(B68="","",IF(AK68="","",ROUND(AK68-AE68-(AK68*AF68+AG68),2)))</f>
        <v>0</v>
      </c>
      <c r="AM68" s="33">
        <f>IF(B68="","",IF(OR(AK68="",AK68=0),"",AL68/AK68))</f>
        <v>0</v>
      </c>
      <c r="AN68" s="41">
        <f>IF(B68="","",ROUND(Y68/60,3))</f>
        <v>0</v>
      </c>
      <c r="AO68" s="20">
        <f>IF(B68="","",IF(OR(AN68=0,AN68="",AL68=""),"",ROUND((AL68+Z68)/AN68,2)))</f>
        <v>0</v>
      </c>
      <c r="AP68" s="43">
        <f>IF(B68="","",IF(AND(A68&lt;&gt;"",ISERROR(MATCH(A68,Products!$A$5:$A$304,0))),"Check - no such product ID",IF(Z68=0,"Add - no material cost yet",IF(Y68=0,"Add - how long does it take?",IF(AND(A68&lt;&gt;"",COUNTIFS('Material Usage'!$A$5:$A$904,A68)&gt;0),"Check - this product also has a bill of materials",IF(AND(A68&lt;&gt;"",COUNTIFS(Labor!$A$5:$A$304,A68)&gt;0),"Check - this product also has labour lines",IF(AO68&lt;MinimumWage,"Below - pays under minimum wage","OK")))))) )</f>
        <v>0</v>
      </c>
    </row>
    <row r="69" spans="20:42">
      <c r="T69" s="20">
        <f>IF(B69="","",IF(Q69&lt;&gt;"",Q69,LaborCostHour))</f>
        <v>0</v>
      </c>
      <c r="U69" s="41">
        <f>IF(B69="","",IF(F69="",0,F69)+IF(G69="",0,G69)+IF(H69="",0,H69)+IF(I69="",0,I69)+IF(N69="",0,N69))</f>
        <v>0</v>
      </c>
      <c r="V69" s="20">
        <f>IF(B69="","",ROUND(U69*T69+IF(J69="",0,J69),2))</f>
        <v>0</v>
      </c>
      <c r="W69" s="32">
        <f>IF(B69="","",MAX(1,IF(L69="",1,L69)))</f>
        <v>0</v>
      </c>
      <c r="X69" s="20">
        <f>IF(B69="","",0)</f>
        <v>0</v>
      </c>
      <c r="Y69" s="36">
        <f>IF(B69="","",ROUND(U69*60/W69+IF(M69="",0,M69),1))</f>
        <v>0</v>
      </c>
      <c r="Z69" s="20">
        <f>IF(B69="","",ROUND(V69/W69+IF(M69="",0,M69)/60*T69,2))</f>
        <v>0</v>
      </c>
      <c r="AA69" s="20">
        <f>IF(B69="","",ROUND(IF(K69="",0,K69)/W69,2))</f>
        <v>0</v>
      </c>
      <c r="AB69" s="20">
        <f>IF(B69="","",ROUND(IF(O69="",0,O69)*MAX(0,AL69+Z69-IF(M69="",0,M69)/60*T69),2))</f>
        <v>0</v>
      </c>
      <c r="AC69" s="33">
        <f>IF(B69="","",IF(V69=0,"",AB69/V69))</f>
        <v>0</v>
      </c>
      <c r="AD69" s="32">
        <f>IF(B69="","",IF(OR(AK69="",AK69-AA69-(AK69*AF69+AG69)-IF(M69="",0,M69)/60*T69&lt;=0),"Never at this price",ROUNDUP(V69/(AK69-AA69-(AK69*AF69+AG69)-IF(M69="",0,M69)/60*T69),0)))</f>
        <v>0</v>
      </c>
      <c r="AE69" s="20">
        <f>IF(B69="","",ROUND(X69+Z69+AA69,2))</f>
        <v>0</v>
      </c>
      <c r="AF69" s="33">
        <f>IF(B69="","",IFERROR(INDEX(Channels!$S$5:$S$18,MATCH(DefaultChannel,Channels!$A$5:$A$18,0)),0))</f>
        <v>0</v>
      </c>
      <c r="AG69" s="20">
        <f>IF(B69="","",IFERROR(INDEX(Channels!$T$5:$T$18,MATCH(DefaultChannel,Channels!$A$5:$A$18,0)),0))</f>
        <v>0</v>
      </c>
      <c r="AH69" s="41">
        <f>IF(B69="","",1-TargetRetailMargin-AF69)</f>
        <v>0</v>
      </c>
      <c r="AI69" s="20">
        <f>IF(B69="","",IF(AH69&lt;=0,"",(AE69+AG69)/AH69))</f>
        <v>0</v>
      </c>
      <c r="AJ69" s="20">
        <f>IF(B69="","",IF(AI69="","Check the settings",ROUND(IF(RoundingRule="None",AI69,IF(RoundingRule="Nearest 0.99",MAX(0.99,CEILING(AI69,1)-0.01),IF(RoundingRule="Nearest 0.95",MAX(0.95,CEILING(AI69,1)-0.05),IF(RoundingRule="Nearest 0.50",CEILING(AI69,0.5),IF(RoundingRule="Nearest 1",CEILING(AI69,1),IF(RoundingRule="Nearest 5",CEILING(AI69,5),IF(RoundingRule="Up to whole 1",CEILING(AI69,1),IF(RoundingRule="Up to whole 5",CEILING(AI69,5),ROUND(AI69,2))))))))),2)))</f>
        <v>0</v>
      </c>
      <c r="AK69" s="20">
        <f>IF(B69="","",IF(R69&lt;&gt;"",R69,IF(ISNUMBER(AJ69),AJ69,"")))</f>
        <v>0</v>
      </c>
      <c r="AL69" s="20">
        <f>IF(B69="","",IF(AK69="","",ROUND(AK69-AE69-(AK69*AF69+AG69),2)))</f>
        <v>0</v>
      </c>
      <c r="AM69" s="33">
        <f>IF(B69="","",IF(OR(AK69="",AK69=0),"",AL69/AK69))</f>
        <v>0</v>
      </c>
      <c r="AN69" s="41">
        <f>IF(B69="","",ROUND(Y69/60,3))</f>
        <v>0</v>
      </c>
      <c r="AO69" s="20">
        <f>IF(B69="","",IF(OR(AN69=0,AN69="",AL69=""),"",ROUND((AL69+Z69)/AN69,2)))</f>
        <v>0</v>
      </c>
      <c r="AP69" s="43">
        <f>IF(B69="","",IF(AND(A69&lt;&gt;"",ISERROR(MATCH(A69,Products!$A$5:$A$304,0))),"Check - no such product ID",IF(Z69=0,"Add - no material cost yet",IF(Y69=0,"Add - how long does it take?",IF(AND(A69&lt;&gt;"",COUNTIFS('Material Usage'!$A$5:$A$904,A69)&gt;0),"Check - this product also has a bill of materials",IF(AND(A69&lt;&gt;"",COUNTIFS(Labor!$A$5:$A$304,A69)&gt;0),"Check - this product also has labour lines",IF(AO69&lt;MinimumWage,"Below - pays under minimum wage","OK")))))) )</f>
        <v>0</v>
      </c>
    </row>
    <row r="70" spans="20:42">
      <c r="T70" s="20">
        <f>IF(B70="","",IF(Q70&lt;&gt;"",Q70,LaborCostHour))</f>
        <v>0</v>
      </c>
      <c r="U70" s="41">
        <f>IF(B70="","",IF(F70="",0,F70)+IF(G70="",0,G70)+IF(H70="",0,H70)+IF(I70="",0,I70)+IF(N70="",0,N70))</f>
        <v>0</v>
      </c>
      <c r="V70" s="20">
        <f>IF(B70="","",ROUND(U70*T70+IF(J70="",0,J70),2))</f>
        <v>0</v>
      </c>
      <c r="W70" s="32">
        <f>IF(B70="","",MAX(1,IF(L70="",1,L70)))</f>
        <v>0</v>
      </c>
      <c r="X70" s="20">
        <f>IF(B70="","",0)</f>
        <v>0</v>
      </c>
      <c r="Y70" s="36">
        <f>IF(B70="","",ROUND(U70*60/W70+IF(M70="",0,M70),1))</f>
        <v>0</v>
      </c>
      <c r="Z70" s="20">
        <f>IF(B70="","",ROUND(V70/W70+IF(M70="",0,M70)/60*T70,2))</f>
        <v>0</v>
      </c>
      <c r="AA70" s="20">
        <f>IF(B70="","",ROUND(IF(K70="",0,K70)/W70,2))</f>
        <v>0</v>
      </c>
      <c r="AB70" s="20">
        <f>IF(B70="","",ROUND(IF(O70="",0,O70)*MAX(0,AL70+Z70-IF(M70="",0,M70)/60*T70),2))</f>
        <v>0</v>
      </c>
      <c r="AC70" s="33">
        <f>IF(B70="","",IF(V70=0,"",AB70/V70))</f>
        <v>0</v>
      </c>
      <c r="AD70" s="32">
        <f>IF(B70="","",IF(OR(AK70="",AK70-AA70-(AK70*AF70+AG70)-IF(M70="",0,M70)/60*T70&lt;=0),"Never at this price",ROUNDUP(V70/(AK70-AA70-(AK70*AF70+AG70)-IF(M70="",0,M70)/60*T70),0)))</f>
        <v>0</v>
      </c>
      <c r="AE70" s="20">
        <f>IF(B70="","",ROUND(X70+Z70+AA70,2))</f>
        <v>0</v>
      </c>
      <c r="AF70" s="33">
        <f>IF(B70="","",IFERROR(INDEX(Channels!$S$5:$S$18,MATCH(DefaultChannel,Channels!$A$5:$A$18,0)),0))</f>
        <v>0</v>
      </c>
      <c r="AG70" s="20">
        <f>IF(B70="","",IFERROR(INDEX(Channels!$T$5:$T$18,MATCH(DefaultChannel,Channels!$A$5:$A$18,0)),0))</f>
        <v>0</v>
      </c>
      <c r="AH70" s="41">
        <f>IF(B70="","",1-TargetRetailMargin-AF70)</f>
        <v>0</v>
      </c>
      <c r="AI70" s="20">
        <f>IF(B70="","",IF(AH70&lt;=0,"",(AE70+AG70)/AH70))</f>
        <v>0</v>
      </c>
      <c r="AJ70" s="20">
        <f>IF(B70="","",IF(AI70="","Check the settings",ROUND(IF(RoundingRule="None",AI70,IF(RoundingRule="Nearest 0.99",MAX(0.99,CEILING(AI70,1)-0.01),IF(RoundingRule="Nearest 0.95",MAX(0.95,CEILING(AI70,1)-0.05),IF(RoundingRule="Nearest 0.50",CEILING(AI70,0.5),IF(RoundingRule="Nearest 1",CEILING(AI70,1),IF(RoundingRule="Nearest 5",CEILING(AI70,5),IF(RoundingRule="Up to whole 1",CEILING(AI70,1),IF(RoundingRule="Up to whole 5",CEILING(AI70,5),ROUND(AI70,2))))))))),2)))</f>
        <v>0</v>
      </c>
      <c r="AK70" s="20">
        <f>IF(B70="","",IF(R70&lt;&gt;"",R70,IF(ISNUMBER(AJ70),AJ70,"")))</f>
        <v>0</v>
      </c>
      <c r="AL70" s="20">
        <f>IF(B70="","",IF(AK70="","",ROUND(AK70-AE70-(AK70*AF70+AG70),2)))</f>
        <v>0</v>
      </c>
      <c r="AM70" s="33">
        <f>IF(B70="","",IF(OR(AK70="",AK70=0),"",AL70/AK70))</f>
        <v>0</v>
      </c>
      <c r="AN70" s="41">
        <f>IF(B70="","",ROUND(Y70/60,3))</f>
        <v>0</v>
      </c>
      <c r="AO70" s="20">
        <f>IF(B70="","",IF(OR(AN70=0,AN70="",AL70=""),"",ROUND((AL70+Z70)/AN70,2)))</f>
        <v>0</v>
      </c>
      <c r="AP70" s="43">
        <f>IF(B70="","",IF(AND(A70&lt;&gt;"",ISERROR(MATCH(A70,Products!$A$5:$A$304,0))),"Check - no such product ID",IF(Z70=0,"Add - no material cost yet",IF(Y70=0,"Add - how long does it take?",IF(AND(A70&lt;&gt;"",COUNTIFS('Material Usage'!$A$5:$A$904,A70)&gt;0),"Check - this product also has a bill of materials",IF(AND(A70&lt;&gt;"",COUNTIFS(Labor!$A$5:$A$304,A70)&gt;0),"Check - this product also has labour lines",IF(AO70&lt;MinimumWage,"Below - pays under minimum wage","OK")))))) )</f>
        <v>0</v>
      </c>
    </row>
    <row r="71" spans="20:42">
      <c r="T71" s="20">
        <f>IF(B71="","",IF(Q71&lt;&gt;"",Q71,LaborCostHour))</f>
        <v>0</v>
      </c>
      <c r="U71" s="41">
        <f>IF(B71="","",IF(F71="",0,F71)+IF(G71="",0,G71)+IF(H71="",0,H71)+IF(I71="",0,I71)+IF(N71="",0,N71))</f>
        <v>0</v>
      </c>
      <c r="V71" s="20">
        <f>IF(B71="","",ROUND(U71*T71+IF(J71="",0,J71),2))</f>
        <v>0</v>
      </c>
      <c r="W71" s="32">
        <f>IF(B71="","",MAX(1,IF(L71="",1,L71)))</f>
        <v>0</v>
      </c>
      <c r="X71" s="20">
        <f>IF(B71="","",0)</f>
        <v>0</v>
      </c>
      <c r="Y71" s="36">
        <f>IF(B71="","",ROUND(U71*60/W71+IF(M71="",0,M71),1))</f>
        <v>0</v>
      </c>
      <c r="Z71" s="20">
        <f>IF(B71="","",ROUND(V71/W71+IF(M71="",0,M71)/60*T71,2))</f>
        <v>0</v>
      </c>
      <c r="AA71" s="20">
        <f>IF(B71="","",ROUND(IF(K71="",0,K71)/W71,2))</f>
        <v>0</v>
      </c>
      <c r="AB71" s="20">
        <f>IF(B71="","",ROUND(IF(O71="",0,O71)*MAX(0,AL71+Z71-IF(M71="",0,M71)/60*T71),2))</f>
        <v>0</v>
      </c>
      <c r="AC71" s="33">
        <f>IF(B71="","",IF(V71=0,"",AB71/V71))</f>
        <v>0</v>
      </c>
      <c r="AD71" s="32">
        <f>IF(B71="","",IF(OR(AK71="",AK71-AA71-(AK71*AF71+AG71)-IF(M71="",0,M71)/60*T71&lt;=0),"Never at this price",ROUNDUP(V71/(AK71-AA71-(AK71*AF71+AG71)-IF(M71="",0,M71)/60*T71),0)))</f>
        <v>0</v>
      </c>
      <c r="AE71" s="20">
        <f>IF(B71="","",ROUND(X71+Z71+AA71,2))</f>
        <v>0</v>
      </c>
      <c r="AF71" s="33">
        <f>IF(B71="","",IFERROR(INDEX(Channels!$S$5:$S$18,MATCH(DefaultChannel,Channels!$A$5:$A$18,0)),0))</f>
        <v>0</v>
      </c>
      <c r="AG71" s="20">
        <f>IF(B71="","",IFERROR(INDEX(Channels!$T$5:$T$18,MATCH(DefaultChannel,Channels!$A$5:$A$18,0)),0))</f>
        <v>0</v>
      </c>
      <c r="AH71" s="41">
        <f>IF(B71="","",1-TargetRetailMargin-AF71)</f>
        <v>0</v>
      </c>
      <c r="AI71" s="20">
        <f>IF(B71="","",IF(AH71&lt;=0,"",(AE71+AG71)/AH71))</f>
        <v>0</v>
      </c>
      <c r="AJ71" s="20">
        <f>IF(B71="","",IF(AI71="","Check the settings",ROUND(IF(RoundingRule="None",AI71,IF(RoundingRule="Nearest 0.99",MAX(0.99,CEILING(AI71,1)-0.01),IF(RoundingRule="Nearest 0.95",MAX(0.95,CEILING(AI71,1)-0.05),IF(RoundingRule="Nearest 0.50",CEILING(AI71,0.5),IF(RoundingRule="Nearest 1",CEILING(AI71,1),IF(RoundingRule="Nearest 5",CEILING(AI71,5),IF(RoundingRule="Up to whole 1",CEILING(AI71,1),IF(RoundingRule="Up to whole 5",CEILING(AI71,5),ROUND(AI71,2))))))))),2)))</f>
        <v>0</v>
      </c>
      <c r="AK71" s="20">
        <f>IF(B71="","",IF(R71&lt;&gt;"",R71,IF(ISNUMBER(AJ71),AJ71,"")))</f>
        <v>0</v>
      </c>
      <c r="AL71" s="20">
        <f>IF(B71="","",IF(AK71="","",ROUND(AK71-AE71-(AK71*AF71+AG71),2)))</f>
        <v>0</v>
      </c>
      <c r="AM71" s="33">
        <f>IF(B71="","",IF(OR(AK71="",AK71=0),"",AL71/AK71))</f>
        <v>0</v>
      </c>
      <c r="AN71" s="41">
        <f>IF(B71="","",ROUND(Y71/60,3))</f>
        <v>0</v>
      </c>
      <c r="AO71" s="20">
        <f>IF(B71="","",IF(OR(AN71=0,AN71="",AL71=""),"",ROUND((AL71+Z71)/AN71,2)))</f>
        <v>0</v>
      </c>
      <c r="AP71" s="43">
        <f>IF(B71="","",IF(AND(A71&lt;&gt;"",ISERROR(MATCH(A71,Products!$A$5:$A$304,0))),"Check - no such product ID",IF(Z71=0,"Add - no material cost yet",IF(Y71=0,"Add - how long does it take?",IF(AND(A71&lt;&gt;"",COUNTIFS('Material Usage'!$A$5:$A$904,A71)&gt;0),"Check - this product also has a bill of materials",IF(AND(A71&lt;&gt;"",COUNTIFS(Labor!$A$5:$A$304,A71)&gt;0),"Check - this product also has labour lines",IF(AO71&lt;MinimumWage,"Below - pays under minimum wage","OK")))))) )</f>
        <v>0</v>
      </c>
    </row>
    <row r="72" spans="20:42">
      <c r="T72" s="20">
        <f>IF(B72="","",IF(Q72&lt;&gt;"",Q72,LaborCostHour))</f>
        <v>0</v>
      </c>
      <c r="U72" s="41">
        <f>IF(B72="","",IF(F72="",0,F72)+IF(G72="",0,G72)+IF(H72="",0,H72)+IF(I72="",0,I72)+IF(N72="",0,N72))</f>
        <v>0</v>
      </c>
      <c r="V72" s="20">
        <f>IF(B72="","",ROUND(U72*T72+IF(J72="",0,J72),2))</f>
        <v>0</v>
      </c>
      <c r="W72" s="32">
        <f>IF(B72="","",MAX(1,IF(L72="",1,L72)))</f>
        <v>0</v>
      </c>
      <c r="X72" s="20">
        <f>IF(B72="","",0)</f>
        <v>0</v>
      </c>
      <c r="Y72" s="36">
        <f>IF(B72="","",ROUND(U72*60/W72+IF(M72="",0,M72),1))</f>
        <v>0</v>
      </c>
      <c r="Z72" s="20">
        <f>IF(B72="","",ROUND(V72/W72+IF(M72="",0,M72)/60*T72,2))</f>
        <v>0</v>
      </c>
      <c r="AA72" s="20">
        <f>IF(B72="","",ROUND(IF(K72="",0,K72)/W72,2))</f>
        <v>0</v>
      </c>
      <c r="AB72" s="20">
        <f>IF(B72="","",ROUND(IF(O72="",0,O72)*MAX(0,AL72+Z72-IF(M72="",0,M72)/60*T72),2))</f>
        <v>0</v>
      </c>
      <c r="AC72" s="33">
        <f>IF(B72="","",IF(V72=0,"",AB72/V72))</f>
        <v>0</v>
      </c>
      <c r="AD72" s="32">
        <f>IF(B72="","",IF(OR(AK72="",AK72-AA72-(AK72*AF72+AG72)-IF(M72="",0,M72)/60*T72&lt;=0),"Never at this price",ROUNDUP(V72/(AK72-AA72-(AK72*AF72+AG72)-IF(M72="",0,M72)/60*T72),0)))</f>
        <v>0</v>
      </c>
      <c r="AE72" s="20">
        <f>IF(B72="","",ROUND(X72+Z72+AA72,2))</f>
        <v>0</v>
      </c>
      <c r="AF72" s="33">
        <f>IF(B72="","",IFERROR(INDEX(Channels!$S$5:$S$18,MATCH(DefaultChannel,Channels!$A$5:$A$18,0)),0))</f>
        <v>0</v>
      </c>
      <c r="AG72" s="20">
        <f>IF(B72="","",IFERROR(INDEX(Channels!$T$5:$T$18,MATCH(DefaultChannel,Channels!$A$5:$A$18,0)),0))</f>
        <v>0</v>
      </c>
      <c r="AH72" s="41">
        <f>IF(B72="","",1-TargetRetailMargin-AF72)</f>
        <v>0</v>
      </c>
      <c r="AI72" s="20">
        <f>IF(B72="","",IF(AH72&lt;=0,"",(AE72+AG72)/AH72))</f>
        <v>0</v>
      </c>
      <c r="AJ72" s="20">
        <f>IF(B72="","",IF(AI72="","Check the settings",ROUND(IF(RoundingRule="None",AI72,IF(RoundingRule="Nearest 0.99",MAX(0.99,CEILING(AI72,1)-0.01),IF(RoundingRule="Nearest 0.95",MAX(0.95,CEILING(AI72,1)-0.05),IF(RoundingRule="Nearest 0.50",CEILING(AI72,0.5),IF(RoundingRule="Nearest 1",CEILING(AI72,1),IF(RoundingRule="Nearest 5",CEILING(AI72,5),IF(RoundingRule="Up to whole 1",CEILING(AI72,1),IF(RoundingRule="Up to whole 5",CEILING(AI72,5),ROUND(AI72,2))))))))),2)))</f>
        <v>0</v>
      </c>
      <c r="AK72" s="20">
        <f>IF(B72="","",IF(R72&lt;&gt;"",R72,IF(ISNUMBER(AJ72),AJ72,"")))</f>
        <v>0</v>
      </c>
      <c r="AL72" s="20">
        <f>IF(B72="","",IF(AK72="","",ROUND(AK72-AE72-(AK72*AF72+AG72),2)))</f>
        <v>0</v>
      </c>
      <c r="AM72" s="33">
        <f>IF(B72="","",IF(OR(AK72="",AK72=0),"",AL72/AK72))</f>
        <v>0</v>
      </c>
      <c r="AN72" s="41">
        <f>IF(B72="","",ROUND(Y72/60,3))</f>
        <v>0</v>
      </c>
      <c r="AO72" s="20">
        <f>IF(B72="","",IF(OR(AN72=0,AN72="",AL72=""),"",ROUND((AL72+Z72)/AN72,2)))</f>
        <v>0</v>
      </c>
      <c r="AP72" s="43">
        <f>IF(B72="","",IF(AND(A72&lt;&gt;"",ISERROR(MATCH(A72,Products!$A$5:$A$304,0))),"Check - no such product ID",IF(Z72=0,"Add - no material cost yet",IF(Y72=0,"Add - how long does it take?",IF(AND(A72&lt;&gt;"",COUNTIFS('Material Usage'!$A$5:$A$904,A72)&gt;0),"Check - this product also has a bill of materials",IF(AND(A72&lt;&gt;"",COUNTIFS(Labor!$A$5:$A$304,A72)&gt;0),"Check - this product also has labour lines",IF(AO72&lt;MinimumWage,"Below - pays under minimum wage","OK")))))) )</f>
        <v>0</v>
      </c>
    </row>
    <row r="73" spans="20:42">
      <c r="T73" s="20">
        <f>IF(B73="","",IF(Q73&lt;&gt;"",Q73,LaborCostHour))</f>
        <v>0</v>
      </c>
      <c r="U73" s="41">
        <f>IF(B73="","",IF(F73="",0,F73)+IF(G73="",0,G73)+IF(H73="",0,H73)+IF(I73="",0,I73)+IF(N73="",0,N73))</f>
        <v>0</v>
      </c>
      <c r="V73" s="20">
        <f>IF(B73="","",ROUND(U73*T73+IF(J73="",0,J73),2))</f>
        <v>0</v>
      </c>
      <c r="W73" s="32">
        <f>IF(B73="","",MAX(1,IF(L73="",1,L73)))</f>
        <v>0</v>
      </c>
      <c r="X73" s="20">
        <f>IF(B73="","",0)</f>
        <v>0</v>
      </c>
      <c r="Y73" s="36">
        <f>IF(B73="","",ROUND(U73*60/W73+IF(M73="",0,M73),1))</f>
        <v>0</v>
      </c>
      <c r="Z73" s="20">
        <f>IF(B73="","",ROUND(V73/W73+IF(M73="",0,M73)/60*T73,2))</f>
        <v>0</v>
      </c>
      <c r="AA73" s="20">
        <f>IF(B73="","",ROUND(IF(K73="",0,K73)/W73,2))</f>
        <v>0</v>
      </c>
      <c r="AB73" s="20">
        <f>IF(B73="","",ROUND(IF(O73="",0,O73)*MAX(0,AL73+Z73-IF(M73="",0,M73)/60*T73),2))</f>
        <v>0</v>
      </c>
      <c r="AC73" s="33">
        <f>IF(B73="","",IF(V73=0,"",AB73/V73))</f>
        <v>0</v>
      </c>
      <c r="AD73" s="32">
        <f>IF(B73="","",IF(OR(AK73="",AK73-AA73-(AK73*AF73+AG73)-IF(M73="",0,M73)/60*T73&lt;=0),"Never at this price",ROUNDUP(V73/(AK73-AA73-(AK73*AF73+AG73)-IF(M73="",0,M73)/60*T73),0)))</f>
        <v>0</v>
      </c>
      <c r="AE73" s="20">
        <f>IF(B73="","",ROUND(X73+Z73+AA73,2))</f>
        <v>0</v>
      </c>
      <c r="AF73" s="33">
        <f>IF(B73="","",IFERROR(INDEX(Channels!$S$5:$S$18,MATCH(DefaultChannel,Channels!$A$5:$A$18,0)),0))</f>
        <v>0</v>
      </c>
      <c r="AG73" s="20">
        <f>IF(B73="","",IFERROR(INDEX(Channels!$T$5:$T$18,MATCH(DefaultChannel,Channels!$A$5:$A$18,0)),0))</f>
        <v>0</v>
      </c>
      <c r="AH73" s="41">
        <f>IF(B73="","",1-TargetRetailMargin-AF73)</f>
        <v>0</v>
      </c>
      <c r="AI73" s="20">
        <f>IF(B73="","",IF(AH73&lt;=0,"",(AE73+AG73)/AH73))</f>
        <v>0</v>
      </c>
      <c r="AJ73" s="20">
        <f>IF(B73="","",IF(AI73="","Check the settings",ROUND(IF(RoundingRule="None",AI73,IF(RoundingRule="Nearest 0.99",MAX(0.99,CEILING(AI73,1)-0.01),IF(RoundingRule="Nearest 0.95",MAX(0.95,CEILING(AI73,1)-0.05),IF(RoundingRule="Nearest 0.50",CEILING(AI73,0.5),IF(RoundingRule="Nearest 1",CEILING(AI73,1),IF(RoundingRule="Nearest 5",CEILING(AI73,5),IF(RoundingRule="Up to whole 1",CEILING(AI73,1),IF(RoundingRule="Up to whole 5",CEILING(AI73,5),ROUND(AI73,2))))))))),2)))</f>
        <v>0</v>
      </c>
      <c r="AK73" s="20">
        <f>IF(B73="","",IF(R73&lt;&gt;"",R73,IF(ISNUMBER(AJ73),AJ73,"")))</f>
        <v>0</v>
      </c>
      <c r="AL73" s="20">
        <f>IF(B73="","",IF(AK73="","",ROUND(AK73-AE73-(AK73*AF73+AG73),2)))</f>
        <v>0</v>
      </c>
      <c r="AM73" s="33">
        <f>IF(B73="","",IF(OR(AK73="",AK73=0),"",AL73/AK73))</f>
        <v>0</v>
      </c>
      <c r="AN73" s="41">
        <f>IF(B73="","",ROUND(Y73/60,3))</f>
        <v>0</v>
      </c>
      <c r="AO73" s="20">
        <f>IF(B73="","",IF(OR(AN73=0,AN73="",AL73=""),"",ROUND((AL73+Z73)/AN73,2)))</f>
        <v>0</v>
      </c>
      <c r="AP73" s="43">
        <f>IF(B73="","",IF(AND(A73&lt;&gt;"",ISERROR(MATCH(A73,Products!$A$5:$A$304,0))),"Check - no such product ID",IF(Z73=0,"Add - no material cost yet",IF(Y73=0,"Add - how long does it take?",IF(AND(A73&lt;&gt;"",COUNTIFS('Material Usage'!$A$5:$A$904,A73)&gt;0),"Check - this product also has a bill of materials",IF(AND(A73&lt;&gt;"",COUNTIFS(Labor!$A$5:$A$304,A73)&gt;0),"Check - this product also has labour lines",IF(AO73&lt;MinimumWage,"Below - pays under minimum wage","OK")))))) )</f>
        <v>0</v>
      </c>
    </row>
    <row r="74" spans="20:42">
      <c r="T74" s="20">
        <f>IF(B74="","",IF(Q74&lt;&gt;"",Q74,LaborCostHour))</f>
        <v>0</v>
      </c>
      <c r="U74" s="41">
        <f>IF(B74="","",IF(F74="",0,F74)+IF(G74="",0,G74)+IF(H74="",0,H74)+IF(I74="",0,I74)+IF(N74="",0,N74))</f>
        <v>0</v>
      </c>
      <c r="V74" s="20">
        <f>IF(B74="","",ROUND(U74*T74+IF(J74="",0,J74),2))</f>
        <v>0</v>
      </c>
      <c r="W74" s="32">
        <f>IF(B74="","",MAX(1,IF(L74="",1,L74)))</f>
        <v>0</v>
      </c>
      <c r="X74" s="20">
        <f>IF(B74="","",0)</f>
        <v>0</v>
      </c>
      <c r="Y74" s="36">
        <f>IF(B74="","",ROUND(U74*60/W74+IF(M74="",0,M74),1))</f>
        <v>0</v>
      </c>
      <c r="Z74" s="20">
        <f>IF(B74="","",ROUND(V74/W74+IF(M74="",0,M74)/60*T74,2))</f>
        <v>0</v>
      </c>
      <c r="AA74" s="20">
        <f>IF(B74="","",ROUND(IF(K74="",0,K74)/W74,2))</f>
        <v>0</v>
      </c>
      <c r="AB74" s="20">
        <f>IF(B74="","",ROUND(IF(O74="",0,O74)*MAX(0,AL74+Z74-IF(M74="",0,M74)/60*T74),2))</f>
        <v>0</v>
      </c>
      <c r="AC74" s="33">
        <f>IF(B74="","",IF(V74=0,"",AB74/V74))</f>
        <v>0</v>
      </c>
      <c r="AD74" s="32">
        <f>IF(B74="","",IF(OR(AK74="",AK74-AA74-(AK74*AF74+AG74)-IF(M74="",0,M74)/60*T74&lt;=0),"Never at this price",ROUNDUP(V74/(AK74-AA74-(AK74*AF74+AG74)-IF(M74="",0,M74)/60*T74),0)))</f>
        <v>0</v>
      </c>
      <c r="AE74" s="20">
        <f>IF(B74="","",ROUND(X74+Z74+AA74,2))</f>
        <v>0</v>
      </c>
      <c r="AF74" s="33">
        <f>IF(B74="","",IFERROR(INDEX(Channels!$S$5:$S$18,MATCH(DefaultChannel,Channels!$A$5:$A$18,0)),0))</f>
        <v>0</v>
      </c>
      <c r="AG74" s="20">
        <f>IF(B74="","",IFERROR(INDEX(Channels!$T$5:$T$18,MATCH(DefaultChannel,Channels!$A$5:$A$18,0)),0))</f>
        <v>0</v>
      </c>
      <c r="AH74" s="41">
        <f>IF(B74="","",1-TargetRetailMargin-AF74)</f>
        <v>0</v>
      </c>
      <c r="AI74" s="20">
        <f>IF(B74="","",IF(AH74&lt;=0,"",(AE74+AG74)/AH74))</f>
        <v>0</v>
      </c>
      <c r="AJ74" s="20">
        <f>IF(B74="","",IF(AI74="","Check the settings",ROUND(IF(RoundingRule="None",AI74,IF(RoundingRule="Nearest 0.99",MAX(0.99,CEILING(AI74,1)-0.01),IF(RoundingRule="Nearest 0.95",MAX(0.95,CEILING(AI74,1)-0.05),IF(RoundingRule="Nearest 0.50",CEILING(AI74,0.5),IF(RoundingRule="Nearest 1",CEILING(AI74,1),IF(RoundingRule="Nearest 5",CEILING(AI74,5),IF(RoundingRule="Up to whole 1",CEILING(AI74,1),IF(RoundingRule="Up to whole 5",CEILING(AI74,5),ROUND(AI74,2))))))))),2)))</f>
        <v>0</v>
      </c>
      <c r="AK74" s="20">
        <f>IF(B74="","",IF(R74&lt;&gt;"",R74,IF(ISNUMBER(AJ74),AJ74,"")))</f>
        <v>0</v>
      </c>
      <c r="AL74" s="20">
        <f>IF(B74="","",IF(AK74="","",ROUND(AK74-AE74-(AK74*AF74+AG74),2)))</f>
        <v>0</v>
      </c>
      <c r="AM74" s="33">
        <f>IF(B74="","",IF(OR(AK74="",AK74=0),"",AL74/AK74))</f>
        <v>0</v>
      </c>
      <c r="AN74" s="41">
        <f>IF(B74="","",ROUND(Y74/60,3))</f>
        <v>0</v>
      </c>
      <c r="AO74" s="20">
        <f>IF(B74="","",IF(OR(AN74=0,AN74="",AL74=""),"",ROUND((AL74+Z74)/AN74,2)))</f>
        <v>0</v>
      </c>
      <c r="AP74" s="43">
        <f>IF(B74="","",IF(AND(A74&lt;&gt;"",ISERROR(MATCH(A74,Products!$A$5:$A$304,0))),"Check - no such product ID",IF(Z74=0,"Add - no material cost yet",IF(Y74=0,"Add - how long does it take?",IF(AND(A74&lt;&gt;"",COUNTIFS('Material Usage'!$A$5:$A$904,A74)&gt;0),"Check - this product also has a bill of materials",IF(AND(A74&lt;&gt;"",COUNTIFS(Labor!$A$5:$A$304,A74)&gt;0),"Check - this product also has labour lines",IF(AO74&lt;MinimumWage,"Below - pays under minimum wage","OK")))))) )</f>
        <v>0</v>
      </c>
    </row>
    <row r="75" spans="20:42">
      <c r="T75" s="20">
        <f>IF(B75="","",IF(Q75&lt;&gt;"",Q75,LaborCostHour))</f>
        <v>0</v>
      </c>
      <c r="U75" s="41">
        <f>IF(B75="","",IF(F75="",0,F75)+IF(G75="",0,G75)+IF(H75="",0,H75)+IF(I75="",0,I75)+IF(N75="",0,N75))</f>
        <v>0</v>
      </c>
      <c r="V75" s="20">
        <f>IF(B75="","",ROUND(U75*T75+IF(J75="",0,J75),2))</f>
        <v>0</v>
      </c>
      <c r="W75" s="32">
        <f>IF(B75="","",MAX(1,IF(L75="",1,L75)))</f>
        <v>0</v>
      </c>
      <c r="X75" s="20">
        <f>IF(B75="","",0)</f>
        <v>0</v>
      </c>
      <c r="Y75" s="36">
        <f>IF(B75="","",ROUND(U75*60/W75+IF(M75="",0,M75),1))</f>
        <v>0</v>
      </c>
      <c r="Z75" s="20">
        <f>IF(B75="","",ROUND(V75/W75+IF(M75="",0,M75)/60*T75,2))</f>
        <v>0</v>
      </c>
      <c r="AA75" s="20">
        <f>IF(B75="","",ROUND(IF(K75="",0,K75)/W75,2))</f>
        <v>0</v>
      </c>
      <c r="AB75" s="20">
        <f>IF(B75="","",ROUND(IF(O75="",0,O75)*MAX(0,AL75+Z75-IF(M75="",0,M75)/60*T75),2))</f>
        <v>0</v>
      </c>
      <c r="AC75" s="33">
        <f>IF(B75="","",IF(V75=0,"",AB75/V75))</f>
        <v>0</v>
      </c>
      <c r="AD75" s="32">
        <f>IF(B75="","",IF(OR(AK75="",AK75-AA75-(AK75*AF75+AG75)-IF(M75="",0,M75)/60*T75&lt;=0),"Never at this price",ROUNDUP(V75/(AK75-AA75-(AK75*AF75+AG75)-IF(M75="",0,M75)/60*T75),0)))</f>
        <v>0</v>
      </c>
      <c r="AE75" s="20">
        <f>IF(B75="","",ROUND(X75+Z75+AA75,2))</f>
        <v>0</v>
      </c>
      <c r="AF75" s="33">
        <f>IF(B75="","",IFERROR(INDEX(Channels!$S$5:$S$18,MATCH(DefaultChannel,Channels!$A$5:$A$18,0)),0))</f>
        <v>0</v>
      </c>
      <c r="AG75" s="20">
        <f>IF(B75="","",IFERROR(INDEX(Channels!$T$5:$T$18,MATCH(DefaultChannel,Channels!$A$5:$A$18,0)),0))</f>
        <v>0</v>
      </c>
      <c r="AH75" s="41">
        <f>IF(B75="","",1-TargetRetailMargin-AF75)</f>
        <v>0</v>
      </c>
      <c r="AI75" s="20">
        <f>IF(B75="","",IF(AH75&lt;=0,"",(AE75+AG75)/AH75))</f>
        <v>0</v>
      </c>
      <c r="AJ75" s="20">
        <f>IF(B75="","",IF(AI75="","Check the settings",ROUND(IF(RoundingRule="None",AI75,IF(RoundingRule="Nearest 0.99",MAX(0.99,CEILING(AI75,1)-0.01),IF(RoundingRule="Nearest 0.95",MAX(0.95,CEILING(AI75,1)-0.05),IF(RoundingRule="Nearest 0.50",CEILING(AI75,0.5),IF(RoundingRule="Nearest 1",CEILING(AI75,1),IF(RoundingRule="Nearest 5",CEILING(AI75,5),IF(RoundingRule="Up to whole 1",CEILING(AI75,1),IF(RoundingRule="Up to whole 5",CEILING(AI75,5),ROUND(AI75,2))))))))),2)))</f>
        <v>0</v>
      </c>
      <c r="AK75" s="20">
        <f>IF(B75="","",IF(R75&lt;&gt;"",R75,IF(ISNUMBER(AJ75),AJ75,"")))</f>
        <v>0</v>
      </c>
      <c r="AL75" s="20">
        <f>IF(B75="","",IF(AK75="","",ROUND(AK75-AE75-(AK75*AF75+AG75),2)))</f>
        <v>0</v>
      </c>
      <c r="AM75" s="33">
        <f>IF(B75="","",IF(OR(AK75="",AK75=0),"",AL75/AK75))</f>
        <v>0</v>
      </c>
      <c r="AN75" s="41">
        <f>IF(B75="","",ROUND(Y75/60,3))</f>
        <v>0</v>
      </c>
      <c r="AO75" s="20">
        <f>IF(B75="","",IF(OR(AN75=0,AN75="",AL75=""),"",ROUND((AL75+Z75)/AN75,2)))</f>
        <v>0</v>
      </c>
      <c r="AP75" s="43">
        <f>IF(B75="","",IF(AND(A75&lt;&gt;"",ISERROR(MATCH(A75,Products!$A$5:$A$304,0))),"Check - no such product ID",IF(Z75=0,"Add - no material cost yet",IF(Y75=0,"Add - how long does it take?",IF(AND(A75&lt;&gt;"",COUNTIFS('Material Usage'!$A$5:$A$904,A75)&gt;0),"Check - this product also has a bill of materials",IF(AND(A75&lt;&gt;"",COUNTIFS(Labor!$A$5:$A$304,A75)&gt;0),"Check - this product also has labour lines",IF(AO75&lt;MinimumWage,"Below - pays under minimum wage","OK")))))) )</f>
        <v>0</v>
      </c>
    </row>
    <row r="76" spans="20:42">
      <c r="T76" s="20">
        <f>IF(B76="","",IF(Q76&lt;&gt;"",Q76,LaborCostHour))</f>
        <v>0</v>
      </c>
      <c r="U76" s="41">
        <f>IF(B76="","",IF(F76="",0,F76)+IF(G76="",0,G76)+IF(H76="",0,H76)+IF(I76="",0,I76)+IF(N76="",0,N76))</f>
        <v>0</v>
      </c>
      <c r="V76" s="20">
        <f>IF(B76="","",ROUND(U76*T76+IF(J76="",0,J76),2))</f>
        <v>0</v>
      </c>
      <c r="W76" s="32">
        <f>IF(B76="","",MAX(1,IF(L76="",1,L76)))</f>
        <v>0</v>
      </c>
      <c r="X76" s="20">
        <f>IF(B76="","",0)</f>
        <v>0</v>
      </c>
      <c r="Y76" s="36">
        <f>IF(B76="","",ROUND(U76*60/W76+IF(M76="",0,M76),1))</f>
        <v>0</v>
      </c>
      <c r="Z76" s="20">
        <f>IF(B76="","",ROUND(V76/W76+IF(M76="",0,M76)/60*T76,2))</f>
        <v>0</v>
      </c>
      <c r="AA76" s="20">
        <f>IF(B76="","",ROUND(IF(K76="",0,K76)/W76,2))</f>
        <v>0</v>
      </c>
      <c r="AB76" s="20">
        <f>IF(B76="","",ROUND(IF(O76="",0,O76)*MAX(0,AL76+Z76-IF(M76="",0,M76)/60*T76),2))</f>
        <v>0</v>
      </c>
      <c r="AC76" s="33">
        <f>IF(B76="","",IF(V76=0,"",AB76/V76))</f>
        <v>0</v>
      </c>
      <c r="AD76" s="32">
        <f>IF(B76="","",IF(OR(AK76="",AK76-AA76-(AK76*AF76+AG76)-IF(M76="",0,M76)/60*T76&lt;=0),"Never at this price",ROUNDUP(V76/(AK76-AA76-(AK76*AF76+AG76)-IF(M76="",0,M76)/60*T76),0)))</f>
        <v>0</v>
      </c>
      <c r="AE76" s="20">
        <f>IF(B76="","",ROUND(X76+Z76+AA76,2))</f>
        <v>0</v>
      </c>
      <c r="AF76" s="33">
        <f>IF(B76="","",IFERROR(INDEX(Channels!$S$5:$S$18,MATCH(DefaultChannel,Channels!$A$5:$A$18,0)),0))</f>
        <v>0</v>
      </c>
      <c r="AG76" s="20">
        <f>IF(B76="","",IFERROR(INDEX(Channels!$T$5:$T$18,MATCH(DefaultChannel,Channels!$A$5:$A$18,0)),0))</f>
        <v>0</v>
      </c>
      <c r="AH76" s="41">
        <f>IF(B76="","",1-TargetRetailMargin-AF76)</f>
        <v>0</v>
      </c>
      <c r="AI76" s="20">
        <f>IF(B76="","",IF(AH76&lt;=0,"",(AE76+AG76)/AH76))</f>
        <v>0</v>
      </c>
      <c r="AJ76" s="20">
        <f>IF(B76="","",IF(AI76="","Check the settings",ROUND(IF(RoundingRule="None",AI76,IF(RoundingRule="Nearest 0.99",MAX(0.99,CEILING(AI76,1)-0.01),IF(RoundingRule="Nearest 0.95",MAX(0.95,CEILING(AI76,1)-0.05),IF(RoundingRule="Nearest 0.50",CEILING(AI76,0.5),IF(RoundingRule="Nearest 1",CEILING(AI76,1),IF(RoundingRule="Nearest 5",CEILING(AI76,5),IF(RoundingRule="Up to whole 1",CEILING(AI76,1),IF(RoundingRule="Up to whole 5",CEILING(AI76,5),ROUND(AI76,2))))))))),2)))</f>
        <v>0</v>
      </c>
      <c r="AK76" s="20">
        <f>IF(B76="","",IF(R76&lt;&gt;"",R76,IF(ISNUMBER(AJ76),AJ76,"")))</f>
        <v>0</v>
      </c>
      <c r="AL76" s="20">
        <f>IF(B76="","",IF(AK76="","",ROUND(AK76-AE76-(AK76*AF76+AG76),2)))</f>
        <v>0</v>
      </c>
      <c r="AM76" s="33">
        <f>IF(B76="","",IF(OR(AK76="",AK76=0),"",AL76/AK76))</f>
        <v>0</v>
      </c>
      <c r="AN76" s="41">
        <f>IF(B76="","",ROUND(Y76/60,3))</f>
        <v>0</v>
      </c>
      <c r="AO76" s="20">
        <f>IF(B76="","",IF(OR(AN76=0,AN76="",AL76=""),"",ROUND((AL76+Z76)/AN76,2)))</f>
        <v>0</v>
      </c>
      <c r="AP76" s="43">
        <f>IF(B76="","",IF(AND(A76&lt;&gt;"",ISERROR(MATCH(A76,Products!$A$5:$A$304,0))),"Check - no such product ID",IF(Z76=0,"Add - no material cost yet",IF(Y76=0,"Add - how long does it take?",IF(AND(A76&lt;&gt;"",COUNTIFS('Material Usage'!$A$5:$A$904,A76)&gt;0),"Check - this product also has a bill of materials",IF(AND(A76&lt;&gt;"",COUNTIFS(Labor!$A$5:$A$304,A76)&gt;0),"Check - this product also has labour lines",IF(AO76&lt;MinimumWage,"Below - pays under minimum wage","OK")))))) )</f>
        <v>0</v>
      </c>
    </row>
    <row r="77" spans="20:42">
      <c r="T77" s="20">
        <f>IF(B77="","",IF(Q77&lt;&gt;"",Q77,LaborCostHour))</f>
        <v>0</v>
      </c>
      <c r="U77" s="41">
        <f>IF(B77="","",IF(F77="",0,F77)+IF(G77="",0,G77)+IF(H77="",0,H77)+IF(I77="",0,I77)+IF(N77="",0,N77))</f>
        <v>0</v>
      </c>
      <c r="V77" s="20">
        <f>IF(B77="","",ROUND(U77*T77+IF(J77="",0,J77),2))</f>
        <v>0</v>
      </c>
      <c r="W77" s="32">
        <f>IF(B77="","",MAX(1,IF(L77="",1,L77)))</f>
        <v>0</v>
      </c>
      <c r="X77" s="20">
        <f>IF(B77="","",0)</f>
        <v>0</v>
      </c>
      <c r="Y77" s="36">
        <f>IF(B77="","",ROUND(U77*60/W77+IF(M77="",0,M77),1))</f>
        <v>0</v>
      </c>
      <c r="Z77" s="20">
        <f>IF(B77="","",ROUND(V77/W77+IF(M77="",0,M77)/60*T77,2))</f>
        <v>0</v>
      </c>
      <c r="AA77" s="20">
        <f>IF(B77="","",ROUND(IF(K77="",0,K77)/W77,2))</f>
        <v>0</v>
      </c>
      <c r="AB77" s="20">
        <f>IF(B77="","",ROUND(IF(O77="",0,O77)*MAX(0,AL77+Z77-IF(M77="",0,M77)/60*T77),2))</f>
        <v>0</v>
      </c>
      <c r="AC77" s="33">
        <f>IF(B77="","",IF(V77=0,"",AB77/V77))</f>
        <v>0</v>
      </c>
      <c r="AD77" s="32">
        <f>IF(B77="","",IF(OR(AK77="",AK77-AA77-(AK77*AF77+AG77)-IF(M77="",0,M77)/60*T77&lt;=0),"Never at this price",ROUNDUP(V77/(AK77-AA77-(AK77*AF77+AG77)-IF(M77="",0,M77)/60*T77),0)))</f>
        <v>0</v>
      </c>
      <c r="AE77" s="20">
        <f>IF(B77="","",ROUND(X77+Z77+AA77,2))</f>
        <v>0</v>
      </c>
      <c r="AF77" s="33">
        <f>IF(B77="","",IFERROR(INDEX(Channels!$S$5:$S$18,MATCH(DefaultChannel,Channels!$A$5:$A$18,0)),0))</f>
        <v>0</v>
      </c>
      <c r="AG77" s="20">
        <f>IF(B77="","",IFERROR(INDEX(Channels!$T$5:$T$18,MATCH(DefaultChannel,Channels!$A$5:$A$18,0)),0))</f>
        <v>0</v>
      </c>
      <c r="AH77" s="41">
        <f>IF(B77="","",1-TargetRetailMargin-AF77)</f>
        <v>0</v>
      </c>
      <c r="AI77" s="20">
        <f>IF(B77="","",IF(AH77&lt;=0,"",(AE77+AG77)/AH77))</f>
        <v>0</v>
      </c>
      <c r="AJ77" s="20">
        <f>IF(B77="","",IF(AI77="","Check the settings",ROUND(IF(RoundingRule="None",AI77,IF(RoundingRule="Nearest 0.99",MAX(0.99,CEILING(AI77,1)-0.01),IF(RoundingRule="Nearest 0.95",MAX(0.95,CEILING(AI77,1)-0.05),IF(RoundingRule="Nearest 0.50",CEILING(AI77,0.5),IF(RoundingRule="Nearest 1",CEILING(AI77,1),IF(RoundingRule="Nearest 5",CEILING(AI77,5),IF(RoundingRule="Up to whole 1",CEILING(AI77,1),IF(RoundingRule="Up to whole 5",CEILING(AI77,5),ROUND(AI77,2))))))))),2)))</f>
        <v>0</v>
      </c>
      <c r="AK77" s="20">
        <f>IF(B77="","",IF(R77&lt;&gt;"",R77,IF(ISNUMBER(AJ77),AJ77,"")))</f>
        <v>0</v>
      </c>
      <c r="AL77" s="20">
        <f>IF(B77="","",IF(AK77="","",ROUND(AK77-AE77-(AK77*AF77+AG77),2)))</f>
        <v>0</v>
      </c>
      <c r="AM77" s="33">
        <f>IF(B77="","",IF(OR(AK77="",AK77=0),"",AL77/AK77))</f>
        <v>0</v>
      </c>
      <c r="AN77" s="41">
        <f>IF(B77="","",ROUND(Y77/60,3))</f>
        <v>0</v>
      </c>
      <c r="AO77" s="20">
        <f>IF(B77="","",IF(OR(AN77=0,AN77="",AL77=""),"",ROUND((AL77+Z77)/AN77,2)))</f>
        <v>0</v>
      </c>
      <c r="AP77" s="43">
        <f>IF(B77="","",IF(AND(A77&lt;&gt;"",ISERROR(MATCH(A77,Products!$A$5:$A$304,0))),"Check - no such product ID",IF(Z77=0,"Add - no material cost yet",IF(Y77=0,"Add - how long does it take?",IF(AND(A77&lt;&gt;"",COUNTIFS('Material Usage'!$A$5:$A$904,A77)&gt;0),"Check - this product also has a bill of materials",IF(AND(A77&lt;&gt;"",COUNTIFS(Labor!$A$5:$A$304,A77)&gt;0),"Check - this product also has labour lines",IF(AO77&lt;MinimumWage,"Below - pays under minimum wage","OK")))))) )</f>
        <v>0</v>
      </c>
    </row>
    <row r="78" spans="20:42">
      <c r="T78" s="20">
        <f>IF(B78="","",IF(Q78&lt;&gt;"",Q78,LaborCostHour))</f>
        <v>0</v>
      </c>
      <c r="U78" s="41">
        <f>IF(B78="","",IF(F78="",0,F78)+IF(G78="",0,G78)+IF(H78="",0,H78)+IF(I78="",0,I78)+IF(N78="",0,N78))</f>
        <v>0</v>
      </c>
      <c r="V78" s="20">
        <f>IF(B78="","",ROUND(U78*T78+IF(J78="",0,J78),2))</f>
        <v>0</v>
      </c>
      <c r="W78" s="32">
        <f>IF(B78="","",MAX(1,IF(L78="",1,L78)))</f>
        <v>0</v>
      </c>
      <c r="X78" s="20">
        <f>IF(B78="","",0)</f>
        <v>0</v>
      </c>
      <c r="Y78" s="36">
        <f>IF(B78="","",ROUND(U78*60/W78+IF(M78="",0,M78),1))</f>
        <v>0</v>
      </c>
      <c r="Z78" s="20">
        <f>IF(B78="","",ROUND(V78/W78+IF(M78="",0,M78)/60*T78,2))</f>
        <v>0</v>
      </c>
      <c r="AA78" s="20">
        <f>IF(B78="","",ROUND(IF(K78="",0,K78)/W78,2))</f>
        <v>0</v>
      </c>
      <c r="AB78" s="20">
        <f>IF(B78="","",ROUND(IF(O78="",0,O78)*MAX(0,AL78+Z78-IF(M78="",0,M78)/60*T78),2))</f>
        <v>0</v>
      </c>
      <c r="AC78" s="33">
        <f>IF(B78="","",IF(V78=0,"",AB78/V78))</f>
        <v>0</v>
      </c>
      <c r="AD78" s="32">
        <f>IF(B78="","",IF(OR(AK78="",AK78-AA78-(AK78*AF78+AG78)-IF(M78="",0,M78)/60*T78&lt;=0),"Never at this price",ROUNDUP(V78/(AK78-AA78-(AK78*AF78+AG78)-IF(M78="",0,M78)/60*T78),0)))</f>
        <v>0</v>
      </c>
      <c r="AE78" s="20">
        <f>IF(B78="","",ROUND(X78+Z78+AA78,2))</f>
        <v>0</v>
      </c>
      <c r="AF78" s="33">
        <f>IF(B78="","",IFERROR(INDEX(Channels!$S$5:$S$18,MATCH(DefaultChannel,Channels!$A$5:$A$18,0)),0))</f>
        <v>0</v>
      </c>
      <c r="AG78" s="20">
        <f>IF(B78="","",IFERROR(INDEX(Channels!$T$5:$T$18,MATCH(DefaultChannel,Channels!$A$5:$A$18,0)),0))</f>
        <v>0</v>
      </c>
      <c r="AH78" s="41">
        <f>IF(B78="","",1-TargetRetailMargin-AF78)</f>
        <v>0</v>
      </c>
      <c r="AI78" s="20">
        <f>IF(B78="","",IF(AH78&lt;=0,"",(AE78+AG78)/AH78))</f>
        <v>0</v>
      </c>
      <c r="AJ78" s="20">
        <f>IF(B78="","",IF(AI78="","Check the settings",ROUND(IF(RoundingRule="None",AI78,IF(RoundingRule="Nearest 0.99",MAX(0.99,CEILING(AI78,1)-0.01),IF(RoundingRule="Nearest 0.95",MAX(0.95,CEILING(AI78,1)-0.05),IF(RoundingRule="Nearest 0.50",CEILING(AI78,0.5),IF(RoundingRule="Nearest 1",CEILING(AI78,1),IF(RoundingRule="Nearest 5",CEILING(AI78,5),IF(RoundingRule="Up to whole 1",CEILING(AI78,1),IF(RoundingRule="Up to whole 5",CEILING(AI78,5),ROUND(AI78,2))))))))),2)))</f>
        <v>0</v>
      </c>
      <c r="AK78" s="20">
        <f>IF(B78="","",IF(R78&lt;&gt;"",R78,IF(ISNUMBER(AJ78),AJ78,"")))</f>
        <v>0</v>
      </c>
      <c r="AL78" s="20">
        <f>IF(B78="","",IF(AK78="","",ROUND(AK78-AE78-(AK78*AF78+AG78),2)))</f>
        <v>0</v>
      </c>
      <c r="AM78" s="33">
        <f>IF(B78="","",IF(OR(AK78="",AK78=0),"",AL78/AK78))</f>
        <v>0</v>
      </c>
      <c r="AN78" s="41">
        <f>IF(B78="","",ROUND(Y78/60,3))</f>
        <v>0</v>
      </c>
      <c r="AO78" s="20">
        <f>IF(B78="","",IF(OR(AN78=0,AN78="",AL78=""),"",ROUND((AL78+Z78)/AN78,2)))</f>
        <v>0</v>
      </c>
      <c r="AP78" s="43">
        <f>IF(B78="","",IF(AND(A78&lt;&gt;"",ISERROR(MATCH(A78,Products!$A$5:$A$304,0))),"Check - no such product ID",IF(Z78=0,"Add - no material cost yet",IF(Y78=0,"Add - how long does it take?",IF(AND(A78&lt;&gt;"",COUNTIFS('Material Usage'!$A$5:$A$904,A78)&gt;0),"Check - this product also has a bill of materials",IF(AND(A78&lt;&gt;"",COUNTIFS(Labor!$A$5:$A$304,A78)&gt;0),"Check - this product also has labour lines",IF(AO78&lt;MinimumWage,"Below - pays under minimum wage","OK")))))) )</f>
        <v>0</v>
      </c>
    </row>
    <row r="79" spans="20:42">
      <c r="T79" s="20">
        <f>IF(B79="","",IF(Q79&lt;&gt;"",Q79,LaborCostHour))</f>
        <v>0</v>
      </c>
      <c r="U79" s="41">
        <f>IF(B79="","",IF(F79="",0,F79)+IF(G79="",0,G79)+IF(H79="",0,H79)+IF(I79="",0,I79)+IF(N79="",0,N79))</f>
        <v>0</v>
      </c>
      <c r="V79" s="20">
        <f>IF(B79="","",ROUND(U79*T79+IF(J79="",0,J79),2))</f>
        <v>0</v>
      </c>
      <c r="W79" s="32">
        <f>IF(B79="","",MAX(1,IF(L79="",1,L79)))</f>
        <v>0</v>
      </c>
      <c r="X79" s="20">
        <f>IF(B79="","",0)</f>
        <v>0</v>
      </c>
      <c r="Y79" s="36">
        <f>IF(B79="","",ROUND(U79*60/W79+IF(M79="",0,M79),1))</f>
        <v>0</v>
      </c>
      <c r="Z79" s="20">
        <f>IF(B79="","",ROUND(V79/W79+IF(M79="",0,M79)/60*T79,2))</f>
        <v>0</v>
      </c>
      <c r="AA79" s="20">
        <f>IF(B79="","",ROUND(IF(K79="",0,K79)/W79,2))</f>
        <v>0</v>
      </c>
      <c r="AB79" s="20">
        <f>IF(B79="","",ROUND(IF(O79="",0,O79)*MAX(0,AL79+Z79-IF(M79="",0,M79)/60*T79),2))</f>
        <v>0</v>
      </c>
      <c r="AC79" s="33">
        <f>IF(B79="","",IF(V79=0,"",AB79/V79))</f>
        <v>0</v>
      </c>
      <c r="AD79" s="32">
        <f>IF(B79="","",IF(OR(AK79="",AK79-AA79-(AK79*AF79+AG79)-IF(M79="",0,M79)/60*T79&lt;=0),"Never at this price",ROUNDUP(V79/(AK79-AA79-(AK79*AF79+AG79)-IF(M79="",0,M79)/60*T79),0)))</f>
        <v>0</v>
      </c>
      <c r="AE79" s="20">
        <f>IF(B79="","",ROUND(X79+Z79+AA79,2))</f>
        <v>0</v>
      </c>
      <c r="AF79" s="33">
        <f>IF(B79="","",IFERROR(INDEX(Channels!$S$5:$S$18,MATCH(DefaultChannel,Channels!$A$5:$A$18,0)),0))</f>
        <v>0</v>
      </c>
      <c r="AG79" s="20">
        <f>IF(B79="","",IFERROR(INDEX(Channels!$T$5:$T$18,MATCH(DefaultChannel,Channels!$A$5:$A$18,0)),0))</f>
        <v>0</v>
      </c>
      <c r="AH79" s="41">
        <f>IF(B79="","",1-TargetRetailMargin-AF79)</f>
        <v>0</v>
      </c>
      <c r="AI79" s="20">
        <f>IF(B79="","",IF(AH79&lt;=0,"",(AE79+AG79)/AH79))</f>
        <v>0</v>
      </c>
      <c r="AJ79" s="20">
        <f>IF(B79="","",IF(AI79="","Check the settings",ROUND(IF(RoundingRule="None",AI79,IF(RoundingRule="Nearest 0.99",MAX(0.99,CEILING(AI79,1)-0.01),IF(RoundingRule="Nearest 0.95",MAX(0.95,CEILING(AI79,1)-0.05),IF(RoundingRule="Nearest 0.50",CEILING(AI79,0.5),IF(RoundingRule="Nearest 1",CEILING(AI79,1),IF(RoundingRule="Nearest 5",CEILING(AI79,5),IF(RoundingRule="Up to whole 1",CEILING(AI79,1),IF(RoundingRule="Up to whole 5",CEILING(AI79,5),ROUND(AI79,2))))))))),2)))</f>
        <v>0</v>
      </c>
      <c r="AK79" s="20">
        <f>IF(B79="","",IF(R79&lt;&gt;"",R79,IF(ISNUMBER(AJ79),AJ79,"")))</f>
        <v>0</v>
      </c>
      <c r="AL79" s="20">
        <f>IF(B79="","",IF(AK79="","",ROUND(AK79-AE79-(AK79*AF79+AG79),2)))</f>
        <v>0</v>
      </c>
      <c r="AM79" s="33">
        <f>IF(B79="","",IF(OR(AK79="",AK79=0),"",AL79/AK79))</f>
        <v>0</v>
      </c>
      <c r="AN79" s="41">
        <f>IF(B79="","",ROUND(Y79/60,3))</f>
        <v>0</v>
      </c>
      <c r="AO79" s="20">
        <f>IF(B79="","",IF(OR(AN79=0,AN79="",AL79=""),"",ROUND((AL79+Z79)/AN79,2)))</f>
        <v>0</v>
      </c>
      <c r="AP79" s="43">
        <f>IF(B79="","",IF(AND(A79&lt;&gt;"",ISERROR(MATCH(A79,Products!$A$5:$A$304,0))),"Check - no such product ID",IF(Z79=0,"Add - no material cost yet",IF(Y79=0,"Add - how long does it take?",IF(AND(A79&lt;&gt;"",COUNTIFS('Material Usage'!$A$5:$A$904,A79)&gt;0),"Check - this product also has a bill of materials",IF(AND(A79&lt;&gt;"",COUNTIFS(Labor!$A$5:$A$304,A79)&gt;0),"Check - this product also has labour lines",IF(AO79&lt;MinimumWage,"Below - pays under minimum wage","OK")))))) )</f>
        <v>0</v>
      </c>
    </row>
    <row r="80" spans="20:42">
      <c r="T80" s="20">
        <f>IF(B80="","",IF(Q80&lt;&gt;"",Q80,LaborCostHour))</f>
        <v>0</v>
      </c>
      <c r="U80" s="41">
        <f>IF(B80="","",IF(F80="",0,F80)+IF(G80="",0,G80)+IF(H80="",0,H80)+IF(I80="",0,I80)+IF(N80="",0,N80))</f>
        <v>0</v>
      </c>
      <c r="V80" s="20">
        <f>IF(B80="","",ROUND(U80*T80+IF(J80="",0,J80),2))</f>
        <v>0</v>
      </c>
      <c r="W80" s="32">
        <f>IF(B80="","",MAX(1,IF(L80="",1,L80)))</f>
        <v>0</v>
      </c>
      <c r="X80" s="20">
        <f>IF(B80="","",0)</f>
        <v>0</v>
      </c>
      <c r="Y80" s="36">
        <f>IF(B80="","",ROUND(U80*60/W80+IF(M80="",0,M80),1))</f>
        <v>0</v>
      </c>
      <c r="Z80" s="20">
        <f>IF(B80="","",ROUND(V80/W80+IF(M80="",0,M80)/60*T80,2))</f>
        <v>0</v>
      </c>
      <c r="AA80" s="20">
        <f>IF(B80="","",ROUND(IF(K80="",0,K80)/W80,2))</f>
        <v>0</v>
      </c>
      <c r="AB80" s="20">
        <f>IF(B80="","",ROUND(IF(O80="",0,O80)*MAX(0,AL80+Z80-IF(M80="",0,M80)/60*T80),2))</f>
        <v>0</v>
      </c>
      <c r="AC80" s="33">
        <f>IF(B80="","",IF(V80=0,"",AB80/V80))</f>
        <v>0</v>
      </c>
      <c r="AD80" s="32">
        <f>IF(B80="","",IF(OR(AK80="",AK80-AA80-(AK80*AF80+AG80)-IF(M80="",0,M80)/60*T80&lt;=0),"Never at this price",ROUNDUP(V80/(AK80-AA80-(AK80*AF80+AG80)-IF(M80="",0,M80)/60*T80),0)))</f>
        <v>0</v>
      </c>
      <c r="AE80" s="20">
        <f>IF(B80="","",ROUND(X80+Z80+AA80,2))</f>
        <v>0</v>
      </c>
      <c r="AF80" s="33">
        <f>IF(B80="","",IFERROR(INDEX(Channels!$S$5:$S$18,MATCH(DefaultChannel,Channels!$A$5:$A$18,0)),0))</f>
        <v>0</v>
      </c>
      <c r="AG80" s="20">
        <f>IF(B80="","",IFERROR(INDEX(Channels!$T$5:$T$18,MATCH(DefaultChannel,Channels!$A$5:$A$18,0)),0))</f>
        <v>0</v>
      </c>
      <c r="AH80" s="41">
        <f>IF(B80="","",1-TargetRetailMargin-AF80)</f>
        <v>0</v>
      </c>
      <c r="AI80" s="20">
        <f>IF(B80="","",IF(AH80&lt;=0,"",(AE80+AG80)/AH80))</f>
        <v>0</v>
      </c>
      <c r="AJ80" s="20">
        <f>IF(B80="","",IF(AI80="","Check the settings",ROUND(IF(RoundingRule="None",AI80,IF(RoundingRule="Nearest 0.99",MAX(0.99,CEILING(AI80,1)-0.01),IF(RoundingRule="Nearest 0.95",MAX(0.95,CEILING(AI80,1)-0.05),IF(RoundingRule="Nearest 0.50",CEILING(AI80,0.5),IF(RoundingRule="Nearest 1",CEILING(AI80,1),IF(RoundingRule="Nearest 5",CEILING(AI80,5),IF(RoundingRule="Up to whole 1",CEILING(AI80,1),IF(RoundingRule="Up to whole 5",CEILING(AI80,5),ROUND(AI80,2))))))))),2)))</f>
        <v>0</v>
      </c>
      <c r="AK80" s="20">
        <f>IF(B80="","",IF(R80&lt;&gt;"",R80,IF(ISNUMBER(AJ80),AJ80,"")))</f>
        <v>0</v>
      </c>
      <c r="AL80" s="20">
        <f>IF(B80="","",IF(AK80="","",ROUND(AK80-AE80-(AK80*AF80+AG80),2)))</f>
        <v>0</v>
      </c>
      <c r="AM80" s="33">
        <f>IF(B80="","",IF(OR(AK80="",AK80=0),"",AL80/AK80))</f>
        <v>0</v>
      </c>
      <c r="AN80" s="41">
        <f>IF(B80="","",ROUND(Y80/60,3))</f>
        <v>0</v>
      </c>
      <c r="AO80" s="20">
        <f>IF(B80="","",IF(OR(AN80=0,AN80="",AL80=""),"",ROUND((AL80+Z80)/AN80,2)))</f>
        <v>0</v>
      </c>
      <c r="AP80" s="43">
        <f>IF(B80="","",IF(AND(A80&lt;&gt;"",ISERROR(MATCH(A80,Products!$A$5:$A$304,0))),"Check - no such product ID",IF(Z80=0,"Add - no material cost yet",IF(Y80=0,"Add - how long does it take?",IF(AND(A80&lt;&gt;"",COUNTIFS('Material Usage'!$A$5:$A$904,A80)&gt;0),"Check - this product also has a bill of materials",IF(AND(A80&lt;&gt;"",COUNTIFS(Labor!$A$5:$A$304,A80)&gt;0),"Check - this product also has labour lines",IF(AO80&lt;MinimumWage,"Below - pays under minimum wage","OK")))))) )</f>
        <v>0</v>
      </c>
    </row>
    <row r="81" spans="20:42">
      <c r="T81" s="20">
        <f>IF(B81="","",IF(Q81&lt;&gt;"",Q81,LaborCostHour))</f>
        <v>0</v>
      </c>
      <c r="U81" s="41">
        <f>IF(B81="","",IF(F81="",0,F81)+IF(G81="",0,G81)+IF(H81="",0,H81)+IF(I81="",0,I81)+IF(N81="",0,N81))</f>
        <v>0</v>
      </c>
      <c r="V81" s="20">
        <f>IF(B81="","",ROUND(U81*T81+IF(J81="",0,J81),2))</f>
        <v>0</v>
      </c>
      <c r="W81" s="32">
        <f>IF(B81="","",MAX(1,IF(L81="",1,L81)))</f>
        <v>0</v>
      </c>
      <c r="X81" s="20">
        <f>IF(B81="","",0)</f>
        <v>0</v>
      </c>
      <c r="Y81" s="36">
        <f>IF(B81="","",ROUND(U81*60/W81+IF(M81="",0,M81),1))</f>
        <v>0</v>
      </c>
      <c r="Z81" s="20">
        <f>IF(B81="","",ROUND(V81/W81+IF(M81="",0,M81)/60*T81,2))</f>
        <v>0</v>
      </c>
      <c r="AA81" s="20">
        <f>IF(B81="","",ROUND(IF(K81="",0,K81)/W81,2))</f>
        <v>0</v>
      </c>
      <c r="AB81" s="20">
        <f>IF(B81="","",ROUND(IF(O81="",0,O81)*MAX(0,AL81+Z81-IF(M81="",0,M81)/60*T81),2))</f>
        <v>0</v>
      </c>
      <c r="AC81" s="33">
        <f>IF(B81="","",IF(V81=0,"",AB81/V81))</f>
        <v>0</v>
      </c>
      <c r="AD81" s="32">
        <f>IF(B81="","",IF(OR(AK81="",AK81-AA81-(AK81*AF81+AG81)-IF(M81="",0,M81)/60*T81&lt;=0),"Never at this price",ROUNDUP(V81/(AK81-AA81-(AK81*AF81+AG81)-IF(M81="",0,M81)/60*T81),0)))</f>
        <v>0</v>
      </c>
      <c r="AE81" s="20">
        <f>IF(B81="","",ROUND(X81+Z81+AA81,2))</f>
        <v>0</v>
      </c>
      <c r="AF81" s="33">
        <f>IF(B81="","",IFERROR(INDEX(Channels!$S$5:$S$18,MATCH(DefaultChannel,Channels!$A$5:$A$18,0)),0))</f>
        <v>0</v>
      </c>
      <c r="AG81" s="20">
        <f>IF(B81="","",IFERROR(INDEX(Channels!$T$5:$T$18,MATCH(DefaultChannel,Channels!$A$5:$A$18,0)),0))</f>
        <v>0</v>
      </c>
      <c r="AH81" s="41">
        <f>IF(B81="","",1-TargetRetailMargin-AF81)</f>
        <v>0</v>
      </c>
      <c r="AI81" s="20">
        <f>IF(B81="","",IF(AH81&lt;=0,"",(AE81+AG81)/AH81))</f>
        <v>0</v>
      </c>
      <c r="AJ81" s="20">
        <f>IF(B81="","",IF(AI81="","Check the settings",ROUND(IF(RoundingRule="None",AI81,IF(RoundingRule="Nearest 0.99",MAX(0.99,CEILING(AI81,1)-0.01),IF(RoundingRule="Nearest 0.95",MAX(0.95,CEILING(AI81,1)-0.05),IF(RoundingRule="Nearest 0.50",CEILING(AI81,0.5),IF(RoundingRule="Nearest 1",CEILING(AI81,1),IF(RoundingRule="Nearest 5",CEILING(AI81,5),IF(RoundingRule="Up to whole 1",CEILING(AI81,1),IF(RoundingRule="Up to whole 5",CEILING(AI81,5),ROUND(AI81,2))))))))),2)))</f>
        <v>0</v>
      </c>
      <c r="AK81" s="20">
        <f>IF(B81="","",IF(R81&lt;&gt;"",R81,IF(ISNUMBER(AJ81),AJ81,"")))</f>
        <v>0</v>
      </c>
      <c r="AL81" s="20">
        <f>IF(B81="","",IF(AK81="","",ROUND(AK81-AE81-(AK81*AF81+AG81),2)))</f>
        <v>0</v>
      </c>
      <c r="AM81" s="33">
        <f>IF(B81="","",IF(OR(AK81="",AK81=0),"",AL81/AK81))</f>
        <v>0</v>
      </c>
      <c r="AN81" s="41">
        <f>IF(B81="","",ROUND(Y81/60,3))</f>
        <v>0</v>
      </c>
      <c r="AO81" s="20">
        <f>IF(B81="","",IF(OR(AN81=0,AN81="",AL81=""),"",ROUND((AL81+Z81)/AN81,2)))</f>
        <v>0</v>
      </c>
      <c r="AP81" s="43">
        <f>IF(B81="","",IF(AND(A81&lt;&gt;"",ISERROR(MATCH(A81,Products!$A$5:$A$304,0))),"Check - no such product ID",IF(Z81=0,"Add - no material cost yet",IF(Y81=0,"Add - how long does it take?",IF(AND(A81&lt;&gt;"",COUNTIFS('Material Usage'!$A$5:$A$904,A81)&gt;0),"Check - this product also has a bill of materials",IF(AND(A81&lt;&gt;"",COUNTIFS(Labor!$A$5:$A$304,A81)&gt;0),"Check - this product also has labour lines",IF(AO81&lt;MinimumWage,"Below - pays under minimum wage","OK")))))) )</f>
        <v>0</v>
      </c>
    </row>
    <row r="82" spans="20:42">
      <c r="T82" s="20">
        <f>IF(B82="","",IF(Q82&lt;&gt;"",Q82,LaborCostHour))</f>
        <v>0</v>
      </c>
      <c r="U82" s="41">
        <f>IF(B82="","",IF(F82="",0,F82)+IF(G82="",0,G82)+IF(H82="",0,H82)+IF(I82="",0,I82)+IF(N82="",0,N82))</f>
        <v>0</v>
      </c>
      <c r="V82" s="20">
        <f>IF(B82="","",ROUND(U82*T82+IF(J82="",0,J82),2))</f>
        <v>0</v>
      </c>
      <c r="W82" s="32">
        <f>IF(B82="","",MAX(1,IF(L82="",1,L82)))</f>
        <v>0</v>
      </c>
      <c r="X82" s="20">
        <f>IF(B82="","",0)</f>
        <v>0</v>
      </c>
      <c r="Y82" s="36">
        <f>IF(B82="","",ROUND(U82*60/W82+IF(M82="",0,M82),1))</f>
        <v>0</v>
      </c>
      <c r="Z82" s="20">
        <f>IF(B82="","",ROUND(V82/W82+IF(M82="",0,M82)/60*T82,2))</f>
        <v>0</v>
      </c>
      <c r="AA82" s="20">
        <f>IF(B82="","",ROUND(IF(K82="",0,K82)/W82,2))</f>
        <v>0</v>
      </c>
      <c r="AB82" s="20">
        <f>IF(B82="","",ROUND(IF(O82="",0,O82)*MAX(0,AL82+Z82-IF(M82="",0,M82)/60*T82),2))</f>
        <v>0</v>
      </c>
      <c r="AC82" s="33">
        <f>IF(B82="","",IF(V82=0,"",AB82/V82))</f>
        <v>0</v>
      </c>
      <c r="AD82" s="32">
        <f>IF(B82="","",IF(OR(AK82="",AK82-AA82-(AK82*AF82+AG82)-IF(M82="",0,M82)/60*T82&lt;=0),"Never at this price",ROUNDUP(V82/(AK82-AA82-(AK82*AF82+AG82)-IF(M82="",0,M82)/60*T82),0)))</f>
        <v>0</v>
      </c>
      <c r="AE82" s="20">
        <f>IF(B82="","",ROUND(X82+Z82+AA82,2))</f>
        <v>0</v>
      </c>
      <c r="AF82" s="33">
        <f>IF(B82="","",IFERROR(INDEX(Channels!$S$5:$S$18,MATCH(DefaultChannel,Channels!$A$5:$A$18,0)),0))</f>
        <v>0</v>
      </c>
      <c r="AG82" s="20">
        <f>IF(B82="","",IFERROR(INDEX(Channels!$T$5:$T$18,MATCH(DefaultChannel,Channels!$A$5:$A$18,0)),0))</f>
        <v>0</v>
      </c>
      <c r="AH82" s="41">
        <f>IF(B82="","",1-TargetRetailMargin-AF82)</f>
        <v>0</v>
      </c>
      <c r="AI82" s="20">
        <f>IF(B82="","",IF(AH82&lt;=0,"",(AE82+AG82)/AH82))</f>
        <v>0</v>
      </c>
      <c r="AJ82" s="20">
        <f>IF(B82="","",IF(AI82="","Check the settings",ROUND(IF(RoundingRule="None",AI82,IF(RoundingRule="Nearest 0.99",MAX(0.99,CEILING(AI82,1)-0.01),IF(RoundingRule="Nearest 0.95",MAX(0.95,CEILING(AI82,1)-0.05),IF(RoundingRule="Nearest 0.50",CEILING(AI82,0.5),IF(RoundingRule="Nearest 1",CEILING(AI82,1),IF(RoundingRule="Nearest 5",CEILING(AI82,5),IF(RoundingRule="Up to whole 1",CEILING(AI82,1),IF(RoundingRule="Up to whole 5",CEILING(AI82,5),ROUND(AI82,2))))))))),2)))</f>
        <v>0</v>
      </c>
      <c r="AK82" s="20">
        <f>IF(B82="","",IF(R82&lt;&gt;"",R82,IF(ISNUMBER(AJ82),AJ82,"")))</f>
        <v>0</v>
      </c>
      <c r="AL82" s="20">
        <f>IF(B82="","",IF(AK82="","",ROUND(AK82-AE82-(AK82*AF82+AG82),2)))</f>
        <v>0</v>
      </c>
      <c r="AM82" s="33">
        <f>IF(B82="","",IF(OR(AK82="",AK82=0),"",AL82/AK82))</f>
        <v>0</v>
      </c>
      <c r="AN82" s="41">
        <f>IF(B82="","",ROUND(Y82/60,3))</f>
        <v>0</v>
      </c>
      <c r="AO82" s="20">
        <f>IF(B82="","",IF(OR(AN82=0,AN82="",AL82=""),"",ROUND((AL82+Z82)/AN82,2)))</f>
        <v>0</v>
      </c>
      <c r="AP82" s="43">
        <f>IF(B82="","",IF(AND(A82&lt;&gt;"",ISERROR(MATCH(A82,Products!$A$5:$A$304,0))),"Check - no such product ID",IF(Z82=0,"Add - no material cost yet",IF(Y82=0,"Add - how long does it take?",IF(AND(A82&lt;&gt;"",COUNTIFS('Material Usage'!$A$5:$A$904,A82)&gt;0),"Check - this product also has a bill of materials",IF(AND(A82&lt;&gt;"",COUNTIFS(Labor!$A$5:$A$304,A82)&gt;0),"Check - this product also has labour lines",IF(AO82&lt;MinimumWage,"Below - pays under minimum wage","OK")))))) )</f>
        <v>0</v>
      </c>
    </row>
    <row r="83" spans="20:42">
      <c r="T83" s="20">
        <f>IF(B83="","",IF(Q83&lt;&gt;"",Q83,LaborCostHour))</f>
        <v>0</v>
      </c>
      <c r="U83" s="41">
        <f>IF(B83="","",IF(F83="",0,F83)+IF(G83="",0,G83)+IF(H83="",0,H83)+IF(I83="",0,I83)+IF(N83="",0,N83))</f>
        <v>0</v>
      </c>
      <c r="V83" s="20">
        <f>IF(B83="","",ROUND(U83*T83+IF(J83="",0,J83),2))</f>
        <v>0</v>
      </c>
      <c r="W83" s="32">
        <f>IF(B83="","",MAX(1,IF(L83="",1,L83)))</f>
        <v>0</v>
      </c>
      <c r="X83" s="20">
        <f>IF(B83="","",0)</f>
        <v>0</v>
      </c>
      <c r="Y83" s="36">
        <f>IF(B83="","",ROUND(U83*60/W83+IF(M83="",0,M83),1))</f>
        <v>0</v>
      </c>
      <c r="Z83" s="20">
        <f>IF(B83="","",ROUND(V83/W83+IF(M83="",0,M83)/60*T83,2))</f>
        <v>0</v>
      </c>
      <c r="AA83" s="20">
        <f>IF(B83="","",ROUND(IF(K83="",0,K83)/W83,2))</f>
        <v>0</v>
      </c>
      <c r="AB83" s="20">
        <f>IF(B83="","",ROUND(IF(O83="",0,O83)*MAX(0,AL83+Z83-IF(M83="",0,M83)/60*T83),2))</f>
        <v>0</v>
      </c>
      <c r="AC83" s="33">
        <f>IF(B83="","",IF(V83=0,"",AB83/V83))</f>
        <v>0</v>
      </c>
      <c r="AD83" s="32">
        <f>IF(B83="","",IF(OR(AK83="",AK83-AA83-(AK83*AF83+AG83)-IF(M83="",0,M83)/60*T83&lt;=0),"Never at this price",ROUNDUP(V83/(AK83-AA83-(AK83*AF83+AG83)-IF(M83="",0,M83)/60*T83),0)))</f>
        <v>0</v>
      </c>
      <c r="AE83" s="20">
        <f>IF(B83="","",ROUND(X83+Z83+AA83,2))</f>
        <v>0</v>
      </c>
      <c r="AF83" s="33">
        <f>IF(B83="","",IFERROR(INDEX(Channels!$S$5:$S$18,MATCH(DefaultChannel,Channels!$A$5:$A$18,0)),0))</f>
        <v>0</v>
      </c>
      <c r="AG83" s="20">
        <f>IF(B83="","",IFERROR(INDEX(Channels!$T$5:$T$18,MATCH(DefaultChannel,Channels!$A$5:$A$18,0)),0))</f>
        <v>0</v>
      </c>
      <c r="AH83" s="41">
        <f>IF(B83="","",1-TargetRetailMargin-AF83)</f>
        <v>0</v>
      </c>
      <c r="AI83" s="20">
        <f>IF(B83="","",IF(AH83&lt;=0,"",(AE83+AG83)/AH83))</f>
        <v>0</v>
      </c>
      <c r="AJ83" s="20">
        <f>IF(B83="","",IF(AI83="","Check the settings",ROUND(IF(RoundingRule="None",AI83,IF(RoundingRule="Nearest 0.99",MAX(0.99,CEILING(AI83,1)-0.01),IF(RoundingRule="Nearest 0.95",MAX(0.95,CEILING(AI83,1)-0.05),IF(RoundingRule="Nearest 0.50",CEILING(AI83,0.5),IF(RoundingRule="Nearest 1",CEILING(AI83,1),IF(RoundingRule="Nearest 5",CEILING(AI83,5),IF(RoundingRule="Up to whole 1",CEILING(AI83,1),IF(RoundingRule="Up to whole 5",CEILING(AI83,5),ROUND(AI83,2))))))))),2)))</f>
        <v>0</v>
      </c>
      <c r="AK83" s="20">
        <f>IF(B83="","",IF(R83&lt;&gt;"",R83,IF(ISNUMBER(AJ83),AJ83,"")))</f>
        <v>0</v>
      </c>
      <c r="AL83" s="20">
        <f>IF(B83="","",IF(AK83="","",ROUND(AK83-AE83-(AK83*AF83+AG83),2)))</f>
        <v>0</v>
      </c>
      <c r="AM83" s="33">
        <f>IF(B83="","",IF(OR(AK83="",AK83=0),"",AL83/AK83))</f>
        <v>0</v>
      </c>
      <c r="AN83" s="41">
        <f>IF(B83="","",ROUND(Y83/60,3))</f>
        <v>0</v>
      </c>
      <c r="AO83" s="20">
        <f>IF(B83="","",IF(OR(AN83=0,AN83="",AL83=""),"",ROUND((AL83+Z83)/AN83,2)))</f>
        <v>0</v>
      </c>
      <c r="AP83" s="43">
        <f>IF(B83="","",IF(AND(A83&lt;&gt;"",ISERROR(MATCH(A83,Products!$A$5:$A$304,0))),"Check - no such product ID",IF(Z83=0,"Add - no material cost yet",IF(Y83=0,"Add - how long does it take?",IF(AND(A83&lt;&gt;"",COUNTIFS('Material Usage'!$A$5:$A$904,A83)&gt;0),"Check - this product also has a bill of materials",IF(AND(A83&lt;&gt;"",COUNTIFS(Labor!$A$5:$A$304,A83)&gt;0),"Check - this product also has labour lines",IF(AO83&lt;MinimumWage,"Below - pays under minimum wage","OK")))))) )</f>
        <v>0</v>
      </c>
    </row>
    <row r="84" spans="20:42">
      <c r="T84" s="20">
        <f>IF(B84="","",IF(Q84&lt;&gt;"",Q84,LaborCostHour))</f>
        <v>0</v>
      </c>
      <c r="U84" s="41">
        <f>IF(B84="","",IF(F84="",0,F84)+IF(G84="",0,G84)+IF(H84="",0,H84)+IF(I84="",0,I84)+IF(N84="",0,N84))</f>
        <v>0</v>
      </c>
      <c r="V84" s="20">
        <f>IF(B84="","",ROUND(U84*T84+IF(J84="",0,J84),2))</f>
        <v>0</v>
      </c>
      <c r="W84" s="32">
        <f>IF(B84="","",MAX(1,IF(L84="",1,L84)))</f>
        <v>0</v>
      </c>
      <c r="X84" s="20">
        <f>IF(B84="","",0)</f>
        <v>0</v>
      </c>
      <c r="Y84" s="36">
        <f>IF(B84="","",ROUND(U84*60/W84+IF(M84="",0,M84),1))</f>
        <v>0</v>
      </c>
      <c r="Z84" s="20">
        <f>IF(B84="","",ROUND(V84/W84+IF(M84="",0,M84)/60*T84,2))</f>
        <v>0</v>
      </c>
      <c r="AA84" s="20">
        <f>IF(B84="","",ROUND(IF(K84="",0,K84)/W84,2))</f>
        <v>0</v>
      </c>
      <c r="AB84" s="20">
        <f>IF(B84="","",ROUND(IF(O84="",0,O84)*MAX(0,AL84+Z84-IF(M84="",0,M84)/60*T84),2))</f>
        <v>0</v>
      </c>
      <c r="AC84" s="33">
        <f>IF(B84="","",IF(V84=0,"",AB84/V84))</f>
        <v>0</v>
      </c>
      <c r="AD84" s="32">
        <f>IF(B84="","",IF(OR(AK84="",AK84-AA84-(AK84*AF84+AG84)-IF(M84="",0,M84)/60*T84&lt;=0),"Never at this price",ROUNDUP(V84/(AK84-AA84-(AK84*AF84+AG84)-IF(M84="",0,M84)/60*T84),0)))</f>
        <v>0</v>
      </c>
      <c r="AE84" s="20">
        <f>IF(B84="","",ROUND(X84+Z84+AA84,2))</f>
        <v>0</v>
      </c>
      <c r="AF84" s="33">
        <f>IF(B84="","",IFERROR(INDEX(Channels!$S$5:$S$18,MATCH(DefaultChannel,Channels!$A$5:$A$18,0)),0))</f>
        <v>0</v>
      </c>
      <c r="AG84" s="20">
        <f>IF(B84="","",IFERROR(INDEX(Channels!$T$5:$T$18,MATCH(DefaultChannel,Channels!$A$5:$A$18,0)),0))</f>
        <v>0</v>
      </c>
      <c r="AH84" s="41">
        <f>IF(B84="","",1-TargetRetailMargin-AF84)</f>
        <v>0</v>
      </c>
      <c r="AI84" s="20">
        <f>IF(B84="","",IF(AH84&lt;=0,"",(AE84+AG84)/AH84))</f>
        <v>0</v>
      </c>
      <c r="AJ84" s="20">
        <f>IF(B84="","",IF(AI84="","Check the settings",ROUND(IF(RoundingRule="None",AI84,IF(RoundingRule="Nearest 0.99",MAX(0.99,CEILING(AI84,1)-0.01),IF(RoundingRule="Nearest 0.95",MAX(0.95,CEILING(AI84,1)-0.05),IF(RoundingRule="Nearest 0.50",CEILING(AI84,0.5),IF(RoundingRule="Nearest 1",CEILING(AI84,1),IF(RoundingRule="Nearest 5",CEILING(AI84,5),IF(RoundingRule="Up to whole 1",CEILING(AI84,1),IF(RoundingRule="Up to whole 5",CEILING(AI84,5),ROUND(AI84,2))))))))),2)))</f>
        <v>0</v>
      </c>
      <c r="AK84" s="20">
        <f>IF(B84="","",IF(R84&lt;&gt;"",R84,IF(ISNUMBER(AJ84),AJ84,"")))</f>
        <v>0</v>
      </c>
      <c r="AL84" s="20">
        <f>IF(B84="","",IF(AK84="","",ROUND(AK84-AE84-(AK84*AF84+AG84),2)))</f>
        <v>0</v>
      </c>
      <c r="AM84" s="33">
        <f>IF(B84="","",IF(OR(AK84="",AK84=0),"",AL84/AK84))</f>
        <v>0</v>
      </c>
      <c r="AN84" s="41">
        <f>IF(B84="","",ROUND(Y84/60,3))</f>
        <v>0</v>
      </c>
      <c r="AO84" s="20">
        <f>IF(B84="","",IF(OR(AN84=0,AN84="",AL84=""),"",ROUND((AL84+Z84)/AN84,2)))</f>
        <v>0</v>
      </c>
      <c r="AP84" s="43">
        <f>IF(B84="","",IF(AND(A84&lt;&gt;"",ISERROR(MATCH(A84,Products!$A$5:$A$304,0))),"Check - no such product ID",IF(Z84=0,"Add - no material cost yet",IF(Y84=0,"Add - how long does it take?",IF(AND(A84&lt;&gt;"",COUNTIFS('Material Usage'!$A$5:$A$904,A84)&gt;0),"Check - this product also has a bill of materials",IF(AND(A84&lt;&gt;"",COUNTIFS(Labor!$A$5:$A$304,A84)&gt;0),"Check - this product also has labour lines",IF(AO84&lt;MinimumWage,"Below - pays under minimum wage","OK")))))) )</f>
        <v>0</v>
      </c>
    </row>
  </sheetData>
  <sheetProtection password="EC7C" sheet="1" objects="1" scenarios="1" formatCells="0" formatColumns="0" formatRows="0" insertRows="0" insertHyperlinks="0" deleteRows="0" autoFilter="0"/>
  <autoFilter ref="A4:AP84"/>
  <mergeCells count="13">
    <mergeCell ref="A1:AM1"/>
    <mergeCell ref="AN1:AP1"/>
    <mergeCell ref="A2:AP2"/>
    <mergeCell ref="A3:B3"/>
    <mergeCell ref="C3:D3"/>
    <mergeCell ref="E3:F3"/>
    <mergeCell ref="G3:H3"/>
    <mergeCell ref="I3:J3"/>
    <mergeCell ref="K3:L3"/>
    <mergeCell ref="M3:N3"/>
    <mergeCell ref="O3:P3"/>
    <mergeCell ref="Q3:R3"/>
    <mergeCell ref="S3:AP3"/>
  </mergeCells>
  <conditionalFormatting sqref="AC5:AC84">
    <cfRule type="cellIs" dxfId="1" priority="1" operator="greaterThanOrEqual">
      <formula>1</formula>
    </cfRule>
    <cfRule type="cellIs" dxfId="0" priority="2" operator="lessThan">
      <formula>0.5</formula>
    </cfRule>
  </conditionalFormatting>
  <conditionalFormatting sqref="AL5:AL84">
    <cfRule type="cellIs" dxfId="5" priority="3" operator="lessThan">
      <formula>0</formula>
    </cfRule>
    <cfRule type="cellIs" dxfId="1" priority="4" operator="greaterThan">
      <formula>0</formula>
    </cfRule>
  </conditionalFormatting>
  <conditionalFormatting sqref="AM5:AM84">
    <cfRule type="cellIs" dxfId="2" priority="5" operator="lessThan">
      <formula>0</formula>
    </cfRule>
    <cfRule type="cellIs" dxfId="0" priority="6" operator="lessThan">
      <formula>MarginWarning</formula>
    </cfRule>
    <cfRule type="cellIs" dxfId="1" priority="7" operator="greaterThanOrEqual">
      <formula>MarginWarning</formula>
    </cfRule>
  </conditionalFormatting>
  <conditionalFormatting sqref="AO5:AO84">
    <cfRule type="cellIs" dxfId="2" priority="8" operator="lessThan">
      <formula>MinimumWage</formula>
    </cfRule>
  </conditionalFormatting>
  <conditionalFormatting sqref="AP5:AP84">
    <cfRule type="beginsWith" dxfId="1" priority="9" operator="beginsWith" text="OK">
      <formula>LEFT(AP5,2)="OK"</formula>
    </cfRule>
    <cfRule type="containsText" dxfId="2" priority="10" operator="containsText" text="Overdue">
      <formula>NOT(ISERROR(SEARCH("Overdue",AP5)))</formula>
    </cfRule>
    <cfRule type="containsText" dxfId="2" priority="11" operator="containsText" text="Late">
      <formula>NOT(ISERROR(SEARCH("Late",AP5)))</formula>
    </cfRule>
    <cfRule type="containsText" dxfId="2" priority="12" operator="containsText" text="Missing">
      <formula>NOT(ISERROR(SEARCH("Missing",AP5)))</formula>
    </cfRule>
    <cfRule type="containsText" dxfId="2" priority="13" operator="containsText" text="Conflict">
      <formula>NOT(ISERROR(SEARCH("Conflict",AP5)))</formula>
    </cfRule>
    <cfRule type="containsText" dxfId="2" priority="14" operator="containsText" text="Clash">
      <formula>NOT(ISERROR(SEARCH("Clash",AP5)))</formula>
    </cfRule>
    <cfRule type="containsText" dxfId="2" priority="15" operator="containsText" text="Expired">
      <formula>NOT(ISERROR(SEARCH("Expired",AP5)))</formula>
    </cfRule>
    <cfRule type="containsText" dxfId="2" priority="16" operator="containsText" text="Duplicate">
      <formula>NOT(ISERROR(SEARCH("Duplicate",AP5)))</formula>
    </cfRule>
    <cfRule type="containsText" dxfId="2" priority="17" operator="containsText" text="Unpaid">
      <formula>NOT(ISERROR(SEARCH("Unpaid",AP5)))</formula>
    </cfRule>
    <cfRule type="containsText" dxfId="2" priority="18" operator="containsText" text="Loss">
      <formula>NOT(ISERROR(SEARCH("Loss",AP5)))</formula>
    </cfRule>
    <cfRule type="containsText" dxfId="2" priority="19" operator="containsText" text="Below">
      <formula>NOT(ISERROR(SEARCH("Below",AP5)))</formula>
    </cfRule>
    <cfRule type="containsText" dxfId="0" priority="20" operator="containsText" text="Action">
      <formula>NOT(ISERROR(SEARCH("Action",AP5)))</formula>
    </cfRule>
    <cfRule type="containsText" dxfId="0" priority="21" operator="containsText" text="Due">
      <formula>NOT(ISERROR(SEARCH("Due",AP5)))</formula>
    </cfRule>
    <cfRule type="containsText" dxfId="0" priority="22" operator="containsText" text="Check">
      <formula>NOT(ISERROR(SEARCH("Check",AP5)))</formula>
    </cfRule>
    <cfRule type="containsText" dxfId="0" priority="23" operator="containsText" text="Chase">
      <formula>NOT(ISERROR(SEARCH("Chase",AP5)))</formula>
    </cfRule>
    <cfRule type="containsText" dxfId="0" priority="24" operator="containsText" text="Assign">
      <formula>NOT(ISERROR(SEARCH("Assign",AP5)))</formula>
    </cfRule>
    <cfRule type="containsText" dxfId="0" priority="25" operator="containsText" text="Confirm">
      <formula>NOT(ISERROR(SEARCH("Confirm",AP5)))</formula>
    </cfRule>
    <cfRule type="containsText" dxfId="0" priority="26" operator="containsText" text="Order">
      <formula>NOT(ISERROR(SEARCH("Order",AP5)))</formula>
    </cfRule>
    <cfRule type="containsText" dxfId="3" priority="27" operator="containsText" text="Today">
      <formula>NOT(ISERROR(SEARCH("Today",AP5)))</formula>
    </cfRule>
    <cfRule type="containsText" dxfId="3" priority="28" operator="containsText" text="Upcoming">
      <formula>NOT(ISERROR(SEARCH("Upcoming",AP5)))</formula>
    </cfRule>
    <cfRule type="containsText" dxfId="3" priority="29" operator="containsText" text="Tomorrow">
      <formula>NOT(ISERROR(SEARCH("Tomorrow",AP5)))</formula>
    </cfRule>
  </conditionalFormatting>
  <dataValidations count="17">
    <dataValidation type="list" allowBlank="1" showInputMessage="1" showErrorMessage="1" sqref="A5:A84">
      <formula1>ProductIDs</formula1>
    </dataValidation>
    <dataValidation type="list" allowBlank="1" showInputMessage="1" showErrorMessage="1" sqref="C5:C84">
      <formula1>DigitalTypeList</formula1>
    </dataValidation>
    <dataValidation type="list" allowBlank="1" showInputMessage="1" showErrorMessage="1" sqref="D5:D84">
      <formula1>FileFormatList</formula1>
    </dataValidation>
    <dataValidation type="list" allowBlank="1" showInputMessage="1" showErrorMessage="1" promptTitle="Licence" prompt="A commercial licence is a different product at a different price, not a favour." sqref="E5:E84">
      <formula1>LicenceList</formula1>
    </dataValidation>
    <dataValidation type="decimal" allowBlank="1" showInputMessage="1" showErrorMessage="1" errorTitle="Check the value" error="Enter a number between 0 and 10000." promptTitle="Design hours" prompt="Making the thing in the first place - the sample, the grading, the drawing." sqref="F5:F84">
      <formula1>0</formula1>
      <formula2>10000</formula2>
    </dataValidation>
    <dataValidation type="decimal" allowBlank="1" showInputMessage="1" showErrorMessage="1" errorTitle="Check the value" error="Enter a number between 0 and 10000." promptTitle="Writing hours" prompt="Writing the pattern up, charts, diagrams, layout. Usually longer than making it." sqref="G5:G84">
      <formula1>0</formula1>
      <formula2>10000</formula2>
    </dataValidation>
    <dataValidation type="decimal" allowBlank="1" showInputMessage="1" showErrorMessage="1" errorTitle="Check the value" error="Enter a number between 0 and 10000." promptTitle="Testing hours" prompt="Your time running a test round and correcting it. Tester payments go in the fees column." sqref="H5:H84">
      <formula1>0</formula1>
      <formula2>10000</formula2>
    </dataValidation>
    <dataValidation type="decimal" allowBlank="1" showInputMessage="1" showErrorMessage="1" errorTitle="Check the value" error="Enter a number between 0 and 10000." sqref="I5:I84">
      <formula1>0</formula1>
      <formula2>10000</formula2>
    </dataValidation>
    <dataValidation type="decimal" allowBlank="1" showInputMessage="1" showErrorMessage="1" errorTitle="Check the value" error="Enter a number between 0 and 100000." promptTitle="Tester &amp; editor fees" prompt="Free patterns for testers, a tech editor, a proofreader. Real money, paid once." sqref="J5:J84">
      <formula1>0</formula1>
      <formula2>100000</formula2>
    </dataValidation>
    <dataValidation type="decimal" allowBlank="1" showInputMessage="1" showErrorMessage="1" errorTitle="Check the value" error="Enter a number between 0 and 100000." promptTitle="Software &amp; stock" prompt="The share of a subscription or stock licence that belongs to this file." sqref="K5:K84">
      <formula1>0</formula1>
      <formula2>100000</formula2>
    </dataValidation>
    <dataValidation type="whole" allowBlank="1" showInputMessage="1" showErrorMessage="1" errorTitle="Check the value" error="Enter a number between 1 and 1000000." promptTitle="Sales expected" prompt="Over the life of the listing. Be honest - this single number decides whether the design time is ever recovered." sqref="L5:L84">
      <formula1>1</formula1>
      <formula2>1000000</formula2>
    </dataValidation>
    <dataValidation type="decimal" allowBlank="1" showInputMessage="1" showErrorMessage="1" errorTitle="Check the value" error="Enter a number between 0 and 1000." promptTitle="Support minutes a sale" prompt="Questions, errata, 'it will not open'. Two minutes a sale is a real cost at volume." sqref="M5:M84">
      <formula1>0</formula1>
      <formula2>1000</formula2>
    </dataValidation>
    <dataValidation type="decimal" allowBlank="1" showInputMessage="1" showErrorMessage="1" errorTitle="Check the value" error="Enter a number between 0 and 10000." promptTitle="Updates a year" prompt="Revisions, new sizes, a format nobody could open. Spread over a year of sales." sqref="N5:N84">
      <formula1>0</formula1>
      <formula2>10000</formula2>
    </dataValidation>
    <dataValidation type="whole" allowBlank="1" showInputMessage="1" showErrorMessage="1" errorTitle="Check the value" error="Enter a number between 0 and 10000000." promptTitle="Sold so far" prompt="Lifetime sales of this file, for the recovery figure." sqref="O5:O84">
      <formula1>0</formula1>
      <formula2>10000000</formula2>
    </dataValidation>
    <dataValidation type="date" allowBlank="1" showInputMessage="1" showErrorMessage="1" errorTitle="Check the date" error="Enter a real date between 2000 and 2100." sqref="P5:P84">
      <formula1>36526</formula1>
      <formula2>73415</formula2>
    </dataValidation>
    <dataValidation type="decimal" allowBlank="1" showInputMessage="1" showErrorMessage="1" errorTitle="Check the value" error="Enter a number between 0 and 1000." sqref="Q5:Q84">
      <formula1>0</formula1>
      <formula2>1000</formula2>
    </dataValidation>
    <dataValidation type="decimal" allowBlank="1" showInputMessage="1" showErrorMessage="1" errorTitle="Check the value" error="Enter a number between 0 and 100000." sqref="R5:R84">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&amp;L&amp;"Calibri,Bold"&amp;12&amp;C&amp;"Calibri,Bold"&amp;11Digital&amp;R&amp;"Calibri,Italic"&amp;9Handmade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1.xml><?xml version="1.0" encoding="utf-8"?>
<worksheet xmlns="http://schemas.openxmlformats.org/spreadsheetml/2006/main" xmlns:r="http://schemas.openxmlformats.org/officeDocument/2006/relationships">
  <sheetPr>
    <tabColor rgb="FFB5704F"/>
    <pageSetUpPr fitToPage="1"/>
  </sheetPr>
  <dimension ref="A1:AH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28.7109375" style="15" customWidth="1"/>
    <col min="3" max="3" width="18.7109375" style="15" customWidth="1"/>
    <col min="4" max="4" width="16.7109375" style="15" customWidth="1"/>
    <col min="5" max="5" width="12.7109375" style="15" customWidth="1"/>
    <col min="6" max="6" width="13.7109375" style="16" customWidth="1"/>
    <col min="7" max="7" width="13.7109375" style="19" customWidth="1"/>
    <col min="8" max="8" width="11.7109375" style="18" customWidth="1"/>
    <col min="9" max="9" width="13.7109375" style="39" customWidth="1"/>
    <col min="10" max="10" width="14.7109375" style="15" customWidth="1"/>
    <col min="11" max="11" width="26.7109375" style="40" customWidth="1"/>
    <col min="12" max="12" width="8.7109375" style="32" customWidth="1"/>
    <col min="13" max="13" width="9.7109375" style="32" hidden="1" customWidth="1"/>
    <col min="14" max="14" width="13.7109375" style="20" customWidth="1"/>
    <col min="15" max="15" width="13.7109375" style="20" customWidth="1"/>
    <col min="16" max="16" width="11.7109375" style="20" customWidth="1"/>
    <col min="17" max="17" width="11.7109375" style="20" customWidth="1"/>
    <col min="18" max="18" width="11.7109375" style="20" customWidth="1"/>
    <col min="19" max="19" width="9.7109375" style="33" hidden="1" customWidth="1"/>
    <col min="20" max="20" width="9.7109375" style="20" hidden="1" customWidth="1"/>
    <col min="21" max="21" width="9.7109375" style="41" hidden="1" customWidth="1"/>
    <col min="22" max="22" width="10.7109375" style="20" hidden="1" customWidth="1"/>
    <col min="23" max="23" width="13.7109375" style="20" customWidth="1"/>
    <col min="24" max="24" width="13.7109375" style="20" hidden="1" customWidth="1"/>
    <col min="25" max="25" width="11.7109375" style="20" customWidth="1"/>
    <col min="26" max="26" width="11.7109375" style="20" customWidth="1"/>
    <col min="27" max="27" width="11.7109375" style="20" customWidth="1"/>
    <col min="28" max="28" width="9.7109375" style="33" customWidth="1"/>
    <col min="29" max="29" width="11.7109375" style="20" customWidth="1"/>
    <col min="30" max="30" width="9.7109375" style="33" hidden="1" customWidth="1"/>
    <col min="31" max="31" width="12.7109375" style="33" hidden="1" customWidth="1"/>
    <col min="32" max="32" width="12.7109375" style="33" customWidth="1"/>
    <col min="33" max="33" width="11.7109375" style="32" customWidth="1"/>
    <col min="34" max="34" width="28.7109375" style="43" customWidth="1"/>
  </cols>
  <sheetData>
    <row r="1" spans="1:34" ht="34" customHeight="1">
      <c r="A1" s="2" t="s">
        <v>1460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3" t="s">
        <v>1</v>
      </c>
      <c r="AG1" s="3"/>
      <c r="AH1" s="3"/>
    </row>
    <row r="2" spans="1:34" ht="18" customHeight="1">
      <c r="A2" s="4" t="s">
        <v>1461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1462</v>
      </c>
      <c r="T3" s="44"/>
      <c r="U3" s="44"/>
      <c r="V3" s="44"/>
      <c r="W3" s="44"/>
      <c r="X3" s="44"/>
      <c r="Y3" s="44"/>
      <c r="Z3" s="44"/>
      <c r="AA3" s="44"/>
      <c r="AB3" s="44"/>
      <c r="AC3" s="44"/>
      <c r="AD3" s="44"/>
      <c r="AE3" s="44"/>
      <c r="AF3" s="44"/>
      <c r="AG3" s="44"/>
      <c r="AH3" s="44"/>
    </row>
    <row r="4" spans="1:34" ht="30" customHeight="1">
      <c r="A4" s="8" t="s">
        <v>451</v>
      </c>
      <c r="B4" s="8" t="s">
        <v>1463</v>
      </c>
      <c r="C4" s="9" t="s">
        <v>569</v>
      </c>
      <c r="D4" s="9" t="s">
        <v>441</v>
      </c>
      <c r="E4" s="9" t="s">
        <v>457</v>
      </c>
      <c r="F4" s="9" t="s">
        <v>1406</v>
      </c>
      <c r="G4" s="9" t="s">
        <v>1464</v>
      </c>
      <c r="H4" s="9" t="s">
        <v>461</v>
      </c>
      <c r="I4" s="9" t="s">
        <v>453</v>
      </c>
      <c r="J4" s="9" t="s">
        <v>454</v>
      </c>
      <c r="K4" s="9" t="s">
        <v>466</v>
      </c>
      <c r="L4" s="9" t="s">
        <v>437</v>
      </c>
      <c r="M4" s="9" t="s">
        <v>26</v>
      </c>
      <c r="N4" s="9" t="s">
        <v>1465</v>
      </c>
      <c r="O4" s="9" t="s">
        <v>1466</v>
      </c>
      <c r="P4" s="9" t="s">
        <v>457</v>
      </c>
      <c r="Q4" s="9" t="s">
        <v>788</v>
      </c>
      <c r="R4" s="9" t="s">
        <v>489</v>
      </c>
      <c r="S4" s="9" t="s">
        <v>443</v>
      </c>
      <c r="T4" s="9" t="s">
        <v>481</v>
      </c>
      <c r="U4" s="9" t="s">
        <v>1055</v>
      </c>
      <c r="V4" s="9" t="s">
        <v>1255</v>
      </c>
      <c r="W4" s="9" t="s">
        <v>487</v>
      </c>
      <c r="X4" s="9" t="s">
        <v>1467</v>
      </c>
      <c r="Y4" s="9" t="s">
        <v>488</v>
      </c>
      <c r="Z4" s="9" t="s">
        <v>490</v>
      </c>
      <c r="AA4" s="9" t="s">
        <v>421</v>
      </c>
      <c r="AB4" s="9" t="s">
        <v>42</v>
      </c>
      <c r="AC4" s="9" t="s">
        <v>1468</v>
      </c>
      <c r="AD4" s="9" t="s">
        <v>1469</v>
      </c>
      <c r="AE4" s="9" t="s">
        <v>1470</v>
      </c>
      <c r="AF4" s="9" t="s">
        <v>1471</v>
      </c>
      <c r="AG4" s="9" t="s">
        <v>1472</v>
      </c>
      <c r="AH4" s="9" t="s">
        <v>510</v>
      </c>
    </row>
    <row r="5" spans="1:34">
      <c r="A5" s="38">
        <f>IF(B5="","",BundlePrefix&amp;TEXT(ROW()-4,"0000"))</f>
        <v>0</v>
      </c>
      <c r="B5" s="15" t="s">
        <v>1473</v>
      </c>
      <c r="C5" s="15" t="s">
        <v>1474</v>
      </c>
      <c r="D5" s="15" t="s">
        <v>287</v>
      </c>
      <c r="E5" s="15" t="s">
        <v>529</v>
      </c>
      <c r="F5" s="16">
        <v>12</v>
      </c>
      <c r="G5" s="19">
        <v>0.12</v>
      </c>
      <c r="I5" s="39" t="s">
        <v>513</v>
      </c>
      <c r="J5" s="15" t="s">
        <v>537</v>
      </c>
      <c r="K5" s="40" t="s">
        <v>1475</v>
      </c>
      <c r="L5" s="32">
        <f>IF(B5="","",SUMIFS('Bundle Lines'!$E$5:$E$204,'Bundle Lines'!$A$5:$A$204,A5))</f>
        <v>0</v>
      </c>
      <c r="M5" s="32">
        <f>IF(B5="","",COUNTIFS('Bundle Lines'!$A$5:$A$204,A5))</f>
        <v>0</v>
      </c>
      <c r="N5" s="20">
        <f>IF(B5="","",ROUND(SUMIFS('Bundle Lines'!$J$5:$J$204,'Bundle Lines'!$A$5:$A$204,A5),2))</f>
        <v>0</v>
      </c>
      <c r="O5" s="20">
        <f>IF(B5="","",ROUND(SUMIFS('Bundle Lines'!$K$5:$K$204,'Bundle Lines'!$A$5:$A$204,A5),2))</f>
        <v>0</v>
      </c>
      <c r="P5" s="20">
        <f>IF(B5="","",ROUND(IF(E5="Budget",PackBudget,IF(E5="Standard",PackStandard,IF(E5="Gift",PackGift,IF(E5="Premium",PackPremium,DefaultPackaging)))),2))</f>
        <v>0</v>
      </c>
      <c r="Q5" s="20">
        <f>IF(B5="","",ROUND(IF(F5="",0,F5)/60*LaborCostHour,2))</f>
        <v>0</v>
      </c>
      <c r="R5" s="20">
        <f>IF(B5="","",ROUND(N5+P5+Q5,2))</f>
        <v>0</v>
      </c>
      <c r="S5" s="33">
        <f>IF(B5="","",IFERROR(INDEX(Channels!$S$5:$S$18,MATCH(IF(D5="",DefaultChannel,D5),Channels!$A$5:$A$18,0)),0))</f>
        <v>0</v>
      </c>
      <c r="T5" s="20">
        <f>IF(B5="","",IFERROR(INDEX(Channels!$T$5:$T$18,MATCH(IF(D5="",DefaultChannel,D5),Channels!$A$5:$A$18,0)),0))</f>
        <v>0</v>
      </c>
      <c r="U5" s="41">
        <f>IF(B5="","",1-TargetRetailMargin-S5)</f>
        <v>0</v>
      </c>
      <c r="V5" s="20">
        <f>IF(B5="","",IF(U5&lt;=0,"",(R5+T5)/U5))</f>
        <v>0</v>
      </c>
      <c r="W5" s="20">
        <f>IF(B5="","",IF(V5="","Check the settings",ROUND(IF(RoundingRule="None",V5,IF(RoundingRule="Nearest 0.99",MAX(0.99,CEILING(V5,1)-0.01),IF(RoundingRule="Nearest 0.95",MAX(0.95,CEILING(V5,1)-0.05),IF(RoundingRule="Nearest 0.50",CEILING(V5,0.5),IF(RoundingRule="Nearest 1",CEILING(V5,1),IF(RoundingRule="Nearest 5",CEILING(V5,5),IF(RoundingRule="Up to whole 1",CEILING(V5,1),IF(RoundingRule="Up to whole 5",CEILING(V5,5),ROUND(V5,2))))))))),2)))</f>
        <v>0</v>
      </c>
      <c r="X5" s="20">
        <f>IF(B5="","",IF(O5=0,"",ROUND(O5*(1-IF(G5="",0,G5)),2)))</f>
        <v>0</v>
      </c>
      <c r="Y5" s="20">
        <f>IF(B5="","",IF(H5&lt;&gt;"",H5,IF(X5&lt;&gt;"",X5,IF(ISNUMBER(W5),W5,""))))</f>
        <v>0</v>
      </c>
      <c r="Z5" s="20">
        <f>IF(B5="","",IF(Y5="","",ROUND(Y5*S5+T5,2)))</f>
        <v>0</v>
      </c>
      <c r="AA5" s="20">
        <f>IF(B5="","",IF(Y5="","",ROUND(Y5-R5-Z5,2)))</f>
        <v>0</v>
      </c>
      <c r="AB5" s="33">
        <f>IF(B5="","",IF(OR(Y5="",Y5=0),"",AA5/Y5))</f>
        <v>0</v>
      </c>
      <c r="AC5" s="20">
        <f>IF(B5="","",IF(OR(Y5="",O5=0),"",ROUND(O5-Y5,2)))</f>
        <v>0</v>
      </c>
      <c r="AD5" s="33">
        <f>IF(B5="","",IF(OR(AC5="",O5=0),"",AC5/O5))</f>
        <v>0</v>
      </c>
      <c r="AE5" s="33">
        <f>IF(B5="","",IF(O5=0,"",(O5-N5)/O5))</f>
        <v>0</v>
      </c>
      <c r="AF5" s="33">
        <f>IF(B5="","",IF(OR(AB5="",AE5=""),"",AE5-AB5))</f>
        <v>0</v>
      </c>
      <c r="AG5" s="32">
        <f>IF(B5="","",SUMIFS(Sales!$D$5:$D$804,Sales!$C$5:$C$804,A5))</f>
        <v>0</v>
      </c>
      <c r="AH5" s="43">
        <f>IF(B5="","",IF(L5=0,"Add - no products in it yet",IF(Y5="","Check - no price yet",IF(AA5&lt;0,"Loss - the discount is too deep",IF(AB5&lt;MarginWarning,"Low margin - trim the discount",IF(AND(AF5&lt;&gt;"",AF5&gt;0.15),"Check - giving away a lot of margin",IF(F5="","Add - how long does it take to box?","OK")))))))</f>
        <v>0</v>
      </c>
    </row>
    <row r="6" spans="1:34">
      <c r="A6" s="38">
        <f>IF(B6="","",BundlePrefix&amp;TEXT(ROW()-4,"0000"))</f>
        <v>0</v>
      </c>
      <c r="B6" s="15" t="s">
        <v>1476</v>
      </c>
      <c r="C6" s="15" t="s">
        <v>1477</v>
      </c>
      <c r="D6" s="15" t="s">
        <v>287</v>
      </c>
      <c r="E6" s="15" t="s">
        <v>516</v>
      </c>
      <c r="F6" s="16">
        <v>6</v>
      </c>
      <c r="G6" s="19">
        <v>0.1</v>
      </c>
      <c r="I6" s="39" t="s">
        <v>513</v>
      </c>
      <c r="J6" s="15" t="s">
        <v>522</v>
      </c>
      <c r="K6" s="40" t="s">
        <v>1478</v>
      </c>
      <c r="L6" s="32">
        <f>IF(B6="","",SUMIFS('Bundle Lines'!$E$5:$E$204,'Bundle Lines'!$A$5:$A$204,A6))</f>
        <v>0</v>
      </c>
      <c r="M6" s="32">
        <f>IF(B6="","",COUNTIFS('Bundle Lines'!$A$5:$A$204,A6))</f>
        <v>0</v>
      </c>
      <c r="N6" s="20">
        <f>IF(B6="","",ROUND(SUMIFS('Bundle Lines'!$J$5:$J$204,'Bundle Lines'!$A$5:$A$204,A6),2))</f>
        <v>0</v>
      </c>
      <c r="O6" s="20">
        <f>IF(B6="","",ROUND(SUMIFS('Bundle Lines'!$K$5:$K$204,'Bundle Lines'!$A$5:$A$204,A6),2))</f>
        <v>0</v>
      </c>
      <c r="P6" s="20">
        <f>IF(B6="","",ROUND(IF(E6="Budget",PackBudget,IF(E6="Standard",PackStandard,IF(E6="Gift",PackGift,IF(E6="Premium",PackPremium,DefaultPackaging)))),2))</f>
        <v>0</v>
      </c>
      <c r="Q6" s="20">
        <f>IF(B6="","",ROUND(IF(F6="",0,F6)/60*LaborCostHour,2))</f>
        <v>0</v>
      </c>
      <c r="R6" s="20">
        <f>IF(B6="","",ROUND(N6+P6+Q6,2))</f>
        <v>0</v>
      </c>
      <c r="S6" s="33">
        <f>IF(B6="","",IFERROR(INDEX(Channels!$S$5:$S$18,MATCH(IF(D6="",DefaultChannel,D6),Channels!$A$5:$A$18,0)),0))</f>
        <v>0</v>
      </c>
      <c r="T6" s="20">
        <f>IF(B6="","",IFERROR(INDEX(Channels!$T$5:$T$18,MATCH(IF(D6="",DefaultChannel,D6),Channels!$A$5:$A$18,0)),0))</f>
        <v>0</v>
      </c>
      <c r="U6" s="41">
        <f>IF(B6="","",1-TargetRetailMargin-S6)</f>
        <v>0</v>
      </c>
      <c r="V6" s="20">
        <f>IF(B6="","",IF(U6&lt;=0,"",(R6+T6)/U6))</f>
        <v>0</v>
      </c>
      <c r="W6" s="20">
        <f>IF(B6="","",IF(V6="","Check the settings",ROUND(IF(RoundingRule="None",V6,IF(RoundingRule="Nearest 0.99",MAX(0.99,CEILING(V6,1)-0.01),IF(RoundingRule="Nearest 0.95",MAX(0.95,CEILING(V6,1)-0.05),IF(RoundingRule="Nearest 0.50",CEILING(V6,0.5),IF(RoundingRule="Nearest 1",CEILING(V6,1),IF(RoundingRule="Nearest 5",CEILING(V6,5),IF(RoundingRule="Up to whole 1",CEILING(V6,1),IF(RoundingRule="Up to whole 5",CEILING(V6,5),ROUND(V6,2))))))))),2)))</f>
        <v>0</v>
      </c>
      <c r="X6" s="20">
        <f>IF(B6="","",IF(O6=0,"",ROUND(O6*(1-IF(G6="",0,G6)),2)))</f>
        <v>0</v>
      </c>
      <c r="Y6" s="20">
        <f>IF(B6="","",IF(H6&lt;&gt;"",H6,IF(X6&lt;&gt;"",X6,IF(ISNUMBER(W6),W6,""))))</f>
        <v>0</v>
      </c>
      <c r="Z6" s="20">
        <f>IF(B6="","",IF(Y6="","",ROUND(Y6*S6+T6,2)))</f>
        <v>0</v>
      </c>
      <c r="AA6" s="20">
        <f>IF(B6="","",IF(Y6="","",ROUND(Y6-R6-Z6,2)))</f>
        <v>0</v>
      </c>
      <c r="AB6" s="33">
        <f>IF(B6="","",IF(OR(Y6="",Y6=0),"",AA6/Y6))</f>
        <v>0</v>
      </c>
      <c r="AC6" s="20">
        <f>IF(B6="","",IF(OR(Y6="",O6=0),"",ROUND(O6-Y6,2)))</f>
        <v>0</v>
      </c>
      <c r="AD6" s="33">
        <f>IF(B6="","",IF(OR(AC6="",O6=0),"",AC6/O6))</f>
        <v>0</v>
      </c>
      <c r="AE6" s="33">
        <f>IF(B6="","",IF(O6=0,"",(O6-N6)/O6))</f>
        <v>0</v>
      </c>
      <c r="AF6" s="33">
        <f>IF(B6="","",IF(OR(AB6="",AE6=""),"",AE6-AB6))</f>
        <v>0</v>
      </c>
      <c r="AG6" s="32">
        <f>IF(B6="","",SUMIFS(Sales!$D$5:$D$804,Sales!$C$5:$C$804,A6))</f>
        <v>0</v>
      </c>
      <c r="AH6" s="43">
        <f>IF(B6="","",IF(L6=0,"Add - no products in it yet",IF(Y6="","Check - no price yet",IF(AA6&lt;0,"Loss - the discount is too deep",IF(AB6&lt;MarginWarning,"Low margin - trim the discount",IF(AND(AF6&lt;&gt;"",AF6&gt;0.15),"Check - giving away a lot of margin",IF(F6="","Add - how long does it take to box?","OK")))))))</f>
        <v>0</v>
      </c>
    </row>
    <row r="7" spans="1:34">
      <c r="A7" s="38">
        <f>IF(B7="","",BundlePrefix&amp;TEXT(ROW()-4,"0000"))</f>
        <v>0</v>
      </c>
      <c r="B7" s="15" t="s">
        <v>1479</v>
      </c>
      <c r="C7" s="15" t="s">
        <v>1474</v>
      </c>
      <c r="D7" s="15" t="s">
        <v>545</v>
      </c>
      <c r="E7" s="15" t="s">
        <v>813</v>
      </c>
      <c r="F7" s="16">
        <v>15</v>
      </c>
      <c r="G7" s="19">
        <v>0.08</v>
      </c>
      <c r="H7" s="18">
        <v>92</v>
      </c>
      <c r="I7" s="39" t="s">
        <v>513</v>
      </c>
      <c r="J7" s="15" t="s">
        <v>522</v>
      </c>
      <c r="K7" s="40" t="s">
        <v>1480</v>
      </c>
      <c r="L7" s="32">
        <f>IF(B7="","",SUMIFS('Bundle Lines'!$E$5:$E$204,'Bundle Lines'!$A$5:$A$204,A7))</f>
        <v>0</v>
      </c>
      <c r="M7" s="32">
        <f>IF(B7="","",COUNTIFS('Bundle Lines'!$A$5:$A$204,A7))</f>
        <v>0</v>
      </c>
      <c r="N7" s="20">
        <f>IF(B7="","",ROUND(SUMIFS('Bundle Lines'!$J$5:$J$204,'Bundle Lines'!$A$5:$A$204,A7),2))</f>
        <v>0</v>
      </c>
      <c r="O7" s="20">
        <f>IF(B7="","",ROUND(SUMIFS('Bundle Lines'!$K$5:$K$204,'Bundle Lines'!$A$5:$A$204,A7),2))</f>
        <v>0</v>
      </c>
      <c r="P7" s="20">
        <f>IF(B7="","",ROUND(IF(E7="Budget",PackBudget,IF(E7="Standard",PackStandard,IF(E7="Gift",PackGift,IF(E7="Premium",PackPremium,DefaultPackaging)))),2))</f>
        <v>0</v>
      </c>
      <c r="Q7" s="20">
        <f>IF(B7="","",ROUND(IF(F7="",0,F7)/60*LaborCostHour,2))</f>
        <v>0</v>
      </c>
      <c r="R7" s="20">
        <f>IF(B7="","",ROUND(N7+P7+Q7,2))</f>
        <v>0</v>
      </c>
      <c r="S7" s="33">
        <f>IF(B7="","",IFERROR(INDEX(Channels!$S$5:$S$18,MATCH(IF(D7="",DefaultChannel,D7),Channels!$A$5:$A$18,0)),0))</f>
        <v>0</v>
      </c>
      <c r="T7" s="20">
        <f>IF(B7="","",IFERROR(INDEX(Channels!$T$5:$T$18,MATCH(IF(D7="",DefaultChannel,D7),Channels!$A$5:$A$18,0)),0))</f>
        <v>0</v>
      </c>
      <c r="U7" s="41">
        <f>IF(B7="","",1-TargetRetailMargin-S7)</f>
        <v>0</v>
      </c>
      <c r="V7" s="20">
        <f>IF(B7="","",IF(U7&lt;=0,"",(R7+T7)/U7))</f>
        <v>0</v>
      </c>
      <c r="W7" s="20">
        <f>IF(B7="","",IF(V7="","Check the settings",ROUND(IF(RoundingRule="None",V7,IF(RoundingRule="Nearest 0.99",MAX(0.99,CEILING(V7,1)-0.01),IF(RoundingRule="Nearest 0.95",MAX(0.95,CEILING(V7,1)-0.05),IF(RoundingRule="Nearest 0.50",CEILING(V7,0.5),IF(RoundingRule="Nearest 1",CEILING(V7,1),IF(RoundingRule="Nearest 5",CEILING(V7,5),IF(RoundingRule="Up to whole 1",CEILING(V7,1),IF(RoundingRule="Up to whole 5",CEILING(V7,5),ROUND(V7,2))))))))),2)))</f>
        <v>0</v>
      </c>
      <c r="X7" s="20">
        <f>IF(B7="","",IF(O7=0,"",ROUND(O7*(1-IF(G7="",0,G7)),2)))</f>
        <v>0</v>
      </c>
      <c r="Y7" s="20">
        <f>IF(B7="","",IF(H7&lt;&gt;"",H7,IF(X7&lt;&gt;"",X7,IF(ISNUMBER(W7),W7,""))))</f>
        <v>0</v>
      </c>
      <c r="Z7" s="20">
        <f>IF(B7="","",IF(Y7="","",ROUND(Y7*S7+T7,2)))</f>
        <v>0</v>
      </c>
      <c r="AA7" s="20">
        <f>IF(B7="","",IF(Y7="","",ROUND(Y7-R7-Z7,2)))</f>
        <v>0</v>
      </c>
      <c r="AB7" s="33">
        <f>IF(B7="","",IF(OR(Y7="",Y7=0),"",AA7/Y7))</f>
        <v>0</v>
      </c>
      <c r="AC7" s="20">
        <f>IF(B7="","",IF(OR(Y7="",O7=0),"",ROUND(O7-Y7,2)))</f>
        <v>0</v>
      </c>
      <c r="AD7" s="33">
        <f>IF(B7="","",IF(OR(AC7="",O7=0),"",AC7/O7))</f>
        <v>0</v>
      </c>
      <c r="AE7" s="33">
        <f>IF(B7="","",IF(O7=0,"",(O7-N7)/O7))</f>
        <v>0</v>
      </c>
      <c r="AF7" s="33">
        <f>IF(B7="","",IF(OR(AB7="",AE7=""),"",AE7-AB7))</f>
        <v>0</v>
      </c>
      <c r="AG7" s="32">
        <f>IF(B7="","",SUMIFS(Sales!$D$5:$D$804,Sales!$C$5:$C$804,A7))</f>
        <v>0</v>
      </c>
      <c r="AH7" s="43">
        <f>IF(B7="","",IF(L7=0,"Add - no products in it yet",IF(Y7="","Check - no price yet",IF(AA7&lt;0,"Loss - the discount is too deep",IF(AB7&lt;MarginWarning,"Low margin - trim the discount",IF(AND(AF7&lt;&gt;"",AF7&gt;0.15),"Check - giving away a lot of margin",IF(F7="","Add - how long does it take to box?","OK")))))))</f>
        <v>0</v>
      </c>
    </row>
    <row r="8" spans="1:34">
      <c r="A8" s="38">
        <f>IF(B8="","",BundlePrefix&amp;TEXT(ROW()-4,"0000"))</f>
        <v>0</v>
      </c>
      <c r="L8" s="32">
        <f>IF(B8="","",SUMIFS('Bundle Lines'!$E$5:$E$204,'Bundle Lines'!$A$5:$A$204,A8))</f>
        <v>0</v>
      </c>
      <c r="M8" s="32">
        <f>IF(B8="","",COUNTIFS('Bundle Lines'!$A$5:$A$204,A8))</f>
        <v>0</v>
      </c>
      <c r="N8" s="20">
        <f>IF(B8="","",ROUND(SUMIFS('Bundle Lines'!$J$5:$J$204,'Bundle Lines'!$A$5:$A$204,A8),2))</f>
        <v>0</v>
      </c>
      <c r="O8" s="20">
        <f>IF(B8="","",ROUND(SUMIFS('Bundle Lines'!$K$5:$K$204,'Bundle Lines'!$A$5:$A$204,A8),2))</f>
        <v>0</v>
      </c>
      <c r="P8" s="20">
        <f>IF(B8="","",ROUND(IF(E8="Budget",PackBudget,IF(E8="Standard",PackStandard,IF(E8="Gift",PackGift,IF(E8="Premium",PackPremium,DefaultPackaging)))),2))</f>
        <v>0</v>
      </c>
      <c r="Q8" s="20">
        <f>IF(B8="","",ROUND(IF(F8="",0,F8)/60*LaborCostHour,2))</f>
        <v>0</v>
      </c>
      <c r="R8" s="20">
        <f>IF(B8="","",ROUND(N8+P8+Q8,2))</f>
        <v>0</v>
      </c>
      <c r="S8" s="33">
        <f>IF(B8="","",IFERROR(INDEX(Channels!$S$5:$S$18,MATCH(IF(D8="",DefaultChannel,D8),Channels!$A$5:$A$18,0)),0))</f>
        <v>0</v>
      </c>
      <c r="T8" s="20">
        <f>IF(B8="","",IFERROR(INDEX(Channels!$T$5:$T$18,MATCH(IF(D8="",DefaultChannel,D8),Channels!$A$5:$A$18,0)),0))</f>
        <v>0</v>
      </c>
      <c r="U8" s="41">
        <f>IF(B8="","",1-TargetRetailMargin-S8)</f>
        <v>0</v>
      </c>
      <c r="V8" s="20">
        <f>IF(B8="","",IF(U8&lt;=0,"",(R8+T8)/U8))</f>
        <v>0</v>
      </c>
      <c r="W8" s="20">
        <f>IF(B8="","",IF(V8="","Check the settings",ROUND(IF(RoundingRule="None",V8,IF(RoundingRule="Nearest 0.99",MAX(0.99,CEILING(V8,1)-0.01),IF(RoundingRule="Nearest 0.95",MAX(0.95,CEILING(V8,1)-0.05),IF(RoundingRule="Nearest 0.50",CEILING(V8,0.5),IF(RoundingRule="Nearest 1",CEILING(V8,1),IF(RoundingRule="Nearest 5",CEILING(V8,5),IF(RoundingRule="Up to whole 1",CEILING(V8,1),IF(RoundingRule="Up to whole 5",CEILING(V8,5),ROUND(V8,2))))))))),2)))</f>
        <v>0</v>
      </c>
      <c r="X8" s="20">
        <f>IF(B8="","",IF(O8=0,"",ROUND(O8*(1-IF(G8="",0,G8)),2)))</f>
        <v>0</v>
      </c>
      <c r="Y8" s="20">
        <f>IF(B8="","",IF(H8&lt;&gt;"",H8,IF(X8&lt;&gt;"",X8,IF(ISNUMBER(W8),W8,""))))</f>
        <v>0</v>
      </c>
      <c r="Z8" s="20">
        <f>IF(B8="","",IF(Y8="","",ROUND(Y8*S8+T8,2)))</f>
        <v>0</v>
      </c>
      <c r="AA8" s="20">
        <f>IF(B8="","",IF(Y8="","",ROUND(Y8-R8-Z8,2)))</f>
        <v>0</v>
      </c>
      <c r="AB8" s="33">
        <f>IF(B8="","",IF(OR(Y8="",Y8=0),"",AA8/Y8))</f>
        <v>0</v>
      </c>
      <c r="AC8" s="20">
        <f>IF(B8="","",IF(OR(Y8="",O8=0),"",ROUND(O8-Y8,2)))</f>
        <v>0</v>
      </c>
      <c r="AD8" s="33">
        <f>IF(B8="","",IF(OR(AC8="",O8=0),"",AC8/O8))</f>
        <v>0</v>
      </c>
      <c r="AE8" s="33">
        <f>IF(B8="","",IF(O8=0,"",(O8-N8)/O8))</f>
        <v>0</v>
      </c>
      <c r="AF8" s="33">
        <f>IF(B8="","",IF(OR(AB8="",AE8=""),"",AE8-AB8))</f>
        <v>0</v>
      </c>
      <c r="AG8" s="32">
        <f>IF(B8="","",SUMIFS(Sales!$D$5:$D$804,Sales!$C$5:$C$804,A8))</f>
        <v>0</v>
      </c>
      <c r="AH8" s="43">
        <f>IF(B8="","",IF(L8=0,"Add - no products in it yet",IF(Y8="","Check - no price yet",IF(AA8&lt;0,"Loss - the discount is too deep",IF(AB8&lt;MarginWarning,"Low margin - trim the discount",IF(AND(AF8&lt;&gt;"",AF8&gt;0.15),"Check - giving away a lot of margin",IF(F8="","Add - how long does it take to box?","OK")))))))</f>
        <v>0</v>
      </c>
    </row>
    <row r="9" spans="1:34">
      <c r="A9" s="38">
        <f>IF(B9="","",BundlePrefix&amp;TEXT(ROW()-4,"0000"))</f>
        <v>0</v>
      </c>
      <c r="L9" s="32">
        <f>IF(B9="","",SUMIFS('Bundle Lines'!$E$5:$E$204,'Bundle Lines'!$A$5:$A$204,A9))</f>
        <v>0</v>
      </c>
      <c r="M9" s="32">
        <f>IF(B9="","",COUNTIFS('Bundle Lines'!$A$5:$A$204,A9))</f>
        <v>0</v>
      </c>
      <c r="N9" s="20">
        <f>IF(B9="","",ROUND(SUMIFS('Bundle Lines'!$J$5:$J$204,'Bundle Lines'!$A$5:$A$204,A9),2))</f>
        <v>0</v>
      </c>
      <c r="O9" s="20">
        <f>IF(B9="","",ROUND(SUMIFS('Bundle Lines'!$K$5:$K$204,'Bundle Lines'!$A$5:$A$204,A9),2))</f>
        <v>0</v>
      </c>
      <c r="P9" s="20">
        <f>IF(B9="","",ROUND(IF(E9="Budget",PackBudget,IF(E9="Standard",PackStandard,IF(E9="Gift",PackGift,IF(E9="Premium",PackPremium,DefaultPackaging)))),2))</f>
        <v>0</v>
      </c>
      <c r="Q9" s="20">
        <f>IF(B9="","",ROUND(IF(F9="",0,F9)/60*LaborCostHour,2))</f>
        <v>0</v>
      </c>
      <c r="R9" s="20">
        <f>IF(B9="","",ROUND(N9+P9+Q9,2))</f>
        <v>0</v>
      </c>
      <c r="S9" s="33">
        <f>IF(B9="","",IFERROR(INDEX(Channels!$S$5:$S$18,MATCH(IF(D9="",DefaultChannel,D9),Channels!$A$5:$A$18,0)),0))</f>
        <v>0</v>
      </c>
      <c r="T9" s="20">
        <f>IF(B9="","",IFERROR(INDEX(Channels!$T$5:$T$18,MATCH(IF(D9="",DefaultChannel,D9),Channels!$A$5:$A$18,0)),0))</f>
        <v>0</v>
      </c>
      <c r="U9" s="41">
        <f>IF(B9="","",1-TargetRetailMargin-S9)</f>
        <v>0</v>
      </c>
      <c r="V9" s="20">
        <f>IF(B9="","",IF(U9&lt;=0,"",(R9+T9)/U9))</f>
        <v>0</v>
      </c>
      <c r="W9" s="20">
        <f>IF(B9="","",IF(V9="","Check the settings",ROUND(IF(RoundingRule="None",V9,IF(RoundingRule="Nearest 0.99",MAX(0.99,CEILING(V9,1)-0.01),IF(RoundingRule="Nearest 0.95",MAX(0.95,CEILING(V9,1)-0.05),IF(RoundingRule="Nearest 0.50",CEILING(V9,0.5),IF(RoundingRule="Nearest 1",CEILING(V9,1),IF(RoundingRule="Nearest 5",CEILING(V9,5),IF(RoundingRule="Up to whole 1",CEILING(V9,1),IF(RoundingRule="Up to whole 5",CEILING(V9,5),ROUND(V9,2))))))))),2)))</f>
        <v>0</v>
      </c>
      <c r="X9" s="20">
        <f>IF(B9="","",IF(O9=0,"",ROUND(O9*(1-IF(G9="",0,G9)),2)))</f>
        <v>0</v>
      </c>
      <c r="Y9" s="20">
        <f>IF(B9="","",IF(H9&lt;&gt;"",H9,IF(X9&lt;&gt;"",X9,IF(ISNUMBER(W9),W9,""))))</f>
        <v>0</v>
      </c>
      <c r="Z9" s="20">
        <f>IF(B9="","",IF(Y9="","",ROUND(Y9*S9+T9,2)))</f>
        <v>0</v>
      </c>
      <c r="AA9" s="20">
        <f>IF(B9="","",IF(Y9="","",ROUND(Y9-R9-Z9,2)))</f>
        <v>0</v>
      </c>
      <c r="AB9" s="33">
        <f>IF(B9="","",IF(OR(Y9="",Y9=0),"",AA9/Y9))</f>
        <v>0</v>
      </c>
      <c r="AC9" s="20">
        <f>IF(B9="","",IF(OR(Y9="",O9=0),"",ROUND(O9-Y9,2)))</f>
        <v>0</v>
      </c>
      <c r="AD9" s="33">
        <f>IF(B9="","",IF(OR(AC9="",O9=0),"",AC9/O9))</f>
        <v>0</v>
      </c>
      <c r="AE9" s="33">
        <f>IF(B9="","",IF(O9=0,"",(O9-N9)/O9))</f>
        <v>0</v>
      </c>
      <c r="AF9" s="33">
        <f>IF(B9="","",IF(OR(AB9="",AE9=""),"",AE9-AB9))</f>
        <v>0</v>
      </c>
      <c r="AG9" s="32">
        <f>IF(B9="","",SUMIFS(Sales!$D$5:$D$804,Sales!$C$5:$C$804,A9))</f>
        <v>0</v>
      </c>
      <c r="AH9" s="43">
        <f>IF(B9="","",IF(L9=0,"Add - no products in it yet",IF(Y9="","Check - no price yet",IF(AA9&lt;0,"Loss - the discount is too deep",IF(AB9&lt;MarginWarning,"Low margin - trim the discount",IF(AND(AF9&lt;&gt;"",AF9&gt;0.15),"Check - giving away a lot of margin",IF(F9="","Add - how long does it take to box?","OK")))))))</f>
        <v>0</v>
      </c>
    </row>
    <row r="10" spans="1:34">
      <c r="A10" s="38">
        <f>IF(B10="","",BundlePrefix&amp;TEXT(ROW()-4,"0000"))</f>
        <v>0</v>
      </c>
      <c r="L10" s="32">
        <f>IF(B10="","",SUMIFS('Bundle Lines'!$E$5:$E$204,'Bundle Lines'!$A$5:$A$204,A10))</f>
        <v>0</v>
      </c>
      <c r="M10" s="32">
        <f>IF(B10="","",COUNTIFS('Bundle Lines'!$A$5:$A$204,A10))</f>
        <v>0</v>
      </c>
      <c r="N10" s="20">
        <f>IF(B10="","",ROUND(SUMIFS('Bundle Lines'!$J$5:$J$204,'Bundle Lines'!$A$5:$A$204,A10),2))</f>
        <v>0</v>
      </c>
      <c r="O10" s="20">
        <f>IF(B10="","",ROUND(SUMIFS('Bundle Lines'!$K$5:$K$204,'Bundle Lines'!$A$5:$A$204,A10),2))</f>
        <v>0</v>
      </c>
      <c r="P10" s="20">
        <f>IF(B10="","",ROUND(IF(E10="Budget",PackBudget,IF(E10="Standard",PackStandard,IF(E10="Gift",PackGift,IF(E10="Premium",PackPremium,DefaultPackaging)))),2))</f>
        <v>0</v>
      </c>
      <c r="Q10" s="20">
        <f>IF(B10="","",ROUND(IF(F10="",0,F10)/60*LaborCostHour,2))</f>
        <v>0</v>
      </c>
      <c r="R10" s="20">
        <f>IF(B10="","",ROUND(N10+P10+Q10,2))</f>
        <v>0</v>
      </c>
      <c r="S10" s="33">
        <f>IF(B10="","",IFERROR(INDEX(Channels!$S$5:$S$18,MATCH(IF(D10="",DefaultChannel,D10),Channels!$A$5:$A$18,0)),0))</f>
        <v>0</v>
      </c>
      <c r="T10" s="20">
        <f>IF(B10="","",IFERROR(INDEX(Channels!$T$5:$T$18,MATCH(IF(D10="",DefaultChannel,D10),Channels!$A$5:$A$18,0)),0))</f>
        <v>0</v>
      </c>
      <c r="U10" s="41">
        <f>IF(B10="","",1-TargetRetailMargin-S10)</f>
        <v>0</v>
      </c>
      <c r="V10" s="20">
        <f>IF(B10="","",IF(U10&lt;=0,"",(R10+T10)/U10))</f>
        <v>0</v>
      </c>
      <c r="W10" s="20">
        <f>IF(B10="","",IF(V10="","Check the settings",ROUND(IF(RoundingRule="None",V10,IF(RoundingRule="Nearest 0.99",MAX(0.99,CEILING(V10,1)-0.01),IF(RoundingRule="Nearest 0.95",MAX(0.95,CEILING(V10,1)-0.05),IF(RoundingRule="Nearest 0.50",CEILING(V10,0.5),IF(RoundingRule="Nearest 1",CEILING(V10,1),IF(RoundingRule="Nearest 5",CEILING(V10,5),IF(RoundingRule="Up to whole 1",CEILING(V10,1),IF(RoundingRule="Up to whole 5",CEILING(V10,5),ROUND(V10,2))))))))),2)))</f>
        <v>0</v>
      </c>
      <c r="X10" s="20">
        <f>IF(B10="","",IF(O10=0,"",ROUND(O10*(1-IF(G10="",0,G10)),2)))</f>
        <v>0</v>
      </c>
      <c r="Y10" s="20">
        <f>IF(B10="","",IF(H10&lt;&gt;"",H10,IF(X10&lt;&gt;"",X10,IF(ISNUMBER(W10),W10,""))))</f>
        <v>0</v>
      </c>
      <c r="Z10" s="20">
        <f>IF(B10="","",IF(Y10="","",ROUND(Y10*S10+T10,2)))</f>
        <v>0</v>
      </c>
      <c r="AA10" s="20">
        <f>IF(B10="","",IF(Y10="","",ROUND(Y10-R10-Z10,2)))</f>
        <v>0</v>
      </c>
      <c r="AB10" s="33">
        <f>IF(B10="","",IF(OR(Y10="",Y10=0),"",AA10/Y10))</f>
        <v>0</v>
      </c>
      <c r="AC10" s="20">
        <f>IF(B10="","",IF(OR(Y10="",O10=0),"",ROUND(O10-Y10,2)))</f>
        <v>0</v>
      </c>
      <c r="AD10" s="33">
        <f>IF(B10="","",IF(OR(AC10="",O10=0),"",AC10/O10))</f>
        <v>0</v>
      </c>
      <c r="AE10" s="33">
        <f>IF(B10="","",IF(O10=0,"",(O10-N10)/O10))</f>
        <v>0</v>
      </c>
      <c r="AF10" s="33">
        <f>IF(B10="","",IF(OR(AB10="",AE10=""),"",AE10-AB10))</f>
        <v>0</v>
      </c>
      <c r="AG10" s="32">
        <f>IF(B10="","",SUMIFS(Sales!$D$5:$D$804,Sales!$C$5:$C$804,A10))</f>
        <v>0</v>
      </c>
      <c r="AH10" s="43">
        <f>IF(B10="","",IF(L10=0,"Add - no products in it yet",IF(Y10="","Check - no price yet",IF(AA10&lt;0,"Loss - the discount is too deep",IF(AB10&lt;MarginWarning,"Low margin - trim the discount",IF(AND(AF10&lt;&gt;"",AF10&gt;0.15),"Check - giving away a lot of margin",IF(F10="","Add - how long does it take to box?","OK")))))))</f>
        <v>0</v>
      </c>
    </row>
    <row r="11" spans="1:34">
      <c r="A11" s="38">
        <f>IF(B11="","",BundlePrefix&amp;TEXT(ROW()-4,"0000"))</f>
        <v>0</v>
      </c>
      <c r="L11" s="32">
        <f>IF(B11="","",SUMIFS('Bundle Lines'!$E$5:$E$204,'Bundle Lines'!$A$5:$A$204,A11))</f>
        <v>0</v>
      </c>
      <c r="M11" s="32">
        <f>IF(B11="","",COUNTIFS('Bundle Lines'!$A$5:$A$204,A11))</f>
        <v>0</v>
      </c>
      <c r="N11" s="20">
        <f>IF(B11="","",ROUND(SUMIFS('Bundle Lines'!$J$5:$J$204,'Bundle Lines'!$A$5:$A$204,A11),2))</f>
        <v>0</v>
      </c>
      <c r="O11" s="20">
        <f>IF(B11="","",ROUND(SUMIFS('Bundle Lines'!$K$5:$K$204,'Bundle Lines'!$A$5:$A$204,A11),2))</f>
        <v>0</v>
      </c>
      <c r="P11" s="20">
        <f>IF(B11="","",ROUND(IF(E11="Budget",PackBudget,IF(E11="Standard",PackStandard,IF(E11="Gift",PackGift,IF(E11="Premium",PackPremium,DefaultPackaging)))),2))</f>
        <v>0</v>
      </c>
      <c r="Q11" s="20">
        <f>IF(B11="","",ROUND(IF(F11="",0,F11)/60*LaborCostHour,2))</f>
        <v>0</v>
      </c>
      <c r="R11" s="20">
        <f>IF(B11="","",ROUND(N11+P11+Q11,2))</f>
        <v>0</v>
      </c>
      <c r="S11" s="33">
        <f>IF(B11="","",IFERROR(INDEX(Channels!$S$5:$S$18,MATCH(IF(D11="",DefaultChannel,D11),Channels!$A$5:$A$18,0)),0))</f>
        <v>0</v>
      </c>
      <c r="T11" s="20">
        <f>IF(B11="","",IFERROR(INDEX(Channels!$T$5:$T$18,MATCH(IF(D11="",DefaultChannel,D11),Channels!$A$5:$A$18,0)),0))</f>
        <v>0</v>
      </c>
      <c r="U11" s="41">
        <f>IF(B11="","",1-TargetRetailMargin-S11)</f>
        <v>0</v>
      </c>
      <c r="V11" s="20">
        <f>IF(B11="","",IF(U11&lt;=0,"",(R11+T11)/U11))</f>
        <v>0</v>
      </c>
      <c r="W11" s="20">
        <f>IF(B11="","",IF(V11="","Check the settings",ROUND(IF(RoundingRule="None",V11,IF(RoundingRule="Nearest 0.99",MAX(0.99,CEILING(V11,1)-0.01),IF(RoundingRule="Nearest 0.95",MAX(0.95,CEILING(V11,1)-0.05),IF(RoundingRule="Nearest 0.50",CEILING(V11,0.5),IF(RoundingRule="Nearest 1",CEILING(V11,1),IF(RoundingRule="Nearest 5",CEILING(V11,5),IF(RoundingRule="Up to whole 1",CEILING(V11,1),IF(RoundingRule="Up to whole 5",CEILING(V11,5),ROUND(V11,2))))))))),2)))</f>
        <v>0</v>
      </c>
      <c r="X11" s="20">
        <f>IF(B11="","",IF(O11=0,"",ROUND(O11*(1-IF(G11="",0,G11)),2)))</f>
        <v>0</v>
      </c>
      <c r="Y11" s="20">
        <f>IF(B11="","",IF(H11&lt;&gt;"",H11,IF(X11&lt;&gt;"",X11,IF(ISNUMBER(W11),W11,""))))</f>
        <v>0</v>
      </c>
      <c r="Z11" s="20">
        <f>IF(B11="","",IF(Y11="","",ROUND(Y11*S11+T11,2)))</f>
        <v>0</v>
      </c>
      <c r="AA11" s="20">
        <f>IF(B11="","",IF(Y11="","",ROUND(Y11-R11-Z11,2)))</f>
        <v>0</v>
      </c>
      <c r="AB11" s="33">
        <f>IF(B11="","",IF(OR(Y11="",Y11=0),"",AA11/Y11))</f>
        <v>0</v>
      </c>
      <c r="AC11" s="20">
        <f>IF(B11="","",IF(OR(Y11="",O11=0),"",ROUND(O11-Y11,2)))</f>
        <v>0</v>
      </c>
      <c r="AD11" s="33">
        <f>IF(B11="","",IF(OR(AC11="",O11=0),"",AC11/O11))</f>
        <v>0</v>
      </c>
      <c r="AE11" s="33">
        <f>IF(B11="","",IF(O11=0,"",(O11-N11)/O11))</f>
        <v>0</v>
      </c>
      <c r="AF11" s="33">
        <f>IF(B11="","",IF(OR(AB11="",AE11=""),"",AE11-AB11))</f>
        <v>0</v>
      </c>
      <c r="AG11" s="32">
        <f>IF(B11="","",SUMIFS(Sales!$D$5:$D$804,Sales!$C$5:$C$804,A11))</f>
        <v>0</v>
      </c>
      <c r="AH11" s="43">
        <f>IF(B11="","",IF(L11=0,"Add - no products in it yet",IF(Y11="","Check - no price yet",IF(AA11&lt;0,"Loss - the discount is too deep",IF(AB11&lt;MarginWarning,"Low margin - trim the discount",IF(AND(AF11&lt;&gt;"",AF11&gt;0.15),"Check - giving away a lot of margin",IF(F11="","Add - how long does it take to box?","OK")))))))</f>
        <v>0</v>
      </c>
    </row>
    <row r="12" spans="1:34">
      <c r="A12" s="38">
        <f>IF(B12="","",BundlePrefix&amp;TEXT(ROW()-4,"0000"))</f>
        <v>0</v>
      </c>
      <c r="L12" s="32">
        <f>IF(B12="","",SUMIFS('Bundle Lines'!$E$5:$E$204,'Bundle Lines'!$A$5:$A$204,A12))</f>
        <v>0</v>
      </c>
      <c r="M12" s="32">
        <f>IF(B12="","",COUNTIFS('Bundle Lines'!$A$5:$A$204,A12))</f>
        <v>0</v>
      </c>
      <c r="N12" s="20">
        <f>IF(B12="","",ROUND(SUMIFS('Bundle Lines'!$J$5:$J$204,'Bundle Lines'!$A$5:$A$204,A12),2))</f>
        <v>0</v>
      </c>
      <c r="O12" s="20">
        <f>IF(B12="","",ROUND(SUMIFS('Bundle Lines'!$K$5:$K$204,'Bundle Lines'!$A$5:$A$204,A12),2))</f>
        <v>0</v>
      </c>
      <c r="P12" s="20">
        <f>IF(B12="","",ROUND(IF(E12="Budget",PackBudget,IF(E12="Standard",PackStandard,IF(E12="Gift",PackGift,IF(E12="Premium",PackPremium,DefaultPackaging)))),2))</f>
        <v>0</v>
      </c>
      <c r="Q12" s="20">
        <f>IF(B12="","",ROUND(IF(F12="",0,F12)/60*LaborCostHour,2))</f>
        <v>0</v>
      </c>
      <c r="R12" s="20">
        <f>IF(B12="","",ROUND(N12+P12+Q12,2))</f>
        <v>0</v>
      </c>
      <c r="S12" s="33">
        <f>IF(B12="","",IFERROR(INDEX(Channels!$S$5:$S$18,MATCH(IF(D12="",DefaultChannel,D12),Channels!$A$5:$A$18,0)),0))</f>
        <v>0</v>
      </c>
      <c r="T12" s="20">
        <f>IF(B12="","",IFERROR(INDEX(Channels!$T$5:$T$18,MATCH(IF(D12="",DefaultChannel,D12),Channels!$A$5:$A$18,0)),0))</f>
        <v>0</v>
      </c>
      <c r="U12" s="41">
        <f>IF(B12="","",1-TargetRetailMargin-S12)</f>
        <v>0</v>
      </c>
      <c r="V12" s="20">
        <f>IF(B12="","",IF(U12&lt;=0,"",(R12+T12)/U12))</f>
        <v>0</v>
      </c>
      <c r="W12" s="20">
        <f>IF(B12="","",IF(V12="","Check the settings",ROUND(IF(RoundingRule="None",V12,IF(RoundingRule="Nearest 0.99",MAX(0.99,CEILING(V12,1)-0.01),IF(RoundingRule="Nearest 0.95",MAX(0.95,CEILING(V12,1)-0.05),IF(RoundingRule="Nearest 0.50",CEILING(V12,0.5),IF(RoundingRule="Nearest 1",CEILING(V12,1),IF(RoundingRule="Nearest 5",CEILING(V12,5),IF(RoundingRule="Up to whole 1",CEILING(V12,1),IF(RoundingRule="Up to whole 5",CEILING(V12,5),ROUND(V12,2))))))))),2)))</f>
        <v>0</v>
      </c>
      <c r="X12" s="20">
        <f>IF(B12="","",IF(O12=0,"",ROUND(O12*(1-IF(G12="",0,G12)),2)))</f>
        <v>0</v>
      </c>
      <c r="Y12" s="20">
        <f>IF(B12="","",IF(H12&lt;&gt;"",H12,IF(X12&lt;&gt;"",X12,IF(ISNUMBER(W12),W12,""))))</f>
        <v>0</v>
      </c>
      <c r="Z12" s="20">
        <f>IF(B12="","",IF(Y12="","",ROUND(Y12*S12+T12,2)))</f>
        <v>0</v>
      </c>
      <c r="AA12" s="20">
        <f>IF(B12="","",IF(Y12="","",ROUND(Y12-R12-Z12,2)))</f>
        <v>0</v>
      </c>
      <c r="AB12" s="33">
        <f>IF(B12="","",IF(OR(Y12="",Y12=0),"",AA12/Y12))</f>
        <v>0</v>
      </c>
      <c r="AC12" s="20">
        <f>IF(B12="","",IF(OR(Y12="",O12=0),"",ROUND(O12-Y12,2)))</f>
        <v>0</v>
      </c>
      <c r="AD12" s="33">
        <f>IF(B12="","",IF(OR(AC12="",O12=0),"",AC12/O12))</f>
        <v>0</v>
      </c>
      <c r="AE12" s="33">
        <f>IF(B12="","",IF(O12=0,"",(O12-N12)/O12))</f>
        <v>0</v>
      </c>
      <c r="AF12" s="33">
        <f>IF(B12="","",IF(OR(AB12="",AE12=""),"",AE12-AB12))</f>
        <v>0</v>
      </c>
      <c r="AG12" s="32">
        <f>IF(B12="","",SUMIFS(Sales!$D$5:$D$804,Sales!$C$5:$C$804,A12))</f>
        <v>0</v>
      </c>
      <c r="AH12" s="43">
        <f>IF(B12="","",IF(L12=0,"Add - no products in it yet",IF(Y12="","Check - no price yet",IF(AA12&lt;0,"Loss - the discount is too deep",IF(AB12&lt;MarginWarning,"Low margin - trim the discount",IF(AND(AF12&lt;&gt;"",AF12&gt;0.15),"Check - giving away a lot of margin",IF(F12="","Add - how long does it take to box?","OK")))))))</f>
        <v>0</v>
      </c>
    </row>
    <row r="13" spans="1:34">
      <c r="A13" s="38">
        <f>IF(B13="","",BundlePrefix&amp;TEXT(ROW()-4,"0000"))</f>
        <v>0</v>
      </c>
      <c r="L13" s="32">
        <f>IF(B13="","",SUMIFS('Bundle Lines'!$E$5:$E$204,'Bundle Lines'!$A$5:$A$204,A13))</f>
        <v>0</v>
      </c>
      <c r="M13" s="32">
        <f>IF(B13="","",COUNTIFS('Bundle Lines'!$A$5:$A$204,A13))</f>
        <v>0</v>
      </c>
      <c r="N13" s="20">
        <f>IF(B13="","",ROUND(SUMIFS('Bundle Lines'!$J$5:$J$204,'Bundle Lines'!$A$5:$A$204,A13),2))</f>
        <v>0</v>
      </c>
      <c r="O13" s="20">
        <f>IF(B13="","",ROUND(SUMIFS('Bundle Lines'!$K$5:$K$204,'Bundle Lines'!$A$5:$A$204,A13),2))</f>
        <v>0</v>
      </c>
      <c r="P13" s="20">
        <f>IF(B13="","",ROUND(IF(E13="Budget",PackBudget,IF(E13="Standard",PackStandard,IF(E13="Gift",PackGift,IF(E13="Premium",PackPremium,DefaultPackaging)))),2))</f>
        <v>0</v>
      </c>
      <c r="Q13" s="20">
        <f>IF(B13="","",ROUND(IF(F13="",0,F13)/60*LaborCostHour,2))</f>
        <v>0</v>
      </c>
      <c r="R13" s="20">
        <f>IF(B13="","",ROUND(N13+P13+Q13,2))</f>
        <v>0</v>
      </c>
      <c r="S13" s="33">
        <f>IF(B13="","",IFERROR(INDEX(Channels!$S$5:$S$18,MATCH(IF(D13="",DefaultChannel,D13),Channels!$A$5:$A$18,0)),0))</f>
        <v>0</v>
      </c>
      <c r="T13" s="20">
        <f>IF(B13="","",IFERROR(INDEX(Channels!$T$5:$T$18,MATCH(IF(D13="",DefaultChannel,D13),Channels!$A$5:$A$18,0)),0))</f>
        <v>0</v>
      </c>
      <c r="U13" s="41">
        <f>IF(B13="","",1-TargetRetailMargin-S13)</f>
        <v>0</v>
      </c>
      <c r="V13" s="20">
        <f>IF(B13="","",IF(U13&lt;=0,"",(R13+T13)/U13))</f>
        <v>0</v>
      </c>
      <c r="W13" s="20">
        <f>IF(B13="","",IF(V13="","Check the settings",ROUND(IF(RoundingRule="None",V13,IF(RoundingRule="Nearest 0.99",MAX(0.99,CEILING(V13,1)-0.01),IF(RoundingRule="Nearest 0.95",MAX(0.95,CEILING(V13,1)-0.05),IF(RoundingRule="Nearest 0.50",CEILING(V13,0.5),IF(RoundingRule="Nearest 1",CEILING(V13,1),IF(RoundingRule="Nearest 5",CEILING(V13,5),IF(RoundingRule="Up to whole 1",CEILING(V13,1),IF(RoundingRule="Up to whole 5",CEILING(V13,5),ROUND(V13,2))))))))),2)))</f>
        <v>0</v>
      </c>
      <c r="X13" s="20">
        <f>IF(B13="","",IF(O13=0,"",ROUND(O13*(1-IF(G13="",0,G13)),2)))</f>
        <v>0</v>
      </c>
      <c r="Y13" s="20">
        <f>IF(B13="","",IF(H13&lt;&gt;"",H13,IF(X13&lt;&gt;"",X13,IF(ISNUMBER(W13),W13,""))))</f>
        <v>0</v>
      </c>
      <c r="Z13" s="20">
        <f>IF(B13="","",IF(Y13="","",ROUND(Y13*S13+T13,2)))</f>
        <v>0</v>
      </c>
      <c r="AA13" s="20">
        <f>IF(B13="","",IF(Y13="","",ROUND(Y13-R13-Z13,2)))</f>
        <v>0</v>
      </c>
      <c r="AB13" s="33">
        <f>IF(B13="","",IF(OR(Y13="",Y13=0),"",AA13/Y13))</f>
        <v>0</v>
      </c>
      <c r="AC13" s="20">
        <f>IF(B13="","",IF(OR(Y13="",O13=0),"",ROUND(O13-Y13,2)))</f>
        <v>0</v>
      </c>
      <c r="AD13" s="33">
        <f>IF(B13="","",IF(OR(AC13="",O13=0),"",AC13/O13))</f>
        <v>0</v>
      </c>
      <c r="AE13" s="33">
        <f>IF(B13="","",IF(O13=0,"",(O13-N13)/O13))</f>
        <v>0</v>
      </c>
      <c r="AF13" s="33">
        <f>IF(B13="","",IF(OR(AB13="",AE13=""),"",AE13-AB13))</f>
        <v>0</v>
      </c>
      <c r="AG13" s="32">
        <f>IF(B13="","",SUMIFS(Sales!$D$5:$D$804,Sales!$C$5:$C$804,A13))</f>
        <v>0</v>
      </c>
      <c r="AH13" s="43">
        <f>IF(B13="","",IF(L13=0,"Add - no products in it yet",IF(Y13="","Check - no price yet",IF(AA13&lt;0,"Loss - the discount is too deep",IF(AB13&lt;MarginWarning,"Low margin - trim the discount",IF(AND(AF13&lt;&gt;"",AF13&gt;0.15),"Check - giving away a lot of margin",IF(F13="","Add - how long does it take to box?","OK")))))))</f>
        <v>0</v>
      </c>
    </row>
    <row r="14" spans="1:34">
      <c r="A14" s="38">
        <f>IF(B14="","",BundlePrefix&amp;TEXT(ROW()-4,"0000"))</f>
        <v>0</v>
      </c>
      <c r="L14" s="32">
        <f>IF(B14="","",SUMIFS('Bundle Lines'!$E$5:$E$204,'Bundle Lines'!$A$5:$A$204,A14))</f>
        <v>0</v>
      </c>
      <c r="M14" s="32">
        <f>IF(B14="","",COUNTIFS('Bundle Lines'!$A$5:$A$204,A14))</f>
        <v>0</v>
      </c>
      <c r="N14" s="20">
        <f>IF(B14="","",ROUND(SUMIFS('Bundle Lines'!$J$5:$J$204,'Bundle Lines'!$A$5:$A$204,A14),2))</f>
        <v>0</v>
      </c>
      <c r="O14" s="20">
        <f>IF(B14="","",ROUND(SUMIFS('Bundle Lines'!$K$5:$K$204,'Bundle Lines'!$A$5:$A$204,A14),2))</f>
        <v>0</v>
      </c>
      <c r="P14" s="20">
        <f>IF(B14="","",ROUND(IF(E14="Budget",PackBudget,IF(E14="Standard",PackStandard,IF(E14="Gift",PackGift,IF(E14="Premium",PackPremium,DefaultPackaging)))),2))</f>
        <v>0</v>
      </c>
      <c r="Q14" s="20">
        <f>IF(B14="","",ROUND(IF(F14="",0,F14)/60*LaborCostHour,2))</f>
        <v>0</v>
      </c>
      <c r="R14" s="20">
        <f>IF(B14="","",ROUND(N14+P14+Q14,2))</f>
        <v>0</v>
      </c>
      <c r="S14" s="33">
        <f>IF(B14="","",IFERROR(INDEX(Channels!$S$5:$S$18,MATCH(IF(D14="",DefaultChannel,D14),Channels!$A$5:$A$18,0)),0))</f>
        <v>0</v>
      </c>
      <c r="T14" s="20">
        <f>IF(B14="","",IFERROR(INDEX(Channels!$T$5:$T$18,MATCH(IF(D14="",DefaultChannel,D14),Channels!$A$5:$A$18,0)),0))</f>
        <v>0</v>
      </c>
      <c r="U14" s="41">
        <f>IF(B14="","",1-TargetRetailMargin-S14)</f>
        <v>0</v>
      </c>
      <c r="V14" s="20">
        <f>IF(B14="","",IF(U14&lt;=0,"",(R14+T14)/U14))</f>
        <v>0</v>
      </c>
      <c r="W14" s="20">
        <f>IF(B14="","",IF(V14="","Check the settings",ROUND(IF(RoundingRule="None",V14,IF(RoundingRule="Nearest 0.99",MAX(0.99,CEILING(V14,1)-0.01),IF(RoundingRule="Nearest 0.95",MAX(0.95,CEILING(V14,1)-0.05),IF(RoundingRule="Nearest 0.50",CEILING(V14,0.5),IF(RoundingRule="Nearest 1",CEILING(V14,1),IF(RoundingRule="Nearest 5",CEILING(V14,5),IF(RoundingRule="Up to whole 1",CEILING(V14,1),IF(RoundingRule="Up to whole 5",CEILING(V14,5),ROUND(V14,2))))))))),2)))</f>
        <v>0</v>
      </c>
      <c r="X14" s="20">
        <f>IF(B14="","",IF(O14=0,"",ROUND(O14*(1-IF(G14="",0,G14)),2)))</f>
        <v>0</v>
      </c>
      <c r="Y14" s="20">
        <f>IF(B14="","",IF(H14&lt;&gt;"",H14,IF(X14&lt;&gt;"",X14,IF(ISNUMBER(W14),W14,""))))</f>
        <v>0</v>
      </c>
      <c r="Z14" s="20">
        <f>IF(B14="","",IF(Y14="","",ROUND(Y14*S14+T14,2)))</f>
        <v>0</v>
      </c>
      <c r="AA14" s="20">
        <f>IF(B14="","",IF(Y14="","",ROUND(Y14-R14-Z14,2)))</f>
        <v>0</v>
      </c>
      <c r="AB14" s="33">
        <f>IF(B14="","",IF(OR(Y14="",Y14=0),"",AA14/Y14))</f>
        <v>0</v>
      </c>
      <c r="AC14" s="20">
        <f>IF(B14="","",IF(OR(Y14="",O14=0),"",ROUND(O14-Y14,2)))</f>
        <v>0</v>
      </c>
      <c r="AD14" s="33">
        <f>IF(B14="","",IF(OR(AC14="",O14=0),"",AC14/O14))</f>
        <v>0</v>
      </c>
      <c r="AE14" s="33">
        <f>IF(B14="","",IF(O14=0,"",(O14-N14)/O14))</f>
        <v>0</v>
      </c>
      <c r="AF14" s="33">
        <f>IF(B14="","",IF(OR(AB14="",AE14=""),"",AE14-AB14))</f>
        <v>0</v>
      </c>
      <c r="AG14" s="32">
        <f>IF(B14="","",SUMIFS(Sales!$D$5:$D$804,Sales!$C$5:$C$804,A14))</f>
        <v>0</v>
      </c>
      <c r="AH14" s="43">
        <f>IF(B14="","",IF(L14=0,"Add - no products in it yet",IF(Y14="","Check - no price yet",IF(AA14&lt;0,"Loss - the discount is too deep",IF(AB14&lt;MarginWarning,"Low margin - trim the discount",IF(AND(AF14&lt;&gt;"",AF14&gt;0.15),"Check - giving away a lot of margin",IF(F14="","Add - how long does it take to box?","OK")))))))</f>
        <v>0</v>
      </c>
    </row>
    <row r="15" spans="1:34">
      <c r="A15" s="38">
        <f>IF(B15="","",BundlePrefix&amp;TEXT(ROW()-4,"0000"))</f>
        <v>0</v>
      </c>
      <c r="L15" s="32">
        <f>IF(B15="","",SUMIFS('Bundle Lines'!$E$5:$E$204,'Bundle Lines'!$A$5:$A$204,A15))</f>
        <v>0</v>
      </c>
      <c r="M15" s="32">
        <f>IF(B15="","",COUNTIFS('Bundle Lines'!$A$5:$A$204,A15))</f>
        <v>0</v>
      </c>
      <c r="N15" s="20">
        <f>IF(B15="","",ROUND(SUMIFS('Bundle Lines'!$J$5:$J$204,'Bundle Lines'!$A$5:$A$204,A15),2))</f>
        <v>0</v>
      </c>
      <c r="O15" s="20">
        <f>IF(B15="","",ROUND(SUMIFS('Bundle Lines'!$K$5:$K$204,'Bundle Lines'!$A$5:$A$204,A15),2))</f>
        <v>0</v>
      </c>
      <c r="P15" s="20">
        <f>IF(B15="","",ROUND(IF(E15="Budget",PackBudget,IF(E15="Standard",PackStandard,IF(E15="Gift",PackGift,IF(E15="Premium",PackPremium,DefaultPackaging)))),2))</f>
        <v>0</v>
      </c>
      <c r="Q15" s="20">
        <f>IF(B15="","",ROUND(IF(F15="",0,F15)/60*LaborCostHour,2))</f>
        <v>0</v>
      </c>
      <c r="R15" s="20">
        <f>IF(B15="","",ROUND(N15+P15+Q15,2))</f>
        <v>0</v>
      </c>
      <c r="S15" s="33">
        <f>IF(B15="","",IFERROR(INDEX(Channels!$S$5:$S$18,MATCH(IF(D15="",DefaultChannel,D15),Channels!$A$5:$A$18,0)),0))</f>
        <v>0</v>
      </c>
      <c r="T15" s="20">
        <f>IF(B15="","",IFERROR(INDEX(Channels!$T$5:$T$18,MATCH(IF(D15="",DefaultChannel,D15),Channels!$A$5:$A$18,0)),0))</f>
        <v>0</v>
      </c>
      <c r="U15" s="41">
        <f>IF(B15="","",1-TargetRetailMargin-S15)</f>
        <v>0</v>
      </c>
      <c r="V15" s="20">
        <f>IF(B15="","",IF(U15&lt;=0,"",(R15+T15)/U15))</f>
        <v>0</v>
      </c>
      <c r="W15" s="20">
        <f>IF(B15="","",IF(V15="","Check the settings",ROUND(IF(RoundingRule="None",V15,IF(RoundingRule="Nearest 0.99",MAX(0.99,CEILING(V15,1)-0.01),IF(RoundingRule="Nearest 0.95",MAX(0.95,CEILING(V15,1)-0.05),IF(RoundingRule="Nearest 0.50",CEILING(V15,0.5),IF(RoundingRule="Nearest 1",CEILING(V15,1),IF(RoundingRule="Nearest 5",CEILING(V15,5),IF(RoundingRule="Up to whole 1",CEILING(V15,1),IF(RoundingRule="Up to whole 5",CEILING(V15,5),ROUND(V15,2))))))))),2)))</f>
        <v>0</v>
      </c>
      <c r="X15" s="20">
        <f>IF(B15="","",IF(O15=0,"",ROUND(O15*(1-IF(G15="",0,G15)),2)))</f>
        <v>0</v>
      </c>
      <c r="Y15" s="20">
        <f>IF(B15="","",IF(H15&lt;&gt;"",H15,IF(X15&lt;&gt;"",X15,IF(ISNUMBER(W15),W15,""))))</f>
        <v>0</v>
      </c>
      <c r="Z15" s="20">
        <f>IF(B15="","",IF(Y15="","",ROUND(Y15*S15+T15,2)))</f>
        <v>0</v>
      </c>
      <c r="AA15" s="20">
        <f>IF(B15="","",IF(Y15="","",ROUND(Y15-R15-Z15,2)))</f>
        <v>0</v>
      </c>
      <c r="AB15" s="33">
        <f>IF(B15="","",IF(OR(Y15="",Y15=0),"",AA15/Y15))</f>
        <v>0</v>
      </c>
      <c r="AC15" s="20">
        <f>IF(B15="","",IF(OR(Y15="",O15=0),"",ROUND(O15-Y15,2)))</f>
        <v>0</v>
      </c>
      <c r="AD15" s="33">
        <f>IF(B15="","",IF(OR(AC15="",O15=0),"",AC15/O15))</f>
        <v>0</v>
      </c>
      <c r="AE15" s="33">
        <f>IF(B15="","",IF(O15=0,"",(O15-N15)/O15))</f>
        <v>0</v>
      </c>
      <c r="AF15" s="33">
        <f>IF(B15="","",IF(OR(AB15="",AE15=""),"",AE15-AB15))</f>
        <v>0</v>
      </c>
      <c r="AG15" s="32">
        <f>IF(B15="","",SUMIFS(Sales!$D$5:$D$804,Sales!$C$5:$C$804,A15))</f>
        <v>0</v>
      </c>
      <c r="AH15" s="43">
        <f>IF(B15="","",IF(L15=0,"Add - no products in it yet",IF(Y15="","Check - no price yet",IF(AA15&lt;0,"Loss - the discount is too deep",IF(AB15&lt;MarginWarning,"Low margin - trim the discount",IF(AND(AF15&lt;&gt;"",AF15&gt;0.15),"Check - giving away a lot of margin",IF(F15="","Add - how long does it take to box?","OK")))))))</f>
        <v>0</v>
      </c>
    </row>
    <row r="16" spans="1:34">
      <c r="A16" s="38">
        <f>IF(B16="","",BundlePrefix&amp;TEXT(ROW()-4,"0000"))</f>
        <v>0</v>
      </c>
      <c r="L16" s="32">
        <f>IF(B16="","",SUMIFS('Bundle Lines'!$E$5:$E$204,'Bundle Lines'!$A$5:$A$204,A16))</f>
        <v>0</v>
      </c>
      <c r="M16" s="32">
        <f>IF(B16="","",COUNTIFS('Bundle Lines'!$A$5:$A$204,A16))</f>
        <v>0</v>
      </c>
      <c r="N16" s="20">
        <f>IF(B16="","",ROUND(SUMIFS('Bundle Lines'!$J$5:$J$204,'Bundle Lines'!$A$5:$A$204,A16),2))</f>
        <v>0</v>
      </c>
      <c r="O16" s="20">
        <f>IF(B16="","",ROUND(SUMIFS('Bundle Lines'!$K$5:$K$204,'Bundle Lines'!$A$5:$A$204,A16),2))</f>
        <v>0</v>
      </c>
      <c r="P16" s="20">
        <f>IF(B16="","",ROUND(IF(E16="Budget",PackBudget,IF(E16="Standard",PackStandard,IF(E16="Gift",PackGift,IF(E16="Premium",PackPremium,DefaultPackaging)))),2))</f>
        <v>0</v>
      </c>
      <c r="Q16" s="20">
        <f>IF(B16="","",ROUND(IF(F16="",0,F16)/60*LaborCostHour,2))</f>
        <v>0</v>
      </c>
      <c r="R16" s="20">
        <f>IF(B16="","",ROUND(N16+P16+Q16,2))</f>
        <v>0</v>
      </c>
      <c r="S16" s="33">
        <f>IF(B16="","",IFERROR(INDEX(Channels!$S$5:$S$18,MATCH(IF(D16="",DefaultChannel,D16),Channels!$A$5:$A$18,0)),0))</f>
        <v>0</v>
      </c>
      <c r="T16" s="20">
        <f>IF(B16="","",IFERROR(INDEX(Channels!$T$5:$T$18,MATCH(IF(D16="",DefaultChannel,D16),Channels!$A$5:$A$18,0)),0))</f>
        <v>0</v>
      </c>
      <c r="U16" s="41">
        <f>IF(B16="","",1-TargetRetailMargin-S16)</f>
        <v>0</v>
      </c>
      <c r="V16" s="20">
        <f>IF(B16="","",IF(U16&lt;=0,"",(R16+T16)/U16))</f>
        <v>0</v>
      </c>
      <c r="W16" s="20">
        <f>IF(B16="","",IF(V16="","Check the settings",ROUND(IF(RoundingRule="None",V16,IF(RoundingRule="Nearest 0.99",MAX(0.99,CEILING(V16,1)-0.01),IF(RoundingRule="Nearest 0.95",MAX(0.95,CEILING(V16,1)-0.05),IF(RoundingRule="Nearest 0.50",CEILING(V16,0.5),IF(RoundingRule="Nearest 1",CEILING(V16,1),IF(RoundingRule="Nearest 5",CEILING(V16,5),IF(RoundingRule="Up to whole 1",CEILING(V16,1),IF(RoundingRule="Up to whole 5",CEILING(V16,5),ROUND(V16,2))))))))),2)))</f>
        <v>0</v>
      </c>
      <c r="X16" s="20">
        <f>IF(B16="","",IF(O16=0,"",ROUND(O16*(1-IF(G16="",0,G16)),2)))</f>
        <v>0</v>
      </c>
      <c r="Y16" s="20">
        <f>IF(B16="","",IF(H16&lt;&gt;"",H16,IF(X16&lt;&gt;"",X16,IF(ISNUMBER(W16),W16,""))))</f>
        <v>0</v>
      </c>
      <c r="Z16" s="20">
        <f>IF(B16="","",IF(Y16="","",ROUND(Y16*S16+T16,2)))</f>
        <v>0</v>
      </c>
      <c r="AA16" s="20">
        <f>IF(B16="","",IF(Y16="","",ROUND(Y16-R16-Z16,2)))</f>
        <v>0</v>
      </c>
      <c r="AB16" s="33">
        <f>IF(B16="","",IF(OR(Y16="",Y16=0),"",AA16/Y16))</f>
        <v>0</v>
      </c>
      <c r="AC16" s="20">
        <f>IF(B16="","",IF(OR(Y16="",O16=0),"",ROUND(O16-Y16,2)))</f>
        <v>0</v>
      </c>
      <c r="AD16" s="33">
        <f>IF(B16="","",IF(OR(AC16="",O16=0),"",AC16/O16))</f>
        <v>0</v>
      </c>
      <c r="AE16" s="33">
        <f>IF(B16="","",IF(O16=0,"",(O16-N16)/O16))</f>
        <v>0</v>
      </c>
      <c r="AF16" s="33">
        <f>IF(B16="","",IF(OR(AB16="",AE16=""),"",AE16-AB16))</f>
        <v>0</v>
      </c>
      <c r="AG16" s="32">
        <f>IF(B16="","",SUMIFS(Sales!$D$5:$D$804,Sales!$C$5:$C$804,A16))</f>
        <v>0</v>
      </c>
      <c r="AH16" s="43">
        <f>IF(B16="","",IF(L16=0,"Add - no products in it yet",IF(Y16="","Check - no price yet",IF(AA16&lt;0,"Loss - the discount is too deep",IF(AB16&lt;MarginWarning,"Low margin - trim the discount",IF(AND(AF16&lt;&gt;"",AF16&gt;0.15),"Check - giving away a lot of margin",IF(F16="","Add - how long does it take to box?","OK")))))))</f>
        <v>0</v>
      </c>
    </row>
    <row r="17" spans="1:34">
      <c r="A17" s="38">
        <f>IF(B17="","",BundlePrefix&amp;TEXT(ROW()-4,"0000"))</f>
        <v>0</v>
      </c>
      <c r="L17" s="32">
        <f>IF(B17="","",SUMIFS('Bundle Lines'!$E$5:$E$204,'Bundle Lines'!$A$5:$A$204,A17))</f>
        <v>0</v>
      </c>
      <c r="M17" s="32">
        <f>IF(B17="","",COUNTIFS('Bundle Lines'!$A$5:$A$204,A17))</f>
        <v>0</v>
      </c>
      <c r="N17" s="20">
        <f>IF(B17="","",ROUND(SUMIFS('Bundle Lines'!$J$5:$J$204,'Bundle Lines'!$A$5:$A$204,A17),2))</f>
        <v>0</v>
      </c>
      <c r="O17" s="20">
        <f>IF(B17="","",ROUND(SUMIFS('Bundle Lines'!$K$5:$K$204,'Bundle Lines'!$A$5:$A$204,A17),2))</f>
        <v>0</v>
      </c>
      <c r="P17" s="20">
        <f>IF(B17="","",ROUND(IF(E17="Budget",PackBudget,IF(E17="Standard",PackStandard,IF(E17="Gift",PackGift,IF(E17="Premium",PackPremium,DefaultPackaging)))),2))</f>
        <v>0</v>
      </c>
      <c r="Q17" s="20">
        <f>IF(B17="","",ROUND(IF(F17="",0,F17)/60*LaborCostHour,2))</f>
        <v>0</v>
      </c>
      <c r="R17" s="20">
        <f>IF(B17="","",ROUND(N17+P17+Q17,2))</f>
        <v>0</v>
      </c>
      <c r="S17" s="33">
        <f>IF(B17="","",IFERROR(INDEX(Channels!$S$5:$S$18,MATCH(IF(D17="",DefaultChannel,D17),Channels!$A$5:$A$18,0)),0))</f>
        <v>0</v>
      </c>
      <c r="T17" s="20">
        <f>IF(B17="","",IFERROR(INDEX(Channels!$T$5:$T$18,MATCH(IF(D17="",DefaultChannel,D17),Channels!$A$5:$A$18,0)),0))</f>
        <v>0</v>
      </c>
      <c r="U17" s="41">
        <f>IF(B17="","",1-TargetRetailMargin-S17)</f>
        <v>0</v>
      </c>
      <c r="V17" s="20">
        <f>IF(B17="","",IF(U17&lt;=0,"",(R17+T17)/U17))</f>
        <v>0</v>
      </c>
      <c r="W17" s="20">
        <f>IF(B17="","",IF(V17="","Check the settings",ROUND(IF(RoundingRule="None",V17,IF(RoundingRule="Nearest 0.99",MAX(0.99,CEILING(V17,1)-0.01),IF(RoundingRule="Nearest 0.95",MAX(0.95,CEILING(V17,1)-0.05),IF(RoundingRule="Nearest 0.50",CEILING(V17,0.5),IF(RoundingRule="Nearest 1",CEILING(V17,1),IF(RoundingRule="Nearest 5",CEILING(V17,5),IF(RoundingRule="Up to whole 1",CEILING(V17,1),IF(RoundingRule="Up to whole 5",CEILING(V17,5),ROUND(V17,2))))))))),2)))</f>
        <v>0</v>
      </c>
      <c r="X17" s="20">
        <f>IF(B17="","",IF(O17=0,"",ROUND(O17*(1-IF(G17="",0,G17)),2)))</f>
        <v>0</v>
      </c>
      <c r="Y17" s="20">
        <f>IF(B17="","",IF(H17&lt;&gt;"",H17,IF(X17&lt;&gt;"",X17,IF(ISNUMBER(W17),W17,""))))</f>
        <v>0</v>
      </c>
      <c r="Z17" s="20">
        <f>IF(B17="","",IF(Y17="","",ROUND(Y17*S17+T17,2)))</f>
        <v>0</v>
      </c>
      <c r="AA17" s="20">
        <f>IF(B17="","",IF(Y17="","",ROUND(Y17-R17-Z17,2)))</f>
        <v>0</v>
      </c>
      <c r="AB17" s="33">
        <f>IF(B17="","",IF(OR(Y17="",Y17=0),"",AA17/Y17))</f>
        <v>0</v>
      </c>
      <c r="AC17" s="20">
        <f>IF(B17="","",IF(OR(Y17="",O17=0),"",ROUND(O17-Y17,2)))</f>
        <v>0</v>
      </c>
      <c r="AD17" s="33">
        <f>IF(B17="","",IF(OR(AC17="",O17=0),"",AC17/O17))</f>
        <v>0</v>
      </c>
      <c r="AE17" s="33">
        <f>IF(B17="","",IF(O17=0,"",(O17-N17)/O17))</f>
        <v>0</v>
      </c>
      <c r="AF17" s="33">
        <f>IF(B17="","",IF(OR(AB17="",AE17=""),"",AE17-AB17))</f>
        <v>0</v>
      </c>
      <c r="AG17" s="32">
        <f>IF(B17="","",SUMIFS(Sales!$D$5:$D$804,Sales!$C$5:$C$804,A17))</f>
        <v>0</v>
      </c>
      <c r="AH17" s="43">
        <f>IF(B17="","",IF(L17=0,"Add - no products in it yet",IF(Y17="","Check - no price yet",IF(AA17&lt;0,"Loss - the discount is too deep",IF(AB17&lt;MarginWarning,"Low margin - trim the discount",IF(AND(AF17&lt;&gt;"",AF17&gt;0.15),"Check - giving away a lot of margin",IF(F17="","Add - how long does it take to box?","OK")))))))</f>
        <v>0</v>
      </c>
    </row>
    <row r="18" spans="1:34">
      <c r="A18" s="38">
        <f>IF(B18="","",BundlePrefix&amp;TEXT(ROW()-4,"0000"))</f>
        <v>0</v>
      </c>
      <c r="L18" s="32">
        <f>IF(B18="","",SUMIFS('Bundle Lines'!$E$5:$E$204,'Bundle Lines'!$A$5:$A$204,A18))</f>
        <v>0</v>
      </c>
      <c r="M18" s="32">
        <f>IF(B18="","",COUNTIFS('Bundle Lines'!$A$5:$A$204,A18))</f>
        <v>0</v>
      </c>
      <c r="N18" s="20">
        <f>IF(B18="","",ROUND(SUMIFS('Bundle Lines'!$J$5:$J$204,'Bundle Lines'!$A$5:$A$204,A18),2))</f>
        <v>0</v>
      </c>
      <c r="O18" s="20">
        <f>IF(B18="","",ROUND(SUMIFS('Bundle Lines'!$K$5:$K$204,'Bundle Lines'!$A$5:$A$204,A18),2))</f>
        <v>0</v>
      </c>
      <c r="P18" s="20">
        <f>IF(B18="","",ROUND(IF(E18="Budget",PackBudget,IF(E18="Standard",PackStandard,IF(E18="Gift",PackGift,IF(E18="Premium",PackPremium,DefaultPackaging)))),2))</f>
        <v>0</v>
      </c>
      <c r="Q18" s="20">
        <f>IF(B18="","",ROUND(IF(F18="",0,F18)/60*LaborCostHour,2))</f>
        <v>0</v>
      </c>
      <c r="R18" s="20">
        <f>IF(B18="","",ROUND(N18+P18+Q18,2))</f>
        <v>0</v>
      </c>
      <c r="S18" s="33">
        <f>IF(B18="","",IFERROR(INDEX(Channels!$S$5:$S$18,MATCH(IF(D18="",DefaultChannel,D18),Channels!$A$5:$A$18,0)),0))</f>
        <v>0</v>
      </c>
      <c r="T18" s="20">
        <f>IF(B18="","",IFERROR(INDEX(Channels!$T$5:$T$18,MATCH(IF(D18="",DefaultChannel,D18),Channels!$A$5:$A$18,0)),0))</f>
        <v>0</v>
      </c>
      <c r="U18" s="41">
        <f>IF(B18="","",1-TargetRetailMargin-S18)</f>
        <v>0</v>
      </c>
      <c r="V18" s="20">
        <f>IF(B18="","",IF(U18&lt;=0,"",(R18+T18)/U18))</f>
        <v>0</v>
      </c>
      <c r="W18" s="20">
        <f>IF(B18="","",IF(V18="","Check the settings",ROUND(IF(RoundingRule="None",V18,IF(RoundingRule="Nearest 0.99",MAX(0.99,CEILING(V18,1)-0.01),IF(RoundingRule="Nearest 0.95",MAX(0.95,CEILING(V18,1)-0.05),IF(RoundingRule="Nearest 0.50",CEILING(V18,0.5),IF(RoundingRule="Nearest 1",CEILING(V18,1),IF(RoundingRule="Nearest 5",CEILING(V18,5),IF(RoundingRule="Up to whole 1",CEILING(V18,1),IF(RoundingRule="Up to whole 5",CEILING(V18,5),ROUND(V18,2))))))))),2)))</f>
        <v>0</v>
      </c>
      <c r="X18" s="20">
        <f>IF(B18="","",IF(O18=0,"",ROUND(O18*(1-IF(G18="",0,G18)),2)))</f>
        <v>0</v>
      </c>
      <c r="Y18" s="20">
        <f>IF(B18="","",IF(H18&lt;&gt;"",H18,IF(X18&lt;&gt;"",X18,IF(ISNUMBER(W18),W18,""))))</f>
        <v>0</v>
      </c>
      <c r="Z18" s="20">
        <f>IF(B18="","",IF(Y18="","",ROUND(Y18*S18+T18,2)))</f>
        <v>0</v>
      </c>
      <c r="AA18" s="20">
        <f>IF(B18="","",IF(Y18="","",ROUND(Y18-R18-Z18,2)))</f>
        <v>0</v>
      </c>
      <c r="AB18" s="33">
        <f>IF(B18="","",IF(OR(Y18="",Y18=0),"",AA18/Y18))</f>
        <v>0</v>
      </c>
      <c r="AC18" s="20">
        <f>IF(B18="","",IF(OR(Y18="",O18=0),"",ROUND(O18-Y18,2)))</f>
        <v>0</v>
      </c>
      <c r="AD18" s="33">
        <f>IF(B18="","",IF(OR(AC18="",O18=0),"",AC18/O18))</f>
        <v>0</v>
      </c>
      <c r="AE18" s="33">
        <f>IF(B18="","",IF(O18=0,"",(O18-N18)/O18))</f>
        <v>0</v>
      </c>
      <c r="AF18" s="33">
        <f>IF(B18="","",IF(OR(AB18="",AE18=""),"",AE18-AB18))</f>
        <v>0</v>
      </c>
      <c r="AG18" s="32">
        <f>IF(B18="","",SUMIFS(Sales!$D$5:$D$804,Sales!$C$5:$C$804,A18))</f>
        <v>0</v>
      </c>
      <c r="AH18" s="43">
        <f>IF(B18="","",IF(L18=0,"Add - no products in it yet",IF(Y18="","Check - no price yet",IF(AA18&lt;0,"Loss - the discount is too deep",IF(AB18&lt;MarginWarning,"Low margin - trim the discount",IF(AND(AF18&lt;&gt;"",AF18&gt;0.15),"Check - giving away a lot of margin",IF(F18="","Add - how long does it take to box?","OK")))))))</f>
        <v>0</v>
      </c>
    </row>
    <row r="19" spans="1:34">
      <c r="A19" s="38">
        <f>IF(B19="","",BundlePrefix&amp;TEXT(ROW()-4,"0000"))</f>
        <v>0</v>
      </c>
      <c r="L19" s="32">
        <f>IF(B19="","",SUMIFS('Bundle Lines'!$E$5:$E$204,'Bundle Lines'!$A$5:$A$204,A19))</f>
        <v>0</v>
      </c>
      <c r="M19" s="32">
        <f>IF(B19="","",COUNTIFS('Bundle Lines'!$A$5:$A$204,A19))</f>
        <v>0</v>
      </c>
      <c r="N19" s="20">
        <f>IF(B19="","",ROUND(SUMIFS('Bundle Lines'!$J$5:$J$204,'Bundle Lines'!$A$5:$A$204,A19),2))</f>
        <v>0</v>
      </c>
      <c r="O19" s="20">
        <f>IF(B19="","",ROUND(SUMIFS('Bundle Lines'!$K$5:$K$204,'Bundle Lines'!$A$5:$A$204,A19),2))</f>
        <v>0</v>
      </c>
      <c r="P19" s="20">
        <f>IF(B19="","",ROUND(IF(E19="Budget",PackBudget,IF(E19="Standard",PackStandard,IF(E19="Gift",PackGift,IF(E19="Premium",PackPremium,DefaultPackaging)))),2))</f>
        <v>0</v>
      </c>
      <c r="Q19" s="20">
        <f>IF(B19="","",ROUND(IF(F19="",0,F19)/60*LaborCostHour,2))</f>
        <v>0</v>
      </c>
      <c r="R19" s="20">
        <f>IF(B19="","",ROUND(N19+P19+Q19,2))</f>
        <v>0</v>
      </c>
      <c r="S19" s="33">
        <f>IF(B19="","",IFERROR(INDEX(Channels!$S$5:$S$18,MATCH(IF(D19="",DefaultChannel,D19),Channels!$A$5:$A$18,0)),0))</f>
        <v>0</v>
      </c>
      <c r="T19" s="20">
        <f>IF(B19="","",IFERROR(INDEX(Channels!$T$5:$T$18,MATCH(IF(D19="",DefaultChannel,D19),Channels!$A$5:$A$18,0)),0))</f>
        <v>0</v>
      </c>
      <c r="U19" s="41">
        <f>IF(B19="","",1-TargetRetailMargin-S19)</f>
        <v>0</v>
      </c>
      <c r="V19" s="20">
        <f>IF(B19="","",IF(U19&lt;=0,"",(R19+T19)/U19))</f>
        <v>0</v>
      </c>
      <c r="W19" s="20">
        <f>IF(B19="","",IF(V19="","Check the settings",ROUND(IF(RoundingRule="None",V19,IF(RoundingRule="Nearest 0.99",MAX(0.99,CEILING(V19,1)-0.01),IF(RoundingRule="Nearest 0.95",MAX(0.95,CEILING(V19,1)-0.05),IF(RoundingRule="Nearest 0.50",CEILING(V19,0.5),IF(RoundingRule="Nearest 1",CEILING(V19,1),IF(RoundingRule="Nearest 5",CEILING(V19,5),IF(RoundingRule="Up to whole 1",CEILING(V19,1),IF(RoundingRule="Up to whole 5",CEILING(V19,5),ROUND(V19,2))))))))),2)))</f>
        <v>0</v>
      </c>
      <c r="X19" s="20">
        <f>IF(B19="","",IF(O19=0,"",ROUND(O19*(1-IF(G19="",0,G19)),2)))</f>
        <v>0</v>
      </c>
      <c r="Y19" s="20">
        <f>IF(B19="","",IF(H19&lt;&gt;"",H19,IF(X19&lt;&gt;"",X19,IF(ISNUMBER(W19),W19,""))))</f>
        <v>0</v>
      </c>
      <c r="Z19" s="20">
        <f>IF(B19="","",IF(Y19="","",ROUND(Y19*S19+T19,2)))</f>
        <v>0</v>
      </c>
      <c r="AA19" s="20">
        <f>IF(B19="","",IF(Y19="","",ROUND(Y19-R19-Z19,2)))</f>
        <v>0</v>
      </c>
      <c r="AB19" s="33">
        <f>IF(B19="","",IF(OR(Y19="",Y19=0),"",AA19/Y19))</f>
        <v>0</v>
      </c>
      <c r="AC19" s="20">
        <f>IF(B19="","",IF(OR(Y19="",O19=0),"",ROUND(O19-Y19,2)))</f>
        <v>0</v>
      </c>
      <c r="AD19" s="33">
        <f>IF(B19="","",IF(OR(AC19="",O19=0),"",AC19/O19))</f>
        <v>0</v>
      </c>
      <c r="AE19" s="33">
        <f>IF(B19="","",IF(O19=0,"",(O19-N19)/O19))</f>
        <v>0</v>
      </c>
      <c r="AF19" s="33">
        <f>IF(B19="","",IF(OR(AB19="",AE19=""),"",AE19-AB19))</f>
        <v>0</v>
      </c>
      <c r="AG19" s="32">
        <f>IF(B19="","",SUMIFS(Sales!$D$5:$D$804,Sales!$C$5:$C$804,A19))</f>
        <v>0</v>
      </c>
      <c r="AH19" s="43">
        <f>IF(B19="","",IF(L19=0,"Add - no products in it yet",IF(Y19="","Check - no price yet",IF(AA19&lt;0,"Loss - the discount is too deep",IF(AB19&lt;MarginWarning,"Low margin - trim the discount",IF(AND(AF19&lt;&gt;"",AF19&gt;0.15),"Check - giving away a lot of margin",IF(F19="","Add - how long does it take to box?","OK")))))))</f>
        <v>0</v>
      </c>
    </row>
    <row r="20" spans="1:34">
      <c r="A20" s="38">
        <f>IF(B20="","",BundlePrefix&amp;TEXT(ROW()-4,"0000"))</f>
        <v>0</v>
      </c>
      <c r="L20" s="32">
        <f>IF(B20="","",SUMIFS('Bundle Lines'!$E$5:$E$204,'Bundle Lines'!$A$5:$A$204,A20))</f>
        <v>0</v>
      </c>
      <c r="M20" s="32">
        <f>IF(B20="","",COUNTIFS('Bundle Lines'!$A$5:$A$204,A20))</f>
        <v>0</v>
      </c>
      <c r="N20" s="20">
        <f>IF(B20="","",ROUND(SUMIFS('Bundle Lines'!$J$5:$J$204,'Bundle Lines'!$A$5:$A$204,A20),2))</f>
        <v>0</v>
      </c>
      <c r="O20" s="20">
        <f>IF(B20="","",ROUND(SUMIFS('Bundle Lines'!$K$5:$K$204,'Bundle Lines'!$A$5:$A$204,A20),2))</f>
        <v>0</v>
      </c>
      <c r="P20" s="20">
        <f>IF(B20="","",ROUND(IF(E20="Budget",PackBudget,IF(E20="Standard",PackStandard,IF(E20="Gift",PackGift,IF(E20="Premium",PackPremium,DefaultPackaging)))),2))</f>
        <v>0</v>
      </c>
      <c r="Q20" s="20">
        <f>IF(B20="","",ROUND(IF(F20="",0,F20)/60*LaborCostHour,2))</f>
        <v>0</v>
      </c>
      <c r="R20" s="20">
        <f>IF(B20="","",ROUND(N20+P20+Q20,2))</f>
        <v>0</v>
      </c>
      <c r="S20" s="33">
        <f>IF(B20="","",IFERROR(INDEX(Channels!$S$5:$S$18,MATCH(IF(D20="",DefaultChannel,D20),Channels!$A$5:$A$18,0)),0))</f>
        <v>0</v>
      </c>
      <c r="T20" s="20">
        <f>IF(B20="","",IFERROR(INDEX(Channels!$T$5:$T$18,MATCH(IF(D20="",DefaultChannel,D20),Channels!$A$5:$A$18,0)),0))</f>
        <v>0</v>
      </c>
      <c r="U20" s="41">
        <f>IF(B20="","",1-TargetRetailMargin-S20)</f>
        <v>0</v>
      </c>
      <c r="V20" s="20">
        <f>IF(B20="","",IF(U20&lt;=0,"",(R20+T20)/U20))</f>
        <v>0</v>
      </c>
      <c r="W20" s="20">
        <f>IF(B20="","",IF(V20="","Check the settings",ROUND(IF(RoundingRule="None",V20,IF(RoundingRule="Nearest 0.99",MAX(0.99,CEILING(V20,1)-0.01),IF(RoundingRule="Nearest 0.95",MAX(0.95,CEILING(V20,1)-0.05),IF(RoundingRule="Nearest 0.50",CEILING(V20,0.5),IF(RoundingRule="Nearest 1",CEILING(V20,1),IF(RoundingRule="Nearest 5",CEILING(V20,5),IF(RoundingRule="Up to whole 1",CEILING(V20,1),IF(RoundingRule="Up to whole 5",CEILING(V20,5),ROUND(V20,2))))))))),2)))</f>
        <v>0</v>
      </c>
      <c r="X20" s="20">
        <f>IF(B20="","",IF(O20=0,"",ROUND(O20*(1-IF(G20="",0,G20)),2)))</f>
        <v>0</v>
      </c>
      <c r="Y20" s="20">
        <f>IF(B20="","",IF(H20&lt;&gt;"",H20,IF(X20&lt;&gt;"",X20,IF(ISNUMBER(W20),W20,""))))</f>
        <v>0</v>
      </c>
      <c r="Z20" s="20">
        <f>IF(B20="","",IF(Y20="","",ROUND(Y20*S20+T20,2)))</f>
        <v>0</v>
      </c>
      <c r="AA20" s="20">
        <f>IF(B20="","",IF(Y20="","",ROUND(Y20-R20-Z20,2)))</f>
        <v>0</v>
      </c>
      <c r="AB20" s="33">
        <f>IF(B20="","",IF(OR(Y20="",Y20=0),"",AA20/Y20))</f>
        <v>0</v>
      </c>
      <c r="AC20" s="20">
        <f>IF(B20="","",IF(OR(Y20="",O20=0),"",ROUND(O20-Y20,2)))</f>
        <v>0</v>
      </c>
      <c r="AD20" s="33">
        <f>IF(B20="","",IF(OR(AC20="",O20=0),"",AC20/O20))</f>
        <v>0</v>
      </c>
      <c r="AE20" s="33">
        <f>IF(B20="","",IF(O20=0,"",(O20-N20)/O20))</f>
        <v>0</v>
      </c>
      <c r="AF20" s="33">
        <f>IF(B20="","",IF(OR(AB20="",AE20=""),"",AE20-AB20))</f>
        <v>0</v>
      </c>
      <c r="AG20" s="32">
        <f>IF(B20="","",SUMIFS(Sales!$D$5:$D$804,Sales!$C$5:$C$804,A20))</f>
        <v>0</v>
      </c>
      <c r="AH20" s="43">
        <f>IF(B20="","",IF(L20=0,"Add - no products in it yet",IF(Y20="","Check - no price yet",IF(AA20&lt;0,"Loss - the discount is too deep",IF(AB20&lt;MarginWarning,"Low margin - trim the discount",IF(AND(AF20&lt;&gt;"",AF20&gt;0.15),"Check - giving away a lot of margin",IF(F20="","Add - how long does it take to box?","OK")))))))</f>
        <v>0</v>
      </c>
    </row>
    <row r="21" spans="1:34">
      <c r="A21" s="38">
        <f>IF(B21="","",BundlePrefix&amp;TEXT(ROW()-4,"0000"))</f>
        <v>0</v>
      </c>
      <c r="L21" s="32">
        <f>IF(B21="","",SUMIFS('Bundle Lines'!$E$5:$E$204,'Bundle Lines'!$A$5:$A$204,A21))</f>
        <v>0</v>
      </c>
      <c r="M21" s="32">
        <f>IF(B21="","",COUNTIFS('Bundle Lines'!$A$5:$A$204,A21))</f>
        <v>0</v>
      </c>
      <c r="N21" s="20">
        <f>IF(B21="","",ROUND(SUMIFS('Bundle Lines'!$J$5:$J$204,'Bundle Lines'!$A$5:$A$204,A21),2))</f>
        <v>0</v>
      </c>
      <c r="O21" s="20">
        <f>IF(B21="","",ROUND(SUMIFS('Bundle Lines'!$K$5:$K$204,'Bundle Lines'!$A$5:$A$204,A21),2))</f>
        <v>0</v>
      </c>
      <c r="P21" s="20">
        <f>IF(B21="","",ROUND(IF(E21="Budget",PackBudget,IF(E21="Standard",PackStandard,IF(E21="Gift",PackGift,IF(E21="Premium",PackPremium,DefaultPackaging)))),2))</f>
        <v>0</v>
      </c>
      <c r="Q21" s="20">
        <f>IF(B21="","",ROUND(IF(F21="",0,F21)/60*LaborCostHour,2))</f>
        <v>0</v>
      </c>
      <c r="R21" s="20">
        <f>IF(B21="","",ROUND(N21+P21+Q21,2))</f>
        <v>0</v>
      </c>
      <c r="S21" s="33">
        <f>IF(B21="","",IFERROR(INDEX(Channels!$S$5:$S$18,MATCH(IF(D21="",DefaultChannel,D21),Channels!$A$5:$A$18,0)),0))</f>
        <v>0</v>
      </c>
      <c r="T21" s="20">
        <f>IF(B21="","",IFERROR(INDEX(Channels!$T$5:$T$18,MATCH(IF(D21="",DefaultChannel,D21),Channels!$A$5:$A$18,0)),0))</f>
        <v>0</v>
      </c>
      <c r="U21" s="41">
        <f>IF(B21="","",1-TargetRetailMargin-S21)</f>
        <v>0</v>
      </c>
      <c r="V21" s="20">
        <f>IF(B21="","",IF(U21&lt;=0,"",(R21+T21)/U21))</f>
        <v>0</v>
      </c>
      <c r="W21" s="20">
        <f>IF(B21="","",IF(V21="","Check the settings",ROUND(IF(RoundingRule="None",V21,IF(RoundingRule="Nearest 0.99",MAX(0.99,CEILING(V21,1)-0.01),IF(RoundingRule="Nearest 0.95",MAX(0.95,CEILING(V21,1)-0.05),IF(RoundingRule="Nearest 0.50",CEILING(V21,0.5),IF(RoundingRule="Nearest 1",CEILING(V21,1),IF(RoundingRule="Nearest 5",CEILING(V21,5),IF(RoundingRule="Up to whole 1",CEILING(V21,1),IF(RoundingRule="Up to whole 5",CEILING(V21,5),ROUND(V21,2))))))))),2)))</f>
        <v>0</v>
      </c>
      <c r="X21" s="20">
        <f>IF(B21="","",IF(O21=0,"",ROUND(O21*(1-IF(G21="",0,G21)),2)))</f>
        <v>0</v>
      </c>
      <c r="Y21" s="20">
        <f>IF(B21="","",IF(H21&lt;&gt;"",H21,IF(X21&lt;&gt;"",X21,IF(ISNUMBER(W21),W21,""))))</f>
        <v>0</v>
      </c>
      <c r="Z21" s="20">
        <f>IF(B21="","",IF(Y21="","",ROUND(Y21*S21+T21,2)))</f>
        <v>0</v>
      </c>
      <c r="AA21" s="20">
        <f>IF(B21="","",IF(Y21="","",ROUND(Y21-R21-Z21,2)))</f>
        <v>0</v>
      </c>
      <c r="AB21" s="33">
        <f>IF(B21="","",IF(OR(Y21="",Y21=0),"",AA21/Y21))</f>
        <v>0</v>
      </c>
      <c r="AC21" s="20">
        <f>IF(B21="","",IF(OR(Y21="",O21=0),"",ROUND(O21-Y21,2)))</f>
        <v>0</v>
      </c>
      <c r="AD21" s="33">
        <f>IF(B21="","",IF(OR(AC21="",O21=0),"",AC21/O21))</f>
        <v>0</v>
      </c>
      <c r="AE21" s="33">
        <f>IF(B21="","",IF(O21=0,"",(O21-N21)/O21))</f>
        <v>0</v>
      </c>
      <c r="AF21" s="33">
        <f>IF(B21="","",IF(OR(AB21="",AE21=""),"",AE21-AB21))</f>
        <v>0</v>
      </c>
      <c r="AG21" s="32">
        <f>IF(B21="","",SUMIFS(Sales!$D$5:$D$804,Sales!$C$5:$C$804,A21))</f>
        <v>0</v>
      </c>
      <c r="AH21" s="43">
        <f>IF(B21="","",IF(L21=0,"Add - no products in it yet",IF(Y21="","Check - no price yet",IF(AA21&lt;0,"Loss - the discount is too deep",IF(AB21&lt;MarginWarning,"Low margin - trim the discount",IF(AND(AF21&lt;&gt;"",AF21&gt;0.15),"Check - giving away a lot of margin",IF(F21="","Add - how long does it take to box?","OK")))))))</f>
        <v>0</v>
      </c>
    </row>
    <row r="22" spans="1:34">
      <c r="A22" s="38">
        <f>IF(B22="","",BundlePrefix&amp;TEXT(ROW()-4,"0000"))</f>
        <v>0</v>
      </c>
      <c r="L22" s="32">
        <f>IF(B22="","",SUMIFS('Bundle Lines'!$E$5:$E$204,'Bundle Lines'!$A$5:$A$204,A22))</f>
        <v>0</v>
      </c>
      <c r="M22" s="32">
        <f>IF(B22="","",COUNTIFS('Bundle Lines'!$A$5:$A$204,A22))</f>
        <v>0</v>
      </c>
      <c r="N22" s="20">
        <f>IF(B22="","",ROUND(SUMIFS('Bundle Lines'!$J$5:$J$204,'Bundle Lines'!$A$5:$A$204,A22),2))</f>
        <v>0</v>
      </c>
      <c r="O22" s="20">
        <f>IF(B22="","",ROUND(SUMIFS('Bundle Lines'!$K$5:$K$204,'Bundle Lines'!$A$5:$A$204,A22),2))</f>
        <v>0</v>
      </c>
      <c r="P22" s="20">
        <f>IF(B22="","",ROUND(IF(E22="Budget",PackBudget,IF(E22="Standard",PackStandard,IF(E22="Gift",PackGift,IF(E22="Premium",PackPremium,DefaultPackaging)))),2))</f>
        <v>0</v>
      </c>
      <c r="Q22" s="20">
        <f>IF(B22="","",ROUND(IF(F22="",0,F22)/60*LaborCostHour,2))</f>
        <v>0</v>
      </c>
      <c r="R22" s="20">
        <f>IF(B22="","",ROUND(N22+P22+Q22,2))</f>
        <v>0</v>
      </c>
      <c r="S22" s="33">
        <f>IF(B22="","",IFERROR(INDEX(Channels!$S$5:$S$18,MATCH(IF(D22="",DefaultChannel,D22),Channels!$A$5:$A$18,0)),0))</f>
        <v>0</v>
      </c>
      <c r="T22" s="20">
        <f>IF(B22="","",IFERROR(INDEX(Channels!$T$5:$T$18,MATCH(IF(D22="",DefaultChannel,D22),Channels!$A$5:$A$18,0)),0))</f>
        <v>0</v>
      </c>
      <c r="U22" s="41">
        <f>IF(B22="","",1-TargetRetailMargin-S22)</f>
        <v>0</v>
      </c>
      <c r="V22" s="20">
        <f>IF(B22="","",IF(U22&lt;=0,"",(R22+T22)/U22))</f>
        <v>0</v>
      </c>
      <c r="W22" s="20">
        <f>IF(B22="","",IF(V22="","Check the settings",ROUND(IF(RoundingRule="None",V22,IF(RoundingRule="Nearest 0.99",MAX(0.99,CEILING(V22,1)-0.01),IF(RoundingRule="Nearest 0.95",MAX(0.95,CEILING(V22,1)-0.05),IF(RoundingRule="Nearest 0.50",CEILING(V22,0.5),IF(RoundingRule="Nearest 1",CEILING(V22,1),IF(RoundingRule="Nearest 5",CEILING(V22,5),IF(RoundingRule="Up to whole 1",CEILING(V22,1),IF(RoundingRule="Up to whole 5",CEILING(V22,5),ROUND(V22,2))))))))),2)))</f>
        <v>0</v>
      </c>
      <c r="X22" s="20">
        <f>IF(B22="","",IF(O22=0,"",ROUND(O22*(1-IF(G22="",0,G22)),2)))</f>
        <v>0</v>
      </c>
      <c r="Y22" s="20">
        <f>IF(B22="","",IF(H22&lt;&gt;"",H22,IF(X22&lt;&gt;"",X22,IF(ISNUMBER(W22),W22,""))))</f>
        <v>0</v>
      </c>
      <c r="Z22" s="20">
        <f>IF(B22="","",IF(Y22="","",ROUND(Y22*S22+T22,2)))</f>
        <v>0</v>
      </c>
      <c r="AA22" s="20">
        <f>IF(B22="","",IF(Y22="","",ROUND(Y22-R22-Z22,2)))</f>
        <v>0</v>
      </c>
      <c r="AB22" s="33">
        <f>IF(B22="","",IF(OR(Y22="",Y22=0),"",AA22/Y22))</f>
        <v>0</v>
      </c>
      <c r="AC22" s="20">
        <f>IF(B22="","",IF(OR(Y22="",O22=0),"",ROUND(O22-Y22,2)))</f>
        <v>0</v>
      </c>
      <c r="AD22" s="33">
        <f>IF(B22="","",IF(OR(AC22="",O22=0),"",AC22/O22))</f>
        <v>0</v>
      </c>
      <c r="AE22" s="33">
        <f>IF(B22="","",IF(O22=0,"",(O22-N22)/O22))</f>
        <v>0</v>
      </c>
      <c r="AF22" s="33">
        <f>IF(B22="","",IF(OR(AB22="",AE22=""),"",AE22-AB22))</f>
        <v>0</v>
      </c>
      <c r="AG22" s="32">
        <f>IF(B22="","",SUMIFS(Sales!$D$5:$D$804,Sales!$C$5:$C$804,A22))</f>
        <v>0</v>
      </c>
      <c r="AH22" s="43">
        <f>IF(B22="","",IF(L22=0,"Add - no products in it yet",IF(Y22="","Check - no price yet",IF(AA22&lt;0,"Loss - the discount is too deep",IF(AB22&lt;MarginWarning,"Low margin - trim the discount",IF(AND(AF22&lt;&gt;"",AF22&gt;0.15),"Check - giving away a lot of margin",IF(F22="","Add - how long does it take to box?","OK")))))))</f>
        <v>0</v>
      </c>
    </row>
    <row r="23" spans="1:34">
      <c r="A23" s="38">
        <f>IF(B23="","",BundlePrefix&amp;TEXT(ROW()-4,"0000"))</f>
        <v>0</v>
      </c>
      <c r="L23" s="32">
        <f>IF(B23="","",SUMIFS('Bundle Lines'!$E$5:$E$204,'Bundle Lines'!$A$5:$A$204,A23))</f>
        <v>0</v>
      </c>
      <c r="M23" s="32">
        <f>IF(B23="","",COUNTIFS('Bundle Lines'!$A$5:$A$204,A23))</f>
        <v>0</v>
      </c>
      <c r="N23" s="20">
        <f>IF(B23="","",ROUND(SUMIFS('Bundle Lines'!$J$5:$J$204,'Bundle Lines'!$A$5:$A$204,A23),2))</f>
        <v>0</v>
      </c>
      <c r="O23" s="20">
        <f>IF(B23="","",ROUND(SUMIFS('Bundle Lines'!$K$5:$K$204,'Bundle Lines'!$A$5:$A$204,A23),2))</f>
        <v>0</v>
      </c>
      <c r="P23" s="20">
        <f>IF(B23="","",ROUND(IF(E23="Budget",PackBudget,IF(E23="Standard",PackStandard,IF(E23="Gift",PackGift,IF(E23="Premium",PackPremium,DefaultPackaging)))),2))</f>
        <v>0</v>
      </c>
      <c r="Q23" s="20">
        <f>IF(B23="","",ROUND(IF(F23="",0,F23)/60*LaborCostHour,2))</f>
        <v>0</v>
      </c>
      <c r="R23" s="20">
        <f>IF(B23="","",ROUND(N23+P23+Q23,2))</f>
        <v>0</v>
      </c>
      <c r="S23" s="33">
        <f>IF(B23="","",IFERROR(INDEX(Channels!$S$5:$S$18,MATCH(IF(D23="",DefaultChannel,D23),Channels!$A$5:$A$18,0)),0))</f>
        <v>0</v>
      </c>
      <c r="T23" s="20">
        <f>IF(B23="","",IFERROR(INDEX(Channels!$T$5:$T$18,MATCH(IF(D23="",DefaultChannel,D23),Channels!$A$5:$A$18,0)),0))</f>
        <v>0</v>
      </c>
      <c r="U23" s="41">
        <f>IF(B23="","",1-TargetRetailMargin-S23)</f>
        <v>0</v>
      </c>
      <c r="V23" s="20">
        <f>IF(B23="","",IF(U23&lt;=0,"",(R23+T23)/U23))</f>
        <v>0</v>
      </c>
      <c r="W23" s="20">
        <f>IF(B23="","",IF(V23="","Check the settings",ROUND(IF(RoundingRule="None",V23,IF(RoundingRule="Nearest 0.99",MAX(0.99,CEILING(V23,1)-0.01),IF(RoundingRule="Nearest 0.95",MAX(0.95,CEILING(V23,1)-0.05),IF(RoundingRule="Nearest 0.50",CEILING(V23,0.5),IF(RoundingRule="Nearest 1",CEILING(V23,1),IF(RoundingRule="Nearest 5",CEILING(V23,5),IF(RoundingRule="Up to whole 1",CEILING(V23,1),IF(RoundingRule="Up to whole 5",CEILING(V23,5),ROUND(V23,2))))))))),2)))</f>
        <v>0</v>
      </c>
      <c r="X23" s="20">
        <f>IF(B23="","",IF(O23=0,"",ROUND(O23*(1-IF(G23="",0,G23)),2)))</f>
        <v>0</v>
      </c>
      <c r="Y23" s="20">
        <f>IF(B23="","",IF(H23&lt;&gt;"",H23,IF(X23&lt;&gt;"",X23,IF(ISNUMBER(W23),W23,""))))</f>
        <v>0</v>
      </c>
      <c r="Z23" s="20">
        <f>IF(B23="","",IF(Y23="","",ROUND(Y23*S23+T23,2)))</f>
        <v>0</v>
      </c>
      <c r="AA23" s="20">
        <f>IF(B23="","",IF(Y23="","",ROUND(Y23-R23-Z23,2)))</f>
        <v>0</v>
      </c>
      <c r="AB23" s="33">
        <f>IF(B23="","",IF(OR(Y23="",Y23=0),"",AA23/Y23))</f>
        <v>0</v>
      </c>
      <c r="AC23" s="20">
        <f>IF(B23="","",IF(OR(Y23="",O23=0),"",ROUND(O23-Y23,2)))</f>
        <v>0</v>
      </c>
      <c r="AD23" s="33">
        <f>IF(B23="","",IF(OR(AC23="",O23=0),"",AC23/O23))</f>
        <v>0</v>
      </c>
      <c r="AE23" s="33">
        <f>IF(B23="","",IF(O23=0,"",(O23-N23)/O23))</f>
        <v>0</v>
      </c>
      <c r="AF23" s="33">
        <f>IF(B23="","",IF(OR(AB23="",AE23=""),"",AE23-AB23))</f>
        <v>0</v>
      </c>
      <c r="AG23" s="32">
        <f>IF(B23="","",SUMIFS(Sales!$D$5:$D$804,Sales!$C$5:$C$804,A23))</f>
        <v>0</v>
      </c>
      <c r="AH23" s="43">
        <f>IF(B23="","",IF(L23=0,"Add - no products in it yet",IF(Y23="","Check - no price yet",IF(AA23&lt;0,"Loss - the discount is too deep",IF(AB23&lt;MarginWarning,"Low margin - trim the discount",IF(AND(AF23&lt;&gt;"",AF23&gt;0.15),"Check - giving away a lot of margin",IF(F23="","Add - how long does it take to box?","OK")))))))</f>
        <v>0</v>
      </c>
    </row>
    <row r="24" spans="1:34">
      <c r="A24" s="38">
        <f>IF(B24="","",BundlePrefix&amp;TEXT(ROW()-4,"0000"))</f>
        <v>0</v>
      </c>
      <c r="L24" s="32">
        <f>IF(B24="","",SUMIFS('Bundle Lines'!$E$5:$E$204,'Bundle Lines'!$A$5:$A$204,A24))</f>
        <v>0</v>
      </c>
      <c r="M24" s="32">
        <f>IF(B24="","",COUNTIFS('Bundle Lines'!$A$5:$A$204,A24))</f>
        <v>0</v>
      </c>
      <c r="N24" s="20">
        <f>IF(B24="","",ROUND(SUMIFS('Bundle Lines'!$J$5:$J$204,'Bundle Lines'!$A$5:$A$204,A24),2))</f>
        <v>0</v>
      </c>
      <c r="O24" s="20">
        <f>IF(B24="","",ROUND(SUMIFS('Bundle Lines'!$K$5:$K$204,'Bundle Lines'!$A$5:$A$204,A24),2))</f>
        <v>0</v>
      </c>
      <c r="P24" s="20">
        <f>IF(B24="","",ROUND(IF(E24="Budget",PackBudget,IF(E24="Standard",PackStandard,IF(E24="Gift",PackGift,IF(E24="Premium",PackPremium,DefaultPackaging)))),2))</f>
        <v>0</v>
      </c>
      <c r="Q24" s="20">
        <f>IF(B24="","",ROUND(IF(F24="",0,F24)/60*LaborCostHour,2))</f>
        <v>0</v>
      </c>
      <c r="R24" s="20">
        <f>IF(B24="","",ROUND(N24+P24+Q24,2))</f>
        <v>0</v>
      </c>
      <c r="S24" s="33">
        <f>IF(B24="","",IFERROR(INDEX(Channels!$S$5:$S$18,MATCH(IF(D24="",DefaultChannel,D24),Channels!$A$5:$A$18,0)),0))</f>
        <v>0</v>
      </c>
      <c r="T24" s="20">
        <f>IF(B24="","",IFERROR(INDEX(Channels!$T$5:$T$18,MATCH(IF(D24="",DefaultChannel,D24),Channels!$A$5:$A$18,0)),0))</f>
        <v>0</v>
      </c>
      <c r="U24" s="41">
        <f>IF(B24="","",1-TargetRetailMargin-S24)</f>
        <v>0</v>
      </c>
      <c r="V24" s="20">
        <f>IF(B24="","",IF(U24&lt;=0,"",(R24+T24)/U24))</f>
        <v>0</v>
      </c>
      <c r="W24" s="20">
        <f>IF(B24="","",IF(V24="","Check the settings",ROUND(IF(RoundingRule="None",V24,IF(RoundingRule="Nearest 0.99",MAX(0.99,CEILING(V24,1)-0.01),IF(RoundingRule="Nearest 0.95",MAX(0.95,CEILING(V24,1)-0.05),IF(RoundingRule="Nearest 0.50",CEILING(V24,0.5),IF(RoundingRule="Nearest 1",CEILING(V24,1),IF(RoundingRule="Nearest 5",CEILING(V24,5),IF(RoundingRule="Up to whole 1",CEILING(V24,1),IF(RoundingRule="Up to whole 5",CEILING(V24,5),ROUND(V24,2))))))))),2)))</f>
        <v>0</v>
      </c>
      <c r="X24" s="20">
        <f>IF(B24="","",IF(O24=0,"",ROUND(O24*(1-IF(G24="",0,G24)),2)))</f>
        <v>0</v>
      </c>
      <c r="Y24" s="20">
        <f>IF(B24="","",IF(H24&lt;&gt;"",H24,IF(X24&lt;&gt;"",X24,IF(ISNUMBER(W24),W24,""))))</f>
        <v>0</v>
      </c>
      <c r="Z24" s="20">
        <f>IF(B24="","",IF(Y24="","",ROUND(Y24*S24+T24,2)))</f>
        <v>0</v>
      </c>
      <c r="AA24" s="20">
        <f>IF(B24="","",IF(Y24="","",ROUND(Y24-R24-Z24,2)))</f>
        <v>0</v>
      </c>
      <c r="AB24" s="33">
        <f>IF(B24="","",IF(OR(Y24="",Y24=0),"",AA24/Y24))</f>
        <v>0</v>
      </c>
      <c r="AC24" s="20">
        <f>IF(B24="","",IF(OR(Y24="",O24=0),"",ROUND(O24-Y24,2)))</f>
        <v>0</v>
      </c>
      <c r="AD24" s="33">
        <f>IF(B24="","",IF(OR(AC24="",O24=0),"",AC24/O24))</f>
        <v>0</v>
      </c>
      <c r="AE24" s="33">
        <f>IF(B24="","",IF(O24=0,"",(O24-N24)/O24))</f>
        <v>0</v>
      </c>
      <c r="AF24" s="33">
        <f>IF(B24="","",IF(OR(AB24="",AE24=""),"",AE24-AB24))</f>
        <v>0</v>
      </c>
      <c r="AG24" s="32">
        <f>IF(B24="","",SUMIFS(Sales!$D$5:$D$804,Sales!$C$5:$C$804,A24))</f>
        <v>0</v>
      </c>
      <c r="AH24" s="43">
        <f>IF(B24="","",IF(L24=0,"Add - no products in it yet",IF(Y24="","Check - no price yet",IF(AA24&lt;0,"Loss - the discount is too deep",IF(AB24&lt;MarginWarning,"Low margin - trim the discount",IF(AND(AF24&lt;&gt;"",AF24&gt;0.15),"Check - giving away a lot of margin",IF(F24="","Add - how long does it take to box?","OK")))))))</f>
        <v>0</v>
      </c>
    </row>
    <row r="25" spans="1:34">
      <c r="A25" s="38">
        <f>IF(B25="","",BundlePrefix&amp;TEXT(ROW()-4,"0000"))</f>
        <v>0</v>
      </c>
      <c r="L25" s="32">
        <f>IF(B25="","",SUMIFS('Bundle Lines'!$E$5:$E$204,'Bundle Lines'!$A$5:$A$204,A25))</f>
        <v>0</v>
      </c>
      <c r="M25" s="32">
        <f>IF(B25="","",COUNTIFS('Bundle Lines'!$A$5:$A$204,A25))</f>
        <v>0</v>
      </c>
      <c r="N25" s="20">
        <f>IF(B25="","",ROUND(SUMIFS('Bundle Lines'!$J$5:$J$204,'Bundle Lines'!$A$5:$A$204,A25),2))</f>
        <v>0</v>
      </c>
      <c r="O25" s="20">
        <f>IF(B25="","",ROUND(SUMIFS('Bundle Lines'!$K$5:$K$204,'Bundle Lines'!$A$5:$A$204,A25),2))</f>
        <v>0</v>
      </c>
      <c r="P25" s="20">
        <f>IF(B25="","",ROUND(IF(E25="Budget",PackBudget,IF(E25="Standard",PackStandard,IF(E25="Gift",PackGift,IF(E25="Premium",PackPremium,DefaultPackaging)))),2))</f>
        <v>0</v>
      </c>
      <c r="Q25" s="20">
        <f>IF(B25="","",ROUND(IF(F25="",0,F25)/60*LaborCostHour,2))</f>
        <v>0</v>
      </c>
      <c r="R25" s="20">
        <f>IF(B25="","",ROUND(N25+P25+Q25,2))</f>
        <v>0</v>
      </c>
      <c r="S25" s="33">
        <f>IF(B25="","",IFERROR(INDEX(Channels!$S$5:$S$18,MATCH(IF(D25="",DefaultChannel,D25),Channels!$A$5:$A$18,0)),0))</f>
        <v>0</v>
      </c>
      <c r="T25" s="20">
        <f>IF(B25="","",IFERROR(INDEX(Channels!$T$5:$T$18,MATCH(IF(D25="",DefaultChannel,D25),Channels!$A$5:$A$18,0)),0))</f>
        <v>0</v>
      </c>
      <c r="U25" s="41">
        <f>IF(B25="","",1-TargetRetailMargin-S25)</f>
        <v>0</v>
      </c>
      <c r="V25" s="20">
        <f>IF(B25="","",IF(U25&lt;=0,"",(R25+T25)/U25))</f>
        <v>0</v>
      </c>
      <c r="W25" s="20">
        <f>IF(B25="","",IF(V25="","Check the settings",ROUND(IF(RoundingRule="None",V25,IF(RoundingRule="Nearest 0.99",MAX(0.99,CEILING(V25,1)-0.01),IF(RoundingRule="Nearest 0.95",MAX(0.95,CEILING(V25,1)-0.05),IF(RoundingRule="Nearest 0.50",CEILING(V25,0.5),IF(RoundingRule="Nearest 1",CEILING(V25,1),IF(RoundingRule="Nearest 5",CEILING(V25,5),IF(RoundingRule="Up to whole 1",CEILING(V25,1),IF(RoundingRule="Up to whole 5",CEILING(V25,5),ROUND(V25,2))))))))),2)))</f>
        <v>0</v>
      </c>
      <c r="X25" s="20">
        <f>IF(B25="","",IF(O25=0,"",ROUND(O25*(1-IF(G25="",0,G25)),2)))</f>
        <v>0</v>
      </c>
      <c r="Y25" s="20">
        <f>IF(B25="","",IF(H25&lt;&gt;"",H25,IF(X25&lt;&gt;"",X25,IF(ISNUMBER(W25),W25,""))))</f>
        <v>0</v>
      </c>
      <c r="Z25" s="20">
        <f>IF(B25="","",IF(Y25="","",ROUND(Y25*S25+T25,2)))</f>
        <v>0</v>
      </c>
      <c r="AA25" s="20">
        <f>IF(B25="","",IF(Y25="","",ROUND(Y25-R25-Z25,2)))</f>
        <v>0</v>
      </c>
      <c r="AB25" s="33">
        <f>IF(B25="","",IF(OR(Y25="",Y25=0),"",AA25/Y25))</f>
        <v>0</v>
      </c>
      <c r="AC25" s="20">
        <f>IF(B25="","",IF(OR(Y25="",O25=0),"",ROUND(O25-Y25,2)))</f>
        <v>0</v>
      </c>
      <c r="AD25" s="33">
        <f>IF(B25="","",IF(OR(AC25="",O25=0),"",AC25/O25))</f>
        <v>0</v>
      </c>
      <c r="AE25" s="33">
        <f>IF(B25="","",IF(O25=0,"",(O25-N25)/O25))</f>
        <v>0</v>
      </c>
      <c r="AF25" s="33">
        <f>IF(B25="","",IF(OR(AB25="",AE25=""),"",AE25-AB25))</f>
        <v>0</v>
      </c>
      <c r="AG25" s="32">
        <f>IF(B25="","",SUMIFS(Sales!$D$5:$D$804,Sales!$C$5:$C$804,A25))</f>
        <v>0</v>
      </c>
      <c r="AH25" s="43">
        <f>IF(B25="","",IF(L25=0,"Add - no products in it yet",IF(Y25="","Check - no price yet",IF(AA25&lt;0,"Loss - the discount is too deep",IF(AB25&lt;MarginWarning,"Low margin - trim the discount",IF(AND(AF25&lt;&gt;"",AF25&gt;0.15),"Check - giving away a lot of margin",IF(F25="","Add - how long does it take to box?","OK")))))))</f>
        <v>0</v>
      </c>
    </row>
    <row r="26" spans="1:34">
      <c r="A26" s="38">
        <f>IF(B26="","",BundlePrefix&amp;TEXT(ROW()-4,"0000"))</f>
        <v>0</v>
      </c>
      <c r="L26" s="32">
        <f>IF(B26="","",SUMIFS('Bundle Lines'!$E$5:$E$204,'Bundle Lines'!$A$5:$A$204,A26))</f>
        <v>0</v>
      </c>
      <c r="M26" s="32">
        <f>IF(B26="","",COUNTIFS('Bundle Lines'!$A$5:$A$204,A26))</f>
        <v>0</v>
      </c>
      <c r="N26" s="20">
        <f>IF(B26="","",ROUND(SUMIFS('Bundle Lines'!$J$5:$J$204,'Bundle Lines'!$A$5:$A$204,A26),2))</f>
        <v>0</v>
      </c>
      <c r="O26" s="20">
        <f>IF(B26="","",ROUND(SUMIFS('Bundle Lines'!$K$5:$K$204,'Bundle Lines'!$A$5:$A$204,A26),2))</f>
        <v>0</v>
      </c>
      <c r="P26" s="20">
        <f>IF(B26="","",ROUND(IF(E26="Budget",PackBudget,IF(E26="Standard",PackStandard,IF(E26="Gift",PackGift,IF(E26="Premium",PackPremium,DefaultPackaging)))),2))</f>
        <v>0</v>
      </c>
      <c r="Q26" s="20">
        <f>IF(B26="","",ROUND(IF(F26="",0,F26)/60*LaborCostHour,2))</f>
        <v>0</v>
      </c>
      <c r="R26" s="20">
        <f>IF(B26="","",ROUND(N26+P26+Q26,2))</f>
        <v>0</v>
      </c>
      <c r="S26" s="33">
        <f>IF(B26="","",IFERROR(INDEX(Channels!$S$5:$S$18,MATCH(IF(D26="",DefaultChannel,D26),Channels!$A$5:$A$18,0)),0))</f>
        <v>0</v>
      </c>
      <c r="T26" s="20">
        <f>IF(B26="","",IFERROR(INDEX(Channels!$T$5:$T$18,MATCH(IF(D26="",DefaultChannel,D26),Channels!$A$5:$A$18,0)),0))</f>
        <v>0</v>
      </c>
      <c r="U26" s="41">
        <f>IF(B26="","",1-TargetRetailMargin-S26)</f>
        <v>0</v>
      </c>
      <c r="V26" s="20">
        <f>IF(B26="","",IF(U26&lt;=0,"",(R26+T26)/U26))</f>
        <v>0</v>
      </c>
      <c r="W26" s="20">
        <f>IF(B26="","",IF(V26="","Check the settings",ROUND(IF(RoundingRule="None",V26,IF(RoundingRule="Nearest 0.99",MAX(0.99,CEILING(V26,1)-0.01),IF(RoundingRule="Nearest 0.95",MAX(0.95,CEILING(V26,1)-0.05),IF(RoundingRule="Nearest 0.50",CEILING(V26,0.5),IF(RoundingRule="Nearest 1",CEILING(V26,1),IF(RoundingRule="Nearest 5",CEILING(V26,5),IF(RoundingRule="Up to whole 1",CEILING(V26,1),IF(RoundingRule="Up to whole 5",CEILING(V26,5),ROUND(V26,2))))))))),2)))</f>
        <v>0</v>
      </c>
      <c r="X26" s="20">
        <f>IF(B26="","",IF(O26=0,"",ROUND(O26*(1-IF(G26="",0,G26)),2)))</f>
        <v>0</v>
      </c>
      <c r="Y26" s="20">
        <f>IF(B26="","",IF(H26&lt;&gt;"",H26,IF(X26&lt;&gt;"",X26,IF(ISNUMBER(W26),W26,""))))</f>
        <v>0</v>
      </c>
      <c r="Z26" s="20">
        <f>IF(B26="","",IF(Y26="","",ROUND(Y26*S26+T26,2)))</f>
        <v>0</v>
      </c>
      <c r="AA26" s="20">
        <f>IF(B26="","",IF(Y26="","",ROUND(Y26-R26-Z26,2)))</f>
        <v>0</v>
      </c>
      <c r="AB26" s="33">
        <f>IF(B26="","",IF(OR(Y26="",Y26=0),"",AA26/Y26))</f>
        <v>0</v>
      </c>
      <c r="AC26" s="20">
        <f>IF(B26="","",IF(OR(Y26="",O26=0),"",ROUND(O26-Y26,2)))</f>
        <v>0</v>
      </c>
      <c r="AD26" s="33">
        <f>IF(B26="","",IF(OR(AC26="",O26=0),"",AC26/O26))</f>
        <v>0</v>
      </c>
      <c r="AE26" s="33">
        <f>IF(B26="","",IF(O26=0,"",(O26-N26)/O26))</f>
        <v>0</v>
      </c>
      <c r="AF26" s="33">
        <f>IF(B26="","",IF(OR(AB26="",AE26=""),"",AE26-AB26))</f>
        <v>0</v>
      </c>
      <c r="AG26" s="32">
        <f>IF(B26="","",SUMIFS(Sales!$D$5:$D$804,Sales!$C$5:$C$804,A26))</f>
        <v>0</v>
      </c>
      <c r="AH26" s="43">
        <f>IF(B26="","",IF(L26=0,"Add - no products in it yet",IF(Y26="","Check - no price yet",IF(AA26&lt;0,"Loss - the discount is too deep",IF(AB26&lt;MarginWarning,"Low margin - trim the discount",IF(AND(AF26&lt;&gt;"",AF26&gt;0.15),"Check - giving away a lot of margin",IF(F26="","Add - how long does it take to box?","OK")))))))</f>
        <v>0</v>
      </c>
    </row>
    <row r="27" spans="1:34">
      <c r="A27" s="38">
        <f>IF(B27="","",BundlePrefix&amp;TEXT(ROW()-4,"0000"))</f>
        <v>0</v>
      </c>
      <c r="L27" s="32">
        <f>IF(B27="","",SUMIFS('Bundle Lines'!$E$5:$E$204,'Bundle Lines'!$A$5:$A$204,A27))</f>
        <v>0</v>
      </c>
      <c r="M27" s="32">
        <f>IF(B27="","",COUNTIFS('Bundle Lines'!$A$5:$A$204,A27))</f>
        <v>0</v>
      </c>
      <c r="N27" s="20">
        <f>IF(B27="","",ROUND(SUMIFS('Bundle Lines'!$J$5:$J$204,'Bundle Lines'!$A$5:$A$204,A27),2))</f>
        <v>0</v>
      </c>
      <c r="O27" s="20">
        <f>IF(B27="","",ROUND(SUMIFS('Bundle Lines'!$K$5:$K$204,'Bundle Lines'!$A$5:$A$204,A27),2))</f>
        <v>0</v>
      </c>
      <c r="P27" s="20">
        <f>IF(B27="","",ROUND(IF(E27="Budget",PackBudget,IF(E27="Standard",PackStandard,IF(E27="Gift",PackGift,IF(E27="Premium",PackPremium,DefaultPackaging)))),2))</f>
        <v>0</v>
      </c>
      <c r="Q27" s="20">
        <f>IF(B27="","",ROUND(IF(F27="",0,F27)/60*LaborCostHour,2))</f>
        <v>0</v>
      </c>
      <c r="R27" s="20">
        <f>IF(B27="","",ROUND(N27+P27+Q27,2))</f>
        <v>0</v>
      </c>
      <c r="S27" s="33">
        <f>IF(B27="","",IFERROR(INDEX(Channels!$S$5:$S$18,MATCH(IF(D27="",DefaultChannel,D27),Channels!$A$5:$A$18,0)),0))</f>
        <v>0</v>
      </c>
      <c r="T27" s="20">
        <f>IF(B27="","",IFERROR(INDEX(Channels!$T$5:$T$18,MATCH(IF(D27="",DefaultChannel,D27),Channels!$A$5:$A$18,0)),0))</f>
        <v>0</v>
      </c>
      <c r="U27" s="41">
        <f>IF(B27="","",1-TargetRetailMargin-S27)</f>
        <v>0</v>
      </c>
      <c r="V27" s="20">
        <f>IF(B27="","",IF(U27&lt;=0,"",(R27+T27)/U27))</f>
        <v>0</v>
      </c>
      <c r="W27" s="20">
        <f>IF(B27="","",IF(V27="","Check the settings",ROUND(IF(RoundingRule="None",V27,IF(RoundingRule="Nearest 0.99",MAX(0.99,CEILING(V27,1)-0.01),IF(RoundingRule="Nearest 0.95",MAX(0.95,CEILING(V27,1)-0.05),IF(RoundingRule="Nearest 0.50",CEILING(V27,0.5),IF(RoundingRule="Nearest 1",CEILING(V27,1),IF(RoundingRule="Nearest 5",CEILING(V27,5),IF(RoundingRule="Up to whole 1",CEILING(V27,1),IF(RoundingRule="Up to whole 5",CEILING(V27,5),ROUND(V27,2))))))))),2)))</f>
        <v>0</v>
      </c>
      <c r="X27" s="20">
        <f>IF(B27="","",IF(O27=0,"",ROUND(O27*(1-IF(G27="",0,G27)),2)))</f>
        <v>0</v>
      </c>
      <c r="Y27" s="20">
        <f>IF(B27="","",IF(H27&lt;&gt;"",H27,IF(X27&lt;&gt;"",X27,IF(ISNUMBER(W27),W27,""))))</f>
        <v>0</v>
      </c>
      <c r="Z27" s="20">
        <f>IF(B27="","",IF(Y27="","",ROUND(Y27*S27+T27,2)))</f>
        <v>0</v>
      </c>
      <c r="AA27" s="20">
        <f>IF(B27="","",IF(Y27="","",ROUND(Y27-R27-Z27,2)))</f>
        <v>0</v>
      </c>
      <c r="AB27" s="33">
        <f>IF(B27="","",IF(OR(Y27="",Y27=0),"",AA27/Y27))</f>
        <v>0</v>
      </c>
      <c r="AC27" s="20">
        <f>IF(B27="","",IF(OR(Y27="",O27=0),"",ROUND(O27-Y27,2)))</f>
        <v>0</v>
      </c>
      <c r="AD27" s="33">
        <f>IF(B27="","",IF(OR(AC27="",O27=0),"",AC27/O27))</f>
        <v>0</v>
      </c>
      <c r="AE27" s="33">
        <f>IF(B27="","",IF(O27=0,"",(O27-N27)/O27))</f>
        <v>0</v>
      </c>
      <c r="AF27" s="33">
        <f>IF(B27="","",IF(OR(AB27="",AE27=""),"",AE27-AB27))</f>
        <v>0</v>
      </c>
      <c r="AG27" s="32">
        <f>IF(B27="","",SUMIFS(Sales!$D$5:$D$804,Sales!$C$5:$C$804,A27))</f>
        <v>0</v>
      </c>
      <c r="AH27" s="43">
        <f>IF(B27="","",IF(L27=0,"Add - no products in it yet",IF(Y27="","Check - no price yet",IF(AA27&lt;0,"Loss - the discount is too deep",IF(AB27&lt;MarginWarning,"Low margin - trim the discount",IF(AND(AF27&lt;&gt;"",AF27&gt;0.15),"Check - giving away a lot of margin",IF(F27="","Add - how long does it take to box?","OK")))))))</f>
        <v>0</v>
      </c>
    </row>
    <row r="28" spans="1:34">
      <c r="A28" s="38">
        <f>IF(B28="","",BundlePrefix&amp;TEXT(ROW()-4,"0000"))</f>
        <v>0</v>
      </c>
      <c r="L28" s="32">
        <f>IF(B28="","",SUMIFS('Bundle Lines'!$E$5:$E$204,'Bundle Lines'!$A$5:$A$204,A28))</f>
        <v>0</v>
      </c>
      <c r="M28" s="32">
        <f>IF(B28="","",COUNTIFS('Bundle Lines'!$A$5:$A$204,A28))</f>
        <v>0</v>
      </c>
      <c r="N28" s="20">
        <f>IF(B28="","",ROUND(SUMIFS('Bundle Lines'!$J$5:$J$204,'Bundle Lines'!$A$5:$A$204,A28),2))</f>
        <v>0</v>
      </c>
      <c r="O28" s="20">
        <f>IF(B28="","",ROUND(SUMIFS('Bundle Lines'!$K$5:$K$204,'Bundle Lines'!$A$5:$A$204,A28),2))</f>
        <v>0</v>
      </c>
      <c r="P28" s="20">
        <f>IF(B28="","",ROUND(IF(E28="Budget",PackBudget,IF(E28="Standard",PackStandard,IF(E28="Gift",PackGift,IF(E28="Premium",PackPremium,DefaultPackaging)))),2))</f>
        <v>0</v>
      </c>
      <c r="Q28" s="20">
        <f>IF(B28="","",ROUND(IF(F28="",0,F28)/60*LaborCostHour,2))</f>
        <v>0</v>
      </c>
      <c r="R28" s="20">
        <f>IF(B28="","",ROUND(N28+P28+Q28,2))</f>
        <v>0</v>
      </c>
      <c r="S28" s="33">
        <f>IF(B28="","",IFERROR(INDEX(Channels!$S$5:$S$18,MATCH(IF(D28="",DefaultChannel,D28),Channels!$A$5:$A$18,0)),0))</f>
        <v>0</v>
      </c>
      <c r="T28" s="20">
        <f>IF(B28="","",IFERROR(INDEX(Channels!$T$5:$T$18,MATCH(IF(D28="",DefaultChannel,D28),Channels!$A$5:$A$18,0)),0))</f>
        <v>0</v>
      </c>
      <c r="U28" s="41">
        <f>IF(B28="","",1-TargetRetailMargin-S28)</f>
        <v>0</v>
      </c>
      <c r="V28" s="20">
        <f>IF(B28="","",IF(U28&lt;=0,"",(R28+T28)/U28))</f>
        <v>0</v>
      </c>
      <c r="W28" s="20">
        <f>IF(B28="","",IF(V28="","Check the settings",ROUND(IF(RoundingRule="None",V28,IF(RoundingRule="Nearest 0.99",MAX(0.99,CEILING(V28,1)-0.01),IF(RoundingRule="Nearest 0.95",MAX(0.95,CEILING(V28,1)-0.05),IF(RoundingRule="Nearest 0.50",CEILING(V28,0.5),IF(RoundingRule="Nearest 1",CEILING(V28,1),IF(RoundingRule="Nearest 5",CEILING(V28,5),IF(RoundingRule="Up to whole 1",CEILING(V28,1),IF(RoundingRule="Up to whole 5",CEILING(V28,5),ROUND(V28,2))))))))),2)))</f>
        <v>0</v>
      </c>
      <c r="X28" s="20">
        <f>IF(B28="","",IF(O28=0,"",ROUND(O28*(1-IF(G28="",0,G28)),2)))</f>
        <v>0</v>
      </c>
      <c r="Y28" s="20">
        <f>IF(B28="","",IF(H28&lt;&gt;"",H28,IF(X28&lt;&gt;"",X28,IF(ISNUMBER(W28),W28,""))))</f>
        <v>0</v>
      </c>
      <c r="Z28" s="20">
        <f>IF(B28="","",IF(Y28="","",ROUND(Y28*S28+T28,2)))</f>
        <v>0</v>
      </c>
      <c r="AA28" s="20">
        <f>IF(B28="","",IF(Y28="","",ROUND(Y28-R28-Z28,2)))</f>
        <v>0</v>
      </c>
      <c r="AB28" s="33">
        <f>IF(B28="","",IF(OR(Y28="",Y28=0),"",AA28/Y28))</f>
        <v>0</v>
      </c>
      <c r="AC28" s="20">
        <f>IF(B28="","",IF(OR(Y28="",O28=0),"",ROUND(O28-Y28,2)))</f>
        <v>0</v>
      </c>
      <c r="AD28" s="33">
        <f>IF(B28="","",IF(OR(AC28="",O28=0),"",AC28/O28))</f>
        <v>0</v>
      </c>
      <c r="AE28" s="33">
        <f>IF(B28="","",IF(O28=0,"",(O28-N28)/O28))</f>
        <v>0</v>
      </c>
      <c r="AF28" s="33">
        <f>IF(B28="","",IF(OR(AB28="",AE28=""),"",AE28-AB28))</f>
        <v>0</v>
      </c>
      <c r="AG28" s="32">
        <f>IF(B28="","",SUMIFS(Sales!$D$5:$D$804,Sales!$C$5:$C$804,A28))</f>
        <v>0</v>
      </c>
      <c r="AH28" s="43">
        <f>IF(B28="","",IF(L28=0,"Add - no products in it yet",IF(Y28="","Check - no price yet",IF(AA28&lt;0,"Loss - the discount is too deep",IF(AB28&lt;MarginWarning,"Low margin - trim the discount",IF(AND(AF28&lt;&gt;"",AF28&gt;0.15),"Check - giving away a lot of margin",IF(F28="","Add - how long does it take to box?","OK")))))))</f>
        <v>0</v>
      </c>
    </row>
    <row r="29" spans="1:34">
      <c r="A29" s="38">
        <f>IF(B29="","",BundlePrefix&amp;TEXT(ROW()-4,"0000"))</f>
        <v>0</v>
      </c>
      <c r="L29" s="32">
        <f>IF(B29="","",SUMIFS('Bundle Lines'!$E$5:$E$204,'Bundle Lines'!$A$5:$A$204,A29))</f>
        <v>0</v>
      </c>
      <c r="M29" s="32">
        <f>IF(B29="","",COUNTIFS('Bundle Lines'!$A$5:$A$204,A29))</f>
        <v>0</v>
      </c>
      <c r="N29" s="20">
        <f>IF(B29="","",ROUND(SUMIFS('Bundle Lines'!$J$5:$J$204,'Bundle Lines'!$A$5:$A$204,A29),2))</f>
        <v>0</v>
      </c>
      <c r="O29" s="20">
        <f>IF(B29="","",ROUND(SUMIFS('Bundle Lines'!$K$5:$K$204,'Bundle Lines'!$A$5:$A$204,A29),2))</f>
        <v>0</v>
      </c>
      <c r="P29" s="20">
        <f>IF(B29="","",ROUND(IF(E29="Budget",PackBudget,IF(E29="Standard",PackStandard,IF(E29="Gift",PackGift,IF(E29="Premium",PackPremium,DefaultPackaging)))),2))</f>
        <v>0</v>
      </c>
      <c r="Q29" s="20">
        <f>IF(B29="","",ROUND(IF(F29="",0,F29)/60*LaborCostHour,2))</f>
        <v>0</v>
      </c>
      <c r="R29" s="20">
        <f>IF(B29="","",ROUND(N29+P29+Q29,2))</f>
        <v>0</v>
      </c>
      <c r="S29" s="33">
        <f>IF(B29="","",IFERROR(INDEX(Channels!$S$5:$S$18,MATCH(IF(D29="",DefaultChannel,D29),Channels!$A$5:$A$18,0)),0))</f>
        <v>0</v>
      </c>
      <c r="T29" s="20">
        <f>IF(B29="","",IFERROR(INDEX(Channels!$T$5:$T$18,MATCH(IF(D29="",DefaultChannel,D29),Channels!$A$5:$A$18,0)),0))</f>
        <v>0</v>
      </c>
      <c r="U29" s="41">
        <f>IF(B29="","",1-TargetRetailMargin-S29)</f>
        <v>0</v>
      </c>
      <c r="V29" s="20">
        <f>IF(B29="","",IF(U29&lt;=0,"",(R29+T29)/U29))</f>
        <v>0</v>
      </c>
      <c r="W29" s="20">
        <f>IF(B29="","",IF(V29="","Check the settings",ROUND(IF(RoundingRule="None",V29,IF(RoundingRule="Nearest 0.99",MAX(0.99,CEILING(V29,1)-0.01),IF(RoundingRule="Nearest 0.95",MAX(0.95,CEILING(V29,1)-0.05),IF(RoundingRule="Nearest 0.50",CEILING(V29,0.5),IF(RoundingRule="Nearest 1",CEILING(V29,1),IF(RoundingRule="Nearest 5",CEILING(V29,5),IF(RoundingRule="Up to whole 1",CEILING(V29,1),IF(RoundingRule="Up to whole 5",CEILING(V29,5),ROUND(V29,2))))))))),2)))</f>
        <v>0</v>
      </c>
      <c r="X29" s="20">
        <f>IF(B29="","",IF(O29=0,"",ROUND(O29*(1-IF(G29="",0,G29)),2)))</f>
        <v>0</v>
      </c>
      <c r="Y29" s="20">
        <f>IF(B29="","",IF(H29&lt;&gt;"",H29,IF(X29&lt;&gt;"",X29,IF(ISNUMBER(W29),W29,""))))</f>
        <v>0</v>
      </c>
      <c r="Z29" s="20">
        <f>IF(B29="","",IF(Y29="","",ROUND(Y29*S29+T29,2)))</f>
        <v>0</v>
      </c>
      <c r="AA29" s="20">
        <f>IF(B29="","",IF(Y29="","",ROUND(Y29-R29-Z29,2)))</f>
        <v>0</v>
      </c>
      <c r="AB29" s="33">
        <f>IF(B29="","",IF(OR(Y29="",Y29=0),"",AA29/Y29))</f>
        <v>0</v>
      </c>
      <c r="AC29" s="20">
        <f>IF(B29="","",IF(OR(Y29="",O29=0),"",ROUND(O29-Y29,2)))</f>
        <v>0</v>
      </c>
      <c r="AD29" s="33">
        <f>IF(B29="","",IF(OR(AC29="",O29=0),"",AC29/O29))</f>
        <v>0</v>
      </c>
      <c r="AE29" s="33">
        <f>IF(B29="","",IF(O29=0,"",(O29-N29)/O29))</f>
        <v>0</v>
      </c>
      <c r="AF29" s="33">
        <f>IF(B29="","",IF(OR(AB29="",AE29=""),"",AE29-AB29))</f>
        <v>0</v>
      </c>
      <c r="AG29" s="32">
        <f>IF(B29="","",SUMIFS(Sales!$D$5:$D$804,Sales!$C$5:$C$804,A29))</f>
        <v>0</v>
      </c>
      <c r="AH29" s="43">
        <f>IF(B29="","",IF(L29=0,"Add - no products in it yet",IF(Y29="","Check - no price yet",IF(AA29&lt;0,"Loss - the discount is too deep",IF(AB29&lt;MarginWarning,"Low margin - trim the discount",IF(AND(AF29&lt;&gt;"",AF29&gt;0.15),"Check - giving away a lot of margin",IF(F29="","Add - how long does it take to box?","OK")))))))</f>
        <v>0</v>
      </c>
    </row>
    <row r="30" spans="1:34">
      <c r="A30" s="38">
        <f>IF(B30="","",BundlePrefix&amp;TEXT(ROW()-4,"0000"))</f>
        <v>0</v>
      </c>
      <c r="L30" s="32">
        <f>IF(B30="","",SUMIFS('Bundle Lines'!$E$5:$E$204,'Bundle Lines'!$A$5:$A$204,A30))</f>
        <v>0</v>
      </c>
      <c r="M30" s="32">
        <f>IF(B30="","",COUNTIFS('Bundle Lines'!$A$5:$A$204,A30))</f>
        <v>0</v>
      </c>
      <c r="N30" s="20">
        <f>IF(B30="","",ROUND(SUMIFS('Bundle Lines'!$J$5:$J$204,'Bundle Lines'!$A$5:$A$204,A30),2))</f>
        <v>0</v>
      </c>
      <c r="O30" s="20">
        <f>IF(B30="","",ROUND(SUMIFS('Bundle Lines'!$K$5:$K$204,'Bundle Lines'!$A$5:$A$204,A30),2))</f>
        <v>0</v>
      </c>
      <c r="P30" s="20">
        <f>IF(B30="","",ROUND(IF(E30="Budget",PackBudget,IF(E30="Standard",PackStandard,IF(E30="Gift",PackGift,IF(E30="Premium",PackPremium,DefaultPackaging)))),2))</f>
        <v>0</v>
      </c>
      <c r="Q30" s="20">
        <f>IF(B30="","",ROUND(IF(F30="",0,F30)/60*LaborCostHour,2))</f>
        <v>0</v>
      </c>
      <c r="R30" s="20">
        <f>IF(B30="","",ROUND(N30+P30+Q30,2))</f>
        <v>0</v>
      </c>
      <c r="S30" s="33">
        <f>IF(B30="","",IFERROR(INDEX(Channels!$S$5:$S$18,MATCH(IF(D30="",DefaultChannel,D30),Channels!$A$5:$A$18,0)),0))</f>
        <v>0</v>
      </c>
      <c r="T30" s="20">
        <f>IF(B30="","",IFERROR(INDEX(Channels!$T$5:$T$18,MATCH(IF(D30="",DefaultChannel,D30),Channels!$A$5:$A$18,0)),0))</f>
        <v>0</v>
      </c>
      <c r="U30" s="41">
        <f>IF(B30="","",1-TargetRetailMargin-S30)</f>
        <v>0</v>
      </c>
      <c r="V30" s="20">
        <f>IF(B30="","",IF(U30&lt;=0,"",(R30+T30)/U30))</f>
        <v>0</v>
      </c>
      <c r="W30" s="20">
        <f>IF(B30="","",IF(V30="","Check the settings",ROUND(IF(RoundingRule="None",V30,IF(RoundingRule="Nearest 0.99",MAX(0.99,CEILING(V30,1)-0.01),IF(RoundingRule="Nearest 0.95",MAX(0.95,CEILING(V30,1)-0.05),IF(RoundingRule="Nearest 0.50",CEILING(V30,0.5),IF(RoundingRule="Nearest 1",CEILING(V30,1),IF(RoundingRule="Nearest 5",CEILING(V30,5),IF(RoundingRule="Up to whole 1",CEILING(V30,1),IF(RoundingRule="Up to whole 5",CEILING(V30,5),ROUND(V30,2))))))))),2)))</f>
        <v>0</v>
      </c>
      <c r="X30" s="20">
        <f>IF(B30="","",IF(O30=0,"",ROUND(O30*(1-IF(G30="",0,G30)),2)))</f>
        <v>0</v>
      </c>
      <c r="Y30" s="20">
        <f>IF(B30="","",IF(H30&lt;&gt;"",H30,IF(X30&lt;&gt;"",X30,IF(ISNUMBER(W30),W30,""))))</f>
        <v>0</v>
      </c>
      <c r="Z30" s="20">
        <f>IF(B30="","",IF(Y30="","",ROUND(Y30*S30+T30,2)))</f>
        <v>0</v>
      </c>
      <c r="AA30" s="20">
        <f>IF(B30="","",IF(Y30="","",ROUND(Y30-R30-Z30,2)))</f>
        <v>0</v>
      </c>
      <c r="AB30" s="33">
        <f>IF(B30="","",IF(OR(Y30="",Y30=0),"",AA30/Y30))</f>
        <v>0</v>
      </c>
      <c r="AC30" s="20">
        <f>IF(B30="","",IF(OR(Y30="",O30=0),"",ROUND(O30-Y30,2)))</f>
        <v>0</v>
      </c>
      <c r="AD30" s="33">
        <f>IF(B30="","",IF(OR(AC30="",O30=0),"",AC30/O30))</f>
        <v>0</v>
      </c>
      <c r="AE30" s="33">
        <f>IF(B30="","",IF(O30=0,"",(O30-N30)/O30))</f>
        <v>0</v>
      </c>
      <c r="AF30" s="33">
        <f>IF(B30="","",IF(OR(AB30="",AE30=""),"",AE30-AB30))</f>
        <v>0</v>
      </c>
      <c r="AG30" s="32">
        <f>IF(B30="","",SUMIFS(Sales!$D$5:$D$804,Sales!$C$5:$C$804,A30))</f>
        <v>0</v>
      </c>
      <c r="AH30" s="43">
        <f>IF(B30="","",IF(L30=0,"Add - no products in it yet",IF(Y30="","Check - no price yet",IF(AA30&lt;0,"Loss - the discount is too deep",IF(AB30&lt;MarginWarning,"Low margin - trim the discount",IF(AND(AF30&lt;&gt;"",AF30&gt;0.15),"Check - giving away a lot of margin",IF(F30="","Add - how long does it take to box?","OK")))))))</f>
        <v>0</v>
      </c>
    </row>
    <row r="31" spans="1:34">
      <c r="A31" s="38">
        <f>IF(B31="","",BundlePrefix&amp;TEXT(ROW()-4,"0000"))</f>
        <v>0</v>
      </c>
      <c r="L31" s="32">
        <f>IF(B31="","",SUMIFS('Bundle Lines'!$E$5:$E$204,'Bundle Lines'!$A$5:$A$204,A31))</f>
        <v>0</v>
      </c>
      <c r="M31" s="32">
        <f>IF(B31="","",COUNTIFS('Bundle Lines'!$A$5:$A$204,A31))</f>
        <v>0</v>
      </c>
      <c r="N31" s="20">
        <f>IF(B31="","",ROUND(SUMIFS('Bundle Lines'!$J$5:$J$204,'Bundle Lines'!$A$5:$A$204,A31),2))</f>
        <v>0</v>
      </c>
      <c r="O31" s="20">
        <f>IF(B31="","",ROUND(SUMIFS('Bundle Lines'!$K$5:$K$204,'Bundle Lines'!$A$5:$A$204,A31),2))</f>
        <v>0</v>
      </c>
      <c r="P31" s="20">
        <f>IF(B31="","",ROUND(IF(E31="Budget",PackBudget,IF(E31="Standard",PackStandard,IF(E31="Gift",PackGift,IF(E31="Premium",PackPremium,DefaultPackaging)))),2))</f>
        <v>0</v>
      </c>
      <c r="Q31" s="20">
        <f>IF(B31="","",ROUND(IF(F31="",0,F31)/60*LaborCostHour,2))</f>
        <v>0</v>
      </c>
      <c r="R31" s="20">
        <f>IF(B31="","",ROUND(N31+P31+Q31,2))</f>
        <v>0</v>
      </c>
      <c r="S31" s="33">
        <f>IF(B31="","",IFERROR(INDEX(Channels!$S$5:$S$18,MATCH(IF(D31="",DefaultChannel,D31),Channels!$A$5:$A$18,0)),0))</f>
        <v>0</v>
      </c>
      <c r="T31" s="20">
        <f>IF(B31="","",IFERROR(INDEX(Channels!$T$5:$T$18,MATCH(IF(D31="",DefaultChannel,D31),Channels!$A$5:$A$18,0)),0))</f>
        <v>0</v>
      </c>
      <c r="U31" s="41">
        <f>IF(B31="","",1-TargetRetailMargin-S31)</f>
        <v>0</v>
      </c>
      <c r="V31" s="20">
        <f>IF(B31="","",IF(U31&lt;=0,"",(R31+T31)/U31))</f>
        <v>0</v>
      </c>
      <c r="W31" s="20">
        <f>IF(B31="","",IF(V31="","Check the settings",ROUND(IF(RoundingRule="None",V31,IF(RoundingRule="Nearest 0.99",MAX(0.99,CEILING(V31,1)-0.01),IF(RoundingRule="Nearest 0.95",MAX(0.95,CEILING(V31,1)-0.05),IF(RoundingRule="Nearest 0.50",CEILING(V31,0.5),IF(RoundingRule="Nearest 1",CEILING(V31,1),IF(RoundingRule="Nearest 5",CEILING(V31,5),IF(RoundingRule="Up to whole 1",CEILING(V31,1),IF(RoundingRule="Up to whole 5",CEILING(V31,5),ROUND(V31,2))))))))),2)))</f>
        <v>0</v>
      </c>
      <c r="X31" s="20">
        <f>IF(B31="","",IF(O31=0,"",ROUND(O31*(1-IF(G31="",0,G31)),2)))</f>
        <v>0</v>
      </c>
      <c r="Y31" s="20">
        <f>IF(B31="","",IF(H31&lt;&gt;"",H31,IF(X31&lt;&gt;"",X31,IF(ISNUMBER(W31),W31,""))))</f>
        <v>0</v>
      </c>
      <c r="Z31" s="20">
        <f>IF(B31="","",IF(Y31="","",ROUND(Y31*S31+T31,2)))</f>
        <v>0</v>
      </c>
      <c r="AA31" s="20">
        <f>IF(B31="","",IF(Y31="","",ROUND(Y31-R31-Z31,2)))</f>
        <v>0</v>
      </c>
      <c r="AB31" s="33">
        <f>IF(B31="","",IF(OR(Y31="",Y31=0),"",AA31/Y31))</f>
        <v>0</v>
      </c>
      <c r="AC31" s="20">
        <f>IF(B31="","",IF(OR(Y31="",O31=0),"",ROUND(O31-Y31,2)))</f>
        <v>0</v>
      </c>
      <c r="AD31" s="33">
        <f>IF(B31="","",IF(OR(AC31="",O31=0),"",AC31/O31))</f>
        <v>0</v>
      </c>
      <c r="AE31" s="33">
        <f>IF(B31="","",IF(O31=0,"",(O31-N31)/O31))</f>
        <v>0</v>
      </c>
      <c r="AF31" s="33">
        <f>IF(B31="","",IF(OR(AB31="",AE31=""),"",AE31-AB31))</f>
        <v>0</v>
      </c>
      <c r="AG31" s="32">
        <f>IF(B31="","",SUMIFS(Sales!$D$5:$D$804,Sales!$C$5:$C$804,A31))</f>
        <v>0</v>
      </c>
      <c r="AH31" s="43">
        <f>IF(B31="","",IF(L31=0,"Add - no products in it yet",IF(Y31="","Check - no price yet",IF(AA31&lt;0,"Loss - the discount is too deep",IF(AB31&lt;MarginWarning,"Low margin - trim the discount",IF(AND(AF31&lt;&gt;"",AF31&gt;0.15),"Check - giving away a lot of margin",IF(F31="","Add - how long does it take to box?","OK")))))))</f>
        <v>0</v>
      </c>
    </row>
    <row r="32" spans="1:34">
      <c r="A32" s="38">
        <f>IF(B32="","",BundlePrefix&amp;TEXT(ROW()-4,"0000"))</f>
        <v>0</v>
      </c>
      <c r="L32" s="32">
        <f>IF(B32="","",SUMIFS('Bundle Lines'!$E$5:$E$204,'Bundle Lines'!$A$5:$A$204,A32))</f>
        <v>0</v>
      </c>
      <c r="M32" s="32">
        <f>IF(B32="","",COUNTIFS('Bundle Lines'!$A$5:$A$204,A32))</f>
        <v>0</v>
      </c>
      <c r="N32" s="20">
        <f>IF(B32="","",ROUND(SUMIFS('Bundle Lines'!$J$5:$J$204,'Bundle Lines'!$A$5:$A$204,A32),2))</f>
        <v>0</v>
      </c>
      <c r="O32" s="20">
        <f>IF(B32="","",ROUND(SUMIFS('Bundle Lines'!$K$5:$K$204,'Bundle Lines'!$A$5:$A$204,A32),2))</f>
        <v>0</v>
      </c>
      <c r="P32" s="20">
        <f>IF(B32="","",ROUND(IF(E32="Budget",PackBudget,IF(E32="Standard",PackStandard,IF(E32="Gift",PackGift,IF(E32="Premium",PackPremium,DefaultPackaging)))),2))</f>
        <v>0</v>
      </c>
      <c r="Q32" s="20">
        <f>IF(B32="","",ROUND(IF(F32="",0,F32)/60*LaborCostHour,2))</f>
        <v>0</v>
      </c>
      <c r="R32" s="20">
        <f>IF(B32="","",ROUND(N32+P32+Q32,2))</f>
        <v>0</v>
      </c>
      <c r="S32" s="33">
        <f>IF(B32="","",IFERROR(INDEX(Channels!$S$5:$S$18,MATCH(IF(D32="",DefaultChannel,D32),Channels!$A$5:$A$18,0)),0))</f>
        <v>0</v>
      </c>
      <c r="T32" s="20">
        <f>IF(B32="","",IFERROR(INDEX(Channels!$T$5:$T$18,MATCH(IF(D32="",DefaultChannel,D32),Channels!$A$5:$A$18,0)),0))</f>
        <v>0</v>
      </c>
      <c r="U32" s="41">
        <f>IF(B32="","",1-TargetRetailMargin-S32)</f>
        <v>0</v>
      </c>
      <c r="V32" s="20">
        <f>IF(B32="","",IF(U32&lt;=0,"",(R32+T32)/U32))</f>
        <v>0</v>
      </c>
      <c r="W32" s="20">
        <f>IF(B32="","",IF(V32="","Check the settings",ROUND(IF(RoundingRule="None",V32,IF(RoundingRule="Nearest 0.99",MAX(0.99,CEILING(V32,1)-0.01),IF(RoundingRule="Nearest 0.95",MAX(0.95,CEILING(V32,1)-0.05),IF(RoundingRule="Nearest 0.50",CEILING(V32,0.5),IF(RoundingRule="Nearest 1",CEILING(V32,1),IF(RoundingRule="Nearest 5",CEILING(V32,5),IF(RoundingRule="Up to whole 1",CEILING(V32,1),IF(RoundingRule="Up to whole 5",CEILING(V32,5),ROUND(V32,2))))))))),2)))</f>
        <v>0</v>
      </c>
      <c r="X32" s="20">
        <f>IF(B32="","",IF(O32=0,"",ROUND(O32*(1-IF(G32="",0,G32)),2)))</f>
        <v>0</v>
      </c>
      <c r="Y32" s="20">
        <f>IF(B32="","",IF(H32&lt;&gt;"",H32,IF(X32&lt;&gt;"",X32,IF(ISNUMBER(W32),W32,""))))</f>
        <v>0</v>
      </c>
      <c r="Z32" s="20">
        <f>IF(B32="","",IF(Y32="","",ROUND(Y32*S32+T32,2)))</f>
        <v>0</v>
      </c>
      <c r="AA32" s="20">
        <f>IF(B32="","",IF(Y32="","",ROUND(Y32-R32-Z32,2)))</f>
        <v>0</v>
      </c>
      <c r="AB32" s="33">
        <f>IF(B32="","",IF(OR(Y32="",Y32=0),"",AA32/Y32))</f>
        <v>0</v>
      </c>
      <c r="AC32" s="20">
        <f>IF(B32="","",IF(OR(Y32="",O32=0),"",ROUND(O32-Y32,2)))</f>
        <v>0</v>
      </c>
      <c r="AD32" s="33">
        <f>IF(B32="","",IF(OR(AC32="",O32=0),"",AC32/O32))</f>
        <v>0</v>
      </c>
      <c r="AE32" s="33">
        <f>IF(B32="","",IF(O32=0,"",(O32-N32)/O32))</f>
        <v>0</v>
      </c>
      <c r="AF32" s="33">
        <f>IF(B32="","",IF(OR(AB32="",AE32=""),"",AE32-AB32))</f>
        <v>0</v>
      </c>
      <c r="AG32" s="32">
        <f>IF(B32="","",SUMIFS(Sales!$D$5:$D$804,Sales!$C$5:$C$804,A32))</f>
        <v>0</v>
      </c>
      <c r="AH32" s="43">
        <f>IF(B32="","",IF(L32=0,"Add - no products in it yet",IF(Y32="","Check - no price yet",IF(AA32&lt;0,"Loss - the discount is too deep",IF(AB32&lt;MarginWarning,"Low margin - trim the discount",IF(AND(AF32&lt;&gt;"",AF32&gt;0.15),"Check - giving away a lot of margin",IF(F32="","Add - how long does it take to box?","OK")))))))</f>
        <v>0</v>
      </c>
    </row>
    <row r="33" spans="1:34">
      <c r="A33" s="38">
        <f>IF(B33="","",BundlePrefix&amp;TEXT(ROW()-4,"0000"))</f>
        <v>0</v>
      </c>
      <c r="L33" s="32">
        <f>IF(B33="","",SUMIFS('Bundle Lines'!$E$5:$E$204,'Bundle Lines'!$A$5:$A$204,A33))</f>
        <v>0</v>
      </c>
      <c r="M33" s="32">
        <f>IF(B33="","",COUNTIFS('Bundle Lines'!$A$5:$A$204,A33))</f>
        <v>0</v>
      </c>
      <c r="N33" s="20">
        <f>IF(B33="","",ROUND(SUMIFS('Bundle Lines'!$J$5:$J$204,'Bundle Lines'!$A$5:$A$204,A33),2))</f>
        <v>0</v>
      </c>
      <c r="O33" s="20">
        <f>IF(B33="","",ROUND(SUMIFS('Bundle Lines'!$K$5:$K$204,'Bundle Lines'!$A$5:$A$204,A33),2))</f>
        <v>0</v>
      </c>
      <c r="P33" s="20">
        <f>IF(B33="","",ROUND(IF(E33="Budget",PackBudget,IF(E33="Standard",PackStandard,IF(E33="Gift",PackGift,IF(E33="Premium",PackPremium,DefaultPackaging)))),2))</f>
        <v>0</v>
      </c>
      <c r="Q33" s="20">
        <f>IF(B33="","",ROUND(IF(F33="",0,F33)/60*LaborCostHour,2))</f>
        <v>0</v>
      </c>
      <c r="R33" s="20">
        <f>IF(B33="","",ROUND(N33+P33+Q33,2))</f>
        <v>0</v>
      </c>
      <c r="S33" s="33">
        <f>IF(B33="","",IFERROR(INDEX(Channels!$S$5:$S$18,MATCH(IF(D33="",DefaultChannel,D33),Channels!$A$5:$A$18,0)),0))</f>
        <v>0</v>
      </c>
      <c r="T33" s="20">
        <f>IF(B33="","",IFERROR(INDEX(Channels!$T$5:$T$18,MATCH(IF(D33="",DefaultChannel,D33),Channels!$A$5:$A$18,0)),0))</f>
        <v>0</v>
      </c>
      <c r="U33" s="41">
        <f>IF(B33="","",1-TargetRetailMargin-S33)</f>
        <v>0</v>
      </c>
      <c r="V33" s="20">
        <f>IF(B33="","",IF(U33&lt;=0,"",(R33+T33)/U33))</f>
        <v>0</v>
      </c>
      <c r="W33" s="20">
        <f>IF(B33="","",IF(V33="","Check the settings",ROUND(IF(RoundingRule="None",V33,IF(RoundingRule="Nearest 0.99",MAX(0.99,CEILING(V33,1)-0.01),IF(RoundingRule="Nearest 0.95",MAX(0.95,CEILING(V33,1)-0.05),IF(RoundingRule="Nearest 0.50",CEILING(V33,0.5),IF(RoundingRule="Nearest 1",CEILING(V33,1),IF(RoundingRule="Nearest 5",CEILING(V33,5),IF(RoundingRule="Up to whole 1",CEILING(V33,1),IF(RoundingRule="Up to whole 5",CEILING(V33,5),ROUND(V33,2))))))))),2)))</f>
        <v>0</v>
      </c>
      <c r="X33" s="20">
        <f>IF(B33="","",IF(O33=0,"",ROUND(O33*(1-IF(G33="",0,G33)),2)))</f>
        <v>0</v>
      </c>
      <c r="Y33" s="20">
        <f>IF(B33="","",IF(H33&lt;&gt;"",H33,IF(X33&lt;&gt;"",X33,IF(ISNUMBER(W33),W33,""))))</f>
        <v>0</v>
      </c>
      <c r="Z33" s="20">
        <f>IF(B33="","",IF(Y33="","",ROUND(Y33*S33+T33,2)))</f>
        <v>0</v>
      </c>
      <c r="AA33" s="20">
        <f>IF(B33="","",IF(Y33="","",ROUND(Y33-R33-Z33,2)))</f>
        <v>0</v>
      </c>
      <c r="AB33" s="33">
        <f>IF(B33="","",IF(OR(Y33="",Y33=0),"",AA33/Y33))</f>
        <v>0</v>
      </c>
      <c r="AC33" s="20">
        <f>IF(B33="","",IF(OR(Y33="",O33=0),"",ROUND(O33-Y33,2)))</f>
        <v>0</v>
      </c>
      <c r="AD33" s="33">
        <f>IF(B33="","",IF(OR(AC33="",O33=0),"",AC33/O33))</f>
        <v>0</v>
      </c>
      <c r="AE33" s="33">
        <f>IF(B33="","",IF(O33=0,"",(O33-N33)/O33))</f>
        <v>0</v>
      </c>
      <c r="AF33" s="33">
        <f>IF(B33="","",IF(OR(AB33="",AE33=""),"",AE33-AB33))</f>
        <v>0</v>
      </c>
      <c r="AG33" s="32">
        <f>IF(B33="","",SUMIFS(Sales!$D$5:$D$804,Sales!$C$5:$C$804,A33))</f>
        <v>0</v>
      </c>
      <c r="AH33" s="43">
        <f>IF(B33="","",IF(L33=0,"Add - no products in it yet",IF(Y33="","Check - no price yet",IF(AA33&lt;0,"Loss - the discount is too deep",IF(AB33&lt;MarginWarning,"Low margin - trim the discount",IF(AND(AF33&lt;&gt;"",AF33&gt;0.15),"Check - giving away a lot of margin",IF(F33="","Add - how long does it take to box?","OK")))))))</f>
        <v>0</v>
      </c>
    </row>
    <row r="34" spans="1:34">
      <c r="A34" s="38">
        <f>IF(B34="","",BundlePrefix&amp;TEXT(ROW()-4,"0000"))</f>
        <v>0</v>
      </c>
      <c r="L34" s="32">
        <f>IF(B34="","",SUMIFS('Bundle Lines'!$E$5:$E$204,'Bundle Lines'!$A$5:$A$204,A34))</f>
        <v>0</v>
      </c>
      <c r="M34" s="32">
        <f>IF(B34="","",COUNTIFS('Bundle Lines'!$A$5:$A$204,A34))</f>
        <v>0</v>
      </c>
      <c r="N34" s="20">
        <f>IF(B34="","",ROUND(SUMIFS('Bundle Lines'!$J$5:$J$204,'Bundle Lines'!$A$5:$A$204,A34),2))</f>
        <v>0</v>
      </c>
      <c r="O34" s="20">
        <f>IF(B34="","",ROUND(SUMIFS('Bundle Lines'!$K$5:$K$204,'Bundle Lines'!$A$5:$A$204,A34),2))</f>
        <v>0</v>
      </c>
      <c r="P34" s="20">
        <f>IF(B34="","",ROUND(IF(E34="Budget",PackBudget,IF(E34="Standard",PackStandard,IF(E34="Gift",PackGift,IF(E34="Premium",PackPremium,DefaultPackaging)))),2))</f>
        <v>0</v>
      </c>
      <c r="Q34" s="20">
        <f>IF(B34="","",ROUND(IF(F34="",0,F34)/60*LaborCostHour,2))</f>
        <v>0</v>
      </c>
      <c r="R34" s="20">
        <f>IF(B34="","",ROUND(N34+P34+Q34,2))</f>
        <v>0</v>
      </c>
      <c r="S34" s="33">
        <f>IF(B34="","",IFERROR(INDEX(Channels!$S$5:$S$18,MATCH(IF(D34="",DefaultChannel,D34),Channels!$A$5:$A$18,0)),0))</f>
        <v>0</v>
      </c>
      <c r="T34" s="20">
        <f>IF(B34="","",IFERROR(INDEX(Channels!$T$5:$T$18,MATCH(IF(D34="",DefaultChannel,D34),Channels!$A$5:$A$18,0)),0))</f>
        <v>0</v>
      </c>
      <c r="U34" s="41">
        <f>IF(B34="","",1-TargetRetailMargin-S34)</f>
        <v>0</v>
      </c>
      <c r="V34" s="20">
        <f>IF(B34="","",IF(U34&lt;=0,"",(R34+T34)/U34))</f>
        <v>0</v>
      </c>
      <c r="W34" s="20">
        <f>IF(B34="","",IF(V34="","Check the settings",ROUND(IF(RoundingRule="None",V34,IF(RoundingRule="Nearest 0.99",MAX(0.99,CEILING(V34,1)-0.01),IF(RoundingRule="Nearest 0.95",MAX(0.95,CEILING(V34,1)-0.05),IF(RoundingRule="Nearest 0.50",CEILING(V34,0.5),IF(RoundingRule="Nearest 1",CEILING(V34,1),IF(RoundingRule="Nearest 5",CEILING(V34,5),IF(RoundingRule="Up to whole 1",CEILING(V34,1),IF(RoundingRule="Up to whole 5",CEILING(V34,5),ROUND(V34,2))))))))),2)))</f>
        <v>0</v>
      </c>
      <c r="X34" s="20">
        <f>IF(B34="","",IF(O34=0,"",ROUND(O34*(1-IF(G34="",0,G34)),2)))</f>
        <v>0</v>
      </c>
      <c r="Y34" s="20">
        <f>IF(B34="","",IF(H34&lt;&gt;"",H34,IF(X34&lt;&gt;"",X34,IF(ISNUMBER(W34),W34,""))))</f>
        <v>0</v>
      </c>
      <c r="Z34" s="20">
        <f>IF(B34="","",IF(Y34="","",ROUND(Y34*S34+T34,2)))</f>
        <v>0</v>
      </c>
      <c r="AA34" s="20">
        <f>IF(B34="","",IF(Y34="","",ROUND(Y34-R34-Z34,2)))</f>
        <v>0</v>
      </c>
      <c r="AB34" s="33">
        <f>IF(B34="","",IF(OR(Y34="",Y34=0),"",AA34/Y34))</f>
        <v>0</v>
      </c>
      <c r="AC34" s="20">
        <f>IF(B34="","",IF(OR(Y34="",O34=0),"",ROUND(O34-Y34,2)))</f>
        <v>0</v>
      </c>
      <c r="AD34" s="33">
        <f>IF(B34="","",IF(OR(AC34="",O34=0),"",AC34/O34))</f>
        <v>0</v>
      </c>
      <c r="AE34" s="33">
        <f>IF(B34="","",IF(O34=0,"",(O34-N34)/O34))</f>
        <v>0</v>
      </c>
      <c r="AF34" s="33">
        <f>IF(B34="","",IF(OR(AB34="",AE34=""),"",AE34-AB34))</f>
        <v>0</v>
      </c>
      <c r="AG34" s="32">
        <f>IF(B34="","",SUMIFS(Sales!$D$5:$D$804,Sales!$C$5:$C$804,A34))</f>
        <v>0</v>
      </c>
      <c r="AH34" s="43">
        <f>IF(B34="","",IF(L34=0,"Add - no products in it yet",IF(Y34="","Check - no price yet",IF(AA34&lt;0,"Loss - the discount is too deep",IF(AB34&lt;MarginWarning,"Low margin - trim the discount",IF(AND(AF34&lt;&gt;"",AF34&gt;0.15),"Check - giving away a lot of margin",IF(F34="","Add - how long does it take to box?","OK")))))))</f>
        <v>0</v>
      </c>
    </row>
    <row r="35" spans="1:34">
      <c r="A35" s="38">
        <f>IF(B35="","",BundlePrefix&amp;TEXT(ROW()-4,"0000"))</f>
        <v>0</v>
      </c>
      <c r="L35" s="32">
        <f>IF(B35="","",SUMIFS('Bundle Lines'!$E$5:$E$204,'Bundle Lines'!$A$5:$A$204,A35))</f>
        <v>0</v>
      </c>
      <c r="M35" s="32">
        <f>IF(B35="","",COUNTIFS('Bundle Lines'!$A$5:$A$204,A35))</f>
        <v>0</v>
      </c>
      <c r="N35" s="20">
        <f>IF(B35="","",ROUND(SUMIFS('Bundle Lines'!$J$5:$J$204,'Bundle Lines'!$A$5:$A$204,A35),2))</f>
        <v>0</v>
      </c>
      <c r="O35" s="20">
        <f>IF(B35="","",ROUND(SUMIFS('Bundle Lines'!$K$5:$K$204,'Bundle Lines'!$A$5:$A$204,A35),2))</f>
        <v>0</v>
      </c>
      <c r="P35" s="20">
        <f>IF(B35="","",ROUND(IF(E35="Budget",PackBudget,IF(E35="Standard",PackStandard,IF(E35="Gift",PackGift,IF(E35="Premium",PackPremium,DefaultPackaging)))),2))</f>
        <v>0</v>
      </c>
      <c r="Q35" s="20">
        <f>IF(B35="","",ROUND(IF(F35="",0,F35)/60*LaborCostHour,2))</f>
        <v>0</v>
      </c>
      <c r="R35" s="20">
        <f>IF(B35="","",ROUND(N35+P35+Q35,2))</f>
        <v>0</v>
      </c>
      <c r="S35" s="33">
        <f>IF(B35="","",IFERROR(INDEX(Channels!$S$5:$S$18,MATCH(IF(D35="",DefaultChannel,D35),Channels!$A$5:$A$18,0)),0))</f>
        <v>0</v>
      </c>
      <c r="T35" s="20">
        <f>IF(B35="","",IFERROR(INDEX(Channels!$T$5:$T$18,MATCH(IF(D35="",DefaultChannel,D35),Channels!$A$5:$A$18,0)),0))</f>
        <v>0</v>
      </c>
      <c r="U35" s="41">
        <f>IF(B35="","",1-TargetRetailMargin-S35)</f>
        <v>0</v>
      </c>
      <c r="V35" s="20">
        <f>IF(B35="","",IF(U35&lt;=0,"",(R35+T35)/U35))</f>
        <v>0</v>
      </c>
      <c r="W35" s="20">
        <f>IF(B35="","",IF(V35="","Check the settings",ROUND(IF(RoundingRule="None",V35,IF(RoundingRule="Nearest 0.99",MAX(0.99,CEILING(V35,1)-0.01),IF(RoundingRule="Nearest 0.95",MAX(0.95,CEILING(V35,1)-0.05),IF(RoundingRule="Nearest 0.50",CEILING(V35,0.5),IF(RoundingRule="Nearest 1",CEILING(V35,1),IF(RoundingRule="Nearest 5",CEILING(V35,5),IF(RoundingRule="Up to whole 1",CEILING(V35,1),IF(RoundingRule="Up to whole 5",CEILING(V35,5),ROUND(V35,2))))))))),2)))</f>
        <v>0</v>
      </c>
      <c r="X35" s="20">
        <f>IF(B35="","",IF(O35=0,"",ROUND(O35*(1-IF(G35="",0,G35)),2)))</f>
        <v>0</v>
      </c>
      <c r="Y35" s="20">
        <f>IF(B35="","",IF(H35&lt;&gt;"",H35,IF(X35&lt;&gt;"",X35,IF(ISNUMBER(W35),W35,""))))</f>
        <v>0</v>
      </c>
      <c r="Z35" s="20">
        <f>IF(B35="","",IF(Y35="","",ROUND(Y35*S35+T35,2)))</f>
        <v>0</v>
      </c>
      <c r="AA35" s="20">
        <f>IF(B35="","",IF(Y35="","",ROUND(Y35-R35-Z35,2)))</f>
        <v>0</v>
      </c>
      <c r="AB35" s="33">
        <f>IF(B35="","",IF(OR(Y35="",Y35=0),"",AA35/Y35))</f>
        <v>0</v>
      </c>
      <c r="AC35" s="20">
        <f>IF(B35="","",IF(OR(Y35="",O35=0),"",ROUND(O35-Y35,2)))</f>
        <v>0</v>
      </c>
      <c r="AD35" s="33">
        <f>IF(B35="","",IF(OR(AC35="",O35=0),"",AC35/O35))</f>
        <v>0</v>
      </c>
      <c r="AE35" s="33">
        <f>IF(B35="","",IF(O35=0,"",(O35-N35)/O35))</f>
        <v>0</v>
      </c>
      <c r="AF35" s="33">
        <f>IF(B35="","",IF(OR(AB35="",AE35=""),"",AE35-AB35))</f>
        <v>0</v>
      </c>
      <c r="AG35" s="32">
        <f>IF(B35="","",SUMIFS(Sales!$D$5:$D$804,Sales!$C$5:$C$804,A35))</f>
        <v>0</v>
      </c>
      <c r="AH35" s="43">
        <f>IF(B35="","",IF(L35=0,"Add - no products in it yet",IF(Y35="","Check - no price yet",IF(AA35&lt;0,"Loss - the discount is too deep",IF(AB35&lt;MarginWarning,"Low margin - trim the discount",IF(AND(AF35&lt;&gt;"",AF35&gt;0.15),"Check - giving away a lot of margin",IF(F35="","Add - how long does it take to box?","OK")))))))</f>
        <v>0</v>
      </c>
    </row>
    <row r="36" spans="1:34">
      <c r="A36" s="38">
        <f>IF(B36="","",BundlePrefix&amp;TEXT(ROW()-4,"0000"))</f>
        <v>0</v>
      </c>
      <c r="L36" s="32">
        <f>IF(B36="","",SUMIFS('Bundle Lines'!$E$5:$E$204,'Bundle Lines'!$A$5:$A$204,A36))</f>
        <v>0</v>
      </c>
      <c r="M36" s="32">
        <f>IF(B36="","",COUNTIFS('Bundle Lines'!$A$5:$A$204,A36))</f>
        <v>0</v>
      </c>
      <c r="N36" s="20">
        <f>IF(B36="","",ROUND(SUMIFS('Bundle Lines'!$J$5:$J$204,'Bundle Lines'!$A$5:$A$204,A36),2))</f>
        <v>0</v>
      </c>
      <c r="O36" s="20">
        <f>IF(B36="","",ROUND(SUMIFS('Bundle Lines'!$K$5:$K$204,'Bundle Lines'!$A$5:$A$204,A36),2))</f>
        <v>0</v>
      </c>
      <c r="P36" s="20">
        <f>IF(B36="","",ROUND(IF(E36="Budget",PackBudget,IF(E36="Standard",PackStandard,IF(E36="Gift",PackGift,IF(E36="Premium",PackPremium,DefaultPackaging)))),2))</f>
        <v>0</v>
      </c>
      <c r="Q36" s="20">
        <f>IF(B36="","",ROUND(IF(F36="",0,F36)/60*LaborCostHour,2))</f>
        <v>0</v>
      </c>
      <c r="R36" s="20">
        <f>IF(B36="","",ROUND(N36+P36+Q36,2))</f>
        <v>0</v>
      </c>
      <c r="S36" s="33">
        <f>IF(B36="","",IFERROR(INDEX(Channels!$S$5:$S$18,MATCH(IF(D36="",DefaultChannel,D36),Channels!$A$5:$A$18,0)),0))</f>
        <v>0</v>
      </c>
      <c r="T36" s="20">
        <f>IF(B36="","",IFERROR(INDEX(Channels!$T$5:$T$18,MATCH(IF(D36="",DefaultChannel,D36),Channels!$A$5:$A$18,0)),0))</f>
        <v>0</v>
      </c>
      <c r="U36" s="41">
        <f>IF(B36="","",1-TargetRetailMargin-S36)</f>
        <v>0</v>
      </c>
      <c r="V36" s="20">
        <f>IF(B36="","",IF(U36&lt;=0,"",(R36+T36)/U36))</f>
        <v>0</v>
      </c>
      <c r="W36" s="20">
        <f>IF(B36="","",IF(V36="","Check the settings",ROUND(IF(RoundingRule="None",V36,IF(RoundingRule="Nearest 0.99",MAX(0.99,CEILING(V36,1)-0.01),IF(RoundingRule="Nearest 0.95",MAX(0.95,CEILING(V36,1)-0.05),IF(RoundingRule="Nearest 0.50",CEILING(V36,0.5),IF(RoundingRule="Nearest 1",CEILING(V36,1),IF(RoundingRule="Nearest 5",CEILING(V36,5),IF(RoundingRule="Up to whole 1",CEILING(V36,1),IF(RoundingRule="Up to whole 5",CEILING(V36,5),ROUND(V36,2))))))))),2)))</f>
        <v>0</v>
      </c>
      <c r="X36" s="20">
        <f>IF(B36="","",IF(O36=0,"",ROUND(O36*(1-IF(G36="",0,G36)),2)))</f>
        <v>0</v>
      </c>
      <c r="Y36" s="20">
        <f>IF(B36="","",IF(H36&lt;&gt;"",H36,IF(X36&lt;&gt;"",X36,IF(ISNUMBER(W36),W36,""))))</f>
        <v>0</v>
      </c>
      <c r="Z36" s="20">
        <f>IF(B36="","",IF(Y36="","",ROUND(Y36*S36+T36,2)))</f>
        <v>0</v>
      </c>
      <c r="AA36" s="20">
        <f>IF(B36="","",IF(Y36="","",ROUND(Y36-R36-Z36,2)))</f>
        <v>0</v>
      </c>
      <c r="AB36" s="33">
        <f>IF(B36="","",IF(OR(Y36="",Y36=0),"",AA36/Y36))</f>
        <v>0</v>
      </c>
      <c r="AC36" s="20">
        <f>IF(B36="","",IF(OR(Y36="",O36=0),"",ROUND(O36-Y36,2)))</f>
        <v>0</v>
      </c>
      <c r="AD36" s="33">
        <f>IF(B36="","",IF(OR(AC36="",O36=0),"",AC36/O36))</f>
        <v>0</v>
      </c>
      <c r="AE36" s="33">
        <f>IF(B36="","",IF(O36=0,"",(O36-N36)/O36))</f>
        <v>0</v>
      </c>
      <c r="AF36" s="33">
        <f>IF(B36="","",IF(OR(AB36="",AE36=""),"",AE36-AB36))</f>
        <v>0</v>
      </c>
      <c r="AG36" s="32">
        <f>IF(B36="","",SUMIFS(Sales!$D$5:$D$804,Sales!$C$5:$C$804,A36))</f>
        <v>0</v>
      </c>
      <c r="AH36" s="43">
        <f>IF(B36="","",IF(L36=0,"Add - no products in it yet",IF(Y36="","Check - no price yet",IF(AA36&lt;0,"Loss - the discount is too deep",IF(AB36&lt;MarginWarning,"Low margin - trim the discount",IF(AND(AF36&lt;&gt;"",AF36&gt;0.15),"Check - giving away a lot of margin",IF(F36="","Add - how long does it take to box?","OK")))))))</f>
        <v>0</v>
      </c>
    </row>
    <row r="37" spans="1:34">
      <c r="A37" s="38">
        <f>IF(B37="","",BundlePrefix&amp;TEXT(ROW()-4,"0000"))</f>
        <v>0</v>
      </c>
      <c r="L37" s="32">
        <f>IF(B37="","",SUMIFS('Bundle Lines'!$E$5:$E$204,'Bundle Lines'!$A$5:$A$204,A37))</f>
        <v>0</v>
      </c>
      <c r="M37" s="32">
        <f>IF(B37="","",COUNTIFS('Bundle Lines'!$A$5:$A$204,A37))</f>
        <v>0</v>
      </c>
      <c r="N37" s="20">
        <f>IF(B37="","",ROUND(SUMIFS('Bundle Lines'!$J$5:$J$204,'Bundle Lines'!$A$5:$A$204,A37),2))</f>
        <v>0</v>
      </c>
      <c r="O37" s="20">
        <f>IF(B37="","",ROUND(SUMIFS('Bundle Lines'!$K$5:$K$204,'Bundle Lines'!$A$5:$A$204,A37),2))</f>
        <v>0</v>
      </c>
      <c r="P37" s="20">
        <f>IF(B37="","",ROUND(IF(E37="Budget",PackBudget,IF(E37="Standard",PackStandard,IF(E37="Gift",PackGift,IF(E37="Premium",PackPremium,DefaultPackaging)))),2))</f>
        <v>0</v>
      </c>
      <c r="Q37" s="20">
        <f>IF(B37="","",ROUND(IF(F37="",0,F37)/60*LaborCostHour,2))</f>
        <v>0</v>
      </c>
      <c r="R37" s="20">
        <f>IF(B37="","",ROUND(N37+P37+Q37,2))</f>
        <v>0</v>
      </c>
      <c r="S37" s="33">
        <f>IF(B37="","",IFERROR(INDEX(Channels!$S$5:$S$18,MATCH(IF(D37="",DefaultChannel,D37),Channels!$A$5:$A$18,0)),0))</f>
        <v>0</v>
      </c>
      <c r="T37" s="20">
        <f>IF(B37="","",IFERROR(INDEX(Channels!$T$5:$T$18,MATCH(IF(D37="",DefaultChannel,D37),Channels!$A$5:$A$18,0)),0))</f>
        <v>0</v>
      </c>
      <c r="U37" s="41">
        <f>IF(B37="","",1-TargetRetailMargin-S37)</f>
        <v>0</v>
      </c>
      <c r="V37" s="20">
        <f>IF(B37="","",IF(U37&lt;=0,"",(R37+T37)/U37))</f>
        <v>0</v>
      </c>
      <c r="W37" s="20">
        <f>IF(B37="","",IF(V37="","Check the settings",ROUND(IF(RoundingRule="None",V37,IF(RoundingRule="Nearest 0.99",MAX(0.99,CEILING(V37,1)-0.01),IF(RoundingRule="Nearest 0.95",MAX(0.95,CEILING(V37,1)-0.05),IF(RoundingRule="Nearest 0.50",CEILING(V37,0.5),IF(RoundingRule="Nearest 1",CEILING(V37,1),IF(RoundingRule="Nearest 5",CEILING(V37,5),IF(RoundingRule="Up to whole 1",CEILING(V37,1),IF(RoundingRule="Up to whole 5",CEILING(V37,5),ROUND(V37,2))))))))),2)))</f>
        <v>0</v>
      </c>
      <c r="X37" s="20">
        <f>IF(B37="","",IF(O37=0,"",ROUND(O37*(1-IF(G37="",0,G37)),2)))</f>
        <v>0</v>
      </c>
      <c r="Y37" s="20">
        <f>IF(B37="","",IF(H37&lt;&gt;"",H37,IF(X37&lt;&gt;"",X37,IF(ISNUMBER(W37),W37,""))))</f>
        <v>0</v>
      </c>
      <c r="Z37" s="20">
        <f>IF(B37="","",IF(Y37="","",ROUND(Y37*S37+T37,2)))</f>
        <v>0</v>
      </c>
      <c r="AA37" s="20">
        <f>IF(B37="","",IF(Y37="","",ROUND(Y37-R37-Z37,2)))</f>
        <v>0</v>
      </c>
      <c r="AB37" s="33">
        <f>IF(B37="","",IF(OR(Y37="",Y37=0),"",AA37/Y37))</f>
        <v>0</v>
      </c>
      <c r="AC37" s="20">
        <f>IF(B37="","",IF(OR(Y37="",O37=0),"",ROUND(O37-Y37,2)))</f>
        <v>0</v>
      </c>
      <c r="AD37" s="33">
        <f>IF(B37="","",IF(OR(AC37="",O37=0),"",AC37/O37))</f>
        <v>0</v>
      </c>
      <c r="AE37" s="33">
        <f>IF(B37="","",IF(O37=0,"",(O37-N37)/O37))</f>
        <v>0</v>
      </c>
      <c r="AF37" s="33">
        <f>IF(B37="","",IF(OR(AB37="",AE37=""),"",AE37-AB37))</f>
        <v>0</v>
      </c>
      <c r="AG37" s="32">
        <f>IF(B37="","",SUMIFS(Sales!$D$5:$D$804,Sales!$C$5:$C$804,A37))</f>
        <v>0</v>
      </c>
      <c r="AH37" s="43">
        <f>IF(B37="","",IF(L37=0,"Add - no products in it yet",IF(Y37="","Check - no price yet",IF(AA37&lt;0,"Loss - the discount is too deep",IF(AB37&lt;MarginWarning,"Low margin - trim the discount",IF(AND(AF37&lt;&gt;"",AF37&gt;0.15),"Check - giving away a lot of margin",IF(F37="","Add - how long does it take to box?","OK")))))))</f>
        <v>0</v>
      </c>
    </row>
    <row r="38" spans="1:34">
      <c r="A38" s="38">
        <f>IF(B38="","",BundlePrefix&amp;TEXT(ROW()-4,"0000"))</f>
        <v>0</v>
      </c>
      <c r="L38" s="32">
        <f>IF(B38="","",SUMIFS('Bundle Lines'!$E$5:$E$204,'Bundle Lines'!$A$5:$A$204,A38))</f>
        <v>0</v>
      </c>
      <c r="M38" s="32">
        <f>IF(B38="","",COUNTIFS('Bundle Lines'!$A$5:$A$204,A38))</f>
        <v>0</v>
      </c>
      <c r="N38" s="20">
        <f>IF(B38="","",ROUND(SUMIFS('Bundle Lines'!$J$5:$J$204,'Bundle Lines'!$A$5:$A$204,A38),2))</f>
        <v>0</v>
      </c>
      <c r="O38" s="20">
        <f>IF(B38="","",ROUND(SUMIFS('Bundle Lines'!$K$5:$K$204,'Bundle Lines'!$A$5:$A$204,A38),2))</f>
        <v>0</v>
      </c>
      <c r="P38" s="20">
        <f>IF(B38="","",ROUND(IF(E38="Budget",PackBudget,IF(E38="Standard",PackStandard,IF(E38="Gift",PackGift,IF(E38="Premium",PackPremium,DefaultPackaging)))),2))</f>
        <v>0</v>
      </c>
      <c r="Q38" s="20">
        <f>IF(B38="","",ROUND(IF(F38="",0,F38)/60*LaborCostHour,2))</f>
        <v>0</v>
      </c>
      <c r="R38" s="20">
        <f>IF(B38="","",ROUND(N38+P38+Q38,2))</f>
        <v>0</v>
      </c>
      <c r="S38" s="33">
        <f>IF(B38="","",IFERROR(INDEX(Channels!$S$5:$S$18,MATCH(IF(D38="",DefaultChannel,D38),Channels!$A$5:$A$18,0)),0))</f>
        <v>0</v>
      </c>
      <c r="T38" s="20">
        <f>IF(B38="","",IFERROR(INDEX(Channels!$T$5:$T$18,MATCH(IF(D38="",DefaultChannel,D38),Channels!$A$5:$A$18,0)),0))</f>
        <v>0</v>
      </c>
      <c r="U38" s="41">
        <f>IF(B38="","",1-TargetRetailMargin-S38)</f>
        <v>0</v>
      </c>
      <c r="V38" s="20">
        <f>IF(B38="","",IF(U38&lt;=0,"",(R38+T38)/U38))</f>
        <v>0</v>
      </c>
      <c r="W38" s="20">
        <f>IF(B38="","",IF(V38="","Check the settings",ROUND(IF(RoundingRule="None",V38,IF(RoundingRule="Nearest 0.99",MAX(0.99,CEILING(V38,1)-0.01),IF(RoundingRule="Nearest 0.95",MAX(0.95,CEILING(V38,1)-0.05),IF(RoundingRule="Nearest 0.50",CEILING(V38,0.5),IF(RoundingRule="Nearest 1",CEILING(V38,1),IF(RoundingRule="Nearest 5",CEILING(V38,5),IF(RoundingRule="Up to whole 1",CEILING(V38,1),IF(RoundingRule="Up to whole 5",CEILING(V38,5),ROUND(V38,2))))))))),2)))</f>
        <v>0</v>
      </c>
      <c r="X38" s="20">
        <f>IF(B38="","",IF(O38=0,"",ROUND(O38*(1-IF(G38="",0,G38)),2)))</f>
        <v>0</v>
      </c>
      <c r="Y38" s="20">
        <f>IF(B38="","",IF(H38&lt;&gt;"",H38,IF(X38&lt;&gt;"",X38,IF(ISNUMBER(W38),W38,""))))</f>
        <v>0</v>
      </c>
      <c r="Z38" s="20">
        <f>IF(B38="","",IF(Y38="","",ROUND(Y38*S38+T38,2)))</f>
        <v>0</v>
      </c>
      <c r="AA38" s="20">
        <f>IF(B38="","",IF(Y38="","",ROUND(Y38-R38-Z38,2)))</f>
        <v>0</v>
      </c>
      <c r="AB38" s="33">
        <f>IF(B38="","",IF(OR(Y38="",Y38=0),"",AA38/Y38))</f>
        <v>0</v>
      </c>
      <c r="AC38" s="20">
        <f>IF(B38="","",IF(OR(Y38="",O38=0),"",ROUND(O38-Y38,2)))</f>
        <v>0</v>
      </c>
      <c r="AD38" s="33">
        <f>IF(B38="","",IF(OR(AC38="",O38=0),"",AC38/O38))</f>
        <v>0</v>
      </c>
      <c r="AE38" s="33">
        <f>IF(B38="","",IF(O38=0,"",(O38-N38)/O38))</f>
        <v>0</v>
      </c>
      <c r="AF38" s="33">
        <f>IF(B38="","",IF(OR(AB38="",AE38=""),"",AE38-AB38))</f>
        <v>0</v>
      </c>
      <c r="AG38" s="32">
        <f>IF(B38="","",SUMIFS(Sales!$D$5:$D$804,Sales!$C$5:$C$804,A38))</f>
        <v>0</v>
      </c>
      <c r="AH38" s="43">
        <f>IF(B38="","",IF(L38=0,"Add - no products in it yet",IF(Y38="","Check - no price yet",IF(AA38&lt;0,"Loss - the discount is too deep",IF(AB38&lt;MarginWarning,"Low margin - trim the discount",IF(AND(AF38&lt;&gt;"",AF38&gt;0.15),"Check - giving away a lot of margin",IF(F38="","Add - how long does it take to box?","OK")))))))</f>
        <v>0</v>
      </c>
    </row>
    <row r="39" spans="1:34">
      <c r="A39" s="38">
        <f>IF(B39="","",BundlePrefix&amp;TEXT(ROW()-4,"0000"))</f>
        <v>0</v>
      </c>
      <c r="L39" s="32">
        <f>IF(B39="","",SUMIFS('Bundle Lines'!$E$5:$E$204,'Bundle Lines'!$A$5:$A$204,A39))</f>
        <v>0</v>
      </c>
      <c r="M39" s="32">
        <f>IF(B39="","",COUNTIFS('Bundle Lines'!$A$5:$A$204,A39))</f>
        <v>0</v>
      </c>
      <c r="N39" s="20">
        <f>IF(B39="","",ROUND(SUMIFS('Bundle Lines'!$J$5:$J$204,'Bundle Lines'!$A$5:$A$204,A39),2))</f>
        <v>0</v>
      </c>
      <c r="O39" s="20">
        <f>IF(B39="","",ROUND(SUMIFS('Bundle Lines'!$K$5:$K$204,'Bundle Lines'!$A$5:$A$204,A39),2))</f>
        <v>0</v>
      </c>
      <c r="P39" s="20">
        <f>IF(B39="","",ROUND(IF(E39="Budget",PackBudget,IF(E39="Standard",PackStandard,IF(E39="Gift",PackGift,IF(E39="Premium",PackPremium,DefaultPackaging)))),2))</f>
        <v>0</v>
      </c>
      <c r="Q39" s="20">
        <f>IF(B39="","",ROUND(IF(F39="",0,F39)/60*LaborCostHour,2))</f>
        <v>0</v>
      </c>
      <c r="R39" s="20">
        <f>IF(B39="","",ROUND(N39+P39+Q39,2))</f>
        <v>0</v>
      </c>
      <c r="S39" s="33">
        <f>IF(B39="","",IFERROR(INDEX(Channels!$S$5:$S$18,MATCH(IF(D39="",DefaultChannel,D39),Channels!$A$5:$A$18,0)),0))</f>
        <v>0</v>
      </c>
      <c r="T39" s="20">
        <f>IF(B39="","",IFERROR(INDEX(Channels!$T$5:$T$18,MATCH(IF(D39="",DefaultChannel,D39),Channels!$A$5:$A$18,0)),0))</f>
        <v>0</v>
      </c>
      <c r="U39" s="41">
        <f>IF(B39="","",1-TargetRetailMargin-S39)</f>
        <v>0</v>
      </c>
      <c r="V39" s="20">
        <f>IF(B39="","",IF(U39&lt;=0,"",(R39+T39)/U39))</f>
        <v>0</v>
      </c>
      <c r="W39" s="20">
        <f>IF(B39="","",IF(V39="","Check the settings",ROUND(IF(RoundingRule="None",V39,IF(RoundingRule="Nearest 0.99",MAX(0.99,CEILING(V39,1)-0.01),IF(RoundingRule="Nearest 0.95",MAX(0.95,CEILING(V39,1)-0.05),IF(RoundingRule="Nearest 0.50",CEILING(V39,0.5),IF(RoundingRule="Nearest 1",CEILING(V39,1),IF(RoundingRule="Nearest 5",CEILING(V39,5),IF(RoundingRule="Up to whole 1",CEILING(V39,1),IF(RoundingRule="Up to whole 5",CEILING(V39,5),ROUND(V39,2))))))))),2)))</f>
        <v>0</v>
      </c>
      <c r="X39" s="20">
        <f>IF(B39="","",IF(O39=0,"",ROUND(O39*(1-IF(G39="",0,G39)),2)))</f>
        <v>0</v>
      </c>
      <c r="Y39" s="20">
        <f>IF(B39="","",IF(H39&lt;&gt;"",H39,IF(X39&lt;&gt;"",X39,IF(ISNUMBER(W39),W39,""))))</f>
        <v>0</v>
      </c>
      <c r="Z39" s="20">
        <f>IF(B39="","",IF(Y39="","",ROUND(Y39*S39+T39,2)))</f>
        <v>0</v>
      </c>
      <c r="AA39" s="20">
        <f>IF(B39="","",IF(Y39="","",ROUND(Y39-R39-Z39,2)))</f>
        <v>0</v>
      </c>
      <c r="AB39" s="33">
        <f>IF(B39="","",IF(OR(Y39="",Y39=0),"",AA39/Y39))</f>
        <v>0</v>
      </c>
      <c r="AC39" s="20">
        <f>IF(B39="","",IF(OR(Y39="",O39=0),"",ROUND(O39-Y39,2)))</f>
        <v>0</v>
      </c>
      <c r="AD39" s="33">
        <f>IF(B39="","",IF(OR(AC39="",O39=0),"",AC39/O39))</f>
        <v>0</v>
      </c>
      <c r="AE39" s="33">
        <f>IF(B39="","",IF(O39=0,"",(O39-N39)/O39))</f>
        <v>0</v>
      </c>
      <c r="AF39" s="33">
        <f>IF(B39="","",IF(OR(AB39="",AE39=""),"",AE39-AB39))</f>
        <v>0</v>
      </c>
      <c r="AG39" s="32">
        <f>IF(B39="","",SUMIFS(Sales!$D$5:$D$804,Sales!$C$5:$C$804,A39))</f>
        <v>0</v>
      </c>
      <c r="AH39" s="43">
        <f>IF(B39="","",IF(L39=0,"Add - no products in it yet",IF(Y39="","Check - no price yet",IF(AA39&lt;0,"Loss - the discount is too deep",IF(AB39&lt;MarginWarning,"Low margin - trim the discount",IF(AND(AF39&lt;&gt;"",AF39&gt;0.15),"Check - giving away a lot of margin",IF(F39="","Add - how long does it take to box?","OK")))))))</f>
        <v>0</v>
      </c>
    </row>
    <row r="40" spans="1:34">
      <c r="A40" s="38">
        <f>IF(B40="","",BundlePrefix&amp;TEXT(ROW()-4,"0000"))</f>
        <v>0</v>
      </c>
      <c r="L40" s="32">
        <f>IF(B40="","",SUMIFS('Bundle Lines'!$E$5:$E$204,'Bundle Lines'!$A$5:$A$204,A40))</f>
        <v>0</v>
      </c>
      <c r="M40" s="32">
        <f>IF(B40="","",COUNTIFS('Bundle Lines'!$A$5:$A$204,A40))</f>
        <v>0</v>
      </c>
      <c r="N40" s="20">
        <f>IF(B40="","",ROUND(SUMIFS('Bundle Lines'!$J$5:$J$204,'Bundle Lines'!$A$5:$A$204,A40),2))</f>
        <v>0</v>
      </c>
      <c r="O40" s="20">
        <f>IF(B40="","",ROUND(SUMIFS('Bundle Lines'!$K$5:$K$204,'Bundle Lines'!$A$5:$A$204,A40),2))</f>
        <v>0</v>
      </c>
      <c r="P40" s="20">
        <f>IF(B40="","",ROUND(IF(E40="Budget",PackBudget,IF(E40="Standard",PackStandard,IF(E40="Gift",PackGift,IF(E40="Premium",PackPremium,DefaultPackaging)))),2))</f>
        <v>0</v>
      </c>
      <c r="Q40" s="20">
        <f>IF(B40="","",ROUND(IF(F40="",0,F40)/60*LaborCostHour,2))</f>
        <v>0</v>
      </c>
      <c r="R40" s="20">
        <f>IF(B40="","",ROUND(N40+P40+Q40,2))</f>
        <v>0</v>
      </c>
      <c r="S40" s="33">
        <f>IF(B40="","",IFERROR(INDEX(Channels!$S$5:$S$18,MATCH(IF(D40="",DefaultChannel,D40),Channels!$A$5:$A$18,0)),0))</f>
        <v>0</v>
      </c>
      <c r="T40" s="20">
        <f>IF(B40="","",IFERROR(INDEX(Channels!$T$5:$T$18,MATCH(IF(D40="",DefaultChannel,D40),Channels!$A$5:$A$18,0)),0))</f>
        <v>0</v>
      </c>
      <c r="U40" s="41">
        <f>IF(B40="","",1-TargetRetailMargin-S40)</f>
        <v>0</v>
      </c>
      <c r="V40" s="20">
        <f>IF(B40="","",IF(U40&lt;=0,"",(R40+T40)/U40))</f>
        <v>0</v>
      </c>
      <c r="W40" s="20">
        <f>IF(B40="","",IF(V40="","Check the settings",ROUND(IF(RoundingRule="None",V40,IF(RoundingRule="Nearest 0.99",MAX(0.99,CEILING(V40,1)-0.01),IF(RoundingRule="Nearest 0.95",MAX(0.95,CEILING(V40,1)-0.05),IF(RoundingRule="Nearest 0.50",CEILING(V40,0.5),IF(RoundingRule="Nearest 1",CEILING(V40,1),IF(RoundingRule="Nearest 5",CEILING(V40,5),IF(RoundingRule="Up to whole 1",CEILING(V40,1),IF(RoundingRule="Up to whole 5",CEILING(V40,5),ROUND(V40,2))))))))),2)))</f>
        <v>0</v>
      </c>
      <c r="X40" s="20">
        <f>IF(B40="","",IF(O40=0,"",ROUND(O40*(1-IF(G40="",0,G40)),2)))</f>
        <v>0</v>
      </c>
      <c r="Y40" s="20">
        <f>IF(B40="","",IF(H40&lt;&gt;"",H40,IF(X40&lt;&gt;"",X40,IF(ISNUMBER(W40),W40,""))))</f>
        <v>0</v>
      </c>
      <c r="Z40" s="20">
        <f>IF(B40="","",IF(Y40="","",ROUND(Y40*S40+T40,2)))</f>
        <v>0</v>
      </c>
      <c r="AA40" s="20">
        <f>IF(B40="","",IF(Y40="","",ROUND(Y40-R40-Z40,2)))</f>
        <v>0</v>
      </c>
      <c r="AB40" s="33">
        <f>IF(B40="","",IF(OR(Y40="",Y40=0),"",AA40/Y40))</f>
        <v>0</v>
      </c>
      <c r="AC40" s="20">
        <f>IF(B40="","",IF(OR(Y40="",O40=0),"",ROUND(O40-Y40,2)))</f>
        <v>0</v>
      </c>
      <c r="AD40" s="33">
        <f>IF(B40="","",IF(OR(AC40="",O40=0),"",AC40/O40))</f>
        <v>0</v>
      </c>
      <c r="AE40" s="33">
        <f>IF(B40="","",IF(O40=0,"",(O40-N40)/O40))</f>
        <v>0</v>
      </c>
      <c r="AF40" s="33">
        <f>IF(B40="","",IF(OR(AB40="",AE40=""),"",AE40-AB40))</f>
        <v>0</v>
      </c>
      <c r="AG40" s="32">
        <f>IF(B40="","",SUMIFS(Sales!$D$5:$D$804,Sales!$C$5:$C$804,A40))</f>
        <v>0</v>
      </c>
      <c r="AH40" s="43">
        <f>IF(B40="","",IF(L40=0,"Add - no products in it yet",IF(Y40="","Check - no price yet",IF(AA40&lt;0,"Loss - the discount is too deep",IF(AB40&lt;MarginWarning,"Low margin - trim the discount",IF(AND(AF40&lt;&gt;"",AF40&gt;0.15),"Check - giving away a lot of margin",IF(F40="","Add - how long does it take to box?","OK")))))))</f>
        <v>0</v>
      </c>
    </row>
    <row r="41" spans="1:34">
      <c r="A41" s="38">
        <f>IF(B41="","",BundlePrefix&amp;TEXT(ROW()-4,"0000"))</f>
        <v>0</v>
      </c>
      <c r="L41" s="32">
        <f>IF(B41="","",SUMIFS('Bundle Lines'!$E$5:$E$204,'Bundle Lines'!$A$5:$A$204,A41))</f>
        <v>0</v>
      </c>
      <c r="M41" s="32">
        <f>IF(B41="","",COUNTIFS('Bundle Lines'!$A$5:$A$204,A41))</f>
        <v>0</v>
      </c>
      <c r="N41" s="20">
        <f>IF(B41="","",ROUND(SUMIFS('Bundle Lines'!$J$5:$J$204,'Bundle Lines'!$A$5:$A$204,A41),2))</f>
        <v>0</v>
      </c>
      <c r="O41" s="20">
        <f>IF(B41="","",ROUND(SUMIFS('Bundle Lines'!$K$5:$K$204,'Bundle Lines'!$A$5:$A$204,A41),2))</f>
        <v>0</v>
      </c>
      <c r="P41" s="20">
        <f>IF(B41="","",ROUND(IF(E41="Budget",PackBudget,IF(E41="Standard",PackStandard,IF(E41="Gift",PackGift,IF(E41="Premium",PackPremium,DefaultPackaging)))),2))</f>
        <v>0</v>
      </c>
      <c r="Q41" s="20">
        <f>IF(B41="","",ROUND(IF(F41="",0,F41)/60*LaborCostHour,2))</f>
        <v>0</v>
      </c>
      <c r="R41" s="20">
        <f>IF(B41="","",ROUND(N41+P41+Q41,2))</f>
        <v>0</v>
      </c>
      <c r="S41" s="33">
        <f>IF(B41="","",IFERROR(INDEX(Channels!$S$5:$S$18,MATCH(IF(D41="",DefaultChannel,D41),Channels!$A$5:$A$18,0)),0))</f>
        <v>0</v>
      </c>
      <c r="T41" s="20">
        <f>IF(B41="","",IFERROR(INDEX(Channels!$T$5:$T$18,MATCH(IF(D41="",DefaultChannel,D41),Channels!$A$5:$A$18,0)),0))</f>
        <v>0</v>
      </c>
      <c r="U41" s="41">
        <f>IF(B41="","",1-TargetRetailMargin-S41)</f>
        <v>0</v>
      </c>
      <c r="V41" s="20">
        <f>IF(B41="","",IF(U41&lt;=0,"",(R41+T41)/U41))</f>
        <v>0</v>
      </c>
      <c r="W41" s="20">
        <f>IF(B41="","",IF(V41="","Check the settings",ROUND(IF(RoundingRule="None",V41,IF(RoundingRule="Nearest 0.99",MAX(0.99,CEILING(V41,1)-0.01),IF(RoundingRule="Nearest 0.95",MAX(0.95,CEILING(V41,1)-0.05),IF(RoundingRule="Nearest 0.50",CEILING(V41,0.5),IF(RoundingRule="Nearest 1",CEILING(V41,1),IF(RoundingRule="Nearest 5",CEILING(V41,5),IF(RoundingRule="Up to whole 1",CEILING(V41,1),IF(RoundingRule="Up to whole 5",CEILING(V41,5),ROUND(V41,2))))))))),2)))</f>
        <v>0</v>
      </c>
      <c r="X41" s="20">
        <f>IF(B41="","",IF(O41=0,"",ROUND(O41*(1-IF(G41="",0,G41)),2)))</f>
        <v>0</v>
      </c>
      <c r="Y41" s="20">
        <f>IF(B41="","",IF(H41&lt;&gt;"",H41,IF(X41&lt;&gt;"",X41,IF(ISNUMBER(W41),W41,""))))</f>
        <v>0</v>
      </c>
      <c r="Z41" s="20">
        <f>IF(B41="","",IF(Y41="","",ROUND(Y41*S41+T41,2)))</f>
        <v>0</v>
      </c>
      <c r="AA41" s="20">
        <f>IF(B41="","",IF(Y41="","",ROUND(Y41-R41-Z41,2)))</f>
        <v>0</v>
      </c>
      <c r="AB41" s="33">
        <f>IF(B41="","",IF(OR(Y41="",Y41=0),"",AA41/Y41))</f>
        <v>0</v>
      </c>
      <c r="AC41" s="20">
        <f>IF(B41="","",IF(OR(Y41="",O41=0),"",ROUND(O41-Y41,2)))</f>
        <v>0</v>
      </c>
      <c r="AD41" s="33">
        <f>IF(B41="","",IF(OR(AC41="",O41=0),"",AC41/O41))</f>
        <v>0</v>
      </c>
      <c r="AE41" s="33">
        <f>IF(B41="","",IF(O41=0,"",(O41-N41)/O41))</f>
        <v>0</v>
      </c>
      <c r="AF41" s="33">
        <f>IF(B41="","",IF(OR(AB41="",AE41=""),"",AE41-AB41))</f>
        <v>0</v>
      </c>
      <c r="AG41" s="32">
        <f>IF(B41="","",SUMIFS(Sales!$D$5:$D$804,Sales!$C$5:$C$804,A41))</f>
        <v>0</v>
      </c>
      <c r="AH41" s="43">
        <f>IF(B41="","",IF(L41=0,"Add - no products in it yet",IF(Y41="","Check - no price yet",IF(AA41&lt;0,"Loss - the discount is too deep",IF(AB41&lt;MarginWarning,"Low margin - trim the discount",IF(AND(AF41&lt;&gt;"",AF41&gt;0.15),"Check - giving away a lot of margin",IF(F41="","Add - how long does it take to box?","OK")))))))</f>
        <v>0</v>
      </c>
    </row>
    <row r="42" spans="1:34">
      <c r="A42" s="38">
        <f>IF(B42="","",BundlePrefix&amp;TEXT(ROW()-4,"0000"))</f>
        <v>0</v>
      </c>
      <c r="L42" s="32">
        <f>IF(B42="","",SUMIFS('Bundle Lines'!$E$5:$E$204,'Bundle Lines'!$A$5:$A$204,A42))</f>
        <v>0</v>
      </c>
      <c r="M42" s="32">
        <f>IF(B42="","",COUNTIFS('Bundle Lines'!$A$5:$A$204,A42))</f>
        <v>0</v>
      </c>
      <c r="N42" s="20">
        <f>IF(B42="","",ROUND(SUMIFS('Bundle Lines'!$J$5:$J$204,'Bundle Lines'!$A$5:$A$204,A42),2))</f>
        <v>0</v>
      </c>
      <c r="O42" s="20">
        <f>IF(B42="","",ROUND(SUMIFS('Bundle Lines'!$K$5:$K$204,'Bundle Lines'!$A$5:$A$204,A42),2))</f>
        <v>0</v>
      </c>
      <c r="P42" s="20">
        <f>IF(B42="","",ROUND(IF(E42="Budget",PackBudget,IF(E42="Standard",PackStandard,IF(E42="Gift",PackGift,IF(E42="Premium",PackPremium,DefaultPackaging)))),2))</f>
        <v>0</v>
      </c>
      <c r="Q42" s="20">
        <f>IF(B42="","",ROUND(IF(F42="",0,F42)/60*LaborCostHour,2))</f>
        <v>0</v>
      </c>
      <c r="R42" s="20">
        <f>IF(B42="","",ROUND(N42+P42+Q42,2))</f>
        <v>0</v>
      </c>
      <c r="S42" s="33">
        <f>IF(B42="","",IFERROR(INDEX(Channels!$S$5:$S$18,MATCH(IF(D42="",DefaultChannel,D42),Channels!$A$5:$A$18,0)),0))</f>
        <v>0</v>
      </c>
      <c r="T42" s="20">
        <f>IF(B42="","",IFERROR(INDEX(Channels!$T$5:$T$18,MATCH(IF(D42="",DefaultChannel,D42),Channels!$A$5:$A$18,0)),0))</f>
        <v>0</v>
      </c>
      <c r="U42" s="41">
        <f>IF(B42="","",1-TargetRetailMargin-S42)</f>
        <v>0</v>
      </c>
      <c r="V42" s="20">
        <f>IF(B42="","",IF(U42&lt;=0,"",(R42+T42)/U42))</f>
        <v>0</v>
      </c>
      <c r="W42" s="20">
        <f>IF(B42="","",IF(V42="","Check the settings",ROUND(IF(RoundingRule="None",V42,IF(RoundingRule="Nearest 0.99",MAX(0.99,CEILING(V42,1)-0.01),IF(RoundingRule="Nearest 0.95",MAX(0.95,CEILING(V42,1)-0.05),IF(RoundingRule="Nearest 0.50",CEILING(V42,0.5),IF(RoundingRule="Nearest 1",CEILING(V42,1),IF(RoundingRule="Nearest 5",CEILING(V42,5),IF(RoundingRule="Up to whole 1",CEILING(V42,1),IF(RoundingRule="Up to whole 5",CEILING(V42,5),ROUND(V42,2))))))))),2)))</f>
        <v>0</v>
      </c>
      <c r="X42" s="20">
        <f>IF(B42="","",IF(O42=0,"",ROUND(O42*(1-IF(G42="",0,G42)),2)))</f>
        <v>0</v>
      </c>
      <c r="Y42" s="20">
        <f>IF(B42="","",IF(H42&lt;&gt;"",H42,IF(X42&lt;&gt;"",X42,IF(ISNUMBER(W42),W42,""))))</f>
        <v>0</v>
      </c>
      <c r="Z42" s="20">
        <f>IF(B42="","",IF(Y42="","",ROUND(Y42*S42+T42,2)))</f>
        <v>0</v>
      </c>
      <c r="AA42" s="20">
        <f>IF(B42="","",IF(Y42="","",ROUND(Y42-R42-Z42,2)))</f>
        <v>0</v>
      </c>
      <c r="AB42" s="33">
        <f>IF(B42="","",IF(OR(Y42="",Y42=0),"",AA42/Y42))</f>
        <v>0</v>
      </c>
      <c r="AC42" s="20">
        <f>IF(B42="","",IF(OR(Y42="",O42=0),"",ROUND(O42-Y42,2)))</f>
        <v>0</v>
      </c>
      <c r="AD42" s="33">
        <f>IF(B42="","",IF(OR(AC42="",O42=0),"",AC42/O42))</f>
        <v>0</v>
      </c>
      <c r="AE42" s="33">
        <f>IF(B42="","",IF(O42=0,"",(O42-N42)/O42))</f>
        <v>0</v>
      </c>
      <c r="AF42" s="33">
        <f>IF(B42="","",IF(OR(AB42="",AE42=""),"",AE42-AB42))</f>
        <v>0</v>
      </c>
      <c r="AG42" s="32">
        <f>IF(B42="","",SUMIFS(Sales!$D$5:$D$804,Sales!$C$5:$C$804,A42))</f>
        <v>0</v>
      </c>
      <c r="AH42" s="43">
        <f>IF(B42="","",IF(L42=0,"Add - no products in it yet",IF(Y42="","Check - no price yet",IF(AA42&lt;0,"Loss - the discount is too deep",IF(AB42&lt;MarginWarning,"Low margin - trim the discount",IF(AND(AF42&lt;&gt;"",AF42&gt;0.15),"Check - giving away a lot of margin",IF(F42="","Add - how long does it take to box?","OK")))))))</f>
        <v>0</v>
      </c>
    </row>
    <row r="43" spans="1:34">
      <c r="A43" s="38">
        <f>IF(B43="","",BundlePrefix&amp;TEXT(ROW()-4,"0000"))</f>
        <v>0</v>
      </c>
      <c r="L43" s="32">
        <f>IF(B43="","",SUMIFS('Bundle Lines'!$E$5:$E$204,'Bundle Lines'!$A$5:$A$204,A43))</f>
        <v>0</v>
      </c>
      <c r="M43" s="32">
        <f>IF(B43="","",COUNTIFS('Bundle Lines'!$A$5:$A$204,A43))</f>
        <v>0</v>
      </c>
      <c r="N43" s="20">
        <f>IF(B43="","",ROUND(SUMIFS('Bundle Lines'!$J$5:$J$204,'Bundle Lines'!$A$5:$A$204,A43),2))</f>
        <v>0</v>
      </c>
      <c r="O43" s="20">
        <f>IF(B43="","",ROUND(SUMIFS('Bundle Lines'!$K$5:$K$204,'Bundle Lines'!$A$5:$A$204,A43),2))</f>
        <v>0</v>
      </c>
      <c r="P43" s="20">
        <f>IF(B43="","",ROUND(IF(E43="Budget",PackBudget,IF(E43="Standard",PackStandard,IF(E43="Gift",PackGift,IF(E43="Premium",PackPremium,DefaultPackaging)))),2))</f>
        <v>0</v>
      </c>
      <c r="Q43" s="20">
        <f>IF(B43="","",ROUND(IF(F43="",0,F43)/60*LaborCostHour,2))</f>
        <v>0</v>
      </c>
      <c r="R43" s="20">
        <f>IF(B43="","",ROUND(N43+P43+Q43,2))</f>
        <v>0</v>
      </c>
      <c r="S43" s="33">
        <f>IF(B43="","",IFERROR(INDEX(Channels!$S$5:$S$18,MATCH(IF(D43="",DefaultChannel,D43),Channels!$A$5:$A$18,0)),0))</f>
        <v>0</v>
      </c>
      <c r="T43" s="20">
        <f>IF(B43="","",IFERROR(INDEX(Channels!$T$5:$T$18,MATCH(IF(D43="",DefaultChannel,D43),Channels!$A$5:$A$18,0)),0))</f>
        <v>0</v>
      </c>
      <c r="U43" s="41">
        <f>IF(B43="","",1-TargetRetailMargin-S43)</f>
        <v>0</v>
      </c>
      <c r="V43" s="20">
        <f>IF(B43="","",IF(U43&lt;=0,"",(R43+T43)/U43))</f>
        <v>0</v>
      </c>
      <c r="W43" s="20">
        <f>IF(B43="","",IF(V43="","Check the settings",ROUND(IF(RoundingRule="None",V43,IF(RoundingRule="Nearest 0.99",MAX(0.99,CEILING(V43,1)-0.01),IF(RoundingRule="Nearest 0.95",MAX(0.95,CEILING(V43,1)-0.05),IF(RoundingRule="Nearest 0.50",CEILING(V43,0.5),IF(RoundingRule="Nearest 1",CEILING(V43,1),IF(RoundingRule="Nearest 5",CEILING(V43,5),IF(RoundingRule="Up to whole 1",CEILING(V43,1),IF(RoundingRule="Up to whole 5",CEILING(V43,5),ROUND(V43,2))))))))),2)))</f>
        <v>0</v>
      </c>
      <c r="X43" s="20">
        <f>IF(B43="","",IF(O43=0,"",ROUND(O43*(1-IF(G43="",0,G43)),2)))</f>
        <v>0</v>
      </c>
      <c r="Y43" s="20">
        <f>IF(B43="","",IF(H43&lt;&gt;"",H43,IF(X43&lt;&gt;"",X43,IF(ISNUMBER(W43),W43,""))))</f>
        <v>0</v>
      </c>
      <c r="Z43" s="20">
        <f>IF(B43="","",IF(Y43="","",ROUND(Y43*S43+T43,2)))</f>
        <v>0</v>
      </c>
      <c r="AA43" s="20">
        <f>IF(B43="","",IF(Y43="","",ROUND(Y43-R43-Z43,2)))</f>
        <v>0</v>
      </c>
      <c r="AB43" s="33">
        <f>IF(B43="","",IF(OR(Y43="",Y43=0),"",AA43/Y43))</f>
        <v>0</v>
      </c>
      <c r="AC43" s="20">
        <f>IF(B43="","",IF(OR(Y43="",O43=0),"",ROUND(O43-Y43,2)))</f>
        <v>0</v>
      </c>
      <c r="AD43" s="33">
        <f>IF(B43="","",IF(OR(AC43="",O43=0),"",AC43/O43))</f>
        <v>0</v>
      </c>
      <c r="AE43" s="33">
        <f>IF(B43="","",IF(O43=0,"",(O43-N43)/O43))</f>
        <v>0</v>
      </c>
      <c r="AF43" s="33">
        <f>IF(B43="","",IF(OR(AB43="",AE43=""),"",AE43-AB43))</f>
        <v>0</v>
      </c>
      <c r="AG43" s="32">
        <f>IF(B43="","",SUMIFS(Sales!$D$5:$D$804,Sales!$C$5:$C$804,A43))</f>
        <v>0</v>
      </c>
      <c r="AH43" s="43">
        <f>IF(B43="","",IF(L43=0,"Add - no products in it yet",IF(Y43="","Check - no price yet",IF(AA43&lt;0,"Loss - the discount is too deep",IF(AB43&lt;MarginWarning,"Low margin - trim the discount",IF(AND(AF43&lt;&gt;"",AF43&gt;0.15),"Check - giving away a lot of margin",IF(F43="","Add - how long does it take to box?","OK")))))))</f>
        <v>0</v>
      </c>
    </row>
    <row r="44" spans="1:34">
      <c r="A44" s="38">
        <f>IF(B44="","",BundlePrefix&amp;TEXT(ROW()-4,"0000"))</f>
        <v>0</v>
      </c>
      <c r="L44" s="32">
        <f>IF(B44="","",SUMIFS('Bundle Lines'!$E$5:$E$204,'Bundle Lines'!$A$5:$A$204,A44))</f>
        <v>0</v>
      </c>
      <c r="M44" s="32">
        <f>IF(B44="","",COUNTIFS('Bundle Lines'!$A$5:$A$204,A44))</f>
        <v>0</v>
      </c>
      <c r="N44" s="20">
        <f>IF(B44="","",ROUND(SUMIFS('Bundle Lines'!$J$5:$J$204,'Bundle Lines'!$A$5:$A$204,A44),2))</f>
        <v>0</v>
      </c>
      <c r="O44" s="20">
        <f>IF(B44="","",ROUND(SUMIFS('Bundle Lines'!$K$5:$K$204,'Bundle Lines'!$A$5:$A$204,A44),2))</f>
        <v>0</v>
      </c>
      <c r="P44" s="20">
        <f>IF(B44="","",ROUND(IF(E44="Budget",PackBudget,IF(E44="Standard",PackStandard,IF(E44="Gift",PackGift,IF(E44="Premium",PackPremium,DefaultPackaging)))),2))</f>
        <v>0</v>
      </c>
      <c r="Q44" s="20">
        <f>IF(B44="","",ROUND(IF(F44="",0,F44)/60*LaborCostHour,2))</f>
        <v>0</v>
      </c>
      <c r="R44" s="20">
        <f>IF(B44="","",ROUND(N44+P44+Q44,2))</f>
        <v>0</v>
      </c>
      <c r="S44" s="33">
        <f>IF(B44="","",IFERROR(INDEX(Channels!$S$5:$S$18,MATCH(IF(D44="",DefaultChannel,D44),Channels!$A$5:$A$18,0)),0))</f>
        <v>0</v>
      </c>
      <c r="T44" s="20">
        <f>IF(B44="","",IFERROR(INDEX(Channels!$T$5:$T$18,MATCH(IF(D44="",DefaultChannel,D44),Channels!$A$5:$A$18,0)),0))</f>
        <v>0</v>
      </c>
      <c r="U44" s="41">
        <f>IF(B44="","",1-TargetRetailMargin-S44)</f>
        <v>0</v>
      </c>
      <c r="V44" s="20">
        <f>IF(B44="","",IF(U44&lt;=0,"",(R44+T44)/U44))</f>
        <v>0</v>
      </c>
      <c r="W44" s="20">
        <f>IF(B44="","",IF(V44="","Check the settings",ROUND(IF(RoundingRule="None",V44,IF(RoundingRule="Nearest 0.99",MAX(0.99,CEILING(V44,1)-0.01),IF(RoundingRule="Nearest 0.95",MAX(0.95,CEILING(V44,1)-0.05),IF(RoundingRule="Nearest 0.50",CEILING(V44,0.5),IF(RoundingRule="Nearest 1",CEILING(V44,1),IF(RoundingRule="Nearest 5",CEILING(V44,5),IF(RoundingRule="Up to whole 1",CEILING(V44,1),IF(RoundingRule="Up to whole 5",CEILING(V44,5),ROUND(V44,2))))))))),2)))</f>
        <v>0</v>
      </c>
      <c r="X44" s="20">
        <f>IF(B44="","",IF(O44=0,"",ROUND(O44*(1-IF(G44="",0,G44)),2)))</f>
        <v>0</v>
      </c>
      <c r="Y44" s="20">
        <f>IF(B44="","",IF(H44&lt;&gt;"",H44,IF(X44&lt;&gt;"",X44,IF(ISNUMBER(W44),W44,""))))</f>
        <v>0</v>
      </c>
      <c r="Z44" s="20">
        <f>IF(B44="","",IF(Y44="","",ROUND(Y44*S44+T44,2)))</f>
        <v>0</v>
      </c>
      <c r="AA44" s="20">
        <f>IF(B44="","",IF(Y44="","",ROUND(Y44-R44-Z44,2)))</f>
        <v>0</v>
      </c>
      <c r="AB44" s="33">
        <f>IF(B44="","",IF(OR(Y44="",Y44=0),"",AA44/Y44))</f>
        <v>0</v>
      </c>
      <c r="AC44" s="20">
        <f>IF(B44="","",IF(OR(Y44="",O44=0),"",ROUND(O44-Y44,2)))</f>
        <v>0</v>
      </c>
      <c r="AD44" s="33">
        <f>IF(B44="","",IF(OR(AC44="",O44=0),"",AC44/O44))</f>
        <v>0</v>
      </c>
      <c r="AE44" s="33">
        <f>IF(B44="","",IF(O44=0,"",(O44-N44)/O44))</f>
        <v>0</v>
      </c>
      <c r="AF44" s="33">
        <f>IF(B44="","",IF(OR(AB44="",AE44=""),"",AE44-AB44))</f>
        <v>0</v>
      </c>
      <c r="AG44" s="32">
        <f>IF(B44="","",SUMIFS(Sales!$D$5:$D$804,Sales!$C$5:$C$804,A44))</f>
        <v>0</v>
      </c>
      <c r="AH44" s="43">
        <f>IF(B44="","",IF(L44=0,"Add - no products in it yet",IF(Y44="","Check - no price yet",IF(AA44&lt;0,"Loss - the discount is too deep",IF(AB44&lt;MarginWarning,"Low margin - trim the discount",IF(AND(AF44&lt;&gt;"",AF44&gt;0.15),"Check - giving away a lot of margin",IF(F44="","Add - how long does it take to box?","OK")))))))</f>
        <v>0</v>
      </c>
    </row>
    <row r="45" spans="1:34">
      <c r="A45" s="38">
        <f>IF(B45="","",BundlePrefix&amp;TEXT(ROW()-4,"0000"))</f>
        <v>0</v>
      </c>
      <c r="L45" s="32">
        <f>IF(B45="","",SUMIFS('Bundle Lines'!$E$5:$E$204,'Bundle Lines'!$A$5:$A$204,A45))</f>
        <v>0</v>
      </c>
      <c r="M45" s="32">
        <f>IF(B45="","",COUNTIFS('Bundle Lines'!$A$5:$A$204,A45))</f>
        <v>0</v>
      </c>
      <c r="N45" s="20">
        <f>IF(B45="","",ROUND(SUMIFS('Bundle Lines'!$J$5:$J$204,'Bundle Lines'!$A$5:$A$204,A45),2))</f>
        <v>0</v>
      </c>
      <c r="O45" s="20">
        <f>IF(B45="","",ROUND(SUMIFS('Bundle Lines'!$K$5:$K$204,'Bundle Lines'!$A$5:$A$204,A45),2))</f>
        <v>0</v>
      </c>
      <c r="P45" s="20">
        <f>IF(B45="","",ROUND(IF(E45="Budget",PackBudget,IF(E45="Standard",PackStandard,IF(E45="Gift",PackGift,IF(E45="Premium",PackPremium,DefaultPackaging)))),2))</f>
        <v>0</v>
      </c>
      <c r="Q45" s="20">
        <f>IF(B45="","",ROUND(IF(F45="",0,F45)/60*LaborCostHour,2))</f>
        <v>0</v>
      </c>
      <c r="R45" s="20">
        <f>IF(B45="","",ROUND(N45+P45+Q45,2))</f>
        <v>0</v>
      </c>
      <c r="S45" s="33">
        <f>IF(B45="","",IFERROR(INDEX(Channels!$S$5:$S$18,MATCH(IF(D45="",DefaultChannel,D45),Channels!$A$5:$A$18,0)),0))</f>
        <v>0</v>
      </c>
      <c r="T45" s="20">
        <f>IF(B45="","",IFERROR(INDEX(Channels!$T$5:$T$18,MATCH(IF(D45="",DefaultChannel,D45),Channels!$A$5:$A$18,0)),0))</f>
        <v>0</v>
      </c>
      <c r="U45" s="41">
        <f>IF(B45="","",1-TargetRetailMargin-S45)</f>
        <v>0</v>
      </c>
      <c r="V45" s="20">
        <f>IF(B45="","",IF(U45&lt;=0,"",(R45+T45)/U45))</f>
        <v>0</v>
      </c>
      <c r="W45" s="20">
        <f>IF(B45="","",IF(V45="","Check the settings",ROUND(IF(RoundingRule="None",V45,IF(RoundingRule="Nearest 0.99",MAX(0.99,CEILING(V45,1)-0.01),IF(RoundingRule="Nearest 0.95",MAX(0.95,CEILING(V45,1)-0.05),IF(RoundingRule="Nearest 0.50",CEILING(V45,0.5),IF(RoundingRule="Nearest 1",CEILING(V45,1),IF(RoundingRule="Nearest 5",CEILING(V45,5),IF(RoundingRule="Up to whole 1",CEILING(V45,1),IF(RoundingRule="Up to whole 5",CEILING(V45,5),ROUND(V45,2))))))))),2)))</f>
        <v>0</v>
      </c>
      <c r="X45" s="20">
        <f>IF(B45="","",IF(O45=0,"",ROUND(O45*(1-IF(G45="",0,G45)),2)))</f>
        <v>0</v>
      </c>
      <c r="Y45" s="20">
        <f>IF(B45="","",IF(H45&lt;&gt;"",H45,IF(X45&lt;&gt;"",X45,IF(ISNUMBER(W45),W45,""))))</f>
        <v>0</v>
      </c>
      <c r="Z45" s="20">
        <f>IF(B45="","",IF(Y45="","",ROUND(Y45*S45+T45,2)))</f>
        <v>0</v>
      </c>
      <c r="AA45" s="20">
        <f>IF(B45="","",IF(Y45="","",ROUND(Y45-R45-Z45,2)))</f>
        <v>0</v>
      </c>
      <c r="AB45" s="33">
        <f>IF(B45="","",IF(OR(Y45="",Y45=0),"",AA45/Y45))</f>
        <v>0</v>
      </c>
      <c r="AC45" s="20">
        <f>IF(B45="","",IF(OR(Y45="",O45=0),"",ROUND(O45-Y45,2)))</f>
        <v>0</v>
      </c>
      <c r="AD45" s="33">
        <f>IF(B45="","",IF(OR(AC45="",O45=0),"",AC45/O45))</f>
        <v>0</v>
      </c>
      <c r="AE45" s="33">
        <f>IF(B45="","",IF(O45=0,"",(O45-N45)/O45))</f>
        <v>0</v>
      </c>
      <c r="AF45" s="33">
        <f>IF(B45="","",IF(OR(AB45="",AE45=""),"",AE45-AB45))</f>
        <v>0</v>
      </c>
      <c r="AG45" s="32">
        <f>IF(B45="","",SUMIFS(Sales!$D$5:$D$804,Sales!$C$5:$C$804,A45))</f>
        <v>0</v>
      </c>
      <c r="AH45" s="43">
        <f>IF(B45="","",IF(L45=0,"Add - no products in it yet",IF(Y45="","Check - no price yet",IF(AA45&lt;0,"Loss - the discount is too deep",IF(AB45&lt;MarginWarning,"Low margin - trim the discount",IF(AND(AF45&lt;&gt;"",AF45&gt;0.15),"Check - giving away a lot of margin",IF(F45="","Add - how long does it take to box?","OK")))))))</f>
        <v>0</v>
      </c>
    </row>
    <row r="46" spans="1:34">
      <c r="A46" s="38">
        <f>IF(B46="","",BundlePrefix&amp;TEXT(ROW()-4,"0000"))</f>
        <v>0</v>
      </c>
      <c r="L46" s="32">
        <f>IF(B46="","",SUMIFS('Bundle Lines'!$E$5:$E$204,'Bundle Lines'!$A$5:$A$204,A46))</f>
        <v>0</v>
      </c>
      <c r="M46" s="32">
        <f>IF(B46="","",COUNTIFS('Bundle Lines'!$A$5:$A$204,A46))</f>
        <v>0</v>
      </c>
      <c r="N46" s="20">
        <f>IF(B46="","",ROUND(SUMIFS('Bundle Lines'!$J$5:$J$204,'Bundle Lines'!$A$5:$A$204,A46),2))</f>
        <v>0</v>
      </c>
      <c r="O46" s="20">
        <f>IF(B46="","",ROUND(SUMIFS('Bundle Lines'!$K$5:$K$204,'Bundle Lines'!$A$5:$A$204,A46),2))</f>
        <v>0</v>
      </c>
      <c r="P46" s="20">
        <f>IF(B46="","",ROUND(IF(E46="Budget",PackBudget,IF(E46="Standard",PackStandard,IF(E46="Gift",PackGift,IF(E46="Premium",PackPremium,DefaultPackaging)))),2))</f>
        <v>0</v>
      </c>
      <c r="Q46" s="20">
        <f>IF(B46="","",ROUND(IF(F46="",0,F46)/60*LaborCostHour,2))</f>
        <v>0</v>
      </c>
      <c r="R46" s="20">
        <f>IF(B46="","",ROUND(N46+P46+Q46,2))</f>
        <v>0</v>
      </c>
      <c r="S46" s="33">
        <f>IF(B46="","",IFERROR(INDEX(Channels!$S$5:$S$18,MATCH(IF(D46="",DefaultChannel,D46),Channels!$A$5:$A$18,0)),0))</f>
        <v>0</v>
      </c>
      <c r="T46" s="20">
        <f>IF(B46="","",IFERROR(INDEX(Channels!$T$5:$T$18,MATCH(IF(D46="",DefaultChannel,D46),Channels!$A$5:$A$18,0)),0))</f>
        <v>0</v>
      </c>
      <c r="U46" s="41">
        <f>IF(B46="","",1-TargetRetailMargin-S46)</f>
        <v>0</v>
      </c>
      <c r="V46" s="20">
        <f>IF(B46="","",IF(U46&lt;=0,"",(R46+T46)/U46))</f>
        <v>0</v>
      </c>
      <c r="W46" s="20">
        <f>IF(B46="","",IF(V46="","Check the settings",ROUND(IF(RoundingRule="None",V46,IF(RoundingRule="Nearest 0.99",MAX(0.99,CEILING(V46,1)-0.01),IF(RoundingRule="Nearest 0.95",MAX(0.95,CEILING(V46,1)-0.05),IF(RoundingRule="Nearest 0.50",CEILING(V46,0.5),IF(RoundingRule="Nearest 1",CEILING(V46,1),IF(RoundingRule="Nearest 5",CEILING(V46,5),IF(RoundingRule="Up to whole 1",CEILING(V46,1),IF(RoundingRule="Up to whole 5",CEILING(V46,5),ROUND(V46,2))))))))),2)))</f>
        <v>0</v>
      </c>
      <c r="X46" s="20">
        <f>IF(B46="","",IF(O46=0,"",ROUND(O46*(1-IF(G46="",0,G46)),2)))</f>
        <v>0</v>
      </c>
      <c r="Y46" s="20">
        <f>IF(B46="","",IF(H46&lt;&gt;"",H46,IF(X46&lt;&gt;"",X46,IF(ISNUMBER(W46),W46,""))))</f>
        <v>0</v>
      </c>
      <c r="Z46" s="20">
        <f>IF(B46="","",IF(Y46="","",ROUND(Y46*S46+T46,2)))</f>
        <v>0</v>
      </c>
      <c r="AA46" s="20">
        <f>IF(B46="","",IF(Y46="","",ROUND(Y46-R46-Z46,2)))</f>
        <v>0</v>
      </c>
      <c r="AB46" s="33">
        <f>IF(B46="","",IF(OR(Y46="",Y46=0),"",AA46/Y46))</f>
        <v>0</v>
      </c>
      <c r="AC46" s="20">
        <f>IF(B46="","",IF(OR(Y46="",O46=0),"",ROUND(O46-Y46,2)))</f>
        <v>0</v>
      </c>
      <c r="AD46" s="33">
        <f>IF(B46="","",IF(OR(AC46="",O46=0),"",AC46/O46))</f>
        <v>0</v>
      </c>
      <c r="AE46" s="33">
        <f>IF(B46="","",IF(O46=0,"",(O46-N46)/O46))</f>
        <v>0</v>
      </c>
      <c r="AF46" s="33">
        <f>IF(B46="","",IF(OR(AB46="",AE46=""),"",AE46-AB46))</f>
        <v>0</v>
      </c>
      <c r="AG46" s="32">
        <f>IF(B46="","",SUMIFS(Sales!$D$5:$D$804,Sales!$C$5:$C$804,A46))</f>
        <v>0</v>
      </c>
      <c r="AH46" s="43">
        <f>IF(B46="","",IF(L46=0,"Add - no products in it yet",IF(Y46="","Check - no price yet",IF(AA46&lt;0,"Loss - the discount is too deep",IF(AB46&lt;MarginWarning,"Low margin - trim the discount",IF(AND(AF46&lt;&gt;"",AF46&gt;0.15),"Check - giving away a lot of margin",IF(F46="","Add - how long does it take to box?","OK")))))))</f>
        <v>0</v>
      </c>
    </row>
    <row r="47" spans="1:34">
      <c r="A47" s="38">
        <f>IF(B47="","",BundlePrefix&amp;TEXT(ROW()-4,"0000"))</f>
        <v>0</v>
      </c>
      <c r="L47" s="32">
        <f>IF(B47="","",SUMIFS('Bundle Lines'!$E$5:$E$204,'Bundle Lines'!$A$5:$A$204,A47))</f>
        <v>0</v>
      </c>
      <c r="M47" s="32">
        <f>IF(B47="","",COUNTIFS('Bundle Lines'!$A$5:$A$204,A47))</f>
        <v>0</v>
      </c>
      <c r="N47" s="20">
        <f>IF(B47="","",ROUND(SUMIFS('Bundle Lines'!$J$5:$J$204,'Bundle Lines'!$A$5:$A$204,A47),2))</f>
        <v>0</v>
      </c>
      <c r="O47" s="20">
        <f>IF(B47="","",ROUND(SUMIFS('Bundle Lines'!$K$5:$K$204,'Bundle Lines'!$A$5:$A$204,A47),2))</f>
        <v>0</v>
      </c>
      <c r="P47" s="20">
        <f>IF(B47="","",ROUND(IF(E47="Budget",PackBudget,IF(E47="Standard",PackStandard,IF(E47="Gift",PackGift,IF(E47="Premium",PackPremium,DefaultPackaging)))),2))</f>
        <v>0</v>
      </c>
      <c r="Q47" s="20">
        <f>IF(B47="","",ROUND(IF(F47="",0,F47)/60*LaborCostHour,2))</f>
        <v>0</v>
      </c>
      <c r="R47" s="20">
        <f>IF(B47="","",ROUND(N47+P47+Q47,2))</f>
        <v>0</v>
      </c>
      <c r="S47" s="33">
        <f>IF(B47="","",IFERROR(INDEX(Channels!$S$5:$S$18,MATCH(IF(D47="",DefaultChannel,D47),Channels!$A$5:$A$18,0)),0))</f>
        <v>0</v>
      </c>
      <c r="T47" s="20">
        <f>IF(B47="","",IFERROR(INDEX(Channels!$T$5:$T$18,MATCH(IF(D47="",DefaultChannel,D47),Channels!$A$5:$A$18,0)),0))</f>
        <v>0</v>
      </c>
      <c r="U47" s="41">
        <f>IF(B47="","",1-TargetRetailMargin-S47)</f>
        <v>0</v>
      </c>
      <c r="V47" s="20">
        <f>IF(B47="","",IF(U47&lt;=0,"",(R47+T47)/U47))</f>
        <v>0</v>
      </c>
      <c r="W47" s="20">
        <f>IF(B47="","",IF(V47="","Check the settings",ROUND(IF(RoundingRule="None",V47,IF(RoundingRule="Nearest 0.99",MAX(0.99,CEILING(V47,1)-0.01),IF(RoundingRule="Nearest 0.95",MAX(0.95,CEILING(V47,1)-0.05),IF(RoundingRule="Nearest 0.50",CEILING(V47,0.5),IF(RoundingRule="Nearest 1",CEILING(V47,1),IF(RoundingRule="Nearest 5",CEILING(V47,5),IF(RoundingRule="Up to whole 1",CEILING(V47,1),IF(RoundingRule="Up to whole 5",CEILING(V47,5),ROUND(V47,2))))))))),2)))</f>
        <v>0</v>
      </c>
      <c r="X47" s="20">
        <f>IF(B47="","",IF(O47=0,"",ROUND(O47*(1-IF(G47="",0,G47)),2)))</f>
        <v>0</v>
      </c>
      <c r="Y47" s="20">
        <f>IF(B47="","",IF(H47&lt;&gt;"",H47,IF(X47&lt;&gt;"",X47,IF(ISNUMBER(W47),W47,""))))</f>
        <v>0</v>
      </c>
      <c r="Z47" s="20">
        <f>IF(B47="","",IF(Y47="","",ROUND(Y47*S47+T47,2)))</f>
        <v>0</v>
      </c>
      <c r="AA47" s="20">
        <f>IF(B47="","",IF(Y47="","",ROUND(Y47-R47-Z47,2)))</f>
        <v>0</v>
      </c>
      <c r="AB47" s="33">
        <f>IF(B47="","",IF(OR(Y47="",Y47=0),"",AA47/Y47))</f>
        <v>0</v>
      </c>
      <c r="AC47" s="20">
        <f>IF(B47="","",IF(OR(Y47="",O47=0),"",ROUND(O47-Y47,2)))</f>
        <v>0</v>
      </c>
      <c r="AD47" s="33">
        <f>IF(B47="","",IF(OR(AC47="",O47=0),"",AC47/O47))</f>
        <v>0</v>
      </c>
      <c r="AE47" s="33">
        <f>IF(B47="","",IF(O47=0,"",(O47-N47)/O47))</f>
        <v>0</v>
      </c>
      <c r="AF47" s="33">
        <f>IF(B47="","",IF(OR(AB47="",AE47=""),"",AE47-AB47))</f>
        <v>0</v>
      </c>
      <c r="AG47" s="32">
        <f>IF(B47="","",SUMIFS(Sales!$D$5:$D$804,Sales!$C$5:$C$804,A47))</f>
        <v>0</v>
      </c>
      <c r="AH47" s="43">
        <f>IF(B47="","",IF(L47=0,"Add - no products in it yet",IF(Y47="","Check - no price yet",IF(AA47&lt;0,"Loss - the discount is too deep",IF(AB47&lt;MarginWarning,"Low margin - trim the discount",IF(AND(AF47&lt;&gt;"",AF47&gt;0.15),"Check - giving away a lot of margin",IF(F47="","Add - how long does it take to box?","OK")))))))</f>
        <v>0</v>
      </c>
    </row>
    <row r="48" spans="1:34">
      <c r="A48" s="38">
        <f>IF(B48="","",BundlePrefix&amp;TEXT(ROW()-4,"0000"))</f>
        <v>0</v>
      </c>
      <c r="L48" s="32">
        <f>IF(B48="","",SUMIFS('Bundle Lines'!$E$5:$E$204,'Bundle Lines'!$A$5:$A$204,A48))</f>
        <v>0</v>
      </c>
      <c r="M48" s="32">
        <f>IF(B48="","",COUNTIFS('Bundle Lines'!$A$5:$A$204,A48))</f>
        <v>0</v>
      </c>
      <c r="N48" s="20">
        <f>IF(B48="","",ROUND(SUMIFS('Bundle Lines'!$J$5:$J$204,'Bundle Lines'!$A$5:$A$204,A48),2))</f>
        <v>0</v>
      </c>
      <c r="O48" s="20">
        <f>IF(B48="","",ROUND(SUMIFS('Bundle Lines'!$K$5:$K$204,'Bundle Lines'!$A$5:$A$204,A48),2))</f>
        <v>0</v>
      </c>
      <c r="P48" s="20">
        <f>IF(B48="","",ROUND(IF(E48="Budget",PackBudget,IF(E48="Standard",PackStandard,IF(E48="Gift",PackGift,IF(E48="Premium",PackPremium,DefaultPackaging)))),2))</f>
        <v>0</v>
      </c>
      <c r="Q48" s="20">
        <f>IF(B48="","",ROUND(IF(F48="",0,F48)/60*LaborCostHour,2))</f>
        <v>0</v>
      </c>
      <c r="R48" s="20">
        <f>IF(B48="","",ROUND(N48+P48+Q48,2))</f>
        <v>0</v>
      </c>
      <c r="S48" s="33">
        <f>IF(B48="","",IFERROR(INDEX(Channels!$S$5:$S$18,MATCH(IF(D48="",DefaultChannel,D48),Channels!$A$5:$A$18,0)),0))</f>
        <v>0</v>
      </c>
      <c r="T48" s="20">
        <f>IF(B48="","",IFERROR(INDEX(Channels!$T$5:$T$18,MATCH(IF(D48="",DefaultChannel,D48),Channels!$A$5:$A$18,0)),0))</f>
        <v>0</v>
      </c>
      <c r="U48" s="41">
        <f>IF(B48="","",1-TargetRetailMargin-S48)</f>
        <v>0</v>
      </c>
      <c r="V48" s="20">
        <f>IF(B48="","",IF(U48&lt;=0,"",(R48+T48)/U48))</f>
        <v>0</v>
      </c>
      <c r="W48" s="20">
        <f>IF(B48="","",IF(V48="","Check the settings",ROUND(IF(RoundingRule="None",V48,IF(RoundingRule="Nearest 0.99",MAX(0.99,CEILING(V48,1)-0.01),IF(RoundingRule="Nearest 0.95",MAX(0.95,CEILING(V48,1)-0.05),IF(RoundingRule="Nearest 0.50",CEILING(V48,0.5),IF(RoundingRule="Nearest 1",CEILING(V48,1),IF(RoundingRule="Nearest 5",CEILING(V48,5),IF(RoundingRule="Up to whole 1",CEILING(V48,1),IF(RoundingRule="Up to whole 5",CEILING(V48,5),ROUND(V48,2))))))))),2)))</f>
        <v>0</v>
      </c>
      <c r="X48" s="20">
        <f>IF(B48="","",IF(O48=0,"",ROUND(O48*(1-IF(G48="",0,G48)),2)))</f>
        <v>0</v>
      </c>
      <c r="Y48" s="20">
        <f>IF(B48="","",IF(H48&lt;&gt;"",H48,IF(X48&lt;&gt;"",X48,IF(ISNUMBER(W48),W48,""))))</f>
        <v>0</v>
      </c>
      <c r="Z48" s="20">
        <f>IF(B48="","",IF(Y48="","",ROUND(Y48*S48+T48,2)))</f>
        <v>0</v>
      </c>
      <c r="AA48" s="20">
        <f>IF(B48="","",IF(Y48="","",ROUND(Y48-R48-Z48,2)))</f>
        <v>0</v>
      </c>
      <c r="AB48" s="33">
        <f>IF(B48="","",IF(OR(Y48="",Y48=0),"",AA48/Y48))</f>
        <v>0</v>
      </c>
      <c r="AC48" s="20">
        <f>IF(B48="","",IF(OR(Y48="",O48=0),"",ROUND(O48-Y48,2)))</f>
        <v>0</v>
      </c>
      <c r="AD48" s="33">
        <f>IF(B48="","",IF(OR(AC48="",O48=0),"",AC48/O48))</f>
        <v>0</v>
      </c>
      <c r="AE48" s="33">
        <f>IF(B48="","",IF(O48=0,"",(O48-N48)/O48))</f>
        <v>0</v>
      </c>
      <c r="AF48" s="33">
        <f>IF(B48="","",IF(OR(AB48="",AE48=""),"",AE48-AB48))</f>
        <v>0</v>
      </c>
      <c r="AG48" s="32">
        <f>IF(B48="","",SUMIFS(Sales!$D$5:$D$804,Sales!$C$5:$C$804,A48))</f>
        <v>0</v>
      </c>
      <c r="AH48" s="43">
        <f>IF(B48="","",IF(L48=0,"Add - no products in it yet",IF(Y48="","Check - no price yet",IF(AA48&lt;0,"Loss - the discount is too deep",IF(AB48&lt;MarginWarning,"Low margin - trim the discount",IF(AND(AF48&lt;&gt;"",AF48&gt;0.15),"Check - giving away a lot of margin",IF(F48="","Add - how long does it take to box?","OK")))))))</f>
        <v>0</v>
      </c>
    </row>
    <row r="49" spans="1:34">
      <c r="A49" s="38">
        <f>IF(B49="","",BundlePrefix&amp;TEXT(ROW()-4,"0000"))</f>
        <v>0</v>
      </c>
      <c r="L49" s="32">
        <f>IF(B49="","",SUMIFS('Bundle Lines'!$E$5:$E$204,'Bundle Lines'!$A$5:$A$204,A49))</f>
        <v>0</v>
      </c>
      <c r="M49" s="32">
        <f>IF(B49="","",COUNTIFS('Bundle Lines'!$A$5:$A$204,A49))</f>
        <v>0</v>
      </c>
      <c r="N49" s="20">
        <f>IF(B49="","",ROUND(SUMIFS('Bundle Lines'!$J$5:$J$204,'Bundle Lines'!$A$5:$A$204,A49),2))</f>
        <v>0</v>
      </c>
      <c r="O49" s="20">
        <f>IF(B49="","",ROUND(SUMIFS('Bundle Lines'!$K$5:$K$204,'Bundle Lines'!$A$5:$A$204,A49),2))</f>
        <v>0</v>
      </c>
      <c r="P49" s="20">
        <f>IF(B49="","",ROUND(IF(E49="Budget",PackBudget,IF(E49="Standard",PackStandard,IF(E49="Gift",PackGift,IF(E49="Premium",PackPremium,DefaultPackaging)))),2))</f>
        <v>0</v>
      </c>
      <c r="Q49" s="20">
        <f>IF(B49="","",ROUND(IF(F49="",0,F49)/60*LaborCostHour,2))</f>
        <v>0</v>
      </c>
      <c r="R49" s="20">
        <f>IF(B49="","",ROUND(N49+P49+Q49,2))</f>
        <v>0</v>
      </c>
      <c r="S49" s="33">
        <f>IF(B49="","",IFERROR(INDEX(Channels!$S$5:$S$18,MATCH(IF(D49="",DefaultChannel,D49),Channels!$A$5:$A$18,0)),0))</f>
        <v>0</v>
      </c>
      <c r="T49" s="20">
        <f>IF(B49="","",IFERROR(INDEX(Channels!$T$5:$T$18,MATCH(IF(D49="",DefaultChannel,D49),Channels!$A$5:$A$18,0)),0))</f>
        <v>0</v>
      </c>
      <c r="U49" s="41">
        <f>IF(B49="","",1-TargetRetailMargin-S49)</f>
        <v>0</v>
      </c>
      <c r="V49" s="20">
        <f>IF(B49="","",IF(U49&lt;=0,"",(R49+T49)/U49))</f>
        <v>0</v>
      </c>
      <c r="W49" s="20">
        <f>IF(B49="","",IF(V49="","Check the settings",ROUND(IF(RoundingRule="None",V49,IF(RoundingRule="Nearest 0.99",MAX(0.99,CEILING(V49,1)-0.01),IF(RoundingRule="Nearest 0.95",MAX(0.95,CEILING(V49,1)-0.05),IF(RoundingRule="Nearest 0.50",CEILING(V49,0.5),IF(RoundingRule="Nearest 1",CEILING(V49,1),IF(RoundingRule="Nearest 5",CEILING(V49,5),IF(RoundingRule="Up to whole 1",CEILING(V49,1),IF(RoundingRule="Up to whole 5",CEILING(V49,5),ROUND(V49,2))))))))),2)))</f>
        <v>0</v>
      </c>
      <c r="X49" s="20">
        <f>IF(B49="","",IF(O49=0,"",ROUND(O49*(1-IF(G49="",0,G49)),2)))</f>
        <v>0</v>
      </c>
      <c r="Y49" s="20">
        <f>IF(B49="","",IF(H49&lt;&gt;"",H49,IF(X49&lt;&gt;"",X49,IF(ISNUMBER(W49),W49,""))))</f>
        <v>0</v>
      </c>
      <c r="Z49" s="20">
        <f>IF(B49="","",IF(Y49="","",ROUND(Y49*S49+T49,2)))</f>
        <v>0</v>
      </c>
      <c r="AA49" s="20">
        <f>IF(B49="","",IF(Y49="","",ROUND(Y49-R49-Z49,2)))</f>
        <v>0</v>
      </c>
      <c r="AB49" s="33">
        <f>IF(B49="","",IF(OR(Y49="",Y49=0),"",AA49/Y49))</f>
        <v>0</v>
      </c>
      <c r="AC49" s="20">
        <f>IF(B49="","",IF(OR(Y49="",O49=0),"",ROUND(O49-Y49,2)))</f>
        <v>0</v>
      </c>
      <c r="AD49" s="33">
        <f>IF(B49="","",IF(OR(AC49="",O49=0),"",AC49/O49))</f>
        <v>0</v>
      </c>
      <c r="AE49" s="33">
        <f>IF(B49="","",IF(O49=0,"",(O49-N49)/O49))</f>
        <v>0</v>
      </c>
      <c r="AF49" s="33">
        <f>IF(B49="","",IF(OR(AB49="",AE49=""),"",AE49-AB49))</f>
        <v>0</v>
      </c>
      <c r="AG49" s="32">
        <f>IF(B49="","",SUMIFS(Sales!$D$5:$D$804,Sales!$C$5:$C$804,A49))</f>
        <v>0</v>
      </c>
      <c r="AH49" s="43">
        <f>IF(B49="","",IF(L49=0,"Add - no products in it yet",IF(Y49="","Check - no price yet",IF(AA49&lt;0,"Loss - the discount is too deep",IF(AB49&lt;MarginWarning,"Low margin - trim the discount",IF(AND(AF49&lt;&gt;"",AF49&gt;0.15),"Check - giving away a lot of margin",IF(F49="","Add - how long does it take to box?","OK")))))))</f>
        <v>0</v>
      </c>
    </row>
    <row r="50" spans="1:34">
      <c r="A50" s="38">
        <f>IF(B50="","",BundlePrefix&amp;TEXT(ROW()-4,"0000"))</f>
        <v>0</v>
      </c>
      <c r="L50" s="32">
        <f>IF(B50="","",SUMIFS('Bundle Lines'!$E$5:$E$204,'Bundle Lines'!$A$5:$A$204,A50))</f>
        <v>0</v>
      </c>
      <c r="M50" s="32">
        <f>IF(B50="","",COUNTIFS('Bundle Lines'!$A$5:$A$204,A50))</f>
        <v>0</v>
      </c>
      <c r="N50" s="20">
        <f>IF(B50="","",ROUND(SUMIFS('Bundle Lines'!$J$5:$J$204,'Bundle Lines'!$A$5:$A$204,A50),2))</f>
        <v>0</v>
      </c>
      <c r="O50" s="20">
        <f>IF(B50="","",ROUND(SUMIFS('Bundle Lines'!$K$5:$K$204,'Bundle Lines'!$A$5:$A$204,A50),2))</f>
        <v>0</v>
      </c>
      <c r="P50" s="20">
        <f>IF(B50="","",ROUND(IF(E50="Budget",PackBudget,IF(E50="Standard",PackStandard,IF(E50="Gift",PackGift,IF(E50="Premium",PackPremium,DefaultPackaging)))),2))</f>
        <v>0</v>
      </c>
      <c r="Q50" s="20">
        <f>IF(B50="","",ROUND(IF(F50="",0,F50)/60*LaborCostHour,2))</f>
        <v>0</v>
      </c>
      <c r="R50" s="20">
        <f>IF(B50="","",ROUND(N50+P50+Q50,2))</f>
        <v>0</v>
      </c>
      <c r="S50" s="33">
        <f>IF(B50="","",IFERROR(INDEX(Channels!$S$5:$S$18,MATCH(IF(D50="",DefaultChannel,D50),Channels!$A$5:$A$18,0)),0))</f>
        <v>0</v>
      </c>
      <c r="T50" s="20">
        <f>IF(B50="","",IFERROR(INDEX(Channels!$T$5:$T$18,MATCH(IF(D50="",DefaultChannel,D50),Channels!$A$5:$A$18,0)),0))</f>
        <v>0</v>
      </c>
      <c r="U50" s="41">
        <f>IF(B50="","",1-TargetRetailMargin-S50)</f>
        <v>0</v>
      </c>
      <c r="V50" s="20">
        <f>IF(B50="","",IF(U50&lt;=0,"",(R50+T50)/U50))</f>
        <v>0</v>
      </c>
      <c r="W50" s="20">
        <f>IF(B50="","",IF(V50="","Check the settings",ROUND(IF(RoundingRule="None",V50,IF(RoundingRule="Nearest 0.99",MAX(0.99,CEILING(V50,1)-0.01),IF(RoundingRule="Nearest 0.95",MAX(0.95,CEILING(V50,1)-0.05),IF(RoundingRule="Nearest 0.50",CEILING(V50,0.5),IF(RoundingRule="Nearest 1",CEILING(V50,1),IF(RoundingRule="Nearest 5",CEILING(V50,5),IF(RoundingRule="Up to whole 1",CEILING(V50,1),IF(RoundingRule="Up to whole 5",CEILING(V50,5),ROUND(V50,2))))))))),2)))</f>
        <v>0</v>
      </c>
      <c r="X50" s="20">
        <f>IF(B50="","",IF(O50=0,"",ROUND(O50*(1-IF(G50="",0,G50)),2)))</f>
        <v>0</v>
      </c>
      <c r="Y50" s="20">
        <f>IF(B50="","",IF(H50&lt;&gt;"",H50,IF(X50&lt;&gt;"",X50,IF(ISNUMBER(W50),W50,""))))</f>
        <v>0</v>
      </c>
      <c r="Z50" s="20">
        <f>IF(B50="","",IF(Y50="","",ROUND(Y50*S50+T50,2)))</f>
        <v>0</v>
      </c>
      <c r="AA50" s="20">
        <f>IF(B50="","",IF(Y50="","",ROUND(Y50-R50-Z50,2)))</f>
        <v>0</v>
      </c>
      <c r="AB50" s="33">
        <f>IF(B50="","",IF(OR(Y50="",Y50=0),"",AA50/Y50))</f>
        <v>0</v>
      </c>
      <c r="AC50" s="20">
        <f>IF(B50="","",IF(OR(Y50="",O50=0),"",ROUND(O50-Y50,2)))</f>
        <v>0</v>
      </c>
      <c r="AD50" s="33">
        <f>IF(B50="","",IF(OR(AC50="",O50=0),"",AC50/O50))</f>
        <v>0</v>
      </c>
      <c r="AE50" s="33">
        <f>IF(B50="","",IF(O50=0,"",(O50-N50)/O50))</f>
        <v>0</v>
      </c>
      <c r="AF50" s="33">
        <f>IF(B50="","",IF(OR(AB50="",AE50=""),"",AE50-AB50))</f>
        <v>0</v>
      </c>
      <c r="AG50" s="32">
        <f>IF(B50="","",SUMIFS(Sales!$D$5:$D$804,Sales!$C$5:$C$804,A50))</f>
        <v>0</v>
      </c>
      <c r="AH50" s="43">
        <f>IF(B50="","",IF(L50=0,"Add - no products in it yet",IF(Y50="","Check - no price yet",IF(AA50&lt;0,"Loss - the discount is too deep",IF(AB50&lt;MarginWarning,"Low margin - trim the discount",IF(AND(AF50&lt;&gt;"",AF50&gt;0.15),"Check - giving away a lot of margin",IF(F50="","Add - how long does it take to box?","OK")))))))</f>
        <v>0</v>
      </c>
    </row>
    <row r="51" spans="1:34">
      <c r="A51" s="38">
        <f>IF(B51="","",BundlePrefix&amp;TEXT(ROW()-4,"0000"))</f>
        <v>0</v>
      </c>
      <c r="L51" s="32">
        <f>IF(B51="","",SUMIFS('Bundle Lines'!$E$5:$E$204,'Bundle Lines'!$A$5:$A$204,A51))</f>
        <v>0</v>
      </c>
      <c r="M51" s="32">
        <f>IF(B51="","",COUNTIFS('Bundle Lines'!$A$5:$A$204,A51))</f>
        <v>0</v>
      </c>
      <c r="N51" s="20">
        <f>IF(B51="","",ROUND(SUMIFS('Bundle Lines'!$J$5:$J$204,'Bundle Lines'!$A$5:$A$204,A51),2))</f>
        <v>0</v>
      </c>
      <c r="O51" s="20">
        <f>IF(B51="","",ROUND(SUMIFS('Bundle Lines'!$K$5:$K$204,'Bundle Lines'!$A$5:$A$204,A51),2))</f>
        <v>0</v>
      </c>
      <c r="P51" s="20">
        <f>IF(B51="","",ROUND(IF(E51="Budget",PackBudget,IF(E51="Standard",PackStandard,IF(E51="Gift",PackGift,IF(E51="Premium",PackPremium,DefaultPackaging)))),2))</f>
        <v>0</v>
      </c>
      <c r="Q51" s="20">
        <f>IF(B51="","",ROUND(IF(F51="",0,F51)/60*LaborCostHour,2))</f>
        <v>0</v>
      </c>
      <c r="R51" s="20">
        <f>IF(B51="","",ROUND(N51+P51+Q51,2))</f>
        <v>0</v>
      </c>
      <c r="S51" s="33">
        <f>IF(B51="","",IFERROR(INDEX(Channels!$S$5:$S$18,MATCH(IF(D51="",DefaultChannel,D51),Channels!$A$5:$A$18,0)),0))</f>
        <v>0</v>
      </c>
      <c r="T51" s="20">
        <f>IF(B51="","",IFERROR(INDEX(Channels!$T$5:$T$18,MATCH(IF(D51="",DefaultChannel,D51),Channels!$A$5:$A$18,0)),0))</f>
        <v>0</v>
      </c>
      <c r="U51" s="41">
        <f>IF(B51="","",1-TargetRetailMargin-S51)</f>
        <v>0</v>
      </c>
      <c r="V51" s="20">
        <f>IF(B51="","",IF(U51&lt;=0,"",(R51+T51)/U51))</f>
        <v>0</v>
      </c>
      <c r="W51" s="20">
        <f>IF(B51="","",IF(V51="","Check the settings",ROUND(IF(RoundingRule="None",V51,IF(RoundingRule="Nearest 0.99",MAX(0.99,CEILING(V51,1)-0.01),IF(RoundingRule="Nearest 0.95",MAX(0.95,CEILING(V51,1)-0.05),IF(RoundingRule="Nearest 0.50",CEILING(V51,0.5),IF(RoundingRule="Nearest 1",CEILING(V51,1),IF(RoundingRule="Nearest 5",CEILING(V51,5),IF(RoundingRule="Up to whole 1",CEILING(V51,1),IF(RoundingRule="Up to whole 5",CEILING(V51,5),ROUND(V51,2))))))))),2)))</f>
        <v>0</v>
      </c>
      <c r="X51" s="20">
        <f>IF(B51="","",IF(O51=0,"",ROUND(O51*(1-IF(G51="",0,G51)),2)))</f>
        <v>0</v>
      </c>
      <c r="Y51" s="20">
        <f>IF(B51="","",IF(H51&lt;&gt;"",H51,IF(X51&lt;&gt;"",X51,IF(ISNUMBER(W51),W51,""))))</f>
        <v>0</v>
      </c>
      <c r="Z51" s="20">
        <f>IF(B51="","",IF(Y51="","",ROUND(Y51*S51+T51,2)))</f>
        <v>0</v>
      </c>
      <c r="AA51" s="20">
        <f>IF(B51="","",IF(Y51="","",ROUND(Y51-R51-Z51,2)))</f>
        <v>0</v>
      </c>
      <c r="AB51" s="33">
        <f>IF(B51="","",IF(OR(Y51="",Y51=0),"",AA51/Y51))</f>
        <v>0</v>
      </c>
      <c r="AC51" s="20">
        <f>IF(B51="","",IF(OR(Y51="",O51=0),"",ROUND(O51-Y51,2)))</f>
        <v>0</v>
      </c>
      <c r="AD51" s="33">
        <f>IF(B51="","",IF(OR(AC51="",O51=0),"",AC51/O51))</f>
        <v>0</v>
      </c>
      <c r="AE51" s="33">
        <f>IF(B51="","",IF(O51=0,"",(O51-N51)/O51))</f>
        <v>0</v>
      </c>
      <c r="AF51" s="33">
        <f>IF(B51="","",IF(OR(AB51="",AE51=""),"",AE51-AB51))</f>
        <v>0</v>
      </c>
      <c r="AG51" s="32">
        <f>IF(B51="","",SUMIFS(Sales!$D$5:$D$804,Sales!$C$5:$C$804,A51))</f>
        <v>0</v>
      </c>
      <c r="AH51" s="43">
        <f>IF(B51="","",IF(L51=0,"Add - no products in it yet",IF(Y51="","Check - no price yet",IF(AA51&lt;0,"Loss - the discount is too deep",IF(AB51&lt;MarginWarning,"Low margin - trim the discount",IF(AND(AF51&lt;&gt;"",AF51&gt;0.15),"Check - giving away a lot of margin",IF(F51="","Add - how long does it take to box?","OK")))))))</f>
        <v>0</v>
      </c>
    </row>
    <row r="52" spans="1:34">
      <c r="A52" s="38">
        <f>IF(B52="","",BundlePrefix&amp;TEXT(ROW()-4,"0000"))</f>
        <v>0</v>
      </c>
      <c r="L52" s="32">
        <f>IF(B52="","",SUMIFS('Bundle Lines'!$E$5:$E$204,'Bundle Lines'!$A$5:$A$204,A52))</f>
        <v>0</v>
      </c>
      <c r="M52" s="32">
        <f>IF(B52="","",COUNTIFS('Bundle Lines'!$A$5:$A$204,A52))</f>
        <v>0</v>
      </c>
      <c r="N52" s="20">
        <f>IF(B52="","",ROUND(SUMIFS('Bundle Lines'!$J$5:$J$204,'Bundle Lines'!$A$5:$A$204,A52),2))</f>
        <v>0</v>
      </c>
      <c r="O52" s="20">
        <f>IF(B52="","",ROUND(SUMIFS('Bundle Lines'!$K$5:$K$204,'Bundle Lines'!$A$5:$A$204,A52),2))</f>
        <v>0</v>
      </c>
      <c r="P52" s="20">
        <f>IF(B52="","",ROUND(IF(E52="Budget",PackBudget,IF(E52="Standard",PackStandard,IF(E52="Gift",PackGift,IF(E52="Premium",PackPremium,DefaultPackaging)))),2))</f>
        <v>0</v>
      </c>
      <c r="Q52" s="20">
        <f>IF(B52="","",ROUND(IF(F52="",0,F52)/60*LaborCostHour,2))</f>
        <v>0</v>
      </c>
      <c r="R52" s="20">
        <f>IF(B52="","",ROUND(N52+P52+Q52,2))</f>
        <v>0</v>
      </c>
      <c r="S52" s="33">
        <f>IF(B52="","",IFERROR(INDEX(Channels!$S$5:$S$18,MATCH(IF(D52="",DefaultChannel,D52),Channels!$A$5:$A$18,0)),0))</f>
        <v>0</v>
      </c>
      <c r="T52" s="20">
        <f>IF(B52="","",IFERROR(INDEX(Channels!$T$5:$T$18,MATCH(IF(D52="",DefaultChannel,D52),Channels!$A$5:$A$18,0)),0))</f>
        <v>0</v>
      </c>
      <c r="U52" s="41">
        <f>IF(B52="","",1-TargetRetailMargin-S52)</f>
        <v>0</v>
      </c>
      <c r="V52" s="20">
        <f>IF(B52="","",IF(U52&lt;=0,"",(R52+T52)/U52))</f>
        <v>0</v>
      </c>
      <c r="W52" s="20">
        <f>IF(B52="","",IF(V52="","Check the settings",ROUND(IF(RoundingRule="None",V52,IF(RoundingRule="Nearest 0.99",MAX(0.99,CEILING(V52,1)-0.01),IF(RoundingRule="Nearest 0.95",MAX(0.95,CEILING(V52,1)-0.05),IF(RoundingRule="Nearest 0.50",CEILING(V52,0.5),IF(RoundingRule="Nearest 1",CEILING(V52,1),IF(RoundingRule="Nearest 5",CEILING(V52,5),IF(RoundingRule="Up to whole 1",CEILING(V52,1),IF(RoundingRule="Up to whole 5",CEILING(V52,5),ROUND(V52,2))))))))),2)))</f>
        <v>0</v>
      </c>
      <c r="X52" s="20">
        <f>IF(B52="","",IF(O52=0,"",ROUND(O52*(1-IF(G52="",0,G52)),2)))</f>
        <v>0</v>
      </c>
      <c r="Y52" s="20">
        <f>IF(B52="","",IF(H52&lt;&gt;"",H52,IF(X52&lt;&gt;"",X52,IF(ISNUMBER(W52),W52,""))))</f>
        <v>0</v>
      </c>
      <c r="Z52" s="20">
        <f>IF(B52="","",IF(Y52="","",ROUND(Y52*S52+T52,2)))</f>
        <v>0</v>
      </c>
      <c r="AA52" s="20">
        <f>IF(B52="","",IF(Y52="","",ROUND(Y52-R52-Z52,2)))</f>
        <v>0</v>
      </c>
      <c r="AB52" s="33">
        <f>IF(B52="","",IF(OR(Y52="",Y52=0),"",AA52/Y52))</f>
        <v>0</v>
      </c>
      <c r="AC52" s="20">
        <f>IF(B52="","",IF(OR(Y52="",O52=0),"",ROUND(O52-Y52,2)))</f>
        <v>0</v>
      </c>
      <c r="AD52" s="33">
        <f>IF(B52="","",IF(OR(AC52="",O52=0),"",AC52/O52))</f>
        <v>0</v>
      </c>
      <c r="AE52" s="33">
        <f>IF(B52="","",IF(O52=0,"",(O52-N52)/O52))</f>
        <v>0</v>
      </c>
      <c r="AF52" s="33">
        <f>IF(B52="","",IF(OR(AB52="",AE52=""),"",AE52-AB52))</f>
        <v>0</v>
      </c>
      <c r="AG52" s="32">
        <f>IF(B52="","",SUMIFS(Sales!$D$5:$D$804,Sales!$C$5:$C$804,A52))</f>
        <v>0</v>
      </c>
      <c r="AH52" s="43">
        <f>IF(B52="","",IF(L52=0,"Add - no products in it yet",IF(Y52="","Check - no price yet",IF(AA52&lt;0,"Loss - the discount is too deep",IF(AB52&lt;MarginWarning,"Low margin - trim the discount",IF(AND(AF52&lt;&gt;"",AF52&gt;0.15),"Check - giving away a lot of margin",IF(F52="","Add - how long does it take to box?","OK")))))))</f>
        <v>0</v>
      </c>
    </row>
    <row r="53" spans="1:34">
      <c r="A53" s="38">
        <f>IF(B53="","",BundlePrefix&amp;TEXT(ROW()-4,"0000"))</f>
        <v>0</v>
      </c>
      <c r="L53" s="32">
        <f>IF(B53="","",SUMIFS('Bundle Lines'!$E$5:$E$204,'Bundle Lines'!$A$5:$A$204,A53))</f>
        <v>0</v>
      </c>
      <c r="M53" s="32">
        <f>IF(B53="","",COUNTIFS('Bundle Lines'!$A$5:$A$204,A53))</f>
        <v>0</v>
      </c>
      <c r="N53" s="20">
        <f>IF(B53="","",ROUND(SUMIFS('Bundle Lines'!$J$5:$J$204,'Bundle Lines'!$A$5:$A$204,A53),2))</f>
        <v>0</v>
      </c>
      <c r="O53" s="20">
        <f>IF(B53="","",ROUND(SUMIFS('Bundle Lines'!$K$5:$K$204,'Bundle Lines'!$A$5:$A$204,A53),2))</f>
        <v>0</v>
      </c>
      <c r="P53" s="20">
        <f>IF(B53="","",ROUND(IF(E53="Budget",PackBudget,IF(E53="Standard",PackStandard,IF(E53="Gift",PackGift,IF(E53="Premium",PackPremium,DefaultPackaging)))),2))</f>
        <v>0</v>
      </c>
      <c r="Q53" s="20">
        <f>IF(B53="","",ROUND(IF(F53="",0,F53)/60*LaborCostHour,2))</f>
        <v>0</v>
      </c>
      <c r="R53" s="20">
        <f>IF(B53="","",ROUND(N53+P53+Q53,2))</f>
        <v>0</v>
      </c>
      <c r="S53" s="33">
        <f>IF(B53="","",IFERROR(INDEX(Channels!$S$5:$S$18,MATCH(IF(D53="",DefaultChannel,D53),Channels!$A$5:$A$18,0)),0))</f>
        <v>0</v>
      </c>
      <c r="T53" s="20">
        <f>IF(B53="","",IFERROR(INDEX(Channels!$T$5:$T$18,MATCH(IF(D53="",DefaultChannel,D53),Channels!$A$5:$A$18,0)),0))</f>
        <v>0</v>
      </c>
      <c r="U53" s="41">
        <f>IF(B53="","",1-TargetRetailMargin-S53)</f>
        <v>0</v>
      </c>
      <c r="V53" s="20">
        <f>IF(B53="","",IF(U53&lt;=0,"",(R53+T53)/U53))</f>
        <v>0</v>
      </c>
      <c r="W53" s="20">
        <f>IF(B53="","",IF(V53="","Check the settings",ROUND(IF(RoundingRule="None",V53,IF(RoundingRule="Nearest 0.99",MAX(0.99,CEILING(V53,1)-0.01),IF(RoundingRule="Nearest 0.95",MAX(0.95,CEILING(V53,1)-0.05),IF(RoundingRule="Nearest 0.50",CEILING(V53,0.5),IF(RoundingRule="Nearest 1",CEILING(V53,1),IF(RoundingRule="Nearest 5",CEILING(V53,5),IF(RoundingRule="Up to whole 1",CEILING(V53,1),IF(RoundingRule="Up to whole 5",CEILING(V53,5),ROUND(V53,2))))))))),2)))</f>
        <v>0</v>
      </c>
      <c r="X53" s="20">
        <f>IF(B53="","",IF(O53=0,"",ROUND(O53*(1-IF(G53="",0,G53)),2)))</f>
        <v>0</v>
      </c>
      <c r="Y53" s="20">
        <f>IF(B53="","",IF(H53&lt;&gt;"",H53,IF(X53&lt;&gt;"",X53,IF(ISNUMBER(W53),W53,""))))</f>
        <v>0</v>
      </c>
      <c r="Z53" s="20">
        <f>IF(B53="","",IF(Y53="","",ROUND(Y53*S53+T53,2)))</f>
        <v>0</v>
      </c>
      <c r="AA53" s="20">
        <f>IF(B53="","",IF(Y53="","",ROUND(Y53-R53-Z53,2)))</f>
        <v>0</v>
      </c>
      <c r="AB53" s="33">
        <f>IF(B53="","",IF(OR(Y53="",Y53=0),"",AA53/Y53))</f>
        <v>0</v>
      </c>
      <c r="AC53" s="20">
        <f>IF(B53="","",IF(OR(Y53="",O53=0),"",ROUND(O53-Y53,2)))</f>
        <v>0</v>
      </c>
      <c r="AD53" s="33">
        <f>IF(B53="","",IF(OR(AC53="",O53=0),"",AC53/O53))</f>
        <v>0</v>
      </c>
      <c r="AE53" s="33">
        <f>IF(B53="","",IF(O53=0,"",(O53-N53)/O53))</f>
        <v>0</v>
      </c>
      <c r="AF53" s="33">
        <f>IF(B53="","",IF(OR(AB53="",AE53=""),"",AE53-AB53))</f>
        <v>0</v>
      </c>
      <c r="AG53" s="32">
        <f>IF(B53="","",SUMIFS(Sales!$D$5:$D$804,Sales!$C$5:$C$804,A53))</f>
        <v>0</v>
      </c>
      <c r="AH53" s="43">
        <f>IF(B53="","",IF(L53=0,"Add - no products in it yet",IF(Y53="","Check - no price yet",IF(AA53&lt;0,"Loss - the discount is too deep",IF(AB53&lt;MarginWarning,"Low margin - trim the discount",IF(AND(AF53&lt;&gt;"",AF53&gt;0.15),"Check - giving away a lot of margin",IF(F53="","Add - how long does it take to box?","OK")))))))</f>
        <v>0</v>
      </c>
    </row>
    <row r="54" spans="1:34">
      <c r="A54" s="38">
        <f>IF(B54="","",BundlePrefix&amp;TEXT(ROW()-4,"0000"))</f>
        <v>0</v>
      </c>
      <c r="L54" s="32">
        <f>IF(B54="","",SUMIFS('Bundle Lines'!$E$5:$E$204,'Bundle Lines'!$A$5:$A$204,A54))</f>
        <v>0</v>
      </c>
      <c r="M54" s="32">
        <f>IF(B54="","",COUNTIFS('Bundle Lines'!$A$5:$A$204,A54))</f>
        <v>0</v>
      </c>
      <c r="N54" s="20">
        <f>IF(B54="","",ROUND(SUMIFS('Bundle Lines'!$J$5:$J$204,'Bundle Lines'!$A$5:$A$204,A54),2))</f>
        <v>0</v>
      </c>
      <c r="O54" s="20">
        <f>IF(B54="","",ROUND(SUMIFS('Bundle Lines'!$K$5:$K$204,'Bundle Lines'!$A$5:$A$204,A54),2))</f>
        <v>0</v>
      </c>
      <c r="P54" s="20">
        <f>IF(B54="","",ROUND(IF(E54="Budget",PackBudget,IF(E54="Standard",PackStandard,IF(E54="Gift",PackGift,IF(E54="Premium",PackPremium,DefaultPackaging)))),2))</f>
        <v>0</v>
      </c>
      <c r="Q54" s="20">
        <f>IF(B54="","",ROUND(IF(F54="",0,F54)/60*LaborCostHour,2))</f>
        <v>0</v>
      </c>
      <c r="R54" s="20">
        <f>IF(B54="","",ROUND(N54+P54+Q54,2))</f>
        <v>0</v>
      </c>
      <c r="S54" s="33">
        <f>IF(B54="","",IFERROR(INDEX(Channels!$S$5:$S$18,MATCH(IF(D54="",DefaultChannel,D54),Channels!$A$5:$A$18,0)),0))</f>
        <v>0</v>
      </c>
      <c r="T54" s="20">
        <f>IF(B54="","",IFERROR(INDEX(Channels!$T$5:$T$18,MATCH(IF(D54="",DefaultChannel,D54),Channels!$A$5:$A$18,0)),0))</f>
        <v>0</v>
      </c>
      <c r="U54" s="41">
        <f>IF(B54="","",1-TargetRetailMargin-S54)</f>
        <v>0</v>
      </c>
      <c r="V54" s="20">
        <f>IF(B54="","",IF(U54&lt;=0,"",(R54+T54)/U54))</f>
        <v>0</v>
      </c>
      <c r="W54" s="20">
        <f>IF(B54="","",IF(V54="","Check the settings",ROUND(IF(RoundingRule="None",V54,IF(RoundingRule="Nearest 0.99",MAX(0.99,CEILING(V54,1)-0.01),IF(RoundingRule="Nearest 0.95",MAX(0.95,CEILING(V54,1)-0.05),IF(RoundingRule="Nearest 0.50",CEILING(V54,0.5),IF(RoundingRule="Nearest 1",CEILING(V54,1),IF(RoundingRule="Nearest 5",CEILING(V54,5),IF(RoundingRule="Up to whole 1",CEILING(V54,1),IF(RoundingRule="Up to whole 5",CEILING(V54,5),ROUND(V54,2))))))))),2)))</f>
        <v>0</v>
      </c>
      <c r="X54" s="20">
        <f>IF(B54="","",IF(O54=0,"",ROUND(O54*(1-IF(G54="",0,G54)),2)))</f>
        <v>0</v>
      </c>
      <c r="Y54" s="20">
        <f>IF(B54="","",IF(H54&lt;&gt;"",H54,IF(X54&lt;&gt;"",X54,IF(ISNUMBER(W54),W54,""))))</f>
        <v>0</v>
      </c>
      <c r="Z54" s="20">
        <f>IF(B54="","",IF(Y54="","",ROUND(Y54*S54+T54,2)))</f>
        <v>0</v>
      </c>
      <c r="AA54" s="20">
        <f>IF(B54="","",IF(Y54="","",ROUND(Y54-R54-Z54,2)))</f>
        <v>0</v>
      </c>
      <c r="AB54" s="33">
        <f>IF(B54="","",IF(OR(Y54="",Y54=0),"",AA54/Y54))</f>
        <v>0</v>
      </c>
      <c r="AC54" s="20">
        <f>IF(B54="","",IF(OR(Y54="",O54=0),"",ROUND(O54-Y54,2)))</f>
        <v>0</v>
      </c>
      <c r="AD54" s="33">
        <f>IF(B54="","",IF(OR(AC54="",O54=0),"",AC54/O54))</f>
        <v>0</v>
      </c>
      <c r="AE54" s="33">
        <f>IF(B54="","",IF(O54=0,"",(O54-N54)/O54))</f>
        <v>0</v>
      </c>
      <c r="AF54" s="33">
        <f>IF(B54="","",IF(OR(AB54="",AE54=""),"",AE54-AB54))</f>
        <v>0</v>
      </c>
      <c r="AG54" s="32">
        <f>IF(B54="","",SUMIFS(Sales!$D$5:$D$804,Sales!$C$5:$C$804,A54))</f>
        <v>0</v>
      </c>
      <c r="AH54" s="43">
        <f>IF(B54="","",IF(L54=0,"Add - no products in it yet",IF(Y54="","Check - no price yet",IF(AA54&lt;0,"Loss - the discount is too deep",IF(AB54&lt;MarginWarning,"Low margin - trim the discount",IF(AND(AF54&lt;&gt;"",AF54&gt;0.15),"Check - giving away a lot of margin",IF(F54="","Add - how long does it take to box?","OK")))))))</f>
        <v>0</v>
      </c>
    </row>
    <row r="55" spans="1:34">
      <c r="A55" s="38">
        <f>IF(B55="","",BundlePrefix&amp;TEXT(ROW()-4,"0000"))</f>
        <v>0</v>
      </c>
      <c r="L55" s="32">
        <f>IF(B55="","",SUMIFS('Bundle Lines'!$E$5:$E$204,'Bundle Lines'!$A$5:$A$204,A55))</f>
        <v>0</v>
      </c>
      <c r="M55" s="32">
        <f>IF(B55="","",COUNTIFS('Bundle Lines'!$A$5:$A$204,A55))</f>
        <v>0</v>
      </c>
      <c r="N55" s="20">
        <f>IF(B55="","",ROUND(SUMIFS('Bundle Lines'!$J$5:$J$204,'Bundle Lines'!$A$5:$A$204,A55),2))</f>
        <v>0</v>
      </c>
      <c r="O55" s="20">
        <f>IF(B55="","",ROUND(SUMIFS('Bundle Lines'!$K$5:$K$204,'Bundle Lines'!$A$5:$A$204,A55),2))</f>
        <v>0</v>
      </c>
      <c r="P55" s="20">
        <f>IF(B55="","",ROUND(IF(E55="Budget",PackBudget,IF(E55="Standard",PackStandard,IF(E55="Gift",PackGift,IF(E55="Premium",PackPremium,DefaultPackaging)))),2))</f>
        <v>0</v>
      </c>
      <c r="Q55" s="20">
        <f>IF(B55="","",ROUND(IF(F55="",0,F55)/60*LaborCostHour,2))</f>
        <v>0</v>
      </c>
      <c r="R55" s="20">
        <f>IF(B55="","",ROUND(N55+P55+Q55,2))</f>
        <v>0</v>
      </c>
      <c r="S55" s="33">
        <f>IF(B55="","",IFERROR(INDEX(Channels!$S$5:$S$18,MATCH(IF(D55="",DefaultChannel,D55),Channels!$A$5:$A$18,0)),0))</f>
        <v>0</v>
      </c>
      <c r="T55" s="20">
        <f>IF(B55="","",IFERROR(INDEX(Channels!$T$5:$T$18,MATCH(IF(D55="",DefaultChannel,D55),Channels!$A$5:$A$18,0)),0))</f>
        <v>0</v>
      </c>
      <c r="U55" s="41">
        <f>IF(B55="","",1-TargetRetailMargin-S55)</f>
        <v>0</v>
      </c>
      <c r="V55" s="20">
        <f>IF(B55="","",IF(U55&lt;=0,"",(R55+T55)/U55))</f>
        <v>0</v>
      </c>
      <c r="W55" s="20">
        <f>IF(B55="","",IF(V55="","Check the settings",ROUND(IF(RoundingRule="None",V55,IF(RoundingRule="Nearest 0.99",MAX(0.99,CEILING(V55,1)-0.01),IF(RoundingRule="Nearest 0.95",MAX(0.95,CEILING(V55,1)-0.05),IF(RoundingRule="Nearest 0.50",CEILING(V55,0.5),IF(RoundingRule="Nearest 1",CEILING(V55,1),IF(RoundingRule="Nearest 5",CEILING(V55,5),IF(RoundingRule="Up to whole 1",CEILING(V55,1),IF(RoundingRule="Up to whole 5",CEILING(V55,5),ROUND(V55,2))))))))),2)))</f>
        <v>0</v>
      </c>
      <c r="X55" s="20">
        <f>IF(B55="","",IF(O55=0,"",ROUND(O55*(1-IF(G55="",0,G55)),2)))</f>
        <v>0</v>
      </c>
      <c r="Y55" s="20">
        <f>IF(B55="","",IF(H55&lt;&gt;"",H55,IF(X55&lt;&gt;"",X55,IF(ISNUMBER(W55),W55,""))))</f>
        <v>0</v>
      </c>
      <c r="Z55" s="20">
        <f>IF(B55="","",IF(Y55="","",ROUND(Y55*S55+T55,2)))</f>
        <v>0</v>
      </c>
      <c r="AA55" s="20">
        <f>IF(B55="","",IF(Y55="","",ROUND(Y55-R55-Z55,2)))</f>
        <v>0</v>
      </c>
      <c r="AB55" s="33">
        <f>IF(B55="","",IF(OR(Y55="",Y55=0),"",AA55/Y55))</f>
        <v>0</v>
      </c>
      <c r="AC55" s="20">
        <f>IF(B55="","",IF(OR(Y55="",O55=0),"",ROUND(O55-Y55,2)))</f>
        <v>0</v>
      </c>
      <c r="AD55" s="33">
        <f>IF(B55="","",IF(OR(AC55="",O55=0),"",AC55/O55))</f>
        <v>0</v>
      </c>
      <c r="AE55" s="33">
        <f>IF(B55="","",IF(O55=0,"",(O55-N55)/O55))</f>
        <v>0</v>
      </c>
      <c r="AF55" s="33">
        <f>IF(B55="","",IF(OR(AB55="",AE55=""),"",AE55-AB55))</f>
        <v>0</v>
      </c>
      <c r="AG55" s="32">
        <f>IF(B55="","",SUMIFS(Sales!$D$5:$D$804,Sales!$C$5:$C$804,A55))</f>
        <v>0</v>
      </c>
      <c r="AH55" s="43">
        <f>IF(B55="","",IF(L55=0,"Add - no products in it yet",IF(Y55="","Check - no price yet",IF(AA55&lt;0,"Loss - the discount is too deep",IF(AB55&lt;MarginWarning,"Low margin - trim the discount",IF(AND(AF55&lt;&gt;"",AF55&gt;0.15),"Check - giving away a lot of margin",IF(F55="","Add - how long does it take to box?","OK")))))))</f>
        <v>0</v>
      </c>
    </row>
    <row r="56" spans="1:34">
      <c r="A56" s="38">
        <f>IF(B56="","",BundlePrefix&amp;TEXT(ROW()-4,"0000"))</f>
        <v>0</v>
      </c>
      <c r="L56" s="32">
        <f>IF(B56="","",SUMIFS('Bundle Lines'!$E$5:$E$204,'Bundle Lines'!$A$5:$A$204,A56))</f>
        <v>0</v>
      </c>
      <c r="M56" s="32">
        <f>IF(B56="","",COUNTIFS('Bundle Lines'!$A$5:$A$204,A56))</f>
        <v>0</v>
      </c>
      <c r="N56" s="20">
        <f>IF(B56="","",ROUND(SUMIFS('Bundle Lines'!$J$5:$J$204,'Bundle Lines'!$A$5:$A$204,A56),2))</f>
        <v>0</v>
      </c>
      <c r="O56" s="20">
        <f>IF(B56="","",ROUND(SUMIFS('Bundle Lines'!$K$5:$K$204,'Bundle Lines'!$A$5:$A$204,A56),2))</f>
        <v>0</v>
      </c>
      <c r="P56" s="20">
        <f>IF(B56="","",ROUND(IF(E56="Budget",PackBudget,IF(E56="Standard",PackStandard,IF(E56="Gift",PackGift,IF(E56="Premium",PackPremium,DefaultPackaging)))),2))</f>
        <v>0</v>
      </c>
      <c r="Q56" s="20">
        <f>IF(B56="","",ROUND(IF(F56="",0,F56)/60*LaborCostHour,2))</f>
        <v>0</v>
      </c>
      <c r="R56" s="20">
        <f>IF(B56="","",ROUND(N56+P56+Q56,2))</f>
        <v>0</v>
      </c>
      <c r="S56" s="33">
        <f>IF(B56="","",IFERROR(INDEX(Channels!$S$5:$S$18,MATCH(IF(D56="",DefaultChannel,D56),Channels!$A$5:$A$18,0)),0))</f>
        <v>0</v>
      </c>
      <c r="T56" s="20">
        <f>IF(B56="","",IFERROR(INDEX(Channels!$T$5:$T$18,MATCH(IF(D56="",DefaultChannel,D56),Channels!$A$5:$A$18,0)),0))</f>
        <v>0</v>
      </c>
      <c r="U56" s="41">
        <f>IF(B56="","",1-TargetRetailMargin-S56)</f>
        <v>0</v>
      </c>
      <c r="V56" s="20">
        <f>IF(B56="","",IF(U56&lt;=0,"",(R56+T56)/U56))</f>
        <v>0</v>
      </c>
      <c r="W56" s="20">
        <f>IF(B56="","",IF(V56="","Check the settings",ROUND(IF(RoundingRule="None",V56,IF(RoundingRule="Nearest 0.99",MAX(0.99,CEILING(V56,1)-0.01),IF(RoundingRule="Nearest 0.95",MAX(0.95,CEILING(V56,1)-0.05),IF(RoundingRule="Nearest 0.50",CEILING(V56,0.5),IF(RoundingRule="Nearest 1",CEILING(V56,1),IF(RoundingRule="Nearest 5",CEILING(V56,5),IF(RoundingRule="Up to whole 1",CEILING(V56,1),IF(RoundingRule="Up to whole 5",CEILING(V56,5),ROUND(V56,2))))))))),2)))</f>
        <v>0</v>
      </c>
      <c r="X56" s="20">
        <f>IF(B56="","",IF(O56=0,"",ROUND(O56*(1-IF(G56="",0,G56)),2)))</f>
        <v>0</v>
      </c>
      <c r="Y56" s="20">
        <f>IF(B56="","",IF(H56&lt;&gt;"",H56,IF(X56&lt;&gt;"",X56,IF(ISNUMBER(W56),W56,""))))</f>
        <v>0</v>
      </c>
      <c r="Z56" s="20">
        <f>IF(B56="","",IF(Y56="","",ROUND(Y56*S56+T56,2)))</f>
        <v>0</v>
      </c>
      <c r="AA56" s="20">
        <f>IF(B56="","",IF(Y56="","",ROUND(Y56-R56-Z56,2)))</f>
        <v>0</v>
      </c>
      <c r="AB56" s="33">
        <f>IF(B56="","",IF(OR(Y56="",Y56=0),"",AA56/Y56))</f>
        <v>0</v>
      </c>
      <c r="AC56" s="20">
        <f>IF(B56="","",IF(OR(Y56="",O56=0),"",ROUND(O56-Y56,2)))</f>
        <v>0</v>
      </c>
      <c r="AD56" s="33">
        <f>IF(B56="","",IF(OR(AC56="",O56=0),"",AC56/O56))</f>
        <v>0</v>
      </c>
      <c r="AE56" s="33">
        <f>IF(B56="","",IF(O56=0,"",(O56-N56)/O56))</f>
        <v>0</v>
      </c>
      <c r="AF56" s="33">
        <f>IF(B56="","",IF(OR(AB56="",AE56=""),"",AE56-AB56))</f>
        <v>0</v>
      </c>
      <c r="AG56" s="32">
        <f>IF(B56="","",SUMIFS(Sales!$D$5:$D$804,Sales!$C$5:$C$804,A56))</f>
        <v>0</v>
      </c>
      <c r="AH56" s="43">
        <f>IF(B56="","",IF(L56=0,"Add - no products in it yet",IF(Y56="","Check - no price yet",IF(AA56&lt;0,"Loss - the discount is too deep",IF(AB56&lt;MarginWarning,"Low margin - trim the discount",IF(AND(AF56&lt;&gt;"",AF56&gt;0.15),"Check - giving away a lot of margin",IF(F56="","Add - how long does it take to box?","OK")))))))</f>
        <v>0</v>
      </c>
    </row>
    <row r="57" spans="1:34">
      <c r="A57" s="38">
        <f>IF(B57="","",BundlePrefix&amp;TEXT(ROW()-4,"0000"))</f>
        <v>0</v>
      </c>
      <c r="L57" s="32">
        <f>IF(B57="","",SUMIFS('Bundle Lines'!$E$5:$E$204,'Bundle Lines'!$A$5:$A$204,A57))</f>
        <v>0</v>
      </c>
      <c r="M57" s="32">
        <f>IF(B57="","",COUNTIFS('Bundle Lines'!$A$5:$A$204,A57))</f>
        <v>0</v>
      </c>
      <c r="N57" s="20">
        <f>IF(B57="","",ROUND(SUMIFS('Bundle Lines'!$J$5:$J$204,'Bundle Lines'!$A$5:$A$204,A57),2))</f>
        <v>0</v>
      </c>
      <c r="O57" s="20">
        <f>IF(B57="","",ROUND(SUMIFS('Bundle Lines'!$K$5:$K$204,'Bundle Lines'!$A$5:$A$204,A57),2))</f>
        <v>0</v>
      </c>
      <c r="P57" s="20">
        <f>IF(B57="","",ROUND(IF(E57="Budget",PackBudget,IF(E57="Standard",PackStandard,IF(E57="Gift",PackGift,IF(E57="Premium",PackPremium,DefaultPackaging)))),2))</f>
        <v>0</v>
      </c>
      <c r="Q57" s="20">
        <f>IF(B57="","",ROUND(IF(F57="",0,F57)/60*LaborCostHour,2))</f>
        <v>0</v>
      </c>
      <c r="R57" s="20">
        <f>IF(B57="","",ROUND(N57+P57+Q57,2))</f>
        <v>0</v>
      </c>
      <c r="S57" s="33">
        <f>IF(B57="","",IFERROR(INDEX(Channels!$S$5:$S$18,MATCH(IF(D57="",DefaultChannel,D57),Channels!$A$5:$A$18,0)),0))</f>
        <v>0</v>
      </c>
      <c r="T57" s="20">
        <f>IF(B57="","",IFERROR(INDEX(Channels!$T$5:$T$18,MATCH(IF(D57="",DefaultChannel,D57),Channels!$A$5:$A$18,0)),0))</f>
        <v>0</v>
      </c>
      <c r="U57" s="41">
        <f>IF(B57="","",1-TargetRetailMargin-S57)</f>
        <v>0</v>
      </c>
      <c r="V57" s="20">
        <f>IF(B57="","",IF(U57&lt;=0,"",(R57+T57)/U57))</f>
        <v>0</v>
      </c>
      <c r="W57" s="20">
        <f>IF(B57="","",IF(V57="","Check the settings",ROUND(IF(RoundingRule="None",V57,IF(RoundingRule="Nearest 0.99",MAX(0.99,CEILING(V57,1)-0.01),IF(RoundingRule="Nearest 0.95",MAX(0.95,CEILING(V57,1)-0.05),IF(RoundingRule="Nearest 0.50",CEILING(V57,0.5),IF(RoundingRule="Nearest 1",CEILING(V57,1),IF(RoundingRule="Nearest 5",CEILING(V57,5),IF(RoundingRule="Up to whole 1",CEILING(V57,1),IF(RoundingRule="Up to whole 5",CEILING(V57,5),ROUND(V57,2))))))))),2)))</f>
        <v>0</v>
      </c>
      <c r="X57" s="20">
        <f>IF(B57="","",IF(O57=0,"",ROUND(O57*(1-IF(G57="",0,G57)),2)))</f>
        <v>0</v>
      </c>
      <c r="Y57" s="20">
        <f>IF(B57="","",IF(H57&lt;&gt;"",H57,IF(X57&lt;&gt;"",X57,IF(ISNUMBER(W57),W57,""))))</f>
        <v>0</v>
      </c>
      <c r="Z57" s="20">
        <f>IF(B57="","",IF(Y57="","",ROUND(Y57*S57+T57,2)))</f>
        <v>0</v>
      </c>
      <c r="AA57" s="20">
        <f>IF(B57="","",IF(Y57="","",ROUND(Y57-R57-Z57,2)))</f>
        <v>0</v>
      </c>
      <c r="AB57" s="33">
        <f>IF(B57="","",IF(OR(Y57="",Y57=0),"",AA57/Y57))</f>
        <v>0</v>
      </c>
      <c r="AC57" s="20">
        <f>IF(B57="","",IF(OR(Y57="",O57=0),"",ROUND(O57-Y57,2)))</f>
        <v>0</v>
      </c>
      <c r="AD57" s="33">
        <f>IF(B57="","",IF(OR(AC57="",O57=0),"",AC57/O57))</f>
        <v>0</v>
      </c>
      <c r="AE57" s="33">
        <f>IF(B57="","",IF(O57=0,"",(O57-N57)/O57))</f>
        <v>0</v>
      </c>
      <c r="AF57" s="33">
        <f>IF(B57="","",IF(OR(AB57="",AE57=""),"",AE57-AB57))</f>
        <v>0</v>
      </c>
      <c r="AG57" s="32">
        <f>IF(B57="","",SUMIFS(Sales!$D$5:$D$804,Sales!$C$5:$C$804,A57))</f>
        <v>0</v>
      </c>
      <c r="AH57" s="43">
        <f>IF(B57="","",IF(L57=0,"Add - no products in it yet",IF(Y57="","Check - no price yet",IF(AA57&lt;0,"Loss - the discount is too deep",IF(AB57&lt;MarginWarning,"Low margin - trim the discount",IF(AND(AF57&lt;&gt;"",AF57&gt;0.15),"Check - giving away a lot of margin",IF(F57="","Add - how long does it take to box?","OK")))))))</f>
        <v>0</v>
      </c>
    </row>
    <row r="58" spans="1:34">
      <c r="A58" s="38">
        <f>IF(B58="","",BundlePrefix&amp;TEXT(ROW()-4,"0000"))</f>
        <v>0</v>
      </c>
      <c r="L58" s="32">
        <f>IF(B58="","",SUMIFS('Bundle Lines'!$E$5:$E$204,'Bundle Lines'!$A$5:$A$204,A58))</f>
        <v>0</v>
      </c>
      <c r="M58" s="32">
        <f>IF(B58="","",COUNTIFS('Bundle Lines'!$A$5:$A$204,A58))</f>
        <v>0</v>
      </c>
      <c r="N58" s="20">
        <f>IF(B58="","",ROUND(SUMIFS('Bundle Lines'!$J$5:$J$204,'Bundle Lines'!$A$5:$A$204,A58),2))</f>
        <v>0</v>
      </c>
      <c r="O58" s="20">
        <f>IF(B58="","",ROUND(SUMIFS('Bundle Lines'!$K$5:$K$204,'Bundle Lines'!$A$5:$A$204,A58),2))</f>
        <v>0</v>
      </c>
      <c r="P58" s="20">
        <f>IF(B58="","",ROUND(IF(E58="Budget",PackBudget,IF(E58="Standard",PackStandard,IF(E58="Gift",PackGift,IF(E58="Premium",PackPremium,DefaultPackaging)))),2))</f>
        <v>0</v>
      </c>
      <c r="Q58" s="20">
        <f>IF(B58="","",ROUND(IF(F58="",0,F58)/60*LaborCostHour,2))</f>
        <v>0</v>
      </c>
      <c r="R58" s="20">
        <f>IF(B58="","",ROUND(N58+P58+Q58,2))</f>
        <v>0</v>
      </c>
      <c r="S58" s="33">
        <f>IF(B58="","",IFERROR(INDEX(Channels!$S$5:$S$18,MATCH(IF(D58="",DefaultChannel,D58),Channels!$A$5:$A$18,0)),0))</f>
        <v>0</v>
      </c>
      <c r="T58" s="20">
        <f>IF(B58="","",IFERROR(INDEX(Channels!$T$5:$T$18,MATCH(IF(D58="",DefaultChannel,D58),Channels!$A$5:$A$18,0)),0))</f>
        <v>0</v>
      </c>
      <c r="U58" s="41">
        <f>IF(B58="","",1-TargetRetailMargin-S58)</f>
        <v>0</v>
      </c>
      <c r="V58" s="20">
        <f>IF(B58="","",IF(U58&lt;=0,"",(R58+T58)/U58))</f>
        <v>0</v>
      </c>
      <c r="W58" s="20">
        <f>IF(B58="","",IF(V58="","Check the settings",ROUND(IF(RoundingRule="None",V58,IF(RoundingRule="Nearest 0.99",MAX(0.99,CEILING(V58,1)-0.01),IF(RoundingRule="Nearest 0.95",MAX(0.95,CEILING(V58,1)-0.05),IF(RoundingRule="Nearest 0.50",CEILING(V58,0.5),IF(RoundingRule="Nearest 1",CEILING(V58,1),IF(RoundingRule="Nearest 5",CEILING(V58,5),IF(RoundingRule="Up to whole 1",CEILING(V58,1),IF(RoundingRule="Up to whole 5",CEILING(V58,5),ROUND(V58,2))))))))),2)))</f>
        <v>0</v>
      </c>
      <c r="X58" s="20">
        <f>IF(B58="","",IF(O58=0,"",ROUND(O58*(1-IF(G58="",0,G58)),2)))</f>
        <v>0</v>
      </c>
      <c r="Y58" s="20">
        <f>IF(B58="","",IF(H58&lt;&gt;"",H58,IF(X58&lt;&gt;"",X58,IF(ISNUMBER(W58),W58,""))))</f>
        <v>0</v>
      </c>
      <c r="Z58" s="20">
        <f>IF(B58="","",IF(Y58="","",ROUND(Y58*S58+T58,2)))</f>
        <v>0</v>
      </c>
      <c r="AA58" s="20">
        <f>IF(B58="","",IF(Y58="","",ROUND(Y58-R58-Z58,2)))</f>
        <v>0</v>
      </c>
      <c r="AB58" s="33">
        <f>IF(B58="","",IF(OR(Y58="",Y58=0),"",AA58/Y58))</f>
        <v>0</v>
      </c>
      <c r="AC58" s="20">
        <f>IF(B58="","",IF(OR(Y58="",O58=0),"",ROUND(O58-Y58,2)))</f>
        <v>0</v>
      </c>
      <c r="AD58" s="33">
        <f>IF(B58="","",IF(OR(AC58="",O58=0),"",AC58/O58))</f>
        <v>0</v>
      </c>
      <c r="AE58" s="33">
        <f>IF(B58="","",IF(O58=0,"",(O58-N58)/O58))</f>
        <v>0</v>
      </c>
      <c r="AF58" s="33">
        <f>IF(B58="","",IF(OR(AB58="",AE58=""),"",AE58-AB58))</f>
        <v>0</v>
      </c>
      <c r="AG58" s="32">
        <f>IF(B58="","",SUMIFS(Sales!$D$5:$D$804,Sales!$C$5:$C$804,A58))</f>
        <v>0</v>
      </c>
      <c r="AH58" s="43">
        <f>IF(B58="","",IF(L58=0,"Add - no products in it yet",IF(Y58="","Check - no price yet",IF(AA58&lt;0,"Loss - the discount is too deep",IF(AB58&lt;MarginWarning,"Low margin - trim the discount",IF(AND(AF58&lt;&gt;"",AF58&gt;0.15),"Check - giving away a lot of margin",IF(F58="","Add - how long does it take to box?","OK")))))))</f>
        <v>0</v>
      </c>
    </row>
    <row r="59" spans="1:34">
      <c r="A59" s="38">
        <f>IF(B59="","",BundlePrefix&amp;TEXT(ROW()-4,"0000"))</f>
        <v>0</v>
      </c>
      <c r="L59" s="32">
        <f>IF(B59="","",SUMIFS('Bundle Lines'!$E$5:$E$204,'Bundle Lines'!$A$5:$A$204,A59))</f>
        <v>0</v>
      </c>
      <c r="M59" s="32">
        <f>IF(B59="","",COUNTIFS('Bundle Lines'!$A$5:$A$204,A59))</f>
        <v>0</v>
      </c>
      <c r="N59" s="20">
        <f>IF(B59="","",ROUND(SUMIFS('Bundle Lines'!$J$5:$J$204,'Bundle Lines'!$A$5:$A$204,A59),2))</f>
        <v>0</v>
      </c>
      <c r="O59" s="20">
        <f>IF(B59="","",ROUND(SUMIFS('Bundle Lines'!$K$5:$K$204,'Bundle Lines'!$A$5:$A$204,A59),2))</f>
        <v>0</v>
      </c>
      <c r="P59" s="20">
        <f>IF(B59="","",ROUND(IF(E59="Budget",PackBudget,IF(E59="Standard",PackStandard,IF(E59="Gift",PackGift,IF(E59="Premium",PackPremium,DefaultPackaging)))),2))</f>
        <v>0</v>
      </c>
      <c r="Q59" s="20">
        <f>IF(B59="","",ROUND(IF(F59="",0,F59)/60*LaborCostHour,2))</f>
        <v>0</v>
      </c>
      <c r="R59" s="20">
        <f>IF(B59="","",ROUND(N59+P59+Q59,2))</f>
        <v>0</v>
      </c>
      <c r="S59" s="33">
        <f>IF(B59="","",IFERROR(INDEX(Channels!$S$5:$S$18,MATCH(IF(D59="",DefaultChannel,D59),Channels!$A$5:$A$18,0)),0))</f>
        <v>0</v>
      </c>
      <c r="T59" s="20">
        <f>IF(B59="","",IFERROR(INDEX(Channels!$T$5:$T$18,MATCH(IF(D59="",DefaultChannel,D59),Channels!$A$5:$A$18,0)),0))</f>
        <v>0</v>
      </c>
      <c r="U59" s="41">
        <f>IF(B59="","",1-TargetRetailMargin-S59)</f>
        <v>0</v>
      </c>
      <c r="V59" s="20">
        <f>IF(B59="","",IF(U59&lt;=0,"",(R59+T59)/U59))</f>
        <v>0</v>
      </c>
      <c r="W59" s="20">
        <f>IF(B59="","",IF(V59="","Check the settings",ROUND(IF(RoundingRule="None",V59,IF(RoundingRule="Nearest 0.99",MAX(0.99,CEILING(V59,1)-0.01),IF(RoundingRule="Nearest 0.95",MAX(0.95,CEILING(V59,1)-0.05),IF(RoundingRule="Nearest 0.50",CEILING(V59,0.5),IF(RoundingRule="Nearest 1",CEILING(V59,1),IF(RoundingRule="Nearest 5",CEILING(V59,5),IF(RoundingRule="Up to whole 1",CEILING(V59,1),IF(RoundingRule="Up to whole 5",CEILING(V59,5),ROUND(V59,2))))))))),2)))</f>
        <v>0</v>
      </c>
      <c r="X59" s="20">
        <f>IF(B59="","",IF(O59=0,"",ROUND(O59*(1-IF(G59="",0,G59)),2)))</f>
        <v>0</v>
      </c>
      <c r="Y59" s="20">
        <f>IF(B59="","",IF(H59&lt;&gt;"",H59,IF(X59&lt;&gt;"",X59,IF(ISNUMBER(W59),W59,""))))</f>
        <v>0</v>
      </c>
      <c r="Z59" s="20">
        <f>IF(B59="","",IF(Y59="","",ROUND(Y59*S59+T59,2)))</f>
        <v>0</v>
      </c>
      <c r="AA59" s="20">
        <f>IF(B59="","",IF(Y59="","",ROUND(Y59-R59-Z59,2)))</f>
        <v>0</v>
      </c>
      <c r="AB59" s="33">
        <f>IF(B59="","",IF(OR(Y59="",Y59=0),"",AA59/Y59))</f>
        <v>0</v>
      </c>
      <c r="AC59" s="20">
        <f>IF(B59="","",IF(OR(Y59="",O59=0),"",ROUND(O59-Y59,2)))</f>
        <v>0</v>
      </c>
      <c r="AD59" s="33">
        <f>IF(B59="","",IF(OR(AC59="",O59=0),"",AC59/O59))</f>
        <v>0</v>
      </c>
      <c r="AE59" s="33">
        <f>IF(B59="","",IF(O59=0,"",(O59-N59)/O59))</f>
        <v>0</v>
      </c>
      <c r="AF59" s="33">
        <f>IF(B59="","",IF(OR(AB59="",AE59=""),"",AE59-AB59))</f>
        <v>0</v>
      </c>
      <c r="AG59" s="32">
        <f>IF(B59="","",SUMIFS(Sales!$D$5:$D$804,Sales!$C$5:$C$804,A59))</f>
        <v>0</v>
      </c>
      <c r="AH59" s="43">
        <f>IF(B59="","",IF(L59=0,"Add - no products in it yet",IF(Y59="","Check - no price yet",IF(AA59&lt;0,"Loss - the discount is too deep",IF(AB59&lt;MarginWarning,"Low margin - trim the discount",IF(AND(AF59&lt;&gt;"",AF59&gt;0.15),"Check - giving away a lot of margin",IF(F59="","Add - how long does it take to box?","OK")))))))</f>
        <v>0</v>
      </c>
    </row>
    <row r="60" spans="1:34">
      <c r="A60" s="38">
        <f>IF(B60="","",BundlePrefix&amp;TEXT(ROW()-4,"0000"))</f>
        <v>0</v>
      </c>
      <c r="L60" s="32">
        <f>IF(B60="","",SUMIFS('Bundle Lines'!$E$5:$E$204,'Bundle Lines'!$A$5:$A$204,A60))</f>
        <v>0</v>
      </c>
      <c r="M60" s="32">
        <f>IF(B60="","",COUNTIFS('Bundle Lines'!$A$5:$A$204,A60))</f>
        <v>0</v>
      </c>
      <c r="N60" s="20">
        <f>IF(B60="","",ROUND(SUMIFS('Bundle Lines'!$J$5:$J$204,'Bundle Lines'!$A$5:$A$204,A60),2))</f>
        <v>0</v>
      </c>
      <c r="O60" s="20">
        <f>IF(B60="","",ROUND(SUMIFS('Bundle Lines'!$K$5:$K$204,'Bundle Lines'!$A$5:$A$204,A60),2))</f>
        <v>0</v>
      </c>
      <c r="P60" s="20">
        <f>IF(B60="","",ROUND(IF(E60="Budget",PackBudget,IF(E60="Standard",PackStandard,IF(E60="Gift",PackGift,IF(E60="Premium",PackPremium,DefaultPackaging)))),2))</f>
        <v>0</v>
      </c>
      <c r="Q60" s="20">
        <f>IF(B60="","",ROUND(IF(F60="",0,F60)/60*LaborCostHour,2))</f>
        <v>0</v>
      </c>
      <c r="R60" s="20">
        <f>IF(B60="","",ROUND(N60+P60+Q60,2))</f>
        <v>0</v>
      </c>
      <c r="S60" s="33">
        <f>IF(B60="","",IFERROR(INDEX(Channels!$S$5:$S$18,MATCH(IF(D60="",DefaultChannel,D60),Channels!$A$5:$A$18,0)),0))</f>
        <v>0</v>
      </c>
      <c r="T60" s="20">
        <f>IF(B60="","",IFERROR(INDEX(Channels!$T$5:$T$18,MATCH(IF(D60="",DefaultChannel,D60),Channels!$A$5:$A$18,0)),0))</f>
        <v>0</v>
      </c>
      <c r="U60" s="41">
        <f>IF(B60="","",1-TargetRetailMargin-S60)</f>
        <v>0</v>
      </c>
      <c r="V60" s="20">
        <f>IF(B60="","",IF(U60&lt;=0,"",(R60+T60)/U60))</f>
        <v>0</v>
      </c>
      <c r="W60" s="20">
        <f>IF(B60="","",IF(V60="","Check the settings",ROUND(IF(RoundingRule="None",V60,IF(RoundingRule="Nearest 0.99",MAX(0.99,CEILING(V60,1)-0.01),IF(RoundingRule="Nearest 0.95",MAX(0.95,CEILING(V60,1)-0.05),IF(RoundingRule="Nearest 0.50",CEILING(V60,0.5),IF(RoundingRule="Nearest 1",CEILING(V60,1),IF(RoundingRule="Nearest 5",CEILING(V60,5),IF(RoundingRule="Up to whole 1",CEILING(V60,1),IF(RoundingRule="Up to whole 5",CEILING(V60,5),ROUND(V60,2))))))))),2)))</f>
        <v>0</v>
      </c>
      <c r="X60" s="20">
        <f>IF(B60="","",IF(O60=0,"",ROUND(O60*(1-IF(G60="",0,G60)),2)))</f>
        <v>0</v>
      </c>
      <c r="Y60" s="20">
        <f>IF(B60="","",IF(H60&lt;&gt;"",H60,IF(X60&lt;&gt;"",X60,IF(ISNUMBER(W60),W60,""))))</f>
        <v>0</v>
      </c>
      <c r="Z60" s="20">
        <f>IF(B60="","",IF(Y60="","",ROUND(Y60*S60+T60,2)))</f>
        <v>0</v>
      </c>
      <c r="AA60" s="20">
        <f>IF(B60="","",IF(Y60="","",ROUND(Y60-R60-Z60,2)))</f>
        <v>0</v>
      </c>
      <c r="AB60" s="33">
        <f>IF(B60="","",IF(OR(Y60="",Y60=0),"",AA60/Y60))</f>
        <v>0</v>
      </c>
      <c r="AC60" s="20">
        <f>IF(B60="","",IF(OR(Y60="",O60=0),"",ROUND(O60-Y60,2)))</f>
        <v>0</v>
      </c>
      <c r="AD60" s="33">
        <f>IF(B60="","",IF(OR(AC60="",O60=0),"",AC60/O60))</f>
        <v>0</v>
      </c>
      <c r="AE60" s="33">
        <f>IF(B60="","",IF(O60=0,"",(O60-N60)/O60))</f>
        <v>0</v>
      </c>
      <c r="AF60" s="33">
        <f>IF(B60="","",IF(OR(AB60="",AE60=""),"",AE60-AB60))</f>
        <v>0</v>
      </c>
      <c r="AG60" s="32">
        <f>IF(B60="","",SUMIFS(Sales!$D$5:$D$804,Sales!$C$5:$C$804,A60))</f>
        <v>0</v>
      </c>
      <c r="AH60" s="43">
        <f>IF(B60="","",IF(L60=0,"Add - no products in it yet",IF(Y60="","Check - no price yet",IF(AA60&lt;0,"Loss - the discount is too deep",IF(AB60&lt;MarginWarning,"Low margin - trim the discount",IF(AND(AF60&lt;&gt;"",AF60&gt;0.15),"Check - giving away a lot of margin",IF(F60="","Add - how long does it take to box?","OK")))))))</f>
        <v>0</v>
      </c>
    </row>
    <row r="61" spans="1:34">
      <c r="A61" s="38">
        <f>IF(B61="","",BundlePrefix&amp;TEXT(ROW()-4,"0000"))</f>
        <v>0</v>
      </c>
      <c r="L61" s="32">
        <f>IF(B61="","",SUMIFS('Bundle Lines'!$E$5:$E$204,'Bundle Lines'!$A$5:$A$204,A61))</f>
        <v>0</v>
      </c>
      <c r="M61" s="32">
        <f>IF(B61="","",COUNTIFS('Bundle Lines'!$A$5:$A$204,A61))</f>
        <v>0</v>
      </c>
      <c r="N61" s="20">
        <f>IF(B61="","",ROUND(SUMIFS('Bundle Lines'!$J$5:$J$204,'Bundle Lines'!$A$5:$A$204,A61),2))</f>
        <v>0</v>
      </c>
      <c r="O61" s="20">
        <f>IF(B61="","",ROUND(SUMIFS('Bundle Lines'!$K$5:$K$204,'Bundle Lines'!$A$5:$A$204,A61),2))</f>
        <v>0</v>
      </c>
      <c r="P61" s="20">
        <f>IF(B61="","",ROUND(IF(E61="Budget",PackBudget,IF(E61="Standard",PackStandard,IF(E61="Gift",PackGift,IF(E61="Premium",PackPremium,DefaultPackaging)))),2))</f>
        <v>0</v>
      </c>
      <c r="Q61" s="20">
        <f>IF(B61="","",ROUND(IF(F61="",0,F61)/60*LaborCostHour,2))</f>
        <v>0</v>
      </c>
      <c r="R61" s="20">
        <f>IF(B61="","",ROUND(N61+P61+Q61,2))</f>
        <v>0</v>
      </c>
      <c r="S61" s="33">
        <f>IF(B61="","",IFERROR(INDEX(Channels!$S$5:$S$18,MATCH(IF(D61="",DefaultChannel,D61),Channels!$A$5:$A$18,0)),0))</f>
        <v>0</v>
      </c>
      <c r="T61" s="20">
        <f>IF(B61="","",IFERROR(INDEX(Channels!$T$5:$T$18,MATCH(IF(D61="",DefaultChannel,D61),Channels!$A$5:$A$18,0)),0))</f>
        <v>0</v>
      </c>
      <c r="U61" s="41">
        <f>IF(B61="","",1-TargetRetailMargin-S61)</f>
        <v>0</v>
      </c>
      <c r="V61" s="20">
        <f>IF(B61="","",IF(U61&lt;=0,"",(R61+T61)/U61))</f>
        <v>0</v>
      </c>
      <c r="W61" s="20">
        <f>IF(B61="","",IF(V61="","Check the settings",ROUND(IF(RoundingRule="None",V61,IF(RoundingRule="Nearest 0.99",MAX(0.99,CEILING(V61,1)-0.01),IF(RoundingRule="Nearest 0.95",MAX(0.95,CEILING(V61,1)-0.05),IF(RoundingRule="Nearest 0.50",CEILING(V61,0.5),IF(RoundingRule="Nearest 1",CEILING(V61,1),IF(RoundingRule="Nearest 5",CEILING(V61,5),IF(RoundingRule="Up to whole 1",CEILING(V61,1),IF(RoundingRule="Up to whole 5",CEILING(V61,5),ROUND(V61,2))))))))),2)))</f>
        <v>0</v>
      </c>
      <c r="X61" s="20">
        <f>IF(B61="","",IF(O61=0,"",ROUND(O61*(1-IF(G61="",0,G61)),2)))</f>
        <v>0</v>
      </c>
      <c r="Y61" s="20">
        <f>IF(B61="","",IF(H61&lt;&gt;"",H61,IF(X61&lt;&gt;"",X61,IF(ISNUMBER(W61),W61,""))))</f>
        <v>0</v>
      </c>
      <c r="Z61" s="20">
        <f>IF(B61="","",IF(Y61="","",ROUND(Y61*S61+T61,2)))</f>
        <v>0</v>
      </c>
      <c r="AA61" s="20">
        <f>IF(B61="","",IF(Y61="","",ROUND(Y61-R61-Z61,2)))</f>
        <v>0</v>
      </c>
      <c r="AB61" s="33">
        <f>IF(B61="","",IF(OR(Y61="",Y61=0),"",AA61/Y61))</f>
        <v>0</v>
      </c>
      <c r="AC61" s="20">
        <f>IF(B61="","",IF(OR(Y61="",O61=0),"",ROUND(O61-Y61,2)))</f>
        <v>0</v>
      </c>
      <c r="AD61" s="33">
        <f>IF(B61="","",IF(OR(AC61="",O61=0),"",AC61/O61))</f>
        <v>0</v>
      </c>
      <c r="AE61" s="33">
        <f>IF(B61="","",IF(O61=0,"",(O61-N61)/O61))</f>
        <v>0</v>
      </c>
      <c r="AF61" s="33">
        <f>IF(B61="","",IF(OR(AB61="",AE61=""),"",AE61-AB61))</f>
        <v>0</v>
      </c>
      <c r="AG61" s="32">
        <f>IF(B61="","",SUMIFS(Sales!$D$5:$D$804,Sales!$C$5:$C$804,A61))</f>
        <v>0</v>
      </c>
      <c r="AH61" s="43">
        <f>IF(B61="","",IF(L61=0,"Add - no products in it yet",IF(Y61="","Check - no price yet",IF(AA61&lt;0,"Loss - the discount is too deep",IF(AB61&lt;MarginWarning,"Low margin - trim the discount",IF(AND(AF61&lt;&gt;"",AF61&gt;0.15),"Check - giving away a lot of margin",IF(F61="","Add - how long does it take to box?","OK")))))))</f>
        <v>0</v>
      </c>
    </row>
    <row r="62" spans="1:34">
      <c r="A62" s="38">
        <f>IF(B62="","",BundlePrefix&amp;TEXT(ROW()-4,"0000"))</f>
        <v>0</v>
      </c>
      <c r="L62" s="32">
        <f>IF(B62="","",SUMIFS('Bundle Lines'!$E$5:$E$204,'Bundle Lines'!$A$5:$A$204,A62))</f>
        <v>0</v>
      </c>
      <c r="M62" s="32">
        <f>IF(B62="","",COUNTIFS('Bundle Lines'!$A$5:$A$204,A62))</f>
        <v>0</v>
      </c>
      <c r="N62" s="20">
        <f>IF(B62="","",ROUND(SUMIFS('Bundle Lines'!$J$5:$J$204,'Bundle Lines'!$A$5:$A$204,A62),2))</f>
        <v>0</v>
      </c>
      <c r="O62" s="20">
        <f>IF(B62="","",ROUND(SUMIFS('Bundle Lines'!$K$5:$K$204,'Bundle Lines'!$A$5:$A$204,A62),2))</f>
        <v>0</v>
      </c>
      <c r="P62" s="20">
        <f>IF(B62="","",ROUND(IF(E62="Budget",PackBudget,IF(E62="Standard",PackStandard,IF(E62="Gift",PackGift,IF(E62="Premium",PackPremium,DefaultPackaging)))),2))</f>
        <v>0</v>
      </c>
      <c r="Q62" s="20">
        <f>IF(B62="","",ROUND(IF(F62="",0,F62)/60*LaborCostHour,2))</f>
        <v>0</v>
      </c>
      <c r="R62" s="20">
        <f>IF(B62="","",ROUND(N62+P62+Q62,2))</f>
        <v>0</v>
      </c>
      <c r="S62" s="33">
        <f>IF(B62="","",IFERROR(INDEX(Channels!$S$5:$S$18,MATCH(IF(D62="",DefaultChannel,D62),Channels!$A$5:$A$18,0)),0))</f>
        <v>0</v>
      </c>
      <c r="T62" s="20">
        <f>IF(B62="","",IFERROR(INDEX(Channels!$T$5:$T$18,MATCH(IF(D62="",DefaultChannel,D62),Channels!$A$5:$A$18,0)),0))</f>
        <v>0</v>
      </c>
      <c r="U62" s="41">
        <f>IF(B62="","",1-TargetRetailMargin-S62)</f>
        <v>0</v>
      </c>
      <c r="V62" s="20">
        <f>IF(B62="","",IF(U62&lt;=0,"",(R62+T62)/U62))</f>
        <v>0</v>
      </c>
      <c r="W62" s="20">
        <f>IF(B62="","",IF(V62="","Check the settings",ROUND(IF(RoundingRule="None",V62,IF(RoundingRule="Nearest 0.99",MAX(0.99,CEILING(V62,1)-0.01),IF(RoundingRule="Nearest 0.95",MAX(0.95,CEILING(V62,1)-0.05),IF(RoundingRule="Nearest 0.50",CEILING(V62,0.5),IF(RoundingRule="Nearest 1",CEILING(V62,1),IF(RoundingRule="Nearest 5",CEILING(V62,5),IF(RoundingRule="Up to whole 1",CEILING(V62,1),IF(RoundingRule="Up to whole 5",CEILING(V62,5),ROUND(V62,2))))))))),2)))</f>
        <v>0</v>
      </c>
      <c r="X62" s="20">
        <f>IF(B62="","",IF(O62=0,"",ROUND(O62*(1-IF(G62="",0,G62)),2)))</f>
        <v>0</v>
      </c>
      <c r="Y62" s="20">
        <f>IF(B62="","",IF(H62&lt;&gt;"",H62,IF(X62&lt;&gt;"",X62,IF(ISNUMBER(W62),W62,""))))</f>
        <v>0</v>
      </c>
      <c r="Z62" s="20">
        <f>IF(B62="","",IF(Y62="","",ROUND(Y62*S62+T62,2)))</f>
        <v>0</v>
      </c>
      <c r="AA62" s="20">
        <f>IF(B62="","",IF(Y62="","",ROUND(Y62-R62-Z62,2)))</f>
        <v>0</v>
      </c>
      <c r="AB62" s="33">
        <f>IF(B62="","",IF(OR(Y62="",Y62=0),"",AA62/Y62))</f>
        <v>0</v>
      </c>
      <c r="AC62" s="20">
        <f>IF(B62="","",IF(OR(Y62="",O62=0),"",ROUND(O62-Y62,2)))</f>
        <v>0</v>
      </c>
      <c r="AD62" s="33">
        <f>IF(B62="","",IF(OR(AC62="",O62=0),"",AC62/O62))</f>
        <v>0</v>
      </c>
      <c r="AE62" s="33">
        <f>IF(B62="","",IF(O62=0,"",(O62-N62)/O62))</f>
        <v>0</v>
      </c>
      <c r="AF62" s="33">
        <f>IF(B62="","",IF(OR(AB62="",AE62=""),"",AE62-AB62))</f>
        <v>0</v>
      </c>
      <c r="AG62" s="32">
        <f>IF(B62="","",SUMIFS(Sales!$D$5:$D$804,Sales!$C$5:$C$804,A62))</f>
        <v>0</v>
      </c>
      <c r="AH62" s="43">
        <f>IF(B62="","",IF(L62=0,"Add - no products in it yet",IF(Y62="","Check - no price yet",IF(AA62&lt;0,"Loss - the discount is too deep",IF(AB62&lt;MarginWarning,"Low margin - trim the discount",IF(AND(AF62&lt;&gt;"",AF62&gt;0.15),"Check - giving away a lot of margin",IF(F62="","Add - how long does it take to box?","OK")))))))</f>
        <v>0</v>
      </c>
    </row>
    <row r="63" spans="1:34">
      <c r="A63" s="38">
        <f>IF(B63="","",BundlePrefix&amp;TEXT(ROW()-4,"0000"))</f>
        <v>0</v>
      </c>
      <c r="L63" s="32">
        <f>IF(B63="","",SUMIFS('Bundle Lines'!$E$5:$E$204,'Bundle Lines'!$A$5:$A$204,A63))</f>
        <v>0</v>
      </c>
      <c r="M63" s="32">
        <f>IF(B63="","",COUNTIFS('Bundle Lines'!$A$5:$A$204,A63))</f>
        <v>0</v>
      </c>
      <c r="N63" s="20">
        <f>IF(B63="","",ROUND(SUMIFS('Bundle Lines'!$J$5:$J$204,'Bundle Lines'!$A$5:$A$204,A63),2))</f>
        <v>0</v>
      </c>
      <c r="O63" s="20">
        <f>IF(B63="","",ROUND(SUMIFS('Bundle Lines'!$K$5:$K$204,'Bundle Lines'!$A$5:$A$204,A63),2))</f>
        <v>0</v>
      </c>
      <c r="P63" s="20">
        <f>IF(B63="","",ROUND(IF(E63="Budget",PackBudget,IF(E63="Standard",PackStandard,IF(E63="Gift",PackGift,IF(E63="Premium",PackPremium,DefaultPackaging)))),2))</f>
        <v>0</v>
      </c>
      <c r="Q63" s="20">
        <f>IF(B63="","",ROUND(IF(F63="",0,F63)/60*LaborCostHour,2))</f>
        <v>0</v>
      </c>
      <c r="R63" s="20">
        <f>IF(B63="","",ROUND(N63+P63+Q63,2))</f>
        <v>0</v>
      </c>
      <c r="S63" s="33">
        <f>IF(B63="","",IFERROR(INDEX(Channels!$S$5:$S$18,MATCH(IF(D63="",DefaultChannel,D63),Channels!$A$5:$A$18,0)),0))</f>
        <v>0</v>
      </c>
      <c r="T63" s="20">
        <f>IF(B63="","",IFERROR(INDEX(Channels!$T$5:$T$18,MATCH(IF(D63="",DefaultChannel,D63),Channels!$A$5:$A$18,0)),0))</f>
        <v>0</v>
      </c>
      <c r="U63" s="41">
        <f>IF(B63="","",1-TargetRetailMargin-S63)</f>
        <v>0</v>
      </c>
      <c r="V63" s="20">
        <f>IF(B63="","",IF(U63&lt;=0,"",(R63+T63)/U63))</f>
        <v>0</v>
      </c>
      <c r="W63" s="20">
        <f>IF(B63="","",IF(V63="","Check the settings",ROUND(IF(RoundingRule="None",V63,IF(RoundingRule="Nearest 0.99",MAX(0.99,CEILING(V63,1)-0.01),IF(RoundingRule="Nearest 0.95",MAX(0.95,CEILING(V63,1)-0.05),IF(RoundingRule="Nearest 0.50",CEILING(V63,0.5),IF(RoundingRule="Nearest 1",CEILING(V63,1),IF(RoundingRule="Nearest 5",CEILING(V63,5),IF(RoundingRule="Up to whole 1",CEILING(V63,1),IF(RoundingRule="Up to whole 5",CEILING(V63,5),ROUND(V63,2))))))))),2)))</f>
        <v>0</v>
      </c>
      <c r="X63" s="20">
        <f>IF(B63="","",IF(O63=0,"",ROUND(O63*(1-IF(G63="",0,G63)),2)))</f>
        <v>0</v>
      </c>
      <c r="Y63" s="20">
        <f>IF(B63="","",IF(H63&lt;&gt;"",H63,IF(X63&lt;&gt;"",X63,IF(ISNUMBER(W63),W63,""))))</f>
        <v>0</v>
      </c>
      <c r="Z63" s="20">
        <f>IF(B63="","",IF(Y63="","",ROUND(Y63*S63+T63,2)))</f>
        <v>0</v>
      </c>
      <c r="AA63" s="20">
        <f>IF(B63="","",IF(Y63="","",ROUND(Y63-R63-Z63,2)))</f>
        <v>0</v>
      </c>
      <c r="AB63" s="33">
        <f>IF(B63="","",IF(OR(Y63="",Y63=0),"",AA63/Y63))</f>
        <v>0</v>
      </c>
      <c r="AC63" s="20">
        <f>IF(B63="","",IF(OR(Y63="",O63=0),"",ROUND(O63-Y63,2)))</f>
        <v>0</v>
      </c>
      <c r="AD63" s="33">
        <f>IF(B63="","",IF(OR(AC63="",O63=0),"",AC63/O63))</f>
        <v>0</v>
      </c>
      <c r="AE63" s="33">
        <f>IF(B63="","",IF(O63=0,"",(O63-N63)/O63))</f>
        <v>0</v>
      </c>
      <c r="AF63" s="33">
        <f>IF(B63="","",IF(OR(AB63="",AE63=""),"",AE63-AB63))</f>
        <v>0</v>
      </c>
      <c r="AG63" s="32">
        <f>IF(B63="","",SUMIFS(Sales!$D$5:$D$804,Sales!$C$5:$C$804,A63))</f>
        <v>0</v>
      </c>
      <c r="AH63" s="43">
        <f>IF(B63="","",IF(L63=0,"Add - no products in it yet",IF(Y63="","Check - no price yet",IF(AA63&lt;0,"Loss - the discount is too deep",IF(AB63&lt;MarginWarning,"Low margin - trim the discount",IF(AND(AF63&lt;&gt;"",AF63&gt;0.15),"Check - giving away a lot of margin",IF(F63="","Add - how long does it take to box?","OK")))))))</f>
        <v>0</v>
      </c>
    </row>
    <row r="64" spans="1:34">
      <c r="A64" s="38">
        <f>IF(B64="","",BundlePrefix&amp;TEXT(ROW()-4,"0000"))</f>
        <v>0</v>
      </c>
      <c r="L64" s="32">
        <f>IF(B64="","",SUMIFS('Bundle Lines'!$E$5:$E$204,'Bundle Lines'!$A$5:$A$204,A64))</f>
        <v>0</v>
      </c>
      <c r="M64" s="32">
        <f>IF(B64="","",COUNTIFS('Bundle Lines'!$A$5:$A$204,A64))</f>
        <v>0</v>
      </c>
      <c r="N64" s="20">
        <f>IF(B64="","",ROUND(SUMIFS('Bundle Lines'!$J$5:$J$204,'Bundle Lines'!$A$5:$A$204,A64),2))</f>
        <v>0</v>
      </c>
      <c r="O64" s="20">
        <f>IF(B64="","",ROUND(SUMIFS('Bundle Lines'!$K$5:$K$204,'Bundle Lines'!$A$5:$A$204,A64),2))</f>
        <v>0</v>
      </c>
      <c r="P64" s="20">
        <f>IF(B64="","",ROUND(IF(E64="Budget",PackBudget,IF(E64="Standard",PackStandard,IF(E64="Gift",PackGift,IF(E64="Premium",PackPremium,DefaultPackaging)))),2))</f>
        <v>0</v>
      </c>
      <c r="Q64" s="20">
        <f>IF(B64="","",ROUND(IF(F64="",0,F64)/60*LaborCostHour,2))</f>
        <v>0</v>
      </c>
      <c r="R64" s="20">
        <f>IF(B64="","",ROUND(N64+P64+Q64,2))</f>
        <v>0</v>
      </c>
      <c r="S64" s="33">
        <f>IF(B64="","",IFERROR(INDEX(Channels!$S$5:$S$18,MATCH(IF(D64="",DefaultChannel,D64),Channels!$A$5:$A$18,0)),0))</f>
        <v>0</v>
      </c>
      <c r="T64" s="20">
        <f>IF(B64="","",IFERROR(INDEX(Channels!$T$5:$T$18,MATCH(IF(D64="",DefaultChannel,D64),Channels!$A$5:$A$18,0)),0))</f>
        <v>0</v>
      </c>
      <c r="U64" s="41">
        <f>IF(B64="","",1-TargetRetailMargin-S64)</f>
        <v>0</v>
      </c>
      <c r="V64" s="20">
        <f>IF(B64="","",IF(U64&lt;=0,"",(R64+T64)/U64))</f>
        <v>0</v>
      </c>
      <c r="W64" s="20">
        <f>IF(B64="","",IF(V64="","Check the settings",ROUND(IF(RoundingRule="None",V64,IF(RoundingRule="Nearest 0.99",MAX(0.99,CEILING(V64,1)-0.01),IF(RoundingRule="Nearest 0.95",MAX(0.95,CEILING(V64,1)-0.05),IF(RoundingRule="Nearest 0.50",CEILING(V64,0.5),IF(RoundingRule="Nearest 1",CEILING(V64,1),IF(RoundingRule="Nearest 5",CEILING(V64,5),IF(RoundingRule="Up to whole 1",CEILING(V64,1),IF(RoundingRule="Up to whole 5",CEILING(V64,5),ROUND(V64,2))))))))),2)))</f>
        <v>0</v>
      </c>
      <c r="X64" s="20">
        <f>IF(B64="","",IF(O64=0,"",ROUND(O64*(1-IF(G64="",0,G64)),2)))</f>
        <v>0</v>
      </c>
      <c r="Y64" s="20">
        <f>IF(B64="","",IF(H64&lt;&gt;"",H64,IF(X64&lt;&gt;"",X64,IF(ISNUMBER(W64),W64,""))))</f>
        <v>0</v>
      </c>
      <c r="Z64" s="20">
        <f>IF(B64="","",IF(Y64="","",ROUND(Y64*S64+T64,2)))</f>
        <v>0</v>
      </c>
      <c r="AA64" s="20">
        <f>IF(B64="","",IF(Y64="","",ROUND(Y64-R64-Z64,2)))</f>
        <v>0</v>
      </c>
      <c r="AB64" s="33">
        <f>IF(B64="","",IF(OR(Y64="",Y64=0),"",AA64/Y64))</f>
        <v>0</v>
      </c>
      <c r="AC64" s="20">
        <f>IF(B64="","",IF(OR(Y64="",O64=0),"",ROUND(O64-Y64,2)))</f>
        <v>0</v>
      </c>
      <c r="AD64" s="33">
        <f>IF(B64="","",IF(OR(AC64="",O64=0),"",AC64/O64))</f>
        <v>0</v>
      </c>
      <c r="AE64" s="33">
        <f>IF(B64="","",IF(O64=0,"",(O64-N64)/O64))</f>
        <v>0</v>
      </c>
      <c r="AF64" s="33">
        <f>IF(B64="","",IF(OR(AB64="",AE64=""),"",AE64-AB64))</f>
        <v>0</v>
      </c>
      <c r="AG64" s="32">
        <f>IF(B64="","",SUMIFS(Sales!$D$5:$D$804,Sales!$C$5:$C$804,A64))</f>
        <v>0</v>
      </c>
      <c r="AH64" s="43">
        <f>IF(B64="","",IF(L64=0,"Add - no products in it yet",IF(Y64="","Check - no price yet",IF(AA64&lt;0,"Loss - the discount is too deep",IF(AB64&lt;MarginWarning,"Low margin - trim the discount",IF(AND(AF64&lt;&gt;"",AF64&gt;0.15),"Check - giving away a lot of margin",IF(F64="","Add - how long does it take to box?","OK")))))))</f>
        <v>0</v>
      </c>
    </row>
  </sheetData>
  <sheetProtection password="EC7C" sheet="1" objects="1" scenarios="1" formatCells="0" formatColumns="0" formatRows="0" insertRows="0" insertHyperlinks="0" deleteRows="0" autoFilter="0"/>
  <autoFilter ref="A4:AH64"/>
  <mergeCells count="13">
    <mergeCell ref="A1:AE1"/>
    <mergeCell ref="AF1:AH1"/>
    <mergeCell ref="A2:AH2"/>
    <mergeCell ref="A3:B3"/>
    <mergeCell ref="C3:D3"/>
    <mergeCell ref="E3:F3"/>
    <mergeCell ref="G3:H3"/>
    <mergeCell ref="I3:J3"/>
    <mergeCell ref="K3:L3"/>
    <mergeCell ref="M3:N3"/>
    <mergeCell ref="O3:P3"/>
    <mergeCell ref="Q3:R3"/>
    <mergeCell ref="S3:AH3"/>
  </mergeCells>
  <conditionalFormatting sqref="AA5:AA64">
    <cfRule type="cellIs" dxfId="5" priority="47" operator="lessThan">
      <formula>0</formula>
    </cfRule>
    <cfRule type="cellIs" dxfId="1" priority="48" operator="greaterThan">
      <formula>0</formula>
    </cfRule>
  </conditionalFormatting>
  <conditionalFormatting sqref="AB5:AB64">
    <cfRule type="cellIs" dxfId="2" priority="49" operator="lessThan">
      <formula>0</formula>
    </cfRule>
    <cfRule type="cellIs" dxfId="0" priority="50" operator="lessThan">
      <formula>MarginWarning</formula>
    </cfRule>
    <cfRule type="cellIs" dxfId="1" priority="51" operator="greaterThanOrEqual">
      <formula>MarginWarning</formula>
    </cfRule>
  </conditionalFormatting>
  <conditionalFormatting sqref="AF5:AF64">
    <cfRule type="cellIs" dxfId="2" priority="52" operator="greaterThan">
      <formula>0.15</formula>
    </cfRule>
    <cfRule type="cellIs" dxfId="1" priority="53" operator="lessThanOrEqual">
      <formula>0.05</formula>
    </cfRule>
  </conditionalFormatting>
  <conditionalFormatting sqref="AH5:AH64">
    <cfRule type="beginsWith" dxfId="1" priority="54" operator="beginsWith" text="OK">
      <formula>LEFT(AH5,2)="OK"</formula>
    </cfRule>
    <cfRule type="containsText" dxfId="2" priority="55" operator="containsText" text="Overdue">
      <formula>NOT(ISERROR(SEARCH("Overdue",AH5)))</formula>
    </cfRule>
    <cfRule type="containsText" dxfId="2" priority="56" operator="containsText" text="Late">
      <formula>NOT(ISERROR(SEARCH("Late",AH5)))</formula>
    </cfRule>
    <cfRule type="containsText" dxfId="2" priority="57" operator="containsText" text="Missing">
      <formula>NOT(ISERROR(SEARCH("Missing",AH5)))</formula>
    </cfRule>
    <cfRule type="containsText" dxfId="2" priority="58" operator="containsText" text="Conflict">
      <formula>NOT(ISERROR(SEARCH("Conflict",AH5)))</formula>
    </cfRule>
    <cfRule type="containsText" dxfId="2" priority="59" operator="containsText" text="Clash">
      <formula>NOT(ISERROR(SEARCH("Clash",AH5)))</formula>
    </cfRule>
    <cfRule type="containsText" dxfId="2" priority="60" operator="containsText" text="Expired">
      <formula>NOT(ISERROR(SEARCH("Expired",AH5)))</formula>
    </cfRule>
    <cfRule type="containsText" dxfId="2" priority="61" operator="containsText" text="Duplicate">
      <formula>NOT(ISERROR(SEARCH("Duplicate",AH5)))</formula>
    </cfRule>
    <cfRule type="containsText" dxfId="2" priority="62" operator="containsText" text="Unpaid">
      <formula>NOT(ISERROR(SEARCH("Unpaid",AH5)))</formula>
    </cfRule>
    <cfRule type="containsText" dxfId="2" priority="63" operator="containsText" text="Loss">
      <formula>NOT(ISERROR(SEARCH("Loss",AH5)))</formula>
    </cfRule>
    <cfRule type="containsText" dxfId="2" priority="64" operator="containsText" text="Below">
      <formula>NOT(ISERROR(SEARCH("Below",AH5)))</formula>
    </cfRule>
    <cfRule type="containsText" dxfId="0" priority="65" operator="containsText" text="Action">
      <formula>NOT(ISERROR(SEARCH("Action",AH5)))</formula>
    </cfRule>
    <cfRule type="containsText" dxfId="0" priority="66" operator="containsText" text="Due">
      <formula>NOT(ISERROR(SEARCH("Due",AH5)))</formula>
    </cfRule>
    <cfRule type="containsText" dxfId="0" priority="67" operator="containsText" text="Check">
      <formula>NOT(ISERROR(SEARCH("Check",AH5)))</formula>
    </cfRule>
    <cfRule type="containsText" dxfId="0" priority="68" operator="containsText" text="Chase">
      <formula>NOT(ISERROR(SEARCH("Chase",AH5)))</formula>
    </cfRule>
    <cfRule type="containsText" dxfId="0" priority="69" operator="containsText" text="Assign">
      <formula>NOT(ISERROR(SEARCH("Assign",AH5)))</formula>
    </cfRule>
    <cfRule type="containsText" dxfId="0" priority="70" operator="containsText" text="Confirm">
      <formula>NOT(ISERROR(SEARCH("Confirm",AH5)))</formula>
    </cfRule>
    <cfRule type="containsText" dxfId="0" priority="71" operator="containsText" text="Order">
      <formula>NOT(ISERROR(SEARCH("Order",AH5)))</formula>
    </cfRule>
    <cfRule type="containsText" dxfId="3" priority="72" operator="containsText" text="Today">
      <formula>NOT(ISERROR(SEARCH("Today",AH5)))</formula>
    </cfRule>
    <cfRule type="containsText" dxfId="3" priority="73" operator="containsText" text="Upcoming">
      <formula>NOT(ISERROR(SEARCH("Upcoming",AH5)))</formula>
    </cfRule>
    <cfRule type="containsText" dxfId="3" priority="74" operator="containsText" text="Tomorrow">
      <formula>NOT(ISERROR(SEARCH("Tomorrow",AH5)))</formula>
    </cfRule>
  </conditionalFormatting>
  <conditionalFormatting sqref="I5:I64">
    <cfRule type="containsText" dxfId="1" priority="1" operator="containsText" text="Completed">
      <formula>NOT(ISERROR(SEARCH("Completed",I5)))</formula>
    </cfRule>
    <cfRule type="containsText" dxfId="1" priority="2" operator="containsText" text="Complete">
      <formula>NOT(ISERROR(SEARCH("Complete",I5)))</formula>
    </cfRule>
    <cfRule type="containsText" dxfId="1" priority="3" operator="containsText" text="Done">
      <formula>NOT(ISERROR(SEARCH("Done",I5)))</formula>
    </cfRule>
    <cfRule type="containsText" dxfId="1" priority="4" operator="containsText" text="Paid">
      <formula>NOT(ISERROR(SEARCH("Paid",I5)))</formula>
    </cfRule>
    <cfRule type="containsText" dxfId="1" priority="5" operator="containsText" text="Accepted">
      <formula>NOT(ISERROR(SEARCH("Accepted",I5)))</formula>
    </cfRule>
    <cfRule type="containsText" dxfId="1" priority="6" operator="containsText" text="Won">
      <formula>NOT(ISERROR(SEARCH("Won",I5)))</formula>
    </cfRule>
    <cfRule type="containsText" dxfId="1" priority="7" operator="containsText" text="Active">
      <formula>NOT(ISERROR(SEARCH("Active",I5)))</formula>
    </cfRule>
    <cfRule type="containsText" dxfId="1" priority="8" operator="containsText" text="In stock">
      <formula>NOT(ISERROR(SEARCH("In stock",I5)))</formula>
    </cfRule>
    <cfRule type="containsText" dxfId="1" priority="9" operator="containsText" text="Resolved">
      <formula>NOT(ISERROR(SEARCH("Resolved",I5)))</formula>
    </cfRule>
    <cfRule type="containsText" dxfId="1" priority="10" operator="containsText" text="Signed">
      <formula>NOT(ISERROR(SEARCH("Signed",I5)))</formula>
    </cfRule>
    <cfRule type="containsText" dxfId="1" priority="11" operator="containsText" text="Yes">
      <formula>NOT(ISERROR(SEARCH("Yes",I5)))</formula>
    </cfRule>
    <cfRule type="containsText" dxfId="3" priority="12" operator="containsText" text="Booked">
      <formula>NOT(ISERROR(SEARCH("Booked",I5)))</formula>
    </cfRule>
    <cfRule type="containsText" dxfId="3" priority="13" operator="containsText" text="Confirmed">
      <formula>NOT(ISERROR(SEARCH("Confirmed",I5)))</formula>
    </cfRule>
    <cfRule type="containsText" dxfId="3" priority="14" operator="containsText" text="Scheduled">
      <formula>NOT(ISERROR(SEARCH("Scheduled",I5)))</formula>
    </cfRule>
    <cfRule type="containsText" dxfId="3" priority="15" operator="containsText" text="In progress">
      <formula>NOT(ISERROR(SEARCH("In progress",I5)))</formula>
    </cfRule>
    <cfRule type="containsText" dxfId="3" priority="16" operator="containsText" text="Sent">
      <formula>NOT(ISERROR(SEARCH("Sent",I5)))</formula>
    </cfRule>
    <cfRule type="containsText" dxfId="3" priority="17" operator="containsText" text="Invoiced">
      <formula>NOT(ISERROR(SEARCH("Invoiced",I5)))</formula>
    </cfRule>
    <cfRule type="containsText" dxfId="3" priority="18" operator="containsText" text="Quoted">
      <formula>NOT(ISERROR(SEARCH("Quoted",I5)))</formula>
    </cfRule>
    <cfRule type="containsText" dxfId="3" priority="19" operator="containsText" text="Prospect">
      <formula>NOT(ISERROR(SEARCH("Prospect",I5)))</formula>
    </cfRule>
    <cfRule type="containsText" dxfId="0" priority="20" operator="containsText" text="Draft">
      <formula>NOT(ISERROR(SEARCH("Draft",I5)))</formula>
    </cfRule>
    <cfRule type="containsText" dxfId="0" priority="21" operator="containsText" text="Enquiry">
      <formula>NOT(ISERROR(SEARCH("Enquiry",I5)))</formula>
    </cfRule>
    <cfRule type="containsText" dxfId="0" priority="22" operator="containsText" text="Pending">
      <formula>NOT(ISERROR(SEARCH("Pending",I5)))</formula>
    </cfRule>
    <cfRule type="containsText" dxfId="0" priority="23" operator="containsText" text="Part paid">
      <formula>NOT(ISERROR(SEARCH("Part paid",I5)))</formula>
    </cfRule>
    <cfRule type="containsText" dxfId="0" priority="24" operator="containsText" text="Followed up">
      <formula>NOT(ISERROR(SEARCH("Followed up",I5)))</formula>
    </cfRule>
    <cfRule type="containsText" dxfId="0" priority="25" operator="containsText" text="Low stock">
      <formula>NOT(ISERROR(SEARCH("Low stock",I5)))</formula>
    </cfRule>
    <cfRule type="containsText" dxfId="0" priority="26" operator="containsText" text="Due soon">
      <formula>NOT(ISERROR(SEARCH("Due soon",I5)))</formula>
    </cfRule>
    <cfRule type="containsText" dxfId="0" priority="27" operator="containsText" text="On hold">
      <formula>NOT(ISERROR(SEARCH("On hold",I5)))</formula>
    </cfRule>
    <cfRule type="containsText" dxfId="0" priority="28" operator="containsText" text="Unassigned">
      <formula>NOT(ISERROR(SEARCH("Unassigned",I5)))</formula>
    </cfRule>
    <cfRule type="containsText" dxfId="2" priority="29" operator="containsText" text="Overdue">
      <formula>NOT(ISERROR(SEARCH("Overdue",I5)))</formula>
    </cfRule>
    <cfRule type="containsText" dxfId="2" priority="30" operator="containsText" text="Cancelled">
      <formula>NOT(ISERROR(SEARCH("Cancelled",I5)))</formula>
    </cfRule>
    <cfRule type="containsText" dxfId="2" priority="31" operator="containsText" text="Declined">
      <formula>NOT(ISERROR(SEARCH("Declined",I5)))</formula>
    </cfRule>
    <cfRule type="containsText" dxfId="2" priority="32" operator="containsText" text="Lost">
      <formula>NOT(ISERROR(SEARCH("Lost",I5)))</formula>
    </cfRule>
    <cfRule type="containsText" dxfId="2" priority="33" operator="containsText" text="No access">
      <formula>NOT(ISERROR(SEARCH("No access",I5)))</formula>
    </cfRule>
    <cfRule type="containsText" dxfId="2" priority="34" operator="containsText" text="Out of stock">
      <formula>NOT(ISERROR(SEARCH("Out of stock",I5)))</formula>
    </cfRule>
    <cfRule type="containsText" dxfId="2" priority="35" operator="containsText" text="Written off">
      <formula>NOT(ISERROR(SEARCH("Written off",I5)))</formula>
    </cfRule>
    <cfRule type="containsText" dxfId="2" priority="36" operator="containsText" text="Expired">
      <formula>NOT(ISERROR(SEARCH("Expired",I5)))</formula>
    </cfRule>
    <cfRule type="containsText" dxfId="4" priority="37" operator="containsText" text="Discontinued">
      <formula>NOT(ISERROR(SEARCH("Discontinued",I5)))</formula>
    </cfRule>
    <cfRule type="containsText" dxfId="4" priority="38" operator="containsText" text="Idea">
      <formula>NOT(ISERROR(SEARCH("Idea",I5)))</formula>
    </cfRule>
    <cfRule type="containsText" dxfId="0" priority="39" operator="containsText" text="Prototype">
      <formula>NOT(ISERROR(SEARCH("Prototype",I5)))</formula>
    </cfRule>
    <cfRule type="containsText" dxfId="3" priority="40" operator="containsText" text="Made to order">
      <formula>NOT(ISERROR(SEARCH("Made to order",I5)))</formula>
    </cfRule>
    <cfRule type="containsText" dxfId="3" priority="41" operator="containsText" text="Seasonal">
      <formula>NOT(ISERROR(SEARCH("Seasonal",I5)))</formula>
    </cfRule>
    <cfRule type="containsText" dxfId="0" priority="42" operator="containsText" text="Review">
      <formula>NOT(ISERROR(SEARCH("Review",I5)))</formula>
    </cfRule>
    <cfRule type="containsText" dxfId="0" priority="43" operator="containsText" text="Raise price">
      <formula>NOT(ISERROR(SEARCH("Raise price",I5)))</formula>
    </cfRule>
    <cfRule type="containsText" dxfId="4" priority="44" operator="containsText" text="Inactive">
      <formula>NOT(ISERROR(SEARCH("Inactive",I5)))</formula>
    </cfRule>
    <cfRule type="containsText" dxfId="4" priority="45" operator="containsText" text="Archived">
      <formula>NOT(ISERROR(SEARCH("Archived",I5)))</formula>
    </cfRule>
    <cfRule type="containsText" dxfId="4" priority="46" operator="containsText" text="Not needed">
      <formula>NOT(ISERROR(SEARCH("Not needed",I5)))</formula>
    </cfRule>
  </conditionalFormatting>
  <dataValidations count="8">
    <dataValidation type="list" allowBlank="1" showInputMessage="1" showErrorMessage="1" sqref="C5:C64">
      <formula1>BundleTypeList</formula1>
    </dataValidation>
    <dataValidation type="list" allowBlank="1" showInputMessage="1" showErrorMessage="1" sqref="D5:D64">
      <formula1>ChannelList</formula1>
    </dataValidation>
    <dataValidation type="list" allowBlank="1" showInputMessage="1" showErrorMessage="1" promptTitle="Packaging" prompt="Bundles usually need the bigger box. Pick the profile that actually goes out." sqref="E5:E64">
      <formula1>PackProfileList</formula1>
    </dataValidation>
    <dataValidation type="whole" allowBlank="1" showInputMessage="1" showErrorMessage="1" errorTitle="Check the value" error="Enter a number between 0 and 10000." promptTitle="Assembly minutes" prompt="Boxing, wrapping, tying, the card. Ten minutes a set at $25 an hour is $4.17 - more than most bundle discounts." sqref="F5:F64">
      <formula1>0</formula1>
      <formula2>10000</formula2>
    </dataValidation>
    <dataValidation type="decimal" allowBlank="1" showInputMessage="1" showErrorMessage="1" errorTitle="Check the value" error="Enter a number between 0 and 0.9." promptTitle="Discount off retail" prompt="What the buyer saves against buying the pieces separately. Leave blank for no discount." sqref="G5:G64">
      <formula1>0</formula1>
      <formula2>0.9</formula2>
    </dataValidation>
    <dataValidation type="decimal" allowBlank="1" showInputMessage="1" showErrorMessage="1" errorTitle="Check the value" error="Enter a number between 0 and 1000000." sqref="H5:H64">
      <formula1>0</formula1>
      <formula2>1000000</formula2>
    </dataValidation>
    <dataValidation type="list" allowBlank="1" showInputMessage="1" showErrorMessage="1" sqref="I5:I64">
      <formula1>StatusList</formula1>
    </dataValidation>
    <dataValidation type="list" allowBlank="1" showInputMessage="1" showErrorMessage="1" sqref="J5:J64">
      <formula1>SeasonList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&amp;L&amp;"Calibri,Bold"&amp;12&amp;C&amp;"Calibri,Bold"&amp;11Bundles&amp;R&amp;"Calibri,Italic"&amp;9Handmade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2.xml><?xml version="1.0" encoding="utf-8"?>
<worksheet xmlns="http://schemas.openxmlformats.org/spreadsheetml/2006/main" xmlns:r="http://schemas.openxmlformats.org/officeDocument/2006/relationships">
  <sheetPr>
    <tabColor rgb="FFB5704F"/>
    <pageSetUpPr fitToPage="1"/>
  </sheetPr>
  <dimension ref="A1:N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4.7109375" style="13" customWidth="1"/>
    <col min="3" max="3" width="12.7109375" style="46" customWidth="1"/>
    <col min="4" max="4" width="26.7109375" style="13" customWidth="1"/>
    <col min="5" max="5" width="10.7109375" style="16" customWidth="1"/>
    <col min="6" max="6" width="12.7109375" style="47" customWidth="1"/>
    <col min="7" max="7" width="24.7109375" style="40" customWidth="1"/>
    <col min="8" max="8" width="11.7109375" style="20" customWidth="1"/>
    <col min="9" max="9" width="11.7109375" style="20" customWidth="1"/>
    <col min="10" max="10" width="11.7109375" style="20" customWidth="1"/>
    <col min="11" max="11" width="11.7109375" style="20" customWidth="1"/>
    <col min="12" max="12" width="7.7109375" style="32" hidden="1" customWidth="1"/>
    <col min="13" max="13" width="14.7109375" style="13" hidden="1" customWidth="1"/>
    <col min="14" max="14" width="24.7109375" style="43" customWidth="1"/>
  </cols>
  <sheetData>
    <row r="1" spans="1:14" ht="34" customHeight="1">
      <c r="A1" s="2" t="s">
        <v>1481</v>
      </c>
      <c r="B1" s="2"/>
      <c r="C1" s="2"/>
      <c r="D1" s="2"/>
      <c r="E1" s="2"/>
      <c r="F1" s="2"/>
      <c r="G1" s="2"/>
      <c r="H1" s="2"/>
      <c r="I1" s="2"/>
      <c r="J1" s="2"/>
      <c r="K1" s="2"/>
      <c r="L1" s="3" t="s">
        <v>1</v>
      </c>
      <c r="M1" s="3"/>
      <c r="N1" s="3"/>
    </row>
    <row r="2" spans="1:14" ht="18" customHeight="1">
      <c r="A2" s="4" t="s">
        <v>1482</v>
      </c>
      <c r="B2" s="4"/>
      <c r="C2" s="4"/>
      <c r="D2" s="4"/>
      <c r="E2" s="4"/>
      <c r="F2" s="4"/>
      <c r="G2" s="4"/>
      <c r="H2" s="4"/>
      <c r="I2" s="4"/>
      <c r="J2" s="4"/>
      <c r="K2" s="4"/>
      <c r="L2" s="4"/>
      <c r="M2" s="4"/>
      <c r="N2" s="4"/>
    </row>
    <row r="3" spans="1:14" ht="16" customHeight="1">
      <c r="A3" s="5" t="s">
        <v>3</v>
      </c>
      <c r="B3" s="5"/>
      <c r="C3" s="5" t="s">
        <v>4</v>
      </c>
      <c r="D3" s="5"/>
      <c r="E3" s="5" t="s">
        <v>5</v>
      </c>
      <c r="F3" s="5"/>
      <c r="G3" s="5" t="s">
        <v>6</v>
      </c>
      <c r="H3" s="5"/>
      <c r="I3" s="5" t="s">
        <v>7</v>
      </c>
      <c r="J3" s="5"/>
      <c r="K3" s="5" t="s">
        <v>367</v>
      </c>
      <c r="L3" s="5"/>
      <c r="M3" s="5" t="s">
        <v>368</v>
      </c>
      <c r="N3" s="5"/>
    </row>
    <row r="4" spans="1:14" ht="30" customHeight="1">
      <c r="A4" s="8" t="s">
        <v>1463</v>
      </c>
      <c r="B4" s="8" t="s">
        <v>1483</v>
      </c>
      <c r="C4" s="9" t="s">
        <v>354</v>
      </c>
      <c r="D4" s="9" t="s">
        <v>719</v>
      </c>
      <c r="E4" s="9" t="s">
        <v>1484</v>
      </c>
      <c r="F4" s="9" t="s">
        <v>1485</v>
      </c>
      <c r="G4" s="9" t="s">
        <v>466</v>
      </c>
      <c r="H4" s="9" t="s">
        <v>815</v>
      </c>
      <c r="I4" s="9" t="s">
        <v>1486</v>
      </c>
      <c r="J4" s="9" t="s">
        <v>725</v>
      </c>
      <c r="K4" s="9" t="s">
        <v>1487</v>
      </c>
      <c r="L4" s="9" t="s">
        <v>728</v>
      </c>
      <c r="M4" s="9" t="s">
        <v>434</v>
      </c>
      <c r="N4" s="9" t="s">
        <v>729</v>
      </c>
    </row>
    <row r="5" spans="1:14">
      <c r="A5" s="46" t="s">
        <v>1488</v>
      </c>
      <c r="B5" s="13">
        <f>IF(A5="","",IFERROR(INDEX(Bundles!$B$5:$B$64,MATCH(A5,Bundles!$A$5:$A$64,0)),"Not found"))</f>
        <v>0</v>
      </c>
      <c r="C5" s="46" t="s">
        <v>1256</v>
      </c>
      <c r="D5" s="13">
        <f>IF(C5="","",IFERROR(INDEX(Products!$B$5:$B$304,MATCH(C5,Products!$A$5:$A$304,0)),"Not found"))</f>
        <v>0</v>
      </c>
      <c r="E5" s="16">
        <v>1</v>
      </c>
      <c r="F5" s="47" t="s">
        <v>281</v>
      </c>
      <c r="H5" s="20">
        <f>IF(C5="","",IFERROR(INDEX(Products!$AT$5:$AT$304,MATCH(C5,Products!$A$5:$A$304,0)),""))</f>
        <v>0</v>
      </c>
      <c r="I5" s="20">
        <f>IF(C5="","",IFERROR(INDEX(Products!$AR$5:$AR$304,MATCH(C5,Products!$A$5:$A$304,0)),""))</f>
        <v>0</v>
      </c>
      <c r="J5" s="20">
        <f>IF(C5="","",IF(OR(E5="",H5=""),"",ROUND(E5*H5,2)))</f>
        <v>0</v>
      </c>
      <c r="K5" s="20">
        <f>IF(C5="","",IF(OR(E5="",I5=""),"",ROUND(E5*I5,2)))</f>
        <v>0</v>
      </c>
      <c r="L5" s="32">
        <f>IF(A5="","",COUNTIFS($A$5:A5,A5))</f>
        <v>0</v>
      </c>
      <c r="M5" s="13">
        <f>IF(A5="","",A5&amp;"|"&amp;L5)</f>
        <v>0</v>
      </c>
      <c r="N5" s="43">
        <f>IF(AND(A5="",C5=""),"",IF(A5="","Add - which bundle?",IF(C5="","Add - which product?",IF(D5="Not found","Check - no such product ID",IF(E5="","Add - how many?",IF(I5="","Check - that product has no price","OK"))))))</f>
        <v>0</v>
      </c>
    </row>
    <row r="6" spans="1:14">
      <c r="A6" s="46" t="s">
        <v>1488</v>
      </c>
      <c r="B6" s="13">
        <f>IF(A6="","",IFERROR(INDEX(Bundles!$B$5:$B$64,MATCH(A6,Bundles!$A$5:$A$64,0)),"Not found"))</f>
        <v>0</v>
      </c>
      <c r="C6" s="46" t="s">
        <v>1344</v>
      </c>
      <c r="D6" s="13">
        <f>IF(C6="","",IFERROR(INDEX(Products!$B$5:$B$304,MATCH(C6,Products!$A$5:$A$304,0)),"Not found"))</f>
        <v>0</v>
      </c>
      <c r="E6" s="16">
        <v>1</v>
      </c>
      <c r="F6" s="47" t="s">
        <v>278</v>
      </c>
      <c r="G6" s="40" t="s">
        <v>1489</v>
      </c>
      <c r="H6" s="20">
        <f>IF(C6="","",IFERROR(INDEX(Products!$AT$5:$AT$304,MATCH(C6,Products!$A$5:$A$304,0)),""))</f>
        <v>0</v>
      </c>
      <c r="I6" s="20">
        <f>IF(C6="","",IFERROR(INDEX(Products!$AR$5:$AR$304,MATCH(C6,Products!$A$5:$A$304,0)),""))</f>
        <v>0</v>
      </c>
      <c r="J6" s="20">
        <f>IF(C6="","",IF(OR(E6="",H6=""),"",ROUND(E6*H6,2)))</f>
        <v>0</v>
      </c>
      <c r="K6" s="20">
        <f>IF(C6="","",IF(OR(E6="",I6=""),"",ROUND(E6*I6,2)))</f>
        <v>0</v>
      </c>
      <c r="L6" s="32">
        <f>IF(A6="","",COUNTIFS($A$5:A6,A6))</f>
        <v>0</v>
      </c>
      <c r="M6" s="13">
        <f>IF(A6="","",A6&amp;"|"&amp;L6)</f>
        <v>0</v>
      </c>
      <c r="N6" s="43">
        <f>IF(AND(A6="",C6=""),"",IF(A6="","Add - which bundle?",IF(C6="","Add - which product?",IF(D6="Not found","Check - no such product ID",IF(E6="","Add - how many?",IF(I6="","Check - that product has no price","OK"))))))</f>
        <v>0</v>
      </c>
    </row>
    <row r="7" spans="1:14">
      <c r="A7" s="46" t="s">
        <v>1490</v>
      </c>
      <c r="B7" s="13">
        <f>IF(A7="","",IFERROR(INDEX(Bundles!$B$5:$B$64,MATCH(A7,Bundles!$A$5:$A$64,0)),"Not found"))</f>
        <v>0</v>
      </c>
      <c r="C7" s="46" t="s">
        <v>1344</v>
      </c>
      <c r="D7" s="13">
        <f>IF(C7="","",IFERROR(INDEX(Products!$B$5:$B$304,MATCH(C7,Products!$A$5:$A$304,0)),"Not found"))</f>
        <v>0</v>
      </c>
      <c r="E7" s="16">
        <v>1</v>
      </c>
      <c r="F7" s="47" t="s">
        <v>278</v>
      </c>
      <c r="H7" s="20">
        <f>IF(C7="","",IFERROR(INDEX(Products!$AT$5:$AT$304,MATCH(C7,Products!$A$5:$A$304,0)),""))</f>
        <v>0</v>
      </c>
      <c r="I7" s="20">
        <f>IF(C7="","",IFERROR(INDEX(Products!$AR$5:$AR$304,MATCH(C7,Products!$A$5:$A$304,0)),""))</f>
        <v>0</v>
      </c>
      <c r="J7" s="20">
        <f>IF(C7="","",IF(OR(E7="",H7=""),"",ROUND(E7*H7,2)))</f>
        <v>0</v>
      </c>
      <c r="K7" s="20">
        <f>IF(C7="","",IF(OR(E7="",I7=""),"",ROUND(E7*I7,2)))</f>
        <v>0</v>
      </c>
      <c r="L7" s="32">
        <f>IF(A7="","",COUNTIFS($A$5:A7,A7))</f>
        <v>0</v>
      </c>
      <c r="M7" s="13">
        <f>IF(A7="","",A7&amp;"|"&amp;L7)</f>
        <v>0</v>
      </c>
      <c r="N7" s="43">
        <f>IF(AND(A7="",C7=""),"",IF(A7="","Add - which bundle?",IF(C7="","Add - which product?",IF(D7="Not found","Check - no such product ID",IF(E7="","Add - how many?",IF(I7="","Check - that product has no price","OK"))))))</f>
        <v>0</v>
      </c>
    </row>
    <row r="8" spans="1:14">
      <c r="A8" s="46" t="s">
        <v>1490</v>
      </c>
      <c r="B8" s="13">
        <f>IF(A8="","",IFERROR(INDEX(Bundles!$B$5:$B$64,MATCH(A8,Bundles!$A$5:$A$64,0)),"Not found"))</f>
        <v>0</v>
      </c>
      <c r="C8" s="46" t="s">
        <v>1351</v>
      </c>
      <c r="D8" s="13">
        <f>IF(C8="","",IFERROR(INDEX(Products!$B$5:$B$304,MATCH(C8,Products!$A$5:$A$304,0)),"Not found"))</f>
        <v>0</v>
      </c>
      <c r="E8" s="16">
        <v>1</v>
      </c>
      <c r="F8" s="47" t="s">
        <v>278</v>
      </c>
      <c r="H8" s="20">
        <f>IF(C8="","",IFERROR(INDEX(Products!$AT$5:$AT$304,MATCH(C8,Products!$A$5:$A$304,0)),""))</f>
        <v>0</v>
      </c>
      <c r="I8" s="20">
        <f>IF(C8="","",IFERROR(INDEX(Products!$AR$5:$AR$304,MATCH(C8,Products!$A$5:$A$304,0)),""))</f>
        <v>0</v>
      </c>
      <c r="J8" s="20">
        <f>IF(C8="","",IF(OR(E8="",H8=""),"",ROUND(E8*H8,2)))</f>
        <v>0</v>
      </c>
      <c r="K8" s="20">
        <f>IF(C8="","",IF(OR(E8="",I8=""),"",ROUND(E8*I8,2)))</f>
        <v>0</v>
      </c>
      <c r="L8" s="32">
        <f>IF(A8="","",COUNTIFS($A$5:A8,A8))</f>
        <v>0</v>
      </c>
      <c r="M8" s="13">
        <f>IF(A8="","",A8&amp;"|"&amp;L8)</f>
        <v>0</v>
      </c>
      <c r="N8" s="43">
        <f>IF(AND(A8="",C8=""),"",IF(A8="","Add - which bundle?",IF(C8="","Add - which product?",IF(D8="Not found","Check - no such product ID",IF(E8="","Add - how many?",IF(I8="","Check - that product has no price","OK"))))))</f>
        <v>0</v>
      </c>
    </row>
    <row r="9" spans="1:14">
      <c r="A9" s="46" t="s">
        <v>1491</v>
      </c>
      <c r="B9" s="13">
        <f>IF(A9="","",IFERROR(INDEX(Bundles!$B$5:$B$64,MATCH(A9,Bundles!$A$5:$A$64,0)),"Not found"))</f>
        <v>0</v>
      </c>
      <c r="C9" s="46" t="s">
        <v>735</v>
      </c>
      <c r="D9" s="13">
        <f>IF(C9="","",IFERROR(INDEX(Products!$B$5:$B$304,MATCH(C9,Products!$A$5:$A$304,0)),"Not found"))</f>
        <v>0</v>
      </c>
      <c r="E9" s="16">
        <v>1</v>
      </c>
      <c r="F9" s="47" t="s">
        <v>281</v>
      </c>
      <c r="G9" s="40" t="s">
        <v>1492</v>
      </c>
      <c r="H9" s="20">
        <f>IF(C9="","",IFERROR(INDEX(Products!$AT$5:$AT$304,MATCH(C9,Products!$A$5:$A$304,0)),""))</f>
        <v>0</v>
      </c>
      <c r="I9" s="20">
        <f>IF(C9="","",IFERROR(INDEX(Products!$AR$5:$AR$304,MATCH(C9,Products!$A$5:$A$304,0)),""))</f>
        <v>0</v>
      </c>
      <c r="J9" s="20">
        <f>IF(C9="","",IF(OR(E9="",H9=""),"",ROUND(E9*H9,2)))</f>
        <v>0</v>
      </c>
      <c r="K9" s="20">
        <f>IF(C9="","",IF(OR(E9="",I9=""),"",ROUND(E9*I9,2)))</f>
        <v>0</v>
      </c>
      <c r="L9" s="32">
        <f>IF(A9="","",COUNTIFS($A$5:A9,A9))</f>
        <v>0</v>
      </c>
      <c r="M9" s="13">
        <f>IF(A9="","",A9&amp;"|"&amp;L9)</f>
        <v>0</v>
      </c>
      <c r="N9" s="43">
        <f>IF(AND(A9="",C9=""),"",IF(A9="","Add - which bundle?",IF(C9="","Add - which product?",IF(D9="Not found","Check - no such product ID",IF(E9="","Add - how many?",IF(I9="","Check - that product has no price","OK"))))))</f>
        <v>0</v>
      </c>
    </row>
    <row r="10" spans="1:14">
      <c r="A10" s="46" t="s">
        <v>1491</v>
      </c>
      <c r="B10" s="13">
        <f>IF(A10="","",IFERROR(INDEX(Bundles!$B$5:$B$64,MATCH(A10,Bundles!$A$5:$A$64,0)),"Not found"))</f>
        <v>0</v>
      </c>
      <c r="C10" s="46" t="s">
        <v>1351</v>
      </c>
      <c r="D10" s="13">
        <f>IF(C10="","",IFERROR(INDEX(Products!$B$5:$B$304,MATCH(C10,Products!$A$5:$A$304,0)),"Not found"))</f>
        <v>0</v>
      </c>
      <c r="E10" s="16">
        <v>1</v>
      </c>
      <c r="F10" s="47" t="s">
        <v>281</v>
      </c>
      <c r="H10" s="20">
        <f>IF(C10="","",IFERROR(INDEX(Products!$AT$5:$AT$304,MATCH(C10,Products!$A$5:$A$304,0)),""))</f>
        <v>0</v>
      </c>
      <c r="I10" s="20">
        <f>IF(C10="","",IFERROR(INDEX(Products!$AR$5:$AR$304,MATCH(C10,Products!$A$5:$A$304,0)),""))</f>
        <v>0</v>
      </c>
      <c r="J10" s="20">
        <f>IF(C10="","",IF(OR(E10="",H10=""),"",ROUND(E10*H10,2)))</f>
        <v>0</v>
      </c>
      <c r="K10" s="20">
        <f>IF(C10="","",IF(OR(E10="",I10=""),"",ROUND(E10*I10,2)))</f>
        <v>0</v>
      </c>
      <c r="L10" s="32">
        <f>IF(A10="","",COUNTIFS($A$5:A10,A10))</f>
        <v>0</v>
      </c>
      <c r="M10" s="13">
        <f>IF(A10="","",A10&amp;"|"&amp;L10)</f>
        <v>0</v>
      </c>
      <c r="N10" s="43">
        <f>IF(AND(A10="",C10=""),"",IF(A10="","Add - which bundle?",IF(C10="","Add - which product?",IF(D10="Not found","Check - no such product ID",IF(E10="","Add - how many?",IF(I10="","Check - that product has no price","OK"))))))</f>
        <v>0</v>
      </c>
    </row>
    <row r="11" spans="1:14">
      <c r="B11" s="13">
        <f>IF(A11="","",IFERROR(INDEX(Bundles!$B$5:$B$64,MATCH(A11,Bundles!$A$5:$A$64,0)),"Not found"))</f>
        <v>0</v>
      </c>
      <c r="D11" s="13">
        <f>IF(C11="","",IFERROR(INDEX(Products!$B$5:$B$304,MATCH(C11,Products!$A$5:$A$304,0)),"Not found"))</f>
        <v>0</v>
      </c>
      <c r="H11" s="20">
        <f>IF(C11="","",IFERROR(INDEX(Products!$AT$5:$AT$304,MATCH(C11,Products!$A$5:$A$304,0)),""))</f>
        <v>0</v>
      </c>
      <c r="I11" s="20">
        <f>IF(C11="","",IFERROR(INDEX(Products!$AR$5:$AR$304,MATCH(C11,Products!$A$5:$A$304,0)),""))</f>
        <v>0</v>
      </c>
      <c r="J11" s="20">
        <f>IF(C11="","",IF(OR(E11="",H11=""),"",ROUND(E11*H11,2)))</f>
        <v>0</v>
      </c>
      <c r="K11" s="20">
        <f>IF(C11="","",IF(OR(E11="",I11=""),"",ROUND(E11*I11,2)))</f>
        <v>0</v>
      </c>
      <c r="L11" s="32">
        <f>IF(A11="","",COUNTIFS($A$5:A11,A11))</f>
        <v>0</v>
      </c>
      <c r="M11" s="13">
        <f>IF(A11="","",A11&amp;"|"&amp;L11)</f>
        <v>0</v>
      </c>
      <c r="N11" s="43">
        <f>IF(AND(A11="",C11=""),"",IF(A11="","Add - which bundle?",IF(C11="","Add - which product?",IF(D11="Not found","Check - no such product ID",IF(E11="","Add - how many?",IF(I11="","Check - that product has no price","OK"))))))</f>
        <v>0</v>
      </c>
    </row>
    <row r="12" spans="1:14">
      <c r="B12" s="13">
        <f>IF(A12="","",IFERROR(INDEX(Bundles!$B$5:$B$64,MATCH(A12,Bundles!$A$5:$A$64,0)),"Not found"))</f>
        <v>0</v>
      </c>
      <c r="D12" s="13">
        <f>IF(C12="","",IFERROR(INDEX(Products!$B$5:$B$304,MATCH(C12,Products!$A$5:$A$304,0)),"Not found"))</f>
        <v>0</v>
      </c>
      <c r="H12" s="20">
        <f>IF(C12="","",IFERROR(INDEX(Products!$AT$5:$AT$304,MATCH(C12,Products!$A$5:$A$304,0)),""))</f>
        <v>0</v>
      </c>
      <c r="I12" s="20">
        <f>IF(C12="","",IFERROR(INDEX(Products!$AR$5:$AR$304,MATCH(C12,Products!$A$5:$A$304,0)),""))</f>
        <v>0</v>
      </c>
      <c r="J12" s="20">
        <f>IF(C12="","",IF(OR(E12="",H12=""),"",ROUND(E12*H12,2)))</f>
        <v>0</v>
      </c>
      <c r="K12" s="20">
        <f>IF(C12="","",IF(OR(E12="",I12=""),"",ROUND(E12*I12,2)))</f>
        <v>0</v>
      </c>
      <c r="L12" s="32">
        <f>IF(A12="","",COUNTIFS($A$5:A12,A12))</f>
        <v>0</v>
      </c>
      <c r="M12" s="13">
        <f>IF(A12="","",A12&amp;"|"&amp;L12)</f>
        <v>0</v>
      </c>
      <c r="N12" s="43">
        <f>IF(AND(A12="",C12=""),"",IF(A12="","Add - which bundle?",IF(C12="","Add - which product?",IF(D12="Not found","Check - no such product ID",IF(E12="","Add - how many?",IF(I12="","Check - that product has no price","OK"))))))</f>
        <v>0</v>
      </c>
    </row>
    <row r="13" spans="1:14">
      <c r="B13" s="13">
        <f>IF(A13="","",IFERROR(INDEX(Bundles!$B$5:$B$64,MATCH(A13,Bundles!$A$5:$A$64,0)),"Not found"))</f>
        <v>0</v>
      </c>
      <c r="D13" s="13">
        <f>IF(C13="","",IFERROR(INDEX(Products!$B$5:$B$304,MATCH(C13,Products!$A$5:$A$304,0)),"Not found"))</f>
        <v>0</v>
      </c>
      <c r="H13" s="20">
        <f>IF(C13="","",IFERROR(INDEX(Products!$AT$5:$AT$304,MATCH(C13,Products!$A$5:$A$304,0)),""))</f>
        <v>0</v>
      </c>
      <c r="I13" s="20">
        <f>IF(C13="","",IFERROR(INDEX(Products!$AR$5:$AR$304,MATCH(C13,Products!$A$5:$A$304,0)),""))</f>
        <v>0</v>
      </c>
      <c r="J13" s="20">
        <f>IF(C13="","",IF(OR(E13="",H13=""),"",ROUND(E13*H13,2)))</f>
        <v>0</v>
      </c>
      <c r="K13" s="20">
        <f>IF(C13="","",IF(OR(E13="",I13=""),"",ROUND(E13*I13,2)))</f>
        <v>0</v>
      </c>
      <c r="L13" s="32">
        <f>IF(A13="","",COUNTIFS($A$5:A13,A13))</f>
        <v>0</v>
      </c>
      <c r="M13" s="13">
        <f>IF(A13="","",A13&amp;"|"&amp;L13)</f>
        <v>0</v>
      </c>
      <c r="N13" s="43">
        <f>IF(AND(A13="",C13=""),"",IF(A13="","Add - which bundle?",IF(C13="","Add - which product?",IF(D13="Not found","Check - no such product ID",IF(E13="","Add - how many?",IF(I13="","Check - that product has no price","OK"))))))</f>
        <v>0</v>
      </c>
    </row>
    <row r="14" spans="1:14">
      <c r="B14" s="13">
        <f>IF(A14="","",IFERROR(INDEX(Bundles!$B$5:$B$64,MATCH(A14,Bundles!$A$5:$A$64,0)),"Not found"))</f>
        <v>0</v>
      </c>
      <c r="D14" s="13">
        <f>IF(C14="","",IFERROR(INDEX(Products!$B$5:$B$304,MATCH(C14,Products!$A$5:$A$304,0)),"Not found"))</f>
        <v>0</v>
      </c>
      <c r="H14" s="20">
        <f>IF(C14="","",IFERROR(INDEX(Products!$AT$5:$AT$304,MATCH(C14,Products!$A$5:$A$304,0)),""))</f>
        <v>0</v>
      </c>
      <c r="I14" s="20">
        <f>IF(C14="","",IFERROR(INDEX(Products!$AR$5:$AR$304,MATCH(C14,Products!$A$5:$A$304,0)),""))</f>
        <v>0</v>
      </c>
      <c r="J14" s="20">
        <f>IF(C14="","",IF(OR(E14="",H14=""),"",ROUND(E14*H14,2)))</f>
        <v>0</v>
      </c>
      <c r="K14" s="20">
        <f>IF(C14="","",IF(OR(E14="",I14=""),"",ROUND(E14*I14,2)))</f>
        <v>0</v>
      </c>
      <c r="L14" s="32">
        <f>IF(A14="","",COUNTIFS($A$5:A14,A14))</f>
        <v>0</v>
      </c>
      <c r="M14" s="13">
        <f>IF(A14="","",A14&amp;"|"&amp;L14)</f>
        <v>0</v>
      </c>
      <c r="N14" s="43">
        <f>IF(AND(A14="",C14=""),"",IF(A14="","Add - which bundle?",IF(C14="","Add - which product?",IF(D14="Not found","Check - no such product ID",IF(E14="","Add - how many?",IF(I14="","Check - that product has no price","OK"))))))</f>
        <v>0</v>
      </c>
    </row>
    <row r="15" spans="1:14">
      <c r="B15" s="13">
        <f>IF(A15="","",IFERROR(INDEX(Bundles!$B$5:$B$64,MATCH(A15,Bundles!$A$5:$A$64,0)),"Not found"))</f>
        <v>0</v>
      </c>
      <c r="D15" s="13">
        <f>IF(C15="","",IFERROR(INDEX(Products!$B$5:$B$304,MATCH(C15,Products!$A$5:$A$304,0)),"Not found"))</f>
        <v>0</v>
      </c>
      <c r="H15" s="20">
        <f>IF(C15="","",IFERROR(INDEX(Products!$AT$5:$AT$304,MATCH(C15,Products!$A$5:$A$304,0)),""))</f>
        <v>0</v>
      </c>
      <c r="I15" s="20">
        <f>IF(C15="","",IFERROR(INDEX(Products!$AR$5:$AR$304,MATCH(C15,Products!$A$5:$A$304,0)),""))</f>
        <v>0</v>
      </c>
      <c r="J15" s="20">
        <f>IF(C15="","",IF(OR(E15="",H15=""),"",ROUND(E15*H15,2)))</f>
        <v>0</v>
      </c>
      <c r="K15" s="20">
        <f>IF(C15="","",IF(OR(E15="",I15=""),"",ROUND(E15*I15,2)))</f>
        <v>0</v>
      </c>
      <c r="L15" s="32">
        <f>IF(A15="","",COUNTIFS($A$5:A15,A15))</f>
        <v>0</v>
      </c>
      <c r="M15" s="13">
        <f>IF(A15="","",A15&amp;"|"&amp;L15)</f>
        <v>0</v>
      </c>
      <c r="N15" s="43">
        <f>IF(AND(A15="",C15=""),"",IF(A15="","Add - which bundle?",IF(C15="","Add - which product?",IF(D15="Not found","Check - no such product ID",IF(E15="","Add - how many?",IF(I15="","Check - that product has no price","OK"))))))</f>
        <v>0</v>
      </c>
    </row>
    <row r="16" spans="1:14">
      <c r="B16" s="13">
        <f>IF(A16="","",IFERROR(INDEX(Bundles!$B$5:$B$64,MATCH(A16,Bundles!$A$5:$A$64,0)),"Not found"))</f>
        <v>0</v>
      </c>
      <c r="D16" s="13">
        <f>IF(C16="","",IFERROR(INDEX(Products!$B$5:$B$304,MATCH(C16,Products!$A$5:$A$304,0)),"Not found"))</f>
        <v>0</v>
      </c>
      <c r="H16" s="20">
        <f>IF(C16="","",IFERROR(INDEX(Products!$AT$5:$AT$304,MATCH(C16,Products!$A$5:$A$304,0)),""))</f>
        <v>0</v>
      </c>
      <c r="I16" s="20">
        <f>IF(C16="","",IFERROR(INDEX(Products!$AR$5:$AR$304,MATCH(C16,Products!$A$5:$A$304,0)),""))</f>
        <v>0</v>
      </c>
      <c r="J16" s="20">
        <f>IF(C16="","",IF(OR(E16="",H16=""),"",ROUND(E16*H16,2)))</f>
        <v>0</v>
      </c>
      <c r="K16" s="20">
        <f>IF(C16="","",IF(OR(E16="",I16=""),"",ROUND(E16*I16,2)))</f>
        <v>0</v>
      </c>
      <c r="L16" s="32">
        <f>IF(A16="","",COUNTIFS($A$5:A16,A16))</f>
        <v>0</v>
      </c>
      <c r="M16" s="13">
        <f>IF(A16="","",A16&amp;"|"&amp;L16)</f>
        <v>0</v>
      </c>
      <c r="N16" s="43">
        <f>IF(AND(A16="",C16=""),"",IF(A16="","Add - which bundle?",IF(C16="","Add - which product?",IF(D16="Not found","Check - no such product ID",IF(E16="","Add - how many?",IF(I16="","Check - that product has no price","OK"))))))</f>
        <v>0</v>
      </c>
    </row>
    <row r="17" spans="2:14">
      <c r="B17" s="13">
        <f>IF(A17="","",IFERROR(INDEX(Bundles!$B$5:$B$64,MATCH(A17,Bundles!$A$5:$A$64,0)),"Not found"))</f>
        <v>0</v>
      </c>
      <c r="D17" s="13">
        <f>IF(C17="","",IFERROR(INDEX(Products!$B$5:$B$304,MATCH(C17,Products!$A$5:$A$304,0)),"Not found"))</f>
        <v>0</v>
      </c>
      <c r="H17" s="20">
        <f>IF(C17="","",IFERROR(INDEX(Products!$AT$5:$AT$304,MATCH(C17,Products!$A$5:$A$304,0)),""))</f>
        <v>0</v>
      </c>
      <c r="I17" s="20">
        <f>IF(C17="","",IFERROR(INDEX(Products!$AR$5:$AR$304,MATCH(C17,Products!$A$5:$A$304,0)),""))</f>
        <v>0</v>
      </c>
      <c r="J17" s="20">
        <f>IF(C17="","",IF(OR(E17="",H17=""),"",ROUND(E17*H17,2)))</f>
        <v>0</v>
      </c>
      <c r="K17" s="20">
        <f>IF(C17="","",IF(OR(E17="",I17=""),"",ROUND(E17*I17,2)))</f>
        <v>0</v>
      </c>
      <c r="L17" s="32">
        <f>IF(A17="","",COUNTIFS($A$5:A17,A17))</f>
        <v>0</v>
      </c>
      <c r="M17" s="13">
        <f>IF(A17="","",A17&amp;"|"&amp;L17)</f>
        <v>0</v>
      </c>
      <c r="N17" s="43">
        <f>IF(AND(A17="",C17=""),"",IF(A17="","Add - which bundle?",IF(C17="","Add - which product?",IF(D17="Not found","Check - no such product ID",IF(E17="","Add - how many?",IF(I17="","Check - that product has no price","OK"))))))</f>
        <v>0</v>
      </c>
    </row>
    <row r="18" spans="2:14">
      <c r="B18" s="13">
        <f>IF(A18="","",IFERROR(INDEX(Bundles!$B$5:$B$64,MATCH(A18,Bundles!$A$5:$A$64,0)),"Not found"))</f>
        <v>0</v>
      </c>
      <c r="D18" s="13">
        <f>IF(C18="","",IFERROR(INDEX(Products!$B$5:$B$304,MATCH(C18,Products!$A$5:$A$304,0)),"Not found"))</f>
        <v>0</v>
      </c>
      <c r="H18" s="20">
        <f>IF(C18="","",IFERROR(INDEX(Products!$AT$5:$AT$304,MATCH(C18,Products!$A$5:$A$304,0)),""))</f>
        <v>0</v>
      </c>
      <c r="I18" s="20">
        <f>IF(C18="","",IFERROR(INDEX(Products!$AR$5:$AR$304,MATCH(C18,Products!$A$5:$A$304,0)),""))</f>
        <v>0</v>
      </c>
      <c r="J18" s="20">
        <f>IF(C18="","",IF(OR(E18="",H18=""),"",ROUND(E18*H18,2)))</f>
        <v>0</v>
      </c>
      <c r="K18" s="20">
        <f>IF(C18="","",IF(OR(E18="",I18=""),"",ROUND(E18*I18,2)))</f>
        <v>0</v>
      </c>
      <c r="L18" s="32">
        <f>IF(A18="","",COUNTIFS($A$5:A18,A18))</f>
        <v>0</v>
      </c>
      <c r="M18" s="13">
        <f>IF(A18="","",A18&amp;"|"&amp;L18)</f>
        <v>0</v>
      </c>
      <c r="N18" s="43">
        <f>IF(AND(A18="",C18=""),"",IF(A18="","Add - which bundle?",IF(C18="","Add - which product?",IF(D18="Not found","Check - no such product ID",IF(E18="","Add - how many?",IF(I18="","Check - that product has no price","OK"))))))</f>
        <v>0</v>
      </c>
    </row>
    <row r="19" spans="2:14">
      <c r="B19" s="13">
        <f>IF(A19="","",IFERROR(INDEX(Bundles!$B$5:$B$64,MATCH(A19,Bundles!$A$5:$A$64,0)),"Not found"))</f>
        <v>0</v>
      </c>
      <c r="D19" s="13">
        <f>IF(C19="","",IFERROR(INDEX(Products!$B$5:$B$304,MATCH(C19,Products!$A$5:$A$304,0)),"Not found"))</f>
        <v>0</v>
      </c>
      <c r="H19" s="20">
        <f>IF(C19="","",IFERROR(INDEX(Products!$AT$5:$AT$304,MATCH(C19,Products!$A$5:$A$304,0)),""))</f>
        <v>0</v>
      </c>
      <c r="I19" s="20">
        <f>IF(C19="","",IFERROR(INDEX(Products!$AR$5:$AR$304,MATCH(C19,Products!$A$5:$A$304,0)),""))</f>
        <v>0</v>
      </c>
      <c r="J19" s="20">
        <f>IF(C19="","",IF(OR(E19="",H19=""),"",ROUND(E19*H19,2)))</f>
        <v>0</v>
      </c>
      <c r="K19" s="20">
        <f>IF(C19="","",IF(OR(E19="",I19=""),"",ROUND(E19*I19,2)))</f>
        <v>0</v>
      </c>
      <c r="L19" s="32">
        <f>IF(A19="","",COUNTIFS($A$5:A19,A19))</f>
        <v>0</v>
      </c>
      <c r="M19" s="13">
        <f>IF(A19="","",A19&amp;"|"&amp;L19)</f>
        <v>0</v>
      </c>
      <c r="N19" s="43">
        <f>IF(AND(A19="",C19=""),"",IF(A19="","Add - which bundle?",IF(C19="","Add - which product?",IF(D19="Not found","Check - no such product ID",IF(E19="","Add - how many?",IF(I19="","Check - that product has no price","OK"))))))</f>
        <v>0</v>
      </c>
    </row>
    <row r="20" spans="2:14">
      <c r="B20" s="13">
        <f>IF(A20="","",IFERROR(INDEX(Bundles!$B$5:$B$64,MATCH(A20,Bundles!$A$5:$A$64,0)),"Not found"))</f>
        <v>0</v>
      </c>
      <c r="D20" s="13">
        <f>IF(C20="","",IFERROR(INDEX(Products!$B$5:$B$304,MATCH(C20,Products!$A$5:$A$304,0)),"Not found"))</f>
        <v>0</v>
      </c>
      <c r="H20" s="20">
        <f>IF(C20="","",IFERROR(INDEX(Products!$AT$5:$AT$304,MATCH(C20,Products!$A$5:$A$304,0)),""))</f>
        <v>0</v>
      </c>
      <c r="I20" s="20">
        <f>IF(C20="","",IFERROR(INDEX(Products!$AR$5:$AR$304,MATCH(C20,Products!$A$5:$A$304,0)),""))</f>
        <v>0</v>
      </c>
      <c r="J20" s="20">
        <f>IF(C20="","",IF(OR(E20="",H20=""),"",ROUND(E20*H20,2)))</f>
        <v>0</v>
      </c>
      <c r="K20" s="20">
        <f>IF(C20="","",IF(OR(E20="",I20=""),"",ROUND(E20*I20,2)))</f>
        <v>0</v>
      </c>
      <c r="L20" s="32">
        <f>IF(A20="","",COUNTIFS($A$5:A20,A20))</f>
        <v>0</v>
      </c>
      <c r="M20" s="13">
        <f>IF(A20="","",A20&amp;"|"&amp;L20)</f>
        <v>0</v>
      </c>
      <c r="N20" s="43">
        <f>IF(AND(A20="",C20=""),"",IF(A20="","Add - which bundle?",IF(C20="","Add - which product?",IF(D20="Not found","Check - no such product ID",IF(E20="","Add - how many?",IF(I20="","Check - that product has no price","OK"))))))</f>
        <v>0</v>
      </c>
    </row>
    <row r="21" spans="2:14">
      <c r="B21" s="13">
        <f>IF(A21="","",IFERROR(INDEX(Bundles!$B$5:$B$64,MATCH(A21,Bundles!$A$5:$A$64,0)),"Not found"))</f>
        <v>0</v>
      </c>
      <c r="D21" s="13">
        <f>IF(C21="","",IFERROR(INDEX(Products!$B$5:$B$304,MATCH(C21,Products!$A$5:$A$304,0)),"Not found"))</f>
        <v>0</v>
      </c>
      <c r="H21" s="20">
        <f>IF(C21="","",IFERROR(INDEX(Products!$AT$5:$AT$304,MATCH(C21,Products!$A$5:$A$304,0)),""))</f>
        <v>0</v>
      </c>
      <c r="I21" s="20">
        <f>IF(C21="","",IFERROR(INDEX(Products!$AR$5:$AR$304,MATCH(C21,Products!$A$5:$A$304,0)),""))</f>
        <v>0</v>
      </c>
      <c r="J21" s="20">
        <f>IF(C21="","",IF(OR(E21="",H21=""),"",ROUND(E21*H21,2)))</f>
        <v>0</v>
      </c>
      <c r="K21" s="20">
        <f>IF(C21="","",IF(OR(E21="",I21=""),"",ROUND(E21*I21,2)))</f>
        <v>0</v>
      </c>
      <c r="L21" s="32">
        <f>IF(A21="","",COUNTIFS($A$5:A21,A21))</f>
        <v>0</v>
      </c>
      <c r="M21" s="13">
        <f>IF(A21="","",A21&amp;"|"&amp;L21)</f>
        <v>0</v>
      </c>
      <c r="N21" s="43">
        <f>IF(AND(A21="",C21=""),"",IF(A21="","Add - which bundle?",IF(C21="","Add - which product?",IF(D21="Not found","Check - no such product ID",IF(E21="","Add - how many?",IF(I21="","Check - that product has no price","OK"))))))</f>
        <v>0</v>
      </c>
    </row>
    <row r="22" spans="2:14">
      <c r="B22" s="13">
        <f>IF(A22="","",IFERROR(INDEX(Bundles!$B$5:$B$64,MATCH(A22,Bundles!$A$5:$A$64,0)),"Not found"))</f>
        <v>0</v>
      </c>
      <c r="D22" s="13">
        <f>IF(C22="","",IFERROR(INDEX(Products!$B$5:$B$304,MATCH(C22,Products!$A$5:$A$304,0)),"Not found"))</f>
        <v>0</v>
      </c>
      <c r="H22" s="20">
        <f>IF(C22="","",IFERROR(INDEX(Products!$AT$5:$AT$304,MATCH(C22,Products!$A$5:$A$304,0)),""))</f>
        <v>0</v>
      </c>
      <c r="I22" s="20">
        <f>IF(C22="","",IFERROR(INDEX(Products!$AR$5:$AR$304,MATCH(C22,Products!$A$5:$A$304,0)),""))</f>
        <v>0</v>
      </c>
      <c r="J22" s="20">
        <f>IF(C22="","",IF(OR(E22="",H22=""),"",ROUND(E22*H22,2)))</f>
        <v>0</v>
      </c>
      <c r="K22" s="20">
        <f>IF(C22="","",IF(OR(E22="",I22=""),"",ROUND(E22*I22,2)))</f>
        <v>0</v>
      </c>
      <c r="L22" s="32">
        <f>IF(A22="","",COUNTIFS($A$5:A22,A22))</f>
        <v>0</v>
      </c>
      <c r="M22" s="13">
        <f>IF(A22="","",A22&amp;"|"&amp;L22)</f>
        <v>0</v>
      </c>
      <c r="N22" s="43">
        <f>IF(AND(A22="",C22=""),"",IF(A22="","Add - which bundle?",IF(C22="","Add - which product?",IF(D22="Not found","Check - no such product ID",IF(E22="","Add - how many?",IF(I22="","Check - that product has no price","OK"))))))</f>
        <v>0</v>
      </c>
    </row>
    <row r="23" spans="2:14">
      <c r="B23" s="13">
        <f>IF(A23="","",IFERROR(INDEX(Bundles!$B$5:$B$64,MATCH(A23,Bundles!$A$5:$A$64,0)),"Not found"))</f>
        <v>0</v>
      </c>
      <c r="D23" s="13">
        <f>IF(C23="","",IFERROR(INDEX(Products!$B$5:$B$304,MATCH(C23,Products!$A$5:$A$304,0)),"Not found"))</f>
        <v>0</v>
      </c>
      <c r="H23" s="20">
        <f>IF(C23="","",IFERROR(INDEX(Products!$AT$5:$AT$304,MATCH(C23,Products!$A$5:$A$304,0)),""))</f>
        <v>0</v>
      </c>
      <c r="I23" s="20">
        <f>IF(C23="","",IFERROR(INDEX(Products!$AR$5:$AR$304,MATCH(C23,Products!$A$5:$A$304,0)),""))</f>
        <v>0</v>
      </c>
      <c r="J23" s="20">
        <f>IF(C23="","",IF(OR(E23="",H23=""),"",ROUND(E23*H23,2)))</f>
        <v>0</v>
      </c>
      <c r="K23" s="20">
        <f>IF(C23="","",IF(OR(E23="",I23=""),"",ROUND(E23*I23,2)))</f>
        <v>0</v>
      </c>
      <c r="L23" s="32">
        <f>IF(A23="","",COUNTIFS($A$5:A23,A23))</f>
        <v>0</v>
      </c>
      <c r="M23" s="13">
        <f>IF(A23="","",A23&amp;"|"&amp;L23)</f>
        <v>0</v>
      </c>
      <c r="N23" s="43">
        <f>IF(AND(A23="",C23=""),"",IF(A23="","Add - which bundle?",IF(C23="","Add - which product?",IF(D23="Not found","Check - no such product ID",IF(E23="","Add - how many?",IF(I23="","Check - that product has no price","OK"))))))</f>
        <v>0</v>
      </c>
    </row>
    <row r="24" spans="2:14">
      <c r="B24" s="13">
        <f>IF(A24="","",IFERROR(INDEX(Bundles!$B$5:$B$64,MATCH(A24,Bundles!$A$5:$A$64,0)),"Not found"))</f>
        <v>0</v>
      </c>
      <c r="D24" s="13">
        <f>IF(C24="","",IFERROR(INDEX(Products!$B$5:$B$304,MATCH(C24,Products!$A$5:$A$304,0)),"Not found"))</f>
        <v>0</v>
      </c>
      <c r="H24" s="20">
        <f>IF(C24="","",IFERROR(INDEX(Products!$AT$5:$AT$304,MATCH(C24,Products!$A$5:$A$304,0)),""))</f>
        <v>0</v>
      </c>
      <c r="I24" s="20">
        <f>IF(C24="","",IFERROR(INDEX(Products!$AR$5:$AR$304,MATCH(C24,Products!$A$5:$A$304,0)),""))</f>
        <v>0</v>
      </c>
      <c r="J24" s="20">
        <f>IF(C24="","",IF(OR(E24="",H24=""),"",ROUND(E24*H24,2)))</f>
        <v>0</v>
      </c>
      <c r="K24" s="20">
        <f>IF(C24="","",IF(OR(E24="",I24=""),"",ROUND(E24*I24,2)))</f>
        <v>0</v>
      </c>
      <c r="L24" s="32">
        <f>IF(A24="","",COUNTIFS($A$5:A24,A24))</f>
        <v>0</v>
      </c>
      <c r="M24" s="13">
        <f>IF(A24="","",A24&amp;"|"&amp;L24)</f>
        <v>0</v>
      </c>
      <c r="N24" s="43">
        <f>IF(AND(A24="",C24=""),"",IF(A24="","Add - which bundle?",IF(C24="","Add - which product?",IF(D24="Not found","Check - no such product ID",IF(E24="","Add - how many?",IF(I24="","Check - that product has no price","OK"))))))</f>
        <v>0</v>
      </c>
    </row>
    <row r="25" spans="2:14">
      <c r="B25" s="13">
        <f>IF(A25="","",IFERROR(INDEX(Bundles!$B$5:$B$64,MATCH(A25,Bundles!$A$5:$A$64,0)),"Not found"))</f>
        <v>0</v>
      </c>
      <c r="D25" s="13">
        <f>IF(C25="","",IFERROR(INDEX(Products!$B$5:$B$304,MATCH(C25,Products!$A$5:$A$304,0)),"Not found"))</f>
        <v>0</v>
      </c>
      <c r="H25" s="20">
        <f>IF(C25="","",IFERROR(INDEX(Products!$AT$5:$AT$304,MATCH(C25,Products!$A$5:$A$304,0)),""))</f>
        <v>0</v>
      </c>
      <c r="I25" s="20">
        <f>IF(C25="","",IFERROR(INDEX(Products!$AR$5:$AR$304,MATCH(C25,Products!$A$5:$A$304,0)),""))</f>
        <v>0</v>
      </c>
      <c r="J25" s="20">
        <f>IF(C25="","",IF(OR(E25="",H25=""),"",ROUND(E25*H25,2)))</f>
        <v>0</v>
      </c>
      <c r="K25" s="20">
        <f>IF(C25="","",IF(OR(E25="",I25=""),"",ROUND(E25*I25,2)))</f>
        <v>0</v>
      </c>
      <c r="L25" s="32">
        <f>IF(A25="","",COUNTIFS($A$5:A25,A25))</f>
        <v>0</v>
      </c>
      <c r="M25" s="13">
        <f>IF(A25="","",A25&amp;"|"&amp;L25)</f>
        <v>0</v>
      </c>
      <c r="N25" s="43">
        <f>IF(AND(A25="",C25=""),"",IF(A25="","Add - which bundle?",IF(C25="","Add - which product?",IF(D25="Not found","Check - no such product ID",IF(E25="","Add - how many?",IF(I25="","Check - that product has no price","OK"))))))</f>
        <v>0</v>
      </c>
    </row>
    <row r="26" spans="2:14">
      <c r="B26" s="13">
        <f>IF(A26="","",IFERROR(INDEX(Bundles!$B$5:$B$64,MATCH(A26,Bundles!$A$5:$A$64,0)),"Not found"))</f>
        <v>0</v>
      </c>
      <c r="D26" s="13">
        <f>IF(C26="","",IFERROR(INDEX(Products!$B$5:$B$304,MATCH(C26,Products!$A$5:$A$304,0)),"Not found"))</f>
        <v>0</v>
      </c>
      <c r="H26" s="20">
        <f>IF(C26="","",IFERROR(INDEX(Products!$AT$5:$AT$304,MATCH(C26,Products!$A$5:$A$304,0)),""))</f>
        <v>0</v>
      </c>
      <c r="I26" s="20">
        <f>IF(C26="","",IFERROR(INDEX(Products!$AR$5:$AR$304,MATCH(C26,Products!$A$5:$A$304,0)),""))</f>
        <v>0</v>
      </c>
      <c r="J26" s="20">
        <f>IF(C26="","",IF(OR(E26="",H26=""),"",ROUND(E26*H26,2)))</f>
        <v>0</v>
      </c>
      <c r="K26" s="20">
        <f>IF(C26="","",IF(OR(E26="",I26=""),"",ROUND(E26*I26,2)))</f>
        <v>0</v>
      </c>
      <c r="L26" s="32">
        <f>IF(A26="","",COUNTIFS($A$5:A26,A26))</f>
        <v>0</v>
      </c>
      <c r="M26" s="13">
        <f>IF(A26="","",A26&amp;"|"&amp;L26)</f>
        <v>0</v>
      </c>
      <c r="N26" s="43">
        <f>IF(AND(A26="",C26=""),"",IF(A26="","Add - which bundle?",IF(C26="","Add - which product?",IF(D26="Not found","Check - no such product ID",IF(E26="","Add - how many?",IF(I26="","Check - that product has no price","OK"))))))</f>
        <v>0</v>
      </c>
    </row>
    <row r="27" spans="2:14">
      <c r="B27" s="13">
        <f>IF(A27="","",IFERROR(INDEX(Bundles!$B$5:$B$64,MATCH(A27,Bundles!$A$5:$A$64,0)),"Not found"))</f>
        <v>0</v>
      </c>
      <c r="D27" s="13">
        <f>IF(C27="","",IFERROR(INDEX(Products!$B$5:$B$304,MATCH(C27,Products!$A$5:$A$304,0)),"Not found"))</f>
        <v>0</v>
      </c>
      <c r="H27" s="20">
        <f>IF(C27="","",IFERROR(INDEX(Products!$AT$5:$AT$304,MATCH(C27,Products!$A$5:$A$304,0)),""))</f>
        <v>0</v>
      </c>
      <c r="I27" s="20">
        <f>IF(C27="","",IFERROR(INDEX(Products!$AR$5:$AR$304,MATCH(C27,Products!$A$5:$A$304,0)),""))</f>
        <v>0</v>
      </c>
      <c r="J27" s="20">
        <f>IF(C27="","",IF(OR(E27="",H27=""),"",ROUND(E27*H27,2)))</f>
        <v>0</v>
      </c>
      <c r="K27" s="20">
        <f>IF(C27="","",IF(OR(E27="",I27=""),"",ROUND(E27*I27,2)))</f>
        <v>0</v>
      </c>
      <c r="L27" s="32">
        <f>IF(A27="","",COUNTIFS($A$5:A27,A27))</f>
        <v>0</v>
      </c>
      <c r="M27" s="13">
        <f>IF(A27="","",A27&amp;"|"&amp;L27)</f>
        <v>0</v>
      </c>
      <c r="N27" s="43">
        <f>IF(AND(A27="",C27=""),"",IF(A27="","Add - which bundle?",IF(C27="","Add - which product?",IF(D27="Not found","Check - no such product ID",IF(E27="","Add - how many?",IF(I27="","Check - that product has no price","OK"))))))</f>
        <v>0</v>
      </c>
    </row>
    <row r="28" spans="2:14">
      <c r="B28" s="13">
        <f>IF(A28="","",IFERROR(INDEX(Bundles!$B$5:$B$64,MATCH(A28,Bundles!$A$5:$A$64,0)),"Not found"))</f>
        <v>0</v>
      </c>
      <c r="D28" s="13">
        <f>IF(C28="","",IFERROR(INDEX(Products!$B$5:$B$304,MATCH(C28,Products!$A$5:$A$304,0)),"Not found"))</f>
        <v>0</v>
      </c>
      <c r="H28" s="20">
        <f>IF(C28="","",IFERROR(INDEX(Products!$AT$5:$AT$304,MATCH(C28,Products!$A$5:$A$304,0)),""))</f>
        <v>0</v>
      </c>
      <c r="I28" s="20">
        <f>IF(C28="","",IFERROR(INDEX(Products!$AR$5:$AR$304,MATCH(C28,Products!$A$5:$A$304,0)),""))</f>
        <v>0</v>
      </c>
      <c r="J28" s="20">
        <f>IF(C28="","",IF(OR(E28="",H28=""),"",ROUND(E28*H28,2)))</f>
        <v>0</v>
      </c>
      <c r="K28" s="20">
        <f>IF(C28="","",IF(OR(E28="",I28=""),"",ROUND(E28*I28,2)))</f>
        <v>0</v>
      </c>
      <c r="L28" s="32">
        <f>IF(A28="","",COUNTIFS($A$5:A28,A28))</f>
        <v>0</v>
      </c>
      <c r="M28" s="13">
        <f>IF(A28="","",A28&amp;"|"&amp;L28)</f>
        <v>0</v>
      </c>
      <c r="N28" s="43">
        <f>IF(AND(A28="",C28=""),"",IF(A28="","Add - which bundle?",IF(C28="","Add - which product?",IF(D28="Not found","Check - no such product ID",IF(E28="","Add - how many?",IF(I28="","Check - that product has no price","OK"))))))</f>
        <v>0</v>
      </c>
    </row>
    <row r="29" spans="2:14">
      <c r="B29" s="13">
        <f>IF(A29="","",IFERROR(INDEX(Bundles!$B$5:$B$64,MATCH(A29,Bundles!$A$5:$A$64,0)),"Not found"))</f>
        <v>0</v>
      </c>
      <c r="D29" s="13">
        <f>IF(C29="","",IFERROR(INDEX(Products!$B$5:$B$304,MATCH(C29,Products!$A$5:$A$304,0)),"Not found"))</f>
        <v>0</v>
      </c>
      <c r="H29" s="20">
        <f>IF(C29="","",IFERROR(INDEX(Products!$AT$5:$AT$304,MATCH(C29,Products!$A$5:$A$304,0)),""))</f>
        <v>0</v>
      </c>
      <c r="I29" s="20">
        <f>IF(C29="","",IFERROR(INDEX(Products!$AR$5:$AR$304,MATCH(C29,Products!$A$5:$A$304,0)),""))</f>
        <v>0</v>
      </c>
      <c r="J29" s="20">
        <f>IF(C29="","",IF(OR(E29="",H29=""),"",ROUND(E29*H29,2)))</f>
        <v>0</v>
      </c>
      <c r="K29" s="20">
        <f>IF(C29="","",IF(OR(E29="",I29=""),"",ROUND(E29*I29,2)))</f>
        <v>0</v>
      </c>
      <c r="L29" s="32">
        <f>IF(A29="","",COUNTIFS($A$5:A29,A29))</f>
        <v>0</v>
      </c>
      <c r="M29" s="13">
        <f>IF(A29="","",A29&amp;"|"&amp;L29)</f>
        <v>0</v>
      </c>
      <c r="N29" s="43">
        <f>IF(AND(A29="",C29=""),"",IF(A29="","Add - which bundle?",IF(C29="","Add - which product?",IF(D29="Not found","Check - no such product ID",IF(E29="","Add - how many?",IF(I29="","Check - that product has no price","OK"))))))</f>
        <v>0</v>
      </c>
    </row>
    <row r="30" spans="2:14">
      <c r="B30" s="13">
        <f>IF(A30="","",IFERROR(INDEX(Bundles!$B$5:$B$64,MATCH(A30,Bundles!$A$5:$A$64,0)),"Not found"))</f>
        <v>0</v>
      </c>
      <c r="D30" s="13">
        <f>IF(C30="","",IFERROR(INDEX(Products!$B$5:$B$304,MATCH(C30,Products!$A$5:$A$304,0)),"Not found"))</f>
        <v>0</v>
      </c>
      <c r="H30" s="20">
        <f>IF(C30="","",IFERROR(INDEX(Products!$AT$5:$AT$304,MATCH(C30,Products!$A$5:$A$304,0)),""))</f>
        <v>0</v>
      </c>
      <c r="I30" s="20">
        <f>IF(C30="","",IFERROR(INDEX(Products!$AR$5:$AR$304,MATCH(C30,Products!$A$5:$A$304,0)),""))</f>
        <v>0</v>
      </c>
      <c r="J30" s="20">
        <f>IF(C30="","",IF(OR(E30="",H30=""),"",ROUND(E30*H30,2)))</f>
        <v>0</v>
      </c>
      <c r="K30" s="20">
        <f>IF(C30="","",IF(OR(E30="",I30=""),"",ROUND(E30*I30,2)))</f>
        <v>0</v>
      </c>
      <c r="L30" s="32">
        <f>IF(A30="","",COUNTIFS($A$5:A30,A30))</f>
        <v>0</v>
      </c>
      <c r="M30" s="13">
        <f>IF(A30="","",A30&amp;"|"&amp;L30)</f>
        <v>0</v>
      </c>
      <c r="N30" s="43">
        <f>IF(AND(A30="",C30=""),"",IF(A30="","Add - which bundle?",IF(C30="","Add - which product?",IF(D30="Not found","Check - no such product ID",IF(E30="","Add - how many?",IF(I30="","Check - that product has no price","OK"))))))</f>
        <v>0</v>
      </c>
    </row>
    <row r="31" spans="2:14">
      <c r="B31" s="13">
        <f>IF(A31="","",IFERROR(INDEX(Bundles!$B$5:$B$64,MATCH(A31,Bundles!$A$5:$A$64,0)),"Not found"))</f>
        <v>0</v>
      </c>
      <c r="D31" s="13">
        <f>IF(C31="","",IFERROR(INDEX(Products!$B$5:$B$304,MATCH(C31,Products!$A$5:$A$304,0)),"Not found"))</f>
        <v>0</v>
      </c>
      <c r="H31" s="20">
        <f>IF(C31="","",IFERROR(INDEX(Products!$AT$5:$AT$304,MATCH(C31,Products!$A$5:$A$304,0)),""))</f>
        <v>0</v>
      </c>
      <c r="I31" s="20">
        <f>IF(C31="","",IFERROR(INDEX(Products!$AR$5:$AR$304,MATCH(C31,Products!$A$5:$A$304,0)),""))</f>
        <v>0</v>
      </c>
      <c r="J31" s="20">
        <f>IF(C31="","",IF(OR(E31="",H31=""),"",ROUND(E31*H31,2)))</f>
        <v>0</v>
      </c>
      <c r="K31" s="20">
        <f>IF(C31="","",IF(OR(E31="",I31=""),"",ROUND(E31*I31,2)))</f>
        <v>0</v>
      </c>
      <c r="L31" s="32">
        <f>IF(A31="","",COUNTIFS($A$5:A31,A31))</f>
        <v>0</v>
      </c>
      <c r="M31" s="13">
        <f>IF(A31="","",A31&amp;"|"&amp;L31)</f>
        <v>0</v>
      </c>
      <c r="N31" s="43">
        <f>IF(AND(A31="",C31=""),"",IF(A31="","Add - which bundle?",IF(C31="","Add - which product?",IF(D31="Not found","Check - no such product ID",IF(E31="","Add - how many?",IF(I31="","Check - that product has no price","OK"))))))</f>
        <v>0</v>
      </c>
    </row>
    <row r="32" spans="2:14">
      <c r="B32" s="13">
        <f>IF(A32="","",IFERROR(INDEX(Bundles!$B$5:$B$64,MATCH(A32,Bundles!$A$5:$A$64,0)),"Not found"))</f>
        <v>0</v>
      </c>
      <c r="D32" s="13">
        <f>IF(C32="","",IFERROR(INDEX(Products!$B$5:$B$304,MATCH(C32,Products!$A$5:$A$304,0)),"Not found"))</f>
        <v>0</v>
      </c>
      <c r="H32" s="20">
        <f>IF(C32="","",IFERROR(INDEX(Products!$AT$5:$AT$304,MATCH(C32,Products!$A$5:$A$304,0)),""))</f>
        <v>0</v>
      </c>
      <c r="I32" s="20">
        <f>IF(C32="","",IFERROR(INDEX(Products!$AR$5:$AR$304,MATCH(C32,Products!$A$5:$A$304,0)),""))</f>
        <v>0</v>
      </c>
      <c r="J32" s="20">
        <f>IF(C32="","",IF(OR(E32="",H32=""),"",ROUND(E32*H32,2)))</f>
        <v>0</v>
      </c>
      <c r="K32" s="20">
        <f>IF(C32="","",IF(OR(E32="",I32=""),"",ROUND(E32*I32,2)))</f>
        <v>0</v>
      </c>
      <c r="L32" s="32">
        <f>IF(A32="","",COUNTIFS($A$5:A32,A32))</f>
        <v>0</v>
      </c>
      <c r="M32" s="13">
        <f>IF(A32="","",A32&amp;"|"&amp;L32)</f>
        <v>0</v>
      </c>
      <c r="N32" s="43">
        <f>IF(AND(A32="",C32=""),"",IF(A32="","Add - which bundle?",IF(C32="","Add - which product?",IF(D32="Not found","Check - no such product ID",IF(E32="","Add - how many?",IF(I32="","Check - that product has no price","OK"))))))</f>
        <v>0</v>
      </c>
    </row>
    <row r="33" spans="2:14">
      <c r="B33" s="13">
        <f>IF(A33="","",IFERROR(INDEX(Bundles!$B$5:$B$64,MATCH(A33,Bundles!$A$5:$A$64,0)),"Not found"))</f>
        <v>0</v>
      </c>
      <c r="D33" s="13">
        <f>IF(C33="","",IFERROR(INDEX(Products!$B$5:$B$304,MATCH(C33,Products!$A$5:$A$304,0)),"Not found"))</f>
        <v>0</v>
      </c>
      <c r="H33" s="20">
        <f>IF(C33="","",IFERROR(INDEX(Products!$AT$5:$AT$304,MATCH(C33,Products!$A$5:$A$304,0)),""))</f>
        <v>0</v>
      </c>
      <c r="I33" s="20">
        <f>IF(C33="","",IFERROR(INDEX(Products!$AR$5:$AR$304,MATCH(C33,Products!$A$5:$A$304,0)),""))</f>
        <v>0</v>
      </c>
      <c r="J33" s="20">
        <f>IF(C33="","",IF(OR(E33="",H33=""),"",ROUND(E33*H33,2)))</f>
        <v>0</v>
      </c>
      <c r="K33" s="20">
        <f>IF(C33="","",IF(OR(E33="",I33=""),"",ROUND(E33*I33,2)))</f>
        <v>0</v>
      </c>
      <c r="L33" s="32">
        <f>IF(A33="","",COUNTIFS($A$5:A33,A33))</f>
        <v>0</v>
      </c>
      <c r="M33" s="13">
        <f>IF(A33="","",A33&amp;"|"&amp;L33)</f>
        <v>0</v>
      </c>
      <c r="N33" s="43">
        <f>IF(AND(A33="",C33=""),"",IF(A33="","Add - which bundle?",IF(C33="","Add - which product?",IF(D33="Not found","Check - no such product ID",IF(E33="","Add - how many?",IF(I33="","Check - that product has no price","OK"))))))</f>
        <v>0</v>
      </c>
    </row>
    <row r="34" spans="2:14">
      <c r="B34" s="13">
        <f>IF(A34="","",IFERROR(INDEX(Bundles!$B$5:$B$64,MATCH(A34,Bundles!$A$5:$A$64,0)),"Not found"))</f>
        <v>0</v>
      </c>
      <c r="D34" s="13">
        <f>IF(C34="","",IFERROR(INDEX(Products!$B$5:$B$304,MATCH(C34,Products!$A$5:$A$304,0)),"Not found"))</f>
        <v>0</v>
      </c>
      <c r="H34" s="20">
        <f>IF(C34="","",IFERROR(INDEX(Products!$AT$5:$AT$304,MATCH(C34,Products!$A$5:$A$304,0)),""))</f>
        <v>0</v>
      </c>
      <c r="I34" s="20">
        <f>IF(C34="","",IFERROR(INDEX(Products!$AR$5:$AR$304,MATCH(C34,Products!$A$5:$A$304,0)),""))</f>
        <v>0</v>
      </c>
      <c r="J34" s="20">
        <f>IF(C34="","",IF(OR(E34="",H34=""),"",ROUND(E34*H34,2)))</f>
        <v>0</v>
      </c>
      <c r="K34" s="20">
        <f>IF(C34="","",IF(OR(E34="",I34=""),"",ROUND(E34*I34,2)))</f>
        <v>0</v>
      </c>
      <c r="L34" s="32">
        <f>IF(A34="","",COUNTIFS($A$5:A34,A34))</f>
        <v>0</v>
      </c>
      <c r="M34" s="13">
        <f>IF(A34="","",A34&amp;"|"&amp;L34)</f>
        <v>0</v>
      </c>
      <c r="N34" s="43">
        <f>IF(AND(A34="",C34=""),"",IF(A34="","Add - which bundle?",IF(C34="","Add - which product?",IF(D34="Not found","Check - no such product ID",IF(E34="","Add - how many?",IF(I34="","Check - that product has no price","OK"))))))</f>
        <v>0</v>
      </c>
    </row>
    <row r="35" spans="2:14">
      <c r="B35" s="13">
        <f>IF(A35="","",IFERROR(INDEX(Bundles!$B$5:$B$64,MATCH(A35,Bundles!$A$5:$A$64,0)),"Not found"))</f>
        <v>0</v>
      </c>
      <c r="D35" s="13">
        <f>IF(C35="","",IFERROR(INDEX(Products!$B$5:$B$304,MATCH(C35,Products!$A$5:$A$304,0)),"Not found"))</f>
        <v>0</v>
      </c>
      <c r="H35" s="20">
        <f>IF(C35="","",IFERROR(INDEX(Products!$AT$5:$AT$304,MATCH(C35,Products!$A$5:$A$304,0)),""))</f>
        <v>0</v>
      </c>
      <c r="I35" s="20">
        <f>IF(C35="","",IFERROR(INDEX(Products!$AR$5:$AR$304,MATCH(C35,Products!$A$5:$A$304,0)),""))</f>
        <v>0</v>
      </c>
      <c r="J35" s="20">
        <f>IF(C35="","",IF(OR(E35="",H35=""),"",ROUND(E35*H35,2)))</f>
        <v>0</v>
      </c>
      <c r="K35" s="20">
        <f>IF(C35="","",IF(OR(E35="",I35=""),"",ROUND(E35*I35,2)))</f>
        <v>0</v>
      </c>
      <c r="L35" s="32">
        <f>IF(A35="","",COUNTIFS($A$5:A35,A35))</f>
        <v>0</v>
      </c>
      <c r="M35" s="13">
        <f>IF(A35="","",A35&amp;"|"&amp;L35)</f>
        <v>0</v>
      </c>
      <c r="N35" s="43">
        <f>IF(AND(A35="",C35=""),"",IF(A35="","Add - which bundle?",IF(C35="","Add - which product?",IF(D35="Not found","Check - no such product ID",IF(E35="","Add - how many?",IF(I35="","Check - that product has no price","OK"))))))</f>
        <v>0</v>
      </c>
    </row>
    <row r="36" spans="2:14">
      <c r="B36" s="13">
        <f>IF(A36="","",IFERROR(INDEX(Bundles!$B$5:$B$64,MATCH(A36,Bundles!$A$5:$A$64,0)),"Not found"))</f>
        <v>0</v>
      </c>
      <c r="D36" s="13">
        <f>IF(C36="","",IFERROR(INDEX(Products!$B$5:$B$304,MATCH(C36,Products!$A$5:$A$304,0)),"Not found"))</f>
        <v>0</v>
      </c>
      <c r="H36" s="20">
        <f>IF(C36="","",IFERROR(INDEX(Products!$AT$5:$AT$304,MATCH(C36,Products!$A$5:$A$304,0)),""))</f>
        <v>0</v>
      </c>
      <c r="I36" s="20">
        <f>IF(C36="","",IFERROR(INDEX(Products!$AR$5:$AR$304,MATCH(C36,Products!$A$5:$A$304,0)),""))</f>
        <v>0</v>
      </c>
      <c r="J36" s="20">
        <f>IF(C36="","",IF(OR(E36="",H36=""),"",ROUND(E36*H36,2)))</f>
        <v>0</v>
      </c>
      <c r="K36" s="20">
        <f>IF(C36="","",IF(OR(E36="",I36=""),"",ROUND(E36*I36,2)))</f>
        <v>0</v>
      </c>
      <c r="L36" s="32">
        <f>IF(A36="","",COUNTIFS($A$5:A36,A36))</f>
        <v>0</v>
      </c>
      <c r="M36" s="13">
        <f>IF(A36="","",A36&amp;"|"&amp;L36)</f>
        <v>0</v>
      </c>
      <c r="N36" s="43">
        <f>IF(AND(A36="",C36=""),"",IF(A36="","Add - which bundle?",IF(C36="","Add - which product?",IF(D36="Not found","Check - no such product ID",IF(E36="","Add - how many?",IF(I36="","Check - that product has no price","OK"))))))</f>
        <v>0</v>
      </c>
    </row>
    <row r="37" spans="2:14">
      <c r="B37" s="13">
        <f>IF(A37="","",IFERROR(INDEX(Bundles!$B$5:$B$64,MATCH(A37,Bundles!$A$5:$A$64,0)),"Not found"))</f>
        <v>0</v>
      </c>
      <c r="D37" s="13">
        <f>IF(C37="","",IFERROR(INDEX(Products!$B$5:$B$304,MATCH(C37,Products!$A$5:$A$304,0)),"Not found"))</f>
        <v>0</v>
      </c>
      <c r="H37" s="20">
        <f>IF(C37="","",IFERROR(INDEX(Products!$AT$5:$AT$304,MATCH(C37,Products!$A$5:$A$304,0)),""))</f>
        <v>0</v>
      </c>
      <c r="I37" s="20">
        <f>IF(C37="","",IFERROR(INDEX(Products!$AR$5:$AR$304,MATCH(C37,Products!$A$5:$A$304,0)),""))</f>
        <v>0</v>
      </c>
      <c r="J37" s="20">
        <f>IF(C37="","",IF(OR(E37="",H37=""),"",ROUND(E37*H37,2)))</f>
        <v>0</v>
      </c>
      <c r="K37" s="20">
        <f>IF(C37="","",IF(OR(E37="",I37=""),"",ROUND(E37*I37,2)))</f>
        <v>0</v>
      </c>
      <c r="L37" s="32">
        <f>IF(A37="","",COUNTIFS($A$5:A37,A37))</f>
        <v>0</v>
      </c>
      <c r="M37" s="13">
        <f>IF(A37="","",A37&amp;"|"&amp;L37)</f>
        <v>0</v>
      </c>
      <c r="N37" s="43">
        <f>IF(AND(A37="",C37=""),"",IF(A37="","Add - which bundle?",IF(C37="","Add - which product?",IF(D37="Not found","Check - no such product ID",IF(E37="","Add - how many?",IF(I37="","Check - that product has no price","OK"))))))</f>
        <v>0</v>
      </c>
    </row>
    <row r="38" spans="2:14">
      <c r="B38" s="13">
        <f>IF(A38="","",IFERROR(INDEX(Bundles!$B$5:$B$64,MATCH(A38,Bundles!$A$5:$A$64,0)),"Not found"))</f>
        <v>0</v>
      </c>
      <c r="D38" s="13">
        <f>IF(C38="","",IFERROR(INDEX(Products!$B$5:$B$304,MATCH(C38,Products!$A$5:$A$304,0)),"Not found"))</f>
        <v>0</v>
      </c>
      <c r="H38" s="20">
        <f>IF(C38="","",IFERROR(INDEX(Products!$AT$5:$AT$304,MATCH(C38,Products!$A$5:$A$304,0)),""))</f>
        <v>0</v>
      </c>
      <c r="I38" s="20">
        <f>IF(C38="","",IFERROR(INDEX(Products!$AR$5:$AR$304,MATCH(C38,Products!$A$5:$A$304,0)),""))</f>
        <v>0</v>
      </c>
      <c r="J38" s="20">
        <f>IF(C38="","",IF(OR(E38="",H38=""),"",ROUND(E38*H38,2)))</f>
        <v>0</v>
      </c>
      <c r="K38" s="20">
        <f>IF(C38="","",IF(OR(E38="",I38=""),"",ROUND(E38*I38,2)))</f>
        <v>0</v>
      </c>
      <c r="L38" s="32">
        <f>IF(A38="","",COUNTIFS($A$5:A38,A38))</f>
        <v>0</v>
      </c>
      <c r="M38" s="13">
        <f>IF(A38="","",A38&amp;"|"&amp;L38)</f>
        <v>0</v>
      </c>
      <c r="N38" s="43">
        <f>IF(AND(A38="",C38=""),"",IF(A38="","Add - which bundle?",IF(C38="","Add - which product?",IF(D38="Not found","Check - no such product ID",IF(E38="","Add - how many?",IF(I38="","Check - that product has no price","OK"))))))</f>
        <v>0</v>
      </c>
    </row>
    <row r="39" spans="2:14">
      <c r="B39" s="13">
        <f>IF(A39="","",IFERROR(INDEX(Bundles!$B$5:$B$64,MATCH(A39,Bundles!$A$5:$A$64,0)),"Not found"))</f>
        <v>0</v>
      </c>
      <c r="D39" s="13">
        <f>IF(C39="","",IFERROR(INDEX(Products!$B$5:$B$304,MATCH(C39,Products!$A$5:$A$304,0)),"Not found"))</f>
        <v>0</v>
      </c>
      <c r="H39" s="20">
        <f>IF(C39="","",IFERROR(INDEX(Products!$AT$5:$AT$304,MATCH(C39,Products!$A$5:$A$304,0)),""))</f>
        <v>0</v>
      </c>
      <c r="I39" s="20">
        <f>IF(C39="","",IFERROR(INDEX(Products!$AR$5:$AR$304,MATCH(C39,Products!$A$5:$A$304,0)),""))</f>
        <v>0</v>
      </c>
      <c r="J39" s="20">
        <f>IF(C39="","",IF(OR(E39="",H39=""),"",ROUND(E39*H39,2)))</f>
        <v>0</v>
      </c>
      <c r="K39" s="20">
        <f>IF(C39="","",IF(OR(E39="",I39=""),"",ROUND(E39*I39,2)))</f>
        <v>0</v>
      </c>
      <c r="L39" s="32">
        <f>IF(A39="","",COUNTIFS($A$5:A39,A39))</f>
        <v>0</v>
      </c>
      <c r="M39" s="13">
        <f>IF(A39="","",A39&amp;"|"&amp;L39)</f>
        <v>0</v>
      </c>
      <c r="N39" s="43">
        <f>IF(AND(A39="",C39=""),"",IF(A39="","Add - which bundle?",IF(C39="","Add - which product?",IF(D39="Not found","Check - no such product ID",IF(E39="","Add - how many?",IF(I39="","Check - that product has no price","OK"))))))</f>
        <v>0</v>
      </c>
    </row>
    <row r="40" spans="2:14">
      <c r="B40" s="13">
        <f>IF(A40="","",IFERROR(INDEX(Bundles!$B$5:$B$64,MATCH(A40,Bundles!$A$5:$A$64,0)),"Not found"))</f>
        <v>0</v>
      </c>
      <c r="D40" s="13">
        <f>IF(C40="","",IFERROR(INDEX(Products!$B$5:$B$304,MATCH(C40,Products!$A$5:$A$304,0)),"Not found"))</f>
        <v>0</v>
      </c>
      <c r="H40" s="20">
        <f>IF(C40="","",IFERROR(INDEX(Products!$AT$5:$AT$304,MATCH(C40,Products!$A$5:$A$304,0)),""))</f>
        <v>0</v>
      </c>
      <c r="I40" s="20">
        <f>IF(C40="","",IFERROR(INDEX(Products!$AR$5:$AR$304,MATCH(C40,Products!$A$5:$A$304,0)),""))</f>
        <v>0</v>
      </c>
      <c r="J40" s="20">
        <f>IF(C40="","",IF(OR(E40="",H40=""),"",ROUND(E40*H40,2)))</f>
        <v>0</v>
      </c>
      <c r="K40" s="20">
        <f>IF(C40="","",IF(OR(E40="",I40=""),"",ROUND(E40*I40,2)))</f>
        <v>0</v>
      </c>
      <c r="L40" s="32">
        <f>IF(A40="","",COUNTIFS($A$5:A40,A40))</f>
        <v>0</v>
      </c>
      <c r="M40" s="13">
        <f>IF(A40="","",A40&amp;"|"&amp;L40)</f>
        <v>0</v>
      </c>
      <c r="N40" s="43">
        <f>IF(AND(A40="",C40=""),"",IF(A40="","Add - which bundle?",IF(C40="","Add - which product?",IF(D40="Not found","Check - no such product ID",IF(E40="","Add - how many?",IF(I40="","Check - that product has no price","OK"))))))</f>
        <v>0</v>
      </c>
    </row>
    <row r="41" spans="2:14">
      <c r="B41" s="13">
        <f>IF(A41="","",IFERROR(INDEX(Bundles!$B$5:$B$64,MATCH(A41,Bundles!$A$5:$A$64,0)),"Not found"))</f>
        <v>0</v>
      </c>
      <c r="D41" s="13">
        <f>IF(C41="","",IFERROR(INDEX(Products!$B$5:$B$304,MATCH(C41,Products!$A$5:$A$304,0)),"Not found"))</f>
        <v>0</v>
      </c>
      <c r="H41" s="20">
        <f>IF(C41="","",IFERROR(INDEX(Products!$AT$5:$AT$304,MATCH(C41,Products!$A$5:$A$304,0)),""))</f>
        <v>0</v>
      </c>
      <c r="I41" s="20">
        <f>IF(C41="","",IFERROR(INDEX(Products!$AR$5:$AR$304,MATCH(C41,Products!$A$5:$A$304,0)),""))</f>
        <v>0</v>
      </c>
      <c r="J41" s="20">
        <f>IF(C41="","",IF(OR(E41="",H41=""),"",ROUND(E41*H41,2)))</f>
        <v>0</v>
      </c>
      <c r="K41" s="20">
        <f>IF(C41="","",IF(OR(E41="",I41=""),"",ROUND(E41*I41,2)))</f>
        <v>0</v>
      </c>
      <c r="L41" s="32">
        <f>IF(A41="","",COUNTIFS($A$5:A41,A41))</f>
        <v>0</v>
      </c>
      <c r="M41" s="13">
        <f>IF(A41="","",A41&amp;"|"&amp;L41)</f>
        <v>0</v>
      </c>
      <c r="N41" s="43">
        <f>IF(AND(A41="",C41=""),"",IF(A41="","Add - which bundle?",IF(C41="","Add - which product?",IF(D41="Not found","Check - no such product ID",IF(E41="","Add - how many?",IF(I41="","Check - that product has no price","OK"))))))</f>
        <v>0</v>
      </c>
    </row>
    <row r="42" spans="2:14">
      <c r="B42" s="13">
        <f>IF(A42="","",IFERROR(INDEX(Bundles!$B$5:$B$64,MATCH(A42,Bundles!$A$5:$A$64,0)),"Not found"))</f>
        <v>0</v>
      </c>
      <c r="D42" s="13">
        <f>IF(C42="","",IFERROR(INDEX(Products!$B$5:$B$304,MATCH(C42,Products!$A$5:$A$304,0)),"Not found"))</f>
        <v>0</v>
      </c>
      <c r="H42" s="20">
        <f>IF(C42="","",IFERROR(INDEX(Products!$AT$5:$AT$304,MATCH(C42,Products!$A$5:$A$304,0)),""))</f>
        <v>0</v>
      </c>
      <c r="I42" s="20">
        <f>IF(C42="","",IFERROR(INDEX(Products!$AR$5:$AR$304,MATCH(C42,Products!$A$5:$A$304,0)),""))</f>
        <v>0</v>
      </c>
      <c r="J42" s="20">
        <f>IF(C42="","",IF(OR(E42="",H42=""),"",ROUND(E42*H42,2)))</f>
        <v>0</v>
      </c>
      <c r="K42" s="20">
        <f>IF(C42="","",IF(OR(E42="",I42=""),"",ROUND(E42*I42,2)))</f>
        <v>0</v>
      </c>
      <c r="L42" s="32">
        <f>IF(A42="","",COUNTIFS($A$5:A42,A42))</f>
        <v>0</v>
      </c>
      <c r="M42" s="13">
        <f>IF(A42="","",A42&amp;"|"&amp;L42)</f>
        <v>0</v>
      </c>
      <c r="N42" s="43">
        <f>IF(AND(A42="",C42=""),"",IF(A42="","Add - which bundle?",IF(C42="","Add - which product?",IF(D42="Not found","Check - no such product ID",IF(E42="","Add - how many?",IF(I42="","Check - that product has no price","OK"))))))</f>
        <v>0</v>
      </c>
    </row>
    <row r="43" spans="2:14">
      <c r="B43" s="13">
        <f>IF(A43="","",IFERROR(INDEX(Bundles!$B$5:$B$64,MATCH(A43,Bundles!$A$5:$A$64,0)),"Not found"))</f>
        <v>0</v>
      </c>
      <c r="D43" s="13">
        <f>IF(C43="","",IFERROR(INDEX(Products!$B$5:$B$304,MATCH(C43,Products!$A$5:$A$304,0)),"Not found"))</f>
        <v>0</v>
      </c>
      <c r="H43" s="20">
        <f>IF(C43="","",IFERROR(INDEX(Products!$AT$5:$AT$304,MATCH(C43,Products!$A$5:$A$304,0)),""))</f>
        <v>0</v>
      </c>
      <c r="I43" s="20">
        <f>IF(C43="","",IFERROR(INDEX(Products!$AR$5:$AR$304,MATCH(C43,Products!$A$5:$A$304,0)),""))</f>
        <v>0</v>
      </c>
      <c r="J43" s="20">
        <f>IF(C43="","",IF(OR(E43="",H43=""),"",ROUND(E43*H43,2)))</f>
        <v>0</v>
      </c>
      <c r="K43" s="20">
        <f>IF(C43="","",IF(OR(E43="",I43=""),"",ROUND(E43*I43,2)))</f>
        <v>0</v>
      </c>
      <c r="L43" s="32">
        <f>IF(A43="","",COUNTIFS($A$5:A43,A43))</f>
        <v>0</v>
      </c>
      <c r="M43" s="13">
        <f>IF(A43="","",A43&amp;"|"&amp;L43)</f>
        <v>0</v>
      </c>
      <c r="N43" s="43">
        <f>IF(AND(A43="",C43=""),"",IF(A43="","Add - which bundle?",IF(C43="","Add - which product?",IF(D43="Not found","Check - no such product ID",IF(E43="","Add - how many?",IF(I43="","Check - that product has no price","OK"))))))</f>
        <v>0</v>
      </c>
    </row>
    <row r="44" spans="2:14">
      <c r="B44" s="13">
        <f>IF(A44="","",IFERROR(INDEX(Bundles!$B$5:$B$64,MATCH(A44,Bundles!$A$5:$A$64,0)),"Not found"))</f>
        <v>0</v>
      </c>
      <c r="D44" s="13">
        <f>IF(C44="","",IFERROR(INDEX(Products!$B$5:$B$304,MATCH(C44,Products!$A$5:$A$304,0)),"Not found"))</f>
        <v>0</v>
      </c>
      <c r="H44" s="20">
        <f>IF(C44="","",IFERROR(INDEX(Products!$AT$5:$AT$304,MATCH(C44,Products!$A$5:$A$304,0)),""))</f>
        <v>0</v>
      </c>
      <c r="I44" s="20">
        <f>IF(C44="","",IFERROR(INDEX(Products!$AR$5:$AR$304,MATCH(C44,Products!$A$5:$A$304,0)),""))</f>
        <v>0</v>
      </c>
      <c r="J44" s="20">
        <f>IF(C44="","",IF(OR(E44="",H44=""),"",ROUND(E44*H44,2)))</f>
        <v>0</v>
      </c>
      <c r="K44" s="20">
        <f>IF(C44="","",IF(OR(E44="",I44=""),"",ROUND(E44*I44,2)))</f>
        <v>0</v>
      </c>
      <c r="L44" s="32">
        <f>IF(A44="","",COUNTIFS($A$5:A44,A44))</f>
        <v>0</v>
      </c>
      <c r="M44" s="13">
        <f>IF(A44="","",A44&amp;"|"&amp;L44)</f>
        <v>0</v>
      </c>
      <c r="N44" s="43">
        <f>IF(AND(A44="",C44=""),"",IF(A44="","Add - which bundle?",IF(C44="","Add - which product?",IF(D44="Not found","Check - no such product ID",IF(E44="","Add - how many?",IF(I44="","Check - that product has no price","OK"))))))</f>
        <v>0</v>
      </c>
    </row>
    <row r="45" spans="2:14">
      <c r="B45" s="13">
        <f>IF(A45="","",IFERROR(INDEX(Bundles!$B$5:$B$64,MATCH(A45,Bundles!$A$5:$A$64,0)),"Not found"))</f>
        <v>0</v>
      </c>
      <c r="D45" s="13">
        <f>IF(C45="","",IFERROR(INDEX(Products!$B$5:$B$304,MATCH(C45,Products!$A$5:$A$304,0)),"Not found"))</f>
        <v>0</v>
      </c>
      <c r="H45" s="20">
        <f>IF(C45="","",IFERROR(INDEX(Products!$AT$5:$AT$304,MATCH(C45,Products!$A$5:$A$304,0)),""))</f>
        <v>0</v>
      </c>
      <c r="I45" s="20">
        <f>IF(C45="","",IFERROR(INDEX(Products!$AR$5:$AR$304,MATCH(C45,Products!$A$5:$A$304,0)),""))</f>
        <v>0</v>
      </c>
      <c r="J45" s="20">
        <f>IF(C45="","",IF(OR(E45="",H45=""),"",ROUND(E45*H45,2)))</f>
        <v>0</v>
      </c>
      <c r="K45" s="20">
        <f>IF(C45="","",IF(OR(E45="",I45=""),"",ROUND(E45*I45,2)))</f>
        <v>0</v>
      </c>
      <c r="L45" s="32">
        <f>IF(A45="","",COUNTIFS($A$5:A45,A45))</f>
        <v>0</v>
      </c>
      <c r="M45" s="13">
        <f>IF(A45="","",A45&amp;"|"&amp;L45)</f>
        <v>0</v>
      </c>
      <c r="N45" s="43">
        <f>IF(AND(A45="",C45=""),"",IF(A45="","Add - which bundle?",IF(C45="","Add - which product?",IF(D45="Not found","Check - no such product ID",IF(E45="","Add - how many?",IF(I45="","Check - that product has no price","OK"))))))</f>
        <v>0</v>
      </c>
    </row>
    <row r="46" spans="2:14">
      <c r="B46" s="13">
        <f>IF(A46="","",IFERROR(INDEX(Bundles!$B$5:$B$64,MATCH(A46,Bundles!$A$5:$A$64,0)),"Not found"))</f>
        <v>0</v>
      </c>
      <c r="D46" s="13">
        <f>IF(C46="","",IFERROR(INDEX(Products!$B$5:$B$304,MATCH(C46,Products!$A$5:$A$304,0)),"Not found"))</f>
        <v>0</v>
      </c>
      <c r="H46" s="20">
        <f>IF(C46="","",IFERROR(INDEX(Products!$AT$5:$AT$304,MATCH(C46,Products!$A$5:$A$304,0)),""))</f>
        <v>0</v>
      </c>
      <c r="I46" s="20">
        <f>IF(C46="","",IFERROR(INDEX(Products!$AR$5:$AR$304,MATCH(C46,Products!$A$5:$A$304,0)),""))</f>
        <v>0</v>
      </c>
      <c r="J46" s="20">
        <f>IF(C46="","",IF(OR(E46="",H46=""),"",ROUND(E46*H46,2)))</f>
        <v>0</v>
      </c>
      <c r="K46" s="20">
        <f>IF(C46="","",IF(OR(E46="",I46=""),"",ROUND(E46*I46,2)))</f>
        <v>0</v>
      </c>
      <c r="L46" s="32">
        <f>IF(A46="","",COUNTIFS($A$5:A46,A46))</f>
        <v>0</v>
      </c>
      <c r="M46" s="13">
        <f>IF(A46="","",A46&amp;"|"&amp;L46)</f>
        <v>0</v>
      </c>
      <c r="N46" s="43">
        <f>IF(AND(A46="",C46=""),"",IF(A46="","Add - which bundle?",IF(C46="","Add - which product?",IF(D46="Not found","Check - no such product ID",IF(E46="","Add - how many?",IF(I46="","Check - that product has no price","OK"))))))</f>
        <v>0</v>
      </c>
    </row>
    <row r="47" spans="2:14">
      <c r="B47" s="13">
        <f>IF(A47="","",IFERROR(INDEX(Bundles!$B$5:$B$64,MATCH(A47,Bundles!$A$5:$A$64,0)),"Not found"))</f>
        <v>0</v>
      </c>
      <c r="D47" s="13">
        <f>IF(C47="","",IFERROR(INDEX(Products!$B$5:$B$304,MATCH(C47,Products!$A$5:$A$304,0)),"Not found"))</f>
        <v>0</v>
      </c>
      <c r="H47" s="20">
        <f>IF(C47="","",IFERROR(INDEX(Products!$AT$5:$AT$304,MATCH(C47,Products!$A$5:$A$304,0)),""))</f>
        <v>0</v>
      </c>
      <c r="I47" s="20">
        <f>IF(C47="","",IFERROR(INDEX(Products!$AR$5:$AR$304,MATCH(C47,Products!$A$5:$A$304,0)),""))</f>
        <v>0</v>
      </c>
      <c r="J47" s="20">
        <f>IF(C47="","",IF(OR(E47="",H47=""),"",ROUND(E47*H47,2)))</f>
        <v>0</v>
      </c>
      <c r="K47" s="20">
        <f>IF(C47="","",IF(OR(E47="",I47=""),"",ROUND(E47*I47,2)))</f>
        <v>0</v>
      </c>
      <c r="L47" s="32">
        <f>IF(A47="","",COUNTIFS($A$5:A47,A47))</f>
        <v>0</v>
      </c>
      <c r="M47" s="13">
        <f>IF(A47="","",A47&amp;"|"&amp;L47)</f>
        <v>0</v>
      </c>
      <c r="N47" s="43">
        <f>IF(AND(A47="",C47=""),"",IF(A47="","Add - which bundle?",IF(C47="","Add - which product?",IF(D47="Not found","Check - no such product ID",IF(E47="","Add - how many?",IF(I47="","Check - that product has no price","OK"))))))</f>
        <v>0</v>
      </c>
    </row>
    <row r="48" spans="2:14">
      <c r="B48" s="13">
        <f>IF(A48="","",IFERROR(INDEX(Bundles!$B$5:$B$64,MATCH(A48,Bundles!$A$5:$A$64,0)),"Not found"))</f>
        <v>0</v>
      </c>
      <c r="D48" s="13">
        <f>IF(C48="","",IFERROR(INDEX(Products!$B$5:$B$304,MATCH(C48,Products!$A$5:$A$304,0)),"Not found"))</f>
        <v>0</v>
      </c>
      <c r="H48" s="20">
        <f>IF(C48="","",IFERROR(INDEX(Products!$AT$5:$AT$304,MATCH(C48,Products!$A$5:$A$304,0)),""))</f>
        <v>0</v>
      </c>
      <c r="I48" s="20">
        <f>IF(C48="","",IFERROR(INDEX(Products!$AR$5:$AR$304,MATCH(C48,Products!$A$5:$A$304,0)),""))</f>
        <v>0</v>
      </c>
      <c r="J48" s="20">
        <f>IF(C48="","",IF(OR(E48="",H48=""),"",ROUND(E48*H48,2)))</f>
        <v>0</v>
      </c>
      <c r="K48" s="20">
        <f>IF(C48="","",IF(OR(E48="",I48=""),"",ROUND(E48*I48,2)))</f>
        <v>0</v>
      </c>
      <c r="L48" s="32">
        <f>IF(A48="","",COUNTIFS($A$5:A48,A48))</f>
        <v>0</v>
      </c>
      <c r="M48" s="13">
        <f>IF(A48="","",A48&amp;"|"&amp;L48)</f>
        <v>0</v>
      </c>
      <c r="N48" s="43">
        <f>IF(AND(A48="",C48=""),"",IF(A48="","Add - which bundle?",IF(C48="","Add - which product?",IF(D48="Not found","Check - no such product ID",IF(E48="","Add - how many?",IF(I48="","Check - that product has no price","OK"))))))</f>
        <v>0</v>
      </c>
    </row>
    <row r="49" spans="2:14">
      <c r="B49" s="13">
        <f>IF(A49="","",IFERROR(INDEX(Bundles!$B$5:$B$64,MATCH(A49,Bundles!$A$5:$A$64,0)),"Not found"))</f>
        <v>0</v>
      </c>
      <c r="D49" s="13">
        <f>IF(C49="","",IFERROR(INDEX(Products!$B$5:$B$304,MATCH(C49,Products!$A$5:$A$304,0)),"Not found"))</f>
        <v>0</v>
      </c>
      <c r="H49" s="20">
        <f>IF(C49="","",IFERROR(INDEX(Products!$AT$5:$AT$304,MATCH(C49,Products!$A$5:$A$304,0)),""))</f>
        <v>0</v>
      </c>
      <c r="I49" s="20">
        <f>IF(C49="","",IFERROR(INDEX(Products!$AR$5:$AR$304,MATCH(C49,Products!$A$5:$A$304,0)),""))</f>
        <v>0</v>
      </c>
      <c r="J49" s="20">
        <f>IF(C49="","",IF(OR(E49="",H49=""),"",ROUND(E49*H49,2)))</f>
        <v>0</v>
      </c>
      <c r="K49" s="20">
        <f>IF(C49="","",IF(OR(E49="",I49=""),"",ROUND(E49*I49,2)))</f>
        <v>0</v>
      </c>
      <c r="L49" s="32">
        <f>IF(A49="","",COUNTIFS($A$5:A49,A49))</f>
        <v>0</v>
      </c>
      <c r="M49" s="13">
        <f>IF(A49="","",A49&amp;"|"&amp;L49)</f>
        <v>0</v>
      </c>
      <c r="N49" s="43">
        <f>IF(AND(A49="",C49=""),"",IF(A49="","Add - which bundle?",IF(C49="","Add - which product?",IF(D49="Not found","Check - no such product ID",IF(E49="","Add - how many?",IF(I49="","Check - that product has no price","OK"))))))</f>
        <v>0</v>
      </c>
    </row>
    <row r="50" spans="2:14">
      <c r="B50" s="13">
        <f>IF(A50="","",IFERROR(INDEX(Bundles!$B$5:$B$64,MATCH(A50,Bundles!$A$5:$A$64,0)),"Not found"))</f>
        <v>0</v>
      </c>
      <c r="D50" s="13">
        <f>IF(C50="","",IFERROR(INDEX(Products!$B$5:$B$304,MATCH(C50,Products!$A$5:$A$304,0)),"Not found"))</f>
        <v>0</v>
      </c>
      <c r="H50" s="20">
        <f>IF(C50="","",IFERROR(INDEX(Products!$AT$5:$AT$304,MATCH(C50,Products!$A$5:$A$304,0)),""))</f>
        <v>0</v>
      </c>
      <c r="I50" s="20">
        <f>IF(C50="","",IFERROR(INDEX(Products!$AR$5:$AR$304,MATCH(C50,Products!$A$5:$A$304,0)),""))</f>
        <v>0</v>
      </c>
      <c r="J50" s="20">
        <f>IF(C50="","",IF(OR(E50="",H50=""),"",ROUND(E50*H50,2)))</f>
        <v>0</v>
      </c>
      <c r="K50" s="20">
        <f>IF(C50="","",IF(OR(E50="",I50=""),"",ROUND(E50*I50,2)))</f>
        <v>0</v>
      </c>
      <c r="L50" s="32">
        <f>IF(A50="","",COUNTIFS($A$5:A50,A50))</f>
        <v>0</v>
      </c>
      <c r="M50" s="13">
        <f>IF(A50="","",A50&amp;"|"&amp;L50)</f>
        <v>0</v>
      </c>
      <c r="N50" s="43">
        <f>IF(AND(A50="",C50=""),"",IF(A50="","Add - which bundle?",IF(C50="","Add - which product?",IF(D50="Not found","Check - no such product ID",IF(E50="","Add - how many?",IF(I50="","Check - that product has no price","OK"))))))</f>
        <v>0</v>
      </c>
    </row>
    <row r="51" spans="2:14">
      <c r="B51" s="13">
        <f>IF(A51="","",IFERROR(INDEX(Bundles!$B$5:$B$64,MATCH(A51,Bundles!$A$5:$A$64,0)),"Not found"))</f>
        <v>0</v>
      </c>
      <c r="D51" s="13">
        <f>IF(C51="","",IFERROR(INDEX(Products!$B$5:$B$304,MATCH(C51,Products!$A$5:$A$304,0)),"Not found"))</f>
        <v>0</v>
      </c>
      <c r="H51" s="20">
        <f>IF(C51="","",IFERROR(INDEX(Products!$AT$5:$AT$304,MATCH(C51,Products!$A$5:$A$304,0)),""))</f>
        <v>0</v>
      </c>
      <c r="I51" s="20">
        <f>IF(C51="","",IFERROR(INDEX(Products!$AR$5:$AR$304,MATCH(C51,Products!$A$5:$A$304,0)),""))</f>
        <v>0</v>
      </c>
      <c r="J51" s="20">
        <f>IF(C51="","",IF(OR(E51="",H51=""),"",ROUND(E51*H51,2)))</f>
        <v>0</v>
      </c>
      <c r="K51" s="20">
        <f>IF(C51="","",IF(OR(E51="",I51=""),"",ROUND(E51*I51,2)))</f>
        <v>0</v>
      </c>
      <c r="L51" s="32">
        <f>IF(A51="","",COUNTIFS($A$5:A51,A51))</f>
        <v>0</v>
      </c>
      <c r="M51" s="13">
        <f>IF(A51="","",A51&amp;"|"&amp;L51)</f>
        <v>0</v>
      </c>
      <c r="N51" s="43">
        <f>IF(AND(A51="",C51=""),"",IF(A51="","Add - which bundle?",IF(C51="","Add - which product?",IF(D51="Not found","Check - no such product ID",IF(E51="","Add - how many?",IF(I51="","Check - that product has no price","OK"))))))</f>
        <v>0</v>
      </c>
    </row>
    <row r="52" spans="2:14">
      <c r="B52" s="13">
        <f>IF(A52="","",IFERROR(INDEX(Bundles!$B$5:$B$64,MATCH(A52,Bundles!$A$5:$A$64,0)),"Not found"))</f>
        <v>0</v>
      </c>
      <c r="D52" s="13">
        <f>IF(C52="","",IFERROR(INDEX(Products!$B$5:$B$304,MATCH(C52,Products!$A$5:$A$304,0)),"Not found"))</f>
        <v>0</v>
      </c>
      <c r="H52" s="20">
        <f>IF(C52="","",IFERROR(INDEX(Products!$AT$5:$AT$304,MATCH(C52,Products!$A$5:$A$304,0)),""))</f>
        <v>0</v>
      </c>
      <c r="I52" s="20">
        <f>IF(C52="","",IFERROR(INDEX(Products!$AR$5:$AR$304,MATCH(C52,Products!$A$5:$A$304,0)),""))</f>
        <v>0</v>
      </c>
      <c r="J52" s="20">
        <f>IF(C52="","",IF(OR(E52="",H52=""),"",ROUND(E52*H52,2)))</f>
        <v>0</v>
      </c>
      <c r="K52" s="20">
        <f>IF(C52="","",IF(OR(E52="",I52=""),"",ROUND(E52*I52,2)))</f>
        <v>0</v>
      </c>
      <c r="L52" s="32">
        <f>IF(A52="","",COUNTIFS($A$5:A52,A52))</f>
        <v>0</v>
      </c>
      <c r="M52" s="13">
        <f>IF(A52="","",A52&amp;"|"&amp;L52)</f>
        <v>0</v>
      </c>
      <c r="N52" s="43">
        <f>IF(AND(A52="",C52=""),"",IF(A52="","Add - which bundle?",IF(C52="","Add - which product?",IF(D52="Not found","Check - no such product ID",IF(E52="","Add - how many?",IF(I52="","Check - that product has no price","OK"))))))</f>
        <v>0</v>
      </c>
    </row>
    <row r="53" spans="2:14">
      <c r="B53" s="13">
        <f>IF(A53="","",IFERROR(INDEX(Bundles!$B$5:$B$64,MATCH(A53,Bundles!$A$5:$A$64,0)),"Not found"))</f>
        <v>0</v>
      </c>
      <c r="D53" s="13">
        <f>IF(C53="","",IFERROR(INDEX(Products!$B$5:$B$304,MATCH(C53,Products!$A$5:$A$304,0)),"Not found"))</f>
        <v>0</v>
      </c>
      <c r="H53" s="20">
        <f>IF(C53="","",IFERROR(INDEX(Products!$AT$5:$AT$304,MATCH(C53,Products!$A$5:$A$304,0)),""))</f>
        <v>0</v>
      </c>
      <c r="I53" s="20">
        <f>IF(C53="","",IFERROR(INDEX(Products!$AR$5:$AR$304,MATCH(C53,Products!$A$5:$A$304,0)),""))</f>
        <v>0</v>
      </c>
      <c r="J53" s="20">
        <f>IF(C53="","",IF(OR(E53="",H53=""),"",ROUND(E53*H53,2)))</f>
        <v>0</v>
      </c>
      <c r="K53" s="20">
        <f>IF(C53="","",IF(OR(E53="",I53=""),"",ROUND(E53*I53,2)))</f>
        <v>0</v>
      </c>
      <c r="L53" s="32">
        <f>IF(A53="","",COUNTIFS($A$5:A53,A53))</f>
        <v>0</v>
      </c>
      <c r="M53" s="13">
        <f>IF(A53="","",A53&amp;"|"&amp;L53)</f>
        <v>0</v>
      </c>
      <c r="N53" s="43">
        <f>IF(AND(A53="",C53=""),"",IF(A53="","Add - which bundle?",IF(C53="","Add - which product?",IF(D53="Not found","Check - no such product ID",IF(E53="","Add - how many?",IF(I53="","Check - that product has no price","OK"))))))</f>
        <v>0</v>
      </c>
    </row>
    <row r="54" spans="2:14">
      <c r="B54" s="13">
        <f>IF(A54="","",IFERROR(INDEX(Bundles!$B$5:$B$64,MATCH(A54,Bundles!$A$5:$A$64,0)),"Not found"))</f>
        <v>0</v>
      </c>
      <c r="D54" s="13">
        <f>IF(C54="","",IFERROR(INDEX(Products!$B$5:$B$304,MATCH(C54,Products!$A$5:$A$304,0)),"Not found"))</f>
        <v>0</v>
      </c>
      <c r="H54" s="20">
        <f>IF(C54="","",IFERROR(INDEX(Products!$AT$5:$AT$304,MATCH(C54,Products!$A$5:$A$304,0)),""))</f>
        <v>0</v>
      </c>
      <c r="I54" s="20">
        <f>IF(C54="","",IFERROR(INDEX(Products!$AR$5:$AR$304,MATCH(C54,Products!$A$5:$A$304,0)),""))</f>
        <v>0</v>
      </c>
      <c r="J54" s="20">
        <f>IF(C54="","",IF(OR(E54="",H54=""),"",ROUND(E54*H54,2)))</f>
        <v>0</v>
      </c>
      <c r="K54" s="20">
        <f>IF(C54="","",IF(OR(E54="",I54=""),"",ROUND(E54*I54,2)))</f>
        <v>0</v>
      </c>
      <c r="L54" s="32">
        <f>IF(A54="","",COUNTIFS($A$5:A54,A54))</f>
        <v>0</v>
      </c>
      <c r="M54" s="13">
        <f>IF(A54="","",A54&amp;"|"&amp;L54)</f>
        <v>0</v>
      </c>
      <c r="N54" s="43">
        <f>IF(AND(A54="",C54=""),"",IF(A54="","Add - which bundle?",IF(C54="","Add - which product?",IF(D54="Not found","Check - no such product ID",IF(E54="","Add - how many?",IF(I54="","Check - that product has no price","OK"))))))</f>
        <v>0</v>
      </c>
    </row>
    <row r="55" spans="2:14">
      <c r="B55" s="13">
        <f>IF(A55="","",IFERROR(INDEX(Bundles!$B$5:$B$64,MATCH(A55,Bundles!$A$5:$A$64,0)),"Not found"))</f>
        <v>0</v>
      </c>
      <c r="D55" s="13">
        <f>IF(C55="","",IFERROR(INDEX(Products!$B$5:$B$304,MATCH(C55,Products!$A$5:$A$304,0)),"Not found"))</f>
        <v>0</v>
      </c>
      <c r="H55" s="20">
        <f>IF(C55="","",IFERROR(INDEX(Products!$AT$5:$AT$304,MATCH(C55,Products!$A$5:$A$304,0)),""))</f>
        <v>0</v>
      </c>
      <c r="I55" s="20">
        <f>IF(C55="","",IFERROR(INDEX(Products!$AR$5:$AR$304,MATCH(C55,Products!$A$5:$A$304,0)),""))</f>
        <v>0</v>
      </c>
      <c r="J55" s="20">
        <f>IF(C55="","",IF(OR(E55="",H55=""),"",ROUND(E55*H55,2)))</f>
        <v>0</v>
      </c>
      <c r="K55" s="20">
        <f>IF(C55="","",IF(OR(E55="",I55=""),"",ROUND(E55*I55,2)))</f>
        <v>0</v>
      </c>
      <c r="L55" s="32">
        <f>IF(A55="","",COUNTIFS($A$5:A55,A55))</f>
        <v>0</v>
      </c>
      <c r="M55" s="13">
        <f>IF(A55="","",A55&amp;"|"&amp;L55)</f>
        <v>0</v>
      </c>
      <c r="N55" s="43">
        <f>IF(AND(A55="",C55=""),"",IF(A55="","Add - which bundle?",IF(C55="","Add - which product?",IF(D55="Not found","Check - no such product ID",IF(E55="","Add - how many?",IF(I55="","Check - that product has no price","OK"))))))</f>
        <v>0</v>
      </c>
    </row>
    <row r="56" spans="2:14">
      <c r="B56" s="13">
        <f>IF(A56="","",IFERROR(INDEX(Bundles!$B$5:$B$64,MATCH(A56,Bundles!$A$5:$A$64,0)),"Not found"))</f>
        <v>0</v>
      </c>
      <c r="D56" s="13">
        <f>IF(C56="","",IFERROR(INDEX(Products!$B$5:$B$304,MATCH(C56,Products!$A$5:$A$304,0)),"Not found"))</f>
        <v>0</v>
      </c>
      <c r="H56" s="20">
        <f>IF(C56="","",IFERROR(INDEX(Products!$AT$5:$AT$304,MATCH(C56,Products!$A$5:$A$304,0)),""))</f>
        <v>0</v>
      </c>
      <c r="I56" s="20">
        <f>IF(C56="","",IFERROR(INDEX(Products!$AR$5:$AR$304,MATCH(C56,Products!$A$5:$A$304,0)),""))</f>
        <v>0</v>
      </c>
      <c r="J56" s="20">
        <f>IF(C56="","",IF(OR(E56="",H56=""),"",ROUND(E56*H56,2)))</f>
        <v>0</v>
      </c>
      <c r="K56" s="20">
        <f>IF(C56="","",IF(OR(E56="",I56=""),"",ROUND(E56*I56,2)))</f>
        <v>0</v>
      </c>
      <c r="L56" s="32">
        <f>IF(A56="","",COUNTIFS($A$5:A56,A56))</f>
        <v>0</v>
      </c>
      <c r="M56" s="13">
        <f>IF(A56="","",A56&amp;"|"&amp;L56)</f>
        <v>0</v>
      </c>
      <c r="N56" s="43">
        <f>IF(AND(A56="",C56=""),"",IF(A56="","Add - which bundle?",IF(C56="","Add - which product?",IF(D56="Not found","Check - no such product ID",IF(E56="","Add - how many?",IF(I56="","Check - that product has no price","OK"))))))</f>
        <v>0</v>
      </c>
    </row>
    <row r="57" spans="2:14">
      <c r="B57" s="13">
        <f>IF(A57="","",IFERROR(INDEX(Bundles!$B$5:$B$64,MATCH(A57,Bundles!$A$5:$A$64,0)),"Not found"))</f>
        <v>0</v>
      </c>
      <c r="D57" s="13">
        <f>IF(C57="","",IFERROR(INDEX(Products!$B$5:$B$304,MATCH(C57,Products!$A$5:$A$304,0)),"Not found"))</f>
        <v>0</v>
      </c>
      <c r="H57" s="20">
        <f>IF(C57="","",IFERROR(INDEX(Products!$AT$5:$AT$304,MATCH(C57,Products!$A$5:$A$304,0)),""))</f>
        <v>0</v>
      </c>
      <c r="I57" s="20">
        <f>IF(C57="","",IFERROR(INDEX(Products!$AR$5:$AR$304,MATCH(C57,Products!$A$5:$A$304,0)),""))</f>
        <v>0</v>
      </c>
      <c r="J57" s="20">
        <f>IF(C57="","",IF(OR(E57="",H57=""),"",ROUND(E57*H57,2)))</f>
        <v>0</v>
      </c>
      <c r="K57" s="20">
        <f>IF(C57="","",IF(OR(E57="",I57=""),"",ROUND(E57*I57,2)))</f>
        <v>0</v>
      </c>
      <c r="L57" s="32">
        <f>IF(A57="","",COUNTIFS($A$5:A57,A57))</f>
        <v>0</v>
      </c>
      <c r="M57" s="13">
        <f>IF(A57="","",A57&amp;"|"&amp;L57)</f>
        <v>0</v>
      </c>
      <c r="N57" s="43">
        <f>IF(AND(A57="",C57=""),"",IF(A57="","Add - which bundle?",IF(C57="","Add - which product?",IF(D57="Not found","Check - no such product ID",IF(E57="","Add - how many?",IF(I57="","Check - that product has no price","OK"))))))</f>
        <v>0</v>
      </c>
    </row>
    <row r="58" spans="2:14">
      <c r="B58" s="13">
        <f>IF(A58="","",IFERROR(INDEX(Bundles!$B$5:$B$64,MATCH(A58,Bundles!$A$5:$A$64,0)),"Not found"))</f>
        <v>0</v>
      </c>
      <c r="D58" s="13">
        <f>IF(C58="","",IFERROR(INDEX(Products!$B$5:$B$304,MATCH(C58,Products!$A$5:$A$304,0)),"Not found"))</f>
        <v>0</v>
      </c>
      <c r="H58" s="20">
        <f>IF(C58="","",IFERROR(INDEX(Products!$AT$5:$AT$304,MATCH(C58,Products!$A$5:$A$304,0)),""))</f>
        <v>0</v>
      </c>
      <c r="I58" s="20">
        <f>IF(C58="","",IFERROR(INDEX(Products!$AR$5:$AR$304,MATCH(C58,Products!$A$5:$A$304,0)),""))</f>
        <v>0</v>
      </c>
      <c r="J58" s="20">
        <f>IF(C58="","",IF(OR(E58="",H58=""),"",ROUND(E58*H58,2)))</f>
        <v>0</v>
      </c>
      <c r="K58" s="20">
        <f>IF(C58="","",IF(OR(E58="",I58=""),"",ROUND(E58*I58,2)))</f>
        <v>0</v>
      </c>
      <c r="L58" s="32">
        <f>IF(A58="","",COUNTIFS($A$5:A58,A58))</f>
        <v>0</v>
      </c>
      <c r="M58" s="13">
        <f>IF(A58="","",A58&amp;"|"&amp;L58)</f>
        <v>0</v>
      </c>
      <c r="N58" s="43">
        <f>IF(AND(A58="",C58=""),"",IF(A58="","Add - which bundle?",IF(C58="","Add - which product?",IF(D58="Not found","Check - no such product ID",IF(E58="","Add - how many?",IF(I58="","Check - that product has no price","OK"))))))</f>
        <v>0</v>
      </c>
    </row>
    <row r="59" spans="2:14">
      <c r="B59" s="13">
        <f>IF(A59="","",IFERROR(INDEX(Bundles!$B$5:$B$64,MATCH(A59,Bundles!$A$5:$A$64,0)),"Not found"))</f>
        <v>0</v>
      </c>
      <c r="D59" s="13">
        <f>IF(C59="","",IFERROR(INDEX(Products!$B$5:$B$304,MATCH(C59,Products!$A$5:$A$304,0)),"Not found"))</f>
        <v>0</v>
      </c>
      <c r="H59" s="20">
        <f>IF(C59="","",IFERROR(INDEX(Products!$AT$5:$AT$304,MATCH(C59,Products!$A$5:$A$304,0)),""))</f>
        <v>0</v>
      </c>
      <c r="I59" s="20">
        <f>IF(C59="","",IFERROR(INDEX(Products!$AR$5:$AR$304,MATCH(C59,Products!$A$5:$A$304,0)),""))</f>
        <v>0</v>
      </c>
      <c r="J59" s="20">
        <f>IF(C59="","",IF(OR(E59="",H59=""),"",ROUND(E59*H59,2)))</f>
        <v>0</v>
      </c>
      <c r="K59" s="20">
        <f>IF(C59="","",IF(OR(E59="",I59=""),"",ROUND(E59*I59,2)))</f>
        <v>0</v>
      </c>
      <c r="L59" s="32">
        <f>IF(A59="","",COUNTIFS($A$5:A59,A59))</f>
        <v>0</v>
      </c>
      <c r="M59" s="13">
        <f>IF(A59="","",A59&amp;"|"&amp;L59)</f>
        <v>0</v>
      </c>
      <c r="N59" s="43">
        <f>IF(AND(A59="",C59=""),"",IF(A59="","Add - which bundle?",IF(C59="","Add - which product?",IF(D59="Not found","Check - no such product ID",IF(E59="","Add - how many?",IF(I59="","Check - that product has no price","OK"))))))</f>
        <v>0</v>
      </c>
    </row>
    <row r="60" spans="2:14">
      <c r="B60" s="13">
        <f>IF(A60="","",IFERROR(INDEX(Bundles!$B$5:$B$64,MATCH(A60,Bundles!$A$5:$A$64,0)),"Not found"))</f>
        <v>0</v>
      </c>
      <c r="D60" s="13">
        <f>IF(C60="","",IFERROR(INDEX(Products!$B$5:$B$304,MATCH(C60,Products!$A$5:$A$304,0)),"Not found"))</f>
        <v>0</v>
      </c>
      <c r="H60" s="20">
        <f>IF(C60="","",IFERROR(INDEX(Products!$AT$5:$AT$304,MATCH(C60,Products!$A$5:$A$304,0)),""))</f>
        <v>0</v>
      </c>
      <c r="I60" s="20">
        <f>IF(C60="","",IFERROR(INDEX(Products!$AR$5:$AR$304,MATCH(C60,Products!$A$5:$A$304,0)),""))</f>
        <v>0</v>
      </c>
      <c r="J60" s="20">
        <f>IF(C60="","",IF(OR(E60="",H60=""),"",ROUND(E60*H60,2)))</f>
        <v>0</v>
      </c>
      <c r="K60" s="20">
        <f>IF(C60="","",IF(OR(E60="",I60=""),"",ROUND(E60*I60,2)))</f>
        <v>0</v>
      </c>
      <c r="L60" s="32">
        <f>IF(A60="","",COUNTIFS($A$5:A60,A60))</f>
        <v>0</v>
      </c>
      <c r="M60" s="13">
        <f>IF(A60="","",A60&amp;"|"&amp;L60)</f>
        <v>0</v>
      </c>
      <c r="N60" s="43">
        <f>IF(AND(A60="",C60=""),"",IF(A60="","Add - which bundle?",IF(C60="","Add - which product?",IF(D60="Not found","Check - no such product ID",IF(E60="","Add - how many?",IF(I60="","Check - that product has no price","OK"))))))</f>
        <v>0</v>
      </c>
    </row>
    <row r="61" spans="2:14">
      <c r="B61" s="13">
        <f>IF(A61="","",IFERROR(INDEX(Bundles!$B$5:$B$64,MATCH(A61,Bundles!$A$5:$A$64,0)),"Not found"))</f>
        <v>0</v>
      </c>
      <c r="D61" s="13">
        <f>IF(C61="","",IFERROR(INDEX(Products!$B$5:$B$304,MATCH(C61,Products!$A$5:$A$304,0)),"Not found"))</f>
        <v>0</v>
      </c>
      <c r="H61" s="20">
        <f>IF(C61="","",IFERROR(INDEX(Products!$AT$5:$AT$304,MATCH(C61,Products!$A$5:$A$304,0)),""))</f>
        <v>0</v>
      </c>
      <c r="I61" s="20">
        <f>IF(C61="","",IFERROR(INDEX(Products!$AR$5:$AR$304,MATCH(C61,Products!$A$5:$A$304,0)),""))</f>
        <v>0</v>
      </c>
      <c r="J61" s="20">
        <f>IF(C61="","",IF(OR(E61="",H61=""),"",ROUND(E61*H61,2)))</f>
        <v>0</v>
      </c>
      <c r="K61" s="20">
        <f>IF(C61="","",IF(OR(E61="",I61=""),"",ROUND(E61*I61,2)))</f>
        <v>0</v>
      </c>
      <c r="L61" s="32">
        <f>IF(A61="","",COUNTIFS($A$5:A61,A61))</f>
        <v>0</v>
      </c>
      <c r="M61" s="13">
        <f>IF(A61="","",A61&amp;"|"&amp;L61)</f>
        <v>0</v>
      </c>
      <c r="N61" s="43">
        <f>IF(AND(A61="",C61=""),"",IF(A61="","Add - which bundle?",IF(C61="","Add - which product?",IF(D61="Not found","Check - no such product ID",IF(E61="","Add - how many?",IF(I61="","Check - that product has no price","OK"))))))</f>
        <v>0</v>
      </c>
    </row>
    <row r="62" spans="2:14">
      <c r="B62" s="13">
        <f>IF(A62="","",IFERROR(INDEX(Bundles!$B$5:$B$64,MATCH(A62,Bundles!$A$5:$A$64,0)),"Not found"))</f>
        <v>0</v>
      </c>
      <c r="D62" s="13">
        <f>IF(C62="","",IFERROR(INDEX(Products!$B$5:$B$304,MATCH(C62,Products!$A$5:$A$304,0)),"Not found"))</f>
        <v>0</v>
      </c>
      <c r="H62" s="20">
        <f>IF(C62="","",IFERROR(INDEX(Products!$AT$5:$AT$304,MATCH(C62,Products!$A$5:$A$304,0)),""))</f>
        <v>0</v>
      </c>
      <c r="I62" s="20">
        <f>IF(C62="","",IFERROR(INDEX(Products!$AR$5:$AR$304,MATCH(C62,Products!$A$5:$A$304,0)),""))</f>
        <v>0</v>
      </c>
      <c r="J62" s="20">
        <f>IF(C62="","",IF(OR(E62="",H62=""),"",ROUND(E62*H62,2)))</f>
        <v>0</v>
      </c>
      <c r="K62" s="20">
        <f>IF(C62="","",IF(OR(E62="",I62=""),"",ROUND(E62*I62,2)))</f>
        <v>0</v>
      </c>
      <c r="L62" s="32">
        <f>IF(A62="","",COUNTIFS($A$5:A62,A62))</f>
        <v>0</v>
      </c>
      <c r="M62" s="13">
        <f>IF(A62="","",A62&amp;"|"&amp;L62)</f>
        <v>0</v>
      </c>
      <c r="N62" s="43">
        <f>IF(AND(A62="",C62=""),"",IF(A62="","Add - which bundle?",IF(C62="","Add - which product?",IF(D62="Not found","Check - no such product ID",IF(E62="","Add - how many?",IF(I62="","Check - that product has no price","OK"))))))</f>
        <v>0</v>
      </c>
    </row>
    <row r="63" spans="2:14">
      <c r="B63" s="13">
        <f>IF(A63="","",IFERROR(INDEX(Bundles!$B$5:$B$64,MATCH(A63,Bundles!$A$5:$A$64,0)),"Not found"))</f>
        <v>0</v>
      </c>
      <c r="D63" s="13">
        <f>IF(C63="","",IFERROR(INDEX(Products!$B$5:$B$304,MATCH(C63,Products!$A$5:$A$304,0)),"Not found"))</f>
        <v>0</v>
      </c>
      <c r="H63" s="20">
        <f>IF(C63="","",IFERROR(INDEX(Products!$AT$5:$AT$304,MATCH(C63,Products!$A$5:$A$304,0)),""))</f>
        <v>0</v>
      </c>
      <c r="I63" s="20">
        <f>IF(C63="","",IFERROR(INDEX(Products!$AR$5:$AR$304,MATCH(C63,Products!$A$5:$A$304,0)),""))</f>
        <v>0</v>
      </c>
      <c r="J63" s="20">
        <f>IF(C63="","",IF(OR(E63="",H63=""),"",ROUND(E63*H63,2)))</f>
        <v>0</v>
      </c>
      <c r="K63" s="20">
        <f>IF(C63="","",IF(OR(E63="",I63=""),"",ROUND(E63*I63,2)))</f>
        <v>0</v>
      </c>
      <c r="L63" s="32">
        <f>IF(A63="","",COUNTIFS($A$5:A63,A63))</f>
        <v>0</v>
      </c>
      <c r="M63" s="13">
        <f>IF(A63="","",A63&amp;"|"&amp;L63)</f>
        <v>0</v>
      </c>
      <c r="N63" s="43">
        <f>IF(AND(A63="",C63=""),"",IF(A63="","Add - which bundle?",IF(C63="","Add - which product?",IF(D63="Not found","Check - no such product ID",IF(E63="","Add - how many?",IF(I63="","Check - that product has no price","OK"))))))</f>
        <v>0</v>
      </c>
    </row>
    <row r="64" spans="2:14">
      <c r="B64" s="13">
        <f>IF(A64="","",IFERROR(INDEX(Bundles!$B$5:$B$64,MATCH(A64,Bundles!$A$5:$A$64,0)),"Not found"))</f>
        <v>0</v>
      </c>
      <c r="D64" s="13">
        <f>IF(C64="","",IFERROR(INDEX(Products!$B$5:$B$304,MATCH(C64,Products!$A$5:$A$304,0)),"Not found"))</f>
        <v>0</v>
      </c>
      <c r="H64" s="20">
        <f>IF(C64="","",IFERROR(INDEX(Products!$AT$5:$AT$304,MATCH(C64,Products!$A$5:$A$304,0)),""))</f>
        <v>0</v>
      </c>
      <c r="I64" s="20">
        <f>IF(C64="","",IFERROR(INDEX(Products!$AR$5:$AR$304,MATCH(C64,Products!$A$5:$A$304,0)),""))</f>
        <v>0</v>
      </c>
      <c r="J64" s="20">
        <f>IF(C64="","",IF(OR(E64="",H64=""),"",ROUND(E64*H64,2)))</f>
        <v>0</v>
      </c>
      <c r="K64" s="20">
        <f>IF(C64="","",IF(OR(E64="",I64=""),"",ROUND(E64*I64,2)))</f>
        <v>0</v>
      </c>
      <c r="L64" s="32">
        <f>IF(A64="","",COUNTIFS($A$5:A64,A64))</f>
        <v>0</v>
      </c>
      <c r="M64" s="13">
        <f>IF(A64="","",A64&amp;"|"&amp;L64)</f>
        <v>0</v>
      </c>
      <c r="N64" s="43">
        <f>IF(AND(A64="",C64=""),"",IF(A64="","Add - which bundle?",IF(C64="","Add - which product?",IF(D64="Not found","Check - no such product ID",IF(E64="","Add - how many?",IF(I64="","Check - that product has no price","OK"))))))</f>
        <v>0</v>
      </c>
    </row>
    <row r="65" spans="2:14">
      <c r="B65" s="13">
        <f>IF(A65="","",IFERROR(INDEX(Bundles!$B$5:$B$64,MATCH(A65,Bundles!$A$5:$A$64,0)),"Not found"))</f>
        <v>0</v>
      </c>
      <c r="D65" s="13">
        <f>IF(C65="","",IFERROR(INDEX(Products!$B$5:$B$304,MATCH(C65,Products!$A$5:$A$304,0)),"Not found"))</f>
        <v>0</v>
      </c>
      <c r="H65" s="20">
        <f>IF(C65="","",IFERROR(INDEX(Products!$AT$5:$AT$304,MATCH(C65,Products!$A$5:$A$304,0)),""))</f>
        <v>0</v>
      </c>
      <c r="I65" s="20">
        <f>IF(C65="","",IFERROR(INDEX(Products!$AR$5:$AR$304,MATCH(C65,Products!$A$5:$A$304,0)),""))</f>
        <v>0</v>
      </c>
      <c r="J65" s="20">
        <f>IF(C65="","",IF(OR(E65="",H65=""),"",ROUND(E65*H65,2)))</f>
        <v>0</v>
      </c>
      <c r="K65" s="20">
        <f>IF(C65="","",IF(OR(E65="",I65=""),"",ROUND(E65*I65,2)))</f>
        <v>0</v>
      </c>
      <c r="L65" s="32">
        <f>IF(A65="","",COUNTIFS($A$5:A65,A65))</f>
        <v>0</v>
      </c>
      <c r="M65" s="13">
        <f>IF(A65="","",A65&amp;"|"&amp;L65)</f>
        <v>0</v>
      </c>
      <c r="N65" s="43">
        <f>IF(AND(A65="",C65=""),"",IF(A65="","Add - which bundle?",IF(C65="","Add - which product?",IF(D65="Not found","Check - no such product ID",IF(E65="","Add - how many?",IF(I65="","Check - that product has no price","OK"))))))</f>
        <v>0</v>
      </c>
    </row>
    <row r="66" spans="2:14">
      <c r="B66" s="13">
        <f>IF(A66="","",IFERROR(INDEX(Bundles!$B$5:$B$64,MATCH(A66,Bundles!$A$5:$A$64,0)),"Not found"))</f>
        <v>0</v>
      </c>
      <c r="D66" s="13">
        <f>IF(C66="","",IFERROR(INDEX(Products!$B$5:$B$304,MATCH(C66,Products!$A$5:$A$304,0)),"Not found"))</f>
        <v>0</v>
      </c>
      <c r="H66" s="20">
        <f>IF(C66="","",IFERROR(INDEX(Products!$AT$5:$AT$304,MATCH(C66,Products!$A$5:$A$304,0)),""))</f>
        <v>0</v>
      </c>
      <c r="I66" s="20">
        <f>IF(C66="","",IFERROR(INDEX(Products!$AR$5:$AR$304,MATCH(C66,Products!$A$5:$A$304,0)),""))</f>
        <v>0</v>
      </c>
      <c r="J66" s="20">
        <f>IF(C66="","",IF(OR(E66="",H66=""),"",ROUND(E66*H66,2)))</f>
        <v>0</v>
      </c>
      <c r="K66" s="20">
        <f>IF(C66="","",IF(OR(E66="",I66=""),"",ROUND(E66*I66,2)))</f>
        <v>0</v>
      </c>
      <c r="L66" s="32">
        <f>IF(A66="","",COUNTIFS($A$5:A66,A66))</f>
        <v>0</v>
      </c>
      <c r="M66" s="13">
        <f>IF(A66="","",A66&amp;"|"&amp;L66)</f>
        <v>0</v>
      </c>
      <c r="N66" s="43">
        <f>IF(AND(A66="",C66=""),"",IF(A66="","Add - which bundle?",IF(C66="","Add - which product?",IF(D66="Not found","Check - no such product ID",IF(E66="","Add - how many?",IF(I66="","Check - that product has no price","OK"))))))</f>
        <v>0</v>
      </c>
    </row>
    <row r="67" spans="2:14">
      <c r="B67" s="13">
        <f>IF(A67="","",IFERROR(INDEX(Bundles!$B$5:$B$64,MATCH(A67,Bundles!$A$5:$A$64,0)),"Not found"))</f>
        <v>0</v>
      </c>
      <c r="D67" s="13">
        <f>IF(C67="","",IFERROR(INDEX(Products!$B$5:$B$304,MATCH(C67,Products!$A$5:$A$304,0)),"Not found"))</f>
        <v>0</v>
      </c>
      <c r="H67" s="20">
        <f>IF(C67="","",IFERROR(INDEX(Products!$AT$5:$AT$304,MATCH(C67,Products!$A$5:$A$304,0)),""))</f>
        <v>0</v>
      </c>
      <c r="I67" s="20">
        <f>IF(C67="","",IFERROR(INDEX(Products!$AR$5:$AR$304,MATCH(C67,Products!$A$5:$A$304,0)),""))</f>
        <v>0</v>
      </c>
      <c r="J67" s="20">
        <f>IF(C67="","",IF(OR(E67="",H67=""),"",ROUND(E67*H67,2)))</f>
        <v>0</v>
      </c>
      <c r="K67" s="20">
        <f>IF(C67="","",IF(OR(E67="",I67=""),"",ROUND(E67*I67,2)))</f>
        <v>0</v>
      </c>
      <c r="L67" s="32">
        <f>IF(A67="","",COUNTIFS($A$5:A67,A67))</f>
        <v>0</v>
      </c>
      <c r="M67" s="13">
        <f>IF(A67="","",A67&amp;"|"&amp;L67)</f>
        <v>0</v>
      </c>
      <c r="N67" s="43">
        <f>IF(AND(A67="",C67=""),"",IF(A67="","Add - which bundle?",IF(C67="","Add - which product?",IF(D67="Not found","Check - no such product ID",IF(E67="","Add - how many?",IF(I67="","Check - that product has no price","OK"))))))</f>
        <v>0</v>
      </c>
    </row>
    <row r="68" spans="2:14">
      <c r="B68" s="13">
        <f>IF(A68="","",IFERROR(INDEX(Bundles!$B$5:$B$64,MATCH(A68,Bundles!$A$5:$A$64,0)),"Not found"))</f>
        <v>0</v>
      </c>
      <c r="D68" s="13">
        <f>IF(C68="","",IFERROR(INDEX(Products!$B$5:$B$304,MATCH(C68,Products!$A$5:$A$304,0)),"Not found"))</f>
        <v>0</v>
      </c>
      <c r="H68" s="20">
        <f>IF(C68="","",IFERROR(INDEX(Products!$AT$5:$AT$304,MATCH(C68,Products!$A$5:$A$304,0)),""))</f>
        <v>0</v>
      </c>
      <c r="I68" s="20">
        <f>IF(C68="","",IFERROR(INDEX(Products!$AR$5:$AR$304,MATCH(C68,Products!$A$5:$A$304,0)),""))</f>
        <v>0</v>
      </c>
      <c r="J68" s="20">
        <f>IF(C68="","",IF(OR(E68="",H68=""),"",ROUND(E68*H68,2)))</f>
        <v>0</v>
      </c>
      <c r="K68" s="20">
        <f>IF(C68="","",IF(OR(E68="",I68=""),"",ROUND(E68*I68,2)))</f>
        <v>0</v>
      </c>
      <c r="L68" s="32">
        <f>IF(A68="","",COUNTIFS($A$5:A68,A68))</f>
        <v>0</v>
      </c>
      <c r="M68" s="13">
        <f>IF(A68="","",A68&amp;"|"&amp;L68)</f>
        <v>0</v>
      </c>
      <c r="N68" s="43">
        <f>IF(AND(A68="",C68=""),"",IF(A68="","Add - which bundle?",IF(C68="","Add - which product?",IF(D68="Not found","Check - no such product ID",IF(E68="","Add - how many?",IF(I68="","Check - that product has no price","OK"))))))</f>
        <v>0</v>
      </c>
    </row>
    <row r="69" spans="2:14">
      <c r="B69" s="13">
        <f>IF(A69="","",IFERROR(INDEX(Bundles!$B$5:$B$64,MATCH(A69,Bundles!$A$5:$A$64,0)),"Not found"))</f>
        <v>0</v>
      </c>
      <c r="D69" s="13">
        <f>IF(C69="","",IFERROR(INDEX(Products!$B$5:$B$304,MATCH(C69,Products!$A$5:$A$304,0)),"Not found"))</f>
        <v>0</v>
      </c>
      <c r="H69" s="20">
        <f>IF(C69="","",IFERROR(INDEX(Products!$AT$5:$AT$304,MATCH(C69,Products!$A$5:$A$304,0)),""))</f>
        <v>0</v>
      </c>
      <c r="I69" s="20">
        <f>IF(C69="","",IFERROR(INDEX(Products!$AR$5:$AR$304,MATCH(C69,Products!$A$5:$A$304,0)),""))</f>
        <v>0</v>
      </c>
      <c r="J69" s="20">
        <f>IF(C69="","",IF(OR(E69="",H69=""),"",ROUND(E69*H69,2)))</f>
        <v>0</v>
      </c>
      <c r="K69" s="20">
        <f>IF(C69="","",IF(OR(E69="",I69=""),"",ROUND(E69*I69,2)))</f>
        <v>0</v>
      </c>
      <c r="L69" s="32">
        <f>IF(A69="","",COUNTIFS($A$5:A69,A69))</f>
        <v>0</v>
      </c>
      <c r="M69" s="13">
        <f>IF(A69="","",A69&amp;"|"&amp;L69)</f>
        <v>0</v>
      </c>
      <c r="N69" s="43">
        <f>IF(AND(A69="",C69=""),"",IF(A69="","Add - which bundle?",IF(C69="","Add - which product?",IF(D69="Not found","Check - no such product ID",IF(E69="","Add - how many?",IF(I69="","Check - that product has no price","OK"))))))</f>
        <v>0</v>
      </c>
    </row>
    <row r="70" spans="2:14">
      <c r="B70" s="13">
        <f>IF(A70="","",IFERROR(INDEX(Bundles!$B$5:$B$64,MATCH(A70,Bundles!$A$5:$A$64,0)),"Not found"))</f>
        <v>0</v>
      </c>
      <c r="D70" s="13">
        <f>IF(C70="","",IFERROR(INDEX(Products!$B$5:$B$304,MATCH(C70,Products!$A$5:$A$304,0)),"Not found"))</f>
        <v>0</v>
      </c>
      <c r="H70" s="20">
        <f>IF(C70="","",IFERROR(INDEX(Products!$AT$5:$AT$304,MATCH(C70,Products!$A$5:$A$304,0)),""))</f>
        <v>0</v>
      </c>
      <c r="I70" s="20">
        <f>IF(C70="","",IFERROR(INDEX(Products!$AR$5:$AR$304,MATCH(C70,Products!$A$5:$A$304,0)),""))</f>
        <v>0</v>
      </c>
      <c r="J70" s="20">
        <f>IF(C70="","",IF(OR(E70="",H70=""),"",ROUND(E70*H70,2)))</f>
        <v>0</v>
      </c>
      <c r="K70" s="20">
        <f>IF(C70="","",IF(OR(E70="",I70=""),"",ROUND(E70*I70,2)))</f>
        <v>0</v>
      </c>
      <c r="L70" s="32">
        <f>IF(A70="","",COUNTIFS($A$5:A70,A70))</f>
        <v>0</v>
      </c>
      <c r="M70" s="13">
        <f>IF(A70="","",A70&amp;"|"&amp;L70)</f>
        <v>0</v>
      </c>
      <c r="N70" s="43">
        <f>IF(AND(A70="",C70=""),"",IF(A70="","Add - which bundle?",IF(C70="","Add - which product?",IF(D70="Not found","Check - no such product ID",IF(E70="","Add - how many?",IF(I70="","Check - that product has no price","OK"))))))</f>
        <v>0</v>
      </c>
    </row>
    <row r="71" spans="2:14">
      <c r="B71" s="13">
        <f>IF(A71="","",IFERROR(INDEX(Bundles!$B$5:$B$64,MATCH(A71,Bundles!$A$5:$A$64,0)),"Not found"))</f>
        <v>0</v>
      </c>
      <c r="D71" s="13">
        <f>IF(C71="","",IFERROR(INDEX(Products!$B$5:$B$304,MATCH(C71,Products!$A$5:$A$304,0)),"Not found"))</f>
        <v>0</v>
      </c>
      <c r="H71" s="20">
        <f>IF(C71="","",IFERROR(INDEX(Products!$AT$5:$AT$304,MATCH(C71,Products!$A$5:$A$304,0)),""))</f>
        <v>0</v>
      </c>
      <c r="I71" s="20">
        <f>IF(C71="","",IFERROR(INDEX(Products!$AR$5:$AR$304,MATCH(C71,Products!$A$5:$A$304,0)),""))</f>
        <v>0</v>
      </c>
      <c r="J71" s="20">
        <f>IF(C71="","",IF(OR(E71="",H71=""),"",ROUND(E71*H71,2)))</f>
        <v>0</v>
      </c>
      <c r="K71" s="20">
        <f>IF(C71="","",IF(OR(E71="",I71=""),"",ROUND(E71*I71,2)))</f>
        <v>0</v>
      </c>
      <c r="L71" s="32">
        <f>IF(A71="","",COUNTIFS($A$5:A71,A71))</f>
        <v>0</v>
      </c>
      <c r="M71" s="13">
        <f>IF(A71="","",A71&amp;"|"&amp;L71)</f>
        <v>0</v>
      </c>
      <c r="N71" s="43">
        <f>IF(AND(A71="",C71=""),"",IF(A71="","Add - which bundle?",IF(C71="","Add - which product?",IF(D71="Not found","Check - no such product ID",IF(E71="","Add - how many?",IF(I71="","Check - that product has no price","OK"))))))</f>
        <v>0</v>
      </c>
    </row>
    <row r="72" spans="2:14">
      <c r="B72" s="13">
        <f>IF(A72="","",IFERROR(INDEX(Bundles!$B$5:$B$64,MATCH(A72,Bundles!$A$5:$A$64,0)),"Not found"))</f>
        <v>0</v>
      </c>
      <c r="D72" s="13">
        <f>IF(C72="","",IFERROR(INDEX(Products!$B$5:$B$304,MATCH(C72,Products!$A$5:$A$304,0)),"Not found"))</f>
        <v>0</v>
      </c>
      <c r="H72" s="20">
        <f>IF(C72="","",IFERROR(INDEX(Products!$AT$5:$AT$304,MATCH(C72,Products!$A$5:$A$304,0)),""))</f>
        <v>0</v>
      </c>
      <c r="I72" s="20">
        <f>IF(C72="","",IFERROR(INDEX(Products!$AR$5:$AR$304,MATCH(C72,Products!$A$5:$A$304,0)),""))</f>
        <v>0</v>
      </c>
      <c r="J72" s="20">
        <f>IF(C72="","",IF(OR(E72="",H72=""),"",ROUND(E72*H72,2)))</f>
        <v>0</v>
      </c>
      <c r="K72" s="20">
        <f>IF(C72="","",IF(OR(E72="",I72=""),"",ROUND(E72*I72,2)))</f>
        <v>0</v>
      </c>
      <c r="L72" s="32">
        <f>IF(A72="","",COUNTIFS($A$5:A72,A72))</f>
        <v>0</v>
      </c>
      <c r="M72" s="13">
        <f>IF(A72="","",A72&amp;"|"&amp;L72)</f>
        <v>0</v>
      </c>
      <c r="N72" s="43">
        <f>IF(AND(A72="",C72=""),"",IF(A72="","Add - which bundle?",IF(C72="","Add - which product?",IF(D72="Not found","Check - no such product ID",IF(E72="","Add - how many?",IF(I72="","Check - that product has no price","OK"))))))</f>
        <v>0</v>
      </c>
    </row>
    <row r="73" spans="2:14">
      <c r="B73" s="13">
        <f>IF(A73="","",IFERROR(INDEX(Bundles!$B$5:$B$64,MATCH(A73,Bundles!$A$5:$A$64,0)),"Not found"))</f>
        <v>0</v>
      </c>
      <c r="D73" s="13">
        <f>IF(C73="","",IFERROR(INDEX(Products!$B$5:$B$304,MATCH(C73,Products!$A$5:$A$304,0)),"Not found"))</f>
        <v>0</v>
      </c>
      <c r="H73" s="20">
        <f>IF(C73="","",IFERROR(INDEX(Products!$AT$5:$AT$304,MATCH(C73,Products!$A$5:$A$304,0)),""))</f>
        <v>0</v>
      </c>
      <c r="I73" s="20">
        <f>IF(C73="","",IFERROR(INDEX(Products!$AR$5:$AR$304,MATCH(C73,Products!$A$5:$A$304,0)),""))</f>
        <v>0</v>
      </c>
      <c r="J73" s="20">
        <f>IF(C73="","",IF(OR(E73="",H73=""),"",ROUND(E73*H73,2)))</f>
        <v>0</v>
      </c>
      <c r="K73" s="20">
        <f>IF(C73="","",IF(OR(E73="",I73=""),"",ROUND(E73*I73,2)))</f>
        <v>0</v>
      </c>
      <c r="L73" s="32">
        <f>IF(A73="","",COUNTIFS($A$5:A73,A73))</f>
        <v>0</v>
      </c>
      <c r="M73" s="13">
        <f>IF(A73="","",A73&amp;"|"&amp;L73)</f>
        <v>0</v>
      </c>
      <c r="N73" s="43">
        <f>IF(AND(A73="",C73=""),"",IF(A73="","Add - which bundle?",IF(C73="","Add - which product?",IF(D73="Not found","Check - no such product ID",IF(E73="","Add - how many?",IF(I73="","Check - that product has no price","OK"))))))</f>
        <v>0</v>
      </c>
    </row>
    <row r="74" spans="2:14">
      <c r="B74" s="13">
        <f>IF(A74="","",IFERROR(INDEX(Bundles!$B$5:$B$64,MATCH(A74,Bundles!$A$5:$A$64,0)),"Not found"))</f>
        <v>0</v>
      </c>
      <c r="D74" s="13">
        <f>IF(C74="","",IFERROR(INDEX(Products!$B$5:$B$304,MATCH(C74,Products!$A$5:$A$304,0)),"Not found"))</f>
        <v>0</v>
      </c>
      <c r="H74" s="20">
        <f>IF(C74="","",IFERROR(INDEX(Products!$AT$5:$AT$304,MATCH(C74,Products!$A$5:$A$304,0)),""))</f>
        <v>0</v>
      </c>
      <c r="I74" s="20">
        <f>IF(C74="","",IFERROR(INDEX(Products!$AR$5:$AR$304,MATCH(C74,Products!$A$5:$A$304,0)),""))</f>
        <v>0</v>
      </c>
      <c r="J74" s="20">
        <f>IF(C74="","",IF(OR(E74="",H74=""),"",ROUND(E74*H74,2)))</f>
        <v>0</v>
      </c>
      <c r="K74" s="20">
        <f>IF(C74="","",IF(OR(E74="",I74=""),"",ROUND(E74*I74,2)))</f>
        <v>0</v>
      </c>
      <c r="L74" s="32">
        <f>IF(A74="","",COUNTIFS($A$5:A74,A74))</f>
        <v>0</v>
      </c>
      <c r="M74" s="13">
        <f>IF(A74="","",A74&amp;"|"&amp;L74)</f>
        <v>0</v>
      </c>
      <c r="N74" s="43">
        <f>IF(AND(A74="",C74=""),"",IF(A74="","Add - which bundle?",IF(C74="","Add - which product?",IF(D74="Not found","Check - no such product ID",IF(E74="","Add - how many?",IF(I74="","Check - that product has no price","OK"))))))</f>
        <v>0</v>
      </c>
    </row>
    <row r="75" spans="2:14">
      <c r="B75" s="13">
        <f>IF(A75="","",IFERROR(INDEX(Bundles!$B$5:$B$64,MATCH(A75,Bundles!$A$5:$A$64,0)),"Not found"))</f>
        <v>0</v>
      </c>
      <c r="D75" s="13">
        <f>IF(C75="","",IFERROR(INDEX(Products!$B$5:$B$304,MATCH(C75,Products!$A$5:$A$304,0)),"Not found"))</f>
        <v>0</v>
      </c>
      <c r="H75" s="20">
        <f>IF(C75="","",IFERROR(INDEX(Products!$AT$5:$AT$304,MATCH(C75,Products!$A$5:$A$304,0)),""))</f>
        <v>0</v>
      </c>
      <c r="I75" s="20">
        <f>IF(C75="","",IFERROR(INDEX(Products!$AR$5:$AR$304,MATCH(C75,Products!$A$5:$A$304,0)),""))</f>
        <v>0</v>
      </c>
      <c r="J75" s="20">
        <f>IF(C75="","",IF(OR(E75="",H75=""),"",ROUND(E75*H75,2)))</f>
        <v>0</v>
      </c>
      <c r="K75" s="20">
        <f>IF(C75="","",IF(OR(E75="",I75=""),"",ROUND(E75*I75,2)))</f>
        <v>0</v>
      </c>
      <c r="L75" s="32">
        <f>IF(A75="","",COUNTIFS($A$5:A75,A75))</f>
        <v>0</v>
      </c>
      <c r="M75" s="13">
        <f>IF(A75="","",A75&amp;"|"&amp;L75)</f>
        <v>0</v>
      </c>
      <c r="N75" s="43">
        <f>IF(AND(A75="",C75=""),"",IF(A75="","Add - which bundle?",IF(C75="","Add - which product?",IF(D75="Not found","Check - no such product ID",IF(E75="","Add - how many?",IF(I75="","Check - that product has no price","OK"))))))</f>
        <v>0</v>
      </c>
    </row>
    <row r="76" spans="2:14">
      <c r="B76" s="13">
        <f>IF(A76="","",IFERROR(INDEX(Bundles!$B$5:$B$64,MATCH(A76,Bundles!$A$5:$A$64,0)),"Not found"))</f>
        <v>0</v>
      </c>
      <c r="D76" s="13">
        <f>IF(C76="","",IFERROR(INDEX(Products!$B$5:$B$304,MATCH(C76,Products!$A$5:$A$304,0)),"Not found"))</f>
        <v>0</v>
      </c>
      <c r="H76" s="20">
        <f>IF(C76="","",IFERROR(INDEX(Products!$AT$5:$AT$304,MATCH(C76,Products!$A$5:$A$304,0)),""))</f>
        <v>0</v>
      </c>
      <c r="I76" s="20">
        <f>IF(C76="","",IFERROR(INDEX(Products!$AR$5:$AR$304,MATCH(C76,Products!$A$5:$A$304,0)),""))</f>
        <v>0</v>
      </c>
      <c r="J76" s="20">
        <f>IF(C76="","",IF(OR(E76="",H76=""),"",ROUND(E76*H76,2)))</f>
        <v>0</v>
      </c>
      <c r="K76" s="20">
        <f>IF(C76="","",IF(OR(E76="",I76=""),"",ROUND(E76*I76,2)))</f>
        <v>0</v>
      </c>
      <c r="L76" s="32">
        <f>IF(A76="","",COUNTIFS($A$5:A76,A76))</f>
        <v>0</v>
      </c>
      <c r="M76" s="13">
        <f>IF(A76="","",A76&amp;"|"&amp;L76)</f>
        <v>0</v>
      </c>
      <c r="N76" s="43">
        <f>IF(AND(A76="",C76=""),"",IF(A76="","Add - which bundle?",IF(C76="","Add - which product?",IF(D76="Not found","Check - no such product ID",IF(E76="","Add - how many?",IF(I76="","Check - that product has no price","OK"))))))</f>
        <v>0</v>
      </c>
    </row>
    <row r="77" spans="2:14">
      <c r="B77" s="13">
        <f>IF(A77="","",IFERROR(INDEX(Bundles!$B$5:$B$64,MATCH(A77,Bundles!$A$5:$A$64,0)),"Not found"))</f>
        <v>0</v>
      </c>
      <c r="D77" s="13">
        <f>IF(C77="","",IFERROR(INDEX(Products!$B$5:$B$304,MATCH(C77,Products!$A$5:$A$304,0)),"Not found"))</f>
        <v>0</v>
      </c>
      <c r="H77" s="20">
        <f>IF(C77="","",IFERROR(INDEX(Products!$AT$5:$AT$304,MATCH(C77,Products!$A$5:$A$304,0)),""))</f>
        <v>0</v>
      </c>
      <c r="I77" s="20">
        <f>IF(C77="","",IFERROR(INDEX(Products!$AR$5:$AR$304,MATCH(C77,Products!$A$5:$A$304,0)),""))</f>
        <v>0</v>
      </c>
      <c r="J77" s="20">
        <f>IF(C77="","",IF(OR(E77="",H77=""),"",ROUND(E77*H77,2)))</f>
        <v>0</v>
      </c>
      <c r="K77" s="20">
        <f>IF(C77="","",IF(OR(E77="",I77=""),"",ROUND(E77*I77,2)))</f>
        <v>0</v>
      </c>
      <c r="L77" s="32">
        <f>IF(A77="","",COUNTIFS($A$5:A77,A77))</f>
        <v>0</v>
      </c>
      <c r="M77" s="13">
        <f>IF(A77="","",A77&amp;"|"&amp;L77)</f>
        <v>0</v>
      </c>
      <c r="N77" s="43">
        <f>IF(AND(A77="",C77=""),"",IF(A77="","Add - which bundle?",IF(C77="","Add - which product?",IF(D77="Not found","Check - no such product ID",IF(E77="","Add - how many?",IF(I77="","Check - that product has no price","OK"))))))</f>
        <v>0</v>
      </c>
    </row>
    <row r="78" spans="2:14">
      <c r="B78" s="13">
        <f>IF(A78="","",IFERROR(INDEX(Bundles!$B$5:$B$64,MATCH(A78,Bundles!$A$5:$A$64,0)),"Not found"))</f>
        <v>0</v>
      </c>
      <c r="D78" s="13">
        <f>IF(C78="","",IFERROR(INDEX(Products!$B$5:$B$304,MATCH(C78,Products!$A$5:$A$304,0)),"Not found"))</f>
        <v>0</v>
      </c>
      <c r="H78" s="20">
        <f>IF(C78="","",IFERROR(INDEX(Products!$AT$5:$AT$304,MATCH(C78,Products!$A$5:$A$304,0)),""))</f>
        <v>0</v>
      </c>
      <c r="I78" s="20">
        <f>IF(C78="","",IFERROR(INDEX(Products!$AR$5:$AR$304,MATCH(C78,Products!$A$5:$A$304,0)),""))</f>
        <v>0</v>
      </c>
      <c r="J78" s="20">
        <f>IF(C78="","",IF(OR(E78="",H78=""),"",ROUND(E78*H78,2)))</f>
        <v>0</v>
      </c>
      <c r="K78" s="20">
        <f>IF(C78="","",IF(OR(E78="",I78=""),"",ROUND(E78*I78,2)))</f>
        <v>0</v>
      </c>
      <c r="L78" s="32">
        <f>IF(A78="","",COUNTIFS($A$5:A78,A78))</f>
        <v>0</v>
      </c>
      <c r="M78" s="13">
        <f>IF(A78="","",A78&amp;"|"&amp;L78)</f>
        <v>0</v>
      </c>
      <c r="N78" s="43">
        <f>IF(AND(A78="",C78=""),"",IF(A78="","Add - which bundle?",IF(C78="","Add - which product?",IF(D78="Not found","Check - no such product ID",IF(E78="","Add - how many?",IF(I78="","Check - that product has no price","OK"))))))</f>
        <v>0</v>
      </c>
    </row>
    <row r="79" spans="2:14">
      <c r="B79" s="13">
        <f>IF(A79="","",IFERROR(INDEX(Bundles!$B$5:$B$64,MATCH(A79,Bundles!$A$5:$A$64,0)),"Not found"))</f>
        <v>0</v>
      </c>
      <c r="D79" s="13">
        <f>IF(C79="","",IFERROR(INDEX(Products!$B$5:$B$304,MATCH(C79,Products!$A$5:$A$304,0)),"Not found"))</f>
        <v>0</v>
      </c>
      <c r="H79" s="20">
        <f>IF(C79="","",IFERROR(INDEX(Products!$AT$5:$AT$304,MATCH(C79,Products!$A$5:$A$304,0)),""))</f>
        <v>0</v>
      </c>
      <c r="I79" s="20">
        <f>IF(C79="","",IFERROR(INDEX(Products!$AR$5:$AR$304,MATCH(C79,Products!$A$5:$A$304,0)),""))</f>
        <v>0</v>
      </c>
      <c r="J79" s="20">
        <f>IF(C79="","",IF(OR(E79="",H79=""),"",ROUND(E79*H79,2)))</f>
        <v>0</v>
      </c>
      <c r="K79" s="20">
        <f>IF(C79="","",IF(OR(E79="",I79=""),"",ROUND(E79*I79,2)))</f>
        <v>0</v>
      </c>
      <c r="L79" s="32">
        <f>IF(A79="","",COUNTIFS($A$5:A79,A79))</f>
        <v>0</v>
      </c>
      <c r="M79" s="13">
        <f>IF(A79="","",A79&amp;"|"&amp;L79)</f>
        <v>0</v>
      </c>
      <c r="N79" s="43">
        <f>IF(AND(A79="",C79=""),"",IF(A79="","Add - which bundle?",IF(C79="","Add - which product?",IF(D79="Not found","Check - no such product ID",IF(E79="","Add - how many?",IF(I79="","Check - that product has no price","OK"))))))</f>
        <v>0</v>
      </c>
    </row>
    <row r="80" spans="2:14">
      <c r="B80" s="13">
        <f>IF(A80="","",IFERROR(INDEX(Bundles!$B$5:$B$64,MATCH(A80,Bundles!$A$5:$A$64,0)),"Not found"))</f>
        <v>0</v>
      </c>
      <c r="D80" s="13">
        <f>IF(C80="","",IFERROR(INDEX(Products!$B$5:$B$304,MATCH(C80,Products!$A$5:$A$304,0)),"Not found"))</f>
        <v>0</v>
      </c>
      <c r="H80" s="20">
        <f>IF(C80="","",IFERROR(INDEX(Products!$AT$5:$AT$304,MATCH(C80,Products!$A$5:$A$304,0)),""))</f>
        <v>0</v>
      </c>
      <c r="I80" s="20">
        <f>IF(C80="","",IFERROR(INDEX(Products!$AR$5:$AR$304,MATCH(C80,Products!$A$5:$A$304,0)),""))</f>
        <v>0</v>
      </c>
      <c r="J80" s="20">
        <f>IF(C80="","",IF(OR(E80="",H80=""),"",ROUND(E80*H80,2)))</f>
        <v>0</v>
      </c>
      <c r="K80" s="20">
        <f>IF(C80="","",IF(OR(E80="",I80=""),"",ROUND(E80*I80,2)))</f>
        <v>0</v>
      </c>
      <c r="L80" s="32">
        <f>IF(A80="","",COUNTIFS($A$5:A80,A80))</f>
        <v>0</v>
      </c>
      <c r="M80" s="13">
        <f>IF(A80="","",A80&amp;"|"&amp;L80)</f>
        <v>0</v>
      </c>
      <c r="N80" s="43">
        <f>IF(AND(A80="",C80=""),"",IF(A80="","Add - which bundle?",IF(C80="","Add - which product?",IF(D80="Not found","Check - no such product ID",IF(E80="","Add - how many?",IF(I80="","Check - that product has no price","OK"))))))</f>
        <v>0</v>
      </c>
    </row>
    <row r="81" spans="2:14">
      <c r="B81" s="13">
        <f>IF(A81="","",IFERROR(INDEX(Bundles!$B$5:$B$64,MATCH(A81,Bundles!$A$5:$A$64,0)),"Not found"))</f>
        <v>0</v>
      </c>
      <c r="D81" s="13">
        <f>IF(C81="","",IFERROR(INDEX(Products!$B$5:$B$304,MATCH(C81,Products!$A$5:$A$304,0)),"Not found"))</f>
        <v>0</v>
      </c>
      <c r="H81" s="20">
        <f>IF(C81="","",IFERROR(INDEX(Products!$AT$5:$AT$304,MATCH(C81,Products!$A$5:$A$304,0)),""))</f>
        <v>0</v>
      </c>
      <c r="I81" s="20">
        <f>IF(C81="","",IFERROR(INDEX(Products!$AR$5:$AR$304,MATCH(C81,Products!$A$5:$A$304,0)),""))</f>
        <v>0</v>
      </c>
      <c r="J81" s="20">
        <f>IF(C81="","",IF(OR(E81="",H81=""),"",ROUND(E81*H81,2)))</f>
        <v>0</v>
      </c>
      <c r="K81" s="20">
        <f>IF(C81="","",IF(OR(E81="",I81=""),"",ROUND(E81*I81,2)))</f>
        <v>0</v>
      </c>
      <c r="L81" s="32">
        <f>IF(A81="","",COUNTIFS($A$5:A81,A81))</f>
        <v>0</v>
      </c>
      <c r="M81" s="13">
        <f>IF(A81="","",A81&amp;"|"&amp;L81)</f>
        <v>0</v>
      </c>
      <c r="N81" s="43">
        <f>IF(AND(A81="",C81=""),"",IF(A81="","Add - which bundle?",IF(C81="","Add - which product?",IF(D81="Not found","Check - no such product ID",IF(E81="","Add - how many?",IF(I81="","Check - that product has no price","OK"))))))</f>
        <v>0</v>
      </c>
    </row>
    <row r="82" spans="2:14">
      <c r="B82" s="13">
        <f>IF(A82="","",IFERROR(INDEX(Bundles!$B$5:$B$64,MATCH(A82,Bundles!$A$5:$A$64,0)),"Not found"))</f>
        <v>0</v>
      </c>
      <c r="D82" s="13">
        <f>IF(C82="","",IFERROR(INDEX(Products!$B$5:$B$304,MATCH(C82,Products!$A$5:$A$304,0)),"Not found"))</f>
        <v>0</v>
      </c>
      <c r="H82" s="20">
        <f>IF(C82="","",IFERROR(INDEX(Products!$AT$5:$AT$304,MATCH(C82,Products!$A$5:$A$304,0)),""))</f>
        <v>0</v>
      </c>
      <c r="I82" s="20">
        <f>IF(C82="","",IFERROR(INDEX(Products!$AR$5:$AR$304,MATCH(C82,Products!$A$5:$A$304,0)),""))</f>
        <v>0</v>
      </c>
      <c r="J82" s="20">
        <f>IF(C82="","",IF(OR(E82="",H82=""),"",ROUND(E82*H82,2)))</f>
        <v>0</v>
      </c>
      <c r="K82" s="20">
        <f>IF(C82="","",IF(OR(E82="",I82=""),"",ROUND(E82*I82,2)))</f>
        <v>0</v>
      </c>
      <c r="L82" s="32">
        <f>IF(A82="","",COUNTIFS($A$5:A82,A82))</f>
        <v>0</v>
      </c>
      <c r="M82" s="13">
        <f>IF(A82="","",A82&amp;"|"&amp;L82)</f>
        <v>0</v>
      </c>
      <c r="N82" s="43">
        <f>IF(AND(A82="",C82=""),"",IF(A82="","Add - which bundle?",IF(C82="","Add - which product?",IF(D82="Not found","Check - no such product ID",IF(E82="","Add - how many?",IF(I82="","Check - that product has no price","OK"))))))</f>
        <v>0</v>
      </c>
    </row>
    <row r="83" spans="2:14">
      <c r="B83" s="13">
        <f>IF(A83="","",IFERROR(INDEX(Bundles!$B$5:$B$64,MATCH(A83,Bundles!$A$5:$A$64,0)),"Not found"))</f>
        <v>0</v>
      </c>
      <c r="D83" s="13">
        <f>IF(C83="","",IFERROR(INDEX(Products!$B$5:$B$304,MATCH(C83,Products!$A$5:$A$304,0)),"Not found"))</f>
        <v>0</v>
      </c>
      <c r="H83" s="20">
        <f>IF(C83="","",IFERROR(INDEX(Products!$AT$5:$AT$304,MATCH(C83,Products!$A$5:$A$304,0)),""))</f>
        <v>0</v>
      </c>
      <c r="I83" s="20">
        <f>IF(C83="","",IFERROR(INDEX(Products!$AR$5:$AR$304,MATCH(C83,Products!$A$5:$A$304,0)),""))</f>
        <v>0</v>
      </c>
      <c r="J83" s="20">
        <f>IF(C83="","",IF(OR(E83="",H83=""),"",ROUND(E83*H83,2)))</f>
        <v>0</v>
      </c>
      <c r="K83" s="20">
        <f>IF(C83="","",IF(OR(E83="",I83=""),"",ROUND(E83*I83,2)))</f>
        <v>0</v>
      </c>
      <c r="L83" s="32">
        <f>IF(A83="","",COUNTIFS($A$5:A83,A83))</f>
        <v>0</v>
      </c>
      <c r="M83" s="13">
        <f>IF(A83="","",A83&amp;"|"&amp;L83)</f>
        <v>0</v>
      </c>
      <c r="N83" s="43">
        <f>IF(AND(A83="",C83=""),"",IF(A83="","Add - which bundle?",IF(C83="","Add - which product?",IF(D83="Not found","Check - no such product ID",IF(E83="","Add - how many?",IF(I83="","Check - that product has no price","OK"))))))</f>
        <v>0</v>
      </c>
    </row>
    <row r="84" spans="2:14">
      <c r="B84" s="13">
        <f>IF(A84="","",IFERROR(INDEX(Bundles!$B$5:$B$64,MATCH(A84,Bundles!$A$5:$A$64,0)),"Not found"))</f>
        <v>0</v>
      </c>
      <c r="D84" s="13">
        <f>IF(C84="","",IFERROR(INDEX(Products!$B$5:$B$304,MATCH(C84,Products!$A$5:$A$304,0)),"Not found"))</f>
        <v>0</v>
      </c>
      <c r="H84" s="20">
        <f>IF(C84="","",IFERROR(INDEX(Products!$AT$5:$AT$304,MATCH(C84,Products!$A$5:$A$304,0)),""))</f>
        <v>0</v>
      </c>
      <c r="I84" s="20">
        <f>IF(C84="","",IFERROR(INDEX(Products!$AR$5:$AR$304,MATCH(C84,Products!$A$5:$A$304,0)),""))</f>
        <v>0</v>
      </c>
      <c r="J84" s="20">
        <f>IF(C84="","",IF(OR(E84="",H84=""),"",ROUND(E84*H84,2)))</f>
        <v>0</v>
      </c>
      <c r="K84" s="20">
        <f>IF(C84="","",IF(OR(E84="",I84=""),"",ROUND(E84*I84,2)))</f>
        <v>0</v>
      </c>
      <c r="L84" s="32">
        <f>IF(A84="","",COUNTIFS($A$5:A84,A84))</f>
        <v>0</v>
      </c>
      <c r="M84" s="13">
        <f>IF(A84="","",A84&amp;"|"&amp;L84)</f>
        <v>0</v>
      </c>
      <c r="N84" s="43">
        <f>IF(AND(A84="",C84=""),"",IF(A84="","Add - which bundle?",IF(C84="","Add - which product?",IF(D84="Not found","Check - no such product ID",IF(E84="","Add - how many?",IF(I84="","Check - that product has no price","OK"))))))</f>
        <v>0</v>
      </c>
    </row>
    <row r="85" spans="2:14">
      <c r="B85" s="13">
        <f>IF(A85="","",IFERROR(INDEX(Bundles!$B$5:$B$64,MATCH(A85,Bundles!$A$5:$A$64,0)),"Not found"))</f>
        <v>0</v>
      </c>
      <c r="D85" s="13">
        <f>IF(C85="","",IFERROR(INDEX(Products!$B$5:$B$304,MATCH(C85,Products!$A$5:$A$304,0)),"Not found"))</f>
        <v>0</v>
      </c>
      <c r="H85" s="20">
        <f>IF(C85="","",IFERROR(INDEX(Products!$AT$5:$AT$304,MATCH(C85,Products!$A$5:$A$304,0)),""))</f>
        <v>0</v>
      </c>
      <c r="I85" s="20">
        <f>IF(C85="","",IFERROR(INDEX(Products!$AR$5:$AR$304,MATCH(C85,Products!$A$5:$A$304,0)),""))</f>
        <v>0</v>
      </c>
      <c r="J85" s="20">
        <f>IF(C85="","",IF(OR(E85="",H85=""),"",ROUND(E85*H85,2)))</f>
        <v>0</v>
      </c>
      <c r="K85" s="20">
        <f>IF(C85="","",IF(OR(E85="",I85=""),"",ROUND(E85*I85,2)))</f>
        <v>0</v>
      </c>
      <c r="L85" s="32">
        <f>IF(A85="","",COUNTIFS($A$5:A85,A85))</f>
        <v>0</v>
      </c>
      <c r="M85" s="13">
        <f>IF(A85="","",A85&amp;"|"&amp;L85)</f>
        <v>0</v>
      </c>
      <c r="N85" s="43">
        <f>IF(AND(A85="",C85=""),"",IF(A85="","Add - which bundle?",IF(C85="","Add - which product?",IF(D85="Not found","Check - no such product ID",IF(E85="","Add - how many?",IF(I85="","Check - that product has no price","OK"))))))</f>
        <v>0</v>
      </c>
    </row>
    <row r="86" spans="2:14">
      <c r="B86" s="13">
        <f>IF(A86="","",IFERROR(INDEX(Bundles!$B$5:$B$64,MATCH(A86,Bundles!$A$5:$A$64,0)),"Not found"))</f>
        <v>0</v>
      </c>
      <c r="D86" s="13">
        <f>IF(C86="","",IFERROR(INDEX(Products!$B$5:$B$304,MATCH(C86,Products!$A$5:$A$304,0)),"Not found"))</f>
        <v>0</v>
      </c>
      <c r="H86" s="20">
        <f>IF(C86="","",IFERROR(INDEX(Products!$AT$5:$AT$304,MATCH(C86,Products!$A$5:$A$304,0)),""))</f>
        <v>0</v>
      </c>
      <c r="I86" s="20">
        <f>IF(C86="","",IFERROR(INDEX(Products!$AR$5:$AR$304,MATCH(C86,Products!$A$5:$A$304,0)),""))</f>
        <v>0</v>
      </c>
      <c r="J86" s="20">
        <f>IF(C86="","",IF(OR(E86="",H86=""),"",ROUND(E86*H86,2)))</f>
        <v>0</v>
      </c>
      <c r="K86" s="20">
        <f>IF(C86="","",IF(OR(E86="",I86=""),"",ROUND(E86*I86,2)))</f>
        <v>0</v>
      </c>
      <c r="L86" s="32">
        <f>IF(A86="","",COUNTIFS($A$5:A86,A86))</f>
        <v>0</v>
      </c>
      <c r="M86" s="13">
        <f>IF(A86="","",A86&amp;"|"&amp;L86)</f>
        <v>0</v>
      </c>
      <c r="N86" s="43">
        <f>IF(AND(A86="",C86=""),"",IF(A86="","Add - which bundle?",IF(C86="","Add - which product?",IF(D86="Not found","Check - no such product ID",IF(E86="","Add - how many?",IF(I86="","Check - that product has no price","OK"))))))</f>
        <v>0</v>
      </c>
    </row>
    <row r="87" spans="2:14">
      <c r="B87" s="13">
        <f>IF(A87="","",IFERROR(INDEX(Bundles!$B$5:$B$64,MATCH(A87,Bundles!$A$5:$A$64,0)),"Not found"))</f>
        <v>0</v>
      </c>
      <c r="D87" s="13">
        <f>IF(C87="","",IFERROR(INDEX(Products!$B$5:$B$304,MATCH(C87,Products!$A$5:$A$304,0)),"Not found"))</f>
        <v>0</v>
      </c>
      <c r="H87" s="20">
        <f>IF(C87="","",IFERROR(INDEX(Products!$AT$5:$AT$304,MATCH(C87,Products!$A$5:$A$304,0)),""))</f>
        <v>0</v>
      </c>
      <c r="I87" s="20">
        <f>IF(C87="","",IFERROR(INDEX(Products!$AR$5:$AR$304,MATCH(C87,Products!$A$5:$A$304,0)),""))</f>
        <v>0</v>
      </c>
      <c r="J87" s="20">
        <f>IF(C87="","",IF(OR(E87="",H87=""),"",ROUND(E87*H87,2)))</f>
        <v>0</v>
      </c>
      <c r="K87" s="20">
        <f>IF(C87="","",IF(OR(E87="",I87=""),"",ROUND(E87*I87,2)))</f>
        <v>0</v>
      </c>
      <c r="L87" s="32">
        <f>IF(A87="","",COUNTIFS($A$5:A87,A87))</f>
        <v>0</v>
      </c>
      <c r="M87" s="13">
        <f>IF(A87="","",A87&amp;"|"&amp;L87)</f>
        <v>0</v>
      </c>
      <c r="N87" s="43">
        <f>IF(AND(A87="",C87=""),"",IF(A87="","Add - which bundle?",IF(C87="","Add - which product?",IF(D87="Not found","Check - no such product ID",IF(E87="","Add - how many?",IF(I87="","Check - that product has no price","OK"))))))</f>
        <v>0</v>
      </c>
    </row>
    <row r="88" spans="2:14">
      <c r="B88" s="13">
        <f>IF(A88="","",IFERROR(INDEX(Bundles!$B$5:$B$64,MATCH(A88,Bundles!$A$5:$A$64,0)),"Not found"))</f>
        <v>0</v>
      </c>
      <c r="D88" s="13">
        <f>IF(C88="","",IFERROR(INDEX(Products!$B$5:$B$304,MATCH(C88,Products!$A$5:$A$304,0)),"Not found"))</f>
        <v>0</v>
      </c>
      <c r="H88" s="20">
        <f>IF(C88="","",IFERROR(INDEX(Products!$AT$5:$AT$304,MATCH(C88,Products!$A$5:$A$304,0)),""))</f>
        <v>0</v>
      </c>
      <c r="I88" s="20">
        <f>IF(C88="","",IFERROR(INDEX(Products!$AR$5:$AR$304,MATCH(C88,Products!$A$5:$A$304,0)),""))</f>
        <v>0</v>
      </c>
      <c r="J88" s="20">
        <f>IF(C88="","",IF(OR(E88="",H88=""),"",ROUND(E88*H88,2)))</f>
        <v>0</v>
      </c>
      <c r="K88" s="20">
        <f>IF(C88="","",IF(OR(E88="",I88=""),"",ROUND(E88*I88,2)))</f>
        <v>0</v>
      </c>
      <c r="L88" s="32">
        <f>IF(A88="","",COUNTIFS($A$5:A88,A88))</f>
        <v>0</v>
      </c>
      <c r="M88" s="13">
        <f>IF(A88="","",A88&amp;"|"&amp;L88)</f>
        <v>0</v>
      </c>
      <c r="N88" s="43">
        <f>IF(AND(A88="",C88=""),"",IF(A88="","Add - which bundle?",IF(C88="","Add - which product?",IF(D88="Not found","Check - no such product ID",IF(E88="","Add - how many?",IF(I88="","Check - that product has no price","OK"))))))</f>
        <v>0</v>
      </c>
    </row>
    <row r="89" spans="2:14">
      <c r="B89" s="13">
        <f>IF(A89="","",IFERROR(INDEX(Bundles!$B$5:$B$64,MATCH(A89,Bundles!$A$5:$A$64,0)),"Not found"))</f>
        <v>0</v>
      </c>
      <c r="D89" s="13">
        <f>IF(C89="","",IFERROR(INDEX(Products!$B$5:$B$304,MATCH(C89,Products!$A$5:$A$304,0)),"Not found"))</f>
        <v>0</v>
      </c>
      <c r="H89" s="20">
        <f>IF(C89="","",IFERROR(INDEX(Products!$AT$5:$AT$304,MATCH(C89,Products!$A$5:$A$304,0)),""))</f>
        <v>0</v>
      </c>
      <c r="I89" s="20">
        <f>IF(C89="","",IFERROR(INDEX(Products!$AR$5:$AR$304,MATCH(C89,Products!$A$5:$A$304,0)),""))</f>
        <v>0</v>
      </c>
      <c r="J89" s="20">
        <f>IF(C89="","",IF(OR(E89="",H89=""),"",ROUND(E89*H89,2)))</f>
        <v>0</v>
      </c>
      <c r="K89" s="20">
        <f>IF(C89="","",IF(OR(E89="",I89=""),"",ROUND(E89*I89,2)))</f>
        <v>0</v>
      </c>
      <c r="L89" s="32">
        <f>IF(A89="","",COUNTIFS($A$5:A89,A89))</f>
        <v>0</v>
      </c>
      <c r="M89" s="13">
        <f>IF(A89="","",A89&amp;"|"&amp;L89)</f>
        <v>0</v>
      </c>
      <c r="N89" s="43">
        <f>IF(AND(A89="",C89=""),"",IF(A89="","Add - which bundle?",IF(C89="","Add - which product?",IF(D89="Not found","Check - no such product ID",IF(E89="","Add - how many?",IF(I89="","Check - that product has no price","OK"))))))</f>
        <v>0</v>
      </c>
    </row>
    <row r="90" spans="2:14">
      <c r="B90" s="13">
        <f>IF(A90="","",IFERROR(INDEX(Bundles!$B$5:$B$64,MATCH(A90,Bundles!$A$5:$A$64,0)),"Not found"))</f>
        <v>0</v>
      </c>
      <c r="D90" s="13">
        <f>IF(C90="","",IFERROR(INDEX(Products!$B$5:$B$304,MATCH(C90,Products!$A$5:$A$304,0)),"Not found"))</f>
        <v>0</v>
      </c>
      <c r="H90" s="20">
        <f>IF(C90="","",IFERROR(INDEX(Products!$AT$5:$AT$304,MATCH(C90,Products!$A$5:$A$304,0)),""))</f>
        <v>0</v>
      </c>
      <c r="I90" s="20">
        <f>IF(C90="","",IFERROR(INDEX(Products!$AR$5:$AR$304,MATCH(C90,Products!$A$5:$A$304,0)),""))</f>
        <v>0</v>
      </c>
      <c r="J90" s="20">
        <f>IF(C90="","",IF(OR(E90="",H90=""),"",ROUND(E90*H90,2)))</f>
        <v>0</v>
      </c>
      <c r="K90" s="20">
        <f>IF(C90="","",IF(OR(E90="",I90=""),"",ROUND(E90*I90,2)))</f>
        <v>0</v>
      </c>
      <c r="L90" s="32">
        <f>IF(A90="","",COUNTIFS($A$5:A90,A90))</f>
        <v>0</v>
      </c>
      <c r="M90" s="13">
        <f>IF(A90="","",A90&amp;"|"&amp;L90)</f>
        <v>0</v>
      </c>
      <c r="N90" s="43">
        <f>IF(AND(A90="",C90=""),"",IF(A90="","Add - which bundle?",IF(C90="","Add - which product?",IF(D90="Not found","Check - no such product ID",IF(E90="","Add - how many?",IF(I90="","Check - that product has no price","OK"))))))</f>
        <v>0</v>
      </c>
    </row>
    <row r="91" spans="2:14">
      <c r="B91" s="13">
        <f>IF(A91="","",IFERROR(INDEX(Bundles!$B$5:$B$64,MATCH(A91,Bundles!$A$5:$A$64,0)),"Not found"))</f>
        <v>0</v>
      </c>
      <c r="D91" s="13">
        <f>IF(C91="","",IFERROR(INDEX(Products!$B$5:$B$304,MATCH(C91,Products!$A$5:$A$304,0)),"Not found"))</f>
        <v>0</v>
      </c>
      <c r="H91" s="20">
        <f>IF(C91="","",IFERROR(INDEX(Products!$AT$5:$AT$304,MATCH(C91,Products!$A$5:$A$304,0)),""))</f>
        <v>0</v>
      </c>
      <c r="I91" s="20">
        <f>IF(C91="","",IFERROR(INDEX(Products!$AR$5:$AR$304,MATCH(C91,Products!$A$5:$A$304,0)),""))</f>
        <v>0</v>
      </c>
      <c r="J91" s="20">
        <f>IF(C91="","",IF(OR(E91="",H91=""),"",ROUND(E91*H91,2)))</f>
        <v>0</v>
      </c>
      <c r="K91" s="20">
        <f>IF(C91="","",IF(OR(E91="",I91=""),"",ROUND(E91*I91,2)))</f>
        <v>0</v>
      </c>
      <c r="L91" s="32">
        <f>IF(A91="","",COUNTIFS($A$5:A91,A91))</f>
        <v>0</v>
      </c>
      <c r="M91" s="13">
        <f>IF(A91="","",A91&amp;"|"&amp;L91)</f>
        <v>0</v>
      </c>
      <c r="N91" s="43">
        <f>IF(AND(A91="",C91=""),"",IF(A91="","Add - which bundle?",IF(C91="","Add - which product?",IF(D91="Not found","Check - no such product ID",IF(E91="","Add - how many?",IF(I91="","Check - that product has no price","OK"))))))</f>
        <v>0</v>
      </c>
    </row>
    <row r="92" spans="2:14">
      <c r="B92" s="13">
        <f>IF(A92="","",IFERROR(INDEX(Bundles!$B$5:$B$64,MATCH(A92,Bundles!$A$5:$A$64,0)),"Not found"))</f>
        <v>0</v>
      </c>
      <c r="D92" s="13">
        <f>IF(C92="","",IFERROR(INDEX(Products!$B$5:$B$304,MATCH(C92,Products!$A$5:$A$304,0)),"Not found"))</f>
        <v>0</v>
      </c>
      <c r="H92" s="20">
        <f>IF(C92="","",IFERROR(INDEX(Products!$AT$5:$AT$304,MATCH(C92,Products!$A$5:$A$304,0)),""))</f>
        <v>0</v>
      </c>
      <c r="I92" s="20">
        <f>IF(C92="","",IFERROR(INDEX(Products!$AR$5:$AR$304,MATCH(C92,Products!$A$5:$A$304,0)),""))</f>
        <v>0</v>
      </c>
      <c r="J92" s="20">
        <f>IF(C92="","",IF(OR(E92="",H92=""),"",ROUND(E92*H92,2)))</f>
        <v>0</v>
      </c>
      <c r="K92" s="20">
        <f>IF(C92="","",IF(OR(E92="",I92=""),"",ROUND(E92*I92,2)))</f>
        <v>0</v>
      </c>
      <c r="L92" s="32">
        <f>IF(A92="","",COUNTIFS($A$5:A92,A92))</f>
        <v>0</v>
      </c>
      <c r="M92" s="13">
        <f>IF(A92="","",A92&amp;"|"&amp;L92)</f>
        <v>0</v>
      </c>
      <c r="N92" s="43">
        <f>IF(AND(A92="",C92=""),"",IF(A92="","Add - which bundle?",IF(C92="","Add - which product?",IF(D92="Not found","Check - no such product ID",IF(E92="","Add - how many?",IF(I92="","Check - that product has no price","OK"))))))</f>
        <v>0</v>
      </c>
    </row>
    <row r="93" spans="2:14">
      <c r="B93" s="13">
        <f>IF(A93="","",IFERROR(INDEX(Bundles!$B$5:$B$64,MATCH(A93,Bundles!$A$5:$A$64,0)),"Not found"))</f>
        <v>0</v>
      </c>
      <c r="D93" s="13">
        <f>IF(C93="","",IFERROR(INDEX(Products!$B$5:$B$304,MATCH(C93,Products!$A$5:$A$304,0)),"Not found"))</f>
        <v>0</v>
      </c>
      <c r="H93" s="20">
        <f>IF(C93="","",IFERROR(INDEX(Products!$AT$5:$AT$304,MATCH(C93,Products!$A$5:$A$304,0)),""))</f>
        <v>0</v>
      </c>
      <c r="I93" s="20">
        <f>IF(C93="","",IFERROR(INDEX(Products!$AR$5:$AR$304,MATCH(C93,Products!$A$5:$A$304,0)),""))</f>
        <v>0</v>
      </c>
      <c r="J93" s="20">
        <f>IF(C93="","",IF(OR(E93="",H93=""),"",ROUND(E93*H93,2)))</f>
        <v>0</v>
      </c>
      <c r="K93" s="20">
        <f>IF(C93="","",IF(OR(E93="",I93=""),"",ROUND(E93*I93,2)))</f>
        <v>0</v>
      </c>
      <c r="L93" s="32">
        <f>IF(A93="","",COUNTIFS($A$5:A93,A93))</f>
        <v>0</v>
      </c>
      <c r="M93" s="13">
        <f>IF(A93="","",A93&amp;"|"&amp;L93)</f>
        <v>0</v>
      </c>
      <c r="N93" s="43">
        <f>IF(AND(A93="",C93=""),"",IF(A93="","Add - which bundle?",IF(C93="","Add - which product?",IF(D93="Not found","Check - no such product ID",IF(E93="","Add - how many?",IF(I93="","Check - that product has no price","OK"))))))</f>
        <v>0</v>
      </c>
    </row>
    <row r="94" spans="2:14">
      <c r="B94" s="13">
        <f>IF(A94="","",IFERROR(INDEX(Bundles!$B$5:$B$64,MATCH(A94,Bundles!$A$5:$A$64,0)),"Not found"))</f>
        <v>0</v>
      </c>
      <c r="D94" s="13">
        <f>IF(C94="","",IFERROR(INDEX(Products!$B$5:$B$304,MATCH(C94,Products!$A$5:$A$304,0)),"Not found"))</f>
        <v>0</v>
      </c>
      <c r="H94" s="20">
        <f>IF(C94="","",IFERROR(INDEX(Products!$AT$5:$AT$304,MATCH(C94,Products!$A$5:$A$304,0)),""))</f>
        <v>0</v>
      </c>
      <c r="I94" s="20">
        <f>IF(C94="","",IFERROR(INDEX(Products!$AR$5:$AR$304,MATCH(C94,Products!$A$5:$A$304,0)),""))</f>
        <v>0</v>
      </c>
      <c r="J94" s="20">
        <f>IF(C94="","",IF(OR(E94="",H94=""),"",ROUND(E94*H94,2)))</f>
        <v>0</v>
      </c>
      <c r="K94" s="20">
        <f>IF(C94="","",IF(OR(E94="",I94=""),"",ROUND(E94*I94,2)))</f>
        <v>0</v>
      </c>
      <c r="L94" s="32">
        <f>IF(A94="","",COUNTIFS($A$5:A94,A94))</f>
        <v>0</v>
      </c>
      <c r="M94" s="13">
        <f>IF(A94="","",A94&amp;"|"&amp;L94)</f>
        <v>0</v>
      </c>
      <c r="N94" s="43">
        <f>IF(AND(A94="",C94=""),"",IF(A94="","Add - which bundle?",IF(C94="","Add - which product?",IF(D94="Not found","Check - no such product ID",IF(E94="","Add - how many?",IF(I94="","Check - that product has no price","OK"))))))</f>
        <v>0</v>
      </c>
    </row>
    <row r="95" spans="2:14">
      <c r="B95" s="13">
        <f>IF(A95="","",IFERROR(INDEX(Bundles!$B$5:$B$64,MATCH(A95,Bundles!$A$5:$A$64,0)),"Not found"))</f>
        <v>0</v>
      </c>
      <c r="D95" s="13">
        <f>IF(C95="","",IFERROR(INDEX(Products!$B$5:$B$304,MATCH(C95,Products!$A$5:$A$304,0)),"Not found"))</f>
        <v>0</v>
      </c>
      <c r="H95" s="20">
        <f>IF(C95="","",IFERROR(INDEX(Products!$AT$5:$AT$304,MATCH(C95,Products!$A$5:$A$304,0)),""))</f>
        <v>0</v>
      </c>
      <c r="I95" s="20">
        <f>IF(C95="","",IFERROR(INDEX(Products!$AR$5:$AR$304,MATCH(C95,Products!$A$5:$A$304,0)),""))</f>
        <v>0</v>
      </c>
      <c r="J95" s="20">
        <f>IF(C95="","",IF(OR(E95="",H95=""),"",ROUND(E95*H95,2)))</f>
        <v>0</v>
      </c>
      <c r="K95" s="20">
        <f>IF(C95="","",IF(OR(E95="",I95=""),"",ROUND(E95*I95,2)))</f>
        <v>0</v>
      </c>
      <c r="L95" s="32">
        <f>IF(A95="","",COUNTIFS($A$5:A95,A95))</f>
        <v>0</v>
      </c>
      <c r="M95" s="13">
        <f>IF(A95="","",A95&amp;"|"&amp;L95)</f>
        <v>0</v>
      </c>
      <c r="N95" s="43">
        <f>IF(AND(A95="",C95=""),"",IF(A95="","Add - which bundle?",IF(C95="","Add - which product?",IF(D95="Not found","Check - no such product ID",IF(E95="","Add - how many?",IF(I95="","Check - that product has no price","OK"))))))</f>
        <v>0</v>
      </c>
    </row>
    <row r="96" spans="2:14">
      <c r="B96" s="13">
        <f>IF(A96="","",IFERROR(INDEX(Bundles!$B$5:$B$64,MATCH(A96,Bundles!$A$5:$A$64,0)),"Not found"))</f>
        <v>0</v>
      </c>
      <c r="D96" s="13">
        <f>IF(C96="","",IFERROR(INDEX(Products!$B$5:$B$304,MATCH(C96,Products!$A$5:$A$304,0)),"Not found"))</f>
        <v>0</v>
      </c>
      <c r="H96" s="20">
        <f>IF(C96="","",IFERROR(INDEX(Products!$AT$5:$AT$304,MATCH(C96,Products!$A$5:$A$304,0)),""))</f>
        <v>0</v>
      </c>
      <c r="I96" s="20">
        <f>IF(C96="","",IFERROR(INDEX(Products!$AR$5:$AR$304,MATCH(C96,Products!$A$5:$A$304,0)),""))</f>
        <v>0</v>
      </c>
      <c r="J96" s="20">
        <f>IF(C96="","",IF(OR(E96="",H96=""),"",ROUND(E96*H96,2)))</f>
        <v>0</v>
      </c>
      <c r="K96" s="20">
        <f>IF(C96="","",IF(OR(E96="",I96=""),"",ROUND(E96*I96,2)))</f>
        <v>0</v>
      </c>
      <c r="L96" s="32">
        <f>IF(A96="","",COUNTIFS($A$5:A96,A96))</f>
        <v>0</v>
      </c>
      <c r="M96" s="13">
        <f>IF(A96="","",A96&amp;"|"&amp;L96)</f>
        <v>0</v>
      </c>
      <c r="N96" s="43">
        <f>IF(AND(A96="",C96=""),"",IF(A96="","Add - which bundle?",IF(C96="","Add - which product?",IF(D96="Not found","Check - no such product ID",IF(E96="","Add - how many?",IF(I96="","Check - that product has no price","OK"))))))</f>
        <v>0</v>
      </c>
    </row>
    <row r="97" spans="2:14">
      <c r="B97" s="13">
        <f>IF(A97="","",IFERROR(INDEX(Bundles!$B$5:$B$64,MATCH(A97,Bundles!$A$5:$A$64,0)),"Not found"))</f>
        <v>0</v>
      </c>
      <c r="D97" s="13">
        <f>IF(C97="","",IFERROR(INDEX(Products!$B$5:$B$304,MATCH(C97,Products!$A$5:$A$304,0)),"Not found"))</f>
        <v>0</v>
      </c>
      <c r="H97" s="20">
        <f>IF(C97="","",IFERROR(INDEX(Products!$AT$5:$AT$304,MATCH(C97,Products!$A$5:$A$304,0)),""))</f>
        <v>0</v>
      </c>
      <c r="I97" s="20">
        <f>IF(C97="","",IFERROR(INDEX(Products!$AR$5:$AR$304,MATCH(C97,Products!$A$5:$A$304,0)),""))</f>
        <v>0</v>
      </c>
      <c r="J97" s="20">
        <f>IF(C97="","",IF(OR(E97="",H97=""),"",ROUND(E97*H97,2)))</f>
        <v>0</v>
      </c>
      <c r="K97" s="20">
        <f>IF(C97="","",IF(OR(E97="",I97=""),"",ROUND(E97*I97,2)))</f>
        <v>0</v>
      </c>
      <c r="L97" s="32">
        <f>IF(A97="","",COUNTIFS($A$5:A97,A97))</f>
        <v>0</v>
      </c>
      <c r="M97" s="13">
        <f>IF(A97="","",A97&amp;"|"&amp;L97)</f>
        <v>0</v>
      </c>
      <c r="N97" s="43">
        <f>IF(AND(A97="",C97=""),"",IF(A97="","Add - which bundle?",IF(C97="","Add - which product?",IF(D97="Not found","Check - no such product ID",IF(E97="","Add - how many?",IF(I97="","Check - that product has no price","OK"))))))</f>
        <v>0</v>
      </c>
    </row>
    <row r="98" spans="2:14">
      <c r="B98" s="13">
        <f>IF(A98="","",IFERROR(INDEX(Bundles!$B$5:$B$64,MATCH(A98,Bundles!$A$5:$A$64,0)),"Not found"))</f>
        <v>0</v>
      </c>
      <c r="D98" s="13">
        <f>IF(C98="","",IFERROR(INDEX(Products!$B$5:$B$304,MATCH(C98,Products!$A$5:$A$304,0)),"Not found"))</f>
        <v>0</v>
      </c>
      <c r="H98" s="20">
        <f>IF(C98="","",IFERROR(INDEX(Products!$AT$5:$AT$304,MATCH(C98,Products!$A$5:$A$304,0)),""))</f>
        <v>0</v>
      </c>
      <c r="I98" s="20">
        <f>IF(C98="","",IFERROR(INDEX(Products!$AR$5:$AR$304,MATCH(C98,Products!$A$5:$A$304,0)),""))</f>
        <v>0</v>
      </c>
      <c r="J98" s="20">
        <f>IF(C98="","",IF(OR(E98="",H98=""),"",ROUND(E98*H98,2)))</f>
        <v>0</v>
      </c>
      <c r="K98" s="20">
        <f>IF(C98="","",IF(OR(E98="",I98=""),"",ROUND(E98*I98,2)))</f>
        <v>0</v>
      </c>
      <c r="L98" s="32">
        <f>IF(A98="","",COUNTIFS($A$5:A98,A98))</f>
        <v>0</v>
      </c>
      <c r="M98" s="13">
        <f>IF(A98="","",A98&amp;"|"&amp;L98)</f>
        <v>0</v>
      </c>
      <c r="N98" s="43">
        <f>IF(AND(A98="",C98=""),"",IF(A98="","Add - which bundle?",IF(C98="","Add - which product?",IF(D98="Not found","Check - no such product ID",IF(E98="","Add - how many?",IF(I98="","Check - that product has no price","OK"))))))</f>
        <v>0</v>
      </c>
    </row>
    <row r="99" spans="2:14">
      <c r="B99" s="13">
        <f>IF(A99="","",IFERROR(INDEX(Bundles!$B$5:$B$64,MATCH(A99,Bundles!$A$5:$A$64,0)),"Not found"))</f>
        <v>0</v>
      </c>
      <c r="D99" s="13">
        <f>IF(C99="","",IFERROR(INDEX(Products!$B$5:$B$304,MATCH(C99,Products!$A$5:$A$304,0)),"Not found"))</f>
        <v>0</v>
      </c>
      <c r="H99" s="20">
        <f>IF(C99="","",IFERROR(INDEX(Products!$AT$5:$AT$304,MATCH(C99,Products!$A$5:$A$304,0)),""))</f>
        <v>0</v>
      </c>
      <c r="I99" s="20">
        <f>IF(C99="","",IFERROR(INDEX(Products!$AR$5:$AR$304,MATCH(C99,Products!$A$5:$A$304,0)),""))</f>
        <v>0</v>
      </c>
      <c r="J99" s="20">
        <f>IF(C99="","",IF(OR(E99="",H99=""),"",ROUND(E99*H99,2)))</f>
        <v>0</v>
      </c>
      <c r="K99" s="20">
        <f>IF(C99="","",IF(OR(E99="",I99=""),"",ROUND(E99*I99,2)))</f>
        <v>0</v>
      </c>
      <c r="L99" s="32">
        <f>IF(A99="","",COUNTIFS($A$5:A99,A99))</f>
        <v>0</v>
      </c>
      <c r="M99" s="13">
        <f>IF(A99="","",A99&amp;"|"&amp;L99)</f>
        <v>0</v>
      </c>
      <c r="N99" s="43">
        <f>IF(AND(A99="",C99=""),"",IF(A99="","Add - which bundle?",IF(C99="","Add - which product?",IF(D99="Not found","Check - no such product ID",IF(E99="","Add - how many?",IF(I99="","Check - that product has no price","OK"))))))</f>
        <v>0</v>
      </c>
    </row>
    <row r="100" spans="2:14">
      <c r="B100" s="13">
        <f>IF(A100="","",IFERROR(INDEX(Bundles!$B$5:$B$64,MATCH(A100,Bundles!$A$5:$A$64,0)),"Not found"))</f>
        <v>0</v>
      </c>
      <c r="D100" s="13">
        <f>IF(C100="","",IFERROR(INDEX(Products!$B$5:$B$304,MATCH(C100,Products!$A$5:$A$304,0)),"Not found"))</f>
        <v>0</v>
      </c>
      <c r="H100" s="20">
        <f>IF(C100="","",IFERROR(INDEX(Products!$AT$5:$AT$304,MATCH(C100,Products!$A$5:$A$304,0)),""))</f>
        <v>0</v>
      </c>
      <c r="I100" s="20">
        <f>IF(C100="","",IFERROR(INDEX(Products!$AR$5:$AR$304,MATCH(C100,Products!$A$5:$A$304,0)),""))</f>
        <v>0</v>
      </c>
      <c r="J100" s="20">
        <f>IF(C100="","",IF(OR(E100="",H100=""),"",ROUND(E100*H100,2)))</f>
        <v>0</v>
      </c>
      <c r="K100" s="20">
        <f>IF(C100="","",IF(OR(E100="",I100=""),"",ROUND(E100*I100,2)))</f>
        <v>0</v>
      </c>
      <c r="L100" s="32">
        <f>IF(A100="","",COUNTIFS($A$5:A100,A100))</f>
        <v>0</v>
      </c>
      <c r="M100" s="13">
        <f>IF(A100="","",A100&amp;"|"&amp;L100)</f>
        <v>0</v>
      </c>
      <c r="N100" s="43">
        <f>IF(AND(A100="",C100=""),"",IF(A100="","Add - which bundle?",IF(C100="","Add - which product?",IF(D100="Not found","Check - no such product ID",IF(E100="","Add - how many?",IF(I100="","Check - that product has no price","OK"))))))</f>
        <v>0</v>
      </c>
    </row>
    <row r="101" spans="2:14">
      <c r="B101" s="13">
        <f>IF(A101="","",IFERROR(INDEX(Bundles!$B$5:$B$64,MATCH(A101,Bundles!$A$5:$A$64,0)),"Not found"))</f>
        <v>0</v>
      </c>
      <c r="D101" s="13">
        <f>IF(C101="","",IFERROR(INDEX(Products!$B$5:$B$304,MATCH(C101,Products!$A$5:$A$304,0)),"Not found"))</f>
        <v>0</v>
      </c>
      <c r="H101" s="20">
        <f>IF(C101="","",IFERROR(INDEX(Products!$AT$5:$AT$304,MATCH(C101,Products!$A$5:$A$304,0)),""))</f>
        <v>0</v>
      </c>
      <c r="I101" s="20">
        <f>IF(C101="","",IFERROR(INDEX(Products!$AR$5:$AR$304,MATCH(C101,Products!$A$5:$A$304,0)),""))</f>
        <v>0</v>
      </c>
      <c r="J101" s="20">
        <f>IF(C101="","",IF(OR(E101="",H101=""),"",ROUND(E101*H101,2)))</f>
        <v>0</v>
      </c>
      <c r="K101" s="20">
        <f>IF(C101="","",IF(OR(E101="",I101=""),"",ROUND(E101*I101,2)))</f>
        <v>0</v>
      </c>
      <c r="L101" s="32">
        <f>IF(A101="","",COUNTIFS($A$5:A101,A101))</f>
        <v>0</v>
      </c>
      <c r="M101" s="13">
        <f>IF(A101="","",A101&amp;"|"&amp;L101)</f>
        <v>0</v>
      </c>
      <c r="N101" s="43">
        <f>IF(AND(A101="",C101=""),"",IF(A101="","Add - which bundle?",IF(C101="","Add - which product?",IF(D101="Not found","Check - no such product ID",IF(E101="","Add - how many?",IF(I101="","Check - that product has no price","OK"))))))</f>
        <v>0</v>
      </c>
    </row>
    <row r="102" spans="2:14">
      <c r="B102" s="13">
        <f>IF(A102="","",IFERROR(INDEX(Bundles!$B$5:$B$64,MATCH(A102,Bundles!$A$5:$A$64,0)),"Not found"))</f>
        <v>0</v>
      </c>
      <c r="D102" s="13">
        <f>IF(C102="","",IFERROR(INDEX(Products!$B$5:$B$304,MATCH(C102,Products!$A$5:$A$304,0)),"Not found"))</f>
        <v>0</v>
      </c>
      <c r="H102" s="20">
        <f>IF(C102="","",IFERROR(INDEX(Products!$AT$5:$AT$304,MATCH(C102,Products!$A$5:$A$304,0)),""))</f>
        <v>0</v>
      </c>
      <c r="I102" s="20">
        <f>IF(C102="","",IFERROR(INDEX(Products!$AR$5:$AR$304,MATCH(C102,Products!$A$5:$A$304,0)),""))</f>
        <v>0</v>
      </c>
      <c r="J102" s="20">
        <f>IF(C102="","",IF(OR(E102="",H102=""),"",ROUND(E102*H102,2)))</f>
        <v>0</v>
      </c>
      <c r="K102" s="20">
        <f>IF(C102="","",IF(OR(E102="",I102=""),"",ROUND(E102*I102,2)))</f>
        <v>0</v>
      </c>
      <c r="L102" s="32">
        <f>IF(A102="","",COUNTIFS($A$5:A102,A102))</f>
        <v>0</v>
      </c>
      <c r="M102" s="13">
        <f>IF(A102="","",A102&amp;"|"&amp;L102)</f>
        <v>0</v>
      </c>
      <c r="N102" s="43">
        <f>IF(AND(A102="",C102=""),"",IF(A102="","Add - which bundle?",IF(C102="","Add - which product?",IF(D102="Not found","Check - no such product ID",IF(E102="","Add - how many?",IF(I102="","Check - that product has no price","OK"))))))</f>
        <v>0</v>
      </c>
    </row>
    <row r="103" spans="2:14">
      <c r="B103" s="13">
        <f>IF(A103="","",IFERROR(INDEX(Bundles!$B$5:$B$64,MATCH(A103,Bundles!$A$5:$A$64,0)),"Not found"))</f>
        <v>0</v>
      </c>
      <c r="D103" s="13">
        <f>IF(C103="","",IFERROR(INDEX(Products!$B$5:$B$304,MATCH(C103,Products!$A$5:$A$304,0)),"Not found"))</f>
        <v>0</v>
      </c>
      <c r="H103" s="20">
        <f>IF(C103="","",IFERROR(INDEX(Products!$AT$5:$AT$304,MATCH(C103,Products!$A$5:$A$304,0)),""))</f>
        <v>0</v>
      </c>
      <c r="I103" s="20">
        <f>IF(C103="","",IFERROR(INDEX(Products!$AR$5:$AR$304,MATCH(C103,Products!$A$5:$A$304,0)),""))</f>
        <v>0</v>
      </c>
      <c r="J103" s="20">
        <f>IF(C103="","",IF(OR(E103="",H103=""),"",ROUND(E103*H103,2)))</f>
        <v>0</v>
      </c>
      <c r="K103" s="20">
        <f>IF(C103="","",IF(OR(E103="",I103=""),"",ROUND(E103*I103,2)))</f>
        <v>0</v>
      </c>
      <c r="L103" s="32">
        <f>IF(A103="","",COUNTIFS($A$5:A103,A103))</f>
        <v>0</v>
      </c>
      <c r="M103" s="13">
        <f>IF(A103="","",A103&amp;"|"&amp;L103)</f>
        <v>0</v>
      </c>
      <c r="N103" s="43">
        <f>IF(AND(A103="",C103=""),"",IF(A103="","Add - which bundle?",IF(C103="","Add - which product?",IF(D103="Not found","Check - no such product ID",IF(E103="","Add - how many?",IF(I103="","Check - that product has no price","OK"))))))</f>
        <v>0</v>
      </c>
    </row>
    <row r="104" spans="2:14">
      <c r="B104" s="13">
        <f>IF(A104="","",IFERROR(INDEX(Bundles!$B$5:$B$64,MATCH(A104,Bundles!$A$5:$A$64,0)),"Not found"))</f>
        <v>0</v>
      </c>
      <c r="D104" s="13">
        <f>IF(C104="","",IFERROR(INDEX(Products!$B$5:$B$304,MATCH(C104,Products!$A$5:$A$304,0)),"Not found"))</f>
        <v>0</v>
      </c>
      <c r="H104" s="20">
        <f>IF(C104="","",IFERROR(INDEX(Products!$AT$5:$AT$304,MATCH(C104,Products!$A$5:$A$304,0)),""))</f>
        <v>0</v>
      </c>
      <c r="I104" s="20">
        <f>IF(C104="","",IFERROR(INDEX(Products!$AR$5:$AR$304,MATCH(C104,Products!$A$5:$A$304,0)),""))</f>
        <v>0</v>
      </c>
      <c r="J104" s="20">
        <f>IF(C104="","",IF(OR(E104="",H104=""),"",ROUND(E104*H104,2)))</f>
        <v>0</v>
      </c>
      <c r="K104" s="20">
        <f>IF(C104="","",IF(OR(E104="",I104=""),"",ROUND(E104*I104,2)))</f>
        <v>0</v>
      </c>
      <c r="L104" s="32">
        <f>IF(A104="","",COUNTIFS($A$5:A104,A104))</f>
        <v>0</v>
      </c>
      <c r="M104" s="13">
        <f>IF(A104="","",A104&amp;"|"&amp;L104)</f>
        <v>0</v>
      </c>
      <c r="N104" s="43">
        <f>IF(AND(A104="",C104=""),"",IF(A104="","Add - which bundle?",IF(C104="","Add - which product?",IF(D104="Not found","Check - no such product ID",IF(E104="","Add - how many?",IF(I104="","Check - that product has no price","OK"))))))</f>
        <v>0</v>
      </c>
    </row>
    <row r="105" spans="2:14">
      <c r="B105" s="13">
        <f>IF(A105="","",IFERROR(INDEX(Bundles!$B$5:$B$64,MATCH(A105,Bundles!$A$5:$A$64,0)),"Not found"))</f>
        <v>0</v>
      </c>
      <c r="D105" s="13">
        <f>IF(C105="","",IFERROR(INDEX(Products!$B$5:$B$304,MATCH(C105,Products!$A$5:$A$304,0)),"Not found"))</f>
        <v>0</v>
      </c>
      <c r="H105" s="20">
        <f>IF(C105="","",IFERROR(INDEX(Products!$AT$5:$AT$304,MATCH(C105,Products!$A$5:$A$304,0)),""))</f>
        <v>0</v>
      </c>
      <c r="I105" s="20">
        <f>IF(C105="","",IFERROR(INDEX(Products!$AR$5:$AR$304,MATCH(C105,Products!$A$5:$A$304,0)),""))</f>
        <v>0</v>
      </c>
      <c r="J105" s="20">
        <f>IF(C105="","",IF(OR(E105="",H105=""),"",ROUND(E105*H105,2)))</f>
        <v>0</v>
      </c>
      <c r="K105" s="20">
        <f>IF(C105="","",IF(OR(E105="",I105=""),"",ROUND(E105*I105,2)))</f>
        <v>0</v>
      </c>
      <c r="L105" s="32">
        <f>IF(A105="","",COUNTIFS($A$5:A105,A105))</f>
        <v>0</v>
      </c>
      <c r="M105" s="13">
        <f>IF(A105="","",A105&amp;"|"&amp;L105)</f>
        <v>0</v>
      </c>
      <c r="N105" s="43">
        <f>IF(AND(A105="",C105=""),"",IF(A105="","Add - which bundle?",IF(C105="","Add - which product?",IF(D105="Not found","Check - no such product ID",IF(E105="","Add - how many?",IF(I105="","Check - that product has no price","OK"))))))</f>
        <v>0</v>
      </c>
    </row>
    <row r="106" spans="2:14">
      <c r="B106" s="13">
        <f>IF(A106="","",IFERROR(INDEX(Bundles!$B$5:$B$64,MATCH(A106,Bundles!$A$5:$A$64,0)),"Not found"))</f>
        <v>0</v>
      </c>
      <c r="D106" s="13">
        <f>IF(C106="","",IFERROR(INDEX(Products!$B$5:$B$304,MATCH(C106,Products!$A$5:$A$304,0)),"Not found"))</f>
        <v>0</v>
      </c>
      <c r="H106" s="20">
        <f>IF(C106="","",IFERROR(INDEX(Products!$AT$5:$AT$304,MATCH(C106,Products!$A$5:$A$304,0)),""))</f>
        <v>0</v>
      </c>
      <c r="I106" s="20">
        <f>IF(C106="","",IFERROR(INDEX(Products!$AR$5:$AR$304,MATCH(C106,Products!$A$5:$A$304,0)),""))</f>
        <v>0</v>
      </c>
      <c r="J106" s="20">
        <f>IF(C106="","",IF(OR(E106="",H106=""),"",ROUND(E106*H106,2)))</f>
        <v>0</v>
      </c>
      <c r="K106" s="20">
        <f>IF(C106="","",IF(OR(E106="",I106=""),"",ROUND(E106*I106,2)))</f>
        <v>0</v>
      </c>
      <c r="L106" s="32">
        <f>IF(A106="","",COUNTIFS($A$5:A106,A106))</f>
        <v>0</v>
      </c>
      <c r="M106" s="13">
        <f>IF(A106="","",A106&amp;"|"&amp;L106)</f>
        <v>0</v>
      </c>
      <c r="N106" s="43">
        <f>IF(AND(A106="",C106=""),"",IF(A106="","Add - which bundle?",IF(C106="","Add - which product?",IF(D106="Not found","Check - no such product ID",IF(E106="","Add - how many?",IF(I106="","Check - that product has no price","OK"))))))</f>
        <v>0</v>
      </c>
    </row>
    <row r="107" spans="2:14">
      <c r="B107" s="13">
        <f>IF(A107="","",IFERROR(INDEX(Bundles!$B$5:$B$64,MATCH(A107,Bundles!$A$5:$A$64,0)),"Not found"))</f>
        <v>0</v>
      </c>
      <c r="D107" s="13">
        <f>IF(C107="","",IFERROR(INDEX(Products!$B$5:$B$304,MATCH(C107,Products!$A$5:$A$304,0)),"Not found"))</f>
        <v>0</v>
      </c>
      <c r="H107" s="20">
        <f>IF(C107="","",IFERROR(INDEX(Products!$AT$5:$AT$304,MATCH(C107,Products!$A$5:$A$304,0)),""))</f>
        <v>0</v>
      </c>
      <c r="I107" s="20">
        <f>IF(C107="","",IFERROR(INDEX(Products!$AR$5:$AR$304,MATCH(C107,Products!$A$5:$A$304,0)),""))</f>
        <v>0</v>
      </c>
      <c r="J107" s="20">
        <f>IF(C107="","",IF(OR(E107="",H107=""),"",ROUND(E107*H107,2)))</f>
        <v>0</v>
      </c>
      <c r="K107" s="20">
        <f>IF(C107="","",IF(OR(E107="",I107=""),"",ROUND(E107*I107,2)))</f>
        <v>0</v>
      </c>
      <c r="L107" s="32">
        <f>IF(A107="","",COUNTIFS($A$5:A107,A107))</f>
        <v>0</v>
      </c>
      <c r="M107" s="13">
        <f>IF(A107="","",A107&amp;"|"&amp;L107)</f>
        <v>0</v>
      </c>
      <c r="N107" s="43">
        <f>IF(AND(A107="",C107=""),"",IF(A107="","Add - which bundle?",IF(C107="","Add - which product?",IF(D107="Not found","Check - no such product ID",IF(E107="","Add - how many?",IF(I107="","Check - that product has no price","OK"))))))</f>
        <v>0</v>
      </c>
    </row>
    <row r="108" spans="2:14">
      <c r="B108" s="13">
        <f>IF(A108="","",IFERROR(INDEX(Bundles!$B$5:$B$64,MATCH(A108,Bundles!$A$5:$A$64,0)),"Not found"))</f>
        <v>0</v>
      </c>
      <c r="D108" s="13">
        <f>IF(C108="","",IFERROR(INDEX(Products!$B$5:$B$304,MATCH(C108,Products!$A$5:$A$304,0)),"Not found"))</f>
        <v>0</v>
      </c>
      <c r="H108" s="20">
        <f>IF(C108="","",IFERROR(INDEX(Products!$AT$5:$AT$304,MATCH(C108,Products!$A$5:$A$304,0)),""))</f>
        <v>0</v>
      </c>
      <c r="I108" s="20">
        <f>IF(C108="","",IFERROR(INDEX(Products!$AR$5:$AR$304,MATCH(C108,Products!$A$5:$A$304,0)),""))</f>
        <v>0</v>
      </c>
      <c r="J108" s="20">
        <f>IF(C108="","",IF(OR(E108="",H108=""),"",ROUND(E108*H108,2)))</f>
        <v>0</v>
      </c>
      <c r="K108" s="20">
        <f>IF(C108="","",IF(OR(E108="",I108=""),"",ROUND(E108*I108,2)))</f>
        <v>0</v>
      </c>
      <c r="L108" s="32">
        <f>IF(A108="","",COUNTIFS($A$5:A108,A108))</f>
        <v>0</v>
      </c>
      <c r="M108" s="13">
        <f>IF(A108="","",A108&amp;"|"&amp;L108)</f>
        <v>0</v>
      </c>
      <c r="N108" s="43">
        <f>IF(AND(A108="",C108=""),"",IF(A108="","Add - which bundle?",IF(C108="","Add - which product?",IF(D108="Not found","Check - no such product ID",IF(E108="","Add - how many?",IF(I108="","Check - that product has no price","OK"))))))</f>
        <v>0</v>
      </c>
    </row>
    <row r="109" spans="2:14">
      <c r="B109" s="13">
        <f>IF(A109="","",IFERROR(INDEX(Bundles!$B$5:$B$64,MATCH(A109,Bundles!$A$5:$A$64,0)),"Not found"))</f>
        <v>0</v>
      </c>
      <c r="D109" s="13">
        <f>IF(C109="","",IFERROR(INDEX(Products!$B$5:$B$304,MATCH(C109,Products!$A$5:$A$304,0)),"Not found"))</f>
        <v>0</v>
      </c>
      <c r="H109" s="20">
        <f>IF(C109="","",IFERROR(INDEX(Products!$AT$5:$AT$304,MATCH(C109,Products!$A$5:$A$304,0)),""))</f>
        <v>0</v>
      </c>
      <c r="I109" s="20">
        <f>IF(C109="","",IFERROR(INDEX(Products!$AR$5:$AR$304,MATCH(C109,Products!$A$5:$A$304,0)),""))</f>
        <v>0</v>
      </c>
      <c r="J109" s="20">
        <f>IF(C109="","",IF(OR(E109="",H109=""),"",ROUND(E109*H109,2)))</f>
        <v>0</v>
      </c>
      <c r="K109" s="20">
        <f>IF(C109="","",IF(OR(E109="",I109=""),"",ROUND(E109*I109,2)))</f>
        <v>0</v>
      </c>
      <c r="L109" s="32">
        <f>IF(A109="","",COUNTIFS($A$5:A109,A109))</f>
        <v>0</v>
      </c>
      <c r="M109" s="13">
        <f>IF(A109="","",A109&amp;"|"&amp;L109)</f>
        <v>0</v>
      </c>
      <c r="N109" s="43">
        <f>IF(AND(A109="",C109=""),"",IF(A109="","Add - which bundle?",IF(C109="","Add - which product?",IF(D109="Not found","Check - no such product ID",IF(E109="","Add - how many?",IF(I109="","Check - that product has no price","OK"))))))</f>
        <v>0</v>
      </c>
    </row>
    <row r="110" spans="2:14">
      <c r="B110" s="13">
        <f>IF(A110="","",IFERROR(INDEX(Bundles!$B$5:$B$64,MATCH(A110,Bundles!$A$5:$A$64,0)),"Not found"))</f>
        <v>0</v>
      </c>
      <c r="D110" s="13">
        <f>IF(C110="","",IFERROR(INDEX(Products!$B$5:$B$304,MATCH(C110,Products!$A$5:$A$304,0)),"Not found"))</f>
        <v>0</v>
      </c>
      <c r="H110" s="20">
        <f>IF(C110="","",IFERROR(INDEX(Products!$AT$5:$AT$304,MATCH(C110,Products!$A$5:$A$304,0)),""))</f>
        <v>0</v>
      </c>
      <c r="I110" s="20">
        <f>IF(C110="","",IFERROR(INDEX(Products!$AR$5:$AR$304,MATCH(C110,Products!$A$5:$A$304,0)),""))</f>
        <v>0</v>
      </c>
      <c r="J110" s="20">
        <f>IF(C110="","",IF(OR(E110="",H110=""),"",ROUND(E110*H110,2)))</f>
        <v>0</v>
      </c>
      <c r="K110" s="20">
        <f>IF(C110="","",IF(OR(E110="",I110=""),"",ROUND(E110*I110,2)))</f>
        <v>0</v>
      </c>
      <c r="L110" s="32">
        <f>IF(A110="","",COUNTIFS($A$5:A110,A110))</f>
        <v>0</v>
      </c>
      <c r="M110" s="13">
        <f>IF(A110="","",A110&amp;"|"&amp;L110)</f>
        <v>0</v>
      </c>
      <c r="N110" s="43">
        <f>IF(AND(A110="",C110=""),"",IF(A110="","Add - which bundle?",IF(C110="","Add - which product?",IF(D110="Not found","Check - no such product ID",IF(E110="","Add - how many?",IF(I110="","Check - that product has no price","OK"))))))</f>
        <v>0</v>
      </c>
    </row>
    <row r="111" spans="2:14">
      <c r="B111" s="13">
        <f>IF(A111="","",IFERROR(INDEX(Bundles!$B$5:$B$64,MATCH(A111,Bundles!$A$5:$A$64,0)),"Not found"))</f>
        <v>0</v>
      </c>
      <c r="D111" s="13">
        <f>IF(C111="","",IFERROR(INDEX(Products!$B$5:$B$304,MATCH(C111,Products!$A$5:$A$304,0)),"Not found"))</f>
        <v>0</v>
      </c>
      <c r="H111" s="20">
        <f>IF(C111="","",IFERROR(INDEX(Products!$AT$5:$AT$304,MATCH(C111,Products!$A$5:$A$304,0)),""))</f>
        <v>0</v>
      </c>
      <c r="I111" s="20">
        <f>IF(C111="","",IFERROR(INDEX(Products!$AR$5:$AR$304,MATCH(C111,Products!$A$5:$A$304,0)),""))</f>
        <v>0</v>
      </c>
      <c r="J111" s="20">
        <f>IF(C111="","",IF(OR(E111="",H111=""),"",ROUND(E111*H111,2)))</f>
        <v>0</v>
      </c>
      <c r="K111" s="20">
        <f>IF(C111="","",IF(OR(E111="",I111=""),"",ROUND(E111*I111,2)))</f>
        <v>0</v>
      </c>
      <c r="L111" s="32">
        <f>IF(A111="","",COUNTIFS($A$5:A111,A111))</f>
        <v>0</v>
      </c>
      <c r="M111" s="13">
        <f>IF(A111="","",A111&amp;"|"&amp;L111)</f>
        <v>0</v>
      </c>
      <c r="N111" s="43">
        <f>IF(AND(A111="",C111=""),"",IF(A111="","Add - which bundle?",IF(C111="","Add - which product?",IF(D111="Not found","Check - no such product ID",IF(E111="","Add - how many?",IF(I111="","Check - that product has no price","OK"))))))</f>
        <v>0</v>
      </c>
    </row>
    <row r="112" spans="2:14">
      <c r="B112" s="13">
        <f>IF(A112="","",IFERROR(INDEX(Bundles!$B$5:$B$64,MATCH(A112,Bundles!$A$5:$A$64,0)),"Not found"))</f>
        <v>0</v>
      </c>
      <c r="D112" s="13">
        <f>IF(C112="","",IFERROR(INDEX(Products!$B$5:$B$304,MATCH(C112,Products!$A$5:$A$304,0)),"Not found"))</f>
        <v>0</v>
      </c>
      <c r="H112" s="20">
        <f>IF(C112="","",IFERROR(INDEX(Products!$AT$5:$AT$304,MATCH(C112,Products!$A$5:$A$304,0)),""))</f>
        <v>0</v>
      </c>
      <c r="I112" s="20">
        <f>IF(C112="","",IFERROR(INDEX(Products!$AR$5:$AR$304,MATCH(C112,Products!$A$5:$A$304,0)),""))</f>
        <v>0</v>
      </c>
      <c r="J112" s="20">
        <f>IF(C112="","",IF(OR(E112="",H112=""),"",ROUND(E112*H112,2)))</f>
        <v>0</v>
      </c>
      <c r="K112" s="20">
        <f>IF(C112="","",IF(OR(E112="",I112=""),"",ROUND(E112*I112,2)))</f>
        <v>0</v>
      </c>
      <c r="L112" s="32">
        <f>IF(A112="","",COUNTIFS($A$5:A112,A112))</f>
        <v>0</v>
      </c>
      <c r="M112" s="13">
        <f>IF(A112="","",A112&amp;"|"&amp;L112)</f>
        <v>0</v>
      </c>
      <c r="N112" s="43">
        <f>IF(AND(A112="",C112=""),"",IF(A112="","Add - which bundle?",IF(C112="","Add - which product?",IF(D112="Not found","Check - no such product ID",IF(E112="","Add - how many?",IF(I112="","Check - that product has no price","OK"))))))</f>
        <v>0</v>
      </c>
    </row>
    <row r="113" spans="2:14">
      <c r="B113" s="13">
        <f>IF(A113="","",IFERROR(INDEX(Bundles!$B$5:$B$64,MATCH(A113,Bundles!$A$5:$A$64,0)),"Not found"))</f>
        <v>0</v>
      </c>
      <c r="D113" s="13">
        <f>IF(C113="","",IFERROR(INDEX(Products!$B$5:$B$304,MATCH(C113,Products!$A$5:$A$304,0)),"Not found"))</f>
        <v>0</v>
      </c>
      <c r="H113" s="20">
        <f>IF(C113="","",IFERROR(INDEX(Products!$AT$5:$AT$304,MATCH(C113,Products!$A$5:$A$304,0)),""))</f>
        <v>0</v>
      </c>
      <c r="I113" s="20">
        <f>IF(C113="","",IFERROR(INDEX(Products!$AR$5:$AR$304,MATCH(C113,Products!$A$5:$A$304,0)),""))</f>
        <v>0</v>
      </c>
      <c r="J113" s="20">
        <f>IF(C113="","",IF(OR(E113="",H113=""),"",ROUND(E113*H113,2)))</f>
        <v>0</v>
      </c>
      <c r="K113" s="20">
        <f>IF(C113="","",IF(OR(E113="",I113=""),"",ROUND(E113*I113,2)))</f>
        <v>0</v>
      </c>
      <c r="L113" s="32">
        <f>IF(A113="","",COUNTIFS($A$5:A113,A113))</f>
        <v>0</v>
      </c>
      <c r="M113" s="13">
        <f>IF(A113="","",A113&amp;"|"&amp;L113)</f>
        <v>0</v>
      </c>
      <c r="N113" s="43">
        <f>IF(AND(A113="",C113=""),"",IF(A113="","Add - which bundle?",IF(C113="","Add - which product?",IF(D113="Not found","Check - no such product ID",IF(E113="","Add - how many?",IF(I113="","Check - that product has no price","OK"))))))</f>
        <v>0</v>
      </c>
    </row>
    <row r="114" spans="2:14">
      <c r="B114" s="13">
        <f>IF(A114="","",IFERROR(INDEX(Bundles!$B$5:$B$64,MATCH(A114,Bundles!$A$5:$A$64,0)),"Not found"))</f>
        <v>0</v>
      </c>
      <c r="D114" s="13">
        <f>IF(C114="","",IFERROR(INDEX(Products!$B$5:$B$304,MATCH(C114,Products!$A$5:$A$304,0)),"Not found"))</f>
        <v>0</v>
      </c>
      <c r="H114" s="20">
        <f>IF(C114="","",IFERROR(INDEX(Products!$AT$5:$AT$304,MATCH(C114,Products!$A$5:$A$304,0)),""))</f>
        <v>0</v>
      </c>
      <c r="I114" s="20">
        <f>IF(C114="","",IFERROR(INDEX(Products!$AR$5:$AR$304,MATCH(C114,Products!$A$5:$A$304,0)),""))</f>
        <v>0</v>
      </c>
      <c r="J114" s="20">
        <f>IF(C114="","",IF(OR(E114="",H114=""),"",ROUND(E114*H114,2)))</f>
        <v>0</v>
      </c>
      <c r="K114" s="20">
        <f>IF(C114="","",IF(OR(E114="",I114=""),"",ROUND(E114*I114,2)))</f>
        <v>0</v>
      </c>
      <c r="L114" s="32">
        <f>IF(A114="","",COUNTIFS($A$5:A114,A114))</f>
        <v>0</v>
      </c>
      <c r="M114" s="13">
        <f>IF(A114="","",A114&amp;"|"&amp;L114)</f>
        <v>0</v>
      </c>
      <c r="N114" s="43">
        <f>IF(AND(A114="",C114=""),"",IF(A114="","Add - which bundle?",IF(C114="","Add - which product?",IF(D114="Not found","Check - no such product ID",IF(E114="","Add - how many?",IF(I114="","Check - that product has no price","OK"))))))</f>
        <v>0</v>
      </c>
    </row>
    <row r="115" spans="2:14">
      <c r="B115" s="13">
        <f>IF(A115="","",IFERROR(INDEX(Bundles!$B$5:$B$64,MATCH(A115,Bundles!$A$5:$A$64,0)),"Not found"))</f>
        <v>0</v>
      </c>
      <c r="D115" s="13">
        <f>IF(C115="","",IFERROR(INDEX(Products!$B$5:$B$304,MATCH(C115,Products!$A$5:$A$304,0)),"Not found"))</f>
        <v>0</v>
      </c>
      <c r="H115" s="20">
        <f>IF(C115="","",IFERROR(INDEX(Products!$AT$5:$AT$304,MATCH(C115,Products!$A$5:$A$304,0)),""))</f>
        <v>0</v>
      </c>
      <c r="I115" s="20">
        <f>IF(C115="","",IFERROR(INDEX(Products!$AR$5:$AR$304,MATCH(C115,Products!$A$5:$A$304,0)),""))</f>
        <v>0</v>
      </c>
      <c r="J115" s="20">
        <f>IF(C115="","",IF(OR(E115="",H115=""),"",ROUND(E115*H115,2)))</f>
        <v>0</v>
      </c>
      <c r="K115" s="20">
        <f>IF(C115="","",IF(OR(E115="",I115=""),"",ROUND(E115*I115,2)))</f>
        <v>0</v>
      </c>
      <c r="L115" s="32">
        <f>IF(A115="","",COUNTIFS($A$5:A115,A115))</f>
        <v>0</v>
      </c>
      <c r="M115" s="13">
        <f>IF(A115="","",A115&amp;"|"&amp;L115)</f>
        <v>0</v>
      </c>
      <c r="N115" s="43">
        <f>IF(AND(A115="",C115=""),"",IF(A115="","Add - which bundle?",IF(C115="","Add - which product?",IF(D115="Not found","Check - no such product ID",IF(E115="","Add - how many?",IF(I115="","Check - that product has no price","OK"))))))</f>
        <v>0</v>
      </c>
    </row>
    <row r="116" spans="2:14">
      <c r="B116" s="13">
        <f>IF(A116="","",IFERROR(INDEX(Bundles!$B$5:$B$64,MATCH(A116,Bundles!$A$5:$A$64,0)),"Not found"))</f>
        <v>0</v>
      </c>
      <c r="D116" s="13">
        <f>IF(C116="","",IFERROR(INDEX(Products!$B$5:$B$304,MATCH(C116,Products!$A$5:$A$304,0)),"Not found"))</f>
        <v>0</v>
      </c>
      <c r="H116" s="20">
        <f>IF(C116="","",IFERROR(INDEX(Products!$AT$5:$AT$304,MATCH(C116,Products!$A$5:$A$304,0)),""))</f>
        <v>0</v>
      </c>
      <c r="I116" s="20">
        <f>IF(C116="","",IFERROR(INDEX(Products!$AR$5:$AR$304,MATCH(C116,Products!$A$5:$A$304,0)),""))</f>
        <v>0</v>
      </c>
      <c r="J116" s="20">
        <f>IF(C116="","",IF(OR(E116="",H116=""),"",ROUND(E116*H116,2)))</f>
        <v>0</v>
      </c>
      <c r="K116" s="20">
        <f>IF(C116="","",IF(OR(E116="",I116=""),"",ROUND(E116*I116,2)))</f>
        <v>0</v>
      </c>
      <c r="L116" s="32">
        <f>IF(A116="","",COUNTIFS($A$5:A116,A116))</f>
        <v>0</v>
      </c>
      <c r="M116" s="13">
        <f>IF(A116="","",A116&amp;"|"&amp;L116)</f>
        <v>0</v>
      </c>
      <c r="N116" s="43">
        <f>IF(AND(A116="",C116=""),"",IF(A116="","Add - which bundle?",IF(C116="","Add - which product?",IF(D116="Not found","Check - no such product ID",IF(E116="","Add - how many?",IF(I116="","Check - that product has no price","OK"))))))</f>
        <v>0</v>
      </c>
    </row>
    <row r="117" spans="2:14">
      <c r="B117" s="13">
        <f>IF(A117="","",IFERROR(INDEX(Bundles!$B$5:$B$64,MATCH(A117,Bundles!$A$5:$A$64,0)),"Not found"))</f>
        <v>0</v>
      </c>
      <c r="D117" s="13">
        <f>IF(C117="","",IFERROR(INDEX(Products!$B$5:$B$304,MATCH(C117,Products!$A$5:$A$304,0)),"Not found"))</f>
        <v>0</v>
      </c>
      <c r="H117" s="20">
        <f>IF(C117="","",IFERROR(INDEX(Products!$AT$5:$AT$304,MATCH(C117,Products!$A$5:$A$304,0)),""))</f>
        <v>0</v>
      </c>
      <c r="I117" s="20">
        <f>IF(C117="","",IFERROR(INDEX(Products!$AR$5:$AR$304,MATCH(C117,Products!$A$5:$A$304,0)),""))</f>
        <v>0</v>
      </c>
      <c r="J117" s="20">
        <f>IF(C117="","",IF(OR(E117="",H117=""),"",ROUND(E117*H117,2)))</f>
        <v>0</v>
      </c>
      <c r="K117" s="20">
        <f>IF(C117="","",IF(OR(E117="",I117=""),"",ROUND(E117*I117,2)))</f>
        <v>0</v>
      </c>
      <c r="L117" s="32">
        <f>IF(A117="","",COUNTIFS($A$5:A117,A117))</f>
        <v>0</v>
      </c>
      <c r="M117" s="13">
        <f>IF(A117="","",A117&amp;"|"&amp;L117)</f>
        <v>0</v>
      </c>
      <c r="N117" s="43">
        <f>IF(AND(A117="",C117=""),"",IF(A117="","Add - which bundle?",IF(C117="","Add - which product?",IF(D117="Not found","Check - no such product ID",IF(E117="","Add - how many?",IF(I117="","Check - that product has no price","OK"))))))</f>
        <v>0</v>
      </c>
    </row>
    <row r="118" spans="2:14">
      <c r="B118" s="13">
        <f>IF(A118="","",IFERROR(INDEX(Bundles!$B$5:$B$64,MATCH(A118,Bundles!$A$5:$A$64,0)),"Not found"))</f>
        <v>0</v>
      </c>
      <c r="D118" s="13">
        <f>IF(C118="","",IFERROR(INDEX(Products!$B$5:$B$304,MATCH(C118,Products!$A$5:$A$304,0)),"Not found"))</f>
        <v>0</v>
      </c>
      <c r="H118" s="20">
        <f>IF(C118="","",IFERROR(INDEX(Products!$AT$5:$AT$304,MATCH(C118,Products!$A$5:$A$304,0)),""))</f>
        <v>0</v>
      </c>
      <c r="I118" s="20">
        <f>IF(C118="","",IFERROR(INDEX(Products!$AR$5:$AR$304,MATCH(C118,Products!$A$5:$A$304,0)),""))</f>
        <v>0</v>
      </c>
      <c r="J118" s="20">
        <f>IF(C118="","",IF(OR(E118="",H118=""),"",ROUND(E118*H118,2)))</f>
        <v>0</v>
      </c>
      <c r="K118" s="20">
        <f>IF(C118="","",IF(OR(E118="",I118=""),"",ROUND(E118*I118,2)))</f>
        <v>0</v>
      </c>
      <c r="L118" s="32">
        <f>IF(A118="","",COUNTIFS($A$5:A118,A118))</f>
        <v>0</v>
      </c>
      <c r="M118" s="13">
        <f>IF(A118="","",A118&amp;"|"&amp;L118)</f>
        <v>0</v>
      </c>
      <c r="N118" s="43">
        <f>IF(AND(A118="",C118=""),"",IF(A118="","Add - which bundle?",IF(C118="","Add - which product?",IF(D118="Not found","Check - no such product ID",IF(E118="","Add - how many?",IF(I118="","Check - that product has no price","OK"))))))</f>
        <v>0</v>
      </c>
    </row>
    <row r="119" spans="2:14">
      <c r="B119" s="13">
        <f>IF(A119="","",IFERROR(INDEX(Bundles!$B$5:$B$64,MATCH(A119,Bundles!$A$5:$A$64,0)),"Not found"))</f>
        <v>0</v>
      </c>
      <c r="D119" s="13">
        <f>IF(C119="","",IFERROR(INDEX(Products!$B$5:$B$304,MATCH(C119,Products!$A$5:$A$304,0)),"Not found"))</f>
        <v>0</v>
      </c>
      <c r="H119" s="20">
        <f>IF(C119="","",IFERROR(INDEX(Products!$AT$5:$AT$304,MATCH(C119,Products!$A$5:$A$304,0)),""))</f>
        <v>0</v>
      </c>
      <c r="I119" s="20">
        <f>IF(C119="","",IFERROR(INDEX(Products!$AR$5:$AR$304,MATCH(C119,Products!$A$5:$A$304,0)),""))</f>
        <v>0</v>
      </c>
      <c r="J119" s="20">
        <f>IF(C119="","",IF(OR(E119="",H119=""),"",ROUND(E119*H119,2)))</f>
        <v>0</v>
      </c>
      <c r="K119" s="20">
        <f>IF(C119="","",IF(OR(E119="",I119=""),"",ROUND(E119*I119,2)))</f>
        <v>0</v>
      </c>
      <c r="L119" s="32">
        <f>IF(A119="","",COUNTIFS($A$5:A119,A119))</f>
        <v>0</v>
      </c>
      <c r="M119" s="13">
        <f>IF(A119="","",A119&amp;"|"&amp;L119)</f>
        <v>0</v>
      </c>
      <c r="N119" s="43">
        <f>IF(AND(A119="",C119=""),"",IF(A119="","Add - which bundle?",IF(C119="","Add - which product?",IF(D119="Not found","Check - no such product ID",IF(E119="","Add - how many?",IF(I119="","Check - that product has no price","OK"))))))</f>
        <v>0</v>
      </c>
    </row>
    <row r="120" spans="2:14">
      <c r="B120" s="13">
        <f>IF(A120="","",IFERROR(INDEX(Bundles!$B$5:$B$64,MATCH(A120,Bundles!$A$5:$A$64,0)),"Not found"))</f>
        <v>0</v>
      </c>
      <c r="D120" s="13">
        <f>IF(C120="","",IFERROR(INDEX(Products!$B$5:$B$304,MATCH(C120,Products!$A$5:$A$304,0)),"Not found"))</f>
        <v>0</v>
      </c>
      <c r="H120" s="20">
        <f>IF(C120="","",IFERROR(INDEX(Products!$AT$5:$AT$304,MATCH(C120,Products!$A$5:$A$304,0)),""))</f>
        <v>0</v>
      </c>
      <c r="I120" s="20">
        <f>IF(C120="","",IFERROR(INDEX(Products!$AR$5:$AR$304,MATCH(C120,Products!$A$5:$A$304,0)),""))</f>
        <v>0</v>
      </c>
      <c r="J120" s="20">
        <f>IF(C120="","",IF(OR(E120="",H120=""),"",ROUND(E120*H120,2)))</f>
        <v>0</v>
      </c>
      <c r="K120" s="20">
        <f>IF(C120="","",IF(OR(E120="",I120=""),"",ROUND(E120*I120,2)))</f>
        <v>0</v>
      </c>
      <c r="L120" s="32">
        <f>IF(A120="","",COUNTIFS($A$5:A120,A120))</f>
        <v>0</v>
      </c>
      <c r="M120" s="13">
        <f>IF(A120="","",A120&amp;"|"&amp;L120)</f>
        <v>0</v>
      </c>
      <c r="N120" s="43">
        <f>IF(AND(A120="",C120=""),"",IF(A120="","Add - which bundle?",IF(C120="","Add - which product?",IF(D120="Not found","Check - no such product ID",IF(E120="","Add - how many?",IF(I120="","Check - that product has no price","OK"))))))</f>
        <v>0</v>
      </c>
    </row>
    <row r="121" spans="2:14">
      <c r="B121" s="13">
        <f>IF(A121="","",IFERROR(INDEX(Bundles!$B$5:$B$64,MATCH(A121,Bundles!$A$5:$A$64,0)),"Not found"))</f>
        <v>0</v>
      </c>
      <c r="D121" s="13">
        <f>IF(C121="","",IFERROR(INDEX(Products!$B$5:$B$304,MATCH(C121,Products!$A$5:$A$304,0)),"Not found"))</f>
        <v>0</v>
      </c>
      <c r="H121" s="20">
        <f>IF(C121="","",IFERROR(INDEX(Products!$AT$5:$AT$304,MATCH(C121,Products!$A$5:$A$304,0)),""))</f>
        <v>0</v>
      </c>
      <c r="I121" s="20">
        <f>IF(C121="","",IFERROR(INDEX(Products!$AR$5:$AR$304,MATCH(C121,Products!$A$5:$A$304,0)),""))</f>
        <v>0</v>
      </c>
      <c r="J121" s="20">
        <f>IF(C121="","",IF(OR(E121="",H121=""),"",ROUND(E121*H121,2)))</f>
        <v>0</v>
      </c>
      <c r="K121" s="20">
        <f>IF(C121="","",IF(OR(E121="",I121=""),"",ROUND(E121*I121,2)))</f>
        <v>0</v>
      </c>
      <c r="L121" s="32">
        <f>IF(A121="","",COUNTIFS($A$5:A121,A121))</f>
        <v>0</v>
      </c>
      <c r="M121" s="13">
        <f>IF(A121="","",A121&amp;"|"&amp;L121)</f>
        <v>0</v>
      </c>
      <c r="N121" s="43">
        <f>IF(AND(A121="",C121=""),"",IF(A121="","Add - which bundle?",IF(C121="","Add - which product?",IF(D121="Not found","Check - no such product ID",IF(E121="","Add - how many?",IF(I121="","Check - that product has no price","OK"))))))</f>
        <v>0</v>
      </c>
    </row>
    <row r="122" spans="2:14">
      <c r="B122" s="13">
        <f>IF(A122="","",IFERROR(INDEX(Bundles!$B$5:$B$64,MATCH(A122,Bundles!$A$5:$A$64,0)),"Not found"))</f>
        <v>0</v>
      </c>
      <c r="D122" s="13">
        <f>IF(C122="","",IFERROR(INDEX(Products!$B$5:$B$304,MATCH(C122,Products!$A$5:$A$304,0)),"Not found"))</f>
        <v>0</v>
      </c>
      <c r="H122" s="20">
        <f>IF(C122="","",IFERROR(INDEX(Products!$AT$5:$AT$304,MATCH(C122,Products!$A$5:$A$304,0)),""))</f>
        <v>0</v>
      </c>
      <c r="I122" s="20">
        <f>IF(C122="","",IFERROR(INDEX(Products!$AR$5:$AR$304,MATCH(C122,Products!$A$5:$A$304,0)),""))</f>
        <v>0</v>
      </c>
      <c r="J122" s="20">
        <f>IF(C122="","",IF(OR(E122="",H122=""),"",ROUND(E122*H122,2)))</f>
        <v>0</v>
      </c>
      <c r="K122" s="20">
        <f>IF(C122="","",IF(OR(E122="",I122=""),"",ROUND(E122*I122,2)))</f>
        <v>0</v>
      </c>
      <c r="L122" s="32">
        <f>IF(A122="","",COUNTIFS($A$5:A122,A122))</f>
        <v>0</v>
      </c>
      <c r="M122" s="13">
        <f>IF(A122="","",A122&amp;"|"&amp;L122)</f>
        <v>0</v>
      </c>
      <c r="N122" s="43">
        <f>IF(AND(A122="",C122=""),"",IF(A122="","Add - which bundle?",IF(C122="","Add - which product?",IF(D122="Not found","Check - no such product ID",IF(E122="","Add - how many?",IF(I122="","Check - that product has no price","OK"))))))</f>
        <v>0</v>
      </c>
    </row>
    <row r="123" spans="2:14">
      <c r="B123" s="13">
        <f>IF(A123="","",IFERROR(INDEX(Bundles!$B$5:$B$64,MATCH(A123,Bundles!$A$5:$A$64,0)),"Not found"))</f>
        <v>0</v>
      </c>
      <c r="D123" s="13">
        <f>IF(C123="","",IFERROR(INDEX(Products!$B$5:$B$304,MATCH(C123,Products!$A$5:$A$304,0)),"Not found"))</f>
        <v>0</v>
      </c>
      <c r="H123" s="20">
        <f>IF(C123="","",IFERROR(INDEX(Products!$AT$5:$AT$304,MATCH(C123,Products!$A$5:$A$304,0)),""))</f>
        <v>0</v>
      </c>
      <c r="I123" s="20">
        <f>IF(C123="","",IFERROR(INDEX(Products!$AR$5:$AR$304,MATCH(C123,Products!$A$5:$A$304,0)),""))</f>
        <v>0</v>
      </c>
      <c r="J123" s="20">
        <f>IF(C123="","",IF(OR(E123="",H123=""),"",ROUND(E123*H123,2)))</f>
        <v>0</v>
      </c>
      <c r="K123" s="20">
        <f>IF(C123="","",IF(OR(E123="",I123=""),"",ROUND(E123*I123,2)))</f>
        <v>0</v>
      </c>
      <c r="L123" s="32">
        <f>IF(A123="","",COUNTIFS($A$5:A123,A123))</f>
        <v>0</v>
      </c>
      <c r="M123" s="13">
        <f>IF(A123="","",A123&amp;"|"&amp;L123)</f>
        <v>0</v>
      </c>
      <c r="N123" s="43">
        <f>IF(AND(A123="",C123=""),"",IF(A123="","Add - which bundle?",IF(C123="","Add - which product?",IF(D123="Not found","Check - no such product ID",IF(E123="","Add - how many?",IF(I123="","Check - that product has no price","OK"))))))</f>
        <v>0</v>
      </c>
    </row>
    <row r="124" spans="2:14">
      <c r="B124" s="13">
        <f>IF(A124="","",IFERROR(INDEX(Bundles!$B$5:$B$64,MATCH(A124,Bundles!$A$5:$A$64,0)),"Not found"))</f>
        <v>0</v>
      </c>
      <c r="D124" s="13">
        <f>IF(C124="","",IFERROR(INDEX(Products!$B$5:$B$304,MATCH(C124,Products!$A$5:$A$304,0)),"Not found"))</f>
        <v>0</v>
      </c>
      <c r="H124" s="20">
        <f>IF(C124="","",IFERROR(INDEX(Products!$AT$5:$AT$304,MATCH(C124,Products!$A$5:$A$304,0)),""))</f>
        <v>0</v>
      </c>
      <c r="I124" s="20">
        <f>IF(C124="","",IFERROR(INDEX(Products!$AR$5:$AR$304,MATCH(C124,Products!$A$5:$A$304,0)),""))</f>
        <v>0</v>
      </c>
      <c r="J124" s="20">
        <f>IF(C124="","",IF(OR(E124="",H124=""),"",ROUND(E124*H124,2)))</f>
        <v>0</v>
      </c>
      <c r="K124" s="20">
        <f>IF(C124="","",IF(OR(E124="",I124=""),"",ROUND(E124*I124,2)))</f>
        <v>0</v>
      </c>
      <c r="L124" s="32">
        <f>IF(A124="","",COUNTIFS($A$5:A124,A124))</f>
        <v>0</v>
      </c>
      <c r="M124" s="13">
        <f>IF(A124="","",A124&amp;"|"&amp;L124)</f>
        <v>0</v>
      </c>
      <c r="N124" s="43">
        <f>IF(AND(A124="",C124=""),"",IF(A124="","Add - which bundle?",IF(C124="","Add - which product?",IF(D124="Not found","Check - no such product ID",IF(E124="","Add - how many?",IF(I124="","Check - that product has no price","OK"))))))</f>
        <v>0</v>
      </c>
    </row>
    <row r="125" spans="2:14">
      <c r="B125" s="13">
        <f>IF(A125="","",IFERROR(INDEX(Bundles!$B$5:$B$64,MATCH(A125,Bundles!$A$5:$A$64,0)),"Not found"))</f>
        <v>0</v>
      </c>
      <c r="D125" s="13">
        <f>IF(C125="","",IFERROR(INDEX(Products!$B$5:$B$304,MATCH(C125,Products!$A$5:$A$304,0)),"Not found"))</f>
        <v>0</v>
      </c>
      <c r="H125" s="20">
        <f>IF(C125="","",IFERROR(INDEX(Products!$AT$5:$AT$304,MATCH(C125,Products!$A$5:$A$304,0)),""))</f>
        <v>0</v>
      </c>
      <c r="I125" s="20">
        <f>IF(C125="","",IFERROR(INDEX(Products!$AR$5:$AR$304,MATCH(C125,Products!$A$5:$A$304,0)),""))</f>
        <v>0</v>
      </c>
      <c r="J125" s="20">
        <f>IF(C125="","",IF(OR(E125="",H125=""),"",ROUND(E125*H125,2)))</f>
        <v>0</v>
      </c>
      <c r="K125" s="20">
        <f>IF(C125="","",IF(OR(E125="",I125=""),"",ROUND(E125*I125,2)))</f>
        <v>0</v>
      </c>
      <c r="L125" s="32">
        <f>IF(A125="","",COUNTIFS($A$5:A125,A125))</f>
        <v>0</v>
      </c>
      <c r="M125" s="13">
        <f>IF(A125="","",A125&amp;"|"&amp;L125)</f>
        <v>0</v>
      </c>
      <c r="N125" s="43">
        <f>IF(AND(A125="",C125=""),"",IF(A125="","Add - which bundle?",IF(C125="","Add - which product?",IF(D125="Not found","Check - no such product ID",IF(E125="","Add - how many?",IF(I125="","Check - that product has no price","OK"))))))</f>
        <v>0</v>
      </c>
    </row>
    <row r="126" spans="2:14">
      <c r="B126" s="13">
        <f>IF(A126="","",IFERROR(INDEX(Bundles!$B$5:$B$64,MATCH(A126,Bundles!$A$5:$A$64,0)),"Not found"))</f>
        <v>0</v>
      </c>
      <c r="D126" s="13">
        <f>IF(C126="","",IFERROR(INDEX(Products!$B$5:$B$304,MATCH(C126,Products!$A$5:$A$304,0)),"Not found"))</f>
        <v>0</v>
      </c>
      <c r="H126" s="20">
        <f>IF(C126="","",IFERROR(INDEX(Products!$AT$5:$AT$304,MATCH(C126,Products!$A$5:$A$304,0)),""))</f>
        <v>0</v>
      </c>
      <c r="I126" s="20">
        <f>IF(C126="","",IFERROR(INDEX(Products!$AR$5:$AR$304,MATCH(C126,Products!$A$5:$A$304,0)),""))</f>
        <v>0</v>
      </c>
      <c r="J126" s="20">
        <f>IF(C126="","",IF(OR(E126="",H126=""),"",ROUND(E126*H126,2)))</f>
        <v>0</v>
      </c>
      <c r="K126" s="20">
        <f>IF(C126="","",IF(OR(E126="",I126=""),"",ROUND(E126*I126,2)))</f>
        <v>0</v>
      </c>
      <c r="L126" s="32">
        <f>IF(A126="","",COUNTIFS($A$5:A126,A126))</f>
        <v>0</v>
      </c>
      <c r="M126" s="13">
        <f>IF(A126="","",A126&amp;"|"&amp;L126)</f>
        <v>0</v>
      </c>
      <c r="N126" s="43">
        <f>IF(AND(A126="",C126=""),"",IF(A126="","Add - which bundle?",IF(C126="","Add - which product?",IF(D126="Not found","Check - no such product ID",IF(E126="","Add - how many?",IF(I126="","Check - that product has no price","OK"))))))</f>
        <v>0</v>
      </c>
    </row>
    <row r="127" spans="2:14">
      <c r="B127" s="13">
        <f>IF(A127="","",IFERROR(INDEX(Bundles!$B$5:$B$64,MATCH(A127,Bundles!$A$5:$A$64,0)),"Not found"))</f>
        <v>0</v>
      </c>
      <c r="D127" s="13">
        <f>IF(C127="","",IFERROR(INDEX(Products!$B$5:$B$304,MATCH(C127,Products!$A$5:$A$304,0)),"Not found"))</f>
        <v>0</v>
      </c>
      <c r="H127" s="20">
        <f>IF(C127="","",IFERROR(INDEX(Products!$AT$5:$AT$304,MATCH(C127,Products!$A$5:$A$304,0)),""))</f>
        <v>0</v>
      </c>
      <c r="I127" s="20">
        <f>IF(C127="","",IFERROR(INDEX(Products!$AR$5:$AR$304,MATCH(C127,Products!$A$5:$A$304,0)),""))</f>
        <v>0</v>
      </c>
      <c r="J127" s="20">
        <f>IF(C127="","",IF(OR(E127="",H127=""),"",ROUND(E127*H127,2)))</f>
        <v>0</v>
      </c>
      <c r="K127" s="20">
        <f>IF(C127="","",IF(OR(E127="",I127=""),"",ROUND(E127*I127,2)))</f>
        <v>0</v>
      </c>
      <c r="L127" s="32">
        <f>IF(A127="","",COUNTIFS($A$5:A127,A127))</f>
        <v>0</v>
      </c>
      <c r="M127" s="13">
        <f>IF(A127="","",A127&amp;"|"&amp;L127)</f>
        <v>0</v>
      </c>
      <c r="N127" s="43">
        <f>IF(AND(A127="",C127=""),"",IF(A127="","Add - which bundle?",IF(C127="","Add - which product?",IF(D127="Not found","Check - no such product ID",IF(E127="","Add - how many?",IF(I127="","Check - that product has no price","OK"))))))</f>
        <v>0</v>
      </c>
    </row>
    <row r="128" spans="2:14">
      <c r="B128" s="13">
        <f>IF(A128="","",IFERROR(INDEX(Bundles!$B$5:$B$64,MATCH(A128,Bundles!$A$5:$A$64,0)),"Not found"))</f>
        <v>0</v>
      </c>
      <c r="D128" s="13">
        <f>IF(C128="","",IFERROR(INDEX(Products!$B$5:$B$304,MATCH(C128,Products!$A$5:$A$304,0)),"Not found"))</f>
        <v>0</v>
      </c>
      <c r="H128" s="20">
        <f>IF(C128="","",IFERROR(INDEX(Products!$AT$5:$AT$304,MATCH(C128,Products!$A$5:$A$304,0)),""))</f>
        <v>0</v>
      </c>
      <c r="I128" s="20">
        <f>IF(C128="","",IFERROR(INDEX(Products!$AR$5:$AR$304,MATCH(C128,Products!$A$5:$A$304,0)),""))</f>
        <v>0</v>
      </c>
      <c r="J128" s="20">
        <f>IF(C128="","",IF(OR(E128="",H128=""),"",ROUND(E128*H128,2)))</f>
        <v>0</v>
      </c>
      <c r="K128" s="20">
        <f>IF(C128="","",IF(OR(E128="",I128=""),"",ROUND(E128*I128,2)))</f>
        <v>0</v>
      </c>
      <c r="L128" s="32">
        <f>IF(A128="","",COUNTIFS($A$5:A128,A128))</f>
        <v>0</v>
      </c>
      <c r="M128" s="13">
        <f>IF(A128="","",A128&amp;"|"&amp;L128)</f>
        <v>0</v>
      </c>
      <c r="N128" s="43">
        <f>IF(AND(A128="",C128=""),"",IF(A128="","Add - which bundle?",IF(C128="","Add - which product?",IF(D128="Not found","Check - no such product ID",IF(E128="","Add - how many?",IF(I128="","Check - that product has no price","OK"))))))</f>
        <v>0</v>
      </c>
    </row>
    <row r="129" spans="2:14">
      <c r="B129" s="13">
        <f>IF(A129="","",IFERROR(INDEX(Bundles!$B$5:$B$64,MATCH(A129,Bundles!$A$5:$A$64,0)),"Not found"))</f>
        <v>0</v>
      </c>
      <c r="D129" s="13">
        <f>IF(C129="","",IFERROR(INDEX(Products!$B$5:$B$304,MATCH(C129,Products!$A$5:$A$304,0)),"Not found"))</f>
        <v>0</v>
      </c>
      <c r="H129" s="20">
        <f>IF(C129="","",IFERROR(INDEX(Products!$AT$5:$AT$304,MATCH(C129,Products!$A$5:$A$304,0)),""))</f>
        <v>0</v>
      </c>
      <c r="I129" s="20">
        <f>IF(C129="","",IFERROR(INDEX(Products!$AR$5:$AR$304,MATCH(C129,Products!$A$5:$A$304,0)),""))</f>
        <v>0</v>
      </c>
      <c r="J129" s="20">
        <f>IF(C129="","",IF(OR(E129="",H129=""),"",ROUND(E129*H129,2)))</f>
        <v>0</v>
      </c>
      <c r="K129" s="20">
        <f>IF(C129="","",IF(OR(E129="",I129=""),"",ROUND(E129*I129,2)))</f>
        <v>0</v>
      </c>
      <c r="L129" s="32">
        <f>IF(A129="","",COUNTIFS($A$5:A129,A129))</f>
        <v>0</v>
      </c>
      <c r="M129" s="13">
        <f>IF(A129="","",A129&amp;"|"&amp;L129)</f>
        <v>0</v>
      </c>
      <c r="N129" s="43">
        <f>IF(AND(A129="",C129=""),"",IF(A129="","Add - which bundle?",IF(C129="","Add - which product?",IF(D129="Not found","Check - no such product ID",IF(E129="","Add - how many?",IF(I129="","Check - that product has no price","OK"))))))</f>
        <v>0</v>
      </c>
    </row>
    <row r="130" spans="2:14">
      <c r="B130" s="13">
        <f>IF(A130="","",IFERROR(INDEX(Bundles!$B$5:$B$64,MATCH(A130,Bundles!$A$5:$A$64,0)),"Not found"))</f>
        <v>0</v>
      </c>
      <c r="D130" s="13">
        <f>IF(C130="","",IFERROR(INDEX(Products!$B$5:$B$304,MATCH(C130,Products!$A$5:$A$304,0)),"Not found"))</f>
        <v>0</v>
      </c>
      <c r="H130" s="20">
        <f>IF(C130="","",IFERROR(INDEX(Products!$AT$5:$AT$304,MATCH(C130,Products!$A$5:$A$304,0)),""))</f>
        <v>0</v>
      </c>
      <c r="I130" s="20">
        <f>IF(C130="","",IFERROR(INDEX(Products!$AR$5:$AR$304,MATCH(C130,Products!$A$5:$A$304,0)),""))</f>
        <v>0</v>
      </c>
      <c r="J130" s="20">
        <f>IF(C130="","",IF(OR(E130="",H130=""),"",ROUND(E130*H130,2)))</f>
        <v>0</v>
      </c>
      <c r="K130" s="20">
        <f>IF(C130="","",IF(OR(E130="",I130=""),"",ROUND(E130*I130,2)))</f>
        <v>0</v>
      </c>
      <c r="L130" s="32">
        <f>IF(A130="","",COUNTIFS($A$5:A130,A130))</f>
        <v>0</v>
      </c>
      <c r="M130" s="13">
        <f>IF(A130="","",A130&amp;"|"&amp;L130)</f>
        <v>0</v>
      </c>
      <c r="N130" s="43">
        <f>IF(AND(A130="",C130=""),"",IF(A130="","Add - which bundle?",IF(C130="","Add - which product?",IF(D130="Not found","Check - no such product ID",IF(E130="","Add - how many?",IF(I130="","Check - that product has no price","OK"))))))</f>
        <v>0</v>
      </c>
    </row>
    <row r="131" spans="2:14">
      <c r="B131" s="13">
        <f>IF(A131="","",IFERROR(INDEX(Bundles!$B$5:$B$64,MATCH(A131,Bundles!$A$5:$A$64,0)),"Not found"))</f>
        <v>0</v>
      </c>
      <c r="D131" s="13">
        <f>IF(C131="","",IFERROR(INDEX(Products!$B$5:$B$304,MATCH(C131,Products!$A$5:$A$304,0)),"Not found"))</f>
        <v>0</v>
      </c>
      <c r="H131" s="20">
        <f>IF(C131="","",IFERROR(INDEX(Products!$AT$5:$AT$304,MATCH(C131,Products!$A$5:$A$304,0)),""))</f>
        <v>0</v>
      </c>
      <c r="I131" s="20">
        <f>IF(C131="","",IFERROR(INDEX(Products!$AR$5:$AR$304,MATCH(C131,Products!$A$5:$A$304,0)),""))</f>
        <v>0</v>
      </c>
      <c r="J131" s="20">
        <f>IF(C131="","",IF(OR(E131="",H131=""),"",ROUND(E131*H131,2)))</f>
        <v>0</v>
      </c>
      <c r="K131" s="20">
        <f>IF(C131="","",IF(OR(E131="",I131=""),"",ROUND(E131*I131,2)))</f>
        <v>0</v>
      </c>
      <c r="L131" s="32">
        <f>IF(A131="","",COUNTIFS($A$5:A131,A131))</f>
        <v>0</v>
      </c>
      <c r="M131" s="13">
        <f>IF(A131="","",A131&amp;"|"&amp;L131)</f>
        <v>0</v>
      </c>
      <c r="N131" s="43">
        <f>IF(AND(A131="",C131=""),"",IF(A131="","Add - which bundle?",IF(C131="","Add - which product?",IF(D131="Not found","Check - no such product ID",IF(E131="","Add - how many?",IF(I131="","Check - that product has no price","OK"))))))</f>
        <v>0</v>
      </c>
    </row>
    <row r="132" spans="2:14">
      <c r="B132" s="13">
        <f>IF(A132="","",IFERROR(INDEX(Bundles!$B$5:$B$64,MATCH(A132,Bundles!$A$5:$A$64,0)),"Not found"))</f>
        <v>0</v>
      </c>
      <c r="D132" s="13">
        <f>IF(C132="","",IFERROR(INDEX(Products!$B$5:$B$304,MATCH(C132,Products!$A$5:$A$304,0)),"Not found"))</f>
        <v>0</v>
      </c>
      <c r="H132" s="20">
        <f>IF(C132="","",IFERROR(INDEX(Products!$AT$5:$AT$304,MATCH(C132,Products!$A$5:$A$304,0)),""))</f>
        <v>0</v>
      </c>
      <c r="I132" s="20">
        <f>IF(C132="","",IFERROR(INDEX(Products!$AR$5:$AR$304,MATCH(C132,Products!$A$5:$A$304,0)),""))</f>
        <v>0</v>
      </c>
      <c r="J132" s="20">
        <f>IF(C132="","",IF(OR(E132="",H132=""),"",ROUND(E132*H132,2)))</f>
        <v>0</v>
      </c>
      <c r="K132" s="20">
        <f>IF(C132="","",IF(OR(E132="",I132=""),"",ROUND(E132*I132,2)))</f>
        <v>0</v>
      </c>
      <c r="L132" s="32">
        <f>IF(A132="","",COUNTIFS($A$5:A132,A132))</f>
        <v>0</v>
      </c>
      <c r="M132" s="13">
        <f>IF(A132="","",A132&amp;"|"&amp;L132)</f>
        <v>0</v>
      </c>
      <c r="N132" s="43">
        <f>IF(AND(A132="",C132=""),"",IF(A132="","Add - which bundle?",IF(C132="","Add - which product?",IF(D132="Not found","Check - no such product ID",IF(E132="","Add - how many?",IF(I132="","Check - that product has no price","OK"))))))</f>
        <v>0</v>
      </c>
    </row>
    <row r="133" spans="2:14">
      <c r="B133" s="13">
        <f>IF(A133="","",IFERROR(INDEX(Bundles!$B$5:$B$64,MATCH(A133,Bundles!$A$5:$A$64,0)),"Not found"))</f>
        <v>0</v>
      </c>
      <c r="D133" s="13">
        <f>IF(C133="","",IFERROR(INDEX(Products!$B$5:$B$304,MATCH(C133,Products!$A$5:$A$304,0)),"Not found"))</f>
        <v>0</v>
      </c>
      <c r="H133" s="20">
        <f>IF(C133="","",IFERROR(INDEX(Products!$AT$5:$AT$304,MATCH(C133,Products!$A$5:$A$304,0)),""))</f>
        <v>0</v>
      </c>
      <c r="I133" s="20">
        <f>IF(C133="","",IFERROR(INDEX(Products!$AR$5:$AR$304,MATCH(C133,Products!$A$5:$A$304,0)),""))</f>
        <v>0</v>
      </c>
      <c r="J133" s="20">
        <f>IF(C133="","",IF(OR(E133="",H133=""),"",ROUND(E133*H133,2)))</f>
        <v>0</v>
      </c>
      <c r="K133" s="20">
        <f>IF(C133="","",IF(OR(E133="",I133=""),"",ROUND(E133*I133,2)))</f>
        <v>0</v>
      </c>
      <c r="L133" s="32">
        <f>IF(A133="","",COUNTIFS($A$5:A133,A133))</f>
        <v>0</v>
      </c>
      <c r="M133" s="13">
        <f>IF(A133="","",A133&amp;"|"&amp;L133)</f>
        <v>0</v>
      </c>
      <c r="N133" s="43">
        <f>IF(AND(A133="",C133=""),"",IF(A133="","Add - which bundle?",IF(C133="","Add - which product?",IF(D133="Not found","Check - no such product ID",IF(E133="","Add - how many?",IF(I133="","Check - that product has no price","OK"))))))</f>
        <v>0</v>
      </c>
    </row>
    <row r="134" spans="2:14">
      <c r="B134" s="13">
        <f>IF(A134="","",IFERROR(INDEX(Bundles!$B$5:$B$64,MATCH(A134,Bundles!$A$5:$A$64,0)),"Not found"))</f>
        <v>0</v>
      </c>
      <c r="D134" s="13">
        <f>IF(C134="","",IFERROR(INDEX(Products!$B$5:$B$304,MATCH(C134,Products!$A$5:$A$304,0)),"Not found"))</f>
        <v>0</v>
      </c>
      <c r="H134" s="20">
        <f>IF(C134="","",IFERROR(INDEX(Products!$AT$5:$AT$304,MATCH(C134,Products!$A$5:$A$304,0)),""))</f>
        <v>0</v>
      </c>
      <c r="I134" s="20">
        <f>IF(C134="","",IFERROR(INDEX(Products!$AR$5:$AR$304,MATCH(C134,Products!$A$5:$A$304,0)),""))</f>
        <v>0</v>
      </c>
      <c r="J134" s="20">
        <f>IF(C134="","",IF(OR(E134="",H134=""),"",ROUND(E134*H134,2)))</f>
        <v>0</v>
      </c>
      <c r="K134" s="20">
        <f>IF(C134="","",IF(OR(E134="",I134=""),"",ROUND(E134*I134,2)))</f>
        <v>0</v>
      </c>
      <c r="L134" s="32">
        <f>IF(A134="","",COUNTIFS($A$5:A134,A134))</f>
        <v>0</v>
      </c>
      <c r="M134" s="13">
        <f>IF(A134="","",A134&amp;"|"&amp;L134)</f>
        <v>0</v>
      </c>
      <c r="N134" s="43">
        <f>IF(AND(A134="",C134=""),"",IF(A134="","Add - which bundle?",IF(C134="","Add - which product?",IF(D134="Not found","Check - no such product ID",IF(E134="","Add - how many?",IF(I134="","Check - that product has no price","OK"))))))</f>
        <v>0</v>
      </c>
    </row>
    <row r="135" spans="2:14">
      <c r="B135" s="13">
        <f>IF(A135="","",IFERROR(INDEX(Bundles!$B$5:$B$64,MATCH(A135,Bundles!$A$5:$A$64,0)),"Not found"))</f>
        <v>0</v>
      </c>
      <c r="D135" s="13">
        <f>IF(C135="","",IFERROR(INDEX(Products!$B$5:$B$304,MATCH(C135,Products!$A$5:$A$304,0)),"Not found"))</f>
        <v>0</v>
      </c>
      <c r="H135" s="20">
        <f>IF(C135="","",IFERROR(INDEX(Products!$AT$5:$AT$304,MATCH(C135,Products!$A$5:$A$304,0)),""))</f>
        <v>0</v>
      </c>
      <c r="I135" s="20">
        <f>IF(C135="","",IFERROR(INDEX(Products!$AR$5:$AR$304,MATCH(C135,Products!$A$5:$A$304,0)),""))</f>
        <v>0</v>
      </c>
      <c r="J135" s="20">
        <f>IF(C135="","",IF(OR(E135="",H135=""),"",ROUND(E135*H135,2)))</f>
        <v>0</v>
      </c>
      <c r="K135" s="20">
        <f>IF(C135="","",IF(OR(E135="",I135=""),"",ROUND(E135*I135,2)))</f>
        <v>0</v>
      </c>
      <c r="L135" s="32">
        <f>IF(A135="","",COUNTIFS($A$5:A135,A135))</f>
        <v>0</v>
      </c>
      <c r="M135" s="13">
        <f>IF(A135="","",A135&amp;"|"&amp;L135)</f>
        <v>0</v>
      </c>
      <c r="N135" s="43">
        <f>IF(AND(A135="",C135=""),"",IF(A135="","Add - which bundle?",IF(C135="","Add - which product?",IF(D135="Not found","Check - no such product ID",IF(E135="","Add - how many?",IF(I135="","Check - that product has no price","OK"))))))</f>
        <v>0</v>
      </c>
    </row>
    <row r="136" spans="2:14">
      <c r="B136" s="13">
        <f>IF(A136="","",IFERROR(INDEX(Bundles!$B$5:$B$64,MATCH(A136,Bundles!$A$5:$A$64,0)),"Not found"))</f>
        <v>0</v>
      </c>
      <c r="D136" s="13">
        <f>IF(C136="","",IFERROR(INDEX(Products!$B$5:$B$304,MATCH(C136,Products!$A$5:$A$304,0)),"Not found"))</f>
        <v>0</v>
      </c>
      <c r="H136" s="20">
        <f>IF(C136="","",IFERROR(INDEX(Products!$AT$5:$AT$304,MATCH(C136,Products!$A$5:$A$304,0)),""))</f>
        <v>0</v>
      </c>
      <c r="I136" s="20">
        <f>IF(C136="","",IFERROR(INDEX(Products!$AR$5:$AR$304,MATCH(C136,Products!$A$5:$A$304,0)),""))</f>
        <v>0</v>
      </c>
      <c r="J136" s="20">
        <f>IF(C136="","",IF(OR(E136="",H136=""),"",ROUND(E136*H136,2)))</f>
        <v>0</v>
      </c>
      <c r="K136" s="20">
        <f>IF(C136="","",IF(OR(E136="",I136=""),"",ROUND(E136*I136,2)))</f>
        <v>0</v>
      </c>
      <c r="L136" s="32">
        <f>IF(A136="","",COUNTIFS($A$5:A136,A136))</f>
        <v>0</v>
      </c>
      <c r="M136" s="13">
        <f>IF(A136="","",A136&amp;"|"&amp;L136)</f>
        <v>0</v>
      </c>
      <c r="N136" s="43">
        <f>IF(AND(A136="",C136=""),"",IF(A136="","Add - which bundle?",IF(C136="","Add - which product?",IF(D136="Not found","Check - no such product ID",IF(E136="","Add - how many?",IF(I136="","Check - that product has no price","OK"))))))</f>
        <v>0</v>
      </c>
    </row>
    <row r="137" spans="2:14">
      <c r="B137" s="13">
        <f>IF(A137="","",IFERROR(INDEX(Bundles!$B$5:$B$64,MATCH(A137,Bundles!$A$5:$A$64,0)),"Not found"))</f>
        <v>0</v>
      </c>
      <c r="D137" s="13">
        <f>IF(C137="","",IFERROR(INDEX(Products!$B$5:$B$304,MATCH(C137,Products!$A$5:$A$304,0)),"Not found"))</f>
        <v>0</v>
      </c>
      <c r="H137" s="20">
        <f>IF(C137="","",IFERROR(INDEX(Products!$AT$5:$AT$304,MATCH(C137,Products!$A$5:$A$304,0)),""))</f>
        <v>0</v>
      </c>
      <c r="I137" s="20">
        <f>IF(C137="","",IFERROR(INDEX(Products!$AR$5:$AR$304,MATCH(C137,Products!$A$5:$A$304,0)),""))</f>
        <v>0</v>
      </c>
      <c r="J137" s="20">
        <f>IF(C137="","",IF(OR(E137="",H137=""),"",ROUND(E137*H137,2)))</f>
        <v>0</v>
      </c>
      <c r="K137" s="20">
        <f>IF(C137="","",IF(OR(E137="",I137=""),"",ROUND(E137*I137,2)))</f>
        <v>0</v>
      </c>
      <c r="L137" s="32">
        <f>IF(A137="","",COUNTIFS($A$5:A137,A137))</f>
        <v>0</v>
      </c>
      <c r="M137" s="13">
        <f>IF(A137="","",A137&amp;"|"&amp;L137)</f>
        <v>0</v>
      </c>
      <c r="N137" s="43">
        <f>IF(AND(A137="",C137=""),"",IF(A137="","Add - which bundle?",IF(C137="","Add - which product?",IF(D137="Not found","Check - no such product ID",IF(E137="","Add - how many?",IF(I137="","Check - that product has no price","OK"))))))</f>
        <v>0</v>
      </c>
    </row>
    <row r="138" spans="2:14">
      <c r="B138" s="13">
        <f>IF(A138="","",IFERROR(INDEX(Bundles!$B$5:$B$64,MATCH(A138,Bundles!$A$5:$A$64,0)),"Not found"))</f>
        <v>0</v>
      </c>
      <c r="D138" s="13">
        <f>IF(C138="","",IFERROR(INDEX(Products!$B$5:$B$304,MATCH(C138,Products!$A$5:$A$304,0)),"Not found"))</f>
        <v>0</v>
      </c>
      <c r="H138" s="20">
        <f>IF(C138="","",IFERROR(INDEX(Products!$AT$5:$AT$304,MATCH(C138,Products!$A$5:$A$304,0)),""))</f>
        <v>0</v>
      </c>
      <c r="I138" s="20">
        <f>IF(C138="","",IFERROR(INDEX(Products!$AR$5:$AR$304,MATCH(C138,Products!$A$5:$A$304,0)),""))</f>
        <v>0</v>
      </c>
      <c r="J138" s="20">
        <f>IF(C138="","",IF(OR(E138="",H138=""),"",ROUND(E138*H138,2)))</f>
        <v>0</v>
      </c>
      <c r="K138" s="20">
        <f>IF(C138="","",IF(OR(E138="",I138=""),"",ROUND(E138*I138,2)))</f>
        <v>0</v>
      </c>
      <c r="L138" s="32">
        <f>IF(A138="","",COUNTIFS($A$5:A138,A138))</f>
        <v>0</v>
      </c>
      <c r="M138" s="13">
        <f>IF(A138="","",A138&amp;"|"&amp;L138)</f>
        <v>0</v>
      </c>
      <c r="N138" s="43">
        <f>IF(AND(A138="",C138=""),"",IF(A138="","Add - which bundle?",IF(C138="","Add - which product?",IF(D138="Not found","Check - no such product ID",IF(E138="","Add - how many?",IF(I138="","Check - that product has no price","OK"))))))</f>
        <v>0</v>
      </c>
    </row>
    <row r="139" spans="2:14">
      <c r="B139" s="13">
        <f>IF(A139="","",IFERROR(INDEX(Bundles!$B$5:$B$64,MATCH(A139,Bundles!$A$5:$A$64,0)),"Not found"))</f>
        <v>0</v>
      </c>
      <c r="D139" s="13">
        <f>IF(C139="","",IFERROR(INDEX(Products!$B$5:$B$304,MATCH(C139,Products!$A$5:$A$304,0)),"Not found"))</f>
        <v>0</v>
      </c>
      <c r="H139" s="20">
        <f>IF(C139="","",IFERROR(INDEX(Products!$AT$5:$AT$304,MATCH(C139,Products!$A$5:$A$304,0)),""))</f>
        <v>0</v>
      </c>
      <c r="I139" s="20">
        <f>IF(C139="","",IFERROR(INDEX(Products!$AR$5:$AR$304,MATCH(C139,Products!$A$5:$A$304,0)),""))</f>
        <v>0</v>
      </c>
      <c r="J139" s="20">
        <f>IF(C139="","",IF(OR(E139="",H139=""),"",ROUND(E139*H139,2)))</f>
        <v>0</v>
      </c>
      <c r="K139" s="20">
        <f>IF(C139="","",IF(OR(E139="",I139=""),"",ROUND(E139*I139,2)))</f>
        <v>0</v>
      </c>
      <c r="L139" s="32">
        <f>IF(A139="","",COUNTIFS($A$5:A139,A139))</f>
        <v>0</v>
      </c>
      <c r="M139" s="13">
        <f>IF(A139="","",A139&amp;"|"&amp;L139)</f>
        <v>0</v>
      </c>
      <c r="N139" s="43">
        <f>IF(AND(A139="",C139=""),"",IF(A139="","Add - which bundle?",IF(C139="","Add - which product?",IF(D139="Not found","Check - no such product ID",IF(E139="","Add - how many?",IF(I139="","Check - that product has no price","OK"))))))</f>
        <v>0</v>
      </c>
    </row>
    <row r="140" spans="2:14">
      <c r="B140" s="13">
        <f>IF(A140="","",IFERROR(INDEX(Bundles!$B$5:$B$64,MATCH(A140,Bundles!$A$5:$A$64,0)),"Not found"))</f>
        <v>0</v>
      </c>
      <c r="D140" s="13">
        <f>IF(C140="","",IFERROR(INDEX(Products!$B$5:$B$304,MATCH(C140,Products!$A$5:$A$304,0)),"Not found"))</f>
        <v>0</v>
      </c>
      <c r="H140" s="20">
        <f>IF(C140="","",IFERROR(INDEX(Products!$AT$5:$AT$304,MATCH(C140,Products!$A$5:$A$304,0)),""))</f>
        <v>0</v>
      </c>
      <c r="I140" s="20">
        <f>IF(C140="","",IFERROR(INDEX(Products!$AR$5:$AR$304,MATCH(C140,Products!$A$5:$A$304,0)),""))</f>
        <v>0</v>
      </c>
      <c r="J140" s="20">
        <f>IF(C140="","",IF(OR(E140="",H140=""),"",ROUND(E140*H140,2)))</f>
        <v>0</v>
      </c>
      <c r="K140" s="20">
        <f>IF(C140="","",IF(OR(E140="",I140=""),"",ROUND(E140*I140,2)))</f>
        <v>0</v>
      </c>
      <c r="L140" s="32">
        <f>IF(A140="","",COUNTIFS($A$5:A140,A140))</f>
        <v>0</v>
      </c>
      <c r="M140" s="13">
        <f>IF(A140="","",A140&amp;"|"&amp;L140)</f>
        <v>0</v>
      </c>
      <c r="N140" s="43">
        <f>IF(AND(A140="",C140=""),"",IF(A140="","Add - which bundle?",IF(C140="","Add - which product?",IF(D140="Not found","Check - no such product ID",IF(E140="","Add - how many?",IF(I140="","Check - that product has no price","OK"))))))</f>
        <v>0</v>
      </c>
    </row>
    <row r="141" spans="2:14">
      <c r="B141" s="13">
        <f>IF(A141="","",IFERROR(INDEX(Bundles!$B$5:$B$64,MATCH(A141,Bundles!$A$5:$A$64,0)),"Not found"))</f>
        <v>0</v>
      </c>
      <c r="D141" s="13">
        <f>IF(C141="","",IFERROR(INDEX(Products!$B$5:$B$304,MATCH(C141,Products!$A$5:$A$304,0)),"Not found"))</f>
        <v>0</v>
      </c>
      <c r="H141" s="20">
        <f>IF(C141="","",IFERROR(INDEX(Products!$AT$5:$AT$304,MATCH(C141,Products!$A$5:$A$304,0)),""))</f>
        <v>0</v>
      </c>
      <c r="I141" s="20">
        <f>IF(C141="","",IFERROR(INDEX(Products!$AR$5:$AR$304,MATCH(C141,Products!$A$5:$A$304,0)),""))</f>
        <v>0</v>
      </c>
      <c r="J141" s="20">
        <f>IF(C141="","",IF(OR(E141="",H141=""),"",ROUND(E141*H141,2)))</f>
        <v>0</v>
      </c>
      <c r="K141" s="20">
        <f>IF(C141="","",IF(OR(E141="",I141=""),"",ROUND(E141*I141,2)))</f>
        <v>0</v>
      </c>
      <c r="L141" s="32">
        <f>IF(A141="","",COUNTIFS($A$5:A141,A141))</f>
        <v>0</v>
      </c>
      <c r="M141" s="13">
        <f>IF(A141="","",A141&amp;"|"&amp;L141)</f>
        <v>0</v>
      </c>
      <c r="N141" s="43">
        <f>IF(AND(A141="",C141=""),"",IF(A141="","Add - which bundle?",IF(C141="","Add - which product?",IF(D141="Not found","Check - no such product ID",IF(E141="","Add - how many?",IF(I141="","Check - that product has no price","OK"))))))</f>
        <v>0</v>
      </c>
    </row>
    <row r="142" spans="2:14">
      <c r="B142" s="13">
        <f>IF(A142="","",IFERROR(INDEX(Bundles!$B$5:$B$64,MATCH(A142,Bundles!$A$5:$A$64,0)),"Not found"))</f>
        <v>0</v>
      </c>
      <c r="D142" s="13">
        <f>IF(C142="","",IFERROR(INDEX(Products!$B$5:$B$304,MATCH(C142,Products!$A$5:$A$304,0)),"Not found"))</f>
        <v>0</v>
      </c>
      <c r="H142" s="20">
        <f>IF(C142="","",IFERROR(INDEX(Products!$AT$5:$AT$304,MATCH(C142,Products!$A$5:$A$304,0)),""))</f>
        <v>0</v>
      </c>
      <c r="I142" s="20">
        <f>IF(C142="","",IFERROR(INDEX(Products!$AR$5:$AR$304,MATCH(C142,Products!$A$5:$A$304,0)),""))</f>
        <v>0</v>
      </c>
      <c r="J142" s="20">
        <f>IF(C142="","",IF(OR(E142="",H142=""),"",ROUND(E142*H142,2)))</f>
        <v>0</v>
      </c>
      <c r="K142" s="20">
        <f>IF(C142="","",IF(OR(E142="",I142=""),"",ROUND(E142*I142,2)))</f>
        <v>0</v>
      </c>
      <c r="L142" s="32">
        <f>IF(A142="","",COUNTIFS($A$5:A142,A142))</f>
        <v>0</v>
      </c>
      <c r="M142" s="13">
        <f>IF(A142="","",A142&amp;"|"&amp;L142)</f>
        <v>0</v>
      </c>
      <c r="N142" s="43">
        <f>IF(AND(A142="",C142=""),"",IF(A142="","Add - which bundle?",IF(C142="","Add - which product?",IF(D142="Not found","Check - no such product ID",IF(E142="","Add - how many?",IF(I142="","Check - that product has no price","OK"))))))</f>
        <v>0</v>
      </c>
    </row>
    <row r="143" spans="2:14">
      <c r="B143" s="13">
        <f>IF(A143="","",IFERROR(INDEX(Bundles!$B$5:$B$64,MATCH(A143,Bundles!$A$5:$A$64,0)),"Not found"))</f>
        <v>0</v>
      </c>
      <c r="D143" s="13">
        <f>IF(C143="","",IFERROR(INDEX(Products!$B$5:$B$304,MATCH(C143,Products!$A$5:$A$304,0)),"Not found"))</f>
        <v>0</v>
      </c>
      <c r="H143" s="20">
        <f>IF(C143="","",IFERROR(INDEX(Products!$AT$5:$AT$304,MATCH(C143,Products!$A$5:$A$304,0)),""))</f>
        <v>0</v>
      </c>
      <c r="I143" s="20">
        <f>IF(C143="","",IFERROR(INDEX(Products!$AR$5:$AR$304,MATCH(C143,Products!$A$5:$A$304,0)),""))</f>
        <v>0</v>
      </c>
      <c r="J143" s="20">
        <f>IF(C143="","",IF(OR(E143="",H143=""),"",ROUND(E143*H143,2)))</f>
        <v>0</v>
      </c>
      <c r="K143" s="20">
        <f>IF(C143="","",IF(OR(E143="",I143=""),"",ROUND(E143*I143,2)))</f>
        <v>0</v>
      </c>
      <c r="L143" s="32">
        <f>IF(A143="","",COUNTIFS($A$5:A143,A143))</f>
        <v>0</v>
      </c>
      <c r="M143" s="13">
        <f>IF(A143="","",A143&amp;"|"&amp;L143)</f>
        <v>0</v>
      </c>
      <c r="N143" s="43">
        <f>IF(AND(A143="",C143=""),"",IF(A143="","Add - which bundle?",IF(C143="","Add - which product?",IF(D143="Not found","Check - no such product ID",IF(E143="","Add - how many?",IF(I143="","Check - that product has no price","OK"))))))</f>
        <v>0</v>
      </c>
    </row>
    <row r="144" spans="2:14">
      <c r="B144" s="13">
        <f>IF(A144="","",IFERROR(INDEX(Bundles!$B$5:$B$64,MATCH(A144,Bundles!$A$5:$A$64,0)),"Not found"))</f>
        <v>0</v>
      </c>
      <c r="D144" s="13">
        <f>IF(C144="","",IFERROR(INDEX(Products!$B$5:$B$304,MATCH(C144,Products!$A$5:$A$304,0)),"Not found"))</f>
        <v>0</v>
      </c>
      <c r="H144" s="20">
        <f>IF(C144="","",IFERROR(INDEX(Products!$AT$5:$AT$304,MATCH(C144,Products!$A$5:$A$304,0)),""))</f>
        <v>0</v>
      </c>
      <c r="I144" s="20">
        <f>IF(C144="","",IFERROR(INDEX(Products!$AR$5:$AR$304,MATCH(C144,Products!$A$5:$A$304,0)),""))</f>
        <v>0</v>
      </c>
      <c r="J144" s="20">
        <f>IF(C144="","",IF(OR(E144="",H144=""),"",ROUND(E144*H144,2)))</f>
        <v>0</v>
      </c>
      <c r="K144" s="20">
        <f>IF(C144="","",IF(OR(E144="",I144=""),"",ROUND(E144*I144,2)))</f>
        <v>0</v>
      </c>
      <c r="L144" s="32">
        <f>IF(A144="","",COUNTIFS($A$5:A144,A144))</f>
        <v>0</v>
      </c>
      <c r="M144" s="13">
        <f>IF(A144="","",A144&amp;"|"&amp;L144)</f>
        <v>0</v>
      </c>
      <c r="N144" s="43">
        <f>IF(AND(A144="",C144=""),"",IF(A144="","Add - which bundle?",IF(C144="","Add - which product?",IF(D144="Not found","Check - no such product ID",IF(E144="","Add - how many?",IF(I144="","Check - that product has no price","OK"))))))</f>
        <v>0</v>
      </c>
    </row>
    <row r="145" spans="2:14">
      <c r="B145" s="13">
        <f>IF(A145="","",IFERROR(INDEX(Bundles!$B$5:$B$64,MATCH(A145,Bundles!$A$5:$A$64,0)),"Not found"))</f>
        <v>0</v>
      </c>
      <c r="D145" s="13">
        <f>IF(C145="","",IFERROR(INDEX(Products!$B$5:$B$304,MATCH(C145,Products!$A$5:$A$304,0)),"Not found"))</f>
        <v>0</v>
      </c>
      <c r="H145" s="20">
        <f>IF(C145="","",IFERROR(INDEX(Products!$AT$5:$AT$304,MATCH(C145,Products!$A$5:$A$304,0)),""))</f>
        <v>0</v>
      </c>
      <c r="I145" s="20">
        <f>IF(C145="","",IFERROR(INDEX(Products!$AR$5:$AR$304,MATCH(C145,Products!$A$5:$A$304,0)),""))</f>
        <v>0</v>
      </c>
      <c r="J145" s="20">
        <f>IF(C145="","",IF(OR(E145="",H145=""),"",ROUND(E145*H145,2)))</f>
        <v>0</v>
      </c>
      <c r="K145" s="20">
        <f>IF(C145="","",IF(OR(E145="",I145=""),"",ROUND(E145*I145,2)))</f>
        <v>0</v>
      </c>
      <c r="L145" s="32">
        <f>IF(A145="","",COUNTIFS($A$5:A145,A145))</f>
        <v>0</v>
      </c>
      <c r="M145" s="13">
        <f>IF(A145="","",A145&amp;"|"&amp;L145)</f>
        <v>0</v>
      </c>
      <c r="N145" s="43">
        <f>IF(AND(A145="",C145=""),"",IF(A145="","Add - which bundle?",IF(C145="","Add - which product?",IF(D145="Not found","Check - no such product ID",IF(E145="","Add - how many?",IF(I145="","Check - that product has no price","OK"))))))</f>
        <v>0</v>
      </c>
    </row>
    <row r="146" spans="2:14">
      <c r="B146" s="13">
        <f>IF(A146="","",IFERROR(INDEX(Bundles!$B$5:$B$64,MATCH(A146,Bundles!$A$5:$A$64,0)),"Not found"))</f>
        <v>0</v>
      </c>
      <c r="D146" s="13">
        <f>IF(C146="","",IFERROR(INDEX(Products!$B$5:$B$304,MATCH(C146,Products!$A$5:$A$304,0)),"Not found"))</f>
        <v>0</v>
      </c>
      <c r="H146" s="20">
        <f>IF(C146="","",IFERROR(INDEX(Products!$AT$5:$AT$304,MATCH(C146,Products!$A$5:$A$304,0)),""))</f>
        <v>0</v>
      </c>
      <c r="I146" s="20">
        <f>IF(C146="","",IFERROR(INDEX(Products!$AR$5:$AR$304,MATCH(C146,Products!$A$5:$A$304,0)),""))</f>
        <v>0</v>
      </c>
      <c r="J146" s="20">
        <f>IF(C146="","",IF(OR(E146="",H146=""),"",ROUND(E146*H146,2)))</f>
        <v>0</v>
      </c>
      <c r="K146" s="20">
        <f>IF(C146="","",IF(OR(E146="",I146=""),"",ROUND(E146*I146,2)))</f>
        <v>0</v>
      </c>
      <c r="L146" s="32">
        <f>IF(A146="","",COUNTIFS($A$5:A146,A146))</f>
        <v>0</v>
      </c>
      <c r="M146" s="13">
        <f>IF(A146="","",A146&amp;"|"&amp;L146)</f>
        <v>0</v>
      </c>
      <c r="N146" s="43">
        <f>IF(AND(A146="",C146=""),"",IF(A146="","Add - which bundle?",IF(C146="","Add - which product?",IF(D146="Not found","Check - no such product ID",IF(E146="","Add - how many?",IF(I146="","Check - that product has no price","OK"))))))</f>
        <v>0</v>
      </c>
    </row>
    <row r="147" spans="2:14">
      <c r="B147" s="13">
        <f>IF(A147="","",IFERROR(INDEX(Bundles!$B$5:$B$64,MATCH(A147,Bundles!$A$5:$A$64,0)),"Not found"))</f>
        <v>0</v>
      </c>
      <c r="D147" s="13">
        <f>IF(C147="","",IFERROR(INDEX(Products!$B$5:$B$304,MATCH(C147,Products!$A$5:$A$304,0)),"Not found"))</f>
        <v>0</v>
      </c>
      <c r="H147" s="20">
        <f>IF(C147="","",IFERROR(INDEX(Products!$AT$5:$AT$304,MATCH(C147,Products!$A$5:$A$304,0)),""))</f>
        <v>0</v>
      </c>
      <c r="I147" s="20">
        <f>IF(C147="","",IFERROR(INDEX(Products!$AR$5:$AR$304,MATCH(C147,Products!$A$5:$A$304,0)),""))</f>
        <v>0</v>
      </c>
      <c r="J147" s="20">
        <f>IF(C147="","",IF(OR(E147="",H147=""),"",ROUND(E147*H147,2)))</f>
        <v>0</v>
      </c>
      <c r="K147" s="20">
        <f>IF(C147="","",IF(OR(E147="",I147=""),"",ROUND(E147*I147,2)))</f>
        <v>0</v>
      </c>
      <c r="L147" s="32">
        <f>IF(A147="","",COUNTIFS($A$5:A147,A147))</f>
        <v>0</v>
      </c>
      <c r="M147" s="13">
        <f>IF(A147="","",A147&amp;"|"&amp;L147)</f>
        <v>0</v>
      </c>
      <c r="N147" s="43">
        <f>IF(AND(A147="",C147=""),"",IF(A147="","Add - which bundle?",IF(C147="","Add - which product?",IF(D147="Not found","Check - no such product ID",IF(E147="","Add - how many?",IF(I147="","Check - that product has no price","OK"))))))</f>
        <v>0</v>
      </c>
    </row>
    <row r="148" spans="2:14">
      <c r="B148" s="13">
        <f>IF(A148="","",IFERROR(INDEX(Bundles!$B$5:$B$64,MATCH(A148,Bundles!$A$5:$A$64,0)),"Not found"))</f>
        <v>0</v>
      </c>
      <c r="D148" s="13">
        <f>IF(C148="","",IFERROR(INDEX(Products!$B$5:$B$304,MATCH(C148,Products!$A$5:$A$304,0)),"Not found"))</f>
        <v>0</v>
      </c>
      <c r="H148" s="20">
        <f>IF(C148="","",IFERROR(INDEX(Products!$AT$5:$AT$304,MATCH(C148,Products!$A$5:$A$304,0)),""))</f>
        <v>0</v>
      </c>
      <c r="I148" s="20">
        <f>IF(C148="","",IFERROR(INDEX(Products!$AR$5:$AR$304,MATCH(C148,Products!$A$5:$A$304,0)),""))</f>
        <v>0</v>
      </c>
      <c r="J148" s="20">
        <f>IF(C148="","",IF(OR(E148="",H148=""),"",ROUND(E148*H148,2)))</f>
        <v>0</v>
      </c>
      <c r="K148" s="20">
        <f>IF(C148="","",IF(OR(E148="",I148=""),"",ROUND(E148*I148,2)))</f>
        <v>0</v>
      </c>
      <c r="L148" s="32">
        <f>IF(A148="","",COUNTIFS($A$5:A148,A148))</f>
        <v>0</v>
      </c>
      <c r="M148" s="13">
        <f>IF(A148="","",A148&amp;"|"&amp;L148)</f>
        <v>0</v>
      </c>
      <c r="N148" s="43">
        <f>IF(AND(A148="",C148=""),"",IF(A148="","Add - which bundle?",IF(C148="","Add - which product?",IF(D148="Not found","Check - no such product ID",IF(E148="","Add - how many?",IF(I148="","Check - that product has no price","OK"))))))</f>
        <v>0</v>
      </c>
    </row>
    <row r="149" spans="2:14">
      <c r="B149" s="13">
        <f>IF(A149="","",IFERROR(INDEX(Bundles!$B$5:$B$64,MATCH(A149,Bundles!$A$5:$A$64,0)),"Not found"))</f>
        <v>0</v>
      </c>
      <c r="D149" s="13">
        <f>IF(C149="","",IFERROR(INDEX(Products!$B$5:$B$304,MATCH(C149,Products!$A$5:$A$304,0)),"Not found"))</f>
        <v>0</v>
      </c>
      <c r="H149" s="20">
        <f>IF(C149="","",IFERROR(INDEX(Products!$AT$5:$AT$304,MATCH(C149,Products!$A$5:$A$304,0)),""))</f>
        <v>0</v>
      </c>
      <c r="I149" s="20">
        <f>IF(C149="","",IFERROR(INDEX(Products!$AR$5:$AR$304,MATCH(C149,Products!$A$5:$A$304,0)),""))</f>
        <v>0</v>
      </c>
      <c r="J149" s="20">
        <f>IF(C149="","",IF(OR(E149="",H149=""),"",ROUND(E149*H149,2)))</f>
        <v>0</v>
      </c>
      <c r="K149" s="20">
        <f>IF(C149="","",IF(OR(E149="",I149=""),"",ROUND(E149*I149,2)))</f>
        <v>0</v>
      </c>
      <c r="L149" s="32">
        <f>IF(A149="","",COUNTIFS($A$5:A149,A149))</f>
        <v>0</v>
      </c>
      <c r="M149" s="13">
        <f>IF(A149="","",A149&amp;"|"&amp;L149)</f>
        <v>0</v>
      </c>
      <c r="N149" s="43">
        <f>IF(AND(A149="",C149=""),"",IF(A149="","Add - which bundle?",IF(C149="","Add - which product?",IF(D149="Not found","Check - no such product ID",IF(E149="","Add - how many?",IF(I149="","Check - that product has no price","OK"))))))</f>
        <v>0</v>
      </c>
    </row>
    <row r="150" spans="2:14">
      <c r="B150" s="13">
        <f>IF(A150="","",IFERROR(INDEX(Bundles!$B$5:$B$64,MATCH(A150,Bundles!$A$5:$A$64,0)),"Not found"))</f>
        <v>0</v>
      </c>
      <c r="D150" s="13">
        <f>IF(C150="","",IFERROR(INDEX(Products!$B$5:$B$304,MATCH(C150,Products!$A$5:$A$304,0)),"Not found"))</f>
        <v>0</v>
      </c>
      <c r="H150" s="20">
        <f>IF(C150="","",IFERROR(INDEX(Products!$AT$5:$AT$304,MATCH(C150,Products!$A$5:$A$304,0)),""))</f>
        <v>0</v>
      </c>
      <c r="I150" s="20">
        <f>IF(C150="","",IFERROR(INDEX(Products!$AR$5:$AR$304,MATCH(C150,Products!$A$5:$A$304,0)),""))</f>
        <v>0</v>
      </c>
      <c r="J150" s="20">
        <f>IF(C150="","",IF(OR(E150="",H150=""),"",ROUND(E150*H150,2)))</f>
        <v>0</v>
      </c>
      <c r="K150" s="20">
        <f>IF(C150="","",IF(OR(E150="",I150=""),"",ROUND(E150*I150,2)))</f>
        <v>0</v>
      </c>
      <c r="L150" s="32">
        <f>IF(A150="","",COUNTIFS($A$5:A150,A150))</f>
        <v>0</v>
      </c>
      <c r="M150" s="13">
        <f>IF(A150="","",A150&amp;"|"&amp;L150)</f>
        <v>0</v>
      </c>
      <c r="N150" s="43">
        <f>IF(AND(A150="",C150=""),"",IF(A150="","Add - which bundle?",IF(C150="","Add - which product?",IF(D150="Not found","Check - no such product ID",IF(E150="","Add - how many?",IF(I150="","Check - that product has no price","OK"))))))</f>
        <v>0</v>
      </c>
    </row>
    <row r="151" spans="2:14">
      <c r="B151" s="13">
        <f>IF(A151="","",IFERROR(INDEX(Bundles!$B$5:$B$64,MATCH(A151,Bundles!$A$5:$A$64,0)),"Not found"))</f>
        <v>0</v>
      </c>
      <c r="D151" s="13">
        <f>IF(C151="","",IFERROR(INDEX(Products!$B$5:$B$304,MATCH(C151,Products!$A$5:$A$304,0)),"Not found"))</f>
        <v>0</v>
      </c>
      <c r="H151" s="20">
        <f>IF(C151="","",IFERROR(INDEX(Products!$AT$5:$AT$304,MATCH(C151,Products!$A$5:$A$304,0)),""))</f>
        <v>0</v>
      </c>
      <c r="I151" s="20">
        <f>IF(C151="","",IFERROR(INDEX(Products!$AR$5:$AR$304,MATCH(C151,Products!$A$5:$A$304,0)),""))</f>
        <v>0</v>
      </c>
      <c r="J151" s="20">
        <f>IF(C151="","",IF(OR(E151="",H151=""),"",ROUND(E151*H151,2)))</f>
        <v>0</v>
      </c>
      <c r="K151" s="20">
        <f>IF(C151="","",IF(OR(E151="",I151=""),"",ROUND(E151*I151,2)))</f>
        <v>0</v>
      </c>
      <c r="L151" s="32">
        <f>IF(A151="","",COUNTIFS($A$5:A151,A151))</f>
        <v>0</v>
      </c>
      <c r="M151" s="13">
        <f>IF(A151="","",A151&amp;"|"&amp;L151)</f>
        <v>0</v>
      </c>
      <c r="N151" s="43">
        <f>IF(AND(A151="",C151=""),"",IF(A151="","Add - which bundle?",IF(C151="","Add - which product?",IF(D151="Not found","Check - no such product ID",IF(E151="","Add - how many?",IF(I151="","Check - that product has no price","OK"))))))</f>
        <v>0</v>
      </c>
    </row>
    <row r="152" spans="2:14">
      <c r="B152" s="13">
        <f>IF(A152="","",IFERROR(INDEX(Bundles!$B$5:$B$64,MATCH(A152,Bundles!$A$5:$A$64,0)),"Not found"))</f>
        <v>0</v>
      </c>
      <c r="D152" s="13">
        <f>IF(C152="","",IFERROR(INDEX(Products!$B$5:$B$304,MATCH(C152,Products!$A$5:$A$304,0)),"Not found"))</f>
        <v>0</v>
      </c>
      <c r="H152" s="20">
        <f>IF(C152="","",IFERROR(INDEX(Products!$AT$5:$AT$304,MATCH(C152,Products!$A$5:$A$304,0)),""))</f>
        <v>0</v>
      </c>
      <c r="I152" s="20">
        <f>IF(C152="","",IFERROR(INDEX(Products!$AR$5:$AR$304,MATCH(C152,Products!$A$5:$A$304,0)),""))</f>
        <v>0</v>
      </c>
      <c r="J152" s="20">
        <f>IF(C152="","",IF(OR(E152="",H152=""),"",ROUND(E152*H152,2)))</f>
        <v>0</v>
      </c>
      <c r="K152" s="20">
        <f>IF(C152="","",IF(OR(E152="",I152=""),"",ROUND(E152*I152,2)))</f>
        <v>0</v>
      </c>
      <c r="L152" s="32">
        <f>IF(A152="","",COUNTIFS($A$5:A152,A152))</f>
        <v>0</v>
      </c>
      <c r="M152" s="13">
        <f>IF(A152="","",A152&amp;"|"&amp;L152)</f>
        <v>0</v>
      </c>
      <c r="N152" s="43">
        <f>IF(AND(A152="",C152=""),"",IF(A152="","Add - which bundle?",IF(C152="","Add - which product?",IF(D152="Not found","Check - no such product ID",IF(E152="","Add - how many?",IF(I152="","Check - that product has no price","OK"))))))</f>
        <v>0</v>
      </c>
    </row>
    <row r="153" spans="2:14">
      <c r="B153" s="13">
        <f>IF(A153="","",IFERROR(INDEX(Bundles!$B$5:$B$64,MATCH(A153,Bundles!$A$5:$A$64,0)),"Not found"))</f>
        <v>0</v>
      </c>
      <c r="D153" s="13">
        <f>IF(C153="","",IFERROR(INDEX(Products!$B$5:$B$304,MATCH(C153,Products!$A$5:$A$304,0)),"Not found"))</f>
        <v>0</v>
      </c>
      <c r="H153" s="20">
        <f>IF(C153="","",IFERROR(INDEX(Products!$AT$5:$AT$304,MATCH(C153,Products!$A$5:$A$304,0)),""))</f>
        <v>0</v>
      </c>
      <c r="I153" s="20">
        <f>IF(C153="","",IFERROR(INDEX(Products!$AR$5:$AR$304,MATCH(C153,Products!$A$5:$A$304,0)),""))</f>
        <v>0</v>
      </c>
      <c r="J153" s="20">
        <f>IF(C153="","",IF(OR(E153="",H153=""),"",ROUND(E153*H153,2)))</f>
        <v>0</v>
      </c>
      <c r="K153" s="20">
        <f>IF(C153="","",IF(OR(E153="",I153=""),"",ROUND(E153*I153,2)))</f>
        <v>0</v>
      </c>
      <c r="L153" s="32">
        <f>IF(A153="","",COUNTIFS($A$5:A153,A153))</f>
        <v>0</v>
      </c>
      <c r="M153" s="13">
        <f>IF(A153="","",A153&amp;"|"&amp;L153)</f>
        <v>0</v>
      </c>
      <c r="N153" s="43">
        <f>IF(AND(A153="",C153=""),"",IF(A153="","Add - which bundle?",IF(C153="","Add - which product?",IF(D153="Not found","Check - no such product ID",IF(E153="","Add - how many?",IF(I153="","Check - that product has no price","OK"))))))</f>
        <v>0</v>
      </c>
    </row>
    <row r="154" spans="2:14">
      <c r="B154" s="13">
        <f>IF(A154="","",IFERROR(INDEX(Bundles!$B$5:$B$64,MATCH(A154,Bundles!$A$5:$A$64,0)),"Not found"))</f>
        <v>0</v>
      </c>
      <c r="D154" s="13">
        <f>IF(C154="","",IFERROR(INDEX(Products!$B$5:$B$304,MATCH(C154,Products!$A$5:$A$304,0)),"Not found"))</f>
        <v>0</v>
      </c>
      <c r="H154" s="20">
        <f>IF(C154="","",IFERROR(INDEX(Products!$AT$5:$AT$304,MATCH(C154,Products!$A$5:$A$304,0)),""))</f>
        <v>0</v>
      </c>
      <c r="I154" s="20">
        <f>IF(C154="","",IFERROR(INDEX(Products!$AR$5:$AR$304,MATCH(C154,Products!$A$5:$A$304,0)),""))</f>
        <v>0</v>
      </c>
      <c r="J154" s="20">
        <f>IF(C154="","",IF(OR(E154="",H154=""),"",ROUND(E154*H154,2)))</f>
        <v>0</v>
      </c>
      <c r="K154" s="20">
        <f>IF(C154="","",IF(OR(E154="",I154=""),"",ROUND(E154*I154,2)))</f>
        <v>0</v>
      </c>
      <c r="L154" s="32">
        <f>IF(A154="","",COUNTIFS($A$5:A154,A154))</f>
        <v>0</v>
      </c>
      <c r="M154" s="13">
        <f>IF(A154="","",A154&amp;"|"&amp;L154)</f>
        <v>0</v>
      </c>
      <c r="N154" s="43">
        <f>IF(AND(A154="",C154=""),"",IF(A154="","Add - which bundle?",IF(C154="","Add - which product?",IF(D154="Not found","Check - no such product ID",IF(E154="","Add - how many?",IF(I154="","Check - that product has no price","OK"))))))</f>
        <v>0</v>
      </c>
    </row>
    <row r="155" spans="2:14">
      <c r="B155" s="13">
        <f>IF(A155="","",IFERROR(INDEX(Bundles!$B$5:$B$64,MATCH(A155,Bundles!$A$5:$A$64,0)),"Not found"))</f>
        <v>0</v>
      </c>
      <c r="D155" s="13">
        <f>IF(C155="","",IFERROR(INDEX(Products!$B$5:$B$304,MATCH(C155,Products!$A$5:$A$304,0)),"Not found"))</f>
        <v>0</v>
      </c>
      <c r="H155" s="20">
        <f>IF(C155="","",IFERROR(INDEX(Products!$AT$5:$AT$304,MATCH(C155,Products!$A$5:$A$304,0)),""))</f>
        <v>0</v>
      </c>
      <c r="I155" s="20">
        <f>IF(C155="","",IFERROR(INDEX(Products!$AR$5:$AR$304,MATCH(C155,Products!$A$5:$A$304,0)),""))</f>
        <v>0</v>
      </c>
      <c r="J155" s="20">
        <f>IF(C155="","",IF(OR(E155="",H155=""),"",ROUND(E155*H155,2)))</f>
        <v>0</v>
      </c>
      <c r="K155" s="20">
        <f>IF(C155="","",IF(OR(E155="",I155=""),"",ROUND(E155*I155,2)))</f>
        <v>0</v>
      </c>
      <c r="L155" s="32">
        <f>IF(A155="","",COUNTIFS($A$5:A155,A155))</f>
        <v>0</v>
      </c>
      <c r="M155" s="13">
        <f>IF(A155="","",A155&amp;"|"&amp;L155)</f>
        <v>0</v>
      </c>
      <c r="N155" s="43">
        <f>IF(AND(A155="",C155=""),"",IF(A155="","Add - which bundle?",IF(C155="","Add - which product?",IF(D155="Not found","Check - no such product ID",IF(E155="","Add - how many?",IF(I155="","Check - that product has no price","OK"))))))</f>
        <v>0</v>
      </c>
    </row>
    <row r="156" spans="2:14">
      <c r="B156" s="13">
        <f>IF(A156="","",IFERROR(INDEX(Bundles!$B$5:$B$64,MATCH(A156,Bundles!$A$5:$A$64,0)),"Not found"))</f>
        <v>0</v>
      </c>
      <c r="D156" s="13">
        <f>IF(C156="","",IFERROR(INDEX(Products!$B$5:$B$304,MATCH(C156,Products!$A$5:$A$304,0)),"Not found"))</f>
        <v>0</v>
      </c>
      <c r="H156" s="20">
        <f>IF(C156="","",IFERROR(INDEX(Products!$AT$5:$AT$304,MATCH(C156,Products!$A$5:$A$304,0)),""))</f>
        <v>0</v>
      </c>
      <c r="I156" s="20">
        <f>IF(C156="","",IFERROR(INDEX(Products!$AR$5:$AR$304,MATCH(C156,Products!$A$5:$A$304,0)),""))</f>
        <v>0</v>
      </c>
      <c r="J156" s="20">
        <f>IF(C156="","",IF(OR(E156="",H156=""),"",ROUND(E156*H156,2)))</f>
        <v>0</v>
      </c>
      <c r="K156" s="20">
        <f>IF(C156="","",IF(OR(E156="",I156=""),"",ROUND(E156*I156,2)))</f>
        <v>0</v>
      </c>
      <c r="L156" s="32">
        <f>IF(A156="","",COUNTIFS($A$5:A156,A156))</f>
        <v>0</v>
      </c>
      <c r="M156" s="13">
        <f>IF(A156="","",A156&amp;"|"&amp;L156)</f>
        <v>0</v>
      </c>
      <c r="N156" s="43">
        <f>IF(AND(A156="",C156=""),"",IF(A156="","Add - which bundle?",IF(C156="","Add - which product?",IF(D156="Not found","Check - no such product ID",IF(E156="","Add - how many?",IF(I156="","Check - that product has no price","OK"))))))</f>
        <v>0</v>
      </c>
    </row>
    <row r="157" spans="2:14">
      <c r="B157" s="13">
        <f>IF(A157="","",IFERROR(INDEX(Bundles!$B$5:$B$64,MATCH(A157,Bundles!$A$5:$A$64,0)),"Not found"))</f>
        <v>0</v>
      </c>
      <c r="D157" s="13">
        <f>IF(C157="","",IFERROR(INDEX(Products!$B$5:$B$304,MATCH(C157,Products!$A$5:$A$304,0)),"Not found"))</f>
        <v>0</v>
      </c>
      <c r="H157" s="20">
        <f>IF(C157="","",IFERROR(INDEX(Products!$AT$5:$AT$304,MATCH(C157,Products!$A$5:$A$304,0)),""))</f>
        <v>0</v>
      </c>
      <c r="I157" s="20">
        <f>IF(C157="","",IFERROR(INDEX(Products!$AR$5:$AR$304,MATCH(C157,Products!$A$5:$A$304,0)),""))</f>
        <v>0</v>
      </c>
      <c r="J157" s="20">
        <f>IF(C157="","",IF(OR(E157="",H157=""),"",ROUND(E157*H157,2)))</f>
        <v>0</v>
      </c>
      <c r="K157" s="20">
        <f>IF(C157="","",IF(OR(E157="",I157=""),"",ROUND(E157*I157,2)))</f>
        <v>0</v>
      </c>
      <c r="L157" s="32">
        <f>IF(A157="","",COUNTIFS($A$5:A157,A157))</f>
        <v>0</v>
      </c>
      <c r="M157" s="13">
        <f>IF(A157="","",A157&amp;"|"&amp;L157)</f>
        <v>0</v>
      </c>
      <c r="N157" s="43">
        <f>IF(AND(A157="",C157=""),"",IF(A157="","Add - which bundle?",IF(C157="","Add - which product?",IF(D157="Not found","Check - no such product ID",IF(E157="","Add - how many?",IF(I157="","Check - that product has no price","OK"))))))</f>
        <v>0</v>
      </c>
    </row>
    <row r="158" spans="2:14">
      <c r="B158" s="13">
        <f>IF(A158="","",IFERROR(INDEX(Bundles!$B$5:$B$64,MATCH(A158,Bundles!$A$5:$A$64,0)),"Not found"))</f>
        <v>0</v>
      </c>
      <c r="D158" s="13">
        <f>IF(C158="","",IFERROR(INDEX(Products!$B$5:$B$304,MATCH(C158,Products!$A$5:$A$304,0)),"Not found"))</f>
        <v>0</v>
      </c>
      <c r="H158" s="20">
        <f>IF(C158="","",IFERROR(INDEX(Products!$AT$5:$AT$304,MATCH(C158,Products!$A$5:$A$304,0)),""))</f>
        <v>0</v>
      </c>
      <c r="I158" s="20">
        <f>IF(C158="","",IFERROR(INDEX(Products!$AR$5:$AR$304,MATCH(C158,Products!$A$5:$A$304,0)),""))</f>
        <v>0</v>
      </c>
      <c r="J158" s="20">
        <f>IF(C158="","",IF(OR(E158="",H158=""),"",ROUND(E158*H158,2)))</f>
        <v>0</v>
      </c>
      <c r="K158" s="20">
        <f>IF(C158="","",IF(OR(E158="",I158=""),"",ROUND(E158*I158,2)))</f>
        <v>0</v>
      </c>
      <c r="L158" s="32">
        <f>IF(A158="","",COUNTIFS($A$5:A158,A158))</f>
        <v>0</v>
      </c>
      <c r="M158" s="13">
        <f>IF(A158="","",A158&amp;"|"&amp;L158)</f>
        <v>0</v>
      </c>
      <c r="N158" s="43">
        <f>IF(AND(A158="",C158=""),"",IF(A158="","Add - which bundle?",IF(C158="","Add - which product?",IF(D158="Not found","Check - no such product ID",IF(E158="","Add - how many?",IF(I158="","Check - that product has no price","OK"))))))</f>
        <v>0</v>
      </c>
    </row>
    <row r="159" spans="2:14">
      <c r="B159" s="13">
        <f>IF(A159="","",IFERROR(INDEX(Bundles!$B$5:$B$64,MATCH(A159,Bundles!$A$5:$A$64,0)),"Not found"))</f>
        <v>0</v>
      </c>
      <c r="D159" s="13">
        <f>IF(C159="","",IFERROR(INDEX(Products!$B$5:$B$304,MATCH(C159,Products!$A$5:$A$304,0)),"Not found"))</f>
        <v>0</v>
      </c>
      <c r="H159" s="20">
        <f>IF(C159="","",IFERROR(INDEX(Products!$AT$5:$AT$304,MATCH(C159,Products!$A$5:$A$304,0)),""))</f>
        <v>0</v>
      </c>
      <c r="I159" s="20">
        <f>IF(C159="","",IFERROR(INDEX(Products!$AR$5:$AR$304,MATCH(C159,Products!$A$5:$A$304,0)),""))</f>
        <v>0</v>
      </c>
      <c r="J159" s="20">
        <f>IF(C159="","",IF(OR(E159="",H159=""),"",ROUND(E159*H159,2)))</f>
        <v>0</v>
      </c>
      <c r="K159" s="20">
        <f>IF(C159="","",IF(OR(E159="",I159=""),"",ROUND(E159*I159,2)))</f>
        <v>0</v>
      </c>
      <c r="L159" s="32">
        <f>IF(A159="","",COUNTIFS($A$5:A159,A159))</f>
        <v>0</v>
      </c>
      <c r="M159" s="13">
        <f>IF(A159="","",A159&amp;"|"&amp;L159)</f>
        <v>0</v>
      </c>
      <c r="N159" s="43">
        <f>IF(AND(A159="",C159=""),"",IF(A159="","Add - which bundle?",IF(C159="","Add - which product?",IF(D159="Not found","Check - no such product ID",IF(E159="","Add - how many?",IF(I159="","Check - that product has no price","OK"))))))</f>
        <v>0</v>
      </c>
    </row>
    <row r="160" spans="2:14">
      <c r="B160" s="13">
        <f>IF(A160="","",IFERROR(INDEX(Bundles!$B$5:$B$64,MATCH(A160,Bundles!$A$5:$A$64,0)),"Not found"))</f>
        <v>0</v>
      </c>
      <c r="D160" s="13">
        <f>IF(C160="","",IFERROR(INDEX(Products!$B$5:$B$304,MATCH(C160,Products!$A$5:$A$304,0)),"Not found"))</f>
        <v>0</v>
      </c>
      <c r="H160" s="20">
        <f>IF(C160="","",IFERROR(INDEX(Products!$AT$5:$AT$304,MATCH(C160,Products!$A$5:$A$304,0)),""))</f>
        <v>0</v>
      </c>
      <c r="I160" s="20">
        <f>IF(C160="","",IFERROR(INDEX(Products!$AR$5:$AR$304,MATCH(C160,Products!$A$5:$A$304,0)),""))</f>
        <v>0</v>
      </c>
      <c r="J160" s="20">
        <f>IF(C160="","",IF(OR(E160="",H160=""),"",ROUND(E160*H160,2)))</f>
        <v>0</v>
      </c>
      <c r="K160" s="20">
        <f>IF(C160="","",IF(OR(E160="",I160=""),"",ROUND(E160*I160,2)))</f>
        <v>0</v>
      </c>
      <c r="L160" s="32">
        <f>IF(A160="","",COUNTIFS($A$5:A160,A160))</f>
        <v>0</v>
      </c>
      <c r="M160" s="13">
        <f>IF(A160="","",A160&amp;"|"&amp;L160)</f>
        <v>0</v>
      </c>
      <c r="N160" s="43">
        <f>IF(AND(A160="",C160=""),"",IF(A160="","Add - which bundle?",IF(C160="","Add - which product?",IF(D160="Not found","Check - no such product ID",IF(E160="","Add - how many?",IF(I160="","Check - that product has no price","OK"))))))</f>
        <v>0</v>
      </c>
    </row>
    <row r="161" spans="2:14">
      <c r="B161" s="13">
        <f>IF(A161="","",IFERROR(INDEX(Bundles!$B$5:$B$64,MATCH(A161,Bundles!$A$5:$A$64,0)),"Not found"))</f>
        <v>0</v>
      </c>
      <c r="D161" s="13">
        <f>IF(C161="","",IFERROR(INDEX(Products!$B$5:$B$304,MATCH(C161,Products!$A$5:$A$304,0)),"Not found"))</f>
        <v>0</v>
      </c>
      <c r="H161" s="20">
        <f>IF(C161="","",IFERROR(INDEX(Products!$AT$5:$AT$304,MATCH(C161,Products!$A$5:$A$304,0)),""))</f>
        <v>0</v>
      </c>
      <c r="I161" s="20">
        <f>IF(C161="","",IFERROR(INDEX(Products!$AR$5:$AR$304,MATCH(C161,Products!$A$5:$A$304,0)),""))</f>
        <v>0</v>
      </c>
      <c r="J161" s="20">
        <f>IF(C161="","",IF(OR(E161="",H161=""),"",ROUND(E161*H161,2)))</f>
        <v>0</v>
      </c>
      <c r="K161" s="20">
        <f>IF(C161="","",IF(OR(E161="",I161=""),"",ROUND(E161*I161,2)))</f>
        <v>0</v>
      </c>
      <c r="L161" s="32">
        <f>IF(A161="","",COUNTIFS($A$5:A161,A161))</f>
        <v>0</v>
      </c>
      <c r="M161" s="13">
        <f>IF(A161="","",A161&amp;"|"&amp;L161)</f>
        <v>0</v>
      </c>
      <c r="N161" s="43">
        <f>IF(AND(A161="",C161=""),"",IF(A161="","Add - which bundle?",IF(C161="","Add - which product?",IF(D161="Not found","Check - no such product ID",IF(E161="","Add - how many?",IF(I161="","Check - that product has no price","OK"))))))</f>
        <v>0</v>
      </c>
    </row>
    <row r="162" spans="2:14">
      <c r="B162" s="13">
        <f>IF(A162="","",IFERROR(INDEX(Bundles!$B$5:$B$64,MATCH(A162,Bundles!$A$5:$A$64,0)),"Not found"))</f>
        <v>0</v>
      </c>
      <c r="D162" s="13">
        <f>IF(C162="","",IFERROR(INDEX(Products!$B$5:$B$304,MATCH(C162,Products!$A$5:$A$304,0)),"Not found"))</f>
        <v>0</v>
      </c>
      <c r="H162" s="20">
        <f>IF(C162="","",IFERROR(INDEX(Products!$AT$5:$AT$304,MATCH(C162,Products!$A$5:$A$304,0)),""))</f>
        <v>0</v>
      </c>
      <c r="I162" s="20">
        <f>IF(C162="","",IFERROR(INDEX(Products!$AR$5:$AR$304,MATCH(C162,Products!$A$5:$A$304,0)),""))</f>
        <v>0</v>
      </c>
      <c r="J162" s="20">
        <f>IF(C162="","",IF(OR(E162="",H162=""),"",ROUND(E162*H162,2)))</f>
        <v>0</v>
      </c>
      <c r="K162" s="20">
        <f>IF(C162="","",IF(OR(E162="",I162=""),"",ROUND(E162*I162,2)))</f>
        <v>0</v>
      </c>
      <c r="L162" s="32">
        <f>IF(A162="","",COUNTIFS($A$5:A162,A162))</f>
        <v>0</v>
      </c>
      <c r="M162" s="13">
        <f>IF(A162="","",A162&amp;"|"&amp;L162)</f>
        <v>0</v>
      </c>
      <c r="N162" s="43">
        <f>IF(AND(A162="",C162=""),"",IF(A162="","Add - which bundle?",IF(C162="","Add - which product?",IF(D162="Not found","Check - no such product ID",IF(E162="","Add - how many?",IF(I162="","Check - that product has no price","OK"))))))</f>
        <v>0</v>
      </c>
    </row>
    <row r="163" spans="2:14">
      <c r="B163" s="13">
        <f>IF(A163="","",IFERROR(INDEX(Bundles!$B$5:$B$64,MATCH(A163,Bundles!$A$5:$A$64,0)),"Not found"))</f>
        <v>0</v>
      </c>
      <c r="D163" s="13">
        <f>IF(C163="","",IFERROR(INDEX(Products!$B$5:$B$304,MATCH(C163,Products!$A$5:$A$304,0)),"Not found"))</f>
        <v>0</v>
      </c>
      <c r="H163" s="20">
        <f>IF(C163="","",IFERROR(INDEX(Products!$AT$5:$AT$304,MATCH(C163,Products!$A$5:$A$304,0)),""))</f>
        <v>0</v>
      </c>
      <c r="I163" s="20">
        <f>IF(C163="","",IFERROR(INDEX(Products!$AR$5:$AR$304,MATCH(C163,Products!$A$5:$A$304,0)),""))</f>
        <v>0</v>
      </c>
      <c r="J163" s="20">
        <f>IF(C163="","",IF(OR(E163="",H163=""),"",ROUND(E163*H163,2)))</f>
        <v>0</v>
      </c>
      <c r="K163" s="20">
        <f>IF(C163="","",IF(OR(E163="",I163=""),"",ROUND(E163*I163,2)))</f>
        <v>0</v>
      </c>
      <c r="L163" s="32">
        <f>IF(A163="","",COUNTIFS($A$5:A163,A163))</f>
        <v>0</v>
      </c>
      <c r="M163" s="13">
        <f>IF(A163="","",A163&amp;"|"&amp;L163)</f>
        <v>0</v>
      </c>
      <c r="N163" s="43">
        <f>IF(AND(A163="",C163=""),"",IF(A163="","Add - which bundle?",IF(C163="","Add - which product?",IF(D163="Not found","Check - no such product ID",IF(E163="","Add - how many?",IF(I163="","Check - that product has no price","OK"))))))</f>
        <v>0</v>
      </c>
    </row>
    <row r="164" spans="2:14">
      <c r="B164" s="13">
        <f>IF(A164="","",IFERROR(INDEX(Bundles!$B$5:$B$64,MATCH(A164,Bundles!$A$5:$A$64,0)),"Not found"))</f>
        <v>0</v>
      </c>
      <c r="D164" s="13">
        <f>IF(C164="","",IFERROR(INDEX(Products!$B$5:$B$304,MATCH(C164,Products!$A$5:$A$304,0)),"Not found"))</f>
        <v>0</v>
      </c>
      <c r="H164" s="20">
        <f>IF(C164="","",IFERROR(INDEX(Products!$AT$5:$AT$304,MATCH(C164,Products!$A$5:$A$304,0)),""))</f>
        <v>0</v>
      </c>
      <c r="I164" s="20">
        <f>IF(C164="","",IFERROR(INDEX(Products!$AR$5:$AR$304,MATCH(C164,Products!$A$5:$A$304,0)),""))</f>
        <v>0</v>
      </c>
      <c r="J164" s="20">
        <f>IF(C164="","",IF(OR(E164="",H164=""),"",ROUND(E164*H164,2)))</f>
        <v>0</v>
      </c>
      <c r="K164" s="20">
        <f>IF(C164="","",IF(OR(E164="",I164=""),"",ROUND(E164*I164,2)))</f>
        <v>0</v>
      </c>
      <c r="L164" s="32">
        <f>IF(A164="","",COUNTIFS($A$5:A164,A164))</f>
        <v>0</v>
      </c>
      <c r="M164" s="13">
        <f>IF(A164="","",A164&amp;"|"&amp;L164)</f>
        <v>0</v>
      </c>
      <c r="N164" s="43">
        <f>IF(AND(A164="",C164=""),"",IF(A164="","Add - which bundle?",IF(C164="","Add - which product?",IF(D164="Not found","Check - no such product ID",IF(E164="","Add - how many?",IF(I164="","Check - that product has no price","OK"))))))</f>
        <v>0</v>
      </c>
    </row>
    <row r="165" spans="2:14">
      <c r="B165" s="13">
        <f>IF(A165="","",IFERROR(INDEX(Bundles!$B$5:$B$64,MATCH(A165,Bundles!$A$5:$A$64,0)),"Not found"))</f>
        <v>0</v>
      </c>
      <c r="D165" s="13">
        <f>IF(C165="","",IFERROR(INDEX(Products!$B$5:$B$304,MATCH(C165,Products!$A$5:$A$304,0)),"Not found"))</f>
        <v>0</v>
      </c>
      <c r="H165" s="20">
        <f>IF(C165="","",IFERROR(INDEX(Products!$AT$5:$AT$304,MATCH(C165,Products!$A$5:$A$304,0)),""))</f>
        <v>0</v>
      </c>
      <c r="I165" s="20">
        <f>IF(C165="","",IFERROR(INDEX(Products!$AR$5:$AR$304,MATCH(C165,Products!$A$5:$A$304,0)),""))</f>
        <v>0</v>
      </c>
      <c r="J165" s="20">
        <f>IF(C165="","",IF(OR(E165="",H165=""),"",ROUND(E165*H165,2)))</f>
        <v>0</v>
      </c>
      <c r="K165" s="20">
        <f>IF(C165="","",IF(OR(E165="",I165=""),"",ROUND(E165*I165,2)))</f>
        <v>0</v>
      </c>
      <c r="L165" s="32">
        <f>IF(A165="","",COUNTIFS($A$5:A165,A165))</f>
        <v>0</v>
      </c>
      <c r="M165" s="13">
        <f>IF(A165="","",A165&amp;"|"&amp;L165)</f>
        <v>0</v>
      </c>
      <c r="N165" s="43">
        <f>IF(AND(A165="",C165=""),"",IF(A165="","Add - which bundle?",IF(C165="","Add - which product?",IF(D165="Not found","Check - no such product ID",IF(E165="","Add - how many?",IF(I165="","Check - that product has no price","OK"))))))</f>
        <v>0</v>
      </c>
    </row>
    <row r="166" spans="2:14">
      <c r="B166" s="13">
        <f>IF(A166="","",IFERROR(INDEX(Bundles!$B$5:$B$64,MATCH(A166,Bundles!$A$5:$A$64,0)),"Not found"))</f>
        <v>0</v>
      </c>
      <c r="D166" s="13">
        <f>IF(C166="","",IFERROR(INDEX(Products!$B$5:$B$304,MATCH(C166,Products!$A$5:$A$304,0)),"Not found"))</f>
        <v>0</v>
      </c>
      <c r="H166" s="20">
        <f>IF(C166="","",IFERROR(INDEX(Products!$AT$5:$AT$304,MATCH(C166,Products!$A$5:$A$304,0)),""))</f>
        <v>0</v>
      </c>
      <c r="I166" s="20">
        <f>IF(C166="","",IFERROR(INDEX(Products!$AR$5:$AR$304,MATCH(C166,Products!$A$5:$A$304,0)),""))</f>
        <v>0</v>
      </c>
      <c r="J166" s="20">
        <f>IF(C166="","",IF(OR(E166="",H166=""),"",ROUND(E166*H166,2)))</f>
        <v>0</v>
      </c>
      <c r="K166" s="20">
        <f>IF(C166="","",IF(OR(E166="",I166=""),"",ROUND(E166*I166,2)))</f>
        <v>0</v>
      </c>
      <c r="L166" s="32">
        <f>IF(A166="","",COUNTIFS($A$5:A166,A166))</f>
        <v>0</v>
      </c>
      <c r="M166" s="13">
        <f>IF(A166="","",A166&amp;"|"&amp;L166)</f>
        <v>0</v>
      </c>
      <c r="N166" s="43">
        <f>IF(AND(A166="",C166=""),"",IF(A166="","Add - which bundle?",IF(C166="","Add - which product?",IF(D166="Not found","Check - no such product ID",IF(E166="","Add - how many?",IF(I166="","Check - that product has no price","OK"))))))</f>
        <v>0</v>
      </c>
    </row>
    <row r="167" spans="2:14">
      <c r="B167" s="13">
        <f>IF(A167="","",IFERROR(INDEX(Bundles!$B$5:$B$64,MATCH(A167,Bundles!$A$5:$A$64,0)),"Not found"))</f>
        <v>0</v>
      </c>
      <c r="D167" s="13">
        <f>IF(C167="","",IFERROR(INDEX(Products!$B$5:$B$304,MATCH(C167,Products!$A$5:$A$304,0)),"Not found"))</f>
        <v>0</v>
      </c>
      <c r="H167" s="20">
        <f>IF(C167="","",IFERROR(INDEX(Products!$AT$5:$AT$304,MATCH(C167,Products!$A$5:$A$304,0)),""))</f>
        <v>0</v>
      </c>
      <c r="I167" s="20">
        <f>IF(C167="","",IFERROR(INDEX(Products!$AR$5:$AR$304,MATCH(C167,Products!$A$5:$A$304,0)),""))</f>
        <v>0</v>
      </c>
      <c r="J167" s="20">
        <f>IF(C167="","",IF(OR(E167="",H167=""),"",ROUND(E167*H167,2)))</f>
        <v>0</v>
      </c>
      <c r="K167" s="20">
        <f>IF(C167="","",IF(OR(E167="",I167=""),"",ROUND(E167*I167,2)))</f>
        <v>0</v>
      </c>
      <c r="L167" s="32">
        <f>IF(A167="","",COUNTIFS($A$5:A167,A167))</f>
        <v>0</v>
      </c>
      <c r="M167" s="13">
        <f>IF(A167="","",A167&amp;"|"&amp;L167)</f>
        <v>0</v>
      </c>
      <c r="N167" s="43">
        <f>IF(AND(A167="",C167=""),"",IF(A167="","Add - which bundle?",IF(C167="","Add - which product?",IF(D167="Not found","Check - no such product ID",IF(E167="","Add - how many?",IF(I167="","Check - that product has no price","OK"))))))</f>
        <v>0</v>
      </c>
    </row>
    <row r="168" spans="2:14">
      <c r="B168" s="13">
        <f>IF(A168="","",IFERROR(INDEX(Bundles!$B$5:$B$64,MATCH(A168,Bundles!$A$5:$A$64,0)),"Not found"))</f>
        <v>0</v>
      </c>
      <c r="D168" s="13">
        <f>IF(C168="","",IFERROR(INDEX(Products!$B$5:$B$304,MATCH(C168,Products!$A$5:$A$304,0)),"Not found"))</f>
        <v>0</v>
      </c>
      <c r="H168" s="20">
        <f>IF(C168="","",IFERROR(INDEX(Products!$AT$5:$AT$304,MATCH(C168,Products!$A$5:$A$304,0)),""))</f>
        <v>0</v>
      </c>
      <c r="I168" s="20">
        <f>IF(C168="","",IFERROR(INDEX(Products!$AR$5:$AR$304,MATCH(C168,Products!$A$5:$A$304,0)),""))</f>
        <v>0</v>
      </c>
      <c r="J168" s="20">
        <f>IF(C168="","",IF(OR(E168="",H168=""),"",ROUND(E168*H168,2)))</f>
        <v>0</v>
      </c>
      <c r="K168" s="20">
        <f>IF(C168="","",IF(OR(E168="",I168=""),"",ROUND(E168*I168,2)))</f>
        <v>0</v>
      </c>
      <c r="L168" s="32">
        <f>IF(A168="","",COUNTIFS($A$5:A168,A168))</f>
        <v>0</v>
      </c>
      <c r="M168" s="13">
        <f>IF(A168="","",A168&amp;"|"&amp;L168)</f>
        <v>0</v>
      </c>
      <c r="N168" s="43">
        <f>IF(AND(A168="",C168=""),"",IF(A168="","Add - which bundle?",IF(C168="","Add - which product?",IF(D168="Not found","Check - no such product ID",IF(E168="","Add - how many?",IF(I168="","Check - that product has no price","OK"))))))</f>
        <v>0</v>
      </c>
    </row>
    <row r="169" spans="2:14">
      <c r="B169" s="13">
        <f>IF(A169="","",IFERROR(INDEX(Bundles!$B$5:$B$64,MATCH(A169,Bundles!$A$5:$A$64,0)),"Not found"))</f>
        <v>0</v>
      </c>
      <c r="D169" s="13">
        <f>IF(C169="","",IFERROR(INDEX(Products!$B$5:$B$304,MATCH(C169,Products!$A$5:$A$304,0)),"Not found"))</f>
        <v>0</v>
      </c>
      <c r="H169" s="20">
        <f>IF(C169="","",IFERROR(INDEX(Products!$AT$5:$AT$304,MATCH(C169,Products!$A$5:$A$304,0)),""))</f>
        <v>0</v>
      </c>
      <c r="I169" s="20">
        <f>IF(C169="","",IFERROR(INDEX(Products!$AR$5:$AR$304,MATCH(C169,Products!$A$5:$A$304,0)),""))</f>
        <v>0</v>
      </c>
      <c r="J169" s="20">
        <f>IF(C169="","",IF(OR(E169="",H169=""),"",ROUND(E169*H169,2)))</f>
        <v>0</v>
      </c>
      <c r="K169" s="20">
        <f>IF(C169="","",IF(OR(E169="",I169=""),"",ROUND(E169*I169,2)))</f>
        <v>0</v>
      </c>
      <c r="L169" s="32">
        <f>IF(A169="","",COUNTIFS($A$5:A169,A169))</f>
        <v>0</v>
      </c>
      <c r="M169" s="13">
        <f>IF(A169="","",A169&amp;"|"&amp;L169)</f>
        <v>0</v>
      </c>
      <c r="N169" s="43">
        <f>IF(AND(A169="",C169=""),"",IF(A169="","Add - which bundle?",IF(C169="","Add - which product?",IF(D169="Not found","Check - no such product ID",IF(E169="","Add - how many?",IF(I169="","Check - that product has no price","OK"))))))</f>
        <v>0</v>
      </c>
    </row>
    <row r="170" spans="2:14">
      <c r="B170" s="13">
        <f>IF(A170="","",IFERROR(INDEX(Bundles!$B$5:$B$64,MATCH(A170,Bundles!$A$5:$A$64,0)),"Not found"))</f>
        <v>0</v>
      </c>
      <c r="D170" s="13">
        <f>IF(C170="","",IFERROR(INDEX(Products!$B$5:$B$304,MATCH(C170,Products!$A$5:$A$304,0)),"Not found"))</f>
        <v>0</v>
      </c>
      <c r="H170" s="20">
        <f>IF(C170="","",IFERROR(INDEX(Products!$AT$5:$AT$304,MATCH(C170,Products!$A$5:$A$304,0)),""))</f>
        <v>0</v>
      </c>
      <c r="I170" s="20">
        <f>IF(C170="","",IFERROR(INDEX(Products!$AR$5:$AR$304,MATCH(C170,Products!$A$5:$A$304,0)),""))</f>
        <v>0</v>
      </c>
      <c r="J170" s="20">
        <f>IF(C170="","",IF(OR(E170="",H170=""),"",ROUND(E170*H170,2)))</f>
        <v>0</v>
      </c>
      <c r="K170" s="20">
        <f>IF(C170="","",IF(OR(E170="",I170=""),"",ROUND(E170*I170,2)))</f>
        <v>0</v>
      </c>
      <c r="L170" s="32">
        <f>IF(A170="","",COUNTIFS($A$5:A170,A170))</f>
        <v>0</v>
      </c>
      <c r="M170" s="13">
        <f>IF(A170="","",A170&amp;"|"&amp;L170)</f>
        <v>0</v>
      </c>
      <c r="N170" s="43">
        <f>IF(AND(A170="",C170=""),"",IF(A170="","Add - which bundle?",IF(C170="","Add - which product?",IF(D170="Not found","Check - no such product ID",IF(E170="","Add - how many?",IF(I170="","Check - that product has no price","OK"))))))</f>
        <v>0</v>
      </c>
    </row>
    <row r="171" spans="2:14">
      <c r="B171" s="13">
        <f>IF(A171="","",IFERROR(INDEX(Bundles!$B$5:$B$64,MATCH(A171,Bundles!$A$5:$A$64,0)),"Not found"))</f>
        <v>0</v>
      </c>
      <c r="D171" s="13">
        <f>IF(C171="","",IFERROR(INDEX(Products!$B$5:$B$304,MATCH(C171,Products!$A$5:$A$304,0)),"Not found"))</f>
        <v>0</v>
      </c>
      <c r="H171" s="20">
        <f>IF(C171="","",IFERROR(INDEX(Products!$AT$5:$AT$304,MATCH(C171,Products!$A$5:$A$304,0)),""))</f>
        <v>0</v>
      </c>
      <c r="I171" s="20">
        <f>IF(C171="","",IFERROR(INDEX(Products!$AR$5:$AR$304,MATCH(C171,Products!$A$5:$A$304,0)),""))</f>
        <v>0</v>
      </c>
      <c r="J171" s="20">
        <f>IF(C171="","",IF(OR(E171="",H171=""),"",ROUND(E171*H171,2)))</f>
        <v>0</v>
      </c>
      <c r="K171" s="20">
        <f>IF(C171="","",IF(OR(E171="",I171=""),"",ROUND(E171*I171,2)))</f>
        <v>0</v>
      </c>
      <c r="L171" s="32">
        <f>IF(A171="","",COUNTIFS($A$5:A171,A171))</f>
        <v>0</v>
      </c>
      <c r="M171" s="13">
        <f>IF(A171="","",A171&amp;"|"&amp;L171)</f>
        <v>0</v>
      </c>
      <c r="N171" s="43">
        <f>IF(AND(A171="",C171=""),"",IF(A171="","Add - which bundle?",IF(C171="","Add - which product?",IF(D171="Not found","Check - no such product ID",IF(E171="","Add - how many?",IF(I171="","Check - that product has no price","OK"))))))</f>
        <v>0</v>
      </c>
    </row>
    <row r="172" spans="2:14">
      <c r="B172" s="13">
        <f>IF(A172="","",IFERROR(INDEX(Bundles!$B$5:$B$64,MATCH(A172,Bundles!$A$5:$A$64,0)),"Not found"))</f>
        <v>0</v>
      </c>
      <c r="D172" s="13">
        <f>IF(C172="","",IFERROR(INDEX(Products!$B$5:$B$304,MATCH(C172,Products!$A$5:$A$304,0)),"Not found"))</f>
        <v>0</v>
      </c>
      <c r="H172" s="20">
        <f>IF(C172="","",IFERROR(INDEX(Products!$AT$5:$AT$304,MATCH(C172,Products!$A$5:$A$304,0)),""))</f>
        <v>0</v>
      </c>
      <c r="I172" s="20">
        <f>IF(C172="","",IFERROR(INDEX(Products!$AR$5:$AR$304,MATCH(C172,Products!$A$5:$A$304,0)),""))</f>
        <v>0</v>
      </c>
      <c r="J172" s="20">
        <f>IF(C172="","",IF(OR(E172="",H172=""),"",ROUND(E172*H172,2)))</f>
        <v>0</v>
      </c>
      <c r="K172" s="20">
        <f>IF(C172="","",IF(OR(E172="",I172=""),"",ROUND(E172*I172,2)))</f>
        <v>0</v>
      </c>
      <c r="L172" s="32">
        <f>IF(A172="","",COUNTIFS($A$5:A172,A172))</f>
        <v>0</v>
      </c>
      <c r="M172" s="13">
        <f>IF(A172="","",A172&amp;"|"&amp;L172)</f>
        <v>0</v>
      </c>
      <c r="N172" s="43">
        <f>IF(AND(A172="",C172=""),"",IF(A172="","Add - which bundle?",IF(C172="","Add - which product?",IF(D172="Not found","Check - no such product ID",IF(E172="","Add - how many?",IF(I172="","Check - that product has no price","OK"))))))</f>
        <v>0</v>
      </c>
    </row>
    <row r="173" spans="2:14">
      <c r="B173" s="13">
        <f>IF(A173="","",IFERROR(INDEX(Bundles!$B$5:$B$64,MATCH(A173,Bundles!$A$5:$A$64,0)),"Not found"))</f>
        <v>0</v>
      </c>
      <c r="D173" s="13">
        <f>IF(C173="","",IFERROR(INDEX(Products!$B$5:$B$304,MATCH(C173,Products!$A$5:$A$304,0)),"Not found"))</f>
        <v>0</v>
      </c>
      <c r="H173" s="20">
        <f>IF(C173="","",IFERROR(INDEX(Products!$AT$5:$AT$304,MATCH(C173,Products!$A$5:$A$304,0)),""))</f>
        <v>0</v>
      </c>
      <c r="I173" s="20">
        <f>IF(C173="","",IFERROR(INDEX(Products!$AR$5:$AR$304,MATCH(C173,Products!$A$5:$A$304,0)),""))</f>
        <v>0</v>
      </c>
      <c r="J173" s="20">
        <f>IF(C173="","",IF(OR(E173="",H173=""),"",ROUND(E173*H173,2)))</f>
        <v>0</v>
      </c>
      <c r="K173" s="20">
        <f>IF(C173="","",IF(OR(E173="",I173=""),"",ROUND(E173*I173,2)))</f>
        <v>0</v>
      </c>
      <c r="L173" s="32">
        <f>IF(A173="","",COUNTIFS($A$5:A173,A173))</f>
        <v>0</v>
      </c>
      <c r="M173" s="13">
        <f>IF(A173="","",A173&amp;"|"&amp;L173)</f>
        <v>0</v>
      </c>
      <c r="N173" s="43">
        <f>IF(AND(A173="",C173=""),"",IF(A173="","Add - which bundle?",IF(C173="","Add - which product?",IF(D173="Not found","Check - no such product ID",IF(E173="","Add - how many?",IF(I173="","Check - that product has no price","OK"))))))</f>
        <v>0</v>
      </c>
    </row>
    <row r="174" spans="2:14">
      <c r="B174" s="13">
        <f>IF(A174="","",IFERROR(INDEX(Bundles!$B$5:$B$64,MATCH(A174,Bundles!$A$5:$A$64,0)),"Not found"))</f>
        <v>0</v>
      </c>
      <c r="D174" s="13">
        <f>IF(C174="","",IFERROR(INDEX(Products!$B$5:$B$304,MATCH(C174,Products!$A$5:$A$304,0)),"Not found"))</f>
        <v>0</v>
      </c>
      <c r="H174" s="20">
        <f>IF(C174="","",IFERROR(INDEX(Products!$AT$5:$AT$304,MATCH(C174,Products!$A$5:$A$304,0)),""))</f>
        <v>0</v>
      </c>
      <c r="I174" s="20">
        <f>IF(C174="","",IFERROR(INDEX(Products!$AR$5:$AR$304,MATCH(C174,Products!$A$5:$A$304,0)),""))</f>
        <v>0</v>
      </c>
      <c r="J174" s="20">
        <f>IF(C174="","",IF(OR(E174="",H174=""),"",ROUND(E174*H174,2)))</f>
        <v>0</v>
      </c>
      <c r="K174" s="20">
        <f>IF(C174="","",IF(OR(E174="",I174=""),"",ROUND(E174*I174,2)))</f>
        <v>0</v>
      </c>
      <c r="L174" s="32">
        <f>IF(A174="","",COUNTIFS($A$5:A174,A174))</f>
        <v>0</v>
      </c>
      <c r="M174" s="13">
        <f>IF(A174="","",A174&amp;"|"&amp;L174)</f>
        <v>0</v>
      </c>
      <c r="N174" s="43">
        <f>IF(AND(A174="",C174=""),"",IF(A174="","Add - which bundle?",IF(C174="","Add - which product?",IF(D174="Not found","Check - no such product ID",IF(E174="","Add - how many?",IF(I174="","Check - that product has no price","OK"))))))</f>
        <v>0</v>
      </c>
    </row>
    <row r="175" spans="2:14">
      <c r="B175" s="13">
        <f>IF(A175="","",IFERROR(INDEX(Bundles!$B$5:$B$64,MATCH(A175,Bundles!$A$5:$A$64,0)),"Not found"))</f>
        <v>0</v>
      </c>
      <c r="D175" s="13">
        <f>IF(C175="","",IFERROR(INDEX(Products!$B$5:$B$304,MATCH(C175,Products!$A$5:$A$304,0)),"Not found"))</f>
        <v>0</v>
      </c>
      <c r="H175" s="20">
        <f>IF(C175="","",IFERROR(INDEX(Products!$AT$5:$AT$304,MATCH(C175,Products!$A$5:$A$304,0)),""))</f>
        <v>0</v>
      </c>
      <c r="I175" s="20">
        <f>IF(C175="","",IFERROR(INDEX(Products!$AR$5:$AR$304,MATCH(C175,Products!$A$5:$A$304,0)),""))</f>
        <v>0</v>
      </c>
      <c r="J175" s="20">
        <f>IF(C175="","",IF(OR(E175="",H175=""),"",ROUND(E175*H175,2)))</f>
        <v>0</v>
      </c>
      <c r="K175" s="20">
        <f>IF(C175="","",IF(OR(E175="",I175=""),"",ROUND(E175*I175,2)))</f>
        <v>0</v>
      </c>
      <c r="L175" s="32">
        <f>IF(A175="","",COUNTIFS($A$5:A175,A175))</f>
        <v>0</v>
      </c>
      <c r="M175" s="13">
        <f>IF(A175="","",A175&amp;"|"&amp;L175)</f>
        <v>0</v>
      </c>
      <c r="N175" s="43">
        <f>IF(AND(A175="",C175=""),"",IF(A175="","Add - which bundle?",IF(C175="","Add - which product?",IF(D175="Not found","Check - no such product ID",IF(E175="","Add - how many?",IF(I175="","Check - that product has no price","OK"))))))</f>
        <v>0</v>
      </c>
    </row>
    <row r="176" spans="2:14">
      <c r="B176" s="13">
        <f>IF(A176="","",IFERROR(INDEX(Bundles!$B$5:$B$64,MATCH(A176,Bundles!$A$5:$A$64,0)),"Not found"))</f>
        <v>0</v>
      </c>
      <c r="D176" s="13">
        <f>IF(C176="","",IFERROR(INDEX(Products!$B$5:$B$304,MATCH(C176,Products!$A$5:$A$304,0)),"Not found"))</f>
        <v>0</v>
      </c>
      <c r="H176" s="20">
        <f>IF(C176="","",IFERROR(INDEX(Products!$AT$5:$AT$304,MATCH(C176,Products!$A$5:$A$304,0)),""))</f>
        <v>0</v>
      </c>
      <c r="I176" s="20">
        <f>IF(C176="","",IFERROR(INDEX(Products!$AR$5:$AR$304,MATCH(C176,Products!$A$5:$A$304,0)),""))</f>
        <v>0</v>
      </c>
      <c r="J176" s="20">
        <f>IF(C176="","",IF(OR(E176="",H176=""),"",ROUND(E176*H176,2)))</f>
        <v>0</v>
      </c>
      <c r="K176" s="20">
        <f>IF(C176="","",IF(OR(E176="",I176=""),"",ROUND(E176*I176,2)))</f>
        <v>0</v>
      </c>
      <c r="L176" s="32">
        <f>IF(A176="","",COUNTIFS($A$5:A176,A176))</f>
        <v>0</v>
      </c>
      <c r="M176" s="13">
        <f>IF(A176="","",A176&amp;"|"&amp;L176)</f>
        <v>0</v>
      </c>
      <c r="N176" s="43">
        <f>IF(AND(A176="",C176=""),"",IF(A176="","Add - which bundle?",IF(C176="","Add - which product?",IF(D176="Not found","Check - no such product ID",IF(E176="","Add - how many?",IF(I176="","Check - that product has no price","OK"))))))</f>
        <v>0</v>
      </c>
    </row>
    <row r="177" spans="2:14">
      <c r="B177" s="13">
        <f>IF(A177="","",IFERROR(INDEX(Bundles!$B$5:$B$64,MATCH(A177,Bundles!$A$5:$A$64,0)),"Not found"))</f>
        <v>0</v>
      </c>
      <c r="D177" s="13">
        <f>IF(C177="","",IFERROR(INDEX(Products!$B$5:$B$304,MATCH(C177,Products!$A$5:$A$304,0)),"Not found"))</f>
        <v>0</v>
      </c>
      <c r="H177" s="20">
        <f>IF(C177="","",IFERROR(INDEX(Products!$AT$5:$AT$304,MATCH(C177,Products!$A$5:$A$304,0)),""))</f>
        <v>0</v>
      </c>
      <c r="I177" s="20">
        <f>IF(C177="","",IFERROR(INDEX(Products!$AR$5:$AR$304,MATCH(C177,Products!$A$5:$A$304,0)),""))</f>
        <v>0</v>
      </c>
      <c r="J177" s="20">
        <f>IF(C177="","",IF(OR(E177="",H177=""),"",ROUND(E177*H177,2)))</f>
        <v>0</v>
      </c>
      <c r="K177" s="20">
        <f>IF(C177="","",IF(OR(E177="",I177=""),"",ROUND(E177*I177,2)))</f>
        <v>0</v>
      </c>
      <c r="L177" s="32">
        <f>IF(A177="","",COUNTIFS($A$5:A177,A177))</f>
        <v>0</v>
      </c>
      <c r="M177" s="13">
        <f>IF(A177="","",A177&amp;"|"&amp;L177)</f>
        <v>0</v>
      </c>
      <c r="N177" s="43">
        <f>IF(AND(A177="",C177=""),"",IF(A177="","Add - which bundle?",IF(C177="","Add - which product?",IF(D177="Not found","Check - no such product ID",IF(E177="","Add - how many?",IF(I177="","Check - that product has no price","OK"))))))</f>
        <v>0</v>
      </c>
    </row>
    <row r="178" spans="2:14">
      <c r="B178" s="13">
        <f>IF(A178="","",IFERROR(INDEX(Bundles!$B$5:$B$64,MATCH(A178,Bundles!$A$5:$A$64,0)),"Not found"))</f>
        <v>0</v>
      </c>
      <c r="D178" s="13">
        <f>IF(C178="","",IFERROR(INDEX(Products!$B$5:$B$304,MATCH(C178,Products!$A$5:$A$304,0)),"Not found"))</f>
        <v>0</v>
      </c>
      <c r="H178" s="20">
        <f>IF(C178="","",IFERROR(INDEX(Products!$AT$5:$AT$304,MATCH(C178,Products!$A$5:$A$304,0)),""))</f>
        <v>0</v>
      </c>
      <c r="I178" s="20">
        <f>IF(C178="","",IFERROR(INDEX(Products!$AR$5:$AR$304,MATCH(C178,Products!$A$5:$A$304,0)),""))</f>
        <v>0</v>
      </c>
      <c r="J178" s="20">
        <f>IF(C178="","",IF(OR(E178="",H178=""),"",ROUND(E178*H178,2)))</f>
        <v>0</v>
      </c>
      <c r="K178" s="20">
        <f>IF(C178="","",IF(OR(E178="",I178=""),"",ROUND(E178*I178,2)))</f>
        <v>0</v>
      </c>
      <c r="L178" s="32">
        <f>IF(A178="","",COUNTIFS($A$5:A178,A178))</f>
        <v>0</v>
      </c>
      <c r="M178" s="13">
        <f>IF(A178="","",A178&amp;"|"&amp;L178)</f>
        <v>0</v>
      </c>
      <c r="N178" s="43">
        <f>IF(AND(A178="",C178=""),"",IF(A178="","Add - which bundle?",IF(C178="","Add - which product?",IF(D178="Not found","Check - no such product ID",IF(E178="","Add - how many?",IF(I178="","Check - that product has no price","OK"))))))</f>
        <v>0</v>
      </c>
    </row>
    <row r="179" spans="2:14">
      <c r="B179" s="13">
        <f>IF(A179="","",IFERROR(INDEX(Bundles!$B$5:$B$64,MATCH(A179,Bundles!$A$5:$A$64,0)),"Not found"))</f>
        <v>0</v>
      </c>
      <c r="D179" s="13">
        <f>IF(C179="","",IFERROR(INDEX(Products!$B$5:$B$304,MATCH(C179,Products!$A$5:$A$304,0)),"Not found"))</f>
        <v>0</v>
      </c>
      <c r="H179" s="20">
        <f>IF(C179="","",IFERROR(INDEX(Products!$AT$5:$AT$304,MATCH(C179,Products!$A$5:$A$304,0)),""))</f>
        <v>0</v>
      </c>
      <c r="I179" s="20">
        <f>IF(C179="","",IFERROR(INDEX(Products!$AR$5:$AR$304,MATCH(C179,Products!$A$5:$A$304,0)),""))</f>
        <v>0</v>
      </c>
      <c r="J179" s="20">
        <f>IF(C179="","",IF(OR(E179="",H179=""),"",ROUND(E179*H179,2)))</f>
        <v>0</v>
      </c>
      <c r="K179" s="20">
        <f>IF(C179="","",IF(OR(E179="",I179=""),"",ROUND(E179*I179,2)))</f>
        <v>0</v>
      </c>
      <c r="L179" s="32">
        <f>IF(A179="","",COUNTIFS($A$5:A179,A179))</f>
        <v>0</v>
      </c>
      <c r="M179" s="13">
        <f>IF(A179="","",A179&amp;"|"&amp;L179)</f>
        <v>0</v>
      </c>
      <c r="N179" s="43">
        <f>IF(AND(A179="",C179=""),"",IF(A179="","Add - which bundle?",IF(C179="","Add - which product?",IF(D179="Not found","Check - no such product ID",IF(E179="","Add - how many?",IF(I179="","Check - that product has no price","OK"))))))</f>
        <v>0</v>
      </c>
    </row>
    <row r="180" spans="2:14">
      <c r="B180" s="13">
        <f>IF(A180="","",IFERROR(INDEX(Bundles!$B$5:$B$64,MATCH(A180,Bundles!$A$5:$A$64,0)),"Not found"))</f>
        <v>0</v>
      </c>
      <c r="D180" s="13">
        <f>IF(C180="","",IFERROR(INDEX(Products!$B$5:$B$304,MATCH(C180,Products!$A$5:$A$304,0)),"Not found"))</f>
        <v>0</v>
      </c>
      <c r="H180" s="20">
        <f>IF(C180="","",IFERROR(INDEX(Products!$AT$5:$AT$304,MATCH(C180,Products!$A$5:$A$304,0)),""))</f>
        <v>0</v>
      </c>
      <c r="I180" s="20">
        <f>IF(C180="","",IFERROR(INDEX(Products!$AR$5:$AR$304,MATCH(C180,Products!$A$5:$A$304,0)),""))</f>
        <v>0</v>
      </c>
      <c r="J180" s="20">
        <f>IF(C180="","",IF(OR(E180="",H180=""),"",ROUND(E180*H180,2)))</f>
        <v>0</v>
      </c>
      <c r="K180" s="20">
        <f>IF(C180="","",IF(OR(E180="",I180=""),"",ROUND(E180*I180,2)))</f>
        <v>0</v>
      </c>
      <c r="L180" s="32">
        <f>IF(A180="","",COUNTIFS($A$5:A180,A180))</f>
        <v>0</v>
      </c>
      <c r="M180" s="13">
        <f>IF(A180="","",A180&amp;"|"&amp;L180)</f>
        <v>0</v>
      </c>
      <c r="N180" s="43">
        <f>IF(AND(A180="",C180=""),"",IF(A180="","Add - which bundle?",IF(C180="","Add - which product?",IF(D180="Not found","Check - no such product ID",IF(E180="","Add - how many?",IF(I180="","Check - that product has no price","OK"))))))</f>
        <v>0</v>
      </c>
    </row>
    <row r="181" spans="2:14">
      <c r="B181" s="13">
        <f>IF(A181="","",IFERROR(INDEX(Bundles!$B$5:$B$64,MATCH(A181,Bundles!$A$5:$A$64,0)),"Not found"))</f>
        <v>0</v>
      </c>
      <c r="D181" s="13">
        <f>IF(C181="","",IFERROR(INDEX(Products!$B$5:$B$304,MATCH(C181,Products!$A$5:$A$304,0)),"Not found"))</f>
        <v>0</v>
      </c>
      <c r="H181" s="20">
        <f>IF(C181="","",IFERROR(INDEX(Products!$AT$5:$AT$304,MATCH(C181,Products!$A$5:$A$304,0)),""))</f>
        <v>0</v>
      </c>
      <c r="I181" s="20">
        <f>IF(C181="","",IFERROR(INDEX(Products!$AR$5:$AR$304,MATCH(C181,Products!$A$5:$A$304,0)),""))</f>
        <v>0</v>
      </c>
      <c r="J181" s="20">
        <f>IF(C181="","",IF(OR(E181="",H181=""),"",ROUND(E181*H181,2)))</f>
        <v>0</v>
      </c>
      <c r="K181" s="20">
        <f>IF(C181="","",IF(OR(E181="",I181=""),"",ROUND(E181*I181,2)))</f>
        <v>0</v>
      </c>
      <c r="L181" s="32">
        <f>IF(A181="","",COUNTIFS($A$5:A181,A181))</f>
        <v>0</v>
      </c>
      <c r="M181" s="13">
        <f>IF(A181="","",A181&amp;"|"&amp;L181)</f>
        <v>0</v>
      </c>
      <c r="N181" s="43">
        <f>IF(AND(A181="",C181=""),"",IF(A181="","Add - which bundle?",IF(C181="","Add - which product?",IF(D181="Not found","Check - no such product ID",IF(E181="","Add - how many?",IF(I181="","Check - that product has no price","OK"))))))</f>
        <v>0</v>
      </c>
    </row>
    <row r="182" spans="2:14">
      <c r="B182" s="13">
        <f>IF(A182="","",IFERROR(INDEX(Bundles!$B$5:$B$64,MATCH(A182,Bundles!$A$5:$A$64,0)),"Not found"))</f>
        <v>0</v>
      </c>
      <c r="D182" s="13">
        <f>IF(C182="","",IFERROR(INDEX(Products!$B$5:$B$304,MATCH(C182,Products!$A$5:$A$304,0)),"Not found"))</f>
        <v>0</v>
      </c>
      <c r="H182" s="20">
        <f>IF(C182="","",IFERROR(INDEX(Products!$AT$5:$AT$304,MATCH(C182,Products!$A$5:$A$304,0)),""))</f>
        <v>0</v>
      </c>
      <c r="I182" s="20">
        <f>IF(C182="","",IFERROR(INDEX(Products!$AR$5:$AR$304,MATCH(C182,Products!$A$5:$A$304,0)),""))</f>
        <v>0</v>
      </c>
      <c r="J182" s="20">
        <f>IF(C182="","",IF(OR(E182="",H182=""),"",ROUND(E182*H182,2)))</f>
        <v>0</v>
      </c>
      <c r="K182" s="20">
        <f>IF(C182="","",IF(OR(E182="",I182=""),"",ROUND(E182*I182,2)))</f>
        <v>0</v>
      </c>
      <c r="L182" s="32">
        <f>IF(A182="","",COUNTIFS($A$5:A182,A182))</f>
        <v>0</v>
      </c>
      <c r="M182" s="13">
        <f>IF(A182="","",A182&amp;"|"&amp;L182)</f>
        <v>0</v>
      </c>
      <c r="N182" s="43">
        <f>IF(AND(A182="",C182=""),"",IF(A182="","Add - which bundle?",IF(C182="","Add - which product?",IF(D182="Not found","Check - no such product ID",IF(E182="","Add - how many?",IF(I182="","Check - that product has no price","OK"))))))</f>
        <v>0</v>
      </c>
    </row>
    <row r="183" spans="2:14">
      <c r="B183" s="13">
        <f>IF(A183="","",IFERROR(INDEX(Bundles!$B$5:$B$64,MATCH(A183,Bundles!$A$5:$A$64,0)),"Not found"))</f>
        <v>0</v>
      </c>
      <c r="D183" s="13">
        <f>IF(C183="","",IFERROR(INDEX(Products!$B$5:$B$304,MATCH(C183,Products!$A$5:$A$304,0)),"Not found"))</f>
        <v>0</v>
      </c>
      <c r="H183" s="20">
        <f>IF(C183="","",IFERROR(INDEX(Products!$AT$5:$AT$304,MATCH(C183,Products!$A$5:$A$304,0)),""))</f>
        <v>0</v>
      </c>
      <c r="I183" s="20">
        <f>IF(C183="","",IFERROR(INDEX(Products!$AR$5:$AR$304,MATCH(C183,Products!$A$5:$A$304,0)),""))</f>
        <v>0</v>
      </c>
      <c r="J183" s="20">
        <f>IF(C183="","",IF(OR(E183="",H183=""),"",ROUND(E183*H183,2)))</f>
        <v>0</v>
      </c>
      <c r="K183" s="20">
        <f>IF(C183="","",IF(OR(E183="",I183=""),"",ROUND(E183*I183,2)))</f>
        <v>0</v>
      </c>
      <c r="L183" s="32">
        <f>IF(A183="","",COUNTIFS($A$5:A183,A183))</f>
        <v>0</v>
      </c>
      <c r="M183" s="13">
        <f>IF(A183="","",A183&amp;"|"&amp;L183)</f>
        <v>0</v>
      </c>
      <c r="N183" s="43">
        <f>IF(AND(A183="",C183=""),"",IF(A183="","Add - which bundle?",IF(C183="","Add - which product?",IF(D183="Not found","Check - no such product ID",IF(E183="","Add - how many?",IF(I183="","Check - that product has no price","OK"))))))</f>
        <v>0</v>
      </c>
    </row>
    <row r="184" spans="2:14">
      <c r="B184" s="13">
        <f>IF(A184="","",IFERROR(INDEX(Bundles!$B$5:$B$64,MATCH(A184,Bundles!$A$5:$A$64,0)),"Not found"))</f>
        <v>0</v>
      </c>
      <c r="D184" s="13">
        <f>IF(C184="","",IFERROR(INDEX(Products!$B$5:$B$304,MATCH(C184,Products!$A$5:$A$304,0)),"Not found"))</f>
        <v>0</v>
      </c>
      <c r="H184" s="20">
        <f>IF(C184="","",IFERROR(INDEX(Products!$AT$5:$AT$304,MATCH(C184,Products!$A$5:$A$304,0)),""))</f>
        <v>0</v>
      </c>
      <c r="I184" s="20">
        <f>IF(C184="","",IFERROR(INDEX(Products!$AR$5:$AR$304,MATCH(C184,Products!$A$5:$A$304,0)),""))</f>
        <v>0</v>
      </c>
      <c r="J184" s="20">
        <f>IF(C184="","",IF(OR(E184="",H184=""),"",ROUND(E184*H184,2)))</f>
        <v>0</v>
      </c>
      <c r="K184" s="20">
        <f>IF(C184="","",IF(OR(E184="",I184=""),"",ROUND(E184*I184,2)))</f>
        <v>0</v>
      </c>
      <c r="L184" s="32">
        <f>IF(A184="","",COUNTIFS($A$5:A184,A184))</f>
        <v>0</v>
      </c>
      <c r="M184" s="13">
        <f>IF(A184="","",A184&amp;"|"&amp;L184)</f>
        <v>0</v>
      </c>
      <c r="N184" s="43">
        <f>IF(AND(A184="",C184=""),"",IF(A184="","Add - which bundle?",IF(C184="","Add - which product?",IF(D184="Not found","Check - no such product ID",IF(E184="","Add - how many?",IF(I184="","Check - that product has no price","OK"))))))</f>
        <v>0</v>
      </c>
    </row>
    <row r="185" spans="2:14">
      <c r="B185" s="13">
        <f>IF(A185="","",IFERROR(INDEX(Bundles!$B$5:$B$64,MATCH(A185,Bundles!$A$5:$A$64,0)),"Not found"))</f>
        <v>0</v>
      </c>
      <c r="D185" s="13">
        <f>IF(C185="","",IFERROR(INDEX(Products!$B$5:$B$304,MATCH(C185,Products!$A$5:$A$304,0)),"Not found"))</f>
        <v>0</v>
      </c>
      <c r="H185" s="20">
        <f>IF(C185="","",IFERROR(INDEX(Products!$AT$5:$AT$304,MATCH(C185,Products!$A$5:$A$304,0)),""))</f>
        <v>0</v>
      </c>
      <c r="I185" s="20">
        <f>IF(C185="","",IFERROR(INDEX(Products!$AR$5:$AR$304,MATCH(C185,Products!$A$5:$A$304,0)),""))</f>
        <v>0</v>
      </c>
      <c r="J185" s="20">
        <f>IF(C185="","",IF(OR(E185="",H185=""),"",ROUND(E185*H185,2)))</f>
        <v>0</v>
      </c>
      <c r="K185" s="20">
        <f>IF(C185="","",IF(OR(E185="",I185=""),"",ROUND(E185*I185,2)))</f>
        <v>0</v>
      </c>
      <c r="L185" s="32">
        <f>IF(A185="","",COUNTIFS($A$5:A185,A185))</f>
        <v>0</v>
      </c>
      <c r="M185" s="13">
        <f>IF(A185="","",A185&amp;"|"&amp;L185)</f>
        <v>0</v>
      </c>
      <c r="N185" s="43">
        <f>IF(AND(A185="",C185=""),"",IF(A185="","Add - which bundle?",IF(C185="","Add - which product?",IF(D185="Not found","Check - no such product ID",IF(E185="","Add - how many?",IF(I185="","Check - that product has no price","OK"))))))</f>
        <v>0</v>
      </c>
    </row>
    <row r="186" spans="2:14">
      <c r="B186" s="13">
        <f>IF(A186="","",IFERROR(INDEX(Bundles!$B$5:$B$64,MATCH(A186,Bundles!$A$5:$A$64,0)),"Not found"))</f>
        <v>0</v>
      </c>
      <c r="D186" s="13">
        <f>IF(C186="","",IFERROR(INDEX(Products!$B$5:$B$304,MATCH(C186,Products!$A$5:$A$304,0)),"Not found"))</f>
        <v>0</v>
      </c>
      <c r="H186" s="20">
        <f>IF(C186="","",IFERROR(INDEX(Products!$AT$5:$AT$304,MATCH(C186,Products!$A$5:$A$304,0)),""))</f>
        <v>0</v>
      </c>
      <c r="I186" s="20">
        <f>IF(C186="","",IFERROR(INDEX(Products!$AR$5:$AR$304,MATCH(C186,Products!$A$5:$A$304,0)),""))</f>
        <v>0</v>
      </c>
      <c r="J186" s="20">
        <f>IF(C186="","",IF(OR(E186="",H186=""),"",ROUND(E186*H186,2)))</f>
        <v>0</v>
      </c>
      <c r="K186" s="20">
        <f>IF(C186="","",IF(OR(E186="",I186=""),"",ROUND(E186*I186,2)))</f>
        <v>0</v>
      </c>
      <c r="L186" s="32">
        <f>IF(A186="","",COUNTIFS($A$5:A186,A186))</f>
        <v>0</v>
      </c>
      <c r="M186" s="13">
        <f>IF(A186="","",A186&amp;"|"&amp;L186)</f>
        <v>0</v>
      </c>
      <c r="N186" s="43">
        <f>IF(AND(A186="",C186=""),"",IF(A186="","Add - which bundle?",IF(C186="","Add - which product?",IF(D186="Not found","Check - no such product ID",IF(E186="","Add - how many?",IF(I186="","Check - that product has no price","OK"))))))</f>
        <v>0</v>
      </c>
    </row>
    <row r="187" spans="2:14">
      <c r="B187" s="13">
        <f>IF(A187="","",IFERROR(INDEX(Bundles!$B$5:$B$64,MATCH(A187,Bundles!$A$5:$A$64,0)),"Not found"))</f>
        <v>0</v>
      </c>
      <c r="D187" s="13">
        <f>IF(C187="","",IFERROR(INDEX(Products!$B$5:$B$304,MATCH(C187,Products!$A$5:$A$304,0)),"Not found"))</f>
        <v>0</v>
      </c>
      <c r="H187" s="20">
        <f>IF(C187="","",IFERROR(INDEX(Products!$AT$5:$AT$304,MATCH(C187,Products!$A$5:$A$304,0)),""))</f>
        <v>0</v>
      </c>
      <c r="I187" s="20">
        <f>IF(C187="","",IFERROR(INDEX(Products!$AR$5:$AR$304,MATCH(C187,Products!$A$5:$A$304,0)),""))</f>
        <v>0</v>
      </c>
      <c r="J187" s="20">
        <f>IF(C187="","",IF(OR(E187="",H187=""),"",ROUND(E187*H187,2)))</f>
        <v>0</v>
      </c>
      <c r="K187" s="20">
        <f>IF(C187="","",IF(OR(E187="",I187=""),"",ROUND(E187*I187,2)))</f>
        <v>0</v>
      </c>
      <c r="L187" s="32">
        <f>IF(A187="","",COUNTIFS($A$5:A187,A187))</f>
        <v>0</v>
      </c>
      <c r="M187" s="13">
        <f>IF(A187="","",A187&amp;"|"&amp;L187)</f>
        <v>0</v>
      </c>
      <c r="N187" s="43">
        <f>IF(AND(A187="",C187=""),"",IF(A187="","Add - which bundle?",IF(C187="","Add - which product?",IF(D187="Not found","Check - no such product ID",IF(E187="","Add - how many?",IF(I187="","Check - that product has no price","OK"))))))</f>
        <v>0</v>
      </c>
    </row>
    <row r="188" spans="2:14">
      <c r="B188" s="13">
        <f>IF(A188="","",IFERROR(INDEX(Bundles!$B$5:$B$64,MATCH(A188,Bundles!$A$5:$A$64,0)),"Not found"))</f>
        <v>0</v>
      </c>
      <c r="D188" s="13">
        <f>IF(C188="","",IFERROR(INDEX(Products!$B$5:$B$304,MATCH(C188,Products!$A$5:$A$304,0)),"Not found"))</f>
        <v>0</v>
      </c>
      <c r="H188" s="20">
        <f>IF(C188="","",IFERROR(INDEX(Products!$AT$5:$AT$304,MATCH(C188,Products!$A$5:$A$304,0)),""))</f>
        <v>0</v>
      </c>
      <c r="I188" s="20">
        <f>IF(C188="","",IFERROR(INDEX(Products!$AR$5:$AR$304,MATCH(C188,Products!$A$5:$A$304,0)),""))</f>
        <v>0</v>
      </c>
      <c r="J188" s="20">
        <f>IF(C188="","",IF(OR(E188="",H188=""),"",ROUND(E188*H188,2)))</f>
        <v>0</v>
      </c>
      <c r="K188" s="20">
        <f>IF(C188="","",IF(OR(E188="",I188=""),"",ROUND(E188*I188,2)))</f>
        <v>0</v>
      </c>
      <c r="L188" s="32">
        <f>IF(A188="","",COUNTIFS($A$5:A188,A188))</f>
        <v>0</v>
      </c>
      <c r="M188" s="13">
        <f>IF(A188="","",A188&amp;"|"&amp;L188)</f>
        <v>0</v>
      </c>
      <c r="N188" s="43">
        <f>IF(AND(A188="",C188=""),"",IF(A188="","Add - which bundle?",IF(C188="","Add - which product?",IF(D188="Not found","Check - no such product ID",IF(E188="","Add - how many?",IF(I188="","Check - that product has no price","OK"))))))</f>
        <v>0</v>
      </c>
    </row>
    <row r="189" spans="2:14">
      <c r="B189" s="13">
        <f>IF(A189="","",IFERROR(INDEX(Bundles!$B$5:$B$64,MATCH(A189,Bundles!$A$5:$A$64,0)),"Not found"))</f>
        <v>0</v>
      </c>
      <c r="D189" s="13">
        <f>IF(C189="","",IFERROR(INDEX(Products!$B$5:$B$304,MATCH(C189,Products!$A$5:$A$304,0)),"Not found"))</f>
        <v>0</v>
      </c>
      <c r="H189" s="20">
        <f>IF(C189="","",IFERROR(INDEX(Products!$AT$5:$AT$304,MATCH(C189,Products!$A$5:$A$304,0)),""))</f>
        <v>0</v>
      </c>
      <c r="I189" s="20">
        <f>IF(C189="","",IFERROR(INDEX(Products!$AR$5:$AR$304,MATCH(C189,Products!$A$5:$A$304,0)),""))</f>
        <v>0</v>
      </c>
      <c r="J189" s="20">
        <f>IF(C189="","",IF(OR(E189="",H189=""),"",ROUND(E189*H189,2)))</f>
        <v>0</v>
      </c>
      <c r="K189" s="20">
        <f>IF(C189="","",IF(OR(E189="",I189=""),"",ROUND(E189*I189,2)))</f>
        <v>0</v>
      </c>
      <c r="L189" s="32">
        <f>IF(A189="","",COUNTIFS($A$5:A189,A189))</f>
        <v>0</v>
      </c>
      <c r="M189" s="13">
        <f>IF(A189="","",A189&amp;"|"&amp;L189)</f>
        <v>0</v>
      </c>
      <c r="N189" s="43">
        <f>IF(AND(A189="",C189=""),"",IF(A189="","Add - which bundle?",IF(C189="","Add - which product?",IF(D189="Not found","Check - no such product ID",IF(E189="","Add - how many?",IF(I189="","Check - that product has no price","OK"))))))</f>
        <v>0</v>
      </c>
    </row>
    <row r="190" spans="2:14">
      <c r="B190" s="13">
        <f>IF(A190="","",IFERROR(INDEX(Bundles!$B$5:$B$64,MATCH(A190,Bundles!$A$5:$A$64,0)),"Not found"))</f>
        <v>0</v>
      </c>
      <c r="D190" s="13">
        <f>IF(C190="","",IFERROR(INDEX(Products!$B$5:$B$304,MATCH(C190,Products!$A$5:$A$304,0)),"Not found"))</f>
        <v>0</v>
      </c>
      <c r="H190" s="20">
        <f>IF(C190="","",IFERROR(INDEX(Products!$AT$5:$AT$304,MATCH(C190,Products!$A$5:$A$304,0)),""))</f>
        <v>0</v>
      </c>
      <c r="I190" s="20">
        <f>IF(C190="","",IFERROR(INDEX(Products!$AR$5:$AR$304,MATCH(C190,Products!$A$5:$A$304,0)),""))</f>
        <v>0</v>
      </c>
      <c r="J190" s="20">
        <f>IF(C190="","",IF(OR(E190="",H190=""),"",ROUND(E190*H190,2)))</f>
        <v>0</v>
      </c>
      <c r="K190" s="20">
        <f>IF(C190="","",IF(OR(E190="",I190=""),"",ROUND(E190*I190,2)))</f>
        <v>0</v>
      </c>
      <c r="L190" s="32">
        <f>IF(A190="","",COUNTIFS($A$5:A190,A190))</f>
        <v>0</v>
      </c>
      <c r="M190" s="13">
        <f>IF(A190="","",A190&amp;"|"&amp;L190)</f>
        <v>0</v>
      </c>
      <c r="N190" s="43">
        <f>IF(AND(A190="",C190=""),"",IF(A190="","Add - which bundle?",IF(C190="","Add - which product?",IF(D190="Not found","Check - no such product ID",IF(E190="","Add - how many?",IF(I190="","Check - that product has no price","OK"))))))</f>
        <v>0</v>
      </c>
    </row>
    <row r="191" spans="2:14">
      <c r="B191" s="13">
        <f>IF(A191="","",IFERROR(INDEX(Bundles!$B$5:$B$64,MATCH(A191,Bundles!$A$5:$A$64,0)),"Not found"))</f>
        <v>0</v>
      </c>
      <c r="D191" s="13">
        <f>IF(C191="","",IFERROR(INDEX(Products!$B$5:$B$304,MATCH(C191,Products!$A$5:$A$304,0)),"Not found"))</f>
        <v>0</v>
      </c>
      <c r="H191" s="20">
        <f>IF(C191="","",IFERROR(INDEX(Products!$AT$5:$AT$304,MATCH(C191,Products!$A$5:$A$304,0)),""))</f>
        <v>0</v>
      </c>
      <c r="I191" s="20">
        <f>IF(C191="","",IFERROR(INDEX(Products!$AR$5:$AR$304,MATCH(C191,Products!$A$5:$A$304,0)),""))</f>
        <v>0</v>
      </c>
      <c r="J191" s="20">
        <f>IF(C191="","",IF(OR(E191="",H191=""),"",ROUND(E191*H191,2)))</f>
        <v>0</v>
      </c>
      <c r="K191" s="20">
        <f>IF(C191="","",IF(OR(E191="",I191=""),"",ROUND(E191*I191,2)))</f>
        <v>0</v>
      </c>
      <c r="L191" s="32">
        <f>IF(A191="","",COUNTIFS($A$5:A191,A191))</f>
        <v>0</v>
      </c>
      <c r="M191" s="13">
        <f>IF(A191="","",A191&amp;"|"&amp;L191)</f>
        <v>0</v>
      </c>
      <c r="N191" s="43">
        <f>IF(AND(A191="",C191=""),"",IF(A191="","Add - which bundle?",IF(C191="","Add - which product?",IF(D191="Not found","Check - no such product ID",IF(E191="","Add - how many?",IF(I191="","Check - that product has no price","OK"))))))</f>
        <v>0</v>
      </c>
    </row>
    <row r="192" spans="2:14">
      <c r="B192" s="13">
        <f>IF(A192="","",IFERROR(INDEX(Bundles!$B$5:$B$64,MATCH(A192,Bundles!$A$5:$A$64,0)),"Not found"))</f>
        <v>0</v>
      </c>
      <c r="D192" s="13">
        <f>IF(C192="","",IFERROR(INDEX(Products!$B$5:$B$304,MATCH(C192,Products!$A$5:$A$304,0)),"Not found"))</f>
        <v>0</v>
      </c>
      <c r="H192" s="20">
        <f>IF(C192="","",IFERROR(INDEX(Products!$AT$5:$AT$304,MATCH(C192,Products!$A$5:$A$304,0)),""))</f>
        <v>0</v>
      </c>
      <c r="I192" s="20">
        <f>IF(C192="","",IFERROR(INDEX(Products!$AR$5:$AR$304,MATCH(C192,Products!$A$5:$A$304,0)),""))</f>
        <v>0</v>
      </c>
      <c r="J192" s="20">
        <f>IF(C192="","",IF(OR(E192="",H192=""),"",ROUND(E192*H192,2)))</f>
        <v>0</v>
      </c>
      <c r="K192" s="20">
        <f>IF(C192="","",IF(OR(E192="",I192=""),"",ROUND(E192*I192,2)))</f>
        <v>0</v>
      </c>
      <c r="L192" s="32">
        <f>IF(A192="","",COUNTIFS($A$5:A192,A192))</f>
        <v>0</v>
      </c>
      <c r="M192" s="13">
        <f>IF(A192="","",A192&amp;"|"&amp;L192)</f>
        <v>0</v>
      </c>
      <c r="N192" s="43">
        <f>IF(AND(A192="",C192=""),"",IF(A192="","Add - which bundle?",IF(C192="","Add - which product?",IF(D192="Not found","Check - no such product ID",IF(E192="","Add - how many?",IF(I192="","Check - that product has no price","OK"))))))</f>
        <v>0</v>
      </c>
    </row>
    <row r="193" spans="2:14">
      <c r="B193" s="13">
        <f>IF(A193="","",IFERROR(INDEX(Bundles!$B$5:$B$64,MATCH(A193,Bundles!$A$5:$A$64,0)),"Not found"))</f>
        <v>0</v>
      </c>
      <c r="D193" s="13">
        <f>IF(C193="","",IFERROR(INDEX(Products!$B$5:$B$304,MATCH(C193,Products!$A$5:$A$304,0)),"Not found"))</f>
        <v>0</v>
      </c>
      <c r="H193" s="20">
        <f>IF(C193="","",IFERROR(INDEX(Products!$AT$5:$AT$304,MATCH(C193,Products!$A$5:$A$304,0)),""))</f>
        <v>0</v>
      </c>
      <c r="I193" s="20">
        <f>IF(C193="","",IFERROR(INDEX(Products!$AR$5:$AR$304,MATCH(C193,Products!$A$5:$A$304,0)),""))</f>
        <v>0</v>
      </c>
      <c r="J193" s="20">
        <f>IF(C193="","",IF(OR(E193="",H193=""),"",ROUND(E193*H193,2)))</f>
        <v>0</v>
      </c>
      <c r="K193" s="20">
        <f>IF(C193="","",IF(OR(E193="",I193=""),"",ROUND(E193*I193,2)))</f>
        <v>0</v>
      </c>
      <c r="L193" s="32">
        <f>IF(A193="","",COUNTIFS($A$5:A193,A193))</f>
        <v>0</v>
      </c>
      <c r="M193" s="13">
        <f>IF(A193="","",A193&amp;"|"&amp;L193)</f>
        <v>0</v>
      </c>
      <c r="N193" s="43">
        <f>IF(AND(A193="",C193=""),"",IF(A193="","Add - which bundle?",IF(C193="","Add - which product?",IF(D193="Not found","Check - no such product ID",IF(E193="","Add - how many?",IF(I193="","Check - that product has no price","OK"))))))</f>
        <v>0</v>
      </c>
    </row>
    <row r="194" spans="2:14">
      <c r="B194" s="13">
        <f>IF(A194="","",IFERROR(INDEX(Bundles!$B$5:$B$64,MATCH(A194,Bundles!$A$5:$A$64,0)),"Not found"))</f>
        <v>0</v>
      </c>
      <c r="D194" s="13">
        <f>IF(C194="","",IFERROR(INDEX(Products!$B$5:$B$304,MATCH(C194,Products!$A$5:$A$304,0)),"Not found"))</f>
        <v>0</v>
      </c>
      <c r="H194" s="20">
        <f>IF(C194="","",IFERROR(INDEX(Products!$AT$5:$AT$304,MATCH(C194,Products!$A$5:$A$304,0)),""))</f>
        <v>0</v>
      </c>
      <c r="I194" s="20">
        <f>IF(C194="","",IFERROR(INDEX(Products!$AR$5:$AR$304,MATCH(C194,Products!$A$5:$A$304,0)),""))</f>
        <v>0</v>
      </c>
      <c r="J194" s="20">
        <f>IF(C194="","",IF(OR(E194="",H194=""),"",ROUND(E194*H194,2)))</f>
        <v>0</v>
      </c>
      <c r="K194" s="20">
        <f>IF(C194="","",IF(OR(E194="",I194=""),"",ROUND(E194*I194,2)))</f>
        <v>0</v>
      </c>
      <c r="L194" s="32">
        <f>IF(A194="","",COUNTIFS($A$5:A194,A194))</f>
        <v>0</v>
      </c>
      <c r="M194" s="13">
        <f>IF(A194="","",A194&amp;"|"&amp;L194)</f>
        <v>0</v>
      </c>
      <c r="N194" s="43">
        <f>IF(AND(A194="",C194=""),"",IF(A194="","Add - which bundle?",IF(C194="","Add - which product?",IF(D194="Not found","Check - no such product ID",IF(E194="","Add - how many?",IF(I194="","Check - that product has no price","OK"))))))</f>
        <v>0</v>
      </c>
    </row>
    <row r="195" spans="2:14">
      <c r="B195" s="13">
        <f>IF(A195="","",IFERROR(INDEX(Bundles!$B$5:$B$64,MATCH(A195,Bundles!$A$5:$A$64,0)),"Not found"))</f>
        <v>0</v>
      </c>
      <c r="D195" s="13">
        <f>IF(C195="","",IFERROR(INDEX(Products!$B$5:$B$304,MATCH(C195,Products!$A$5:$A$304,0)),"Not found"))</f>
        <v>0</v>
      </c>
      <c r="H195" s="20">
        <f>IF(C195="","",IFERROR(INDEX(Products!$AT$5:$AT$304,MATCH(C195,Products!$A$5:$A$304,0)),""))</f>
        <v>0</v>
      </c>
      <c r="I195" s="20">
        <f>IF(C195="","",IFERROR(INDEX(Products!$AR$5:$AR$304,MATCH(C195,Products!$A$5:$A$304,0)),""))</f>
        <v>0</v>
      </c>
      <c r="J195" s="20">
        <f>IF(C195="","",IF(OR(E195="",H195=""),"",ROUND(E195*H195,2)))</f>
        <v>0</v>
      </c>
      <c r="K195" s="20">
        <f>IF(C195="","",IF(OR(E195="",I195=""),"",ROUND(E195*I195,2)))</f>
        <v>0</v>
      </c>
      <c r="L195" s="32">
        <f>IF(A195="","",COUNTIFS($A$5:A195,A195))</f>
        <v>0</v>
      </c>
      <c r="M195" s="13">
        <f>IF(A195="","",A195&amp;"|"&amp;L195)</f>
        <v>0</v>
      </c>
      <c r="N195" s="43">
        <f>IF(AND(A195="",C195=""),"",IF(A195="","Add - which bundle?",IF(C195="","Add - which product?",IF(D195="Not found","Check - no such product ID",IF(E195="","Add - how many?",IF(I195="","Check - that product has no price","OK"))))))</f>
        <v>0</v>
      </c>
    </row>
    <row r="196" spans="2:14">
      <c r="B196" s="13">
        <f>IF(A196="","",IFERROR(INDEX(Bundles!$B$5:$B$64,MATCH(A196,Bundles!$A$5:$A$64,0)),"Not found"))</f>
        <v>0</v>
      </c>
      <c r="D196" s="13">
        <f>IF(C196="","",IFERROR(INDEX(Products!$B$5:$B$304,MATCH(C196,Products!$A$5:$A$304,0)),"Not found"))</f>
        <v>0</v>
      </c>
      <c r="H196" s="20">
        <f>IF(C196="","",IFERROR(INDEX(Products!$AT$5:$AT$304,MATCH(C196,Products!$A$5:$A$304,0)),""))</f>
        <v>0</v>
      </c>
      <c r="I196" s="20">
        <f>IF(C196="","",IFERROR(INDEX(Products!$AR$5:$AR$304,MATCH(C196,Products!$A$5:$A$304,0)),""))</f>
        <v>0</v>
      </c>
      <c r="J196" s="20">
        <f>IF(C196="","",IF(OR(E196="",H196=""),"",ROUND(E196*H196,2)))</f>
        <v>0</v>
      </c>
      <c r="K196" s="20">
        <f>IF(C196="","",IF(OR(E196="",I196=""),"",ROUND(E196*I196,2)))</f>
        <v>0</v>
      </c>
      <c r="L196" s="32">
        <f>IF(A196="","",COUNTIFS($A$5:A196,A196))</f>
        <v>0</v>
      </c>
      <c r="M196" s="13">
        <f>IF(A196="","",A196&amp;"|"&amp;L196)</f>
        <v>0</v>
      </c>
      <c r="N196" s="43">
        <f>IF(AND(A196="",C196=""),"",IF(A196="","Add - which bundle?",IF(C196="","Add - which product?",IF(D196="Not found","Check - no such product ID",IF(E196="","Add - how many?",IF(I196="","Check - that product has no price","OK"))))))</f>
        <v>0</v>
      </c>
    </row>
    <row r="197" spans="2:14">
      <c r="B197" s="13">
        <f>IF(A197="","",IFERROR(INDEX(Bundles!$B$5:$B$64,MATCH(A197,Bundles!$A$5:$A$64,0)),"Not found"))</f>
        <v>0</v>
      </c>
      <c r="D197" s="13">
        <f>IF(C197="","",IFERROR(INDEX(Products!$B$5:$B$304,MATCH(C197,Products!$A$5:$A$304,0)),"Not found"))</f>
        <v>0</v>
      </c>
      <c r="H197" s="20">
        <f>IF(C197="","",IFERROR(INDEX(Products!$AT$5:$AT$304,MATCH(C197,Products!$A$5:$A$304,0)),""))</f>
        <v>0</v>
      </c>
      <c r="I197" s="20">
        <f>IF(C197="","",IFERROR(INDEX(Products!$AR$5:$AR$304,MATCH(C197,Products!$A$5:$A$304,0)),""))</f>
        <v>0</v>
      </c>
      <c r="J197" s="20">
        <f>IF(C197="","",IF(OR(E197="",H197=""),"",ROUND(E197*H197,2)))</f>
        <v>0</v>
      </c>
      <c r="K197" s="20">
        <f>IF(C197="","",IF(OR(E197="",I197=""),"",ROUND(E197*I197,2)))</f>
        <v>0</v>
      </c>
      <c r="L197" s="32">
        <f>IF(A197="","",COUNTIFS($A$5:A197,A197))</f>
        <v>0</v>
      </c>
      <c r="M197" s="13">
        <f>IF(A197="","",A197&amp;"|"&amp;L197)</f>
        <v>0</v>
      </c>
      <c r="N197" s="43">
        <f>IF(AND(A197="",C197=""),"",IF(A197="","Add - which bundle?",IF(C197="","Add - which product?",IF(D197="Not found","Check - no such product ID",IF(E197="","Add - how many?",IF(I197="","Check - that product has no price","OK"))))))</f>
        <v>0</v>
      </c>
    </row>
    <row r="198" spans="2:14">
      <c r="B198" s="13">
        <f>IF(A198="","",IFERROR(INDEX(Bundles!$B$5:$B$64,MATCH(A198,Bundles!$A$5:$A$64,0)),"Not found"))</f>
        <v>0</v>
      </c>
      <c r="D198" s="13">
        <f>IF(C198="","",IFERROR(INDEX(Products!$B$5:$B$304,MATCH(C198,Products!$A$5:$A$304,0)),"Not found"))</f>
        <v>0</v>
      </c>
      <c r="H198" s="20">
        <f>IF(C198="","",IFERROR(INDEX(Products!$AT$5:$AT$304,MATCH(C198,Products!$A$5:$A$304,0)),""))</f>
        <v>0</v>
      </c>
      <c r="I198" s="20">
        <f>IF(C198="","",IFERROR(INDEX(Products!$AR$5:$AR$304,MATCH(C198,Products!$A$5:$A$304,0)),""))</f>
        <v>0</v>
      </c>
      <c r="J198" s="20">
        <f>IF(C198="","",IF(OR(E198="",H198=""),"",ROUND(E198*H198,2)))</f>
        <v>0</v>
      </c>
      <c r="K198" s="20">
        <f>IF(C198="","",IF(OR(E198="",I198=""),"",ROUND(E198*I198,2)))</f>
        <v>0</v>
      </c>
      <c r="L198" s="32">
        <f>IF(A198="","",COUNTIFS($A$5:A198,A198))</f>
        <v>0</v>
      </c>
      <c r="M198" s="13">
        <f>IF(A198="","",A198&amp;"|"&amp;L198)</f>
        <v>0</v>
      </c>
      <c r="N198" s="43">
        <f>IF(AND(A198="",C198=""),"",IF(A198="","Add - which bundle?",IF(C198="","Add - which product?",IF(D198="Not found","Check - no such product ID",IF(E198="","Add - how many?",IF(I198="","Check - that product has no price","OK"))))))</f>
        <v>0</v>
      </c>
    </row>
    <row r="199" spans="2:14">
      <c r="B199" s="13">
        <f>IF(A199="","",IFERROR(INDEX(Bundles!$B$5:$B$64,MATCH(A199,Bundles!$A$5:$A$64,0)),"Not found"))</f>
        <v>0</v>
      </c>
      <c r="D199" s="13">
        <f>IF(C199="","",IFERROR(INDEX(Products!$B$5:$B$304,MATCH(C199,Products!$A$5:$A$304,0)),"Not found"))</f>
        <v>0</v>
      </c>
      <c r="H199" s="20">
        <f>IF(C199="","",IFERROR(INDEX(Products!$AT$5:$AT$304,MATCH(C199,Products!$A$5:$A$304,0)),""))</f>
        <v>0</v>
      </c>
      <c r="I199" s="20">
        <f>IF(C199="","",IFERROR(INDEX(Products!$AR$5:$AR$304,MATCH(C199,Products!$A$5:$A$304,0)),""))</f>
        <v>0</v>
      </c>
      <c r="J199" s="20">
        <f>IF(C199="","",IF(OR(E199="",H199=""),"",ROUND(E199*H199,2)))</f>
        <v>0</v>
      </c>
      <c r="K199" s="20">
        <f>IF(C199="","",IF(OR(E199="",I199=""),"",ROUND(E199*I199,2)))</f>
        <v>0</v>
      </c>
      <c r="L199" s="32">
        <f>IF(A199="","",COUNTIFS($A$5:A199,A199))</f>
        <v>0</v>
      </c>
      <c r="M199" s="13">
        <f>IF(A199="","",A199&amp;"|"&amp;L199)</f>
        <v>0</v>
      </c>
      <c r="N199" s="43">
        <f>IF(AND(A199="",C199=""),"",IF(A199="","Add - which bundle?",IF(C199="","Add - which product?",IF(D199="Not found","Check - no such product ID",IF(E199="","Add - how many?",IF(I199="","Check - that product has no price","OK"))))))</f>
        <v>0</v>
      </c>
    </row>
    <row r="200" spans="2:14">
      <c r="B200" s="13">
        <f>IF(A200="","",IFERROR(INDEX(Bundles!$B$5:$B$64,MATCH(A200,Bundles!$A$5:$A$64,0)),"Not found"))</f>
        <v>0</v>
      </c>
      <c r="D200" s="13">
        <f>IF(C200="","",IFERROR(INDEX(Products!$B$5:$B$304,MATCH(C200,Products!$A$5:$A$304,0)),"Not found"))</f>
        <v>0</v>
      </c>
      <c r="H200" s="20">
        <f>IF(C200="","",IFERROR(INDEX(Products!$AT$5:$AT$304,MATCH(C200,Products!$A$5:$A$304,0)),""))</f>
        <v>0</v>
      </c>
      <c r="I200" s="20">
        <f>IF(C200="","",IFERROR(INDEX(Products!$AR$5:$AR$304,MATCH(C200,Products!$A$5:$A$304,0)),""))</f>
        <v>0</v>
      </c>
      <c r="J200" s="20">
        <f>IF(C200="","",IF(OR(E200="",H200=""),"",ROUND(E200*H200,2)))</f>
        <v>0</v>
      </c>
      <c r="K200" s="20">
        <f>IF(C200="","",IF(OR(E200="",I200=""),"",ROUND(E200*I200,2)))</f>
        <v>0</v>
      </c>
      <c r="L200" s="32">
        <f>IF(A200="","",COUNTIFS($A$5:A200,A200))</f>
        <v>0</v>
      </c>
      <c r="M200" s="13">
        <f>IF(A200="","",A200&amp;"|"&amp;L200)</f>
        <v>0</v>
      </c>
      <c r="N200" s="43">
        <f>IF(AND(A200="",C200=""),"",IF(A200="","Add - which bundle?",IF(C200="","Add - which product?",IF(D200="Not found","Check - no such product ID",IF(E200="","Add - how many?",IF(I200="","Check - that product has no price","OK"))))))</f>
        <v>0</v>
      </c>
    </row>
    <row r="201" spans="2:14">
      <c r="B201" s="13">
        <f>IF(A201="","",IFERROR(INDEX(Bundles!$B$5:$B$64,MATCH(A201,Bundles!$A$5:$A$64,0)),"Not found"))</f>
        <v>0</v>
      </c>
      <c r="D201" s="13">
        <f>IF(C201="","",IFERROR(INDEX(Products!$B$5:$B$304,MATCH(C201,Products!$A$5:$A$304,0)),"Not found"))</f>
        <v>0</v>
      </c>
      <c r="H201" s="20">
        <f>IF(C201="","",IFERROR(INDEX(Products!$AT$5:$AT$304,MATCH(C201,Products!$A$5:$A$304,0)),""))</f>
        <v>0</v>
      </c>
      <c r="I201" s="20">
        <f>IF(C201="","",IFERROR(INDEX(Products!$AR$5:$AR$304,MATCH(C201,Products!$A$5:$A$304,0)),""))</f>
        <v>0</v>
      </c>
      <c r="J201" s="20">
        <f>IF(C201="","",IF(OR(E201="",H201=""),"",ROUND(E201*H201,2)))</f>
        <v>0</v>
      </c>
      <c r="K201" s="20">
        <f>IF(C201="","",IF(OR(E201="",I201=""),"",ROUND(E201*I201,2)))</f>
        <v>0</v>
      </c>
      <c r="L201" s="32">
        <f>IF(A201="","",COUNTIFS($A$5:A201,A201))</f>
        <v>0</v>
      </c>
      <c r="M201" s="13">
        <f>IF(A201="","",A201&amp;"|"&amp;L201)</f>
        <v>0</v>
      </c>
      <c r="N201" s="43">
        <f>IF(AND(A201="",C201=""),"",IF(A201="","Add - which bundle?",IF(C201="","Add - which product?",IF(D201="Not found","Check - no such product ID",IF(E201="","Add - how many?",IF(I201="","Check - that product has no price","OK"))))))</f>
        <v>0</v>
      </c>
    </row>
    <row r="202" spans="2:14">
      <c r="B202" s="13">
        <f>IF(A202="","",IFERROR(INDEX(Bundles!$B$5:$B$64,MATCH(A202,Bundles!$A$5:$A$64,0)),"Not found"))</f>
        <v>0</v>
      </c>
      <c r="D202" s="13">
        <f>IF(C202="","",IFERROR(INDEX(Products!$B$5:$B$304,MATCH(C202,Products!$A$5:$A$304,0)),"Not found"))</f>
        <v>0</v>
      </c>
      <c r="H202" s="20">
        <f>IF(C202="","",IFERROR(INDEX(Products!$AT$5:$AT$304,MATCH(C202,Products!$A$5:$A$304,0)),""))</f>
        <v>0</v>
      </c>
      <c r="I202" s="20">
        <f>IF(C202="","",IFERROR(INDEX(Products!$AR$5:$AR$304,MATCH(C202,Products!$A$5:$A$304,0)),""))</f>
        <v>0</v>
      </c>
      <c r="J202" s="20">
        <f>IF(C202="","",IF(OR(E202="",H202=""),"",ROUND(E202*H202,2)))</f>
        <v>0</v>
      </c>
      <c r="K202" s="20">
        <f>IF(C202="","",IF(OR(E202="",I202=""),"",ROUND(E202*I202,2)))</f>
        <v>0</v>
      </c>
      <c r="L202" s="32">
        <f>IF(A202="","",COUNTIFS($A$5:A202,A202))</f>
        <v>0</v>
      </c>
      <c r="M202" s="13">
        <f>IF(A202="","",A202&amp;"|"&amp;L202)</f>
        <v>0</v>
      </c>
      <c r="N202" s="43">
        <f>IF(AND(A202="",C202=""),"",IF(A202="","Add - which bundle?",IF(C202="","Add - which product?",IF(D202="Not found","Check - no such product ID",IF(E202="","Add - how many?",IF(I202="","Check - that product has no price","OK"))))))</f>
        <v>0</v>
      </c>
    </row>
    <row r="203" spans="2:14">
      <c r="B203" s="13">
        <f>IF(A203="","",IFERROR(INDEX(Bundles!$B$5:$B$64,MATCH(A203,Bundles!$A$5:$A$64,0)),"Not found"))</f>
        <v>0</v>
      </c>
      <c r="D203" s="13">
        <f>IF(C203="","",IFERROR(INDEX(Products!$B$5:$B$304,MATCH(C203,Products!$A$5:$A$304,0)),"Not found"))</f>
        <v>0</v>
      </c>
      <c r="H203" s="20">
        <f>IF(C203="","",IFERROR(INDEX(Products!$AT$5:$AT$304,MATCH(C203,Products!$A$5:$A$304,0)),""))</f>
        <v>0</v>
      </c>
      <c r="I203" s="20">
        <f>IF(C203="","",IFERROR(INDEX(Products!$AR$5:$AR$304,MATCH(C203,Products!$A$5:$A$304,0)),""))</f>
        <v>0</v>
      </c>
      <c r="J203" s="20">
        <f>IF(C203="","",IF(OR(E203="",H203=""),"",ROUND(E203*H203,2)))</f>
        <v>0</v>
      </c>
      <c r="K203" s="20">
        <f>IF(C203="","",IF(OR(E203="",I203=""),"",ROUND(E203*I203,2)))</f>
        <v>0</v>
      </c>
      <c r="L203" s="32">
        <f>IF(A203="","",COUNTIFS($A$5:A203,A203))</f>
        <v>0</v>
      </c>
      <c r="M203" s="13">
        <f>IF(A203="","",A203&amp;"|"&amp;L203)</f>
        <v>0</v>
      </c>
      <c r="N203" s="43">
        <f>IF(AND(A203="",C203=""),"",IF(A203="","Add - which bundle?",IF(C203="","Add - which product?",IF(D203="Not found","Check - no such product ID",IF(E203="","Add - how many?",IF(I203="","Check - that product has no price","OK"))))))</f>
        <v>0</v>
      </c>
    </row>
    <row r="204" spans="2:14">
      <c r="B204" s="13">
        <f>IF(A204="","",IFERROR(INDEX(Bundles!$B$5:$B$64,MATCH(A204,Bundles!$A$5:$A$64,0)),"Not found"))</f>
        <v>0</v>
      </c>
      <c r="D204" s="13">
        <f>IF(C204="","",IFERROR(INDEX(Products!$B$5:$B$304,MATCH(C204,Products!$A$5:$A$304,0)),"Not found"))</f>
        <v>0</v>
      </c>
      <c r="H204" s="20">
        <f>IF(C204="","",IFERROR(INDEX(Products!$AT$5:$AT$304,MATCH(C204,Products!$A$5:$A$304,0)),""))</f>
        <v>0</v>
      </c>
      <c r="I204" s="20">
        <f>IF(C204="","",IFERROR(INDEX(Products!$AR$5:$AR$304,MATCH(C204,Products!$A$5:$A$304,0)),""))</f>
        <v>0</v>
      </c>
      <c r="J204" s="20">
        <f>IF(C204="","",IF(OR(E204="",H204=""),"",ROUND(E204*H204,2)))</f>
        <v>0</v>
      </c>
      <c r="K204" s="20">
        <f>IF(C204="","",IF(OR(E204="",I204=""),"",ROUND(E204*I204,2)))</f>
        <v>0</v>
      </c>
      <c r="L204" s="32">
        <f>IF(A204="","",COUNTIFS($A$5:A204,A204))</f>
        <v>0</v>
      </c>
      <c r="M204" s="13">
        <f>IF(A204="","",A204&amp;"|"&amp;L204)</f>
        <v>0</v>
      </c>
      <c r="N204" s="43">
        <f>IF(AND(A204="",C204=""),"",IF(A204="","Add - which bundle?",IF(C204="","Add - which product?",IF(D204="Not found","Check - no such product ID",IF(E204="","Add - how many?",IF(I204="","Check - that product has no price","OK"))))))</f>
        <v>0</v>
      </c>
    </row>
  </sheetData>
  <sheetProtection password="EC7C" sheet="1" objects="1" scenarios="1" formatCells="0" formatColumns="0" formatRows="0" insertRows="0" insertHyperlinks="0" deleteRows="0" autoFilter="0"/>
  <autoFilter ref="A4:N204"/>
  <mergeCells count="10">
    <mergeCell ref="A1:K1"/>
    <mergeCell ref="L1:N1"/>
    <mergeCell ref="A2:N2"/>
    <mergeCell ref="A3:B3"/>
    <mergeCell ref="C3:D3"/>
    <mergeCell ref="E3:F3"/>
    <mergeCell ref="G3:H3"/>
    <mergeCell ref="I3:J3"/>
    <mergeCell ref="K3:L3"/>
    <mergeCell ref="M3:N3"/>
  </mergeCells>
  <conditionalFormatting sqref="N5:N204">
    <cfRule type="beginsWith" dxfId="1" priority="1" operator="beginsWith" text="OK">
      <formula>LEFT(N5,2)="OK"</formula>
    </cfRule>
    <cfRule type="containsText" dxfId="2" priority="2" operator="containsText" text="Overdue">
      <formula>NOT(ISERROR(SEARCH("Overdue",N5)))</formula>
    </cfRule>
    <cfRule type="containsText" dxfId="2" priority="3" operator="containsText" text="Late">
      <formula>NOT(ISERROR(SEARCH("Late",N5)))</formula>
    </cfRule>
    <cfRule type="containsText" dxfId="2" priority="4" operator="containsText" text="Missing">
      <formula>NOT(ISERROR(SEARCH("Missing",N5)))</formula>
    </cfRule>
    <cfRule type="containsText" dxfId="2" priority="5" operator="containsText" text="Conflict">
      <formula>NOT(ISERROR(SEARCH("Conflict",N5)))</formula>
    </cfRule>
    <cfRule type="containsText" dxfId="2" priority="6" operator="containsText" text="Clash">
      <formula>NOT(ISERROR(SEARCH("Clash",N5)))</formula>
    </cfRule>
    <cfRule type="containsText" dxfId="2" priority="7" operator="containsText" text="Expired">
      <formula>NOT(ISERROR(SEARCH("Expired",N5)))</formula>
    </cfRule>
    <cfRule type="containsText" dxfId="2" priority="8" operator="containsText" text="Duplicate">
      <formula>NOT(ISERROR(SEARCH("Duplicate",N5)))</formula>
    </cfRule>
    <cfRule type="containsText" dxfId="2" priority="9" operator="containsText" text="Unpaid">
      <formula>NOT(ISERROR(SEARCH("Unpaid",N5)))</formula>
    </cfRule>
    <cfRule type="containsText" dxfId="2" priority="10" operator="containsText" text="Loss">
      <formula>NOT(ISERROR(SEARCH("Loss",N5)))</formula>
    </cfRule>
    <cfRule type="containsText" dxfId="2" priority="11" operator="containsText" text="Below">
      <formula>NOT(ISERROR(SEARCH("Below",N5)))</formula>
    </cfRule>
    <cfRule type="containsText" dxfId="0" priority="12" operator="containsText" text="Action">
      <formula>NOT(ISERROR(SEARCH("Action",N5)))</formula>
    </cfRule>
    <cfRule type="containsText" dxfId="0" priority="13" operator="containsText" text="Due">
      <formula>NOT(ISERROR(SEARCH("Due",N5)))</formula>
    </cfRule>
    <cfRule type="containsText" dxfId="0" priority="14" operator="containsText" text="Check">
      <formula>NOT(ISERROR(SEARCH("Check",N5)))</formula>
    </cfRule>
    <cfRule type="containsText" dxfId="0" priority="15" operator="containsText" text="Chase">
      <formula>NOT(ISERROR(SEARCH("Chase",N5)))</formula>
    </cfRule>
    <cfRule type="containsText" dxfId="0" priority="16" operator="containsText" text="Assign">
      <formula>NOT(ISERROR(SEARCH("Assign",N5)))</formula>
    </cfRule>
    <cfRule type="containsText" dxfId="0" priority="17" operator="containsText" text="Confirm">
      <formula>NOT(ISERROR(SEARCH("Confirm",N5)))</formula>
    </cfRule>
    <cfRule type="containsText" dxfId="0" priority="18" operator="containsText" text="Order">
      <formula>NOT(ISERROR(SEARCH("Order",N5)))</formula>
    </cfRule>
    <cfRule type="containsText" dxfId="3" priority="19" operator="containsText" text="Today">
      <formula>NOT(ISERROR(SEARCH("Today",N5)))</formula>
    </cfRule>
    <cfRule type="containsText" dxfId="3" priority="20" operator="containsText" text="Upcoming">
      <formula>NOT(ISERROR(SEARCH("Upcoming",N5)))</formula>
    </cfRule>
    <cfRule type="containsText" dxfId="3" priority="21" operator="containsText" text="Tomorrow">
      <formula>NOT(ISERROR(SEARCH("Tomorrow",N5)))</formula>
    </cfRule>
  </conditionalFormatting>
  <dataValidations count="4">
    <dataValidation type="list" allowBlank="1" showInputMessage="1" showErrorMessage="1" promptTitle="Bundle" prompt="The bundle ID from the Bundles tab." sqref="A5:A204">
      <formula1>BundleIDs</formula1>
    </dataValidation>
    <dataValidation type="list" allowBlank="1" showInputMessage="1" showErrorMessage="1" sqref="C5:C204">
      <formula1>ProductIDs</formula1>
    </dataValidation>
    <dataValidation type="whole" allowBlank="1" showInputMessage="1" showErrorMessage="1" errorTitle="Check the value" error="Enter a number between 1 and 10000." sqref="E5:E204">
      <formula1>1</formula1>
      <formula2>10000</formula2>
    </dataValidation>
    <dataValidation type="list" allowBlank="1" showInputMessage="1" showErrorMessage="1" promptTitle="Substitutable?" prompt="Yes if a buyer can pick a colour or scent. Substitutes should cost about the same or the bundle margin moves with every order." sqref="F5:F2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s>
  <pageMargins left="0.4" right="0.4" top="0.6" bottom="0.5" header="0.3" footer="0.3"/>
  <pageSetup paperSize="9" fitToHeight="0" orientation="landscape"/>
  <headerFooter>
    <oddHeader>&amp;L&amp;"Calibri,Bold"&amp;12&amp;C&amp;"Calibri,Bold"&amp;11Bundle Lines&amp;R&amp;"Calibri,Italic"&amp;9Handmade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3.xml><?xml version="1.0" encoding="utf-8"?>
<worksheet xmlns="http://schemas.openxmlformats.org/spreadsheetml/2006/main" xmlns:r="http://schemas.openxmlformats.org/officeDocument/2006/relationships">
  <sheetPr>
    <tabColor rgb="FFB5704F"/>
    <pageSetUpPr fitToPage="1"/>
  </sheetPr>
  <dimension ref="A1:AL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12.7109375" style="46" customWidth="1"/>
    <col min="3" max="3" width="26.7109375" style="15" customWidth="1"/>
    <col min="4" max="4" width="18.7109375" style="15" customWidth="1"/>
    <col min="5" max="5" width="14.7109375" style="15" customWidth="1"/>
    <col min="6" max="6" width="13.7109375" style="18" customWidth="1"/>
    <col min="7" max="7" width="12.7109375" style="16" customWidth="1"/>
    <col min="8" max="8" width="14.7109375" style="15" customWidth="1"/>
    <col min="9" max="9" width="14.7109375" style="18" customWidth="1"/>
    <col min="10" max="10" width="15.7109375" style="15" customWidth="1"/>
    <col min="11" max="11" width="11.7109375" style="18" customWidth="1"/>
    <col min="12" max="12" width="10.7109375" style="47" customWidth="1"/>
    <col min="13" max="13" width="24.7109375" style="40" customWidth="1"/>
    <col min="14" max="14" width="24.7109375" style="13" hidden="1" customWidth="1"/>
    <col min="15" max="15" width="11.7109375" style="20" hidden="1" customWidth="1"/>
    <col min="16" max="16" width="11.7109375" style="20" hidden="1" customWidth="1"/>
    <col min="17" max="17" width="11.7109375" style="20" hidden="1" customWidth="1"/>
    <col min="18" max="18" width="11.7109375" style="36" hidden="1" customWidth="1"/>
    <col min="19" max="19" width="11.7109375" style="20" customWidth="1"/>
    <col min="20" max="20" width="9.7109375" style="41" hidden="1" customWidth="1"/>
    <col min="21" max="21" width="9.7109375" style="41" hidden="1" customWidth="1"/>
    <col min="22" max="22" width="10.7109375" style="33" hidden="1" customWidth="1"/>
    <col min="23" max="23" width="11.7109375" style="20" customWidth="1"/>
    <col min="24" max="24" width="10.7109375" style="36" customWidth="1"/>
    <col min="25" max="25" width="11.7109375" style="20" customWidth="1"/>
    <col min="26" max="26" width="11.7109375" style="20" customWidth="1"/>
    <col min="27" max="27" width="9.7109375" style="33" hidden="1" customWidth="1"/>
    <col min="28" max="28" width="9.7109375" style="20" hidden="1" customWidth="1"/>
    <col min="29" max="29" width="9.7109375" style="41" hidden="1" customWidth="1"/>
    <col min="30" max="30" width="10.7109375" style="20" hidden="1" customWidth="1"/>
    <col min="31" max="31" width="13.7109375" style="20" customWidth="1"/>
    <col min="32" max="32" width="11.7109375" style="20" customWidth="1"/>
    <col min="33" max="33" width="11.7109375" style="20" customWidth="1"/>
    <col min="34" max="34" width="10.7109375" style="20" hidden="1" customWidth="1"/>
    <col min="35" max="35" width="11.7109375" style="20" customWidth="1"/>
    <col min="36" max="36" width="9.7109375" style="33" customWidth="1"/>
    <col min="37" max="37" width="12.7109375" style="20" customWidth="1"/>
    <col min="38" max="38" width="28.7109375" style="43" customWidth="1"/>
  </cols>
  <sheetData>
    <row r="1" spans="1:38" ht="34" customHeight="1">
      <c r="A1" s="2" t="s">
        <v>1493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t="s">
        <v>1</v>
      </c>
      <c r="AK1" s="3"/>
      <c r="AL1" s="3"/>
    </row>
    <row r="2" spans="1:38" ht="18" customHeight="1">
      <c r="A2" s="4" t="s">
        <v>1494</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spans="1:38"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1495</v>
      </c>
      <c r="T3" s="44"/>
      <c r="U3" s="44"/>
      <c r="V3" s="44"/>
      <c r="W3" s="44"/>
      <c r="X3" s="44"/>
      <c r="Y3" s="44"/>
      <c r="Z3" s="44"/>
      <c r="AA3" s="44"/>
      <c r="AB3" s="44"/>
      <c r="AC3" s="44"/>
      <c r="AD3" s="44"/>
      <c r="AE3" s="44"/>
      <c r="AF3" s="44"/>
      <c r="AG3" s="44"/>
      <c r="AH3" s="44"/>
      <c r="AI3" s="44"/>
      <c r="AJ3" s="44"/>
      <c r="AK3" s="44"/>
      <c r="AL3" s="44"/>
    </row>
    <row r="4" spans="1:38" ht="30" customHeight="1">
      <c r="A4" s="8" t="s">
        <v>451</v>
      </c>
      <c r="B4" s="8" t="s">
        <v>1496</v>
      </c>
      <c r="C4" s="9" t="s">
        <v>1497</v>
      </c>
      <c r="D4" s="9" t="s">
        <v>1498</v>
      </c>
      <c r="E4" s="9" t="s">
        <v>1232</v>
      </c>
      <c r="F4" s="9" t="s">
        <v>1499</v>
      </c>
      <c r="G4" s="9" t="s">
        <v>1500</v>
      </c>
      <c r="H4" s="9" t="s">
        <v>1501</v>
      </c>
      <c r="I4" s="9" t="s">
        <v>1502</v>
      </c>
      <c r="J4" s="9" t="s">
        <v>441</v>
      </c>
      <c r="K4" s="9" t="s">
        <v>461</v>
      </c>
      <c r="L4" s="9" t="s">
        <v>1503</v>
      </c>
      <c r="M4" s="9" t="s">
        <v>466</v>
      </c>
      <c r="N4" s="9" t="s">
        <v>1504</v>
      </c>
      <c r="O4" s="9" t="s">
        <v>1505</v>
      </c>
      <c r="P4" s="9" t="s">
        <v>1506</v>
      </c>
      <c r="Q4" s="9" t="s">
        <v>1507</v>
      </c>
      <c r="R4" s="9" t="s">
        <v>1508</v>
      </c>
      <c r="S4" s="9" t="s">
        <v>1509</v>
      </c>
      <c r="T4" s="9" t="s">
        <v>1245</v>
      </c>
      <c r="U4" s="9" t="s">
        <v>1246</v>
      </c>
      <c r="V4" s="9" t="s">
        <v>1510</v>
      </c>
      <c r="W4" s="9" t="s">
        <v>17</v>
      </c>
      <c r="X4" s="9" t="s">
        <v>470</v>
      </c>
      <c r="Y4" s="9" t="s">
        <v>36</v>
      </c>
      <c r="Z4" s="9" t="s">
        <v>489</v>
      </c>
      <c r="AA4" s="9" t="s">
        <v>443</v>
      </c>
      <c r="AB4" s="9" t="s">
        <v>481</v>
      </c>
      <c r="AC4" s="9" t="s">
        <v>1055</v>
      </c>
      <c r="AD4" s="9" t="s">
        <v>1255</v>
      </c>
      <c r="AE4" s="9" t="s">
        <v>487</v>
      </c>
      <c r="AF4" s="9" t="s">
        <v>488</v>
      </c>
      <c r="AG4" s="9" t="s">
        <v>1511</v>
      </c>
      <c r="AH4" s="9" t="s">
        <v>490</v>
      </c>
      <c r="AI4" s="9" t="s">
        <v>421</v>
      </c>
      <c r="AJ4" s="9" t="s">
        <v>42</v>
      </c>
      <c r="AK4" s="9" t="s">
        <v>492</v>
      </c>
      <c r="AL4" s="9" t="s">
        <v>510</v>
      </c>
    </row>
    <row r="5" spans="1:38">
      <c r="A5" s="38">
        <f>IF(C5="","",VariationPrefix&amp;TEXT(ROW()-4,"0000"))</f>
        <v>0</v>
      </c>
      <c r="B5" s="46" t="s">
        <v>1256</v>
      </c>
      <c r="C5" s="15" t="s">
        <v>1512</v>
      </c>
      <c r="D5" s="15" t="s">
        <v>1232</v>
      </c>
      <c r="E5" s="15" t="s">
        <v>1270</v>
      </c>
      <c r="G5" s="16">
        <v>25</v>
      </c>
      <c r="H5" s="15" t="s">
        <v>516</v>
      </c>
      <c r="J5" s="15" t="s">
        <v>287</v>
      </c>
      <c r="L5" s="47" t="s">
        <v>278</v>
      </c>
      <c r="M5" s="40" t="s">
        <v>1513</v>
      </c>
      <c r="N5" s="13">
        <f>IF(B5="","",IFERROR(INDEX(Products!$B$5:$B$304,MATCH(B5,Products!$A$5:$A$304,0)),"Not found"))</f>
        <v>0</v>
      </c>
      <c r="O5" s="20">
        <f>IF(B5="","",IFERROR(INDEX(Products!$T$5:$T$304,MATCH(B5,Products!$A$5:$A$304,0)),""))</f>
        <v>0</v>
      </c>
      <c r="P5" s="20">
        <f>IF(B5="","",IFERROR(INDEX(Products!$Z$5:$Z$304,MATCH(B5,Products!$A$5:$A$304,0)),""))</f>
        <v>0</v>
      </c>
      <c r="Q5" s="20">
        <f>IF(B5="","",IFERROR(INDEX(Products!$AH$5:$AH$304,MATCH(B5,Products!$A$5:$A$304,0))-INDEX(Products!$T$5:$T$304,MATCH(B5,Products!$A$5:$A$304,0))-INDEX(Products!$Z$5:$Z$304,MATCH(B5,Products!$A$5:$A$304,0)),0))</f>
        <v>0</v>
      </c>
      <c r="R5" s="36">
        <f>IF(B5="","",IFERROR(INDEX(Products!$X$5:$X$304,MATCH(B5,Products!$A$5:$A$304,0)),""))</f>
        <v>0</v>
      </c>
      <c r="S5" s="20">
        <f>IF(B5="","",IFERROR(INDEX(Products!$AR$5:$AR$304,MATCH(B5,Products!$A$5:$A$304,0)),""))</f>
        <v>0</v>
      </c>
      <c r="T5" s="41">
        <f>IF(B5="","",IFERROR(INDEX(SizeMaterialFactors,MATCH(E5,SizeNames,0)),1))</f>
        <v>0</v>
      </c>
      <c r="U5" s="41">
        <f>IF(B5="","",IFERROR(INDEX(SizeTimeFactors,MATCH(E5,SizeNames,0)),1))</f>
        <v>0</v>
      </c>
      <c r="V5" s="33">
        <f>IF(B5="","",IFERROR(INDEX(RushFactors,MATCH(H5,RushNames,0)),0))</f>
        <v>0</v>
      </c>
      <c r="W5" s="20">
        <f>IF(B5="","",ROUND(IF(O5="",0,O5)*T5+IF(F5="",0,F5),2))</f>
        <v>0</v>
      </c>
      <c r="X5" s="36">
        <f>IF(B5="","",ROUND(IF(R5="",0,R5)*U5+IF(G5="",0,G5),1))</f>
        <v>0</v>
      </c>
      <c r="Y5" s="20">
        <f>IF(B5="","",ROUND(IF(P5="",0,P5)*U5+IF(G5="",0,G5)/60*LaborCostHour,2))</f>
        <v>0</v>
      </c>
      <c r="Z5" s="20">
        <f>IF(B5="","",ROUND(W5+Y5+IF(Q5="",0,Q5),2))</f>
        <v>0</v>
      </c>
      <c r="AA5" s="33">
        <f>IF(B5="","",IFERROR(INDEX(Channels!$S$5:$S$18,MATCH(IF(J5="",DefaultChannel,J5),Channels!$A$5:$A$18,0)),0))</f>
        <v>0</v>
      </c>
      <c r="AB5" s="20">
        <f>IF(B5="","",IFERROR(INDEX(Channels!$T$5:$T$18,MATCH(IF(J5="",DefaultChannel,J5),Channels!$A$5:$A$18,0)),0))</f>
        <v>0</v>
      </c>
      <c r="AC5" s="41">
        <f>IF(B5="","",1-TargetRetailMargin-AA5)</f>
        <v>0</v>
      </c>
      <c r="AD5" s="20">
        <f>IF(B5="","",IF(AC5&lt;=0,"",((Z5+AB5)/AC5)*(1+V5)+IF(I5="",0,I5)))</f>
        <v>0</v>
      </c>
      <c r="AE5" s="20">
        <f>IF(B5="","",IF(AD5="","Check the settings",ROUND(IF(RoundingRule="None",AD5,IF(RoundingRule="Nearest 0.99",MAX(0.99,CEILING(AD5,1)-0.01),IF(RoundingRule="Nearest 0.95",MAX(0.95,CEILING(AD5,1)-0.05),IF(RoundingRule="Nearest 0.50",CEILING(AD5,0.5),IF(RoundingRule="Nearest 1",CEILING(AD5,1),IF(RoundingRule="Nearest 5",CEILING(AD5,5),IF(RoundingRule="Up to whole 1",CEILING(AD5,1),IF(RoundingRule="Up to whole 5",CEILING(AD5,5),ROUND(AD5,2))))))))),2)))</f>
        <v>0</v>
      </c>
      <c r="AF5" s="20">
        <f>IF(B5="","",IF(K5&lt;&gt;"",K5,IF(ISNUMBER(AE5),AE5,"")))</f>
        <v>0</v>
      </c>
      <c r="AG5" s="20">
        <f>IF(B5="","",IF(OR(AF5="",S5=""),"",ROUND(AF5-S5,2)))</f>
        <v>0</v>
      </c>
      <c r="AH5" s="20">
        <f>IF(B5="","",IF(AF5="","",ROUND(AF5*AA5+AB5,2)))</f>
        <v>0</v>
      </c>
      <c r="AI5" s="20">
        <f>IF(B5="","",IF(AF5="","",ROUND(AF5-Z5-AH5,2)))</f>
        <v>0</v>
      </c>
      <c r="AJ5" s="33">
        <f>IF(B5="","",IF(OR(AF5="",AF5=0),"",AI5/AF5))</f>
        <v>0</v>
      </c>
      <c r="AK5" s="20">
        <f>IF(B5="","",IF(OR(X5=0,X5="",AI5=""),"",ROUND((AI5+Y5)/(X5/60),2)))</f>
        <v>0</v>
      </c>
      <c r="AL5" s="43">
        <f>IF(B5="","",IF(N5="Not found","Check - no such product ID",IF(AF5="","Check - no price yet",IF(AI5&lt;0,"Loss - this version costs you money",IF(AND(AK5&lt;&gt;"",AK5&lt;MinimumWage),"Below - pays under minimum wage",IF(AND(G5&gt;0,AG5&lt;=0),"Check - extra work, no extra charge",IF(AJ5&lt;MarginWarning,"Low margin - re-price it","OK")))))))</f>
        <v>0</v>
      </c>
    </row>
    <row r="6" spans="1:38">
      <c r="A6" s="38">
        <f>IF(C6="","",VariationPrefix&amp;TEXT(ROW()-4,"0000"))</f>
        <v>0</v>
      </c>
      <c r="B6" s="46" t="s">
        <v>1256</v>
      </c>
      <c r="C6" s="15" t="s">
        <v>1514</v>
      </c>
      <c r="D6" s="15" t="s">
        <v>1515</v>
      </c>
      <c r="F6" s="18">
        <v>3.4</v>
      </c>
      <c r="G6" s="16">
        <v>8</v>
      </c>
      <c r="H6" s="15" t="s">
        <v>516</v>
      </c>
      <c r="J6" s="15" t="s">
        <v>287</v>
      </c>
      <c r="K6" s="18">
        <v>86</v>
      </c>
      <c r="L6" s="47" t="s">
        <v>278</v>
      </c>
      <c r="N6" s="13">
        <f>IF(B6="","",IFERROR(INDEX(Products!$B$5:$B$304,MATCH(B6,Products!$A$5:$A$304,0)),"Not found"))</f>
        <v>0</v>
      </c>
      <c r="O6" s="20">
        <f>IF(B6="","",IFERROR(INDEX(Products!$T$5:$T$304,MATCH(B6,Products!$A$5:$A$304,0)),""))</f>
        <v>0</v>
      </c>
      <c r="P6" s="20">
        <f>IF(B6="","",IFERROR(INDEX(Products!$Z$5:$Z$304,MATCH(B6,Products!$A$5:$A$304,0)),""))</f>
        <v>0</v>
      </c>
      <c r="Q6" s="20">
        <f>IF(B6="","",IFERROR(INDEX(Products!$AH$5:$AH$304,MATCH(B6,Products!$A$5:$A$304,0))-INDEX(Products!$T$5:$T$304,MATCH(B6,Products!$A$5:$A$304,0))-INDEX(Products!$Z$5:$Z$304,MATCH(B6,Products!$A$5:$A$304,0)),0))</f>
        <v>0</v>
      </c>
      <c r="R6" s="36">
        <f>IF(B6="","",IFERROR(INDEX(Products!$X$5:$X$304,MATCH(B6,Products!$A$5:$A$304,0)),""))</f>
        <v>0</v>
      </c>
      <c r="S6" s="20">
        <f>IF(B6="","",IFERROR(INDEX(Products!$AR$5:$AR$304,MATCH(B6,Products!$A$5:$A$304,0)),""))</f>
        <v>0</v>
      </c>
      <c r="T6" s="41">
        <f>IF(B6="","",IFERROR(INDEX(SizeMaterialFactors,MATCH(E6,SizeNames,0)),1))</f>
        <v>0</v>
      </c>
      <c r="U6" s="41">
        <f>IF(B6="","",IFERROR(INDEX(SizeTimeFactors,MATCH(E6,SizeNames,0)),1))</f>
        <v>0</v>
      </c>
      <c r="V6" s="33">
        <f>IF(B6="","",IFERROR(INDEX(RushFactors,MATCH(H6,RushNames,0)),0))</f>
        <v>0</v>
      </c>
      <c r="W6" s="20">
        <f>IF(B6="","",ROUND(IF(O6="",0,O6)*T6+IF(F6="",0,F6),2))</f>
        <v>0</v>
      </c>
      <c r="X6" s="36">
        <f>IF(B6="","",ROUND(IF(R6="",0,R6)*U6+IF(G6="",0,G6),1))</f>
        <v>0</v>
      </c>
      <c r="Y6" s="20">
        <f>IF(B6="","",ROUND(IF(P6="",0,P6)*U6+IF(G6="",0,G6)/60*LaborCostHour,2))</f>
        <v>0</v>
      </c>
      <c r="Z6" s="20">
        <f>IF(B6="","",ROUND(W6+Y6+IF(Q6="",0,Q6),2))</f>
        <v>0</v>
      </c>
      <c r="AA6" s="33">
        <f>IF(B6="","",IFERROR(INDEX(Channels!$S$5:$S$18,MATCH(IF(J6="",DefaultChannel,J6),Channels!$A$5:$A$18,0)),0))</f>
        <v>0</v>
      </c>
      <c r="AB6" s="20">
        <f>IF(B6="","",IFERROR(INDEX(Channels!$T$5:$T$18,MATCH(IF(J6="",DefaultChannel,J6),Channels!$A$5:$A$18,0)),0))</f>
        <v>0</v>
      </c>
      <c r="AC6" s="41">
        <f>IF(B6="","",1-TargetRetailMargin-AA6)</f>
        <v>0</v>
      </c>
      <c r="AD6" s="20">
        <f>IF(B6="","",IF(AC6&lt;=0,"",((Z6+AB6)/AC6)*(1+V6)+IF(I6="",0,I6)))</f>
        <v>0</v>
      </c>
      <c r="AE6" s="20">
        <f>IF(B6="","",IF(AD6="","Check the settings",ROUND(IF(RoundingRule="None",AD6,IF(RoundingRule="Nearest 0.99",MAX(0.99,CEILING(AD6,1)-0.01),IF(RoundingRule="Nearest 0.95",MAX(0.95,CEILING(AD6,1)-0.05),IF(RoundingRule="Nearest 0.50",CEILING(AD6,0.5),IF(RoundingRule="Nearest 1",CEILING(AD6,1),IF(RoundingRule="Nearest 5",CEILING(AD6,5),IF(RoundingRule="Up to whole 1",CEILING(AD6,1),IF(RoundingRule="Up to whole 5",CEILING(AD6,5),ROUND(AD6,2))))))))),2)))</f>
        <v>0</v>
      </c>
      <c r="AF6" s="20">
        <f>IF(B6="","",IF(K6&lt;&gt;"",K6,IF(ISNUMBER(AE6),AE6,"")))</f>
        <v>0</v>
      </c>
      <c r="AG6" s="20">
        <f>IF(B6="","",IF(OR(AF6="",S6=""),"",ROUND(AF6-S6,2)))</f>
        <v>0</v>
      </c>
      <c r="AH6" s="20">
        <f>IF(B6="","",IF(AF6="","",ROUND(AF6*AA6+AB6,2)))</f>
        <v>0</v>
      </c>
      <c r="AI6" s="20">
        <f>IF(B6="","",IF(AF6="","",ROUND(AF6-Z6-AH6,2)))</f>
        <v>0</v>
      </c>
      <c r="AJ6" s="33">
        <f>IF(B6="","",IF(OR(AF6="",AF6=0),"",AI6/AF6))</f>
        <v>0</v>
      </c>
      <c r="AK6" s="20">
        <f>IF(B6="","",IF(OR(X6=0,X6="",AI6=""),"",ROUND((AI6+Y6)/(X6/60),2)))</f>
        <v>0</v>
      </c>
      <c r="AL6" s="43">
        <f>IF(B6="","",IF(N6="Not found","Check - no such product ID",IF(AF6="","Check - no price yet",IF(AI6&lt;0,"Loss - this version costs you money",IF(AND(AK6&lt;&gt;"",AK6&lt;MinimumWage),"Below - pays under minimum wage",IF(AND(G6&gt;0,AG6&lt;=0),"Check - extra work, no extra charge",IF(AJ6&lt;MarginWarning,"Low margin - re-price it","OK")))))))</f>
        <v>0</v>
      </c>
    </row>
    <row r="7" spans="1:38">
      <c r="A7" s="38">
        <f>IF(C7="","",VariationPrefix&amp;TEXT(ROW()-4,"0000"))</f>
        <v>0</v>
      </c>
      <c r="B7" s="46" t="s">
        <v>735</v>
      </c>
      <c r="C7" s="15" t="s">
        <v>1516</v>
      </c>
      <c r="D7" s="15" t="s">
        <v>1517</v>
      </c>
      <c r="G7" s="16">
        <v>22</v>
      </c>
      <c r="H7" s="15" t="s">
        <v>516</v>
      </c>
      <c r="I7" s="18">
        <v>8</v>
      </c>
      <c r="J7" s="15" t="s">
        <v>287</v>
      </c>
      <c r="L7" s="47" t="s">
        <v>278</v>
      </c>
      <c r="M7" s="40" t="s">
        <v>1518</v>
      </c>
      <c r="N7" s="13">
        <f>IF(B7="","",IFERROR(INDEX(Products!$B$5:$B$304,MATCH(B7,Products!$A$5:$A$304,0)),"Not found"))</f>
        <v>0</v>
      </c>
      <c r="O7" s="20">
        <f>IF(B7="","",IFERROR(INDEX(Products!$T$5:$T$304,MATCH(B7,Products!$A$5:$A$304,0)),""))</f>
        <v>0</v>
      </c>
      <c r="P7" s="20">
        <f>IF(B7="","",IFERROR(INDEX(Products!$Z$5:$Z$304,MATCH(B7,Products!$A$5:$A$304,0)),""))</f>
        <v>0</v>
      </c>
      <c r="Q7" s="20">
        <f>IF(B7="","",IFERROR(INDEX(Products!$AH$5:$AH$304,MATCH(B7,Products!$A$5:$A$304,0))-INDEX(Products!$T$5:$T$304,MATCH(B7,Products!$A$5:$A$304,0))-INDEX(Products!$Z$5:$Z$304,MATCH(B7,Products!$A$5:$A$304,0)),0))</f>
        <v>0</v>
      </c>
      <c r="R7" s="36">
        <f>IF(B7="","",IFERROR(INDEX(Products!$X$5:$X$304,MATCH(B7,Products!$A$5:$A$304,0)),""))</f>
        <v>0</v>
      </c>
      <c r="S7" s="20">
        <f>IF(B7="","",IFERROR(INDEX(Products!$AR$5:$AR$304,MATCH(B7,Products!$A$5:$A$304,0)),""))</f>
        <v>0</v>
      </c>
      <c r="T7" s="41">
        <f>IF(B7="","",IFERROR(INDEX(SizeMaterialFactors,MATCH(E7,SizeNames,0)),1))</f>
        <v>0</v>
      </c>
      <c r="U7" s="41">
        <f>IF(B7="","",IFERROR(INDEX(SizeTimeFactors,MATCH(E7,SizeNames,0)),1))</f>
        <v>0</v>
      </c>
      <c r="V7" s="33">
        <f>IF(B7="","",IFERROR(INDEX(RushFactors,MATCH(H7,RushNames,0)),0))</f>
        <v>0</v>
      </c>
      <c r="W7" s="20">
        <f>IF(B7="","",ROUND(IF(O7="",0,O7)*T7+IF(F7="",0,F7),2))</f>
        <v>0</v>
      </c>
      <c r="X7" s="36">
        <f>IF(B7="","",ROUND(IF(R7="",0,R7)*U7+IF(G7="",0,G7),1))</f>
        <v>0</v>
      </c>
      <c r="Y7" s="20">
        <f>IF(B7="","",ROUND(IF(P7="",0,P7)*U7+IF(G7="",0,G7)/60*LaborCostHour,2))</f>
        <v>0</v>
      </c>
      <c r="Z7" s="20">
        <f>IF(B7="","",ROUND(W7+Y7+IF(Q7="",0,Q7),2))</f>
        <v>0</v>
      </c>
      <c r="AA7" s="33">
        <f>IF(B7="","",IFERROR(INDEX(Channels!$S$5:$S$18,MATCH(IF(J7="",DefaultChannel,J7),Channels!$A$5:$A$18,0)),0))</f>
        <v>0</v>
      </c>
      <c r="AB7" s="20">
        <f>IF(B7="","",IFERROR(INDEX(Channels!$T$5:$T$18,MATCH(IF(J7="",DefaultChannel,J7),Channels!$A$5:$A$18,0)),0))</f>
        <v>0</v>
      </c>
      <c r="AC7" s="41">
        <f>IF(B7="","",1-TargetRetailMargin-AA7)</f>
        <v>0</v>
      </c>
      <c r="AD7" s="20">
        <f>IF(B7="","",IF(AC7&lt;=0,"",((Z7+AB7)/AC7)*(1+V7)+IF(I7="",0,I7)))</f>
        <v>0</v>
      </c>
      <c r="AE7" s="20">
        <f>IF(B7="","",IF(AD7="","Check the settings",ROUND(IF(RoundingRule="None",AD7,IF(RoundingRule="Nearest 0.99",MAX(0.99,CEILING(AD7,1)-0.01),IF(RoundingRule="Nearest 0.95",MAX(0.95,CEILING(AD7,1)-0.05),IF(RoundingRule="Nearest 0.50",CEILING(AD7,0.5),IF(RoundingRule="Nearest 1",CEILING(AD7,1),IF(RoundingRule="Nearest 5",CEILING(AD7,5),IF(RoundingRule="Up to whole 1",CEILING(AD7,1),IF(RoundingRule="Up to whole 5",CEILING(AD7,5),ROUND(AD7,2))))))))),2)))</f>
        <v>0</v>
      </c>
      <c r="AF7" s="20">
        <f>IF(B7="","",IF(K7&lt;&gt;"",K7,IF(ISNUMBER(AE7),AE7,"")))</f>
        <v>0</v>
      </c>
      <c r="AG7" s="20">
        <f>IF(B7="","",IF(OR(AF7="",S7=""),"",ROUND(AF7-S7,2)))</f>
        <v>0</v>
      </c>
      <c r="AH7" s="20">
        <f>IF(B7="","",IF(AF7="","",ROUND(AF7*AA7+AB7,2)))</f>
        <v>0</v>
      </c>
      <c r="AI7" s="20">
        <f>IF(B7="","",IF(AF7="","",ROUND(AF7-Z7-AH7,2)))</f>
        <v>0</v>
      </c>
      <c r="AJ7" s="33">
        <f>IF(B7="","",IF(OR(AF7="",AF7=0),"",AI7/AF7))</f>
        <v>0</v>
      </c>
      <c r="AK7" s="20">
        <f>IF(B7="","",IF(OR(X7=0,X7="",AI7=""),"",ROUND((AI7+Y7)/(X7/60),2)))</f>
        <v>0</v>
      </c>
      <c r="AL7" s="43">
        <f>IF(B7="","",IF(N7="Not found","Check - no such product ID",IF(AF7="","Check - no price yet",IF(AI7&lt;0,"Loss - this version costs you money",IF(AND(AK7&lt;&gt;"",AK7&lt;MinimumWage),"Below - pays under minimum wage",IF(AND(G7&gt;0,AG7&lt;=0),"Check - extra work, no extra charge",IF(AJ7&lt;MarginWarning,"Low margin - re-price it","OK")))))))</f>
        <v>0</v>
      </c>
    </row>
    <row r="8" spans="1:38">
      <c r="A8" s="38">
        <f>IF(C8="","",VariationPrefix&amp;TEXT(ROW()-4,"0000"))</f>
        <v>0</v>
      </c>
      <c r="B8" s="46" t="s">
        <v>1304</v>
      </c>
      <c r="C8" s="15" t="s">
        <v>1519</v>
      </c>
      <c r="D8" s="15" t="s">
        <v>1520</v>
      </c>
      <c r="H8" s="15" t="s">
        <v>1521</v>
      </c>
      <c r="J8" s="15" t="s">
        <v>287</v>
      </c>
      <c r="L8" s="47" t="s">
        <v>278</v>
      </c>
      <c r="M8" s="40" t="s">
        <v>1522</v>
      </c>
      <c r="N8" s="13">
        <f>IF(B8="","",IFERROR(INDEX(Products!$B$5:$B$304,MATCH(B8,Products!$A$5:$A$304,0)),"Not found"))</f>
        <v>0</v>
      </c>
      <c r="O8" s="20">
        <f>IF(B8="","",IFERROR(INDEX(Products!$T$5:$T$304,MATCH(B8,Products!$A$5:$A$304,0)),""))</f>
        <v>0</v>
      </c>
      <c r="P8" s="20">
        <f>IF(B8="","",IFERROR(INDEX(Products!$Z$5:$Z$304,MATCH(B8,Products!$A$5:$A$304,0)),""))</f>
        <v>0</v>
      </c>
      <c r="Q8" s="20">
        <f>IF(B8="","",IFERROR(INDEX(Products!$AH$5:$AH$304,MATCH(B8,Products!$A$5:$A$304,0))-INDEX(Products!$T$5:$T$304,MATCH(B8,Products!$A$5:$A$304,0))-INDEX(Products!$Z$5:$Z$304,MATCH(B8,Products!$A$5:$A$304,0)),0))</f>
        <v>0</v>
      </c>
      <c r="R8" s="36">
        <f>IF(B8="","",IFERROR(INDEX(Products!$X$5:$X$304,MATCH(B8,Products!$A$5:$A$304,0)),""))</f>
        <v>0</v>
      </c>
      <c r="S8" s="20">
        <f>IF(B8="","",IFERROR(INDEX(Products!$AR$5:$AR$304,MATCH(B8,Products!$A$5:$A$304,0)),""))</f>
        <v>0</v>
      </c>
      <c r="T8" s="41">
        <f>IF(B8="","",IFERROR(INDEX(SizeMaterialFactors,MATCH(E8,SizeNames,0)),1))</f>
        <v>0</v>
      </c>
      <c r="U8" s="41">
        <f>IF(B8="","",IFERROR(INDEX(SizeTimeFactors,MATCH(E8,SizeNames,0)),1))</f>
        <v>0</v>
      </c>
      <c r="V8" s="33">
        <f>IF(B8="","",IFERROR(INDEX(RushFactors,MATCH(H8,RushNames,0)),0))</f>
        <v>0</v>
      </c>
      <c r="W8" s="20">
        <f>IF(B8="","",ROUND(IF(O8="",0,O8)*T8+IF(F8="",0,F8),2))</f>
        <v>0</v>
      </c>
      <c r="X8" s="36">
        <f>IF(B8="","",ROUND(IF(R8="",0,R8)*U8+IF(G8="",0,G8),1))</f>
        <v>0</v>
      </c>
      <c r="Y8" s="20">
        <f>IF(B8="","",ROUND(IF(P8="",0,P8)*U8+IF(G8="",0,G8)/60*LaborCostHour,2))</f>
        <v>0</v>
      </c>
      <c r="Z8" s="20">
        <f>IF(B8="","",ROUND(W8+Y8+IF(Q8="",0,Q8),2))</f>
        <v>0</v>
      </c>
      <c r="AA8" s="33">
        <f>IF(B8="","",IFERROR(INDEX(Channels!$S$5:$S$18,MATCH(IF(J8="",DefaultChannel,J8),Channels!$A$5:$A$18,0)),0))</f>
        <v>0</v>
      </c>
      <c r="AB8" s="20">
        <f>IF(B8="","",IFERROR(INDEX(Channels!$T$5:$T$18,MATCH(IF(J8="",DefaultChannel,J8),Channels!$A$5:$A$18,0)),0))</f>
        <v>0</v>
      </c>
      <c r="AC8" s="41">
        <f>IF(B8="","",1-TargetRetailMargin-AA8)</f>
        <v>0</v>
      </c>
      <c r="AD8" s="20">
        <f>IF(B8="","",IF(AC8&lt;=0,"",((Z8+AB8)/AC8)*(1+V8)+IF(I8="",0,I8)))</f>
        <v>0</v>
      </c>
      <c r="AE8" s="20">
        <f>IF(B8="","",IF(AD8="","Check the settings",ROUND(IF(RoundingRule="None",AD8,IF(RoundingRule="Nearest 0.99",MAX(0.99,CEILING(AD8,1)-0.01),IF(RoundingRule="Nearest 0.95",MAX(0.95,CEILING(AD8,1)-0.05),IF(RoundingRule="Nearest 0.50",CEILING(AD8,0.5),IF(RoundingRule="Nearest 1",CEILING(AD8,1),IF(RoundingRule="Nearest 5",CEILING(AD8,5),IF(RoundingRule="Up to whole 1",CEILING(AD8,1),IF(RoundingRule="Up to whole 5",CEILING(AD8,5),ROUND(AD8,2))))))))),2)))</f>
        <v>0</v>
      </c>
      <c r="AF8" s="20">
        <f>IF(B8="","",IF(K8&lt;&gt;"",K8,IF(ISNUMBER(AE8),AE8,"")))</f>
        <v>0</v>
      </c>
      <c r="AG8" s="20">
        <f>IF(B8="","",IF(OR(AF8="",S8=""),"",ROUND(AF8-S8,2)))</f>
        <v>0</v>
      </c>
      <c r="AH8" s="20">
        <f>IF(B8="","",IF(AF8="","",ROUND(AF8*AA8+AB8,2)))</f>
        <v>0</v>
      </c>
      <c r="AI8" s="20">
        <f>IF(B8="","",IF(AF8="","",ROUND(AF8-Z8-AH8,2)))</f>
        <v>0</v>
      </c>
      <c r="AJ8" s="33">
        <f>IF(B8="","",IF(OR(AF8="",AF8=0),"",AI8/AF8))</f>
        <v>0</v>
      </c>
      <c r="AK8" s="20">
        <f>IF(B8="","",IF(OR(X8=0,X8="",AI8=""),"",ROUND((AI8+Y8)/(X8/60),2)))</f>
        <v>0</v>
      </c>
      <c r="AL8" s="43">
        <f>IF(B8="","",IF(N8="Not found","Check - no such product ID",IF(AF8="","Check - no price yet",IF(AI8&lt;0,"Loss - this version costs you money",IF(AND(AK8&lt;&gt;"",AK8&lt;MinimumWage),"Below - pays under minimum wage",IF(AND(G8&gt;0,AG8&lt;=0),"Check - extra work, no extra charge",IF(AJ8&lt;MarginWarning,"Low margin - re-price it","OK")))))))</f>
        <v>0</v>
      </c>
    </row>
    <row r="9" spans="1:38">
      <c r="A9" s="38">
        <f>IF(C9="","",VariationPrefix&amp;TEXT(ROW()-4,"0000"))</f>
        <v>0</v>
      </c>
      <c r="B9" s="46" t="s">
        <v>1380</v>
      </c>
      <c r="C9" s="15" t="s">
        <v>1523</v>
      </c>
      <c r="D9" s="15" t="s">
        <v>1232</v>
      </c>
      <c r="E9" s="15" t="s">
        <v>1524</v>
      </c>
      <c r="G9" s="16">
        <v>35</v>
      </c>
      <c r="H9" s="15" t="s">
        <v>516</v>
      </c>
      <c r="J9" s="15" t="s">
        <v>545</v>
      </c>
      <c r="L9" s="47" t="s">
        <v>278</v>
      </c>
      <c r="M9" s="40" t="s">
        <v>1525</v>
      </c>
      <c r="N9" s="13">
        <f>IF(B9="","",IFERROR(INDEX(Products!$B$5:$B$304,MATCH(B9,Products!$A$5:$A$304,0)),"Not found"))</f>
        <v>0</v>
      </c>
      <c r="O9" s="20">
        <f>IF(B9="","",IFERROR(INDEX(Products!$T$5:$T$304,MATCH(B9,Products!$A$5:$A$304,0)),""))</f>
        <v>0</v>
      </c>
      <c r="P9" s="20">
        <f>IF(B9="","",IFERROR(INDEX(Products!$Z$5:$Z$304,MATCH(B9,Products!$A$5:$A$304,0)),""))</f>
        <v>0</v>
      </c>
      <c r="Q9" s="20">
        <f>IF(B9="","",IFERROR(INDEX(Products!$AH$5:$AH$304,MATCH(B9,Products!$A$5:$A$304,0))-INDEX(Products!$T$5:$T$304,MATCH(B9,Products!$A$5:$A$304,0))-INDEX(Products!$Z$5:$Z$304,MATCH(B9,Products!$A$5:$A$304,0)),0))</f>
        <v>0</v>
      </c>
      <c r="R9" s="36">
        <f>IF(B9="","",IFERROR(INDEX(Products!$X$5:$X$304,MATCH(B9,Products!$A$5:$A$304,0)),""))</f>
        <v>0</v>
      </c>
      <c r="S9" s="20">
        <f>IF(B9="","",IFERROR(INDEX(Products!$AR$5:$AR$304,MATCH(B9,Products!$A$5:$A$304,0)),""))</f>
        <v>0</v>
      </c>
      <c r="T9" s="41">
        <f>IF(B9="","",IFERROR(INDEX(SizeMaterialFactors,MATCH(E9,SizeNames,0)),1))</f>
        <v>0</v>
      </c>
      <c r="U9" s="41">
        <f>IF(B9="","",IFERROR(INDEX(SizeTimeFactors,MATCH(E9,SizeNames,0)),1))</f>
        <v>0</v>
      </c>
      <c r="V9" s="33">
        <f>IF(B9="","",IFERROR(INDEX(RushFactors,MATCH(H9,RushNames,0)),0))</f>
        <v>0</v>
      </c>
      <c r="W9" s="20">
        <f>IF(B9="","",ROUND(IF(O9="",0,O9)*T9+IF(F9="",0,F9),2))</f>
        <v>0</v>
      </c>
      <c r="X9" s="36">
        <f>IF(B9="","",ROUND(IF(R9="",0,R9)*U9+IF(G9="",0,G9),1))</f>
        <v>0</v>
      </c>
      <c r="Y9" s="20">
        <f>IF(B9="","",ROUND(IF(P9="",0,P9)*U9+IF(G9="",0,G9)/60*LaborCostHour,2))</f>
        <v>0</v>
      </c>
      <c r="Z9" s="20">
        <f>IF(B9="","",ROUND(W9+Y9+IF(Q9="",0,Q9),2))</f>
        <v>0</v>
      </c>
      <c r="AA9" s="33">
        <f>IF(B9="","",IFERROR(INDEX(Channels!$S$5:$S$18,MATCH(IF(J9="",DefaultChannel,J9),Channels!$A$5:$A$18,0)),0))</f>
        <v>0</v>
      </c>
      <c r="AB9" s="20">
        <f>IF(B9="","",IFERROR(INDEX(Channels!$T$5:$T$18,MATCH(IF(J9="",DefaultChannel,J9),Channels!$A$5:$A$18,0)),0))</f>
        <v>0</v>
      </c>
      <c r="AC9" s="41">
        <f>IF(B9="","",1-TargetRetailMargin-AA9)</f>
        <v>0</v>
      </c>
      <c r="AD9" s="20">
        <f>IF(B9="","",IF(AC9&lt;=0,"",((Z9+AB9)/AC9)*(1+V9)+IF(I9="",0,I9)))</f>
        <v>0</v>
      </c>
      <c r="AE9" s="20">
        <f>IF(B9="","",IF(AD9="","Check the settings",ROUND(IF(RoundingRule="None",AD9,IF(RoundingRule="Nearest 0.99",MAX(0.99,CEILING(AD9,1)-0.01),IF(RoundingRule="Nearest 0.95",MAX(0.95,CEILING(AD9,1)-0.05),IF(RoundingRule="Nearest 0.50",CEILING(AD9,0.5),IF(RoundingRule="Nearest 1",CEILING(AD9,1),IF(RoundingRule="Nearest 5",CEILING(AD9,5),IF(RoundingRule="Up to whole 1",CEILING(AD9,1),IF(RoundingRule="Up to whole 5",CEILING(AD9,5),ROUND(AD9,2))))))))),2)))</f>
        <v>0</v>
      </c>
      <c r="AF9" s="20">
        <f>IF(B9="","",IF(K9&lt;&gt;"",K9,IF(ISNUMBER(AE9),AE9,"")))</f>
        <v>0</v>
      </c>
      <c r="AG9" s="20">
        <f>IF(B9="","",IF(OR(AF9="",S9=""),"",ROUND(AF9-S9,2)))</f>
        <v>0</v>
      </c>
      <c r="AH9" s="20">
        <f>IF(B9="","",IF(AF9="","",ROUND(AF9*AA9+AB9,2)))</f>
        <v>0</v>
      </c>
      <c r="AI9" s="20">
        <f>IF(B9="","",IF(AF9="","",ROUND(AF9-Z9-AH9,2)))</f>
        <v>0</v>
      </c>
      <c r="AJ9" s="33">
        <f>IF(B9="","",IF(OR(AF9="",AF9=0),"",AI9/AF9))</f>
        <v>0</v>
      </c>
      <c r="AK9" s="20">
        <f>IF(B9="","",IF(OR(X9=0,X9="",AI9=""),"",ROUND((AI9+Y9)/(X9/60),2)))</f>
        <v>0</v>
      </c>
      <c r="AL9" s="43">
        <f>IF(B9="","",IF(N9="Not found","Check - no such product ID",IF(AF9="","Check - no price yet",IF(AI9&lt;0,"Loss - this version costs you money",IF(AND(AK9&lt;&gt;"",AK9&lt;MinimumWage),"Below - pays under minimum wage",IF(AND(G9&gt;0,AG9&lt;=0),"Check - extra work, no extra charge",IF(AJ9&lt;MarginWarning,"Low margin - re-price it","OK")))))))</f>
        <v>0</v>
      </c>
    </row>
    <row r="10" spans="1:38">
      <c r="A10" s="38">
        <f>IF(C10="","",VariationPrefix&amp;TEXT(ROW()-4,"0000"))</f>
        <v>0</v>
      </c>
      <c r="B10" s="46" t="s">
        <v>1344</v>
      </c>
      <c r="C10" s="15" t="s">
        <v>1526</v>
      </c>
      <c r="D10" s="15" t="s">
        <v>1527</v>
      </c>
      <c r="F10" s="18">
        <v>1.2</v>
      </c>
      <c r="G10" s="16">
        <v>10</v>
      </c>
      <c r="H10" s="15" t="s">
        <v>516</v>
      </c>
      <c r="J10" s="15" t="s">
        <v>1001</v>
      </c>
      <c r="L10" s="47" t="s">
        <v>281</v>
      </c>
      <c r="M10" s="40" t="s">
        <v>1528</v>
      </c>
      <c r="N10" s="13">
        <f>IF(B10="","",IFERROR(INDEX(Products!$B$5:$B$304,MATCH(B10,Products!$A$5:$A$304,0)),"Not found"))</f>
        <v>0</v>
      </c>
      <c r="O10" s="20">
        <f>IF(B10="","",IFERROR(INDEX(Products!$T$5:$T$304,MATCH(B10,Products!$A$5:$A$304,0)),""))</f>
        <v>0</v>
      </c>
      <c r="P10" s="20">
        <f>IF(B10="","",IFERROR(INDEX(Products!$Z$5:$Z$304,MATCH(B10,Products!$A$5:$A$304,0)),""))</f>
        <v>0</v>
      </c>
      <c r="Q10" s="20">
        <f>IF(B10="","",IFERROR(INDEX(Products!$AH$5:$AH$304,MATCH(B10,Products!$A$5:$A$304,0))-INDEX(Products!$T$5:$T$304,MATCH(B10,Products!$A$5:$A$304,0))-INDEX(Products!$Z$5:$Z$304,MATCH(B10,Products!$A$5:$A$304,0)),0))</f>
        <v>0</v>
      </c>
      <c r="R10" s="36">
        <f>IF(B10="","",IFERROR(INDEX(Products!$X$5:$X$304,MATCH(B10,Products!$A$5:$A$304,0)),""))</f>
        <v>0</v>
      </c>
      <c r="S10" s="20">
        <f>IF(B10="","",IFERROR(INDEX(Products!$AR$5:$AR$304,MATCH(B10,Products!$A$5:$A$304,0)),""))</f>
        <v>0</v>
      </c>
      <c r="T10" s="41">
        <f>IF(B10="","",IFERROR(INDEX(SizeMaterialFactors,MATCH(E10,SizeNames,0)),1))</f>
        <v>0</v>
      </c>
      <c r="U10" s="41">
        <f>IF(B10="","",IFERROR(INDEX(SizeTimeFactors,MATCH(E10,SizeNames,0)),1))</f>
        <v>0</v>
      </c>
      <c r="V10" s="33">
        <f>IF(B10="","",IFERROR(INDEX(RushFactors,MATCH(H10,RushNames,0)),0))</f>
        <v>0</v>
      </c>
      <c r="W10" s="20">
        <f>IF(B10="","",ROUND(IF(O10="",0,O10)*T10+IF(F10="",0,F10),2))</f>
        <v>0</v>
      </c>
      <c r="X10" s="36">
        <f>IF(B10="","",ROUND(IF(R10="",0,R10)*U10+IF(G10="",0,G10),1))</f>
        <v>0</v>
      </c>
      <c r="Y10" s="20">
        <f>IF(B10="","",ROUND(IF(P10="",0,P10)*U10+IF(G10="",0,G10)/60*LaborCostHour,2))</f>
        <v>0</v>
      </c>
      <c r="Z10" s="20">
        <f>IF(B10="","",ROUND(W10+Y10+IF(Q10="",0,Q10),2))</f>
        <v>0</v>
      </c>
      <c r="AA10" s="33">
        <f>IF(B10="","",IFERROR(INDEX(Channels!$S$5:$S$18,MATCH(IF(J10="",DefaultChannel,J10),Channels!$A$5:$A$18,0)),0))</f>
        <v>0</v>
      </c>
      <c r="AB10" s="20">
        <f>IF(B10="","",IFERROR(INDEX(Channels!$T$5:$T$18,MATCH(IF(J10="",DefaultChannel,J10),Channels!$A$5:$A$18,0)),0))</f>
        <v>0</v>
      </c>
      <c r="AC10" s="41">
        <f>IF(B10="","",1-TargetRetailMargin-AA10)</f>
        <v>0</v>
      </c>
      <c r="AD10" s="20">
        <f>IF(B10="","",IF(AC10&lt;=0,"",((Z10+AB10)/AC10)*(1+V10)+IF(I10="",0,I10)))</f>
        <v>0</v>
      </c>
      <c r="AE10" s="20">
        <f>IF(B10="","",IF(AD10="","Check the settings",ROUND(IF(RoundingRule="None",AD10,IF(RoundingRule="Nearest 0.99",MAX(0.99,CEILING(AD10,1)-0.01),IF(RoundingRule="Nearest 0.95",MAX(0.95,CEILING(AD10,1)-0.05),IF(RoundingRule="Nearest 0.50",CEILING(AD10,0.5),IF(RoundingRule="Nearest 1",CEILING(AD10,1),IF(RoundingRule="Nearest 5",CEILING(AD10,5),IF(RoundingRule="Up to whole 1",CEILING(AD10,1),IF(RoundingRule="Up to whole 5",CEILING(AD10,5),ROUND(AD10,2))))))))),2)))</f>
        <v>0</v>
      </c>
      <c r="AF10" s="20">
        <f>IF(B10="","",IF(K10&lt;&gt;"",K10,IF(ISNUMBER(AE10),AE10,"")))</f>
        <v>0</v>
      </c>
      <c r="AG10" s="20">
        <f>IF(B10="","",IF(OR(AF10="",S10=""),"",ROUND(AF10-S10,2)))</f>
        <v>0</v>
      </c>
      <c r="AH10" s="20">
        <f>IF(B10="","",IF(AF10="","",ROUND(AF10*AA10+AB10,2)))</f>
        <v>0</v>
      </c>
      <c r="AI10" s="20">
        <f>IF(B10="","",IF(AF10="","",ROUND(AF10-Z10-AH10,2)))</f>
        <v>0</v>
      </c>
      <c r="AJ10" s="33">
        <f>IF(B10="","",IF(OR(AF10="",AF10=0),"",AI10/AF10))</f>
        <v>0</v>
      </c>
      <c r="AK10" s="20">
        <f>IF(B10="","",IF(OR(X10=0,X10="",AI10=""),"",ROUND((AI10+Y10)/(X10/60),2)))</f>
        <v>0</v>
      </c>
      <c r="AL10" s="43">
        <f>IF(B10="","",IF(N10="Not found","Check - no such product ID",IF(AF10="","Check - no price yet",IF(AI10&lt;0,"Loss - this version costs you money",IF(AND(AK10&lt;&gt;"",AK10&lt;MinimumWage),"Below - pays under minimum wage",IF(AND(G10&gt;0,AG10&lt;=0),"Check - extra work, no extra charge",IF(AJ10&lt;MarginWarning,"Low margin - re-price it","OK")))))))</f>
        <v>0</v>
      </c>
    </row>
    <row r="11" spans="1:38">
      <c r="A11" s="38">
        <f>IF(C11="","",VariationPrefix&amp;TEXT(ROW()-4,"0000"))</f>
        <v>0</v>
      </c>
      <c r="N11" s="13">
        <f>IF(B11="","",IFERROR(INDEX(Products!$B$5:$B$304,MATCH(B11,Products!$A$5:$A$304,0)),"Not found"))</f>
        <v>0</v>
      </c>
      <c r="O11" s="20">
        <f>IF(B11="","",IFERROR(INDEX(Products!$T$5:$T$304,MATCH(B11,Products!$A$5:$A$304,0)),""))</f>
        <v>0</v>
      </c>
      <c r="P11" s="20">
        <f>IF(B11="","",IFERROR(INDEX(Products!$Z$5:$Z$304,MATCH(B11,Products!$A$5:$A$304,0)),""))</f>
        <v>0</v>
      </c>
      <c r="Q11" s="20">
        <f>IF(B11="","",IFERROR(INDEX(Products!$AH$5:$AH$304,MATCH(B11,Products!$A$5:$A$304,0))-INDEX(Products!$T$5:$T$304,MATCH(B11,Products!$A$5:$A$304,0))-INDEX(Products!$Z$5:$Z$304,MATCH(B11,Products!$A$5:$A$304,0)),0))</f>
        <v>0</v>
      </c>
      <c r="R11" s="36">
        <f>IF(B11="","",IFERROR(INDEX(Products!$X$5:$X$304,MATCH(B11,Products!$A$5:$A$304,0)),""))</f>
        <v>0</v>
      </c>
      <c r="S11" s="20">
        <f>IF(B11="","",IFERROR(INDEX(Products!$AR$5:$AR$304,MATCH(B11,Products!$A$5:$A$304,0)),""))</f>
        <v>0</v>
      </c>
      <c r="T11" s="41">
        <f>IF(B11="","",IFERROR(INDEX(SizeMaterialFactors,MATCH(E11,SizeNames,0)),1))</f>
        <v>0</v>
      </c>
      <c r="U11" s="41">
        <f>IF(B11="","",IFERROR(INDEX(SizeTimeFactors,MATCH(E11,SizeNames,0)),1))</f>
        <v>0</v>
      </c>
      <c r="V11" s="33">
        <f>IF(B11="","",IFERROR(INDEX(RushFactors,MATCH(H11,RushNames,0)),0))</f>
        <v>0</v>
      </c>
      <c r="W11" s="20">
        <f>IF(B11="","",ROUND(IF(O11="",0,O11)*T11+IF(F11="",0,F11),2))</f>
        <v>0</v>
      </c>
      <c r="X11" s="36">
        <f>IF(B11="","",ROUND(IF(R11="",0,R11)*U11+IF(G11="",0,G11),1))</f>
        <v>0</v>
      </c>
      <c r="Y11" s="20">
        <f>IF(B11="","",ROUND(IF(P11="",0,P11)*U11+IF(G11="",0,G11)/60*LaborCostHour,2))</f>
        <v>0</v>
      </c>
      <c r="Z11" s="20">
        <f>IF(B11="","",ROUND(W11+Y11+IF(Q11="",0,Q11),2))</f>
        <v>0</v>
      </c>
      <c r="AA11" s="33">
        <f>IF(B11="","",IFERROR(INDEX(Channels!$S$5:$S$18,MATCH(IF(J11="",DefaultChannel,J11),Channels!$A$5:$A$18,0)),0))</f>
        <v>0</v>
      </c>
      <c r="AB11" s="20">
        <f>IF(B11="","",IFERROR(INDEX(Channels!$T$5:$T$18,MATCH(IF(J11="",DefaultChannel,J11),Channels!$A$5:$A$18,0)),0))</f>
        <v>0</v>
      </c>
      <c r="AC11" s="41">
        <f>IF(B11="","",1-TargetRetailMargin-AA11)</f>
        <v>0</v>
      </c>
      <c r="AD11" s="20">
        <f>IF(B11="","",IF(AC11&lt;=0,"",((Z11+AB11)/AC11)*(1+V11)+IF(I11="",0,I11)))</f>
        <v>0</v>
      </c>
      <c r="AE11" s="20">
        <f>IF(B11="","",IF(AD11="","Check the settings",ROUND(IF(RoundingRule="None",AD11,IF(RoundingRule="Nearest 0.99",MAX(0.99,CEILING(AD11,1)-0.01),IF(RoundingRule="Nearest 0.95",MAX(0.95,CEILING(AD11,1)-0.05),IF(RoundingRule="Nearest 0.50",CEILING(AD11,0.5),IF(RoundingRule="Nearest 1",CEILING(AD11,1),IF(RoundingRule="Nearest 5",CEILING(AD11,5),IF(RoundingRule="Up to whole 1",CEILING(AD11,1),IF(RoundingRule="Up to whole 5",CEILING(AD11,5),ROUND(AD11,2))))))))),2)))</f>
        <v>0</v>
      </c>
      <c r="AF11" s="20">
        <f>IF(B11="","",IF(K11&lt;&gt;"",K11,IF(ISNUMBER(AE11),AE11,"")))</f>
        <v>0</v>
      </c>
      <c r="AG11" s="20">
        <f>IF(B11="","",IF(OR(AF11="",S11=""),"",ROUND(AF11-S11,2)))</f>
        <v>0</v>
      </c>
      <c r="AH11" s="20">
        <f>IF(B11="","",IF(AF11="","",ROUND(AF11*AA11+AB11,2)))</f>
        <v>0</v>
      </c>
      <c r="AI11" s="20">
        <f>IF(B11="","",IF(AF11="","",ROUND(AF11-Z11-AH11,2)))</f>
        <v>0</v>
      </c>
      <c r="AJ11" s="33">
        <f>IF(B11="","",IF(OR(AF11="",AF11=0),"",AI11/AF11))</f>
        <v>0</v>
      </c>
      <c r="AK11" s="20">
        <f>IF(B11="","",IF(OR(X11=0,X11="",AI11=""),"",ROUND((AI11+Y11)/(X11/60),2)))</f>
        <v>0</v>
      </c>
      <c r="AL11" s="43">
        <f>IF(B11="","",IF(N11="Not found","Check - no such product ID",IF(AF11="","Check - no price yet",IF(AI11&lt;0,"Loss - this version costs you money",IF(AND(AK11&lt;&gt;"",AK11&lt;MinimumWage),"Below - pays under minimum wage",IF(AND(G11&gt;0,AG11&lt;=0),"Check - extra work, no extra charge",IF(AJ11&lt;MarginWarning,"Low margin - re-price it","OK")))))))</f>
        <v>0</v>
      </c>
    </row>
    <row r="12" spans="1:38">
      <c r="A12" s="38">
        <f>IF(C12="","",VariationPrefix&amp;TEXT(ROW()-4,"0000"))</f>
        <v>0</v>
      </c>
      <c r="N12" s="13">
        <f>IF(B12="","",IFERROR(INDEX(Products!$B$5:$B$304,MATCH(B12,Products!$A$5:$A$304,0)),"Not found"))</f>
        <v>0</v>
      </c>
      <c r="O12" s="20">
        <f>IF(B12="","",IFERROR(INDEX(Products!$T$5:$T$304,MATCH(B12,Products!$A$5:$A$304,0)),""))</f>
        <v>0</v>
      </c>
      <c r="P12" s="20">
        <f>IF(B12="","",IFERROR(INDEX(Products!$Z$5:$Z$304,MATCH(B12,Products!$A$5:$A$304,0)),""))</f>
        <v>0</v>
      </c>
      <c r="Q12" s="20">
        <f>IF(B12="","",IFERROR(INDEX(Products!$AH$5:$AH$304,MATCH(B12,Products!$A$5:$A$304,0))-INDEX(Products!$T$5:$T$304,MATCH(B12,Products!$A$5:$A$304,0))-INDEX(Products!$Z$5:$Z$304,MATCH(B12,Products!$A$5:$A$304,0)),0))</f>
        <v>0</v>
      </c>
      <c r="R12" s="36">
        <f>IF(B12="","",IFERROR(INDEX(Products!$X$5:$X$304,MATCH(B12,Products!$A$5:$A$304,0)),""))</f>
        <v>0</v>
      </c>
      <c r="S12" s="20">
        <f>IF(B12="","",IFERROR(INDEX(Products!$AR$5:$AR$304,MATCH(B12,Products!$A$5:$A$304,0)),""))</f>
        <v>0</v>
      </c>
      <c r="T12" s="41">
        <f>IF(B12="","",IFERROR(INDEX(SizeMaterialFactors,MATCH(E12,SizeNames,0)),1))</f>
        <v>0</v>
      </c>
      <c r="U12" s="41">
        <f>IF(B12="","",IFERROR(INDEX(SizeTimeFactors,MATCH(E12,SizeNames,0)),1))</f>
        <v>0</v>
      </c>
      <c r="V12" s="33">
        <f>IF(B12="","",IFERROR(INDEX(RushFactors,MATCH(H12,RushNames,0)),0))</f>
        <v>0</v>
      </c>
      <c r="W12" s="20">
        <f>IF(B12="","",ROUND(IF(O12="",0,O12)*T12+IF(F12="",0,F12),2))</f>
        <v>0</v>
      </c>
      <c r="X12" s="36">
        <f>IF(B12="","",ROUND(IF(R12="",0,R12)*U12+IF(G12="",0,G12),1))</f>
        <v>0</v>
      </c>
      <c r="Y12" s="20">
        <f>IF(B12="","",ROUND(IF(P12="",0,P12)*U12+IF(G12="",0,G12)/60*LaborCostHour,2))</f>
        <v>0</v>
      </c>
      <c r="Z12" s="20">
        <f>IF(B12="","",ROUND(W12+Y12+IF(Q12="",0,Q12),2))</f>
        <v>0</v>
      </c>
      <c r="AA12" s="33">
        <f>IF(B12="","",IFERROR(INDEX(Channels!$S$5:$S$18,MATCH(IF(J12="",DefaultChannel,J12),Channels!$A$5:$A$18,0)),0))</f>
        <v>0</v>
      </c>
      <c r="AB12" s="20">
        <f>IF(B12="","",IFERROR(INDEX(Channels!$T$5:$T$18,MATCH(IF(J12="",DefaultChannel,J12),Channels!$A$5:$A$18,0)),0))</f>
        <v>0</v>
      </c>
      <c r="AC12" s="41">
        <f>IF(B12="","",1-TargetRetailMargin-AA12)</f>
        <v>0</v>
      </c>
      <c r="AD12" s="20">
        <f>IF(B12="","",IF(AC12&lt;=0,"",((Z12+AB12)/AC12)*(1+V12)+IF(I12="",0,I12)))</f>
        <v>0</v>
      </c>
      <c r="AE12" s="20">
        <f>IF(B12="","",IF(AD12="","Check the settings",ROUND(IF(RoundingRule="None",AD12,IF(RoundingRule="Nearest 0.99",MAX(0.99,CEILING(AD12,1)-0.01),IF(RoundingRule="Nearest 0.95",MAX(0.95,CEILING(AD12,1)-0.05),IF(RoundingRule="Nearest 0.50",CEILING(AD12,0.5),IF(RoundingRule="Nearest 1",CEILING(AD12,1),IF(RoundingRule="Nearest 5",CEILING(AD12,5),IF(RoundingRule="Up to whole 1",CEILING(AD12,1),IF(RoundingRule="Up to whole 5",CEILING(AD12,5),ROUND(AD12,2))))))))),2)))</f>
        <v>0</v>
      </c>
      <c r="AF12" s="20">
        <f>IF(B12="","",IF(K12&lt;&gt;"",K12,IF(ISNUMBER(AE12),AE12,"")))</f>
        <v>0</v>
      </c>
      <c r="AG12" s="20">
        <f>IF(B12="","",IF(OR(AF12="",S12=""),"",ROUND(AF12-S12,2)))</f>
        <v>0</v>
      </c>
      <c r="AH12" s="20">
        <f>IF(B12="","",IF(AF12="","",ROUND(AF12*AA12+AB12,2)))</f>
        <v>0</v>
      </c>
      <c r="AI12" s="20">
        <f>IF(B12="","",IF(AF12="","",ROUND(AF12-Z12-AH12,2)))</f>
        <v>0</v>
      </c>
      <c r="AJ12" s="33">
        <f>IF(B12="","",IF(OR(AF12="",AF12=0),"",AI12/AF12))</f>
        <v>0</v>
      </c>
      <c r="AK12" s="20">
        <f>IF(B12="","",IF(OR(X12=0,X12="",AI12=""),"",ROUND((AI12+Y12)/(X12/60),2)))</f>
        <v>0</v>
      </c>
      <c r="AL12" s="43">
        <f>IF(B12="","",IF(N12="Not found","Check - no such product ID",IF(AF12="","Check - no price yet",IF(AI12&lt;0,"Loss - this version costs you money",IF(AND(AK12&lt;&gt;"",AK12&lt;MinimumWage),"Below - pays under minimum wage",IF(AND(G12&gt;0,AG12&lt;=0),"Check - extra work, no extra charge",IF(AJ12&lt;MarginWarning,"Low margin - re-price it","OK")))))))</f>
        <v>0</v>
      </c>
    </row>
    <row r="13" spans="1:38">
      <c r="A13" s="38">
        <f>IF(C13="","",VariationPrefix&amp;TEXT(ROW()-4,"0000"))</f>
        <v>0</v>
      </c>
      <c r="N13" s="13">
        <f>IF(B13="","",IFERROR(INDEX(Products!$B$5:$B$304,MATCH(B13,Products!$A$5:$A$304,0)),"Not found"))</f>
        <v>0</v>
      </c>
      <c r="O13" s="20">
        <f>IF(B13="","",IFERROR(INDEX(Products!$T$5:$T$304,MATCH(B13,Products!$A$5:$A$304,0)),""))</f>
        <v>0</v>
      </c>
      <c r="P13" s="20">
        <f>IF(B13="","",IFERROR(INDEX(Products!$Z$5:$Z$304,MATCH(B13,Products!$A$5:$A$304,0)),""))</f>
        <v>0</v>
      </c>
      <c r="Q13" s="20">
        <f>IF(B13="","",IFERROR(INDEX(Products!$AH$5:$AH$304,MATCH(B13,Products!$A$5:$A$304,0))-INDEX(Products!$T$5:$T$304,MATCH(B13,Products!$A$5:$A$304,0))-INDEX(Products!$Z$5:$Z$304,MATCH(B13,Products!$A$5:$A$304,0)),0))</f>
        <v>0</v>
      </c>
      <c r="R13" s="36">
        <f>IF(B13="","",IFERROR(INDEX(Products!$X$5:$X$304,MATCH(B13,Products!$A$5:$A$304,0)),""))</f>
        <v>0</v>
      </c>
      <c r="S13" s="20">
        <f>IF(B13="","",IFERROR(INDEX(Products!$AR$5:$AR$304,MATCH(B13,Products!$A$5:$A$304,0)),""))</f>
        <v>0</v>
      </c>
      <c r="T13" s="41">
        <f>IF(B13="","",IFERROR(INDEX(SizeMaterialFactors,MATCH(E13,SizeNames,0)),1))</f>
        <v>0</v>
      </c>
      <c r="U13" s="41">
        <f>IF(B13="","",IFERROR(INDEX(SizeTimeFactors,MATCH(E13,SizeNames,0)),1))</f>
        <v>0</v>
      </c>
      <c r="V13" s="33">
        <f>IF(B13="","",IFERROR(INDEX(RushFactors,MATCH(H13,RushNames,0)),0))</f>
        <v>0</v>
      </c>
      <c r="W13" s="20">
        <f>IF(B13="","",ROUND(IF(O13="",0,O13)*T13+IF(F13="",0,F13),2))</f>
        <v>0</v>
      </c>
      <c r="X13" s="36">
        <f>IF(B13="","",ROUND(IF(R13="",0,R13)*U13+IF(G13="",0,G13),1))</f>
        <v>0</v>
      </c>
      <c r="Y13" s="20">
        <f>IF(B13="","",ROUND(IF(P13="",0,P13)*U13+IF(G13="",0,G13)/60*LaborCostHour,2))</f>
        <v>0</v>
      </c>
      <c r="Z13" s="20">
        <f>IF(B13="","",ROUND(W13+Y13+IF(Q13="",0,Q13),2))</f>
        <v>0</v>
      </c>
      <c r="AA13" s="33">
        <f>IF(B13="","",IFERROR(INDEX(Channels!$S$5:$S$18,MATCH(IF(J13="",DefaultChannel,J13),Channels!$A$5:$A$18,0)),0))</f>
        <v>0</v>
      </c>
      <c r="AB13" s="20">
        <f>IF(B13="","",IFERROR(INDEX(Channels!$T$5:$T$18,MATCH(IF(J13="",DefaultChannel,J13),Channels!$A$5:$A$18,0)),0))</f>
        <v>0</v>
      </c>
      <c r="AC13" s="41">
        <f>IF(B13="","",1-TargetRetailMargin-AA13)</f>
        <v>0</v>
      </c>
      <c r="AD13" s="20">
        <f>IF(B13="","",IF(AC13&lt;=0,"",((Z13+AB13)/AC13)*(1+V13)+IF(I13="",0,I13)))</f>
        <v>0</v>
      </c>
      <c r="AE13" s="20">
        <f>IF(B13="","",IF(AD13="","Check the settings",ROUND(IF(RoundingRule="None",AD13,IF(RoundingRule="Nearest 0.99",MAX(0.99,CEILING(AD13,1)-0.01),IF(RoundingRule="Nearest 0.95",MAX(0.95,CEILING(AD13,1)-0.05),IF(RoundingRule="Nearest 0.50",CEILING(AD13,0.5),IF(RoundingRule="Nearest 1",CEILING(AD13,1),IF(RoundingRule="Nearest 5",CEILING(AD13,5),IF(RoundingRule="Up to whole 1",CEILING(AD13,1),IF(RoundingRule="Up to whole 5",CEILING(AD13,5),ROUND(AD13,2))))))))),2)))</f>
        <v>0</v>
      </c>
      <c r="AF13" s="20">
        <f>IF(B13="","",IF(K13&lt;&gt;"",K13,IF(ISNUMBER(AE13),AE13,"")))</f>
        <v>0</v>
      </c>
      <c r="AG13" s="20">
        <f>IF(B13="","",IF(OR(AF13="",S13=""),"",ROUND(AF13-S13,2)))</f>
        <v>0</v>
      </c>
      <c r="AH13" s="20">
        <f>IF(B13="","",IF(AF13="","",ROUND(AF13*AA13+AB13,2)))</f>
        <v>0</v>
      </c>
      <c r="AI13" s="20">
        <f>IF(B13="","",IF(AF13="","",ROUND(AF13-Z13-AH13,2)))</f>
        <v>0</v>
      </c>
      <c r="AJ13" s="33">
        <f>IF(B13="","",IF(OR(AF13="",AF13=0),"",AI13/AF13))</f>
        <v>0</v>
      </c>
      <c r="AK13" s="20">
        <f>IF(B13="","",IF(OR(X13=0,X13="",AI13=""),"",ROUND((AI13+Y13)/(X13/60),2)))</f>
        <v>0</v>
      </c>
      <c r="AL13" s="43">
        <f>IF(B13="","",IF(N13="Not found","Check - no such product ID",IF(AF13="","Check - no price yet",IF(AI13&lt;0,"Loss - this version costs you money",IF(AND(AK13&lt;&gt;"",AK13&lt;MinimumWage),"Below - pays under minimum wage",IF(AND(G13&gt;0,AG13&lt;=0),"Check - extra work, no extra charge",IF(AJ13&lt;MarginWarning,"Low margin - re-price it","OK")))))))</f>
        <v>0</v>
      </c>
    </row>
    <row r="14" spans="1:38">
      <c r="A14" s="38">
        <f>IF(C14="","",VariationPrefix&amp;TEXT(ROW()-4,"0000"))</f>
        <v>0</v>
      </c>
      <c r="N14" s="13">
        <f>IF(B14="","",IFERROR(INDEX(Products!$B$5:$B$304,MATCH(B14,Products!$A$5:$A$304,0)),"Not found"))</f>
        <v>0</v>
      </c>
      <c r="O14" s="20">
        <f>IF(B14="","",IFERROR(INDEX(Products!$T$5:$T$304,MATCH(B14,Products!$A$5:$A$304,0)),""))</f>
        <v>0</v>
      </c>
      <c r="P14" s="20">
        <f>IF(B14="","",IFERROR(INDEX(Products!$Z$5:$Z$304,MATCH(B14,Products!$A$5:$A$304,0)),""))</f>
        <v>0</v>
      </c>
      <c r="Q14" s="20">
        <f>IF(B14="","",IFERROR(INDEX(Products!$AH$5:$AH$304,MATCH(B14,Products!$A$5:$A$304,0))-INDEX(Products!$T$5:$T$304,MATCH(B14,Products!$A$5:$A$304,0))-INDEX(Products!$Z$5:$Z$304,MATCH(B14,Products!$A$5:$A$304,0)),0))</f>
        <v>0</v>
      </c>
      <c r="R14" s="36">
        <f>IF(B14="","",IFERROR(INDEX(Products!$X$5:$X$304,MATCH(B14,Products!$A$5:$A$304,0)),""))</f>
        <v>0</v>
      </c>
      <c r="S14" s="20">
        <f>IF(B14="","",IFERROR(INDEX(Products!$AR$5:$AR$304,MATCH(B14,Products!$A$5:$A$304,0)),""))</f>
        <v>0</v>
      </c>
      <c r="T14" s="41">
        <f>IF(B14="","",IFERROR(INDEX(SizeMaterialFactors,MATCH(E14,SizeNames,0)),1))</f>
        <v>0</v>
      </c>
      <c r="U14" s="41">
        <f>IF(B14="","",IFERROR(INDEX(SizeTimeFactors,MATCH(E14,SizeNames,0)),1))</f>
        <v>0</v>
      </c>
      <c r="V14" s="33">
        <f>IF(B14="","",IFERROR(INDEX(RushFactors,MATCH(H14,RushNames,0)),0))</f>
        <v>0</v>
      </c>
      <c r="W14" s="20">
        <f>IF(B14="","",ROUND(IF(O14="",0,O14)*T14+IF(F14="",0,F14),2))</f>
        <v>0</v>
      </c>
      <c r="X14" s="36">
        <f>IF(B14="","",ROUND(IF(R14="",0,R14)*U14+IF(G14="",0,G14),1))</f>
        <v>0</v>
      </c>
      <c r="Y14" s="20">
        <f>IF(B14="","",ROUND(IF(P14="",0,P14)*U14+IF(G14="",0,G14)/60*LaborCostHour,2))</f>
        <v>0</v>
      </c>
      <c r="Z14" s="20">
        <f>IF(B14="","",ROUND(W14+Y14+IF(Q14="",0,Q14),2))</f>
        <v>0</v>
      </c>
      <c r="AA14" s="33">
        <f>IF(B14="","",IFERROR(INDEX(Channels!$S$5:$S$18,MATCH(IF(J14="",DefaultChannel,J14),Channels!$A$5:$A$18,0)),0))</f>
        <v>0</v>
      </c>
      <c r="AB14" s="20">
        <f>IF(B14="","",IFERROR(INDEX(Channels!$T$5:$T$18,MATCH(IF(J14="",DefaultChannel,J14),Channels!$A$5:$A$18,0)),0))</f>
        <v>0</v>
      </c>
      <c r="AC14" s="41">
        <f>IF(B14="","",1-TargetRetailMargin-AA14)</f>
        <v>0</v>
      </c>
      <c r="AD14" s="20">
        <f>IF(B14="","",IF(AC14&lt;=0,"",((Z14+AB14)/AC14)*(1+V14)+IF(I14="",0,I14)))</f>
        <v>0</v>
      </c>
      <c r="AE14" s="20">
        <f>IF(B14="","",IF(AD14="","Check the settings",ROUND(IF(RoundingRule="None",AD14,IF(RoundingRule="Nearest 0.99",MAX(0.99,CEILING(AD14,1)-0.01),IF(RoundingRule="Nearest 0.95",MAX(0.95,CEILING(AD14,1)-0.05),IF(RoundingRule="Nearest 0.50",CEILING(AD14,0.5),IF(RoundingRule="Nearest 1",CEILING(AD14,1),IF(RoundingRule="Nearest 5",CEILING(AD14,5),IF(RoundingRule="Up to whole 1",CEILING(AD14,1),IF(RoundingRule="Up to whole 5",CEILING(AD14,5),ROUND(AD14,2))))))))),2)))</f>
        <v>0</v>
      </c>
      <c r="AF14" s="20">
        <f>IF(B14="","",IF(K14&lt;&gt;"",K14,IF(ISNUMBER(AE14),AE14,"")))</f>
        <v>0</v>
      </c>
      <c r="AG14" s="20">
        <f>IF(B14="","",IF(OR(AF14="",S14=""),"",ROUND(AF14-S14,2)))</f>
        <v>0</v>
      </c>
      <c r="AH14" s="20">
        <f>IF(B14="","",IF(AF14="","",ROUND(AF14*AA14+AB14,2)))</f>
        <v>0</v>
      </c>
      <c r="AI14" s="20">
        <f>IF(B14="","",IF(AF14="","",ROUND(AF14-Z14-AH14,2)))</f>
        <v>0</v>
      </c>
      <c r="AJ14" s="33">
        <f>IF(B14="","",IF(OR(AF14="",AF14=0),"",AI14/AF14))</f>
        <v>0</v>
      </c>
      <c r="AK14" s="20">
        <f>IF(B14="","",IF(OR(X14=0,X14="",AI14=""),"",ROUND((AI14+Y14)/(X14/60),2)))</f>
        <v>0</v>
      </c>
      <c r="AL14" s="43">
        <f>IF(B14="","",IF(N14="Not found","Check - no such product ID",IF(AF14="","Check - no price yet",IF(AI14&lt;0,"Loss - this version costs you money",IF(AND(AK14&lt;&gt;"",AK14&lt;MinimumWage),"Below - pays under minimum wage",IF(AND(G14&gt;0,AG14&lt;=0),"Check - extra work, no extra charge",IF(AJ14&lt;MarginWarning,"Low margin - re-price it","OK")))))))</f>
        <v>0</v>
      </c>
    </row>
    <row r="15" spans="1:38">
      <c r="A15" s="38">
        <f>IF(C15="","",VariationPrefix&amp;TEXT(ROW()-4,"0000"))</f>
        <v>0</v>
      </c>
      <c r="N15" s="13">
        <f>IF(B15="","",IFERROR(INDEX(Products!$B$5:$B$304,MATCH(B15,Products!$A$5:$A$304,0)),"Not found"))</f>
        <v>0</v>
      </c>
      <c r="O15" s="20">
        <f>IF(B15="","",IFERROR(INDEX(Products!$T$5:$T$304,MATCH(B15,Products!$A$5:$A$304,0)),""))</f>
        <v>0</v>
      </c>
      <c r="P15" s="20">
        <f>IF(B15="","",IFERROR(INDEX(Products!$Z$5:$Z$304,MATCH(B15,Products!$A$5:$A$304,0)),""))</f>
        <v>0</v>
      </c>
      <c r="Q15" s="20">
        <f>IF(B15="","",IFERROR(INDEX(Products!$AH$5:$AH$304,MATCH(B15,Products!$A$5:$A$304,0))-INDEX(Products!$T$5:$T$304,MATCH(B15,Products!$A$5:$A$304,0))-INDEX(Products!$Z$5:$Z$304,MATCH(B15,Products!$A$5:$A$304,0)),0))</f>
        <v>0</v>
      </c>
      <c r="R15" s="36">
        <f>IF(B15="","",IFERROR(INDEX(Products!$X$5:$X$304,MATCH(B15,Products!$A$5:$A$304,0)),""))</f>
        <v>0</v>
      </c>
      <c r="S15" s="20">
        <f>IF(B15="","",IFERROR(INDEX(Products!$AR$5:$AR$304,MATCH(B15,Products!$A$5:$A$304,0)),""))</f>
        <v>0</v>
      </c>
      <c r="T15" s="41">
        <f>IF(B15="","",IFERROR(INDEX(SizeMaterialFactors,MATCH(E15,SizeNames,0)),1))</f>
        <v>0</v>
      </c>
      <c r="U15" s="41">
        <f>IF(B15="","",IFERROR(INDEX(SizeTimeFactors,MATCH(E15,SizeNames,0)),1))</f>
        <v>0</v>
      </c>
      <c r="V15" s="33">
        <f>IF(B15="","",IFERROR(INDEX(RushFactors,MATCH(H15,RushNames,0)),0))</f>
        <v>0</v>
      </c>
      <c r="W15" s="20">
        <f>IF(B15="","",ROUND(IF(O15="",0,O15)*T15+IF(F15="",0,F15),2))</f>
        <v>0</v>
      </c>
      <c r="X15" s="36">
        <f>IF(B15="","",ROUND(IF(R15="",0,R15)*U15+IF(G15="",0,G15),1))</f>
        <v>0</v>
      </c>
      <c r="Y15" s="20">
        <f>IF(B15="","",ROUND(IF(P15="",0,P15)*U15+IF(G15="",0,G15)/60*LaborCostHour,2))</f>
        <v>0</v>
      </c>
      <c r="Z15" s="20">
        <f>IF(B15="","",ROUND(W15+Y15+IF(Q15="",0,Q15),2))</f>
        <v>0</v>
      </c>
      <c r="AA15" s="33">
        <f>IF(B15="","",IFERROR(INDEX(Channels!$S$5:$S$18,MATCH(IF(J15="",DefaultChannel,J15),Channels!$A$5:$A$18,0)),0))</f>
        <v>0</v>
      </c>
      <c r="AB15" s="20">
        <f>IF(B15="","",IFERROR(INDEX(Channels!$T$5:$T$18,MATCH(IF(J15="",DefaultChannel,J15),Channels!$A$5:$A$18,0)),0))</f>
        <v>0</v>
      </c>
      <c r="AC15" s="41">
        <f>IF(B15="","",1-TargetRetailMargin-AA15)</f>
        <v>0</v>
      </c>
      <c r="AD15" s="20">
        <f>IF(B15="","",IF(AC15&lt;=0,"",((Z15+AB15)/AC15)*(1+V15)+IF(I15="",0,I15)))</f>
        <v>0</v>
      </c>
      <c r="AE15" s="20">
        <f>IF(B15="","",IF(AD15="","Check the settings",ROUND(IF(RoundingRule="None",AD15,IF(RoundingRule="Nearest 0.99",MAX(0.99,CEILING(AD15,1)-0.01),IF(RoundingRule="Nearest 0.95",MAX(0.95,CEILING(AD15,1)-0.05),IF(RoundingRule="Nearest 0.50",CEILING(AD15,0.5),IF(RoundingRule="Nearest 1",CEILING(AD15,1),IF(RoundingRule="Nearest 5",CEILING(AD15,5),IF(RoundingRule="Up to whole 1",CEILING(AD15,1),IF(RoundingRule="Up to whole 5",CEILING(AD15,5),ROUND(AD15,2))))))))),2)))</f>
        <v>0</v>
      </c>
      <c r="AF15" s="20">
        <f>IF(B15="","",IF(K15&lt;&gt;"",K15,IF(ISNUMBER(AE15),AE15,"")))</f>
        <v>0</v>
      </c>
      <c r="AG15" s="20">
        <f>IF(B15="","",IF(OR(AF15="",S15=""),"",ROUND(AF15-S15,2)))</f>
        <v>0</v>
      </c>
      <c r="AH15" s="20">
        <f>IF(B15="","",IF(AF15="","",ROUND(AF15*AA15+AB15,2)))</f>
        <v>0</v>
      </c>
      <c r="AI15" s="20">
        <f>IF(B15="","",IF(AF15="","",ROUND(AF15-Z15-AH15,2)))</f>
        <v>0</v>
      </c>
      <c r="AJ15" s="33">
        <f>IF(B15="","",IF(OR(AF15="",AF15=0),"",AI15/AF15))</f>
        <v>0</v>
      </c>
      <c r="AK15" s="20">
        <f>IF(B15="","",IF(OR(X15=0,X15="",AI15=""),"",ROUND((AI15+Y15)/(X15/60),2)))</f>
        <v>0</v>
      </c>
      <c r="AL15" s="43">
        <f>IF(B15="","",IF(N15="Not found","Check - no such product ID",IF(AF15="","Check - no price yet",IF(AI15&lt;0,"Loss - this version costs you money",IF(AND(AK15&lt;&gt;"",AK15&lt;MinimumWage),"Below - pays under minimum wage",IF(AND(G15&gt;0,AG15&lt;=0),"Check - extra work, no extra charge",IF(AJ15&lt;MarginWarning,"Low margin - re-price it","OK")))))))</f>
        <v>0</v>
      </c>
    </row>
    <row r="16" spans="1:38">
      <c r="A16" s="38">
        <f>IF(C16="","",VariationPrefix&amp;TEXT(ROW()-4,"0000"))</f>
        <v>0</v>
      </c>
      <c r="N16" s="13">
        <f>IF(B16="","",IFERROR(INDEX(Products!$B$5:$B$304,MATCH(B16,Products!$A$5:$A$304,0)),"Not found"))</f>
        <v>0</v>
      </c>
      <c r="O16" s="20">
        <f>IF(B16="","",IFERROR(INDEX(Products!$T$5:$T$304,MATCH(B16,Products!$A$5:$A$304,0)),""))</f>
        <v>0</v>
      </c>
      <c r="P16" s="20">
        <f>IF(B16="","",IFERROR(INDEX(Products!$Z$5:$Z$304,MATCH(B16,Products!$A$5:$A$304,0)),""))</f>
        <v>0</v>
      </c>
      <c r="Q16" s="20">
        <f>IF(B16="","",IFERROR(INDEX(Products!$AH$5:$AH$304,MATCH(B16,Products!$A$5:$A$304,0))-INDEX(Products!$T$5:$T$304,MATCH(B16,Products!$A$5:$A$304,0))-INDEX(Products!$Z$5:$Z$304,MATCH(B16,Products!$A$5:$A$304,0)),0))</f>
        <v>0</v>
      </c>
      <c r="R16" s="36">
        <f>IF(B16="","",IFERROR(INDEX(Products!$X$5:$X$304,MATCH(B16,Products!$A$5:$A$304,0)),""))</f>
        <v>0</v>
      </c>
      <c r="S16" s="20">
        <f>IF(B16="","",IFERROR(INDEX(Products!$AR$5:$AR$304,MATCH(B16,Products!$A$5:$A$304,0)),""))</f>
        <v>0</v>
      </c>
      <c r="T16" s="41">
        <f>IF(B16="","",IFERROR(INDEX(SizeMaterialFactors,MATCH(E16,SizeNames,0)),1))</f>
        <v>0</v>
      </c>
      <c r="U16" s="41">
        <f>IF(B16="","",IFERROR(INDEX(SizeTimeFactors,MATCH(E16,SizeNames,0)),1))</f>
        <v>0</v>
      </c>
      <c r="V16" s="33">
        <f>IF(B16="","",IFERROR(INDEX(RushFactors,MATCH(H16,RushNames,0)),0))</f>
        <v>0</v>
      </c>
      <c r="W16" s="20">
        <f>IF(B16="","",ROUND(IF(O16="",0,O16)*T16+IF(F16="",0,F16),2))</f>
        <v>0</v>
      </c>
      <c r="X16" s="36">
        <f>IF(B16="","",ROUND(IF(R16="",0,R16)*U16+IF(G16="",0,G16),1))</f>
        <v>0</v>
      </c>
      <c r="Y16" s="20">
        <f>IF(B16="","",ROUND(IF(P16="",0,P16)*U16+IF(G16="",0,G16)/60*LaborCostHour,2))</f>
        <v>0</v>
      </c>
      <c r="Z16" s="20">
        <f>IF(B16="","",ROUND(W16+Y16+IF(Q16="",0,Q16),2))</f>
        <v>0</v>
      </c>
      <c r="AA16" s="33">
        <f>IF(B16="","",IFERROR(INDEX(Channels!$S$5:$S$18,MATCH(IF(J16="",DefaultChannel,J16),Channels!$A$5:$A$18,0)),0))</f>
        <v>0</v>
      </c>
      <c r="AB16" s="20">
        <f>IF(B16="","",IFERROR(INDEX(Channels!$T$5:$T$18,MATCH(IF(J16="",DefaultChannel,J16),Channels!$A$5:$A$18,0)),0))</f>
        <v>0</v>
      </c>
      <c r="AC16" s="41">
        <f>IF(B16="","",1-TargetRetailMargin-AA16)</f>
        <v>0</v>
      </c>
      <c r="AD16" s="20">
        <f>IF(B16="","",IF(AC16&lt;=0,"",((Z16+AB16)/AC16)*(1+V16)+IF(I16="",0,I16)))</f>
        <v>0</v>
      </c>
      <c r="AE16" s="20">
        <f>IF(B16="","",IF(AD16="","Check the settings",ROUND(IF(RoundingRule="None",AD16,IF(RoundingRule="Nearest 0.99",MAX(0.99,CEILING(AD16,1)-0.01),IF(RoundingRule="Nearest 0.95",MAX(0.95,CEILING(AD16,1)-0.05),IF(RoundingRule="Nearest 0.50",CEILING(AD16,0.5),IF(RoundingRule="Nearest 1",CEILING(AD16,1),IF(RoundingRule="Nearest 5",CEILING(AD16,5),IF(RoundingRule="Up to whole 1",CEILING(AD16,1),IF(RoundingRule="Up to whole 5",CEILING(AD16,5),ROUND(AD16,2))))))))),2)))</f>
        <v>0</v>
      </c>
      <c r="AF16" s="20">
        <f>IF(B16="","",IF(K16&lt;&gt;"",K16,IF(ISNUMBER(AE16),AE16,"")))</f>
        <v>0</v>
      </c>
      <c r="AG16" s="20">
        <f>IF(B16="","",IF(OR(AF16="",S16=""),"",ROUND(AF16-S16,2)))</f>
        <v>0</v>
      </c>
      <c r="AH16" s="20">
        <f>IF(B16="","",IF(AF16="","",ROUND(AF16*AA16+AB16,2)))</f>
        <v>0</v>
      </c>
      <c r="AI16" s="20">
        <f>IF(B16="","",IF(AF16="","",ROUND(AF16-Z16-AH16,2)))</f>
        <v>0</v>
      </c>
      <c r="AJ16" s="33">
        <f>IF(B16="","",IF(OR(AF16="",AF16=0),"",AI16/AF16))</f>
        <v>0</v>
      </c>
      <c r="AK16" s="20">
        <f>IF(B16="","",IF(OR(X16=0,X16="",AI16=""),"",ROUND((AI16+Y16)/(X16/60),2)))</f>
        <v>0</v>
      </c>
      <c r="AL16" s="43">
        <f>IF(B16="","",IF(N16="Not found","Check - no such product ID",IF(AF16="","Check - no price yet",IF(AI16&lt;0,"Loss - this version costs you money",IF(AND(AK16&lt;&gt;"",AK16&lt;MinimumWage),"Below - pays under minimum wage",IF(AND(G16&gt;0,AG16&lt;=0),"Check - extra work, no extra charge",IF(AJ16&lt;MarginWarning,"Low margin - re-price it","OK")))))))</f>
        <v>0</v>
      </c>
    </row>
    <row r="17" spans="1:38">
      <c r="A17" s="38">
        <f>IF(C17="","",VariationPrefix&amp;TEXT(ROW()-4,"0000"))</f>
        <v>0</v>
      </c>
      <c r="N17" s="13">
        <f>IF(B17="","",IFERROR(INDEX(Products!$B$5:$B$304,MATCH(B17,Products!$A$5:$A$304,0)),"Not found"))</f>
        <v>0</v>
      </c>
      <c r="O17" s="20">
        <f>IF(B17="","",IFERROR(INDEX(Products!$T$5:$T$304,MATCH(B17,Products!$A$5:$A$304,0)),""))</f>
        <v>0</v>
      </c>
      <c r="P17" s="20">
        <f>IF(B17="","",IFERROR(INDEX(Products!$Z$5:$Z$304,MATCH(B17,Products!$A$5:$A$304,0)),""))</f>
        <v>0</v>
      </c>
      <c r="Q17" s="20">
        <f>IF(B17="","",IFERROR(INDEX(Products!$AH$5:$AH$304,MATCH(B17,Products!$A$5:$A$304,0))-INDEX(Products!$T$5:$T$304,MATCH(B17,Products!$A$5:$A$304,0))-INDEX(Products!$Z$5:$Z$304,MATCH(B17,Products!$A$5:$A$304,0)),0))</f>
        <v>0</v>
      </c>
      <c r="R17" s="36">
        <f>IF(B17="","",IFERROR(INDEX(Products!$X$5:$X$304,MATCH(B17,Products!$A$5:$A$304,0)),""))</f>
        <v>0</v>
      </c>
      <c r="S17" s="20">
        <f>IF(B17="","",IFERROR(INDEX(Products!$AR$5:$AR$304,MATCH(B17,Products!$A$5:$A$304,0)),""))</f>
        <v>0</v>
      </c>
      <c r="T17" s="41">
        <f>IF(B17="","",IFERROR(INDEX(SizeMaterialFactors,MATCH(E17,SizeNames,0)),1))</f>
        <v>0</v>
      </c>
      <c r="U17" s="41">
        <f>IF(B17="","",IFERROR(INDEX(SizeTimeFactors,MATCH(E17,SizeNames,0)),1))</f>
        <v>0</v>
      </c>
      <c r="V17" s="33">
        <f>IF(B17="","",IFERROR(INDEX(RushFactors,MATCH(H17,RushNames,0)),0))</f>
        <v>0</v>
      </c>
      <c r="W17" s="20">
        <f>IF(B17="","",ROUND(IF(O17="",0,O17)*T17+IF(F17="",0,F17),2))</f>
        <v>0</v>
      </c>
      <c r="X17" s="36">
        <f>IF(B17="","",ROUND(IF(R17="",0,R17)*U17+IF(G17="",0,G17),1))</f>
        <v>0</v>
      </c>
      <c r="Y17" s="20">
        <f>IF(B17="","",ROUND(IF(P17="",0,P17)*U17+IF(G17="",0,G17)/60*LaborCostHour,2))</f>
        <v>0</v>
      </c>
      <c r="Z17" s="20">
        <f>IF(B17="","",ROUND(W17+Y17+IF(Q17="",0,Q17),2))</f>
        <v>0</v>
      </c>
      <c r="AA17" s="33">
        <f>IF(B17="","",IFERROR(INDEX(Channels!$S$5:$S$18,MATCH(IF(J17="",DefaultChannel,J17),Channels!$A$5:$A$18,0)),0))</f>
        <v>0</v>
      </c>
      <c r="AB17" s="20">
        <f>IF(B17="","",IFERROR(INDEX(Channels!$T$5:$T$18,MATCH(IF(J17="",DefaultChannel,J17),Channels!$A$5:$A$18,0)),0))</f>
        <v>0</v>
      </c>
      <c r="AC17" s="41">
        <f>IF(B17="","",1-TargetRetailMargin-AA17)</f>
        <v>0</v>
      </c>
      <c r="AD17" s="20">
        <f>IF(B17="","",IF(AC17&lt;=0,"",((Z17+AB17)/AC17)*(1+V17)+IF(I17="",0,I17)))</f>
        <v>0</v>
      </c>
      <c r="AE17" s="20">
        <f>IF(B17="","",IF(AD17="","Check the settings",ROUND(IF(RoundingRule="None",AD17,IF(RoundingRule="Nearest 0.99",MAX(0.99,CEILING(AD17,1)-0.01),IF(RoundingRule="Nearest 0.95",MAX(0.95,CEILING(AD17,1)-0.05),IF(RoundingRule="Nearest 0.50",CEILING(AD17,0.5),IF(RoundingRule="Nearest 1",CEILING(AD17,1),IF(RoundingRule="Nearest 5",CEILING(AD17,5),IF(RoundingRule="Up to whole 1",CEILING(AD17,1),IF(RoundingRule="Up to whole 5",CEILING(AD17,5),ROUND(AD17,2))))))))),2)))</f>
        <v>0</v>
      </c>
      <c r="AF17" s="20">
        <f>IF(B17="","",IF(K17&lt;&gt;"",K17,IF(ISNUMBER(AE17),AE17,"")))</f>
        <v>0</v>
      </c>
      <c r="AG17" s="20">
        <f>IF(B17="","",IF(OR(AF17="",S17=""),"",ROUND(AF17-S17,2)))</f>
        <v>0</v>
      </c>
      <c r="AH17" s="20">
        <f>IF(B17="","",IF(AF17="","",ROUND(AF17*AA17+AB17,2)))</f>
        <v>0</v>
      </c>
      <c r="AI17" s="20">
        <f>IF(B17="","",IF(AF17="","",ROUND(AF17-Z17-AH17,2)))</f>
        <v>0</v>
      </c>
      <c r="AJ17" s="33">
        <f>IF(B17="","",IF(OR(AF17="",AF17=0),"",AI17/AF17))</f>
        <v>0</v>
      </c>
      <c r="AK17" s="20">
        <f>IF(B17="","",IF(OR(X17=0,X17="",AI17=""),"",ROUND((AI17+Y17)/(X17/60),2)))</f>
        <v>0</v>
      </c>
      <c r="AL17" s="43">
        <f>IF(B17="","",IF(N17="Not found","Check - no such product ID",IF(AF17="","Check - no price yet",IF(AI17&lt;0,"Loss - this version costs you money",IF(AND(AK17&lt;&gt;"",AK17&lt;MinimumWage),"Below - pays under minimum wage",IF(AND(G17&gt;0,AG17&lt;=0),"Check - extra work, no extra charge",IF(AJ17&lt;MarginWarning,"Low margin - re-price it","OK")))))))</f>
        <v>0</v>
      </c>
    </row>
    <row r="18" spans="1:38">
      <c r="A18" s="38">
        <f>IF(C18="","",VariationPrefix&amp;TEXT(ROW()-4,"0000"))</f>
        <v>0</v>
      </c>
      <c r="N18" s="13">
        <f>IF(B18="","",IFERROR(INDEX(Products!$B$5:$B$304,MATCH(B18,Products!$A$5:$A$304,0)),"Not found"))</f>
        <v>0</v>
      </c>
      <c r="O18" s="20">
        <f>IF(B18="","",IFERROR(INDEX(Products!$T$5:$T$304,MATCH(B18,Products!$A$5:$A$304,0)),""))</f>
        <v>0</v>
      </c>
      <c r="P18" s="20">
        <f>IF(B18="","",IFERROR(INDEX(Products!$Z$5:$Z$304,MATCH(B18,Products!$A$5:$A$304,0)),""))</f>
        <v>0</v>
      </c>
      <c r="Q18" s="20">
        <f>IF(B18="","",IFERROR(INDEX(Products!$AH$5:$AH$304,MATCH(B18,Products!$A$5:$A$304,0))-INDEX(Products!$T$5:$T$304,MATCH(B18,Products!$A$5:$A$304,0))-INDEX(Products!$Z$5:$Z$304,MATCH(B18,Products!$A$5:$A$304,0)),0))</f>
        <v>0</v>
      </c>
      <c r="R18" s="36">
        <f>IF(B18="","",IFERROR(INDEX(Products!$X$5:$X$304,MATCH(B18,Products!$A$5:$A$304,0)),""))</f>
        <v>0</v>
      </c>
      <c r="S18" s="20">
        <f>IF(B18="","",IFERROR(INDEX(Products!$AR$5:$AR$304,MATCH(B18,Products!$A$5:$A$304,0)),""))</f>
        <v>0</v>
      </c>
      <c r="T18" s="41">
        <f>IF(B18="","",IFERROR(INDEX(SizeMaterialFactors,MATCH(E18,SizeNames,0)),1))</f>
        <v>0</v>
      </c>
      <c r="U18" s="41">
        <f>IF(B18="","",IFERROR(INDEX(SizeTimeFactors,MATCH(E18,SizeNames,0)),1))</f>
        <v>0</v>
      </c>
      <c r="V18" s="33">
        <f>IF(B18="","",IFERROR(INDEX(RushFactors,MATCH(H18,RushNames,0)),0))</f>
        <v>0</v>
      </c>
      <c r="W18" s="20">
        <f>IF(B18="","",ROUND(IF(O18="",0,O18)*T18+IF(F18="",0,F18),2))</f>
        <v>0</v>
      </c>
      <c r="X18" s="36">
        <f>IF(B18="","",ROUND(IF(R18="",0,R18)*U18+IF(G18="",0,G18),1))</f>
        <v>0</v>
      </c>
      <c r="Y18" s="20">
        <f>IF(B18="","",ROUND(IF(P18="",0,P18)*U18+IF(G18="",0,G18)/60*LaborCostHour,2))</f>
        <v>0</v>
      </c>
      <c r="Z18" s="20">
        <f>IF(B18="","",ROUND(W18+Y18+IF(Q18="",0,Q18),2))</f>
        <v>0</v>
      </c>
      <c r="AA18" s="33">
        <f>IF(B18="","",IFERROR(INDEX(Channels!$S$5:$S$18,MATCH(IF(J18="",DefaultChannel,J18),Channels!$A$5:$A$18,0)),0))</f>
        <v>0</v>
      </c>
      <c r="AB18" s="20">
        <f>IF(B18="","",IFERROR(INDEX(Channels!$T$5:$T$18,MATCH(IF(J18="",DefaultChannel,J18),Channels!$A$5:$A$18,0)),0))</f>
        <v>0</v>
      </c>
      <c r="AC18" s="41">
        <f>IF(B18="","",1-TargetRetailMargin-AA18)</f>
        <v>0</v>
      </c>
      <c r="AD18" s="20">
        <f>IF(B18="","",IF(AC18&lt;=0,"",((Z18+AB18)/AC18)*(1+V18)+IF(I18="",0,I18)))</f>
        <v>0</v>
      </c>
      <c r="AE18" s="20">
        <f>IF(B18="","",IF(AD18="","Check the settings",ROUND(IF(RoundingRule="None",AD18,IF(RoundingRule="Nearest 0.99",MAX(0.99,CEILING(AD18,1)-0.01),IF(RoundingRule="Nearest 0.95",MAX(0.95,CEILING(AD18,1)-0.05),IF(RoundingRule="Nearest 0.50",CEILING(AD18,0.5),IF(RoundingRule="Nearest 1",CEILING(AD18,1),IF(RoundingRule="Nearest 5",CEILING(AD18,5),IF(RoundingRule="Up to whole 1",CEILING(AD18,1),IF(RoundingRule="Up to whole 5",CEILING(AD18,5),ROUND(AD18,2))))))))),2)))</f>
        <v>0</v>
      </c>
      <c r="AF18" s="20">
        <f>IF(B18="","",IF(K18&lt;&gt;"",K18,IF(ISNUMBER(AE18),AE18,"")))</f>
        <v>0</v>
      </c>
      <c r="AG18" s="20">
        <f>IF(B18="","",IF(OR(AF18="",S18=""),"",ROUND(AF18-S18,2)))</f>
        <v>0</v>
      </c>
      <c r="AH18" s="20">
        <f>IF(B18="","",IF(AF18="","",ROUND(AF18*AA18+AB18,2)))</f>
        <v>0</v>
      </c>
      <c r="AI18" s="20">
        <f>IF(B18="","",IF(AF18="","",ROUND(AF18-Z18-AH18,2)))</f>
        <v>0</v>
      </c>
      <c r="AJ18" s="33">
        <f>IF(B18="","",IF(OR(AF18="",AF18=0),"",AI18/AF18))</f>
        <v>0</v>
      </c>
      <c r="AK18" s="20">
        <f>IF(B18="","",IF(OR(X18=0,X18="",AI18=""),"",ROUND((AI18+Y18)/(X18/60),2)))</f>
        <v>0</v>
      </c>
      <c r="AL18" s="43">
        <f>IF(B18="","",IF(N18="Not found","Check - no such product ID",IF(AF18="","Check - no price yet",IF(AI18&lt;0,"Loss - this version costs you money",IF(AND(AK18&lt;&gt;"",AK18&lt;MinimumWage),"Below - pays under minimum wage",IF(AND(G18&gt;0,AG18&lt;=0),"Check - extra work, no extra charge",IF(AJ18&lt;MarginWarning,"Low margin - re-price it","OK")))))))</f>
        <v>0</v>
      </c>
    </row>
    <row r="19" spans="1:38">
      <c r="A19" s="38">
        <f>IF(C19="","",VariationPrefix&amp;TEXT(ROW()-4,"0000"))</f>
        <v>0</v>
      </c>
      <c r="N19" s="13">
        <f>IF(B19="","",IFERROR(INDEX(Products!$B$5:$B$304,MATCH(B19,Products!$A$5:$A$304,0)),"Not found"))</f>
        <v>0</v>
      </c>
      <c r="O19" s="20">
        <f>IF(B19="","",IFERROR(INDEX(Products!$T$5:$T$304,MATCH(B19,Products!$A$5:$A$304,0)),""))</f>
        <v>0</v>
      </c>
      <c r="P19" s="20">
        <f>IF(B19="","",IFERROR(INDEX(Products!$Z$5:$Z$304,MATCH(B19,Products!$A$5:$A$304,0)),""))</f>
        <v>0</v>
      </c>
      <c r="Q19" s="20">
        <f>IF(B19="","",IFERROR(INDEX(Products!$AH$5:$AH$304,MATCH(B19,Products!$A$5:$A$304,0))-INDEX(Products!$T$5:$T$304,MATCH(B19,Products!$A$5:$A$304,0))-INDEX(Products!$Z$5:$Z$304,MATCH(B19,Products!$A$5:$A$304,0)),0))</f>
        <v>0</v>
      </c>
      <c r="R19" s="36">
        <f>IF(B19="","",IFERROR(INDEX(Products!$X$5:$X$304,MATCH(B19,Products!$A$5:$A$304,0)),""))</f>
        <v>0</v>
      </c>
      <c r="S19" s="20">
        <f>IF(B19="","",IFERROR(INDEX(Products!$AR$5:$AR$304,MATCH(B19,Products!$A$5:$A$304,0)),""))</f>
        <v>0</v>
      </c>
      <c r="T19" s="41">
        <f>IF(B19="","",IFERROR(INDEX(SizeMaterialFactors,MATCH(E19,SizeNames,0)),1))</f>
        <v>0</v>
      </c>
      <c r="U19" s="41">
        <f>IF(B19="","",IFERROR(INDEX(SizeTimeFactors,MATCH(E19,SizeNames,0)),1))</f>
        <v>0</v>
      </c>
      <c r="V19" s="33">
        <f>IF(B19="","",IFERROR(INDEX(RushFactors,MATCH(H19,RushNames,0)),0))</f>
        <v>0</v>
      </c>
      <c r="W19" s="20">
        <f>IF(B19="","",ROUND(IF(O19="",0,O19)*T19+IF(F19="",0,F19),2))</f>
        <v>0</v>
      </c>
      <c r="X19" s="36">
        <f>IF(B19="","",ROUND(IF(R19="",0,R19)*U19+IF(G19="",0,G19),1))</f>
        <v>0</v>
      </c>
      <c r="Y19" s="20">
        <f>IF(B19="","",ROUND(IF(P19="",0,P19)*U19+IF(G19="",0,G19)/60*LaborCostHour,2))</f>
        <v>0</v>
      </c>
      <c r="Z19" s="20">
        <f>IF(B19="","",ROUND(W19+Y19+IF(Q19="",0,Q19),2))</f>
        <v>0</v>
      </c>
      <c r="AA19" s="33">
        <f>IF(B19="","",IFERROR(INDEX(Channels!$S$5:$S$18,MATCH(IF(J19="",DefaultChannel,J19),Channels!$A$5:$A$18,0)),0))</f>
        <v>0</v>
      </c>
      <c r="AB19" s="20">
        <f>IF(B19="","",IFERROR(INDEX(Channels!$T$5:$T$18,MATCH(IF(J19="",DefaultChannel,J19),Channels!$A$5:$A$18,0)),0))</f>
        <v>0</v>
      </c>
      <c r="AC19" s="41">
        <f>IF(B19="","",1-TargetRetailMargin-AA19)</f>
        <v>0</v>
      </c>
      <c r="AD19" s="20">
        <f>IF(B19="","",IF(AC19&lt;=0,"",((Z19+AB19)/AC19)*(1+V19)+IF(I19="",0,I19)))</f>
        <v>0</v>
      </c>
      <c r="AE19" s="20">
        <f>IF(B19="","",IF(AD19="","Check the settings",ROUND(IF(RoundingRule="None",AD19,IF(RoundingRule="Nearest 0.99",MAX(0.99,CEILING(AD19,1)-0.01),IF(RoundingRule="Nearest 0.95",MAX(0.95,CEILING(AD19,1)-0.05),IF(RoundingRule="Nearest 0.50",CEILING(AD19,0.5),IF(RoundingRule="Nearest 1",CEILING(AD19,1),IF(RoundingRule="Nearest 5",CEILING(AD19,5),IF(RoundingRule="Up to whole 1",CEILING(AD19,1),IF(RoundingRule="Up to whole 5",CEILING(AD19,5),ROUND(AD19,2))))))))),2)))</f>
        <v>0</v>
      </c>
      <c r="AF19" s="20">
        <f>IF(B19="","",IF(K19&lt;&gt;"",K19,IF(ISNUMBER(AE19),AE19,"")))</f>
        <v>0</v>
      </c>
      <c r="AG19" s="20">
        <f>IF(B19="","",IF(OR(AF19="",S19=""),"",ROUND(AF19-S19,2)))</f>
        <v>0</v>
      </c>
      <c r="AH19" s="20">
        <f>IF(B19="","",IF(AF19="","",ROUND(AF19*AA19+AB19,2)))</f>
        <v>0</v>
      </c>
      <c r="AI19" s="20">
        <f>IF(B19="","",IF(AF19="","",ROUND(AF19-Z19-AH19,2)))</f>
        <v>0</v>
      </c>
      <c r="AJ19" s="33">
        <f>IF(B19="","",IF(OR(AF19="",AF19=0),"",AI19/AF19))</f>
        <v>0</v>
      </c>
      <c r="AK19" s="20">
        <f>IF(B19="","",IF(OR(X19=0,X19="",AI19=""),"",ROUND((AI19+Y19)/(X19/60),2)))</f>
        <v>0</v>
      </c>
      <c r="AL19" s="43">
        <f>IF(B19="","",IF(N19="Not found","Check - no such product ID",IF(AF19="","Check - no price yet",IF(AI19&lt;0,"Loss - this version costs you money",IF(AND(AK19&lt;&gt;"",AK19&lt;MinimumWage),"Below - pays under minimum wage",IF(AND(G19&gt;0,AG19&lt;=0),"Check - extra work, no extra charge",IF(AJ19&lt;MarginWarning,"Low margin - re-price it","OK")))))))</f>
        <v>0</v>
      </c>
    </row>
    <row r="20" spans="1:38">
      <c r="A20" s="38">
        <f>IF(C20="","",VariationPrefix&amp;TEXT(ROW()-4,"0000"))</f>
        <v>0</v>
      </c>
      <c r="N20" s="13">
        <f>IF(B20="","",IFERROR(INDEX(Products!$B$5:$B$304,MATCH(B20,Products!$A$5:$A$304,0)),"Not found"))</f>
        <v>0</v>
      </c>
      <c r="O20" s="20">
        <f>IF(B20="","",IFERROR(INDEX(Products!$T$5:$T$304,MATCH(B20,Products!$A$5:$A$304,0)),""))</f>
        <v>0</v>
      </c>
      <c r="P20" s="20">
        <f>IF(B20="","",IFERROR(INDEX(Products!$Z$5:$Z$304,MATCH(B20,Products!$A$5:$A$304,0)),""))</f>
        <v>0</v>
      </c>
      <c r="Q20" s="20">
        <f>IF(B20="","",IFERROR(INDEX(Products!$AH$5:$AH$304,MATCH(B20,Products!$A$5:$A$304,0))-INDEX(Products!$T$5:$T$304,MATCH(B20,Products!$A$5:$A$304,0))-INDEX(Products!$Z$5:$Z$304,MATCH(B20,Products!$A$5:$A$304,0)),0))</f>
        <v>0</v>
      </c>
      <c r="R20" s="36">
        <f>IF(B20="","",IFERROR(INDEX(Products!$X$5:$X$304,MATCH(B20,Products!$A$5:$A$304,0)),""))</f>
        <v>0</v>
      </c>
      <c r="S20" s="20">
        <f>IF(B20="","",IFERROR(INDEX(Products!$AR$5:$AR$304,MATCH(B20,Products!$A$5:$A$304,0)),""))</f>
        <v>0</v>
      </c>
      <c r="T20" s="41">
        <f>IF(B20="","",IFERROR(INDEX(SizeMaterialFactors,MATCH(E20,SizeNames,0)),1))</f>
        <v>0</v>
      </c>
      <c r="U20" s="41">
        <f>IF(B20="","",IFERROR(INDEX(SizeTimeFactors,MATCH(E20,SizeNames,0)),1))</f>
        <v>0</v>
      </c>
      <c r="V20" s="33">
        <f>IF(B20="","",IFERROR(INDEX(RushFactors,MATCH(H20,RushNames,0)),0))</f>
        <v>0</v>
      </c>
      <c r="W20" s="20">
        <f>IF(B20="","",ROUND(IF(O20="",0,O20)*T20+IF(F20="",0,F20),2))</f>
        <v>0</v>
      </c>
      <c r="X20" s="36">
        <f>IF(B20="","",ROUND(IF(R20="",0,R20)*U20+IF(G20="",0,G20),1))</f>
        <v>0</v>
      </c>
      <c r="Y20" s="20">
        <f>IF(B20="","",ROUND(IF(P20="",0,P20)*U20+IF(G20="",0,G20)/60*LaborCostHour,2))</f>
        <v>0</v>
      </c>
      <c r="Z20" s="20">
        <f>IF(B20="","",ROUND(W20+Y20+IF(Q20="",0,Q20),2))</f>
        <v>0</v>
      </c>
      <c r="AA20" s="33">
        <f>IF(B20="","",IFERROR(INDEX(Channels!$S$5:$S$18,MATCH(IF(J20="",DefaultChannel,J20),Channels!$A$5:$A$18,0)),0))</f>
        <v>0</v>
      </c>
      <c r="AB20" s="20">
        <f>IF(B20="","",IFERROR(INDEX(Channels!$T$5:$T$18,MATCH(IF(J20="",DefaultChannel,J20),Channels!$A$5:$A$18,0)),0))</f>
        <v>0</v>
      </c>
      <c r="AC20" s="41">
        <f>IF(B20="","",1-TargetRetailMargin-AA20)</f>
        <v>0</v>
      </c>
      <c r="AD20" s="20">
        <f>IF(B20="","",IF(AC20&lt;=0,"",((Z20+AB20)/AC20)*(1+V20)+IF(I20="",0,I20)))</f>
        <v>0</v>
      </c>
      <c r="AE20" s="20">
        <f>IF(B20="","",IF(AD20="","Check the settings",ROUND(IF(RoundingRule="None",AD20,IF(RoundingRule="Nearest 0.99",MAX(0.99,CEILING(AD20,1)-0.01),IF(RoundingRule="Nearest 0.95",MAX(0.95,CEILING(AD20,1)-0.05),IF(RoundingRule="Nearest 0.50",CEILING(AD20,0.5),IF(RoundingRule="Nearest 1",CEILING(AD20,1),IF(RoundingRule="Nearest 5",CEILING(AD20,5),IF(RoundingRule="Up to whole 1",CEILING(AD20,1),IF(RoundingRule="Up to whole 5",CEILING(AD20,5),ROUND(AD20,2))))))))),2)))</f>
        <v>0</v>
      </c>
      <c r="AF20" s="20">
        <f>IF(B20="","",IF(K20&lt;&gt;"",K20,IF(ISNUMBER(AE20),AE20,"")))</f>
        <v>0</v>
      </c>
      <c r="AG20" s="20">
        <f>IF(B20="","",IF(OR(AF20="",S20=""),"",ROUND(AF20-S20,2)))</f>
        <v>0</v>
      </c>
      <c r="AH20" s="20">
        <f>IF(B20="","",IF(AF20="","",ROUND(AF20*AA20+AB20,2)))</f>
        <v>0</v>
      </c>
      <c r="AI20" s="20">
        <f>IF(B20="","",IF(AF20="","",ROUND(AF20-Z20-AH20,2)))</f>
        <v>0</v>
      </c>
      <c r="AJ20" s="33">
        <f>IF(B20="","",IF(OR(AF20="",AF20=0),"",AI20/AF20))</f>
        <v>0</v>
      </c>
      <c r="AK20" s="20">
        <f>IF(B20="","",IF(OR(X20=0,X20="",AI20=""),"",ROUND((AI20+Y20)/(X20/60),2)))</f>
        <v>0</v>
      </c>
      <c r="AL20" s="43">
        <f>IF(B20="","",IF(N20="Not found","Check - no such product ID",IF(AF20="","Check - no price yet",IF(AI20&lt;0,"Loss - this version costs you money",IF(AND(AK20&lt;&gt;"",AK20&lt;MinimumWage),"Below - pays under minimum wage",IF(AND(G20&gt;0,AG20&lt;=0),"Check - extra work, no extra charge",IF(AJ20&lt;MarginWarning,"Low margin - re-price it","OK")))))))</f>
        <v>0</v>
      </c>
    </row>
    <row r="21" spans="1:38">
      <c r="A21" s="38">
        <f>IF(C21="","",VariationPrefix&amp;TEXT(ROW()-4,"0000"))</f>
        <v>0</v>
      </c>
      <c r="N21" s="13">
        <f>IF(B21="","",IFERROR(INDEX(Products!$B$5:$B$304,MATCH(B21,Products!$A$5:$A$304,0)),"Not found"))</f>
        <v>0</v>
      </c>
      <c r="O21" s="20">
        <f>IF(B21="","",IFERROR(INDEX(Products!$T$5:$T$304,MATCH(B21,Products!$A$5:$A$304,0)),""))</f>
        <v>0</v>
      </c>
      <c r="P21" s="20">
        <f>IF(B21="","",IFERROR(INDEX(Products!$Z$5:$Z$304,MATCH(B21,Products!$A$5:$A$304,0)),""))</f>
        <v>0</v>
      </c>
      <c r="Q21" s="20">
        <f>IF(B21="","",IFERROR(INDEX(Products!$AH$5:$AH$304,MATCH(B21,Products!$A$5:$A$304,0))-INDEX(Products!$T$5:$T$304,MATCH(B21,Products!$A$5:$A$304,0))-INDEX(Products!$Z$5:$Z$304,MATCH(B21,Products!$A$5:$A$304,0)),0))</f>
        <v>0</v>
      </c>
      <c r="R21" s="36">
        <f>IF(B21="","",IFERROR(INDEX(Products!$X$5:$X$304,MATCH(B21,Products!$A$5:$A$304,0)),""))</f>
        <v>0</v>
      </c>
      <c r="S21" s="20">
        <f>IF(B21="","",IFERROR(INDEX(Products!$AR$5:$AR$304,MATCH(B21,Products!$A$5:$A$304,0)),""))</f>
        <v>0</v>
      </c>
      <c r="T21" s="41">
        <f>IF(B21="","",IFERROR(INDEX(SizeMaterialFactors,MATCH(E21,SizeNames,0)),1))</f>
        <v>0</v>
      </c>
      <c r="U21" s="41">
        <f>IF(B21="","",IFERROR(INDEX(SizeTimeFactors,MATCH(E21,SizeNames,0)),1))</f>
        <v>0</v>
      </c>
      <c r="V21" s="33">
        <f>IF(B21="","",IFERROR(INDEX(RushFactors,MATCH(H21,RushNames,0)),0))</f>
        <v>0</v>
      </c>
      <c r="W21" s="20">
        <f>IF(B21="","",ROUND(IF(O21="",0,O21)*T21+IF(F21="",0,F21),2))</f>
        <v>0</v>
      </c>
      <c r="X21" s="36">
        <f>IF(B21="","",ROUND(IF(R21="",0,R21)*U21+IF(G21="",0,G21),1))</f>
        <v>0</v>
      </c>
      <c r="Y21" s="20">
        <f>IF(B21="","",ROUND(IF(P21="",0,P21)*U21+IF(G21="",0,G21)/60*LaborCostHour,2))</f>
        <v>0</v>
      </c>
      <c r="Z21" s="20">
        <f>IF(B21="","",ROUND(W21+Y21+IF(Q21="",0,Q21),2))</f>
        <v>0</v>
      </c>
      <c r="AA21" s="33">
        <f>IF(B21="","",IFERROR(INDEX(Channels!$S$5:$S$18,MATCH(IF(J21="",DefaultChannel,J21),Channels!$A$5:$A$18,0)),0))</f>
        <v>0</v>
      </c>
      <c r="AB21" s="20">
        <f>IF(B21="","",IFERROR(INDEX(Channels!$T$5:$T$18,MATCH(IF(J21="",DefaultChannel,J21),Channels!$A$5:$A$18,0)),0))</f>
        <v>0</v>
      </c>
      <c r="AC21" s="41">
        <f>IF(B21="","",1-TargetRetailMargin-AA21)</f>
        <v>0</v>
      </c>
      <c r="AD21" s="20">
        <f>IF(B21="","",IF(AC21&lt;=0,"",((Z21+AB21)/AC21)*(1+V21)+IF(I21="",0,I21)))</f>
        <v>0</v>
      </c>
      <c r="AE21" s="20">
        <f>IF(B21="","",IF(AD21="","Check the settings",ROUND(IF(RoundingRule="None",AD21,IF(RoundingRule="Nearest 0.99",MAX(0.99,CEILING(AD21,1)-0.01),IF(RoundingRule="Nearest 0.95",MAX(0.95,CEILING(AD21,1)-0.05),IF(RoundingRule="Nearest 0.50",CEILING(AD21,0.5),IF(RoundingRule="Nearest 1",CEILING(AD21,1),IF(RoundingRule="Nearest 5",CEILING(AD21,5),IF(RoundingRule="Up to whole 1",CEILING(AD21,1),IF(RoundingRule="Up to whole 5",CEILING(AD21,5),ROUND(AD21,2))))))))),2)))</f>
        <v>0</v>
      </c>
      <c r="AF21" s="20">
        <f>IF(B21="","",IF(K21&lt;&gt;"",K21,IF(ISNUMBER(AE21),AE21,"")))</f>
        <v>0</v>
      </c>
      <c r="AG21" s="20">
        <f>IF(B21="","",IF(OR(AF21="",S21=""),"",ROUND(AF21-S21,2)))</f>
        <v>0</v>
      </c>
      <c r="AH21" s="20">
        <f>IF(B21="","",IF(AF21="","",ROUND(AF21*AA21+AB21,2)))</f>
        <v>0</v>
      </c>
      <c r="AI21" s="20">
        <f>IF(B21="","",IF(AF21="","",ROUND(AF21-Z21-AH21,2)))</f>
        <v>0</v>
      </c>
      <c r="AJ21" s="33">
        <f>IF(B21="","",IF(OR(AF21="",AF21=0),"",AI21/AF21))</f>
        <v>0</v>
      </c>
      <c r="AK21" s="20">
        <f>IF(B21="","",IF(OR(X21=0,X21="",AI21=""),"",ROUND((AI21+Y21)/(X21/60),2)))</f>
        <v>0</v>
      </c>
      <c r="AL21" s="43">
        <f>IF(B21="","",IF(N21="Not found","Check - no such product ID",IF(AF21="","Check - no price yet",IF(AI21&lt;0,"Loss - this version costs you money",IF(AND(AK21&lt;&gt;"",AK21&lt;MinimumWage),"Below - pays under minimum wage",IF(AND(G21&gt;0,AG21&lt;=0),"Check - extra work, no extra charge",IF(AJ21&lt;MarginWarning,"Low margin - re-price it","OK")))))))</f>
        <v>0</v>
      </c>
    </row>
    <row r="22" spans="1:38">
      <c r="A22" s="38">
        <f>IF(C22="","",VariationPrefix&amp;TEXT(ROW()-4,"0000"))</f>
        <v>0</v>
      </c>
      <c r="N22" s="13">
        <f>IF(B22="","",IFERROR(INDEX(Products!$B$5:$B$304,MATCH(B22,Products!$A$5:$A$304,0)),"Not found"))</f>
        <v>0</v>
      </c>
      <c r="O22" s="20">
        <f>IF(B22="","",IFERROR(INDEX(Products!$T$5:$T$304,MATCH(B22,Products!$A$5:$A$304,0)),""))</f>
        <v>0</v>
      </c>
      <c r="P22" s="20">
        <f>IF(B22="","",IFERROR(INDEX(Products!$Z$5:$Z$304,MATCH(B22,Products!$A$5:$A$304,0)),""))</f>
        <v>0</v>
      </c>
      <c r="Q22" s="20">
        <f>IF(B22="","",IFERROR(INDEX(Products!$AH$5:$AH$304,MATCH(B22,Products!$A$5:$A$304,0))-INDEX(Products!$T$5:$T$304,MATCH(B22,Products!$A$5:$A$304,0))-INDEX(Products!$Z$5:$Z$304,MATCH(B22,Products!$A$5:$A$304,0)),0))</f>
        <v>0</v>
      </c>
      <c r="R22" s="36">
        <f>IF(B22="","",IFERROR(INDEX(Products!$X$5:$X$304,MATCH(B22,Products!$A$5:$A$304,0)),""))</f>
        <v>0</v>
      </c>
      <c r="S22" s="20">
        <f>IF(B22="","",IFERROR(INDEX(Products!$AR$5:$AR$304,MATCH(B22,Products!$A$5:$A$304,0)),""))</f>
        <v>0</v>
      </c>
      <c r="T22" s="41">
        <f>IF(B22="","",IFERROR(INDEX(SizeMaterialFactors,MATCH(E22,SizeNames,0)),1))</f>
        <v>0</v>
      </c>
      <c r="U22" s="41">
        <f>IF(B22="","",IFERROR(INDEX(SizeTimeFactors,MATCH(E22,SizeNames,0)),1))</f>
        <v>0</v>
      </c>
      <c r="V22" s="33">
        <f>IF(B22="","",IFERROR(INDEX(RushFactors,MATCH(H22,RushNames,0)),0))</f>
        <v>0</v>
      </c>
      <c r="W22" s="20">
        <f>IF(B22="","",ROUND(IF(O22="",0,O22)*T22+IF(F22="",0,F22),2))</f>
        <v>0</v>
      </c>
      <c r="X22" s="36">
        <f>IF(B22="","",ROUND(IF(R22="",0,R22)*U22+IF(G22="",0,G22),1))</f>
        <v>0</v>
      </c>
      <c r="Y22" s="20">
        <f>IF(B22="","",ROUND(IF(P22="",0,P22)*U22+IF(G22="",0,G22)/60*LaborCostHour,2))</f>
        <v>0</v>
      </c>
      <c r="Z22" s="20">
        <f>IF(B22="","",ROUND(W22+Y22+IF(Q22="",0,Q22),2))</f>
        <v>0</v>
      </c>
      <c r="AA22" s="33">
        <f>IF(B22="","",IFERROR(INDEX(Channels!$S$5:$S$18,MATCH(IF(J22="",DefaultChannel,J22),Channels!$A$5:$A$18,0)),0))</f>
        <v>0</v>
      </c>
      <c r="AB22" s="20">
        <f>IF(B22="","",IFERROR(INDEX(Channels!$T$5:$T$18,MATCH(IF(J22="",DefaultChannel,J22),Channels!$A$5:$A$18,0)),0))</f>
        <v>0</v>
      </c>
      <c r="AC22" s="41">
        <f>IF(B22="","",1-TargetRetailMargin-AA22)</f>
        <v>0</v>
      </c>
      <c r="AD22" s="20">
        <f>IF(B22="","",IF(AC22&lt;=0,"",((Z22+AB22)/AC22)*(1+V22)+IF(I22="",0,I22)))</f>
        <v>0</v>
      </c>
      <c r="AE22" s="20">
        <f>IF(B22="","",IF(AD22="","Check the settings",ROUND(IF(RoundingRule="None",AD22,IF(RoundingRule="Nearest 0.99",MAX(0.99,CEILING(AD22,1)-0.01),IF(RoundingRule="Nearest 0.95",MAX(0.95,CEILING(AD22,1)-0.05),IF(RoundingRule="Nearest 0.50",CEILING(AD22,0.5),IF(RoundingRule="Nearest 1",CEILING(AD22,1),IF(RoundingRule="Nearest 5",CEILING(AD22,5),IF(RoundingRule="Up to whole 1",CEILING(AD22,1),IF(RoundingRule="Up to whole 5",CEILING(AD22,5),ROUND(AD22,2))))))))),2)))</f>
        <v>0</v>
      </c>
      <c r="AF22" s="20">
        <f>IF(B22="","",IF(K22&lt;&gt;"",K22,IF(ISNUMBER(AE22),AE22,"")))</f>
        <v>0</v>
      </c>
      <c r="AG22" s="20">
        <f>IF(B22="","",IF(OR(AF22="",S22=""),"",ROUND(AF22-S22,2)))</f>
        <v>0</v>
      </c>
      <c r="AH22" s="20">
        <f>IF(B22="","",IF(AF22="","",ROUND(AF22*AA22+AB22,2)))</f>
        <v>0</v>
      </c>
      <c r="AI22" s="20">
        <f>IF(B22="","",IF(AF22="","",ROUND(AF22-Z22-AH22,2)))</f>
        <v>0</v>
      </c>
      <c r="AJ22" s="33">
        <f>IF(B22="","",IF(OR(AF22="",AF22=0),"",AI22/AF22))</f>
        <v>0</v>
      </c>
      <c r="AK22" s="20">
        <f>IF(B22="","",IF(OR(X22=0,X22="",AI22=""),"",ROUND((AI22+Y22)/(X22/60),2)))</f>
        <v>0</v>
      </c>
      <c r="AL22" s="43">
        <f>IF(B22="","",IF(N22="Not found","Check - no such product ID",IF(AF22="","Check - no price yet",IF(AI22&lt;0,"Loss - this version costs you money",IF(AND(AK22&lt;&gt;"",AK22&lt;MinimumWage),"Below - pays under minimum wage",IF(AND(G22&gt;0,AG22&lt;=0),"Check - extra work, no extra charge",IF(AJ22&lt;MarginWarning,"Low margin - re-price it","OK")))))))</f>
        <v>0</v>
      </c>
    </row>
    <row r="23" spans="1:38">
      <c r="A23" s="38">
        <f>IF(C23="","",VariationPrefix&amp;TEXT(ROW()-4,"0000"))</f>
        <v>0</v>
      </c>
      <c r="N23" s="13">
        <f>IF(B23="","",IFERROR(INDEX(Products!$B$5:$B$304,MATCH(B23,Products!$A$5:$A$304,0)),"Not found"))</f>
        <v>0</v>
      </c>
      <c r="O23" s="20">
        <f>IF(B23="","",IFERROR(INDEX(Products!$T$5:$T$304,MATCH(B23,Products!$A$5:$A$304,0)),""))</f>
        <v>0</v>
      </c>
      <c r="P23" s="20">
        <f>IF(B23="","",IFERROR(INDEX(Products!$Z$5:$Z$304,MATCH(B23,Products!$A$5:$A$304,0)),""))</f>
        <v>0</v>
      </c>
      <c r="Q23" s="20">
        <f>IF(B23="","",IFERROR(INDEX(Products!$AH$5:$AH$304,MATCH(B23,Products!$A$5:$A$304,0))-INDEX(Products!$T$5:$T$304,MATCH(B23,Products!$A$5:$A$304,0))-INDEX(Products!$Z$5:$Z$304,MATCH(B23,Products!$A$5:$A$304,0)),0))</f>
        <v>0</v>
      </c>
      <c r="R23" s="36">
        <f>IF(B23="","",IFERROR(INDEX(Products!$X$5:$X$304,MATCH(B23,Products!$A$5:$A$304,0)),""))</f>
        <v>0</v>
      </c>
      <c r="S23" s="20">
        <f>IF(B23="","",IFERROR(INDEX(Products!$AR$5:$AR$304,MATCH(B23,Products!$A$5:$A$304,0)),""))</f>
        <v>0</v>
      </c>
      <c r="T23" s="41">
        <f>IF(B23="","",IFERROR(INDEX(SizeMaterialFactors,MATCH(E23,SizeNames,0)),1))</f>
        <v>0</v>
      </c>
      <c r="U23" s="41">
        <f>IF(B23="","",IFERROR(INDEX(SizeTimeFactors,MATCH(E23,SizeNames,0)),1))</f>
        <v>0</v>
      </c>
      <c r="V23" s="33">
        <f>IF(B23="","",IFERROR(INDEX(RushFactors,MATCH(H23,RushNames,0)),0))</f>
        <v>0</v>
      </c>
      <c r="W23" s="20">
        <f>IF(B23="","",ROUND(IF(O23="",0,O23)*T23+IF(F23="",0,F23),2))</f>
        <v>0</v>
      </c>
      <c r="X23" s="36">
        <f>IF(B23="","",ROUND(IF(R23="",0,R23)*U23+IF(G23="",0,G23),1))</f>
        <v>0</v>
      </c>
      <c r="Y23" s="20">
        <f>IF(B23="","",ROUND(IF(P23="",0,P23)*U23+IF(G23="",0,G23)/60*LaborCostHour,2))</f>
        <v>0</v>
      </c>
      <c r="Z23" s="20">
        <f>IF(B23="","",ROUND(W23+Y23+IF(Q23="",0,Q23),2))</f>
        <v>0</v>
      </c>
      <c r="AA23" s="33">
        <f>IF(B23="","",IFERROR(INDEX(Channels!$S$5:$S$18,MATCH(IF(J23="",DefaultChannel,J23),Channels!$A$5:$A$18,0)),0))</f>
        <v>0</v>
      </c>
      <c r="AB23" s="20">
        <f>IF(B23="","",IFERROR(INDEX(Channels!$T$5:$T$18,MATCH(IF(J23="",DefaultChannel,J23),Channels!$A$5:$A$18,0)),0))</f>
        <v>0</v>
      </c>
      <c r="AC23" s="41">
        <f>IF(B23="","",1-TargetRetailMargin-AA23)</f>
        <v>0</v>
      </c>
      <c r="AD23" s="20">
        <f>IF(B23="","",IF(AC23&lt;=0,"",((Z23+AB23)/AC23)*(1+V23)+IF(I23="",0,I23)))</f>
        <v>0</v>
      </c>
      <c r="AE23" s="20">
        <f>IF(B23="","",IF(AD23="","Check the settings",ROUND(IF(RoundingRule="None",AD23,IF(RoundingRule="Nearest 0.99",MAX(0.99,CEILING(AD23,1)-0.01),IF(RoundingRule="Nearest 0.95",MAX(0.95,CEILING(AD23,1)-0.05),IF(RoundingRule="Nearest 0.50",CEILING(AD23,0.5),IF(RoundingRule="Nearest 1",CEILING(AD23,1),IF(RoundingRule="Nearest 5",CEILING(AD23,5),IF(RoundingRule="Up to whole 1",CEILING(AD23,1),IF(RoundingRule="Up to whole 5",CEILING(AD23,5),ROUND(AD23,2))))))))),2)))</f>
        <v>0</v>
      </c>
      <c r="AF23" s="20">
        <f>IF(B23="","",IF(K23&lt;&gt;"",K23,IF(ISNUMBER(AE23),AE23,"")))</f>
        <v>0</v>
      </c>
      <c r="AG23" s="20">
        <f>IF(B23="","",IF(OR(AF23="",S23=""),"",ROUND(AF23-S23,2)))</f>
        <v>0</v>
      </c>
      <c r="AH23" s="20">
        <f>IF(B23="","",IF(AF23="","",ROUND(AF23*AA23+AB23,2)))</f>
        <v>0</v>
      </c>
      <c r="AI23" s="20">
        <f>IF(B23="","",IF(AF23="","",ROUND(AF23-Z23-AH23,2)))</f>
        <v>0</v>
      </c>
      <c r="AJ23" s="33">
        <f>IF(B23="","",IF(OR(AF23="",AF23=0),"",AI23/AF23))</f>
        <v>0</v>
      </c>
      <c r="AK23" s="20">
        <f>IF(B23="","",IF(OR(X23=0,X23="",AI23=""),"",ROUND((AI23+Y23)/(X23/60),2)))</f>
        <v>0</v>
      </c>
      <c r="AL23" s="43">
        <f>IF(B23="","",IF(N23="Not found","Check - no such product ID",IF(AF23="","Check - no price yet",IF(AI23&lt;0,"Loss - this version costs you money",IF(AND(AK23&lt;&gt;"",AK23&lt;MinimumWage),"Below - pays under minimum wage",IF(AND(G23&gt;0,AG23&lt;=0),"Check - extra work, no extra charge",IF(AJ23&lt;MarginWarning,"Low margin - re-price it","OK")))))))</f>
        <v>0</v>
      </c>
    </row>
    <row r="24" spans="1:38">
      <c r="A24" s="38">
        <f>IF(C24="","",VariationPrefix&amp;TEXT(ROW()-4,"0000"))</f>
        <v>0</v>
      </c>
      <c r="N24" s="13">
        <f>IF(B24="","",IFERROR(INDEX(Products!$B$5:$B$304,MATCH(B24,Products!$A$5:$A$304,0)),"Not found"))</f>
        <v>0</v>
      </c>
      <c r="O24" s="20">
        <f>IF(B24="","",IFERROR(INDEX(Products!$T$5:$T$304,MATCH(B24,Products!$A$5:$A$304,0)),""))</f>
        <v>0</v>
      </c>
      <c r="P24" s="20">
        <f>IF(B24="","",IFERROR(INDEX(Products!$Z$5:$Z$304,MATCH(B24,Products!$A$5:$A$304,0)),""))</f>
        <v>0</v>
      </c>
      <c r="Q24" s="20">
        <f>IF(B24="","",IFERROR(INDEX(Products!$AH$5:$AH$304,MATCH(B24,Products!$A$5:$A$304,0))-INDEX(Products!$T$5:$T$304,MATCH(B24,Products!$A$5:$A$304,0))-INDEX(Products!$Z$5:$Z$304,MATCH(B24,Products!$A$5:$A$304,0)),0))</f>
        <v>0</v>
      </c>
      <c r="R24" s="36">
        <f>IF(B24="","",IFERROR(INDEX(Products!$X$5:$X$304,MATCH(B24,Products!$A$5:$A$304,0)),""))</f>
        <v>0</v>
      </c>
      <c r="S24" s="20">
        <f>IF(B24="","",IFERROR(INDEX(Products!$AR$5:$AR$304,MATCH(B24,Products!$A$5:$A$304,0)),""))</f>
        <v>0</v>
      </c>
      <c r="T24" s="41">
        <f>IF(B24="","",IFERROR(INDEX(SizeMaterialFactors,MATCH(E24,SizeNames,0)),1))</f>
        <v>0</v>
      </c>
      <c r="U24" s="41">
        <f>IF(B24="","",IFERROR(INDEX(SizeTimeFactors,MATCH(E24,SizeNames,0)),1))</f>
        <v>0</v>
      </c>
      <c r="V24" s="33">
        <f>IF(B24="","",IFERROR(INDEX(RushFactors,MATCH(H24,RushNames,0)),0))</f>
        <v>0</v>
      </c>
      <c r="W24" s="20">
        <f>IF(B24="","",ROUND(IF(O24="",0,O24)*T24+IF(F24="",0,F24),2))</f>
        <v>0</v>
      </c>
      <c r="X24" s="36">
        <f>IF(B24="","",ROUND(IF(R24="",0,R24)*U24+IF(G24="",0,G24),1))</f>
        <v>0</v>
      </c>
      <c r="Y24" s="20">
        <f>IF(B24="","",ROUND(IF(P24="",0,P24)*U24+IF(G24="",0,G24)/60*LaborCostHour,2))</f>
        <v>0</v>
      </c>
      <c r="Z24" s="20">
        <f>IF(B24="","",ROUND(W24+Y24+IF(Q24="",0,Q24),2))</f>
        <v>0</v>
      </c>
      <c r="AA24" s="33">
        <f>IF(B24="","",IFERROR(INDEX(Channels!$S$5:$S$18,MATCH(IF(J24="",DefaultChannel,J24),Channels!$A$5:$A$18,0)),0))</f>
        <v>0</v>
      </c>
      <c r="AB24" s="20">
        <f>IF(B24="","",IFERROR(INDEX(Channels!$T$5:$T$18,MATCH(IF(J24="",DefaultChannel,J24),Channels!$A$5:$A$18,0)),0))</f>
        <v>0</v>
      </c>
      <c r="AC24" s="41">
        <f>IF(B24="","",1-TargetRetailMargin-AA24)</f>
        <v>0</v>
      </c>
      <c r="AD24" s="20">
        <f>IF(B24="","",IF(AC24&lt;=0,"",((Z24+AB24)/AC24)*(1+V24)+IF(I24="",0,I24)))</f>
        <v>0</v>
      </c>
      <c r="AE24" s="20">
        <f>IF(B24="","",IF(AD24="","Check the settings",ROUND(IF(RoundingRule="None",AD24,IF(RoundingRule="Nearest 0.99",MAX(0.99,CEILING(AD24,1)-0.01),IF(RoundingRule="Nearest 0.95",MAX(0.95,CEILING(AD24,1)-0.05),IF(RoundingRule="Nearest 0.50",CEILING(AD24,0.5),IF(RoundingRule="Nearest 1",CEILING(AD24,1),IF(RoundingRule="Nearest 5",CEILING(AD24,5),IF(RoundingRule="Up to whole 1",CEILING(AD24,1),IF(RoundingRule="Up to whole 5",CEILING(AD24,5),ROUND(AD24,2))))))))),2)))</f>
        <v>0</v>
      </c>
      <c r="AF24" s="20">
        <f>IF(B24="","",IF(K24&lt;&gt;"",K24,IF(ISNUMBER(AE24),AE24,"")))</f>
        <v>0</v>
      </c>
      <c r="AG24" s="20">
        <f>IF(B24="","",IF(OR(AF24="",S24=""),"",ROUND(AF24-S24,2)))</f>
        <v>0</v>
      </c>
      <c r="AH24" s="20">
        <f>IF(B24="","",IF(AF24="","",ROUND(AF24*AA24+AB24,2)))</f>
        <v>0</v>
      </c>
      <c r="AI24" s="20">
        <f>IF(B24="","",IF(AF24="","",ROUND(AF24-Z24-AH24,2)))</f>
        <v>0</v>
      </c>
      <c r="AJ24" s="33">
        <f>IF(B24="","",IF(OR(AF24="",AF24=0),"",AI24/AF24))</f>
        <v>0</v>
      </c>
      <c r="AK24" s="20">
        <f>IF(B24="","",IF(OR(X24=0,X24="",AI24=""),"",ROUND((AI24+Y24)/(X24/60),2)))</f>
        <v>0</v>
      </c>
      <c r="AL24" s="43">
        <f>IF(B24="","",IF(N24="Not found","Check - no such product ID",IF(AF24="","Check - no price yet",IF(AI24&lt;0,"Loss - this version costs you money",IF(AND(AK24&lt;&gt;"",AK24&lt;MinimumWage),"Below - pays under minimum wage",IF(AND(G24&gt;0,AG24&lt;=0),"Check - extra work, no extra charge",IF(AJ24&lt;MarginWarning,"Low margin - re-price it","OK")))))))</f>
        <v>0</v>
      </c>
    </row>
    <row r="25" spans="1:38">
      <c r="A25" s="38">
        <f>IF(C25="","",VariationPrefix&amp;TEXT(ROW()-4,"0000"))</f>
        <v>0</v>
      </c>
      <c r="N25" s="13">
        <f>IF(B25="","",IFERROR(INDEX(Products!$B$5:$B$304,MATCH(B25,Products!$A$5:$A$304,0)),"Not found"))</f>
        <v>0</v>
      </c>
      <c r="O25" s="20">
        <f>IF(B25="","",IFERROR(INDEX(Products!$T$5:$T$304,MATCH(B25,Products!$A$5:$A$304,0)),""))</f>
        <v>0</v>
      </c>
      <c r="P25" s="20">
        <f>IF(B25="","",IFERROR(INDEX(Products!$Z$5:$Z$304,MATCH(B25,Products!$A$5:$A$304,0)),""))</f>
        <v>0</v>
      </c>
      <c r="Q25" s="20">
        <f>IF(B25="","",IFERROR(INDEX(Products!$AH$5:$AH$304,MATCH(B25,Products!$A$5:$A$304,0))-INDEX(Products!$T$5:$T$304,MATCH(B25,Products!$A$5:$A$304,0))-INDEX(Products!$Z$5:$Z$304,MATCH(B25,Products!$A$5:$A$304,0)),0))</f>
        <v>0</v>
      </c>
      <c r="R25" s="36">
        <f>IF(B25="","",IFERROR(INDEX(Products!$X$5:$X$304,MATCH(B25,Products!$A$5:$A$304,0)),""))</f>
        <v>0</v>
      </c>
      <c r="S25" s="20">
        <f>IF(B25="","",IFERROR(INDEX(Products!$AR$5:$AR$304,MATCH(B25,Products!$A$5:$A$304,0)),""))</f>
        <v>0</v>
      </c>
      <c r="T25" s="41">
        <f>IF(B25="","",IFERROR(INDEX(SizeMaterialFactors,MATCH(E25,SizeNames,0)),1))</f>
        <v>0</v>
      </c>
      <c r="U25" s="41">
        <f>IF(B25="","",IFERROR(INDEX(SizeTimeFactors,MATCH(E25,SizeNames,0)),1))</f>
        <v>0</v>
      </c>
      <c r="V25" s="33">
        <f>IF(B25="","",IFERROR(INDEX(RushFactors,MATCH(H25,RushNames,0)),0))</f>
        <v>0</v>
      </c>
      <c r="W25" s="20">
        <f>IF(B25="","",ROUND(IF(O25="",0,O25)*T25+IF(F25="",0,F25),2))</f>
        <v>0</v>
      </c>
      <c r="X25" s="36">
        <f>IF(B25="","",ROUND(IF(R25="",0,R25)*U25+IF(G25="",0,G25),1))</f>
        <v>0</v>
      </c>
      <c r="Y25" s="20">
        <f>IF(B25="","",ROUND(IF(P25="",0,P25)*U25+IF(G25="",0,G25)/60*LaborCostHour,2))</f>
        <v>0</v>
      </c>
      <c r="Z25" s="20">
        <f>IF(B25="","",ROUND(W25+Y25+IF(Q25="",0,Q25),2))</f>
        <v>0</v>
      </c>
      <c r="AA25" s="33">
        <f>IF(B25="","",IFERROR(INDEX(Channels!$S$5:$S$18,MATCH(IF(J25="",DefaultChannel,J25),Channels!$A$5:$A$18,0)),0))</f>
        <v>0</v>
      </c>
      <c r="AB25" s="20">
        <f>IF(B25="","",IFERROR(INDEX(Channels!$T$5:$T$18,MATCH(IF(J25="",DefaultChannel,J25),Channels!$A$5:$A$18,0)),0))</f>
        <v>0</v>
      </c>
      <c r="AC25" s="41">
        <f>IF(B25="","",1-TargetRetailMargin-AA25)</f>
        <v>0</v>
      </c>
      <c r="AD25" s="20">
        <f>IF(B25="","",IF(AC25&lt;=0,"",((Z25+AB25)/AC25)*(1+V25)+IF(I25="",0,I25)))</f>
        <v>0</v>
      </c>
      <c r="AE25" s="20">
        <f>IF(B25="","",IF(AD25="","Check the settings",ROUND(IF(RoundingRule="None",AD25,IF(RoundingRule="Nearest 0.99",MAX(0.99,CEILING(AD25,1)-0.01),IF(RoundingRule="Nearest 0.95",MAX(0.95,CEILING(AD25,1)-0.05),IF(RoundingRule="Nearest 0.50",CEILING(AD25,0.5),IF(RoundingRule="Nearest 1",CEILING(AD25,1),IF(RoundingRule="Nearest 5",CEILING(AD25,5),IF(RoundingRule="Up to whole 1",CEILING(AD25,1),IF(RoundingRule="Up to whole 5",CEILING(AD25,5),ROUND(AD25,2))))))))),2)))</f>
        <v>0</v>
      </c>
      <c r="AF25" s="20">
        <f>IF(B25="","",IF(K25&lt;&gt;"",K25,IF(ISNUMBER(AE25),AE25,"")))</f>
        <v>0</v>
      </c>
      <c r="AG25" s="20">
        <f>IF(B25="","",IF(OR(AF25="",S25=""),"",ROUND(AF25-S25,2)))</f>
        <v>0</v>
      </c>
      <c r="AH25" s="20">
        <f>IF(B25="","",IF(AF25="","",ROUND(AF25*AA25+AB25,2)))</f>
        <v>0</v>
      </c>
      <c r="AI25" s="20">
        <f>IF(B25="","",IF(AF25="","",ROUND(AF25-Z25-AH25,2)))</f>
        <v>0</v>
      </c>
      <c r="AJ25" s="33">
        <f>IF(B25="","",IF(OR(AF25="",AF25=0),"",AI25/AF25))</f>
        <v>0</v>
      </c>
      <c r="AK25" s="20">
        <f>IF(B25="","",IF(OR(X25=0,X25="",AI25=""),"",ROUND((AI25+Y25)/(X25/60),2)))</f>
        <v>0</v>
      </c>
      <c r="AL25" s="43">
        <f>IF(B25="","",IF(N25="Not found","Check - no such product ID",IF(AF25="","Check - no price yet",IF(AI25&lt;0,"Loss - this version costs you money",IF(AND(AK25&lt;&gt;"",AK25&lt;MinimumWage),"Below - pays under minimum wage",IF(AND(G25&gt;0,AG25&lt;=0),"Check - extra work, no extra charge",IF(AJ25&lt;MarginWarning,"Low margin - re-price it","OK")))))))</f>
        <v>0</v>
      </c>
    </row>
    <row r="26" spans="1:38">
      <c r="A26" s="38">
        <f>IF(C26="","",VariationPrefix&amp;TEXT(ROW()-4,"0000"))</f>
        <v>0</v>
      </c>
      <c r="N26" s="13">
        <f>IF(B26="","",IFERROR(INDEX(Products!$B$5:$B$304,MATCH(B26,Products!$A$5:$A$304,0)),"Not found"))</f>
        <v>0</v>
      </c>
      <c r="O26" s="20">
        <f>IF(B26="","",IFERROR(INDEX(Products!$T$5:$T$304,MATCH(B26,Products!$A$5:$A$304,0)),""))</f>
        <v>0</v>
      </c>
      <c r="P26" s="20">
        <f>IF(B26="","",IFERROR(INDEX(Products!$Z$5:$Z$304,MATCH(B26,Products!$A$5:$A$304,0)),""))</f>
        <v>0</v>
      </c>
      <c r="Q26" s="20">
        <f>IF(B26="","",IFERROR(INDEX(Products!$AH$5:$AH$304,MATCH(B26,Products!$A$5:$A$304,0))-INDEX(Products!$T$5:$T$304,MATCH(B26,Products!$A$5:$A$304,0))-INDEX(Products!$Z$5:$Z$304,MATCH(B26,Products!$A$5:$A$304,0)),0))</f>
        <v>0</v>
      </c>
      <c r="R26" s="36">
        <f>IF(B26="","",IFERROR(INDEX(Products!$X$5:$X$304,MATCH(B26,Products!$A$5:$A$304,0)),""))</f>
        <v>0</v>
      </c>
      <c r="S26" s="20">
        <f>IF(B26="","",IFERROR(INDEX(Products!$AR$5:$AR$304,MATCH(B26,Products!$A$5:$A$304,0)),""))</f>
        <v>0</v>
      </c>
      <c r="T26" s="41">
        <f>IF(B26="","",IFERROR(INDEX(SizeMaterialFactors,MATCH(E26,SizeNames,0)),1))</f>
        <v>0</v>
      </c>
      <c r="U26" s="41">
        <f>IF(B26="","",IFERROR(INDEX(SizeTimeFactors,MATCH(E26,SizeNames,0)),1))</f>
        <v>0</v>
      </c>
      <c r="V26" s="33">
        <f>IF(B26="","",IFERROR(INDEX(RushFactors,MATCH(H26,RushNames,0)),0))</f>
        <v>0</v>
      </c>
      <c r="W26" s="20">
        <f>IF(B26="","",ROUND(IF(O26="",0,O26)*T26+IF(F26="",0,F26),2))</f>
        <v>0</v>
      </c>
      <c r="X26" s="36">
        <f>IF(B26="","",ROUND(IF(R26="",0,R26)*U26+IF(G26="",0,G26),1))</f>
        <v>0</v>
      </c>
      <c r="Y26" s="20">
        <f>IF(B26="","",ROUND(IF(P26="",0,P26)*U26+IF(G26="",0,G26)/60*LaborCostHour,2))</f>
        <v>0</v>
      </c>
      <c r="Z26" s="20">
        <f>IF(B26="","",ROUND(W26+Y26+IF(Q26="",0,Q26),2))</f>
        <v>0</v>
      </c>
      <c r="AA26" s="33">
        <f>IF(B26="","",IFERROR(INDEX(Channels!$S$5:$S$18,MATCH(IF(J26="",DefaultChannel,J26),Channels!$A$5:$A$18,0)),0))</f>
        <v>0</v>
      </c>
      <c r="AB26" s="20">
        <f>IF(B26="","",IFERROR(INDEX(Channels!$T$5:$T$18,MATCH(IF(J26="",DefaultChannel,J26),Channels!$A$5:$A$18,0)),0))</f>
        <v>0</v>
      </c>
      <c r="AC26" s="41">
        <f>IF(B26="","",1-TargetRetailMargin-AA26)</f>
        <v>0</v>
      </c>
      <c r="AD26" s="20">
        <f>IF(B26="","",IF(AC26&lt;=0,"",((Z26+AB26)/AC26)*(1+V26)+IF(I26="",0,I26)))</f>
        <v>0</v>
      </c>
      <c r="AE26" s="20">
        <f>IF(B26="","",IF(AD26="","Check the settings",ROUND(IF(RoundingRule="None",AD26,IF(RoundingRule="Nearest 0.99",MAX(0.99,CEILING(AD26,1)-0.01),IF(RoundingRule="Nearest 0.95",MAX(0.95,CEILING(AD26,1)-0.05),IF(RoundingRule="Nearest 0.50",CEILING(AD26,0.5),IF(RoundingRule="Nearest 1",CEILING(AD26,1),IF(RoundingRule="Nearest 5",CEILING(AD26,5),IF(RoundingRule="Up to whole 1",CEILING(AD26,1),IF(RoundingRule="Up to whole 5",CEILING(AD26,5),ROUND(AD26,2))))))))),2)))</f>
        <v>0</v>
      </c>
      <c r="AF26" s="20">
        <f>IF(B26="","",IF(K26&lt;&gt;"",K26,IF(ISNUMBER(AE26),AE26,"")))</f>
        <v>0</v>
      </c>
      <c r="AG26" s="20">
        <f>IF(B26="","",IF(OR(AF26="",S26=""),"",ROUND(AF26-S26,2)))</f>
        <v>0</v>
      </c>
      <c r="AH26" s="20">
        <f>IF(B26="","",IF(AF26="","",ROUND(AF26*AA26+AB26,2)))</f>
        <v>0</v>
      </c>
      <c r="AI26" s="20">
        <f>IF(B26="","",IF(AF26="","",ROUND(AF26-Z26-AH26,2)))</f>
        <v>0</v>
      </c>
      <c r="AJ26" s="33">
        <f>IF(B26="","",IF(OR(AF26="",AF26=0),"",AI26/AF26))</f>
        <v>0</v>
      </c>
      <c r="AK26" s="20">
        <f>IF(B26="","",IF(OR(X26=0,X26="",AI26=""),"",ROUND((AI26+Y26)/(X26/60),2)))</f>
        <v>0</v>
      </c>
      <c r="AL26" s="43">
        <f>IF(B26="","",IF(N26="Not found","Check - no such product ID",IF(AF26="","Check - no price yet",IF(AI26&lt;0,"Loss - this version costs you money",IF(AND(AK26&lt;&gt;"",AK26&lt;MinimumWage),"Below - pays under minimum wage",IF(AND(G26&gt;0,AG26&lt;=0),"Check - extra work, no extra charge",IF(AJ26&lt;MarginWarning,"Low margin - re-price it","OK")))))))</f>
        <v>0</v>
      </c>
    </row>
    <row r="27" spans="1:38">
      <c r="A27" s="38">
        <f>IF(C27="","",VariationPrefix&amp;TEXT(ROW()-4,"0000"))</f>
        <v>0</v>
      </c>
      <c r="N27" s="13">
        <f>IF(B27="","",IFERROR(INDEX(Products!$B$5:$B$304,MATCH(B27,Products!$A$5:$A$304,0)),"Not found"))</f>
        <v>0</v>
      </c>
      <c r="O27" s="20">
        <f>IF(B27="","",IFERROR(INDEX(Products!$T$5:$T$304,MATCH(B27,Products!$A$5:$A$304,0)),""))</f>
        <v>0</v>
      </c>
      <c r="P27" s="20">
        <f>IF(B27="","",IFERROR(INDEX(Products!$Z$5:$Z$304,MATCH(B27,Products!$A$5:$A$304,0)),""))</f>
        <v>0</v>
      </c>
      <c r="Q27" s="20">
        <f>IF(B27="","",IFERROR(INDEX(Products!$AH$5:$AH$304,MATCH(B27,Products!$A$5:$A$304,0))-INDEX(Products!$T$5:$T$304,MATCH(B27,Products!$A$5:$A$304,0))-INDEX(Products!$Z$5:$Z$304,MATCH(B27,Products!$A$5:$A$304,0)),0))</f>
        <v>0</v>
      </c>
      <c r="R27" s="36">
        <f>IF(B27="","",IFERROR(INDEX(Products!$X$5:$X$304,MATCH(B27,Products!$A$5:$A$304,0)),""))</f>
        <v>0</v>
      </c>
      <c r="S27" s="20">
        <f>IF(B27="","",IFERROR(INDEX(Products!$AR$5:$AR$304,MATCH(B27,Products!$A$5:$A$304,0)),""))</f>
        <v>0</v>
      </c>
      <c r="T27" s="41">
        <f>IF(B27="","",IFERROR(INDEX(SizeMaterialFactors,MATCH(E27,SizeNames,0)),1))</f>
        <v>0</v>
      </c>
      <c r="U27" s="41">
        <f>IF(B27="","",IFERROR(INDEX(SizeTimeFactors,MATCH(E27,SizeNames,0)),1))</f>
        <v>0</v>
      </c>
      <c r="V27" s="33">
        <f>IF(B27="","",IFERROR(INDEX(RushFactors,MATCH(H27,RushNames,0)),0))</f>
        <v>0</v>
      </c>
      <c r="W27" s="20">
        <f>IF(B27="","",ROUND(IF(O27="",0,O27)*T27+IF(F27="",0,F27),2))</f>
        <v>0</v>
      </c>
      <c r="X27" s="36">
        <f>IF(B27="","",ROUND(IF(R27="",0,R27)*U27+IF(G27="",0,G27),1))</f>
        <v>0</v>
      </c>
      <c r="Y27" s="20">
        <f>IF(B27="","",ROUND(IF(P27="",0,P27)*U27+IF(G27="",0,G27)/60*LaborCostHour,2))</f>
        <v>0</v>
      </c>
      <c r="Z27" s="20">
        <f>IF(B27="","",ROUND(W27+Y27+IF(Q27="",0,Q27),2))</f>
        <v>0</v>
      </c>
      <c r="AA27" s="33">
        <f>IF(B27="","",IFERROR(INDEX(Channels!$S$5:$S$18,MATCH(IF(J27="",DefaultChannel,J27),Channels!$A$5:$A$18,0)),0))</f>
        <v>0</v>
      </c>
      <c r="AB27" s="20">
        <f>IF(B27="","",IFERROR(INDEX(Channels!$T$5:$T$18,MATCH(IF(J27="",DefaultChannel,J27),Channels!$A$5:$A$18,0)),0))</f>
        <v>0</v>
      </c>
      <c r="AC27" s="41">
        <f>IF(B27="","",1-TargetRetailMargin-AA27)</f>
        <v>0</v>
      </c>
      <c r="AD27" s="20">
        <f>IF(B27="","",IF(AC27&lt;=0,"",((Z27+AB27)/AC27)*(1+V27)+IF(I27="",0,I27)))</f>
        <v>0</v>
      </c>
      <c r="AE27" s="20">
        <f>IF(B27="","",IF(AD27="","Check the settings",ROUND(IF(RoundingRule="None",AD27,IF(RoundingRule="Nearest 0.99",MAX(0.99,CEILING(AD27,1)-0.01),IF(RoundingRule="Nearest 0.95",MAX(0.95,CEILING(AD27,1)-0.05),IF(RoundingRule="Nearest 0.50",CEILING(AD27,0.5),IF(RoundingRule="Nearest 1",CEILING(AD27,1),IF(RoundingRule="Nearest 5",CEILING(AD27,5),IF(RoundingRule="Up to whole 1",CEILING(AD27,1),IF(RoundingRule="Up to whole 5",CEILING(AD27,5),ROUND(AD27,2))))))))),2)))</f>
        <v>0</v>
      </c>
      <c r="AF27" s="20">
        <f>IF(B27="","",IF(K27&lt;&gt;"",K27,IF(ISNUMBER(AE27),AE27,"")))</f>
        <v>0</v>
      </c>
      <c r="AG27" s="20">
        <f>IF(B27="","",IF(OR(AF27="",S27=""),"",ROUND(AF27-S27,2)))</f>
        <v>0</v>
      </c>
      <c r="AH27" s="20">
        <f>IF(B27="","",IF(AF27="","",ROUND(AF27*AA27+AB27,2)))</f>
        <v>0</v>
      </c>
      <c r="AI27" s="20">
        <f>IF(B27="","",IF(AF27="","",ROUND(AF27-Z27-AH27,2)))</f>
        <v>0</v>
      </c>
      <c r="AJ27" s="33">
        <f>IF(B27="","",IF(OR(AF27="",AF27=0),"",AI27/AF27))</f>
        <v>0</v>
      </c>
      <c r="AK27" s="20">
        <f>IF(B27="","",IF(OR(X27=0,X27="",AI27=""),"",ROUND((AI27+Y27)/(X27/60),2)))</f>
        <v>0</v>
      </c>
      <c r="AL27" s="43">
        <f>IF(B27="","",IF(N27="Not found","Check - no such product ID",IF(AF27="","Check - no price yet",IF(AI27&lt;0,"Loss - this version costs you money",IF(AND(AK27&lt;&gt;"",AK27&lt;MinimumWage),"Below - pays under minimum wage",IF(AND(G27&gt;0,AG27&lt;=0),"Check - extra work, no extra charge",IF(AJ27&lt;MarginWarning,"Low margin - re-price it","OK")))))))</f>
        <v>0</v>
      </c>
    </row>
    <row r="28" spans="1:38">
      <c r="A28" s="38">
        <f>IF(C28="","",VariationPrefix&amp;TEXT(ROW()-4,"0000"))</f>
        <v>0</v>
      </c>
      <c r="N28" s="13">
        <f>IF(B28="","",IFERROR(INDEX(Products!$B$5:$B$304,MATCH(B28,Products!$A$5:$A$304,0)),"Not found"))</f>
        <v>0</v>
      </c>
      <c r="O28" s="20">
        <f>IF(B28="","",IFERROR(INDEX(Products!$T$5:$T$304,MATCH(B28,Products!$A$5:$A$304,0)),""))</f>
        <v>0</v>
      </c>
      <c r="P28" s="20">
        <f>IF(B28="","",IFERROR(INDEX(Products!$Z$5:$Z$304,MATCH(B28,Products!$A$5:$A$304,0)),""))</f>
        <v>0</v>
      </c>
      <c r="Q28" s="20">
        <f>IF(B28="","",IFERROR(INDEX(Products!$AH$5:$AH$304,MATCH(B28,Products!$A$5:$A$304,0))-INDEX(Products!$T$5:$T$304,MATCH(B28,Products!$A$5:$A$304,0))-INDEX(Products!$Z$5:$Z$304,MATCH(B28,Products!$A$5:$A$304,0)),0))</f>
        <v>0</v>
      </c>
      <c r="R28" s="36">
        <f>IF(B28="","",IFERROR(INDEX(Products!$X$5:$X$304,MATCH(B28,Products!$A$5:$A$304,0)),""))</f>
        <v>0</v>
      </c>
      <c r="S28" s="20">
        <f>IF(B28="","",IFERROR(INDEX(Products!$AR$5:$AR$304,MATCH(B28,Products!$A$5:$A$304,0)),""))</f>
        <v>0</v>
      </c>
      <c r="T28" s="41">
        <f>IF(B28="","",IFERROR(INDEX(SizeMaterialFactors,MATCH(E28,SizeNames,0)),1))</f>
        <v>0</v>
      </c>
      <c r="U28" s="41">
        <f>IF(B28="","",IFERROR(INDEX(SizeTimeFactors,MATCH(E28,SizeNames,0)),1))</f>
        <v>0</v>
      </c>
      <c r="V28" s="33">
        <f>IF(B28="","",IFERROR(INDEX(RushFactors,MATCH(H28,RushNames,0)),0))</f>
        <v>0</v>
      </c>
      <c r="W28" s="20">
        <f>IF(B28="","",ROUND(IF(O28="",0,O28)*T28+IF(F28="",0,F28),2))</f>
        <v>0</v>
      </c>
      <c r="X28" s="36">
        <f>IF(B28="","",ROUND(IF(R28="",0,R28)*U28+IF(G28="",0,G28),1))</f>
        <v>0</v>
      </c>
      <c r="Y28" s="20">
        <f>IF(B28="","",ROUND(IF(P28="",0,P28)*U28+IF(G28="",0,G28)/60*LaborCostHour,2))</f>
        <v>0</v>
      </c>
      <c r="Z28" s="20">
        <f>IF(B28="","",ROUND(W28+Y28+IF(Q28="",0,Q28),2))</f>
        <v>0</v>
      </c>
      <c r="AA28" s="33">
        <f>IF(B28="","",IFERROR(INDEX(Channels!$S$5:$S$18,MATCH(IF(J28="",DefaultChannel,J28),Channels!$A$5:$A$18,0)),0))</f>
        <v>0</v>
      </c>
      <c r="AB28" s="20">
        <f>IF(B28="","",IFERROR(INDEX(Channels!$T$5:$T$18,MATCH(IF(J28="",DefaultChannel,J28),Channels!$A$5:$A$18,0)),0))</f>
        <v>0</v>
      </c>
      <c r="AC28" s="41">
        <f>IF(B28="","",1-TargetRetailMargin-AA28)</f>
        <v>0</v>
      </c>
      <c r="AD28" s="20">
        <f>IF(B28="","",IF(AC28&lt;=0,"",((Z28+AB28)/AC28)*(1+V28)+IF(I28="",0,I28)))</f>
        <v>0</v>
      </c>
      <c r="AE28" s="20">
        <f>IF(B28="","",IF(AD28="","Check the settings",ROUND(IF(RoundingRule="None",AD28,IF(RoundingRule="Nearest 0.99",MAX(0.99,CEILING(AD28,1)-0.01),IF(RoundingRule="Nearest 0.95",MAX(0.95,CEILING(AD28,1)-0.05),IF(RoundingRule="Nearest 0.50",CEILING(AD28,0.5),IF(RoundingRule="Nearest 1",CEILING(AD28,1),IF(RoundingRule="Nearest 5",CEILING(AD28,5),IF(RoundingRule="Up to whole 1",CEILING(AD28,1),IF(RoundingRule="Up to whole 5",CEILING(AD28,5),ROUND(AD28,2))))))))),2)))</f>
        <v>0</v>
      </c>
      <c r="AF28" s="20">
        <f>IF(B28="","",IF(K28&lt;&gt;"",K28,IF(ISNUMBER(AE28),AE28,"")))</f>
        <v>0</v>
      </c>
      <c r="AG28" s="20">
        <f>IF(B28="","",IF(OR(AF28="",S28=""),"",ROUND(AF28-S28,2)))</f>
        <v>0</v>
      </c>
      <c r="AH28" s="20">
        <f>IF(B28="","",IF(AF28="","",ROUND(AF28*AA28+AB28,2)))</f>
        <v>0</v>
      </c>
      <c r="AI28" s="20">
        <f>IF(B28="","",IF(AF28="","",ROUND(AF28-Z28-AH28,2)))</f>
        <v>0</v>
      </c>
      <c r="AJ28" s="33">
        <f>IF(B28="","",IF(OR(AF28="",AF28=0),"",AI28/AF28))</f>
        <v>0</v>
      </c>
      <c r="AK28" s="20">
        <f>IF(B28="","",IF(OR(X28=0,X28="",AI28=""),"",ROUND((AI28+Y28)/(X28/60),2)))</f>
        <v>0</v>
      </c>
      <c r="AL28" s="43">
        <f>IF(B28="","",IF(N28="Not found","Check - no such product ID",IF(AF28="","Check - no price yet",IF(AI28&lt;0,"Loss - this version costs you money",IF(AND(AK28&lt;&gt;"",AK28&lt;MinimumWage),"Below - pays under minimum wage",IF(AND(G28&gt;0,AG28&lt;=0),"Check - extra work, no extra charge",IF(AJ28&lt;MarginWarning,"Low margin - re-price it","OK")))))))</f>
        <v>0</v>
      </c>
    </row>
    <row r="29" spans="1:38">
      <c r="A29" s="38">
        <f>IF(C29="","",VariationPrefix&amp;TEXT(ROW()-4,"0000"))</f>
        <v>0</v>
      </c>
      <c r="N29" s="13">
        <f>IF(B29="","",IFERROR(INDEX(Products!$B$5:$B$304,MATCH(B29,Products!$A$5:$A$304,0)),"Not found"))</f>
        <v>0</v>
      </c>
      <c r="O29" s="20">
        <f>IF(B29="","",IFERROR(INDEX(Products!$T$5:$T$304,MATCH(B29,Products!$A$5:$A$304,0)),""))</f>
        <v>0</v>
      </c>
      <c r="P29" s="20">
        <f>IF(B29="","",IFERROR(INDEX(Products!$Z$5:$Z$304,MATCH(B29,Products!$A$5:$A$304,0)),""))</f>
        <v>0</v>
      </c>
      <c r="Q29" s="20">
        <f>IF(B29="","",IFERROR(INDEX(Products!$AH$5:$AH$304,MATCH(B29,Products!$A$5:$A$304,0))-INDEX(Products!$T$5:$T$304,MATCH(B29,Products!$A$5:$A$304,0))-INDEX(Products!$Z$5:$Z$304,MATCH(B29,Products!$A$5:$A$304,0)),0))</f>
        <v>0</v>
      </c>
      <c r="R29" s="36">
        <f>IF(B29="","",IFERROR(INDEX(Products!$X$5:$X$304,MATCH(B29,Products!$A$5:$A$304,0)),""))</f>
        <v>0</v>
      </c>
      <c r="S29" s="20">
        <f>IF(B29="","",IFERROR(INDEX(Products!$AR$5:$AR$304,MATCH(B29,Products!$A$5:$A$304,0)),""))</f>
        <v>0</v>
      </c>
      <c r="T29" s="41">
        <f>IF(B29="","",IFERROR(INDEX(SizeMaterialFactors,MATCH(E29,SizeNames,0)),1))</f>
        <v>0</v>
      </c>
      <c r="U29" s="41">
        <f>IF(B29="","",IFERROR(INDEX(SizeTimeFactors,MATCH(E29,SizeNames,0)),1))</f>
        <v>0</v>
      </c>
      <c r="V29" s="33">
        <f>IF(B29="","",IFERROR(INDEX(RushFactors,MATCH(H29,RushNames,0)),0))</f>
        <v>0</v>
      </c>
      <c r="W29" s="20">
        <f>IF(B29="","",ROUND(IF(O29="",0,O29)*T29+IF(F29="",0,F29),2))</f>
        <v>0</v>
      </c>
      <c r="X29" s="36">
        <f>IF(B29="","",ROUND(IF(R29="",0,R29)*U29+IF(G29="",0,G29),1))</f>
        <v>0</v>
      </c>
      <c r="Y29" s="20">
        <f>IF(B29="","",ROUND(IF(P29="",0,P29)*U29+IF(G29="",0,G29)/60*LaborCostHour,2))</f>
        <v>0</v>
      </c>
      <c r="Z29" s="20">
        <f>IF(B29="","",ROUND(W29+Y29+IF(Q29="",0,Q29),2))</f>
        <v>0</v>
      </c>
      <c r="AA29" s="33">
        <f>IF(B29="","",IFERROR(INDEX(Channels!$S$5:$S$18,MATCH(IF(J29="",DefaultChannel,J29),Channels!$A$5:$A$18,0)),0))</f>
        <v>0</v>
      </c>
      <c r="AB29" s="20">
        <f>IF(B29="","",IFERROR(INDEX(Channels!$T$5:$T$18,MATCH(IF(J29="",DefaultChannel,J29),Channels!$A$5:$A$18,0)),0))</f>
        <v>0</v>
      </c>
      <c r="AC29" s="41">
        <f>IF(B29="","",1-TargetRetailMargin-AA29)</f>
        <v>0</v>
      </c>
      <c r="AD29" s="20">
        <f>IF(B29="","",IF(AC29&lt;=0,"",((Z29+AB29)/AC29)*(1+V29)+IF(I29="",0,I29)))</f>
        <v>0</v>
      </c>
      <c r="AE29" s="20">
        <f>IF(B29="","",IF(AD29="","Check the settings",ROUND(IF(RoundingRule="None",AD29,IF(RoundingRule="Nearest 0.99",MAX(0.99,CEILING(AD29,1)-0.01),IF(RoundingRule="Nearest 0.95",MAX(0.95,CEILING(AD29,1)-0.05),IF(RoundingRule="Nearest 0.50",CEILING(AD29,0.5),IF(RoundingRule="Nearest 1",CEILING(AD29,1),IF(RoundingRule="Nearest 5",CEILING(AD29,5),IF(RoundingRule="Up to whole 1",CEILING(AD29,1),IF(RoundingRule="Up to whole 5",CEILING(AD29,5),ROUND(AD29,2))))))))),2)))</f>
        <v>0</v>
      </c>
      <c r="AF29" s="20">
        <f>IF(B29="","",IF(K29&lt;&gt;"",K29,IF(ISNUMBER(AE29),AE29,"")))</f>
        <v>0</v>
      </c>
      <c r="AG29" s="20">
        <f>IF(B29="","",IF(OR(AF29="",S29=""),"",ROUND(AF29-S29,2)))</f>
        <v>0</v>
      </c>
      <c r="AH29" s="20">
        <f>IF(B29="","",IF(AF29="","",ROUND(AF29*AA29+AB29,2)))</f>
        <v>0</v>
      </c>
      <c r="AI29" s="20">
        <f>IF(B29="","",IF(AF29="","",ROUND(AF29-Z29-AH29,2)))</f>
        <v>0</v>
      </c>
      <c r="AJ29" s="33">
        <f>IF(B29="","",IF(OR(AF29="",AF29=0),"",AI29/AF29))</f>
        <v>0</v>
      </c>
      <c r="AK29" s="20">
        <f>IF(B29="","",IF(OR(X29=0,X29="",AI29=""),"",ROUND((AI29+Y29)/(X29/60),2)))</f>
        <v>0</v>
      </c>
      <c r="AL29" s="43">
        <f>IF(B29="","",IF(N29="Not found","Check - no such product ID",IF(AF29="","Check - no price yet",IF(AI29&lt;0,"Loss - this version costs you money",IF(AND(AK29&lt;&gt;"",AK29&lt;MinimumWage),"Below - pays under minimum wage",IF(AND(G29&gt;0,AG29&lt;=0),"Check - extra work, no extra charge",IF(AJ29&lt;MarginWarning,"Low margin - re-price it","OK")))))))</f>
        <v>0</v>
      </c>
    </row>
    <row r="30" spans="1:38">
      <c r="A30" s="38">
        <f>IF(C30="","",VariationPrefix&amp;TEXT(ROW()-4,"0000"))</f>
        <v>0</v>
      </c>
      <c r="N30" s="13">
        <f>IF(B30="","",IFERROR(INDEX(Products!$B$5:$B$304,MATCH(B30,Products!$A$5:$A$304,0)),"Not found"))</f>
        <v>0</v>
      </c>
      <c r="O30" s="20">
        <f>IF(B30="","",IFERROR(INDEX(Products!$T$5:$T$304,MATCH(B30,Products!$A$5:$A$304,0)),""))</f>
        <v>0</v>
      </c>
      <c r="P30" s="20">
        <f>IF(B30="","",IFERROR(INDEX(Products!$Z$5:$Z$304,MATCH(B30,Products!$A$5:$A$304,0)),""))</f>
        <v>0</v>
      </c>
      <c r="Q30" s="20">
        <f>IF(B30="","",IFERROR(INDEX(Products!$AH$5:$AH$304,MATCH(B30,Products!$A$5:$A$304,0))-INDEX(Products!$T$5:$T$304,MATCH(B30,Products!$A$5:$A$304,0))-INDEX(Products!$Z$5:$Z$304,MATCH(B30,Products!$A$5:$A$304,0)),0))</f>
        <v>0</v>
      </c>
      <c r="R30" s="36">
        <f>IF(B30="","",IFERROR(INDEX(Products!$X$5:$X$304,MATCH(B30,Products!$A$5:$A$304,0)),""))</f>
        <v>0</v>
      </c>
      <c r="S30" s="20">
        <f>IF(B30="","",IFERROR(INDEX(Products!$AR$5:$AR$304,MATCH(B30,Products!$A$5:$A$304,0)),""))</f>
        <v>0</v>
      </c>
      <c r="T30" s="41">
        <f>IF(B30="","",IFERROR(INDEX(SizeMaterialFactors,MATCH(E30,SizeNames,0)),1))</f>
        <v>0</v>
      </c>
      <c r="U30" s="41">
        <f>IF(B30="","",IFERROR(INDEX(SizeTimeFactors,MATCH(E30,SizeNames,0)),1))</f>
        <v>0</v>
      </c>
      <c r="V30" s="33">
        <f>IF(B30="","",IFERROR(INDEX(RushFactors,MATCH(H30,RushNames,0)),0))</f>
        <v>0</v>
      </c>
      <c r="W30" s="20">
        <f>IF(B30="","",ROUND(IF(O30="",0,O30)*T30+IF(F30="",0,F30),2))</f>
        <v>0</v>
      </c>
      <c r="X30" s="36">
        <f>IF(B30="","",ROUND(IF(R30="",0,R30)*U30+IF(G30="",0,G30),1))</f>
        <v>0</v>
      </c>
      <c r="Y30" s="20">
        <f>IF(B30="","",ROUND(IF(P30="",0,P30)*U30+IF(G30="",0,G30)/60*LaborCostHour,2))</f>
        <v>0</v>
      </c>
      <c r="Z30" s="20">
        <f>IF(B30="","",ROUND(W30+Y30+IF(Q30="",0,Q30),2))</f>
        <v>0</v>
      </c>
      <c r="AA30" s="33">
        <f>IF(B30="","",IFERROR(INDEX(Channels!$S$5:$S$18,MATCH(IF(J30="",DefaultChannel,J30),Channels!$A$5:$A$18,0)),0))</f>
        <v>0</v>
      </c>
      <c r="AB30" s="20">
        <f>IF(B30="","",IFERROR(INDEX(Channels!$T$5:$T$18,MATCH(IF(J30="",DefaultChannel,J30),Channels!$A$5:$A$18,0)),0))</f>
        <v>0</v>
      </c>
      <c r="AC30" s="41">
        <f>IF(B30="","",1-TargetRetailMargin-AA30)</f>
        <v>0</v>
      </c>
      <c r="AD30" s="20">
        <f>IF(B30="","",IF(AC30&lt;=0,"",((Z30+AB30)/AC30)*(1+V30)+IF(I30="",0,I30)))</f>
        <v>0</v>
      </c>
      <c r="AE30" s="20">
        <f>IF(B30="","",IF(AD30="","Check the settings",ROUND(IF(RoundingRule="None",AD30,IF(RoundingRule="Nearest 0.99",MAX(0.99,CEILING(AD30,1)-0.01),IF(RoundingRule="Nearest 0.95",MAX(0.95,CEILING(AD30,1)-0.05),IF(RoundingRule="Nearest 0.50",CEILING(AD30,0.5),IF(RoundingRule="Nearest 1",CEILING(AD30,1),IF(RoundingRule="Nearest 5",CEILING(AD30,5),IF(RoundingRule="Up to whole 1",CEILING(AD30,1),IF(RoundingRule="Up to whole 5",CEILING(AD30,5),ROUND(AD30,2))))))))),2)))</f>
        <v>0</v>
      </c>
      <c r="AF30" s="20">
        <f>IF(B30="","",IF(K30&lt;&gt;"",K30,IF(ISNUMBER(AE30),AE30,"")))</f>
        <v>0</v>
      </c>
      <c r="AG30" s="20">
        <f>IF(B30="","",IF(OR(AF30="",S30=""),"",ROUND(AF30-S30,2)))</f>
        <v>0</v>
      </c>
      <c r="AH30" s="20">
        <f>IF(B30="","",IF(AF30="","",ROUND(AF30*AA30+AB30,2)))</f>
        <v>0</v>
      </c>
      <c r="AI30" s="20">
        <f>IF(B30="","",IF(AF30="","",ROUND(AF30-Z30-AH30,2)))</f>
        <v>0</v>
      </c>
      <c r="AJ30" s="33">
        <f>IF(B30="","",IF(OR(AF30="",AF30=0),"",AI30/AF30))</f>
        <v>0</v>
      </c>
      <c r="AK30" s="20">
        <f>IF(B30="","",IF(OR(X30=0,X30="",AI30=""),"",ROUND((AI30+Y30)/(X30/60),2)))</f>
        <v>0</v>
      </c>
      <c r="AL30" s="43">
        <f>IF(B30="","",IF(N30="Not found","Check - no such product ID",IF(AF30="","Check - no price yet",IF(AI30&lt;0,"Loss - this version costs you money",IF(AND(AK30&lt;&gt;"",AK30&lt;MinimumWage),"Below - pays under minimum wage",IF(AND(G30&gt;0,AG30&lt;=0),"Check - extra work, no extra charge",IF(AJ30&lt;MarginWarning,"Low margin - re-price it","OK")))))))</f>
        <v>0</v>
      </c>
    </row>
    <row r="31" spans="1:38">
      <c r="A31" s="38">
        <f>IF(C31="","",VariationPrefix&amp;TEXT(ROW()-4,"0000"))</f>
        <v>0</v>
      </c>
      <c r="N31" s="13">
        <f>IF(B31="","",IFERROR(INDEX(Products!$B$5:$B$304,MATCH(B31,Products!$A$5:$A$304,0)),"Not found"))</f>
        <v>0</v>
      </c>
      <c r="O31" s="20">
        <f>IF(B31="","",IFERROR(INDEX(Products!$T$5:$T$304,MATCH(B31,Products!$A$5:$A$304,0)),""))</f>
        <v>0</v>
      </c>
      <c r="P31" s="20">
        <f>IF(B31="","",IFERROR(INDEX(Products!$Z$5:$Z$304,MATCH(B31,Products!$A$5:$A$304,0)),""))</f>
        <v>0</v>
      </c>
      <c r="Q31" s="20">
        <f>IF(B31="","",IFERROR(INDEX(Products!$AH$5:$AH$304,MATCH(B31,Products!$A$5:$A$304,0))-INDEX(Products!$T$5:$T$304,MATCH(B31,Products!$A$5:$A$304,0))-INDEX(Products!$Z$5:$Z$304,MATCH(B31,Products!$A$5:$A$304,0)),0))</f>
        <v>0</v>
      </c>
      <c r="R31" s="36">
        <f>IF(B31="","",IFERROR(INDEX(Products!$X$5:$X$304,MATCH(B31,Products!$A$5:$A$304,0)),""))</f>
        <v>0</v>
      </c>
      <c r="S31" s="20">
        <f>IF(B31="","",IFERROR(INDEX(Products!$AR$5:$AR$304,MATCH(B31,Products!$A$5:$A$304,0)),""))</f>
        <v>0</v>
      </c>
      <c r="T31" s="41">
        <f>IF(B31="","",IFERROR(INDEX(SizeMaterialFactors,MATCH(E31,SizeNames,0)),1))</f>
        <v>0</v>
      </c>
      <c r="U31" s="41">
        <f>IF(B31="","",IFERROR(INDEX(SizeTimeFactors,MATCH(E31,SizeNames,0)),1))</f>
        <v>0</v>
      </c>
      <c r="V31" s="33">
        <f>IF(B31="","",IFERROR(INDEX(RushFactors,MATCH(H31,RushNames,0)),0))</f>
        <v>0</v>
      </c>
      <c r="W31" s="20">
        <f>IF(B31="","",ROUND(IF(O31="",0,O31)*T31+IF(F31="",0,F31),2))</f>
        <v>0</v>
      </c>
      <c r="X31" s="36">
        <f>IF(B31="","",ROUND(IF(R31="",0,R31)*U31+IF(G31="",0,G31),1))</f>
        <v>0</v>
      </c>
      <c r="Y31" s="20">
        <f>IF(B31="","",ROUND(IF(P31="",0,P31)*U31+IF(G31="",0,G31)/60*LaborCostHour,2))</f>
        <v>0</v>
      </c>
      <c r="Z31" s="20">
        <f>IF(B31="","",ROUND(W31+Y31+IF(Q31="",0,Q31),2))</f>
        <v>0</v>
      </c>
      <c r="AA31" s="33">
        <f>IF(B31="","",IFERROR(INDEX(Channels!$S$5:$S$18,MATCH(IF(J31="",DefaultChannel,J31),Channels!$A$5:$A$18,0)),0))</f>
        <v>0</v>
      </c>
      <c r="AB31" s="20">
        <f>IF(B31="","",IFERROR(INDEX(Channels!$T$5:$T$18,MATCH(IF(J31="",DefaultChannel,J31),Channels!$A$5:$A$18,0)),0))</f>
        <v>0</v>
      </c>
      <c r="AC31" s="41">
        <f>IF(B31="","",1-TargetRetailMargin-AA31)</f>
        <v>0</v>
      </c>
      <c r="AD31" s="20">
        <f>IF(B31="","",IF(AC31&lt;=0,"",((Z31+AB31)/AC31)*(1+V31)+IF(I31="",0,I31)))</f>
        <v>0</v>
      </c>
      <c r="AE31" s="20">
        <f>IF(B31="","",IF(AD31="","Check the settings",ROUND(IF(RoundingRule="None",AD31,IF(RoundingRule="Nearest 0.99",MAX(0.99,CEILING(AD31,1)-0.01),IF(RoundingRule="Nearest 0.95",MAX(0.95,CEILING(AD31,1)-0.05),IF(RoundingRule="Nearest 0.50",CEILING(AD31,0.5),IF(RoundingRule="Nearest 1",CEILING(AD31,1),IF(RoundingRule="Nearest 5",CEILING(AD31,5),IF(RoundingRule="Up to whole 1",CEILING(AD31,1),IF(RoundingRule="Up to whole 5",CEILING(AD31,5),ROUND(AD31,2))))))))),2)))</f>
        <v>0</v>
      </c>
      <c r="AF31" s="20">
        <f>IF(B31="","",IF(K31&lt;&gt;"",K31,IF(ISNUMBER(AE31),AE31,"")))</f>
        <v>0</v>
      </c>
      <c r="AG31" s="20">
        <f>IF(B31="","",IF(OR(AF31="",S31=""),"",ROUND(AF31-S31,2)))</f>
        <v>0</v>
      </c>
      <c r="AH31" s="20">
        <f>IF(B31="","",IF(AF31="","",ROUND(AF31*AA31+AB31,2)))</f>
        <v>0</v>
      </c>
      <c r="AI31" s="20">
        <f>IF(B31="","",IF(AF31="","",ROUND(AF31-Z31-AH31,2)))</f>
        <v>0</v>
      </c>
      <c r="AJ31" s="33">
        <f>IF(B31="","",IF(OR(AF31="",AF31=0),"",AI31/AF31))</f>
        <v>0</v>
      </c>
      <c r="AK31" s="20">
        <f>IF(B31="","",IF(OR(X31=0,X31="",AI31=""),"",ROUND((AI31+Y31)/(X31/60),2)))</f>
        <v>0</v>
      </c>
      <c r="AL31" s="43">
        <f>IF(B31="","",IF(N31="Not found","Check - no such product ID",IF(AF31="","Check - no price yet",IF(AI31&lt;0,"Loss - this version costs you money",IF(AND(AK31&lt;&gt;"",AK31&lt;MinimumWage),"Below - pays under minimum wage",IF(AND(G31&gt;0,AG31&lt;=0),"Check - extra work, no extra charge",IF(AJ31&lt;MarginWarning,"Low margin - re-price it","OK")))))))</f>
        <v>0</v>
      </c>
    </row>
    <row r="32" spans="1:38">
      <c r="A32" s="38">
        <f>IF(C32="","",VariationPrefix&amp;TEXT(ROW()-4,"0000"))</f>
        <v>0</v>
      </c>
      <c r="N32" s="13">
        <f>IF(B32="","",IFERROR(INDEX(Products!$B$5:$B$304,MATCH(B32,Products!$A$5:$A$304,0)),"Not found"))</f>
        <v>0</v>
      </c>
      <c r="O32" s="20">
        <f>IF(B32="","",IFERROR(INDEX(Products!$T$5:$T$304,MATCH(B32,Products!$A$5:$A$304,0)),""))</f>
        <v>0</v>
      </c>
      <c r="P32" s="20">
        <f>IF(B32="","",IFERROR(INDEX(Products!$Z$5:$Z$304,MATCH(B32,Products!$A$5:$A$304,0)),""))</f>
        <v>0</v>
      </c>
      <c r="Q32" s="20">
        <f>IF(B32="","",IFERROR(INDEX(Products!$AH$5:$AH$304,MATCH(B32,Products!$A$5:$A$304,0))-INDEX(Products!$T$5:$T$304,MATCH(B32,Products!$A$5:$A$304,0))-INDEX(Products!$Z$5:$Z$304,MATCH(B32,Products!$A$5:$A$304,0)),0))</f>
        <v>0</v>
      </c>
      <c r="R32" s="36">
        <f>IF(B32="","",IFERROR(INDEX(Products!$X$5:$X$304,MATCH(B32,Products!$A$5:$A$304,0)),""))</f>
        <v>0</v>
      </c>
      <c r="S32" s="20">
        <f>IF(B32="","",IFERROR(INDEX(Products!$AR$5:$AR$304,MATCH(B32,Products!$A$5:$A$304,0)),""))</f>
        <v>0</v>
      </c>
      <c r="T32" s="41">
        <f>IF(B32="","",IFERROR(INDEX(SizeMaterialFactors,MATCH(E32,SizeNames,0)),1))</f>
        <v>0</v>
      </c>
      <c r="U32" s="41">
        <f>IF(B32="","",IFERROR(INDEX(SizeTimeFactors,MATCH(E32,SizeNames,0)),1))</f>
        <v>0</v>
      </c>
      <c r="V32" s="33">
        <f>IF(B32="","",IFERROR(INDEX(RushFactors,MATCH(H32,RushNames,0)),0))</f>
        <v>0</v>
      </c>
      <c r="W32" s="20">
        <f>IF(B32="","",ROUND(IF(O32="",0,O32)*T32+IF(F32="",0,F32),2))</f>
        <v>0</v>
      </c>
      <c r="X32" s="36">
        <f>IF(B32="","",ROUND(IF(R32="",0,R32)*U32+IF(G32="",0,G32),1))</f>
        <v>0</v>
      </c>
      <c r="Y32" s="20">
        <f>IF(B32="","",ROUND(IF(P32="",0,P32)*U32+IF(G32="",0,G32)/60*LaborCostHour,2))</f>
        <v>0</v>
      </c>
      <c r="Z32" s="20">
        <f>IF(B32="","",ROUND(W32+Y32+IF(Q32="",0,Q32),2))</f>
        <v>0</v>
      </c>
      <c r="AA32" s="33">
        <f>IF(B32="","",IFERROR(INDEX(Channels!$S$5:$S$18,MATCH(IF(J32="",DefaultChannel,J32),Channels!$A$5:$A$18,0)),0))</f>
        <v>0</v>
      </c>
      <c r="AB32" s="20">
        <f>IF(B32="","",IFERROR(INDEX(Channels!$T$5:$T$18,MATCH(IF(J32="",DefaultChannel,J32),Channels!$A$5:$A$18,0)),0))</f>
        <v>0</v>
      </c>
      <c r="AC32" s="41">
        <f>IF(B32="","",1-TargetRetailMargin-AA32)</f>
        <v>0</v>
      </c>
      <c r="AD32" s="20">
        <f>IF(B32="","",IF(AC32&lt;=0,"",((Z32+AB32)/AC32)*(1+V32)+IF(I32="",0,I32)))</f>
        <v>0</v>
      </c>
      <c r="AE32" s="20">
        <f>IF(B32="","",IF(AD32="","Check the settings",ROUND(IF(RoundingRule="None",AD32,IF(RoundingRule="Nearest 0.99",MAX(0.99,CEILING(AD32,1)-0.01),IF(RoundingRule="Nearest 0.95",MAX(0.95,CEILING(AD32,1)-0.05),IF(RoundingRule="Nearest 0.50",CEILING(AD32,0.5),IF(RoundingRule="Nearest 1",CEILING(AD32,1),IF(RoundingRule="Nearest 5",CEILING(AD32,5),IF(RoundingRule="Up to whole 1",CEILING(AD32,1),IF(RoundingRule="Up to whole 5",CEILING(AD32,5),ROUND(AD32,2))))))))),2)))</f>
        <v>0</v>
      </c>
      <c r="AF32" s="20">
        <f>IF(B32="","",IF(K32&lt;&gt;"",K32,IF(ISNUMBER(AE32),AE32,"")))</f>
        <v>0</v>
      </c>
      <c r="AG32" s="20">
        <f>IF(B32="","",IF(OR(AF32="",S32=""),"",ROUND(AF32-S32,2)))</f>
        <v>0</v>
      </c>
      <c r="AH32" s="20">
        <f>IF(B32="","",IF(AF32="","",ROUND(AF32*AA32+AB32,2)))</f>
        <v>0</v>
      </c>
      <c r="AI32" s="20">
        <f>IF(B32="","",IF(AF32="","",ROUND(AF32-Z32-AH32,2)))</f>
        <v>0</v>
      </c>
      <c r="AJ32" s="33">
        <f>IF(B32="","",IF(OR(AF32="",AF32=0),"",AI32/AF32))</f>
        <v>0</v>
      </c>
      <c r="AK32" s="20">
        <f>IF(B32="","",IF(OR(X32=0,X32="",AI32=""),"",ROUND((AI32+Y32)/(X32/60),2)))</f>
        <v>0</v>
      </c>
      <c r="AL32" s="43">
        <f>IF(B32="","",IF(N32="Not found","Check - no such product ID",IF(AF32="","Check - no price yet",IF(AI32&lt;0,"Loss - this version costs you money",IF(AND(AK32&lt;&gt;"",AK32&lt;MinimumWage),"Below - pays under minimum wage",IF(AND(G32&gt;0,AG32&lt;=0),"Check - extra work, no extra charge",IF(AJ32&lt;MarginWarning,"Low margin - re-price it","OK")))))))</f>
        <v>0</v>
      </c>
    </row>
    <row r="33" spans="1:38">
      <c r="A33" s="38">
        <f>IF(C33="","",VariationPrefix&amp;TEXT(ROW()-4,"0000"))</f>
        <v>0</v>
      </c>
      <c r="N33" s="13">
        <f>IF(B33="","",IFERROR(INDEX(Products!$B$5:$B$304,MATCH(B33,Products!$A$5:$A$304,0)),"Not found"))</f>
        <v>0</v>
      </c>
      <c r="O33" s="20">
        <f>IF(B33="","",IFERROR(INDEX(Products!$T$5:$T$304,MATCH(B33,Products!$A$5:$A$304,0)),""))</f>
        <v>0</v>
      </c>
      <c r="P33" s="20">
        <f>IF(B33="","",IFERROR(INDEX(Products!$Z$5:$Z$304,MATCH(B33,Products!$A$5:$A$304,0)),""))</f>
        <v>0</v>
      </c>
      <c r="Q33" s="20">
        <f>IF(B33="","",IFERROR(INDEX(Products!$AH$5:$AH$304,MATCH(B33,Products!$A$5:$A$304,0))-INDEX(Products!$T$5:$T$304,MATCH(B33,Products!$A$5:$A$304,0))-INDEX(Products!$Z$5:$Z$304,MATCH(B33,Products!$A$5:$A$304,0)),0))</f>
        <v>0</v>
      </c>
      <c r="R33" s="36">
        <f>IF(B33="","",IFERROR(INDEX(Products!$X$5:$X$304,MATCH(B33,Products!$A$5:$A$304,0)),""))</f>
        <v>0</v>
      </c>
      <c r="S33" s="20">
        <f>IF(B33="","",IFERROR(INDEX(Products!$AR$5:$AR$304,MATCH(B33,Products!$A$5:$A$304,0)),""))</f>
        <v>0</v>
      </c>
      <c r="T33" s="41">
        <f>IF(B33="","",IFERROR(INDEX(SizeMaterialFactors,MATCH(E33,SizeNames,0)),1))</f>
        <v>0</v>
      </c>
      <c r="U33" s="41">
        <f>IF(B33="","",IFERROR(INDEX(SizeTimeFactors,MATCH(E33,SizeNames,0)),1))</f>
        <v>0</v>
      </c>
      <c r="V33" s="33">
        <f>IF(B33="","",IFERROR(INDEX(RushFactors,MATCH(H33,RushNames,0)),0))</f>
        <v>0</v>
      </c>
      <c r="W33" s="20">
        <f>IF(B33="","",ROUND(IF(O33="",0,O33)*T33+IF(F33="",0,F33),2))</f>
        <v>0</v>
      </c>
      <c r="X33" s="36">
        <f>IF(B33="","",ROUND(IF(R33="",0,R33)*U33+IF(G33="",0,G33),1))</f>
        <v>0</v>
      </c>
      <c r="Y33" s="20">
        <f>IF(B33="","",ROUND(IF(P33="",0,P33)*U33+IF(G33="",0,G33)/60*LaborCostHour,2))</f>
        <v>0</v>
      </c>
      <c r="Z33" s="20">
        <f>IF(B33="","",ROUND(W33+Y33+IF(Q33="",0,Q33),2))</f>
        <v>0</v>
      </c>
      <c r="AA33" s="33">
        <f>IF(B33="","",IFERROR(INDEX(Channels!$S$5:$S$18,MATCH(IF(J33="",DefaultChannel,J33),Channels!$A$5:$A$18,0)),0))</f>
        <v>0</v>
      </c>
      <c r="AB33" s="20">
        <f>IF(B33="","",IFERROR(INDEX(Channels!$T$5:$T$18,MATCH(IF(J33="",DefaultChannel,J33),Channels!$A$5:$A$18,0)),0))</f>
        <v>0</v>
      </c>
      <c r="AC33" s="41">
        <f>IF(B33="","",1-TargetRetailMargin-AA33)</f>
        <v>0</v>
      </c>
      <c r="AD33" s="20">
        <f>IF(B33="","",IF(AC33&lt;=0,"",((Z33+AB33)/AC33)*(1+V33)+IF(I33="",0,I33)))</f>
        <v>0</v>
      </c>
      <c r="AE33" s="20">
        <f>IF(B33="","",IF(AD33="","Check the settings",ROUND(IF(RoundingRule="None",AD33,IF(RoundingRule="Nearest 0.99",MAX(0.99,CEILING(AD33,1)-0.01),IF(RoundingRule="Nearest 0.95",MAX(0.95,CEILING(AD33,1)-0.05),IF(RoundingRule="Nearest 0.50",CEILING(AD33,0.5),IF(RoundingRule="Nearest 1",CEILING(AD33,1),IF(RoundingRule="Nearest 5",CEILING(AD33,5),IF(RoundingRule="Up to whole 1",CEILING(AD33,1),IF(RoundingRule="Up to whole 5",CEILING(AD33,5),ROUND(AD33,2))))))))),2)))</f>
        <v>0</v>
      </c>
      <c r="AF33" s="20">
        <f>IF(B33="","",IF(K33&lt;&gt;"",K33,IF(ISNUMBER(AE33),AE33,"")))</f>
        <v>0</v>
      </c>
      <c r="AG33" s="20">
        <f>IF(B33="","",IF(OR(AF33="",S33=""),"",ROUND(AF33-S33,2)))</f>
        <v>0</v>
      </c>
      <c r="AH33" s="20">
        <f>IF(B33="","",IF(AF33="","",ROUND(AF33*AA33+AB33,2)))</f>
        <v>0</v>
      </c>
      <c r="AI33" s="20">
        <f>IF(B33="","",IF(AF33="","",ROUND(AF33-Z33-AH33,2)))</f>
        <v>0</v>
      </c>
      <c r="AJ33" s="33">
        <f>IF(B33="","",IF(OR(AF33="",AF33=0),"",AI33/AF33))</f>
        <v>0</v>
      </c>
      <c r="AK33" s="20">
        <f>IF(B33="","",IF(OR(X33=0,X33="",AI33=""),"",ROUND((AI33+Y33)/(X33/60),2)))</f>
        <v>0</v>
      </c>
      <c r="AL33" s="43">
        <f>IF(B33="","",IF(N33="Not found","Check - no such product ID",IF(AF33="","Check - no price yet",IF(AI33&lt;0,"Loss - this version costs you money",IF(AND(AK33&lt;&gt;"",AK33&lt;MinimumWage),"Below - pays under minimum wage",IF(AND(G33&gt;0,AG33&lt;=0),"Check - extra work, no extra charge",IF(AJ33&lt;MarginWarning,"Low margin - re-price it","OK")))))))</f>
        <v>0</v>
      </c>
    </row>
    <row r="34" spans="1:38">
      <c r="A34" s="38">
        <f>IF(C34="","",VariationPrefix&amp;TEXT(ROW()-4,"0000"))</f>
        <v>0</v>
      </c>
      <c r="N34" s="13">
        <f>IF(B34="","",IFERROR(INDEX(Products!$B$5:$B$304,MATCH(B34,Products!$A$5:$A$304,0)),"Not found"))</f>
        <v>0</v>
      </c>
      <c r="O34" s="20">
        <f>IF(B34="","",IFERROR(INDEX(Products!$T$5:$T$304,MATCH(B34,Products!$A$5:$A$304,0)),""))</f>
        <v>0</v>
      </c>
      <c r="P34" s="20">
        <f>IF(B34="","",IFERROR(INDEX(Products!$Z$5:$Z$304,MATCH(B34,Products!$A$5:$A$304,0)),""))</f>
        <v>0</v>
      </c>
      <c r="Q34" s="20">
        <f>IF(B34="","",IFERROR(INDEX(Products!$AH$5:$AH$304,MATCH(B34,Products!$A$5:$A$304,0))-INDEX(Products!$T$5:$T$304,MATCH(B34,Products!$A$5:$A$304,0))-INDEX(Products!$Z$5:$Z$304,MATCH(B34,Products!$A$5:$A$304,0)),0))</f>
        <v>0</v>
      </c>
      <c r="R34" s="36">
        <f>IF(B34="","",IFERROR(INDEX(Products!$X$5:$X$304,MATCH(B34,Products!$A$5:$A$304,0)),""))</f>
        <v>0</v>
      </c>
      <c r="S34" s="20">
        <f>IF(B34="","",IFERROR(INDEX(Products!$AR$5:$AR$304,MATCH(B34,Products!$A$5:$A$304,0)),""))</f>
        <v>0</v>
      </c>
      <c r="T34" s="41">
        <f>IF(B34="","",IFERROR(INDEX(SizeMaterialFactors,MATCH(E34,SizeNames,0)),1))</f>
        <v>0</v>
      </c>
      <c r="U34" s="41">
        <f>IF(B34="","",IFERROR(INDEX(SizeTimeFactors,MATCH(E34,SizeNames,0)),1))</f>
        <v>0</v>
      </c>
      <c r="V34" s="33">
        <f>IF(B34="","",IFERROR(INDEX(RushFactors,MATCH(H34,RushNames,0)),0))</f>
        <v>0</v>
      </c>
      <c r="W34" s="20">
        <f>IF(B34="","",ROUND(IF(O34="",0,O34)*T34+IF(F34="",0,F34),2))</f>
        <v>0</v>
      </c>
      <c r="X34" s="36">
        <f>IF(B34="","",ROUND(IF(R34="",0,R34)*U34+IF(G34="",0,G34),1))</f>
        <v>0</v>
      </c>
      <c r="Y34" s="20">
        <f>IF(B34="","",ROUND(IF(P34="",0,P34)*U34+IF(G34="",0,G34)/60*LaborCostHour,2))</f>
        <v>0</v>
      </c>
      <c r="Z34" s="20">
        <f>IF(B34="","",ROUND(W34+Y34+IF(Q34="",0,Q34),2))</f>
        <v>0</v>
      </c>
      <c r="AA34" s="33">
        <f>IF(B34="","",IFERROR(INDEX(Channels!$S$5:$S$18,MATCH(IF(J34="",DefaultChannel,J34),Channels!$A$5:$A$18,0)),0))</f>
        <v>0</v>
      </c>
      <c r="AB34" s="20">
        <f>IF(B34="","",IFERROR(INDEX(Channels!$T$5:$T$18,MATCH(IF(J34="",DefaultChannel,J34),Channels!$A$5:$A$18,0)),0))</f>
        <v>0</v>
      </c>
      <c r="AC34" s="41">
        <f>IF(B34="","",1-TargetRetailMargin-AA34)</f>
        <v>0</v>
      </c>
      <c r="AD34" s="20">
        <f>IF(B34="","",IF(AC34&lt;=0,"",((Z34+AB34)/AC34)*(1+V34)+IF(I34="",0,I34)))</f>
        <v>0</v>
      </c>
      <c r="AE34" s="20">
        <f>IF(B34="","",IF(AD34="","Check the settings",ROUND(IF(RoundingRule="None",AD34,IF(RoundingRule="Nearest 0.99",MAX(0.99,CEILING(AD34,1)-0.01),IF(RoundingRule="Nearest 0.95",MAX(0.95,CEILING(AD34,1)-0.05),IF(RoundingRule="Nearest 0.50",CEILING(AD34,0.5),IF(RoundingRule="Nearest 1",CEILING(AD34,1),IF(RoundingRule="Nearest 5",CEILING(AD34,5),IF(RoundingRule="Up to whole 1",CEILING(AD34,1),IF(RoundingRule="Up to whole 5",CEILING(AD34,5),ROUND(AD34,2))))))))),2)))</f>
        <v>0</v>
      </c>
      <c r="AF34" s="20">
        <f>IF(B34="","",IF(K34&lt;&gt;"",K34,IF(ISNUMBER(AE34),AE34,"")))</f>
        <v>0</v>
      </c>
      <c r="AG34" s="20">
        <f>IF(B34="","",IF(OR(AF34="",S34=""),"",ROUND(AF34-S34,2)))</f>
        <v>0</v>
      </c>
      <c r="AH34" s="20">
        <f>IF(B34="","",IF(AF34="","",ROUND(AF34*AA34+AB34,2)))</f>
        <v>0</v>
      </c>
      <c r="AI34" s="20">
        <f>IF(B34="","",IF(AF34="","",ROUND(AF34-Z34-AH34,2)))</f>
        <v>0</v>
      </c>
      <c r="AJ34" s="33">
        <f>IF(B34="","",IF(OR(AF34="",AF34=0),"",AI34/AF34))</f>
        <v>0</v>
      </c>
      <c r="AK34" s="20">
        <f>IF(B34="","",IF(OR(X34=0,X34="",AI34=""),"",ROUND((AI34+Y34)/(X34/60),2)))</f>
        <v>0</v>
      </c>
      <c r="AL34" s="43">
        <f>IF(B34="","",IF(N34="Not found","Check - no such product ID",IF(AF34="","Check - no price yet",IF(AI34&lt;0,"Loss - this version costs you money",IF(AND(AK34&lt;&gt;"",AK34&lt;MinimumWage),"Below - pays under minimum wage",IF(AND(G34&gt;0,AG34&lt;=0),"Check - extra work, no extra charge",IF(AJ34&lt;MarginWarning,"Low margin - re-price it","OK")))))))</f>
        <v>0</v>
      </c>
    </row>
    <row r="35" spans="1:38">
      <c r="A35" s="38">
        <f>IF(C35="","",VariationPrefix&amp;TEXT(ROW()-4,"0000"))</f>
        <v>0</v>
      </c>
      <c r="N35" s="13">
        <f>IF(B35="","",IFERROR(INDEX(Products!$B$5:$B$304,MATCH(B35,Products!$A$5:$A$304,0)),"Not found"))</f>
        <v>0</v>
      </c>
      <c r="O35" s="20">
        <f>IF(B35="","",IFERROR(INDEX(Products!$T$5:$T$304,MATCH(B35,Products!$A$5:$A$304,0)),""))</f>
        <v>0</v>
      </c>
      <c r="P35" s="20">
        <f>IF(B35="","",IFERROR(INDEX(Products!$Z$5:$Z$304,MATCH(B35,Products!$A$5:$A$304,0)),""))</f>
        <v>0</v>
      </c>
      <c r="Q35" s="20">
        <f>IF(B35="","",IFERROR(INDEX(Products!$AH$5:$AH$304,MATCH(B35,Products!$A$5:$A$304,0))-INDEX(Products!$T$5:$T$304,MATCH(B35,Products!$A$5:$A$304,0))-INDEX(Products!$Z$5:$Z$304,MATCH(B35,Products!$A$5:$A$304,0)),0))</f>
        <v>0</v>
      </c>
      <c r="R35" s="36">
        <f>IF(B35="","",IFERROR(INDEX(Products!$X$5:$X$304,MATCH(B35,Products!$A$5:$A$304,0)),""))</f>
        <v>0</v>
      </c>
      <c r="S35" s="20">
        <f>IF(B35="","",IFERROR(INDEX(Products!$AR$5:$AR$304,MATCH(B35,Products!$A$5:$A$304,0)),""))</f>
        <v>0</v>
      </c>
      <c r="T35" s="41">
        <f>IF(B35="","",IFERROR(INDEX(SizeMaterialFactors,MATCH(E35,SizeNames,0)),1))</f>
        <v>0</v>
      </c>
      <c r="U35" s="41">
        <f>IF(B35="","",IFERROR(INDEX(SizeTimeFactors,MATCH(E35,SizeNames,0)),1))</f>
        <v>0</v>
      </c>
      <c r="V35" s="33">
        <f>IF(B35="","",IFERROR(INDEX(RushFactors,MATCH(H35,RushNames,0)),0))</f>
        <v>0</v>
      </c>
      <c r="W35" s="20">
        <f>IF(B35="","",ROUND(IF(O35="",0,O35)*T35+IF(F35="",0,F35),2))</f>
        <v>0</v>
      </c>
      <c r="X35" s="36">
        <f>IF(B35="","",ROUND(IF(R35="",0,R35)*U35+IF(G35="",0,G35),1))</f>
        <v>0</v>
      </c>
      <c r="Y35" s="20">
        <f>IF(B35="","",ROUND(IF(P35="",0,P35)*U35+IF(G35="",0,G35)/60*LaborCostHour,2))</f>
        <v>0</v>
      </c>
      <c r="Z35" s="20">
        <f>IF(B35="","",ROUND(W35+Y35+IF(Q35="",0,Q35),2))</f>
        <v>0</v>
      </c>
      <c r="AA35" s="33">
        <f>IF(B35="","",IFERROR(INDEX(Channels!$S$5:$S$18,MATCH(IF(J35="",DefaultChannel,J35),Channels!$A$5:$A$18,0)),0))</f>
        <v>0</v>
      </c>
      <c r="AB35" s="20">
        <f>IF(B35="","",IFERROR(INDEX(Channels!$T$5:$T$18,MATCH(IF(J35="",DefaultChannel,J35),Channels!$A$5:$A$18,0)),0))</f>
        <v>0</v>
      </c>
      <c r="AC35" s="41">
        <f>IF(B35="","",1-TargetRetailMargin-AA35)</f>
        <v>0</v>
      </c>
      <c r="AD35" s="20">
        <f>IF(B35="","",IF(AC35&lt;=0,"",((Z35+AB35)/AC35)*(1+V35)+IF(I35="",0,I35)))</f>
        <v>0</v>
      </c>
      <c r="AE35" s="20">
        <f>IF(B35="","",IF(AD35="","Check the settings",ROUND(IF(RoundingRule="None",AD35,IF(RoundingRule="Nearest 0.99",MAX(0.99,CEILING(AD35,1)-0.01),IF(RoundingRule="Nearest 0.95",MAX(0.95,CEILING(AD35,1)-0.05),IF(RoundingRule="Nearest 0.50",CEILING(AD35,0.5),IF(RoundingRule="Nearest 1",CEILING(AD35,1),IF(RoundingRule="Nearest 5",CEILING(AD35,5),IF(RoundingRule="Up to whole 1",CEILING(AD35,1),IF(RoundingRule="Up to whole 5",CEILING(AD35,5),ROUND(AD35,2))))))))),2)))</f>
        <v>0</v>
      </c>
      <c r="AF35" s="20">
        <f>IF(B35="","",IF(K35&lt;&gt;"",K35,IF(ISNUMBER(AE35),AE35,"")))</f>
        <v>0</v>
      </c>
      <c r="AG35" s="20">
        <f>IF(B35="","",IF(OR(AF35="",S35=""),"",ROUND(AF35-S35,2)))</f>
        <v>0</v>
      </c>
      <c r="AH35" s="20">
        <f>IF(B35="","",IF(AF35="","",ROUND(AF35*AA35+AB35,2)))</f>
        <v>0</v>
      </c>
      <c r="AI35" s="20">
        <f>IF(B35="","",IF(AF35="","",ROUND(AF35-Z35-AH35,2)))</f>
        <v>0</v>
      </c>
      <c r="AJ35" s="33">
        <f>IF(B35="","",IF(OR(AF35="",AF35=0),"",AI35/AF35))</f>
        <v>0</v>
      </c>
      <c r="AK35" s="20">
        <f>IF(B35="","",IF(OR(X35=0,X35="",AI35=""),"",ROUND((AI35+Y35)/(X35/60),2)))</f>
        <v>0</v>
      </c>
      <c r="AL35" s="43">
        <f>IF(B35="","",IF(N35="Not found","Check - no such product ID",IF(AF35="","Check - no price yet",IF(AI35&lt;0,"Loss - this version costs you money",IF(AND(AK35&lt;&gt;"",AK35&lt;MinimumWage),"Below - pays under minimum wage",IF(AND(G35&gt;0,AG35&lt;=0),"Check - extra work, no extra charge",IF(AJ35&lt;MarginWarning,"Low margin - re-price it","OK")))))))</f>
        <v>0</v>
      </c>
    </row>
    <row r="36" spans="1:38">
      <c r="A36" s="38">
        <f>IF(C36="","",VariationPrefix&amp;TEXT(ROW()-4,"0000"))</f>
        <v>0</v>
      </c>
      <c r="N36" s="13">
        <f>IF(B36="","",IFERROR(INDEX(Products!$B$5:$B$304,MATCH(B36,Products!$A$5:$A$304,0)),"Not found"))</f>
        <v>0</v>
      </c>
      <c r="O36" s="20">
        <f>IF(B36="","",IFERROR(INDEX(Products!$T$5:$T$304,MATCH(B36,Products!$A$5:$A$304,0)),""))</f>
        <v>0</v>
      </c>
      <c r="P36" s="20">
        <f>IF(B36="","",IFERROR(INDEX(Products!$Z$5:$Z$304,MATCH(B36,Products!$A$5:$A$304,0)),""))</f>
        <v>0</v>
      </c>
      <c r="Q36" s="20">
        <f>IF(B36="","",IFERROR(INDEX(Products!$AH$5:$AH$304,MATCH(B36,Products!$A$5:$A$304,0))-INDEX(Products!$T$5:$T$304,MATCH(B36,Products!$A$5:$A$304,0))-INDEX(Products!$Z$5:$Z$304,MATCH(B36,Products!$A$5:$A$304,0)),0))</f>
        <v>0</v>
      </c>
      <c r="R36" s="36">
        <f>IF(B36="","",IFERROR(INDEX(Products!$X$5:$X$304,MATCH(B36,Products!$A$5:$A$304,0)),""))</f>
        <v>0</v>
      </c>
      <c r="S36" s="20">
        <f>IF(B36="","",IFERROR(INDEX(Products!$AR$5:$AR$304,MATCH(B36,Products!$A$5:$A$304,0)),""))</f>
        <v>0</v>
      </c>
      <c r="T36" s="41">
        <f>IF(B36="","",IFERROR(INDEX(SizeMaterialFactors,MATCH(E36,SizeNames,0)),1))</f>
        <v>0</v>
      </c>
      <c r="U36" s="41">
        <f>IF(B36="","",IFERROR(INDEX(SizeTimeFactors,MATCH(E36,SizeNames,0)),1))</f>
        <v>0</v>
      </c>
      <c r="V36" s="33">
        <f>IF(B36="","",IFERROR(INDEX(RushFactors,MATCH(H36,RushNames,0)),0))</f>
        <v>0</v>
      </c>
      <c r="W36" s="20">
        <f>IF(B36="","",ROUND(IF(O36="",0,O36)*T36+IF(F36="",0,F36),2))</f>
        <v>0</v>
      </c>
      <c r="X36" s="36">
        <f>IF(B36="","",ROUND(IF(R36="",0,R36)*U36+IF(G36="",0,G36),1))</f>
        <v>0</v>
      </c>
      <c r="Y36" s="20">
        <f>IF(B36="","",ROUND(IF(P36="",0,P36)*U36+IF(G36="",0,G36)/60*LaborCostHour,2))</f>
        <v>0</v>
      </c>
      <c r="Z36" s="20">
        <f>IF(B36="","",ROUND(W36+Y36+IF(Q36="",0,Q36),2))</f>
        <v>0</v>
      </c>
      <c r="AA36" s="33">
        <f>IF(B36="","",IFERROR(INDEX(Channels!$S$5:$S$18,MATCH(IF(J36="",DefaultChannel,J36),Channels!$A$5:$A$18,0)),0))</f>
        <v>0</v>
      </c>
      <c r="AB36" s="20">
        <f>IF(B36="","",IFERROR(INDEX(Channels!$T$5:$T$18,MATCH(IF(J36="",DefaultChannel,J36),Channels!$A$5:$A$18,0)),0))</f>
        <v>0</v>
      </c>
      <c r="AC36" s="41">
        <f>IF(B36="","",1-TargetRetailMargin-AA36)</f>
        <v>0</v>
      </c>
      <c r="AD36" s="20">
        <f>IF(B36="","",IF(AC36&lt;=0,"",((Z36+AB36)/AC36)*(1+V36)+IF(I36="",0,I36)))</f>
        <v>0</v>
      </c>
      <c r="AE36" s="20">
        <f>IF(B36="","",IF(AD36="","Check the settings",ROUND(IF(RoundingRule="None",AD36,IF(RoundingRule="Nearest 0.99",MAX(0.99,CEILING(AD36,1)-0.01),IF(RoundingRule="Nearest 0.95",MAX(0.95,CEILING(AD36,1)-0.05),IF(RoundingRule="Nearest 0.50",CEILING(AD36,0.5),IF(RoundingRule="Nearest 1",CEILING(AD36,1),IF(RoundingRule="Nearest 5",CEILING(AD36,5),IF(RoundingRule="Up to whole 1",CEILING(AD36,1),IF(RoundingRule="Up to whole 5",CEILING(AD36,5),ROUND(AD36,2))))))))),2)))</f>
        <v>0</v>
      </c>
      <c r="AF36" s="20">
        <f>IF(B36="","",IF(K36&lt;&gt;"",K36,IF(ISNUMBER(AE36),AE36,"")))</f>
        <v>0</v>
      </c>
      <c r="AG36" s="20">
        <f>IF(B36="","",IF(OR(AF36="",S36=""),"",ROUND(AF36-S36,2)))</f>
        <v>0</v>
      </c>
      <c r="AH36" s="20">
        <f>IF(B36="","",IF(AF36="","",ROUND(AF36*AA36+AB36,2)))</f>
        <v>0</v>
      </c>
      <c r="AI36" s="20">
        <f>IF(B36="","",IF(AF36="","",ROUND(AF36-Z36-AH36,2)))</f>
        <v>0</v>
      </c>
      <c r="AJ36" s="33">
        <f>IF(B36="","",IF(OR(AF36="",AF36=0),"",AI36/AF36))</f>
        <v>0</v>
      </c>
      <c r="AK36" s="20">
        <f>IF(B36="","",IF(OR(X36=0,X36="",AI36=""),"",ROUND((AI36+Y36)/(X36/60),2)))</f>
        <v>0</v>
      </c>
      <c r="AL36" s="43">
        <f>IF(B36="","",IF(N36="Not found","Check - no such product ID",IF(AF36="","Check - no price yet",IF(AI36&lt;0,"Loss - this version costs you money",IF(AND(AK36&lt;&gt;"",AK36&lt;MinimumWage),"Below - pays under minimum wage",IF(AND(G36&gt;0,AG36&lt;=0),"Check - extra work, no extra charge",IF(AJ36&lt;MarginWarning,"Low margin - re-price it","OK")))))))</f>
        <v>0</v>
      </c>
    </row>
    <row r="37" spans="1:38">
      <c r="A37" s="38">
        <f>IF(C37="","",VariationPrefix&amp;TEXT(ROW()-4,"0000"))</f>
        <v>0</v>
      </c>
      <c r="N37" s="13">
        <f>IF(B37="","",IFERROR(INDEX(Products!$B$5:$B$304,MATCH(B37,Products!$A$5:$A$304,0)),"Not found"))</f>
        <v>0</v>
      </c>
      <c r="O37" s="20">
        <f>IF(B37="","",IFERROR(INDEX(Products!$T$5:$T$304,MATCH(B37,Products!$A$5:$A$304,0)),""))</f>
        <v>0</v>
      </c>
      <c r="P37" s="20">
        <f>IF(B37="","",IFERROR(INDEX(Products!$Z$5:$Z$304,MATCH(B37,Products!$A$5:$A$304,0)),""))</f>
        <v>0</v>
      </c>
      <c r="Q37" s="20">
        <f>IF(B37="","",IFERROR(INDEX(Products!$AH$5:$AH$304,MATCH(B37,Products!$A$5:$A$304,0))-INDEX(Products!$T$5:$T$304,MATCH(B37,Products!$A$5:$A$304,0))-INDEX(Products!$Z$5:$Z$304,MATCH(B37,Products!$A$5:$A$304,0)),0))</f>
        <v>0</v>
      </c>
      <c r="R37" s="36">
        <f>IF(B37="","",IFERROR(INDEX(Products!$X$5:$X$304,MATCH(B37,Products!$A$5:$A$304,0)),""))</f>
        <v>0</v>
      </c>
      <c r="S37" s="20">
        <f>IF(B37="","",IFERROR(INDEX(Products!$AR$5:$AR$304,MATCH(B37,Products!$A$5:$A$304,0)),""))</f>
        <v>0</v>
      </c>
      <c r="T37" s="41">
        <f>IF(B37="","",IFERROR(INDEX(SizeMaterialFactors,MATCH(E37,SizeNames,0)),1))</f>
        <v>0</v>
      </c>
      <c r="U37" s="41">
        <f>IF(B37="","",IFERROR(INDEX(SizeTimeFactors,MATCH(E37,SizeNames,0)),1))</f>
        <v>0</v>
      </c>
      <c r="V37" s="33">
        <f>IF(B37="","",IFERROR(INDEX(RushFactors,MATCH(H37,RushNames,0)),0))</f>
        <v>0</v>
      </c>
      <c r="W37" s="20">
        <f>IF(B37="","",ROUND(IF(O37="",0,O37)*T37+IF(F37="",0,F37),2))</f>
        <v>0</v>
      </c>
      <c r="X37" s="36">
        <f>IF(B37="","",ROUND(IF(R37="",0,R37)*U37+IF(G37="",0,G37),1))</f>
        <v>0</v>
      </c>
      <c r="Y37" s="20">
        <f>IF(B37="","",ROUND(IF(P37="",0,P37)*U37+IF(G37="",0,G37)/60*LaborCostHour,2))</f>
        <v>0</v>
      </c>
      <c r="Z37" s="20">
        <f>IF(B37="","",ROUND(W37+Y37+IF(Q37="",0,Q37),2))</f>
        <v>0</v>
      </c>
      <c r="AA37" s="33">
        <f>IF(B37="","",IFERROR(INDEX(Channels!$S$5:$S$18,MATCH(IF(J37="",DefaultChannel,J37),Channels!$A$5:$A$18,0)),0))</f>
        <v>0</v>
      </c>
      <c r="AB37" s="20">
        <f>IF(B37="","",IFERROR(INDEX(Channels!$T$5:$T$18,MATCH(IF(J37="",DefaultChannel,J37),Channels!$A$5:$A$18,0)),0))</f>
        <v>0</v>
      </c>
      <c r="AC37" s="41">
        <f>IF(B37="","",1-TargetRetailMargin-AA37)</f>
        <v>0</v>
      </c>
      <c r="AD37" s="20">
        <f>IF(B37="","",IF(AC37&lt;=0,"",((Z37+AB37)/AC37)*(1+V37)+IF(I37="",0,I37)))</f>
        <v>0</v>
      </c>
      <c r="AE37" s="20">
        <f>IF(B37="","",IF(AD37="","Check the settings",ROUND(IF(RoundingRule="None",AD37,IF(RoundingRule="Nearest 0.99",MAX(0.99,CEILING(AD37,1)-0.01),IF(RoundingRule="Nearest 0.95",MAX(0.95,CEILING(AD37,1)-0.05),IF(RoundingRule="Nearest 0.50",CEILING(AD37,0.5),IF(RoundingRule="Nearest 1",CEILING(AD37,1),IF(RoundingRule="Nearest 5",CEILING(AD37,5),IF(RoundingRule="Up to whole 1",CEILING(AD37,1),IF(RoundingRule="Up to whole 5",CEILING(AD37,5),ROUND(AD37,2))))))))),2)))</f>
        <v>0</v>
      </c>
      <c r="AF37" s="20">
        <f>IF(B37="","",IF(K37&lt;&gt;"",K37,IF(ISNUMBER(AE37),AE37,"")))</f>
        <v>0</v>
      </c>
      <c r="AG37" s="20">
        <f>IF(B37="","",IF(OR(AF37="",S37=""),"",ROUND(AF37-S37,2)))</f>
        <v>0</v>
      </c>
      <c r="AH37" s="20">
        <f>IF(B37="","",IF(AF37="","",ROUND(AF37*AA37+AB37,2)))</f>
        <v>0</v>
      </c>
      <c r="AI37" s="20">
        <f>IF(B37="","",IF(AF37="","",ROUND(AF37-Z37-AH37,2)))</f>
        <v>0</v>
      </c>
      <c r="AJ37" s="33">
        <f>IF(B37="","",IF(OR(AF37="",AF37=0),"",AI37/AF37))</f>
        <v>0</v>
      </c>
      <c r="AK37" s="20">
        <f>IF(B37="","",IF(OR(X37=0,X37="",AI37=""),"",ROUND((AI37+Y37)/(X37/60),2)))</f>
        <v>0</v>
      </c>
      <c r="AL37" s="43">
        <f>IF(B37="","",IF(N37="Not found","Check - no such product ID",IF(AF37="","Check - no price yet",IF(AI37&lt;0,"Loss - this version costs you money",IF(AND(AK37&lt;&gt;"",AK37&lt;MinimumWage),"Below - pays under minimum wage",IF(AND(G37&gt;0,AG37&lt;=0),"Check - extra work, no extra charge",IF(AJ37&lt;MarginWarning,"Low margin - re-price it","OK")))))))</f>
        <v>0</v>
      </c>
    </row>
    <row r="38" spans="1:38">
      <c r="A38" s="38">
        <f>IF(C38="","",VariationPrefix&amp;TEXT(ROW()-4,"0000"))</f>
        <v>0</v>
      </c>
      <c r="N38" s="13">
        <f>IF(B38="","",IFERROR(INDEX(Products!$B$5:$B$304,MATCH(B38,Products!$A$5:$A$304,0)),"Not found"))</f>
        <v>0</v>
      </c>
      <c r="O38" s="20">
        <f>IF(B38="","",IFERROR(INDEX(Products!$T$5:$T$304,MATCH(B38,Products!$A$5:$A$304,0)),""))</f>
        <v>0</v>
      </c>
      <c r="P38" s="20">
        <f>IF(B38="","",IFERROR(INDEX(Products!$Z$5:$Z$304,MATCH(B38,Products!$A$5:$A$304,0)),""))</f>
        <v>0</v>
      </c>
      <c r="Q38" s="20">
        <f>IF(B38="","",IFERROR(INDEX(Products!$AH$5:$AH$304,MATCH(B38,Products!$A$5:$A$304,0))-INDEX(Products!$T$5:$T$304,MATCH(B38,Products!$A$5:$A$304,0))-INDEX(Products!$Z$5:$Z$304,MATCH(B38,Products!$A$5:$A$304,0)),0))</f>
        <v>0</v>
      </c>
      <c r="R38" s="36">
        <f>IF(B38="","",IFERROR(INDEX(Products!$X$5:$X$304,MATCH(B38,Products!$A$5:$A$304,0)),""))</f>
        <v>0</v>
      </c>
      <c r="S38" s="20">
        <f>IF(B38="","",IFERROR(INDEX(Products!$AR$5:$AR$304,MATCH(B38,Products!$A$5:$A$304,0)),""))</f>
        <v>0</v>
      </c>
      <c r="T38" s="41">
        <f>IF(B38="","",IFERROR(INDEX(SizeMaterialFactors,MATCH(E38,SizeNames,0)),1))</f>
        <v>0</v>
      </c>
      <c r="U38" s="41">
        <f>IF(B38="","",IFERROR(INDEX(SizeTimeFactors,MATCH(E38,SizeNames,0)),1))</f>
        <v>0</v>
      </c>
      <c r="V38" s="33">
        <f>IF(B38="","",IFERROR(INDEX(RushFactors,MATCH(H38,RushNames,0)),0))</f>
        <v>0</v>
      </c>
      <c r="W38" s="20">
        <f>IF(B38="","",ROUND(IF(O38="",0,O38)*T38+IF(F38="",0,F38),2))</f>
        <v>0</v>
      </c>
      <c r="X38" s="36">
        <f>IF(B38="","",ROUND(IF(R38="",0,R38)*U38+IF(G38="",0,G38),1))</f>
        <v>0</v>
      </c>
      <c r="Y38" s="20">
        <f>IF(B38="","",ROUND(IF(P38="",0,P38)*U38+IF(G38="",0,G38)/60*LaborCostHour,2))</f>
        <v>0</v>
      </c>
      <c r="Z38" s="20">
        <f>IF(B38="","",ROUND(W38+Y38+IF(Q38="",0,Q38),2))</f>
        <v>0</v>
      </c>
      <c r="AA38" s="33">
        <f>IF(B38="","",IFERROR(INDEX(Channels!$S$5:$S$18,MATCH(IF(J38="",DefaultChannel,J38),Channels!$A$5:$A$18,0)),0))</f>
        <v>0</v>
      </c>
      <c r="AB38" s="20">
        <f>IF(B38="","",IFERROR(INDEX(Channels!$T$5:$T$18,MATCH(IF(J38="",DefaultChannel,J38),Channels!$A$5:$A$18,0)),0))</f>
        <v>0</v>
      </c>
      <c r="AC38" s="41">
        <f>IF(B38="","",1-TargetRetailMargin-AA38)</f>
        <v>0</v>
      </c>
      <c r="AD38" s="20">
        <f>IF(B38="","",IF(AC38&lt;=0,"",((Z38+AB38)/AC38)*(1+V38)+IF(I38="",0,I38)))</f>
        <v>0</v>
      </c>
      <c r="AE38" s="20">
        <f>IF(B38="","",IF(AD38="","Check the settings",ROUND(IF(RoundingRule="None",AD38,IF(RoundingRule="Nearest 0.99",MAX(0.99,CEILING(AD38,1)-0.01),IF(RoundingRule="Nearest 0.95",MAX(0.95,CEILING(AD38,1)-0.05),IF(RoundingRule="Nearest 0.50",CEILING(AD38,0.5),IF(RoundingRule="Nearest 1",CEILING(AD38,1),IF(RoundingRule="Nearest 5",CEILING(AD38,5),IF(RoundingRule="Up to whole 1",CEILING(AD38,1),IF(RoundingRule="Up to whole 5",CEILING(AD38,5),ROUND(AD38,2))))))))),2)))</f>
        <v>0</v>
      </c>
      <c r="AF38" s="20">
        <f>IF(B38="","",IF(K38&lt;&gt;"",K38,IF(ISNUMBER(AE38),AE38,"")))</f>
        <v>0</v>
      </c>
      <c r="AG38" s="20">
        <f>IF(B38="","",IF(OR(AF38="",S38=""),"",ROUND(AF38-S38,2)))</f>
        <v>0</v>
      </c>
      <c r="AH38" s="20">
        <f>IF(B38="","",IF(AF38="","",ROUND(AF38*AA38+AB38,2)))</f>
        <v>0</v>
      </c>
      <c r="AI38" s="20">
        <f>IF(B38="","",IF(AF38="","",ROUND(AF38-Z38-AH38,2)))</f>
        <v>0</v>
      </c>
      <c r="AJ38" s="33">
        <f>IF(B38="","",IF(OR(AF38="",AF38=0),"",AI38/AF38))</f>
        <v>0</v>
      </c>
      <c r="AK38" s="20">
        <f>IF(B38="","",IF(OR(X38=0,X38="",AI38=""),"",ROUND((AI38+Y38)/(X38/60),2)))</f>
        <v>0</v>
      </c>
      <c r="AL38" s="43">
        <f>IF(B38="","",IF(N38="Not found","Check - no such product ID",IF(AF38="","Check - no price yet",IF(AI38&lt;0,"Loss - this version costs you money",IF(AND(AK38&lt;&gt;"",AK38&lt;MinimumWage),"Below - pays under minimum wage",IF(AND(G38&gt;0,AG38&lt;=0),"Check - extra work, no extra charge",IF(AJ38&lt;MarginWarning,"Low margin - re-price it","OK")))))))</f>
        <v>0</v>
      </c>
    </row>
    <row r="39" spans="1:38">
      <c r="A39" s="38">
        <f>IF(C39="","",VariationPrefix&amp;TEXT(ROW()-4,"0000"))</f>
        <v>0</v>
      </c>
      <c r="N39" s="13">
        <f>IF(B39="","",IFERROR(INDEX(Products!$B$5:$B$304,MATCH(B39,Products!$A$5:$A$304,0)),"Not found"))</f>
        <v>0</v>
      </c>
      <c r="O39" s="20">
        <f>IF(B39="","",IFERROR(INDEX(Products!$T$5:$T$304,MATCH(B39,Products!$A$5:$A$304,0)),""))</f>
        <v>0</v>
      </c>
      <c r="P39" s="20">
        <f>IF(B39="","",IFERROR(INDEX(Products!$Z$5:$Z$304,MATCH(B39,Products!$A$5:$A$304,0)),""))</f>
        <v>0</v>
      </c>
      <c r="Q39" s="20">
        <f>IF(B39="","",IFERROR(INDEX(Products!$AH$5:$AH$304,MATCH(B39,Products!$A$5:$A$304,0))-INDEX(Products!$T$5:$T$304,MATCH(B39,Products!$A$5:$A$304,0))-INDEX(Products!$Z$5:$Z$304,MATCH(B39,Products!$A$5:$A$304,0)),0))</f>
        <v>0</v>
      </c>
      <c r="R39" s="36">
        <f>IF(B39="","",IFERROR(INDEX(Products!$X$5:$X$304,MATCH(B39,Products!$A$5:$A$304,0)),""))</f>
        <v>0</v>
      </c>
      <c r="S39" s="20">
        <f>IF(B39="","",IFERROR(INDEX(Products!$AR$5:$AR$304,MATCH(B39,Products!$A$5:$A$304,0)),""))</f>
        <v>0</v>
      </c>
      <c r="T39" s="41">
        <f>IF(B39="","",IFERROR(INDEX(SizeMaterialFactors,MATCH(E39,SizeNames,0)),1))</f>
        <v>0</v>
      </c>
      <c r="U39" s="41">
        <f>IF(B39="","",IFERROR(INDEX(SizeTimeFactors,MATCH(E39,SizeNames,0)),1))</f>
        <v>0</v>
      </c>
      <c r="V39" s="33">
        <f>IF(B39="","",IFERROR(INDEX(RushFactors,MATCH(H39,RushNames,0)),0))</f>
        <v>0</v>
      </c>
      <c r="W39" s="20">
        <f>IF(B39="","",ROUND(IF(O39="",0,O39)*T39+IF(F39="",0,F39),2))</f>
        <v>0</v>
      </c>
      <c r="X39" s="36">
        <f>IF(B39="","",ROUND(IF(R39="",0,R39)*U39+IF(G39="",0,G39),1))</f>
        <v>0</v>
      </c>
      <c r="Y39" s="20">
        <f>IF(B39="","",ROUND(IF(P39="",0,P39)*U39+IF(G39="",0,G39)/60*LaborCostHour,2))</f>
        <v>0</v>
      </c>
      <c r="Z39" s="20">
        <f>IF(B39="","",ROUND(W39+Y39+IF(Q39="",0,Q39),2))</f>
        <v>0</v>
      </c>
      <c r="AA39" s="33">
        <f>IF(B39="","",IFERROR(INDEX(Channels!$S$5:$S$18,MATCH(IF(J39="",DefaultChannel,J39),Channels!$A$5:$A$18,0)),0))</f>
        <v>0</v>
      </c>
      <c r="AB39" s="20">
        <f>IF(B39="","",IFERROR(INDEX(Channels!$T$5:$T$18,MATCH(IF(J39="",DefaultChannel,J39),Channels!$A$5:$A$18,0)),0))</f>
        <v>0</v>
      </c>
      <c r="AC39" s="41">
        <f>IF(B39="","",1-TargetRetailMargin-AA39)</f>
        <v>0</v>
      </c>
      <c r="AD39" s="20">
        <f>IF(B39="","",IF(AC39&lt;=0,"",((Z39+AB39)/AC39)*(1+V39)+IF(I39="",0,I39)))</f>
        <v>0</v>
      </c>
      <c r="AE39" s="20">
        <f>IF(B39="","",IF(AD39="","Check the settings",ROUND(IF(RoundingRule="None",AD39,IF(RoundingRule="Nearest 0.99",MAX(0.99,CEILING(AD39,1)-0.01),IF(RoundingRule="Nearest 0.95",MAX(0.95,CEILING(AD39,1)-0.05),IF(RoundingRule="Nearest 0.50",CEILING(AD39,0.5),IF(RoundingRule="Nearest 1",CEILING(AD39,1),IF(RoundingRule="Nearest 5",CEILING(AD39,5),IF(RoundingRule="Up to whole 1",CEILING(AD39,1),IF(RoundingRule="Up to whole 5",CEILING(AD39,5),ROUND(AD39,2))))))))),2)))</f>
        <v>0</v>
      </c>
      <c r="AF39" s="20">
        <f>IF(B39="","",IF(K39&lt;&gt;"",K39,IF(ISNUMBER(AE39),AE39,"")))</f>
        <v>0</v>
      </c>
      <c r="AG39" s="20">
        <f>IF(B39="","",IF(OR(AF39="",S39=""),"",ROUND(AF39-S39,2)))</f>
        <v>0</v>
      </c>
      <c r="AH39" s="20">
        <f>IF(B39="","",IF(AF39="","",ROUND(AF39*AA39+AB39,2)))</f>
        <v>0</v>
      </c>
      <c r="AI39" s="20">
        <f>IF(B39="","",IF(AF39="","",ROUND(AF39-Z39-AH39,2)))</f>
        <v>0</v>
      </c>
      <c r="AJ39" s="33">
        <f>IF(B39="","",IF(OR(AF39="",AF39=0),"",AI39/AF39))</f>
        <v>0</v>
      </c>
      <c r="AK39" s="20">
        <f>IF(B39="","",IF(OR(X39=0,X39="",AI39=""),"",ROUND((AI39+Y39)/(X39/60),2)))</f>
        <v>0</v>
      </c>
      <c r="AL39" s="43">
        <f>IF(B39="","",IF(N39="Not found","Check - no such product ID",IF(AF39="","Check - no price yet",IF(AI39&lt;0,"Loss - this version costs you money",IF(AND(AK39&lt;&gt;"",AK39&lt;MinimumWage),"Below - pays under minimum wage",IF(AND(G39&gt;0,AG39&lt;=0),"Check - extra work, no extra charge",IF(AJ39&lt;MarginWarning,"Low margin - re-price it","OK")))))))</f>
        <v>0</v>
      </c>
    </row>
    <row r="40" spans="1:38">
      <c r="A40" s="38">
        <f>IF(C40="","",VariationPrefix&amp;TEXT(ROW()-4,"0000"))</f>
        <v>0</v>
      </c>
      <c r="N40" s="13">
        <f>IF(B40="","",IFERROR(INDEX(Products!$B$5:$B$304,MATCH(B40,Products!$A$5:$A$304,0)),"Not found"))</f>
        <v>0</v>
      </c>
      <c r="O40" s="20">
        <f>IF(B40="","",IFERROR(INDEX(Products!$T$5:$T$304,MATCH(B40,Products!$A$5:$A$304,0)),""))</f>
        <v>0</v>
      </c>
      <c r="P40" s="20">
        <f>IF(B40="","",IFERROR(INDEX(Products!$Z$5:$Z$304,MATCH(B40,Products!$A$5:$A$304,0)),""))</f>
        <v>0</v>
      </c>
      <c r="Q40" s="20">
        <f>IF(B40="","",IFERROR(INDEX(Products!$AH$5:$AH$304,MATCH(B40,Products!$A$5:$A$304,0))-INDEX(Products!$T$5:$T$304,MATCH(B40,Products!$A$5:$A$304,0))-INDEX(Products!$Z$5:$Z$304,MATCH(B40,Products!$A$5:$A$304,0)),0))</f>
        <v>0</v>
      </c>
      <c r="R40" s="36">
        <f>IF(B40="","",IFERROR(INDEX(Products!$X$5:$X$304,MATCH(B40,Products!$A$5:$A$304,0)),""))</f>
        <v>0</v>
      </c>
      <c r="S40" s="20">
        <f>IF(B40="","",IFERROR(INDEX(Products!$AR$5:$AR$304,MATCH(B40,Products!$A$5:$A$304,0)),""))</f>
        <v>0</v>
      </c>
      <c r="T40" s="41">
        <f>IF(B40="","",IFERROR(INDEX(SizeMaterialFactors,MATCH(E40,SizeNames,0)),1))</f>
        <v>0</v>
      </c>
      <c r="U40" s="41">
        <f>IF(B40="","",IFERROR(INDEX(SizeTimeFactors,MATCH(E40,SizeNames,0)),1))</f>
        <v>0</v>
      </c>
      <c r="V40" s="33">
        <f>IF(B40="","",IFERROR(INDEX(RushFactors,MATCH(H40,RushNames,0)),0))</f>
        <v>0</v>
      </c>
      <c r="W40" s="20">
        <f>IF(B40="","",ROUND(IF(O40="",0,O40)*T40+IF(F40="",0,F40),2))</f>
        <v>0</v>
      </c>
      <c r="X40" s="36">
        <f>IF(B40="","",ROUND(IF(R40="",0,R40)*U40+IF(G40="",0,G40),1))</f>
        <v>0</v>
      </c>
      <c r="Y40" s="20">
        <f>IF(B40="","",ROUND(IF(P40="",0,P40)*U40+IF(G40="",0,G40)/60*LaborCostHour,2))</f>
        <v>0</v>
      </c>
      <c r="Z40" s="20">
        <f>IF(B40="","",ROUND(W40+Y40+IF(Q40="",0,Q40),2))</f>
        <v>0</v>
      </c>
      <c r="AA40" s="33">
        <f>IF(B40="","",IFERROR(INDEX(Channels!$S$5:$S$18,MATCH(IF(J40="",DefaultChannel,J40),Channels!$A$5:$A$18,0)),0))</f>
        <v>0</v>
      </c>
      <c r="AB40" s="20">
        <f>IF(B40="","",IFERROR(INDEX(Channels!$T$5:$T$18,MATCH(IF(J40="",DefaultChannel,J40),Channels!$A$5:$A$18,0)),0))</f>
        <v>0</v>
      </c>
      <c r="AC40" s="41">
        <f>IF(B40="","",1-TargetRetailMargin-AA40)</f>
        <v>0</v>
      </c>
      <c r="AD40" s="20">
        <f>IF(B40="","",IF(AC40&lt;=0,"",((Z40+AB40)/AC40)*(1+V40)+IF(I40="",0,I40)))</f>
        <v>0</v>
      </c>
      <c r="AE40" s="20">
        <f>IF(B40="","",IF(AD40="","Check the settings",ROUND(IF(RoundingRule="None",AD40,IF(RoundingRule="Nearest 0.99",MAX(0.99,CEILING(AD40,1)-0.01),IF(RoundingRule="Nearest 0.95",MAX(0.95,CEILING(AD40,1)-0.05),IF(RoundingRule="Nearest 0.50",CEILING(AD40,0.5),IF(RoundingRule="Nearest 1",CEILING(AD40,1),IF(RoundingRule="Nearest 5",CEILING(AD40,5),IF(RoundingRule="Up to whole 1",CEILING(AD40,1),IF(RoundingRule="Up to whole 5",CEILING(AD40,5),ROUND(AD40,2))))))))),2)))</f>
        <v>0</v>
      </c>
      <c r="AF40" s="20">
        <f>IF(B40="","",IF(K40&lt;&gt;"",K40,IF(ISNUMBER(AE40),AE40,"")))</f>
        <v>0</v>
      </c>
      <c r="AG40" s="20">
        <f>IF(B40="","",IF(OR(AF40="",S40=""),"",ROUND(AF40-S40,2)))</f>
        <v>0</v>
      </c>
      <c r="AH40" s="20">
        <f>IF(B40="","",IF(AF40="","",ROUND(AF40*AA40+AB40,2)))</f>
        <v>0</v>
      </c>
      <c r="AI40" s="20">
        <f>IF(B40="","",IF(AF40="","",ROUND(AF40-Z40-AH40,2)))</f>
        <v>0</v>
      </c>
      <c r="AJ40" s="33">
        <f>IF(B40="","",IF(OR(AF40="",AF40=0),"",AI40/AF40))</f>
        <v>0</v>
      </c>
      <c r="AK40" s="20">
        <f>IF(B40="","",IF(OR(X40=0,X40="",AI40=""),"",ROUND((AI40+Y40)/(X40/60),2)))</f>
        <v>0</v>
      </c>
      <c r="AL40" s="43">
        <f>IF(B40="","",IF(N40="Not found","Check - no such product ID",IF(AF40="","Check - no price yet",IF(AI40&lt;0,"Loss - this version costs you money",IF(AND(AK40&lt;&gt;"",AK40&lt;MinimumWage),"Below - pays under minimum wage",IF(AND(G40&gt;0,AG40&lt;=0),"Check - extra work, no extra charge",IF(AJ40&lt;MarginWarning,"Low margin - re-price it","OK")))))))</f>
        <v>0</v>
      </c>
    </row>
    <row r="41" spans="1:38">
      <c r="A41" s="38">
        <f>IF(C41="","",VariationPrefix&amp;TEXT(ROW()-4,"0000"))</f>
        <v>0</v>
      </c>
      <c r="N41" s="13">
        <f>IF(B41="","",IFERROR(INDEX(Products!$B$5:$B$304,MATCH(B41,Products!$A$5:$A$304,0)),"Not found"))</f>
        <v>0</v>
      </c>
      <c r="O41" s="20">
        <f>IF(B41="","",IFERROR(INDEX(Products!$T$5:$T$304,MATCH(B41,Products!$A$5:$A$304,0)),""))</f>
        <v>0</v>
      </c>
      <c r="P41" s="20">
        <f>IF(B41="","",IFERROR(INDEX(Products!$Z$5:$Z$304,MATCH(B41,Products!$A$5:$A$304,0)),""))</f>
        <v>0</v>
      </c>
      <c r="Q41" s="20">
        <f>IF(B41="","",IFERROR(INDEX(Products!$AH$5:$AH$304,MATCH(B41,Products!$A$5:$A$304,0))-INDEX(Products!$T$5:$T$304,MATCH(B41,Products!$A$5:$A$304,0))-INDEX(Products!$Z$5:$Z$304,MATCH(B41,Products!$A$5:$A$304,0)),0))</f>
        <v>0</v>
      </c>
      <c r="R41" s="36">
        <f>IF(B41="","",IFERROR(INDEX(Products!$X$5:$X$304,MATCH(B41,Products!$A$5:$A$304,0)),""))</f>
        <v>0</v>
      </c>
      <c r="S41" s="20">
        <f>IF(B41="","",IFERROR(INDEX(Products!$AR$5:$AR$304,MATCH(B41,Products!$A$5:$A$304,0)),""))</f>
        <v>0</v>
      </c>
      <c r="T41" s="41">
        <f>IF(B41="","",IFERROR(INDEX(SizeMaterialFactors,MATCH(E41,SizeNames,0)),1))</f>
        <v>0</v>
      </c>
      <c r="U41" s="41">
        <f>IF(B41="","",IFERROR(INDEX(SizeTimeFactors,MATCH(E41,SizeNames,0)),1))</f>
        <v>0</v>
      </c>
      <c r="V41" s="33">
        <f>IF(B41="","",IFERROR(INDEX(RushFactors,MATCH(H41,RushNames,0)),0))</f>
        <v>0</v>
      </c>
      <c r="W41" s="20">
        <f>IF(B41="","",ROUND(IF(O41="",0,O41)*T41+IF(F41="",0,F41),2))</f>
        <v>0</v>
      </c>
      <c r="X41" s="36">
        <f>IF(B41="","",ROUND(IF(R41="",0,R41)*U41+IF(G41="",0,G41),1))</f>
        <v>0</v>
      </c>
      <c r="Y41" s="20">
        <f>IF(B41="","",ROUND(IF(P41="",0,P41)*U41+IF(G41="",0,G41)/60*LaborCostHour,2))</f>
        <v>0</v>
      </c>
      <c r="Z41" s="20">
        <f>IF(B41="","",ROUND(W41+Y41+IF(Q41="",0,Q41),2))</f>
        <v>0</v>
      </c>
      <c r="AA41" s="33">
        <f>IF(B41="","",IFERROR(INDEX(Channels!$S$5:$S$18,MATCH(IF(J41="",DefaultChannel,J41),Channels!$A$5:$A$18,0)),0))</f>
        <v>0</v>
      </c>
      <c r="AB41" s="20">
        <f>IF(B41="","",IFERROR(INDEX(Channels!$T$5:$T$18,MATCH(IF(J41="",DefaultChannel,J41),Channels!$A$5:$A$18,0)),0))</f>
        <v>0</v>
      </c>
      <c r="AC41" s="41">
        <f>IF(B41="","",1-TargetRetailMargin-AA41)</f>
        <v>0</v>
      </c>
      <c r="AD41" s="20">
        <f>IF(B41="","",IF(AC41&lt;=0,"",((Z41+AB41)/AC41)*(1+V41)+IF(I41="",0,I41)))</f>
        <v>0</v>
      </c>
      <c r="AE41" s="20">
        <f>IF(B41="","",IF(AD41="","Check the settings",ROUND(IF(RoundingRule="None",AD41,IF(RoundingRule="Nearest 0.99",MAX(0.99,CEILING(AD41,1)-0.01),IF(RoundingRule="Nearest 0.95",MAX(0.95,CEILING(AD41,1)-0.05),IF(RoundingRule="Nearest 0.50",CEILING(AD41,0.5),IF(RoundingRule="Nearest 1",CEILING(AD41,1),IF(RoundingRule="Nearest 5",CEILING(AD41,5),IF(RoundingRule="Up to whole 1",CEILING(AD41,1),IF(RoundingRule="Up to whole 5",CEILING(AD41,5),ROUND(AD41,2))))))))),2)))</f>
        <v>0</v>
      </c>
      <c r="AF41" s="20">
        <f>IF(B41="","",IF(K41&lt;&gt;"",K41,IF(ISNUMBER(AE41),AE41,"")))</f>
        <v>0</v>
      </c>
      <c r="AG41" s="20">
        <f>IF(B41="","",IF(OR(AF41="",S41=""),"",ROUND(AF41-S41,2)))</f>
        <v>0</v>
      </c>
      <c r="AH41" s="20">
        <f>IF(B41="","",IF(AF41="","",ROUND(AF41*AA41+AB41,2)))</f>
        <v>0</v>
      </c>
      <c r="AI41" s="20">
        <f>IF(B41="","",IF(AF41="","",ROUND(AF41-Z41-AH41,2)))</f>
        <v>0</v>
      </c>
      <c r="AJ41" s="33">
        <f>IF(B41="","",IF(OR(AF41="",AF41=0),"",AI41/AF41))</f>
        <v>0</v>
      </c>
      <c r="AK41" s="20">
        <f>IF(B41="","",IF(OR(X41=0,X41="",AI41=""),"",ROUND((AI41+Y41)/(X41/60),2)))</f>
        <v>0</v>
      </c>
      <c r="AL41" s="43">
        <f>IF(B41="","",IF(N41="Not found","Check - no such product ID",IF(AF41="","Check - no price yet",IF(AI41&lt;0,"Loss - this version costs you money",IF(AND(AK41&lt;&gt;"",AK41&lt;MinimumWage),"Below - pays under minimum wage",IF(AND(G41&gt;0,AG41&lt;=0),"Check - extra work, no extra charge",IF(AJ41&lt;MarginWarning,"Low margin - re-price it","OK")))))))</f>
        <v>0</v>
      </c>
    </row>
    <row r="42" spans="1:38">
      <c r="A42" s="38">
        <f>IF(C42="","",VariationPrefix&amp;TEXT(ROW()-4,"0000"))</f>
        <v>0</v>
      </c>
      <c r="N42" s="13">
        <f>IF(B42="","",IFERROR(INDEX(Products!$B$5:$B$304,MATCH(B42,Products!$A$5:$A$304,0)),"Not found"))</f>
        <v>0</v>
      </c>
      <c r="O42" s="20">
        <f>IF(B42="","",IFERROR(INDEX(Products!$T$5:$T$304,MATCH(B42,Products!$A$5:$A$304,0)),""))</f>
        <v>0</v>
      </c>
      <c r="P42" s="20">
        <f>IF(B42="","",IFERROR(INDEX(Products!$Z$5:$Z$304,MATCH(B42,Products!$A$5:$A$304,0)),""))</f>
        <v>0</v>
      </c>
      <c r="Q42" s="20">
        <f>IF(B42="","",IFERROR(INDEX(Products!$AH$5:$AH$304,MATCH(B42,Products!$A$5:$A$304,0))-INDEX(Products!$T$5:$T$304,MATCH(B42,Products!$A$5:$A$304,0))-INDEX(Products!$Z$5:$Z$304,MATCH(B42,Products!$A$5:$A$304,0)),0))</f>
        <v>0</v>
      </c>
      <c r="R42" s="36">
        <f>IF(B42="","",IFERROR(INDEX(Products!$X$5:$X$304,MATCH(B42,Products!$A$5:$A$304,0)),""))</f>
        <v>0</v>
      </c>
      <c r="S42" s="20">
        <f>IF(B42="","",IFERROR(INDEX(Products!$AR$5:$AR$304,MATCH(B42,Products!$A$5:$A$304,0)),""))</f>
        <v>0</v>
      </c>
      <c r="T42" s="41">
        <f>IF(B42="","",IFERROR(INDEX(SizeMaterialFactors,MATCH(E42,SizeNames,0)),1))</f>
        <v>0</v>
      </c>
      <c r="U42" s="41">
        <f>IF(B42="","",IFERROR(INDEX(SizeTimeFactors,MATCH(E42,SizeNames,0)),1))</f>
        <v>0</v>
      </c>
      <c r="V42" s="33">
        <f>IF(B42="","",IFERROR(INDEX(RushFactors,MATCH(H42,RushNames,0)),0))</f>
        <v>0</v>
      </c>
      <c r="W42" s="20">
        <f>IF(B42="","",ROUND(IF(O42="",0,O42)*T42+IF(F42="",0,F42),2))</f>
        <v>0</v>
      </c>
      <c r="X42" s="36">
        <f>IF(B42="","",ROUND(IF(R42="",0,R42)*U42+IF(G42="",0,G42),1))</f>
        <v>0</v>
      </c>
      <c r="Y42" s="20">
        <f>IF(B42="","",ROUND(IF(P42="",0,P42)*U42+IF(G42="",0,G42)/60*LaborCostHour,2))</f>
        <v>0</v>
      </c>
      <c r="Z42" s="20">
        <f>IF(B42="","",ROUND(W42+Y42+IF(Q42="",0,Q42),2))</f>
        <v>0</v>
      </c>
      <c r="AA42" s="33">
        <f>IF(B42="","",IFERROR(INDEX(Channels!$S$5:$S$18,MATCH(IF(J42="",DefaultChannel,J42),Channels!$A$5:$A$18,0)),0))</f>
        <v>0</v>
      </c>
      <c r="AB42" s="20">
        <f>IF(B42="","",IFERROR(INDEX(Channels!$T$5:$T$18,MATCH(IF(J42="",DefaultChannel,J42),Channels!$A$5:$A$18,0)),0))</f>
        <v>0</v>
      </c>
      <c r="AC42" s="41">
        <f>IF(B42="","",1-TargetRetailMargin-AA42)</f>
        <v>0</v>
      </c>
      <c r="AD42" s="20">
        <f>IF(B42="","",IF(AC42&lt;=0,"",((Z42+AB42)/AC42)*(1+V42)+IF(I42="",0,I42)))</f>
        <v>0</v>
      </c>
      <c r="AE42" s="20">
        <f>IF(B42="","",IF(AD42="","Check the settings",ROUND(IF(RoundingRule="None",AD42,IF(RoundingRule="Nearest 0.99",MAX(0.99,CEILING(AD42,1)-0.01),IF(RoundingRule="Nearest 0.95",MAX(0.95,CEILING(AD42,1)-0.05),IF(RoundingRule="Nearest 0.50",CEILING(AD42,0.5),IF(RoundingRule="Nearest 1",CEILING(AD42,1),IF(RoundingRule="Nearest 5",CEILING(AD42,5),IF(RoundingRule="Up to whole 1",CEILING(AD42,1),IF(RoundingRule="Up to whole 5",CEILING(AD42,5),ROUND(AD42,2))))))))),2)))</f>
        <v>0</v>
      </c>
      <c r="AF42" s="20">
        <f>IF(B42="","",IF(K42&lt;&gt;"",K42,IF(ISNUMBER(AE42),AE42,"")))</f>
        <v>0</v>
      </c>
      <c r="AG42" s="20">
        <f>IF(B42="","",IF(OR(AF42="",S42=""),"",ROUND(AF42-S42,2)))</f>
        <v>0</v>
      </c>
      <c r="AH42" s="20">
        <f>IF(B42="","",IF(AF42="","",ROUND(AF42*AA42+AB42,2)))</f>
        <v>0</v>
      </c>
      <c r="AI42" s="20">
        <f>IF(B42="","",IF(AF42="","",ROUND(AF42-Z42-AH42,2)))</f>
        <v>0</v>
      </c>
      <c r="AJ42" s="33">
        <f>IF(B42="","",IF(OR(AF42="",AF42=0),"",AI42/AF42))</f>
        <v>0</v>
      </c>
      <c r="AK42" s="20">
        <f>IF(B42="","",IF(OR(X42=0,X42="",AI42=""),"",ROUND((AI42+Y42)/(X42/60),2)))</f>
        <v>0</v>
      </c>
      <c r="AL42" s="43">
        <f>IF(B42="","",IF(N42="Not found","Check - no such product ID",IF(AF42="","Check - no price yet",IF(AI42&lt;0,"Loss - this version costs you money",IF(AND(AK42&lt;&gt;"",AK42&lt;MinimumWage),"Below - pays under minimum wage",IF(AND(G42&gt;0,AG42&lt;=0),"Check - extra work, no extra charge",IF(AJ42&lt;MarginWarning,"Low margin - re-price it","OK")))))))</f>
        <v>0</v>
      </c>
    </row>
    <row r="43" spans="1:38">
      <c r="A43" s="38">
        <f>IF(C43="","",VariationPrefix&amp;TEXT(ROW()-4,"0000"))</f>
        <v>0</v>
      </c>
      <c r="N43" s="13">
        <f>IF(B43="","",IFERROR(INDEX(Products!$B$5:$B$304,MATCH(B43,Products!$A$5:$A$304,0)),"Not found"))</f>
        <v>0</v>
      </c>
      <c r="O43" s="20">
        <f>IF(B43="","",IFERROR(INDEX(Products!$T$5:$T$304,MATCH(B43,Products!$A$5:$A$304,0)),""))</f>
        <v>0</v>
      </c>
      <c r="P43" s="20">
        <f>IF(B43="","",IFERROR(INDEX(Products!$Z$5:$Z$304,MATCH(B43,Products!$A$5:$A$304,0)),""))</f>
        <v>0</v>
      </c>
      <c r="Q43" s="20">
        <f>IF(B43="","",IFERROR(INDEX(Products!$AH$5:$AH$304,MATCH(B43,Products!$A$5:$A$304,0))-INDEX(Products!$T$5:$T$304,MATCH(B43,Products!$A$5:$A$304,0))-INDEX(Products!$Z$5:$Z$304,MATCH(B43,Products!$A$5:$A$304,0)),0))</f>
        <v>0</v>
      </c>
      <c r="R43" s="36">
        <f>IF(B43="","",IFERROR(INDEX(Products!$X$5:$X$304,MATCH(B43,Products!$A$5:$A$304,0)),""))</f>
        <v>0</v>
      </c>
      <c r="S43" s="20">
        <f>IF(B43="","",IFERROR(INDEX(Products!$AR$5:$AR$304,MATCH(B43,Products!$A$5:$A$304,0)),""))</f>
        <v>0</v>
      </c>
      <c r="T43" s="41">
        <f>IF(B43="","",IFERROR(INDEX(SizeMaterialFactors,MATCH(E43,SizeNames,0)),1))</f>
        <v>0</v>
      </c>
      <c r="U43" s="41">
        <f>IF(B43="","",IFERROR(INDEX(SizeTimeFactors,MATCH(E43,SizeNames,0)),1))</f>
        <v>0</v>
      </c>
      <c r="V43" s="33">
        <f>IF(B43="","",IFERROR(INDEX(RushFactors,MATCH(H43,RushNames,0)),0))</f>
        <v>0</v>
      </c>
      <c r="W43" s="20">
        <f>IF(B43="","",ROUND(IF(O43="",0,O43)*T43+IF(F43="",0,F43),2))</f>
        <v>0</v>
      </c>
      <c r="X43" s="36">
        <f>IF(B43="","",ROUND(IF(R43="",0,R43)*U43+IF(G43="",0,G43),1))</f>
        <v>0</v>
      </c>
      <c r="Y43" s="20">
        <f>IF(B43="","",ROUND(IF(P43="",0,P43)*U43+IF(G43="",0,G43)/60*LaborCostHour,2))</f>
        <v>0</v>
      </c>
      <c r="Z43" s="20">
        <f>IF(B43="","",ROUND(W43+Y43+IF(Q43="",0,Q43),2))</f>
        <v>0</v>
      </c>
      <c r="AA43" s="33">
        <f>IF(B43="","",IFERROR(INDEX(Channels!$S$5:$S$18,MATCH(IF(J43="",DefaultChannel,J43),Channels!$A$5:$A$18,0)),0))</f>
        <v>0</v>
      </c>
      <c r="AB43" s="20">
        <f>IF(B43="","",IFERROR(INDEX(Channels!$T$5:$T$18,MATCH(IF(J43="",DefaultChannel,J43),Channels!$A$5:$A$18,0)),0))</f>
        <v>0</v>
      </c>
      <c r="AC43" s="41">
        <f>IF(B43="","",1-TargetRetailMargin-AA43)</f>
        <v>0</v>
      </c>
      <c r="AD43" s="20">
        <f>IF(B43="","",IF(AC43&lt;=0,"",((Z43+AB43)/AC43)*(1+V43)+IF(I43="",0,I43)))</f>
        <v>0</v>
      </c>
      <c r="AE43" s="20">
        <f>IF(B43="","",IF(AD43="","Check the settings",ROUND(IF(RoundingRule="None",AD43,IF(RoundingRule="Nearest 0.99",MAX(0.99,CEILING(AD43,1)-0.01),IF(RoundingRule="Nearest 0.95",MAX(0.95,CEILING(AD43,1)-0.05),IF(RoundingRule="Nearest 0.50",CEILING(AD43,0.5),IF(RoundingRule="Nearest 1",CEILING(AD43,1),IF(RoundingRule="Nearest 5",CEILING(AD43,5),IF(RoundingRule="Up to whole 1",CEILING(AD43,1),IF(RoundingRule="Up to whole 5",CEILING(AD43,5),ROUND(AD43,2))))))))),2)))</f>
        <v>0</v>
      </c>
      <c r="AF43" s="20">
        <f>IF(B43="","",IF(K43&lt;&gt;"",K43,IF(ISNUMBER(AE43),AE43,"")))</f>
        <v>0</v>
      </c>
      <c r="AG43" s="20">
        <f>IF(B43="","",IF(OR(AF43="",S43=""),"",ROUND(AF43-S43,2)))</f>
        <v>0</v>
      </c>
      <c r="AH43" s="20">
        <f>IF(B43="","",IF(AF43="","",ROUND(AF43*AA43+AB43,2)))</f>
        <v>0</v>
      </c>
      <c r="AI43" s="20">
        <f>IF(B43="","",IF(AF43="","",ROUND(AF43-Z43-AH43,2)))</f>
        <v>0</v>
      </c>
      <c r="AJ43" s="33">
        <f>IF(B43="","",IF(OR(AF43="",AF43=0),"",AI43/AF43))</f>
        <v>0</v>
      </c>
      <c r="AK43" s="20">
        <f>IF(B43="","",IF(OR(X43=0,X43="",AI43=""),"",ROUND((AI43+Y43)/(X43/60),2)))</f>
        <v>0</v>
      </c>
      <c r="AL43" s="43">
        <f>IF(B43="","",IF(N43="Not found","Check - no such product ID",IF(AF43="","Check - no price yet",IF(AI43&lt;0,"Loss - this version costs you money",IF(AND(AK43&lt;&gt;"",AK43&lt;MinimumWage),"Below - pays under minimum wage",IF(AND(G43&gt;0,AG43&lt;=0),"Check - extra work, no extra charge",IF(AJ43&lt;MarginWarning,"Low margin - re-price it","OK")))))))</f>
        <v>0</v>
      </c>
    </row>
    <row r="44" spans="1:38">
      <c r="A44" s="38">
        <f>IF(C44="","",VariationPrefix&amp;TEXT(ROW()-4,"0000"))</f>
        <v>0</v>
      </c>
      <c r="N44" s="13">
        <f>IF(B44="","",IFERROR(INDEX(Products!$B$5:$B$304,MATCH(B44,Products!$A$5:$A$304,0)),"Not found"))</f>
        <v>0</v>
      </c>
      <c r="O44" s="20">
        <f>IF(B44="","",IFERROR(INDEX(Products!$T$5:$T$304,MATCH(B44,Products!$A$5:$A$304,0)),""))</f>
        <v>0</v>
      </c>
      <c r="P44" s="20">
        <f>IF(B44="","",IFERROR(INDEX(Products!$Z$5:$Z$304,MATCH(B44,Products!$A$5:$A$304,0)),""))</f>
        <v>0</v>
      </c>
      <c r="Q44" s="20">
        <f>IF(B44="","",IFERROR(INDEX(Products!$AH$5:$AH$304,MATCH(B44,Products!$A$5:$A$304,0))-INDEX(Products!$T$5:$T$304,MATCH(B44,Products!$A$5:$A$304,0))-INDEX(Products!$Z$5:$Z$304,MATCH(B44,Products!$A$5:$A$304,0)),0))</f>
        <v>0</v>
      </c>
      <c r="R44" s="36">
        <f>IF(B44="","",IFERROR(INDEX(Products!$X$5:$X$304,MATCH(B44,Products!$A$5:$A$304,0)),""))</f>
        <v>0</v>
      </c>
      <c r="S44" s="20">
        <f>IF(B44="","",IFERROR(INDEX(Products!$AR$5:$AR$304,MATCH(B44,Products!$A$5:$A$304,0)),""))</f>
        <v>0</v>
      </c>
      <c r="T44" s="41">
        <f>IF(B44="","",IFERROR(INDEX(SizeMaterialFactors,MATCH(E44,SizeNames,0)),1))</f>
        <v>0</v>
      </c>
      <c r="U44" s="41">
        <f>IF(B44="","",IFERROR(INDEX(SizeTimeFactors,MATCH(E44,SizeNames,0)),1))</f>
        <v>0</v>
      </c>
      <c r="V44" s="33">
        <f>IF(B44="","",IFERROR(INDEX(RushFactors,MATCH(H44,RushNames,0)),0))</f>
        <v>0</v>
      </c>
      <c r="W44" s="20">
        <f>IF(B44="","",ROUND(IF(O44="",0,O44)*T44+IF(F44="",0,F44),2))</f>
        <v>0</v>
      </c>
      <c r="X44" s="36">
        <f>IF(B44="","",ROUND(IF(R44="",0,R44)*U44+IF(G44="",0,G44),1))</f>
        <v>0</v>
      </c>
      <c r="Y44" s="20">
        <f>IF(B44="","",ROUND(IF(P44="",0,P44)*U44+IF(G44="",0,G44)/60*LaborCostHour,2))</f>
        <v>0</v>
      </c>
      <c r="Z44" s="20">
        <f>IF(B44="","",ROUND(W44+Y44+IF(Q44="",0,Q44),2))</f>
        <v>0</v>
      </c>
      <c r="AA44" s="33">
        <f>IF(B44="","",IFERROR(INDEX(Channels!$S$5:$S$18,MATCH(IF(J44="",DefaultChannel,J44),Channels!$A$5:$A$18,0)),0))</f>
        <v>0</v>
      </c>
      <c r="AB44" s="20">
        <f>IF(B44="","",IFERROR(INDEX(Channels!$T$5:$T$18,MATCH(IF(J44="",DefaultChannel,J44),Channels!$A$5:$A$18,0)),0))</f>
        <v>0</v>
      </c>
      <c r="AC44" s="41">
        <f>IF(B44="","",1-TargetRetailMargin-AA44)</f>
        <v>0</v>
      </c>
      <c r="AD44" s="20">
        <f>IF(B44="","",IF(AC44&lt;=0,"",((Z44+AB44)/AC44)*(1+V44)+IF(I44="",0,I44)))</f>
        <v>0</v>
      </c>
      <c r="AE44" s="20">
        <f>IF(B44="","",IF(AD44="","Check the settings",ROUND(IF(RoundingRule="None",AD44,IF(RoundingRule="Nearest 0.99",MAX(0.99,CEILING(AD44,1)-0.01),IF(RoundingRule="Nearest 0.95",MAX(0.95,CEILING(AD44,1)-0.05),IF(RoundingRule="Nearest 0.50",CEILING(AD44,0.5),IF(RoundingRule="Nearest 1",CEILING(AD44,1),IF(RoundingRule="Nearest 5",CEILING(AD44,5),IF(RoundingRule="Up to whole 1",CEILING(AD44,1),IF(RoundingRule="Up to whole 5",CEILING(AD44,5),ROUND(AD44,2))))))))),2)))</f>
        <v>0</v>
      </c>
      <c r="AF44" s="20">
        <f>IF(B44="","",IF(K44&lt;&gt;"",K44,IF(ISNUMBER(AE44),AE44,"")))</f>
        <v>0</v>
      </c>
      <c r="AG44" s="20">
        <f>IF(B44="","",IF(OR(AF44="",S44=""),"",ROUND(AF44-S44,2)))</f>
        <v>0</v>
      </c>
      <c r="AH44" s="20">
        <f>IF(B44="","",IF(AF44="","",ROUND(AF44*AA44+AB44,2)))</f>
        <v>0</v>
      </c>
      <c r="AI44" s="20">
        <f>IF(B44="","",IF(AF44="","",ROUND(AF44-Z44-AH44,2)))</f>
        <v>0</v>
      </c>
      <c r="AJ44" s="33">
        <f>IF(B44="","",IF(OR(AF44="",AF44=0),"",AI44/AF44))</f>
        <v>0</v>
      </c>
      <c r="AK44" s="20">
        <f>IF(B44="","",IF(OR(X44=0,X44="",AI44=""),"",ROUND((AI44+Y44)/(X44/60),2)))</f>
        <v>0</v>
      </c>
      <c r="AL44" s="43">
        <f>IF(B44="","",IF(N44="Not found","Check - no such product ID",IF(AF44="","Check - no price yet",IF(AI44&lt;0,"Loss - this version costs you money",IF(AND(AK44&lt;&gt;"",AK44&lt;MinimumWage),"Below - pays under minimum wage",IF(AND(G44&gt;0,AG44&lt;=0),"Check - extra work, no extra charge",IF(AJ44&lt;MarginWarning,"Low margin - re-price it","OK")))))))</f>
        <v>0</v>
      </c>
    </row>
    <row r="45" spans="1:38">
      <c r="A45" s="38">
        <f>IF(C45="","",VariationPrefix&amp;TEXT(ROW()-4,"0000"))</f>
        <v>0</v>
      </c>
      <c r="N45" s="13">
        <f>IF(B45="","",IFERROR(INDEX(Products!$B$5:$B$304,MATCH(B45,Products!$A$5:$A$304,0)),"Not found"))</f>
        <v>0</v>
      </c>
      <c r="O45" s="20">
        <f>IF(B45="","",IFERROR(INDEX(Products!$T$5:$T$304,MATCH(B45,Products!$A$5:$A$304,0)),""))</f>
        <v>0</v>
      </c>
      <c r="P45" s="20">
        <f>IF(B45="","",IFERROR(INDEX(Products!$Z$5:$Z$304,MATCH(B45,Products!$A$5:$A$304,0)),""))</f>
        <v>0</v>
      </c>
      <c r="Q45" s="20">
        <f>IF(B45="","",IFERROR(INDEX(Products!$AH$5:$AH$304,MATCH(B45,Products!$A$5:$A$304,0))-INDEX(Products!$T$5:$T$304,MATCH(B45,Products!$A$5:$A$304,0))-INDEX(Products!$Z$5:$Z$304,MATCH(B45,Products!$A$5:$A$304,0)),0))</f>
        <v>0</v>
      </c>
      <c r="R45" s="36">
        <f>IF(B45="","",IFERROR(INDEX(Products!$X$5:$X$304,MATCH(B45,Products!$A$5:$A$304,0)),""))</f>
        <v>0</v>
      </c>
      <c r="S45" s="20">
        <f>IF(B45="","",IFERROR(INDEX(Products!$AR$5:$AR$304,MATCH(B45,Products!$A$5:$A$304,0)),""))</f>
        <v>0</v>
      </c>
      <c r="T45" s="41">
        <f>IF(B45="","",IFERROR(INDEX(SizeMaterialFactors,MATCH(E45,SizeNames,0)),1))</f>
        <v>0</v>
      </c>
      <c r="U45" s="41">
        <f>IF(B45="","",IFERROR(INDEX(SizeTimeFactors,MATCH(E45,SizeNames,0)),1))</f>
        <v>0</v>
      </c>
      <c r="V45" s="33">
        <f>IF(B45="","",IFERROR(INDEX(RushFactors,MATCH(H45,RushNames,0)),0))</f>
        <v>0</v>
      </c>
      <c r="W45" s="20">
        <f>IF(B45="","",ROUND(IF(O45="",0,O45)*T45+IF(F45="",0,F45),2))</f>
        <v>0</v>
      </c>
      <c r="X45" s="36">
        <f>IF(B45="","",ROUND(IF(R45="",0,R45)*U45+IF(G45="",0,G45),1))</f>
        <v>0</v>
      </c>
      <c r="Y45" s="20">
        <f>IF(B45="","",ROUND(IF(P45="",0,P45)*U45+IF(G45="",0,G45)/60*LaborCostHour,2))</f>
        <v>0</v>
      </c>
      <c r="Z45" s="20">
        <f>IF(B45="","",ROUND(W45+Y45+IF(Q45="",0,Q45),2))</f>
        <v>0</v>
      </c>
      <c r="AA45" s="33">
        <f>IF(B45="","",IFERROR(INDEX(Channels!$S$5:$S$18,MATCH(IF(J45="",DefaultChannel,J45),Channels!$A$5:$A$18,0)),0))</f>
        <v>0</v>
      </c>
      <c r="AB45" s="20">
        <f>IF(B45="","",IFERROR(INDEX(Channels!$T$5:$T$18,MATCH(IF(J45="",DefaultChannel,J45),Channels!$A$5:$A$18,0)),0))</f>
        <v>0</v>
      </c>
      <c r="AC45" s="41">
        <f>IF(B45="","",1-TargetRetailMargin-AA45)</f>
        <v>0</v>
      </c>
      <c r="AD45" s="20">
        <f>IF(B45="","",IF(AC45&lt;=0,"",((Z45+AB45)/AC45)*(1+V45)+IF(I45="",0,I45)))</f>
        <v>0</v>
      </c>
      <c r="AE45" s="20">
        <f>IF(B45="","",IF(AD45="","Check the settings",ROUND(IF(RoundingRule="None",AD45,IF(RoundingRule="Nearest 0.99",MAX(0.99,CEILING(AD45,1)-0.01),IF(RoundingRule="Nearest 0.95",MAX(0.95,CEILING(AD45,1)-0.05),IF(RoundingRule="Nearest 0.50",CEILING(AD45,0.5),IF(RoundingRule="Nearest 1",CEILING(AD45,1),IF(RoundingRule="Nearest 5",CEILING(AD45,5),IF(RoundingRule="Up to whole 1",CEILING(AD45,1),IF(RoundingRule="Up to whole 5",CEILING(AD45,5),ROUND(AD45,2))))))))),2)))</f>
        <v>0</v>
      </c>
      <c r="AF45" s="20">
        <f>IF(B45="","",IF(K45&lt;&gt;"",K45,IF(ISNUMBER(AE45),AE45,"")))</f>
        <v>0</v>
      </c>
      <c r="AG45" s="20">
        <f>IF(B45="","",IF(OR(AF45="",S45=""),"",ROUND(AF45-S45,2)))</f>
        <v>0</v>
      </c>
      <c r="AH45" s="20">
        <f>IF(B45="","",IF(AF45="","",ROUND(AF45*AA45+AB45,2)))</f>
        <v>0</v>
      </c>
      <c r="AI45" s="20">
        <f>IF(B45="","",IF(AF45="","",ROUND(AF45-Z45-AH45,2)))</f>
        <v>0</v>
      </c>
      <c r="AJ45" s="33">
        <f>IF(B45="","",IF(OR(AF45="",AF45=0),"",AI45/AF45))</f>
        <v>0</v>
      </c>
      <c r="AK45" s="20">
        <f>IF(B45="","",IF(OR(X45=0,X45="",AI45=""),"",ROUND((AI45+Y45)/(X45/60),2)))</f>
        <v>0</v>
      </c>
      <c r="AL45" s="43">
        <f>IF(B45="","",IF(N45="Not found","Check - no such product ID",IF(AF45="","Check - no price yet",IF(AI45&lt;0,"Loss - this version costs you money",IF(AND(AK45&lt;&gt;"",AK45&lt;MinimumWage),"Below - pays under minimum wage",IF(AND(G45&gt;0,AG45&lt;=0),"Check - extra work, no extra charge",IF(AJ45&lt;MarginWarning,"Low margin - re-price it","OK")))))))</f>
        <v>0</v>
      </c>
    </row>
    <row r="46" spans="1:38">
      <c r="A46" s="38">
        <f>IF(C46="","",VariationPrefix&amp;TEXT(ROW()-4,"0000"))</f>
        <v>0</v>
      </c>
      <c r="N46" s="13">
        <f>IF(B46="","",IFERROR(INDEX(Products!$B$5:$B$304,MATCH(B46,Products!$A$5:$A$304,0)),"Not found"))</f>
        <v>0</v>
      </c>
      <c r="O46" s="20">
        <f>IF(B46="","",IFERROR(INDEX(Products!$T$5:$T$304,MATCH(B46,Products!$A$5:$A$304,0)),""))</f>
        <v>0</v>
      </c>
      <c r="P46" s="20">
        <f>IF(B46="","",IFERROR(INDEX(Products!$Z$5:$Z$304,MATCH(B46,Products!$A$5:$A$304,0)),""))</f>
        <v>0</v>
      </c>
      <c r="Q46" s="20">
        <f>IF(B46="","",IFERROR(INDEX(Products!$AH$5:$AH$304,MATCH(B46,Products!$A$5:$A$304,0))-INDEX(Products!$T$5:$T$304,MATCH(B46,Products!$A$5:$A$304,0))-INDEX(Products!$Z$5:$Z$304,MATCH(B46,Products!$A$5:$A$304,0)),0))</f>
        <v>0</v>
      </c>
      <c r="R46" s="36">
        <f>IF(B46="","",IFERROR(INDEX(Products!$X$5:$X$304,MATCH(B46,Products!$A$5:$A$304,0)),""))</f>
        <v>0</v>
      </c>
      <c r="S46" s="20">
        <f>IF(B46="","",IFERROR(INDEX(Products!$AR$5:$AR$304,MATCH(B46,Products!$A$5:$A$304,0)),""))</f>
        <v>0</v>
      </c>
      <c r="T46" s="41">
        <f>IF(B46="","",IFERROR(INDEX(SizeMaterialFactors,MATCH(E46,SizeNames,0)),1))</f>
        <v>0</v>
      </c>
      <c r="U46" s="41">
        <f>IF(B46="","",IFERROR(INDEX(SizeTimeFactors,MATCH(E46,SizeNames,0)),1))</f>
        <v>0</v>
      </c>
      <c r="V46" s="33">
        <f>IF(B46="","",IFERROR(INDEX(RushFactors,MATCH(H46,RushNames,0)),0))</f>
        <v>0</v>
      </c>
      <c r="W46" s="20">
        <f>IF(B46="","",ROUND(IF(O46="",0,O46)*T46+IF(F46="",0,F46),2))</f>
        <v>0</v>
      </c>
      <c r="X46" s="36">
        <f>IF(B46="","",ROUND(IF(R46="",0,R46)*U46+IF(G46="",0,G46),1))</f>
        <v>0</v>
      </c>
      <c r="Y46" s="20">
        <f>IF(B46="","",ROUND(IF(P46="",0,P46)*U46+IF(G46="",0,G46)/60*LaborCostHour,2))</f>
        <v>0</v>
      </c>
      <c r="Z46" s="20">
        <f>IF(B46="","",ROUND(W46+Y46+IF(Q46="",0,Q46),2))</f>
        <v>0</v>
      </c>
      <c r="AA46" s="33">
        <f>IF(B46="","",IFERROR(INDEX(Channels!$S$5:$S$18,MATCH(IF(J46="",DefaultChannel,J46),Channels!$A$5:$A$18,0)),0))</f>
        <v>0</v>
      </c>
      <c r="AB46" s="20">
        <f>IF(B46="","",IFERROR(INDEX(Channels!$T$5:$T$18,MATCH(IF(J46="",DefaultChannel,J46),Channels!$A$5:$A$18,0)),0))</f>
        <v>0</v>
      </c>
      <c r="AC46" s="41">
        <f>IF(B46="","",1-TargetRetailMargin-AA46)</f>
        <v>0</v>
      </c>
      <c r="AD46" s="20">
        <f>IF(B46="","",IF(AC46&lt;=0,"",((Z46+AB46)/AC46)*(1+V46)+IF(I46="",0,I46)))</f>
        <v>0</v>
      </c>
      <c r="AE46" s="20">
        <f>IF(B46="","",IF(AD46="","Check the settings",ROUND(IF(RoundingRule="None",AD46,IF(RoundingRule="Nearest 0.99",MAX(0.99,CEILING(AD46,1)-0.01),IF(RoundingRule="Nearest 0.95",MAX(0.95,CEILING(AD46,1)-0.05),IF(RoundingRule="Nearest 0.50",CEILING(AD46,0.5),IF(RoundingRule="Nearest 1",CEILING(AD46,1),IF(RoundingRule="Nearest 5",CEILING(AD46,5),IF(RoundingRule="Up to whole 1",CEILING(AD46,1),IF(RoundingRule="Up to whole 5",CEILING(AD46,5),ROUND(AD46,2))))))))),2)))</f>
        <v>0</v>
      </c>
      <c r="AF46" s="20">
        <f>IF(B46="","",IF(K46&lt;&gt;"",K46,IF(ISNUMBER(AE46),AE46,"")))</f>
        <v>0</v>
      </c>
      <c r="AG46" s="20">
        <f>IF(B46="","",IF(OR(AF46="",S46=""),"",ROUND(AF46-S46,2)))</f>
        <v>0</v>
      </c>
      <c r="AH46" s="20">
        <f>IF(B46="","",IF(AF46="","",ROUND(AF46*AA46+AB46,2)))</f>
        <v>0</v>
      </c>
      <c r="AI46" s="20">
        <f>IF(B46="","",IF(AF46="","",ROUND(AF46-Z46-AH46,2)))</f>
        <v>0</v>
      </c>
      <c r="AJ46" s="33">
        <f>IF(B46="","",IF(OR(AF46="",AF46=0),"",AI46/AF46))</f>
        <v>0</v>
      </c>
      <c r="AK46" s="20">
        <f>IF(B46="","",IF(OR(X46=0,X46="",AI46=""),"",ROUND((AI46+Y46)/(X46/60),2)))</f>
        <v>0</v>
      </c>
      <c r="AL46" s="43">
        <f>IF(B46="","",IF(N46="Not found","Check - no such product ID",IF(AF46="","Check - no price yet",IF(AI46&lt;0,"Loss - this version costs you money",IF(AND(AK46&lt;&gt;"",AK46&lt;MinimumWage),"Below - pays under minimum wage",IF(AND(G46&gt;0,AG46&lt;=0),"Check - extra work, no extra charge",IF(AJ46&lt;MarginWarning,"Low margin - re-price it","OK")))))))</f>
        <v>0</v>
      </c>
    </row>
    <row r="47" spans="1:38">
      <c r="A47" s="38">
        <f>IF(C47="","",VariationPrefix&amp;TEXT(ROW()-4,"0000"))</f>
        <v>0</v>
      </c>
      <c r="N47" s="13">
        <f>IF(B47="","",IFERROR(INDEX(Products!$B$5:$B$304,MATCH(B47,Products!$A$5:$A$304,0)),"Not found"))</f>
        <v>0</v>
      </c>
      <c r="O47" s="20">
        <f>IF(B47="","",IFERROR(INDEX(Products!$T$5:$T$304,MATCH(B47,Products!$A$5:$A$304,0)),""))</f>
        <v>0</v>
      </c>
      <c r="P47" s="20">
        <f>IF(B47="","",IFERROR(INDEX(Products!$Z$5:$Z$304,MATCH(B47,Products!$A$5:$A$304,0)),""))</f>
        <v>0</v>
      </c>
      <c r="Q47" s="20">
        <f>IF(B47="","",IFERROR(INDEX(Products!$AH$5:$AH$304,MATCH(B47,Products!$A$5:$A$304,0))-INDEX(Products!$T$5:$T$304,MATCH(B47,Products!$A$5:$A$304,0))-INDEX(Products!$Z$5:$Z$304,MATCH(B47,Products!$A$5:$A$304,0)),0))</f>
        <v>0</v>
      </c>
      <c r="R47" s="36">
        <f>IF(B47="","",IFERROR(INDEX(Products!$X$5:$X$304,MATCH(B47,Products!$A$5:$A$304,0)),""))</f>
        <v>0</v>
      </c>
      <c r="S47" s="20">
        <f>IF(B47="","",IFERROR(INDEX(Products!$AR$5:$AR$304,MATCH(B47,Products!$A$5:$A$304,0)),""))</f>
        <v>0</v>
      </c>
      <c r="T47" s="41">
        <f>IF(B47="","",IFERROR(INDEX(SizeMaterialFactors,MATCH(E47,SizeNames,0)),1))</f>
        <v>0</v>
      </c>
      <c r="U47" s="41">
        <f>IF(B47="","",IFERROR(INDEX(SizeTimeFactors,MATCH(E47,SizeNames,0)),1))</f>
        <v>0</v>
      </c>
      <c r="V47" s="33">
        <f>IF(B47="","",IFERROR(INDEX(RushFactors,MATCH(H47,RushNames,0)),0))</f>
        <v>0</v>
      </c>
      <c r="W47" s="20">
        <f>IF(B47="","",ROUND(IF(O47="",0,O47)*T47+IF(F47="",0,F47),2))</f>
        <v>0</v>
      </c>
      <c r="X47" s="36">
        <f>IF(B47="","",ROUND(IF(R47="",0,R47)*U47+IF(G47="",0,G47),1))</f>
        <v>0</v>
      </c>
      <c r="Y47" s="20">
        <f>IF(B47="","",ROUND(IF(P47="",0,P47)*U47+IF(G47="",0,G47)/60*LaborCostHour,2))</f>
        <v>0</v>
      </c>
      <c r="Z47" s="20">
        <f>IF(B47="","",ROUND(W47+Y47+IF(Q47="",0,Q47),2))</f>
        <v>0</v>
      </c>
      <c r="AA47" s="33">
        <f>IF(B47="","",IFERROR(INDEX(Channels!$S$5:$S$18,MATCH(IF(J47="",DefaultChannel,J47),Channels!$A$5:$A$18,0)),0))</f>
        <v>0</v>
      </c>
      <c r="AB47" s="20">
        <f>IF(B47="","",IFERROR(INDEX(Channels!$T$5:$T$18,MATCH(IF(J47="",DefaultChannel,J47),Channels!$A$5:$A$18,0)),0))</f>
        <v>0</v>
      </c>
      <c r="AC47" s="41">
        <f>IF(B47="","",1-TargetRetailMargin-AA47)</f>
        <v>0</v>
      </c>
      <c r="AD47" s="20">
        <f>IF(B47="","",IF(AC47&lt;=0,"",((Z47+AB47)/AC47)*(1+V47)+IF(I47="",0,I47)))</f>
        <v>0</v>
      </c>
      <c r="AE47" s="20">
        <f>IF(B47="","",IF(AD47="","Check the settings",ROUND(IF(RoundingRule="None",AD47,IF(RoundingRule="Nearest 0.99",MAX(0.99,CEILING(AD47,1)-0.01),IF(RoundingRule="Nearest 0.95",MAX(0.95,CEILING(AD47,1)-0.05),IF(RoundingRule="Nearest 0.50",CEILING(AD47,0.5),IF(RoundingRule="Nearest 1",CEILING(AD47,1),IF(RoundingRule="Nearest 5",CEILING(AD47,5),IF(RoundingRule="Up to whole 1",CEILING(AD47,1),IF(RoundingRule="Up to whole 5",CEILING(AD47,5),ROUND(AD47,2))))))))),2)))</f>
        <v>0</v>
      </c>
      <c r="AF47" s="20">
        <f>IF(B47="","",IF(K47&lt;&gt;"",K47,IF(ISNUMBER(AE47),AE47,"")))</f>
        <v>0</v>
      </c>
      <c r="AG47" s="20">
        <f>IF(B47="","",IF(OR(AF47="",S47=""),"",ROUND(AF47-S47,2)))</f>
        <v>0</v>
      </c>
      <c r="AH47" s="20">
        <f>IF(B47="","",IF(AF47="","",ROUND(AF47*AA47+AB47,2)))</f>
        <v>0</v>
      </c>
      <c r="AI47" s="20">
        <f>IF(B47="","",IF(AF47="","",ROUND(AF47-Z47-AH47,2)))</f>
        <v>0</v>
      </c>
      <c r="AJ47" s="33">
        <f>IF(B47="","",IF(OR(AF47="",AF47=0),"",AI47/AF47))</f>
        <v>0</v>
      </c>
      <c r="AK47" s="20">
        <f>IF(B47="","",IF(OR(X47=0,X47="",AI47=""),"",ROUND((AI47+Y47)/(X47/60),2)))</f>
        <v>0</v>
      </c>
      <c r="AL47" s="43">
        <f>IF(B47="","",IF(N47="Not found","Check - no such product ID",IF(AF47="","Check - no price yet",IF(AI47&lt;0,"Loss - this version costs you money",IF(AND(AK47&lt;&gt;"",AK47&lt;MinimumWage),"Below - pays under minimum wage",IF(AND(G47&gt;0,AG47&lt;=0),"Check - extra work, no extra charge",IF(AJ47&lt;MarginWarning,"Low margin - re-price it","OK")))))))</f>
        <v>0</v>
      </c>
    </row>
    <row r="48" spans="1:38">
      <c r="A48" s="38">
        <f>IF(C48="","",VariationPrefix&amp;TEXT(ROW()-4,"0000"))</f>
        <v>0</v>
      </c>
      <c r="N48" s="13">
        <f>IF(B48="","",IFERROR(INDEX(Products!$B$5:$B$304,MATCH(B48,Products!$A$5:$A$304,0)),"Not found"))</f>
        <v>0</v>
      </c>
      <c r="O48" s="20">
        <f>IF(B48="","",IFERROR(INDEX(Products!$T$5:$T$304,MATCH(B48,Products!$A$5:$A$304,0)),""))</f>
        <v>0</v>
      </c>
      <c r="P48" s="20">
        <f>IF(B48="","",IFERROR(INDEX(Products!$Z$5:$Z$304,MATCH(B48,Products!$A$5:$A$304,0)),""))</f>
        <v>0</v>
      </c>
      <c r="Q48" s="20">
        <f>IF(B48="","",IFERROR(INDEX(Products!$AH$5:$AH$304,MATCH(B48,Products!$A$5:$A$304,0))-INDEX(Products!$T$5:$T$304,MATCH(B48,Products!$A$5:$A$304,0))-INDEX(Products!$Z$5:$Z$304,MATCH(B48,Products!$A$5:$A$304,0)),0))</f>
        <v>0</v>
      </c>
      <c r="R48" s="36">
        <f>IF(B48="","",IFERROR(INDEX(Products!$X$5:$X$304,MATCH(B48,Products!$A$5:$A$304,0)),""))</f>
        <v>0</v>
      </c>
      <c r="S48" s="20">
        <f>IF(B48="","",IFERROR(INDEX(Products!$AR$5:$AR$304,MATCH(B48,Products!$A$5:$A$304,0)),""))</f>
        <v>0</v>
      </c>
      <c r="T48" s="41">
        <f>IF(B48="","",IFERROR(INDEX(SizeMaterialFactors,MATCH(E48,SizeNames,0)),1))</f>
        <v>0</v>
      </c>
      <c r="U48" s="41">
        <f>IF(B48="","",IFERROR(INDEX(SizeTimeFactors,MATCH(E48,SizeNames,0)),1))</f>
        <v>0</v>
      </c>
      <c r="V48" s="33">
        <f>IF(B48="","",IFERROR(INDEX(RushFactors,MATCH(H48,RushNames,0)),0))</f>
        <v>0</v>
      </c>
      <c r="W48" s="20">
        <f>IF(B48="","",ROUND(IF(O48="",0,O48)*T48+IF(F48="",0,F48),2))</f>
        <v>0</v>
      </c>
      <c r="X48" s="36">
        <f>IF(B48="","",ROUND(IF(R48="",0,R48)*U48+IF(G48="",0,G48),1))</f>
        <v>0</v>
      </c>
      <c r="Y48" s="20">
        <f>IF(B48="","",ROUND(IF(P48="",0,P48)*U48+IF(G48="",0,G48)/60*LaborCostHour,2))</f>
        <v>0</v>
      </c>
      <c r="Z48" s="20">
        <f>IF(B48="","",ROUND(W48+Y48+IF(Q48="",0,Q48),2))</f>
        <v>0</v>
      </c>
      <c r="AA48" s="33">
        <f>IF(B48="","",IFERROR(INDEX(Channels!$S$5:$S$18,MATCH(IF(J48="",DefaultChannel,J48),Channels!$A$5:$A$18,0)),0))</f>
        <v>0</v>
      </c>
      <c r="AB48" s="20">
        <f>IF(B48="","",IFERROR(INDEX(Channels!$T$5:$T$18,MATCH(IF(J48="",DefaultChannel,J48),Channels!$A$5:$A$18,0)),0))</f>
        <v>0</v>
      </c>
      <c r="AC48" s="41">
        <f>IF(B48="","",1-TargetRetailMargin-AA48)</f>
        <v>0</v>
      </c>
      <c r="AD48" s="20">
        <f>IF(B48="","",IF(AC48&lt;=0,"",((Z48+AB48)/AC48)*(1+V48)+IF(I48="",0,I48)))</f>
        <v>0</v>
      </c>
      <c r="AE48" s="20">
        <f>IF(B48="","",IF(AD48="","Check the settings",ROUND(IF(RoundingRule="None",AD48,IF(RoundingRule="Nearest 0.99",MAX(0.99,CEILING(AD48,1)-0.01),IF(RoundingRule="Nearest 0.95",MAX(0.95,CEILING(AD48,1)-0.05),IF(RoundingRule="Nearest 0.50",CEILING(AD48,0.5),IF(RoundingRule="Nearest 1",CEILING(AD48,1),IF(RoundingRule="Nearest 5",CEILING(AD48,5),IF(RoundingRule="Up to whole 1",CEILING(AD48,1),IF(RoundingRule="Up to whole 5",CEILING(AD48,5),ROUND(AD48,2))))))))),2)))</f>
        <v>0</v>
      </c>
      <c r="AF48" s="20">
        <f>IF(B48="","",IF(K48&lt;&gt;"",K48,IF(ISNUMBER(AE48),AE48,"")))</f>
        <v>0</v>
      </c>
      <c r="AG48" s="20">
        <f>IF(B48="","",IF(OR(AF48="",S48=""),"",ROUND(AF48-S48,2)))</f>
        <v>0</v>
      </c>
      <c r="AH48" s="20">
        <f>IF(B48="","",IF(AF48="","",ROUND(AF48*AA48+AB48,2)))</f>
        <v>0</v>
      </c>
      <c r="AI48" s="20">
        <f>IF(B48="","",IF(AF48="","",ROUND(AF48-Z48-AH48,2)))</f>
        <v>0</v>
      </c>
      <c r="AJ48" s="33">
        <f>IF(B48="","",IF(OR(AF48="",AF48=0),"",AI48/AF48))</f>
        <v>0</v>
      </c>
      <c r="AK48" s="20">
        <f>IF(B48="","",IF(OR(X48=0,X48="",AI48=""),"",ROUND((AI48+Y48)/(X48/60),2)))</f>
        <v>0</v>
      </c>
      <c r="AL48" s="43">
        <f>IF(B48="","",IF(N48="Not found","Check - no such product ID",IF(AF48="","Check - no price yet",IF(AI48&lt;0,"Loss - this version costs you money",IF(AND(AK48&lt;&gt;"",AK48&lt;MinimumWage),"Below - pays under minimum wage",IF(AND(G48&gt;0,AG48&lt;=0),"Check - extra work, no extra charge",IF(AJ48&lt;MarginWarning,"Low margin - re-price it","OK")))))))</f>
        <v>0</v>
      </c>
    </row>
    <row r="49" spans="1:38">
      <c r="A49" s="38">
        <f>IF(C49="","",VariationPrefix&amp;TEXT(ROW()-4,"0000"))</f>
        <v>0</v>
      </c>
      <c r="N49" s="13">
        <f>IF(B49="","",IFERROR(INDEX(Products!$B$5:$B$304,MATCH(B49,Products!$A$5:$A$304,0)),"Not found"))</f>
        <v>0</v>
      </c>
      <c r="O49" s="20">
        <f>IF(B49="","",IFERROR(INDEX(Products!$T$5:$T$304,MATCH(B49,Products!$A$5:$A$304,0)),""))</f>
        <v>0</v>
      </c>
      <c r="P49" s="20">
        <f>IF(B49="","",IFERROR(INDEX(Products!$Z$5:$Z$304,MATCH(B49,Products!$A$5:$A$304,0)),""))</f>
        <v>0</v>
      </c>
      <c r="Q49" s="20">
        <f>IF(B49="","",IFERROR(INDEX(Products!$AH$5:$AH$304,MATCH(B49,Products!$A$5:$A$304,0))-INDEX(Products!$T$5:$T$304,MATCH(B49,Products!$A$5:$A$304,0))-INDEX(Products!$Z$5:$Z$304,MATCH(B49,Products!$A$5:$A$304,0)),0))</f>
        <v>0</v>
      </c>
      <c r="R49" s="36">
        <f>IF(B49="","",IFERROR(INDEX(Products!$X$5:$X$304,MATCH(B49,Products!$A$5:$A$304,0)),""))</f>
        <v>0</v>
      </c>
      <c r="S49" s="20">
        <f>IF(B49="","",IFERROR(INDEX(Products!$AR$5:$AR$304,MATCH(B49,Products!$A$5:$A$304,0)),""))</f>
        <v>0</v>
      </c>
      <c r="T49" s="41">
        <f>IF(B49="","",IFERROR(INDEX(SizeMaterialFactors,MATCH(E49,SizeNames,0)),1))</f>
        <v>0</v>
      </c>
      <c r="U49" s="41">
        <f>IF(B49="","",IFERROR(INDEX(SizeTimeFactors,MATCH(E49,SizeNames,0)),1))</f>
        <v>0</v>
      </c>
      <c r="V49" s="33">
        <f>IF(B49="","",IFERROR(INDEX(RushFactors,MATCH(H49,RushNames,0)),0))</f>
        <v>0</v>
      </c>
      <c r="W49" s="20">
        <f>IF(B49="","",ROUND(IF(O49="",0,O49)*T49+IF(F49="",0,F49),2))</f>
        <v>0</v>
      </c>
      <c r="X49" s="36">
        <f>IF(B49="","",ROUND(IF(R49="",0,R49)*U49+IF(G49="",0,G49),1))</f>
        <v>0</v>
      </c>
      <c r="Y49" s="20">
        <f>IF(B49="","",ROUND(IF(P49="",0,P49)*U49+IF(G49="",0,G49)/60*LaborCostHour,2))</f>
        <v>0</v>
      </c>
      <c r="Z49" s="20">
        <f>IF(B49="","",ROUND(W49+Y49+IF(Q49="",0,Q49),2))</f>
        <v>0</v>
      </c>
      <c r="AA49" s="33">
        <f>IF(B49="","",IFERROR(INDEX(Channels!$S$5:$S$18,MATCH(IF(J49="",DefaultChannel,J49),Channels!$A$5:$A$18,0)),0))</f>
        <v>0</v>
      </c>
      <c r="AB49" s="20">
        <f>IF(B49="","",IFERROR(INDEX(Channels!$T$5:$T$18,MATCH(IF(J49="",DefaultChannel,J49),Channels!$A$5:$A$18,0)),0))</f>
        <v>0</v>
      </c>
      <c r="AC49" s="41">
        <f>IF(B49="","",1-TargetRetailMargin-AA49)</f>
        <v>0</v>
      </c>
      <c r="AD49" s="20">
        <f>IF(B49="","",IF(AC49&lt;=0,"",((Z49+AB49)/AC49)*(1+V49)+IF(I49="",0,I49)))</f>
        <v>0</v>
      </c>
      <c r="AE49" s="20">
        <f>IF(B49="","",IF(AD49="","Check the settings",ROUND(IF(RoundingRule="None",AD49,IF(RoundingRule="Nearest 0.99",MAX(0.99,CEILING(AD49,1)-0.01),IF(RoundingRule="Nearest 0.95",MAX(0.95,CEILING(AD49,1)-0.05),IF(RoundingRule="Nearest 0.50",CEILING(AD49,0.5),IF(RoundingRule="Nearest 1",CEILING(AD49,1),IF(RoundingRule="Nearest 5",CEILING(AD49,5),IF(RoundingRule="Up to whole 1",CEILING(AD49,1),IF(RoundingRule="Up to whole 5",CEILING(AD49,5),ROUND(AD49,2))))))))),2)))</f>
        <v>0</v>
      </c>
      <c r="AF49" s="20">
        <f>IF(B49="","",IF(K49&lt;&gt;"",K49,IF(ISNUMBER(AE49),AE49,"")))</f>
        <v>0</v>
      </c>
      <c r="AG49" s="20">
        <f>IF(B49="","",IF(OR(AF49="",S49=""),"",ROUND(AF49-S49,2)))</f>
        <v>0</v>
      </c>
      <c r="AH49" s="20">
        <f>IF(B49="","",IF(AF49="","",ROUND(AF49*AA49+AB49,2)))</f>
        <v>0</v>
      </c>
      <c r="AI49" s="20">
        <f>IF(B49="","",IF(AF49="","",ROUND(AF49-Z49-AH49,2)))</f>
        <v>0</v>
      </c>
      <c r="AJ49" s="33">
        <f>IF(B49="","",IF(OR(AF49="",AF49=0),"",AI49/AF49))</f>
        <v>0</v>
      </c>
      <c r="AK49" s="20">
        <f>IF(B49="","",IF(OR(X49=0,X49="",AI49=""),"",ROUND((AI49+Y49)/(X49/60),2)))</f>
        <v>0</v>
      </c>
      <c r="AL49" s="43">
        <f>IF(B49="","",IF(N49="Not found","Check - no such product ID",IF(AF49="","Check - no price yet",IF(AI49&lt;0,"Loss - this version costs you money",IF(AND(AK49&lt;&gt;"",AK49&lt;MinimumWage),"Below - pays under minimum wage",IF(AND(G49&gt;0,AG49&lt;=0),"Check - extra work, no extra charge",IF(AJ49&lt;MarginWarning,"Low margin - re-price it","OK")))))))</f>
        <v>0</v>
      </c>
    </row>
    <row r="50" spans="1:38">
      <c r="A50" s="38">
        <f>IF(C50="","",VariationPrefix&amp;TEXT(ROW()-4,"0000"))</f>
        <v>0</v>
      </c>
      <c r="N50" s="13">
        <f>IF(B50="","",IFERROR(INDEX(Products!$B$5:$B$304,MATCH(B50,Products!$A$5:$A$304,0)),"Not found"))</f>
        <v>0</v>
      </c>
      <c r="O50" s="20">
        <f>IF(B50="","",IFERROR(INDEX(Products!$T$5:$T$304,MATCH(B50,Products!$A$5:$A$304,0)),""))</f>
        <v>0</v>
      </c>
      <c r="P50" s="20">
        <f>IF(B50="","",IFERROR(INDEX(Products!$Z$5:$Z$304,MATCH(B50,Products!$A$5:$A$304,0)),""))</f>
        <v>0</v>
      </c>
      <c r="Q50" s="20">
        <f>IF(B50="","",IFERROR(INDEX(Products!$AH$5:$AH$304,MATCH(B50,Products!$A$5:$A$304,0))-INDEX(Products!$T$5:$T$304,MATCH(B50,Products!$A$5:$A$304,0))-INDEX(Products!$Z$5:$Z$304,MATCH(B50,Products!$A$5:$A$304,0)),0))</f>
        <v>0</v>
      </c>
      <c r="R50" s="36">
        <f>IF(B50="","",IFERROR(INDEX(Products!$X$5:$X$304,MATCH(B50,Products!$A$5:$A$304,0)),""))</f>
        <v>0</v>
      </c>
      <c r="S50" s="20">
        <f>IF(B50="","",IFERROR(INDEX(Products!$AR$5:$AR$304,MATCH(B50,Products!$A$5:$A$304,0)),""))</f>
        <v>0</v>
      </c>
      <c r="T50" s="41">
        <f>IF(B50="","",IFERROR(INDEX(SizeMaterialFactors,MATCH(E50,SizeNames,0)),1))</f>
        <v>0</v>
      </c>
      <c r="U50" s="41">
        <f>IF(B50="","",IFERROR(INDEX(SizeTimeFactors,MATCH(E50,SizeNames,0)),1))</f>
        <v>0</v>
      </c>
      <c r="V50" s="33">
        <f>IF(B50="","",IFERROR(INDEX(RushFactors,MATCH(H50,RushNames,0)),0))</f>
        <v>0</v>
      </c>
      <c r="W50" s="20">
        <f>IF(B50="","",ROUND(IF(O50="",0,O50)*T50+IF(F50="",0,F50),2))</f>
        <v>0</v>
      </c>
      <c r="X50" s="36">
        <f>IF(B50="","",ROUND(IF(R50="",0,R50)*U50+IF(G50="",0,G50),1))</f>
        <v>0</v>
      </c>
      <c r="Y50" s="20">
        <f>IF(B50="","",ROUND(IF(P50="",0,P50)*U50+IF(G50="",0,G50)/60*LaborCostHour,2))</f>
        <v>0</v>
      </c>
      <c r="Z50" s="20">
        <f>IF(B50="","",ROUND(W50+Y50+IF(Q50="",0,Q50),2))</f>
        <v>0</v>
      </c>
      <c r="AA50" s="33">
        <f>IF(B50="","",IFERROR(INDEX(Channels!$S$5:$S$18,MATCH(IF(J50="",DefaultChannel,J50),Channels!$A$5:$A$18,0)),0))</f>
        <v>0</v>
      </c>
      <c r="AB50" s="20">
        <f>IF(B50="","",IFERROR(INDEX(Channels!$T$5:$T$18,MATCH(IF(J50="",DefaultChannel,J50),Channels!$A$5:$A$18,0)),0))</f>
        <v>0</v>
      </c>
      <c r="AC50" s="41">
        <f>IF(B50="","",1-TargetRetailMargin-AA50)</f>
        <v>0</v>
      </c>
      <c r="AD50" s="20">
        <f>IF(B50="","",IF(AC50&lt;=0,"",((Z50+AB50)/AC50)*(1+V50)+IF(I50="",0,I50)))</f>
        <v>0</v>
      </c>
      <c r="AE50" s="20">
        <f>IF(B50="","",IF(AD50="","Check the settings",ROUND(IF(RoundingRule="None",AD50,IF(RoundingRule="Nearest 0.99",MAX(0.99,CEILING(AD50,1)-0.01),IF(RoundingRule="Nearest 0.95",MAX(0.95,CEILING(AD50,1)-0.05),IF(RoundingRule="Nearest 0.50",CEILING(AD50,0.5),IF(RoundingRule="Nearest 1",CEILING(AD50,1),IF(RoundingRule="Nearest 5",CEILING(AD50,5),IF(RoundingRule="Up to whole 1",CEILING(AD50,1),IF(RoundingRule="Up to whole 5",CEILING(AD50,5),ROUND(AD50,2))))))))),2)))</f>
        <v>0</v>
      </c>
      <c r="AF50" s="20">
        <f>IF(B50="","",IF(K50&lt;&gt;"",K50,IF(ISNUMBER(AE50),AE50,"")))</f>
        <v>0</v>
      </c>
      <c r="AG50" s="20">
        <f>IF(B50="","",IF(OR(AF50="",S50=""),"",ROUND(AF50-S50,2)))</f>
        <v>0</v>
      </c>
      <c r="AH50" s="20">
        <f>IF(B50="","",IF(AF50="","",ROUND(AF50*AA50+AB50,2)))</f>
        <v>0</v>
      </c>
      <c r="AI50" s="20">
        <f>IF(B50="","",IF(AF50="","",ROUND(AF50-Z50-AH50,2)))</f>
        <v>0</v>
      </c>
      <c r="AJ50" s="33">
        <f>IF(B50="","",IF(OR(AF50="",AF50=0),"",AI50/AF50))</f>
        <v>0</v>
      </c>
      <c r="AK50" s="20">
        <f>IF(B50="","",IF(OR(X50=0,X50="",AI50=""),"",ROUND((AI50+Y50)/(X50/60),2)))</f>
        <v>0</v>
      </c>
      <c r="AL50" s="43">
        <f>IF(B50="","",IF(N50="Not found","Check - no such product ID",IF(AF50="","Check - no price yet",IF(AI50&lt;0,"Loss - this version costs you money",IF(AND(AK50&lt;&gt;"",AK50&lt;MinimumWage),"Below - pays under minimum wage",IF(AND(G50&gt;0,AG50&lt;=0),"Check - extra work, no extra charge",IF(AJ50&lt;MarginWarning,"Low margin - re-price it","OK")))))))</f>
        <v>0</v>
      </c>
    </row>
    <row r="51" spans="1:38">
      <c r="A51" s="38">
        <f>IF(C51="","",VariationPrefix&amp;TEXT(ROW()-4,"0000"))</f>
        <v>0</v>
      </c>
      <c r="N51" s="13">
        <f>IF(B51="","",IFERROR(INDEX(Products!$B$5:$B$304,MATCH(B51,Products!$A$5:$A$304,0)),"Not found"))</f>
        <v>0</v>
      </c>
      <c r="O51" s="20">
        <f>IF(B51="","",IFERROR(INDEX(Products!$T$5:$T$304,MATCH(B51,Products!$A$5:$A$304,0)),""))</f>
        <v>0</v>
      </c>
      <c r="P51" s="20">
        <f>IF(B51="","",IFERROR(INDEX(Products!$Z$5:$Z$304,MATCH(B51,Products!$A$5:$A$304,0)),""))</f>
        <v>0</v>
      </c>
      <c r="Q51" s="20">
        <f>IF(B51="","",IFERROR(INDEX(Products!$AH$5:$AH$304,MATCH(B51,Products!$A$5:$A$304,0))-INDEX(Products!$T$5:$T$304,MATCH(B51,Products!$A$5:$A$304,0))-INDEX(Products!$Z$5:$Z$304,MATCH(B51,Products!$A$5:$A$304,0)),0))</f>
        <v>0</v>
      </c>
      <c r="R51" s="36">
        <f>IF(B51="","",IFERROR(INDEX(Products!$X$5:$X$304,MATCH(B51,Products!$A$5:$A$304,0)),""))</f>
        <v>0</v>
      </c>
      <c r="S51" s="20">
        <f>IF(B51="","",IFERROR(INDEX(Products!$AR$5:$AR$304,MATCH(B51,Products!$A$5:$A$304,0)),""))</f>
        <v>0</v>
      </c>
      <c r="T51" s="41">
        <f>IF(B51="","",IFERROR(INDEX(SizeMaterialFactors,MATCH(E51,SizeNames,0)),1))</f>
        <v>0</v>
      </c>
      <c r="U51" s="41">
        <f>IF(B51="","",IFERROR(INDEX(SizeTimeFactors,MATCH(E51,SizeNames,0)),1))</f>
        <v>0</v>
      </c>
      <c r="V51" s="33">
        <f>IF(B51="","",IFERROR(INDEX(RushFactors,MATCH(H51,RushNames,0)),0))</f>
        <v>0</v>
      </c>
      <c r="W51" s="20">
        <f>IF(B51="","",ROUND(IF(O51="",0,O51)*T51+IF(F51="",0,F51),2))</f>
        <v>0</v>
      </c>
      <c r="X51" s="36">
        <f>IF(B51="","",ROUND(IF(R51="",0,R51)*U51+IF(G51="",0,G51),1))</f>
        <v>0</v>
      </c>
      <c r="Y51" s="20">
        <f>IF(B51="","",ROUND(IF(P51="",0,P51)*U51+IF(G51="",0,G51)/60*LaborCostHour,2))</f>
        <v>0</v>
      </c>
      <c r="Z51" s="20">
        <f>IF(B51="","",ROUND(W51+Y51+IF(Q51="",0,Q51),2))</f>
        <v>0</v>
      </c>
      <c r="AA51" s="33">
        <f>IF(B51="","",IFERROR(INDEX(Channels!$S$5:$S$18,MATCH(IF(J51="",DefaultChannel,J51),Channels!$A$5:$A$18,0)),0))</f>
        <v>0</v>
      </c>
      <c r="AB51" s="20">
        <f>IF(B51="","",IFERROR(INDEX(Channels!$T$5:$T$18,MATCH(IF(J51="",DefaultChannel,J51),Channels!$A$5:$A$18,0)),0))</f>
        <v>0</v>
      </c>
      <c r="AC51" s="41">
        <f>IF(B51="","",1-TargetRetailMargin-AA51)</f>
        <v>0</v>
      </c>
      <c r="AD51" s="20">
        <f>IF(B51="","",IF(AC51&lt;=0,"",((Z51+AB51)/AC51)*(1+V51)+IF(I51="",0,I51)))</f>
        <v>0</v>
      </c>
      <c r="AE51" s="20">
        <f>IF(B51="","",IF(AD51="","Check the settings",ROUND(IF(RoundingRule="None",AD51,IF(RoundingRule="Nearest 0.99",MAX(0.99,CEILING(AD51,1)-0.01),IF(RoundingRule="Nearest 0.95",MAX(0.95,CEILING(AD51,1)-0.05),IF(RoundingRule="Nearest 0.50",CEILING(AD51,0.5),IF(RoundingRule="Nearest 1",CEILING(AD51,1),IF(RoundingRule="Nearest 5",CEILING(AD51,5),IF(RoundingRule="Up to whole 1",CEILING(AD51,1),IF(RoundingRule="Up to whole 5",CEILING(AD51,5),ROUND(AD51,2))))))))),2)))</f>
        <v>0</v>
      </c>
      <c r="AF51" s="20">
        <f>IF(B51="","",IF(K51&lt;&gt;"",K51,IF(ISNUMBER(AE51),AE51,"")))</f>
        <v>0</v>
      </c>
      <c r="AG51" s="20">
        <f>IF(B51="","",IF(OR(AF51="",S51=""),"",ROUND(AF51-S51,2)))</f>
        <v>0</v>
      </c>
      <c r="AH51" s="20">
        <f>IF(B51="","",IF(AF51="","",ROUND(AF51*AA51+AB51,2)))</f>
        <v>0</v>
      </c>
      <c r="AI51" s="20">
        <f>IF(B51="","",IF(AF51="","",ROUND(AF51-Z51-AH51,2)))</f>
        <v>0</v>
      </c>
      <c r="AJ51" s="33">
        <f>IF(B51="","",IF(OR(AF51="",AF51=0),"",AI51/AF51))</f>
        <v>0</v>
      </c>
      <c r="AK51" s="20">
        <f>IF(B51="","",IF(OR(X51=0,X51="",AI51=""),"",ROUND((AI51+Y51)/(X51/60),2)))</f>
        <v>0</v>
      </c>
      <c r="AL51" s="43">
        <f>IF(B51="","",IF(N51="Not found","Check - no such product ID",IF(AF51="","Check - no price yet",IF(AI51&lt;0,"Loss - this version costs you money",IF(AND(AK51&lt;&gt;"",AK51&lt;MinimumWage),"Below - pays under minimum wage",IF(AND(G51&gt;0,AG51&lt;=0),"Check - extra work, no extra charge",IF(AJ51&lt;MarginWarning,"Low margin - re-price it","OK")))))))</f>
        <v>0</v>
      </c>
    </row>
    <row r="52" spans="1:38">
      <c r="A52" s="38">
        <f>IF(C52="","",VariationPrefix&amp;TEXT(ROW()-4,"0000"))</f>
        <v>0</v>
      </c>
      <c r="N52" s="13">
        <f>IF(B52="","",IFERROR(INDEX(Products!$B$5:$B$304,MATCH(B52,Products!$A$5:$A$304,0)),"Not found"))</f>
        <v>0</v>
      </c>
      <c r="O52" s="20">
        <f>IF(B52="","",IFERROR(INDEX(Products!$T$5:$T$304,MATCH(B52,Products!$A$5:$A$304,0)),""))</f>
        <v>0</v>
      </c>
      <c r="P52" s="20">
        <f>IF(B52="","",IFERROR(INDEX(Products!$Z$5:$Z$304,MATCH(B52,Products!$A$5:$A$304,0)),""))</f>
        <v>0</v>
      </c>
      <c r="Q52" s="20">
        <f>IF(B52="","",IFERROR(INDEX(Products!$AH$5:$AH$304,MATCH(B52,Products!$A$5:$A$304,0))-INDEX(Products!$T$5:$T$304,MATCH(B52,Products!$A$5:$A$304,0))-INDEX(Products!$Z$5:$Z$304,MATCH(B52,Products!$A$5:$A$304,0)),0))</f>
        <v>0</v>
      </c>
      <c r="R52" s="36">
        <f>IF(B52="","",IFERROR(INDEX(Products!$X$5:$X$304,MATCH(B52,Products!$A$5:$A$304,0)),""))</f>
        <v>0</v>
      </c>
      <c r="S52" s="20">
        <f>IF(B52="","",IFERROR(INDEX(Products!$AR$5:$AR$304,MATCH(B52,Products!$A$5:$A$304,0)),""))</f>
        <v>0</v>
      </c>
      <c r="T52" s="41">
        <f>IF(B52="","",IFERROR(INDEX(SizeMaterialFactors,MATCH(E52,SizeNames,0)),1))</f>
        <v>0</v>
      </c>
      <c r="U52" s="41">
        <f>IF(B52="","",IFERROR(INDEX(SizeTimeFactors,MATCH(E52,SizeNames,0)),1))</f>
        <v>0</v>
      </c>
      <c r="V52" s="33">
        <f>IF(B52="","",IFERROR(INDEX(RushFactors,MATCH(H52,RushNames,0)),0))</f>
        <v>0</v>
      </c>
      <c r="W52" s="20">
        <f>IF(B52="","",ROUND(IF(O52="",0,O52)*T52+IF(F52="",0,F52),2))</f>
        <v>0</v>
      </c>
      <c r="X52" s="36">
        <f>IF(B52="","",ROUND(IF(R52="",0,R52)*U52+IF(G52="",0,G52),1))</f>
        <v>0</v>
      </c>
      <c r="Y52" s="20">
        <f>IF(B52="","",ROUND(IF(P52="",0,P52)*U52+IF(G52="",0,G52)/60*LaborCostHour,2))</f>
        <v>0</v>
      </c>
      <c r="Z52" s="20">
        <f>IF(B52="","",ROUND(W52+Y52+IF(Q52="",0,Q52),2))</f>
        <v>0</v>
      </c>
      <c r="AA52" s="33">
        <f>IF(B52="","",IFERROR(INDEX(Channels!$S$5:$S$18,MATCH(IF(J52="",DefaultChannel,J52),Channels!$A$5:$A$18,0)),0))</f>
        <v>0</v>
      </c>
      <c r="AB52" s="20">
        <f>IF(B52="","",IFERROR(INDEX(Channels!$T$5:$T$18,MATCH(IF(J52="",DefaultChannel,J52),Channels!$A$5:$A$18,0)),0))</f>
        <v>0</v>
      </c>
      <c r="AC52" s="41">
        <f>IF(B52="","",1-TargetRetailMargin-AA52)</f>
        <v>0</v>
      </c>
      <c r="AD52" s="20">
        <f>IF(B52="","",IF(AC52&lt;=0,"",((Z52+AB52)/AC52)*(1+V52)+IF(I52="",0,I52)))</f>
        <v>0</v>
      </c>
      <c r="AE52" s="20">
        <f>IF(B52="","",IF(AD52="","Check the settings",ROUND(IF(RoundingRule="None",AD52,IF(RoundingRule="Nearest 0.99",MAX(0.99,CEILING(AD52,1)-0.01),IF(RoundingRule="Nearest 0.95",MAX(0.95,CEILING(AD52,1)-0.05),IF(RoundingRule="Nearest 0.50",CEILING(AD52,0.5),IF(RoundingRule="Nearest 1",CEILING(AD52,1),IF(RoundingRule="Nearest 5",CEILING(AD52,5),IF(RoundingRule="Up to whole 1",CEILING(AD52,1),IF(RoundingRule="Up to whole 5",CEILING(AD52,5),ROUND(AD52,2))))))))),2)))</f>
        <v>0</v>
      </c>
      <c r="AF52" s="20">
        <f>IF(B52="","",IF(K52&lt;&gt;"",K52,IF(ISNUMBER(AE52),AE52,"")))</f>
        <v>0</v>
      </c>
      <c r="AG52" s="20">
        <f>IF(B52="","",IF(OR(AF52="",S52=""),"",ROUND(AF52-S52,2)))</f>
        <v>0</v>
      </c>
      <c r="AH52" s="20">
        <f>IF(B52="","",IF(AF52="","",ROUND(AF52*AA52+AB52,2)))</f>
        <v>0</v>
      </c>
      <c r="AI52" s="20">
        <f>IF(B52="","",IF(AF52="","",ROUND(AF52-Z52-AH52,2)))</f>
        <v>0</v>
      </c>
      <c r="AJ52" s="33">
        <f>IF(B52="","",IF(OR(AF52="",AF52=0),"",AI52/AF52))</f>
        <v>0</v>
      </c>
      <c r="AK52" s="20">
        <f>IF(B52="","",IF(OR(X52=0,X52="",AI52=""),"",ROUND((AI52+Y52)/(X52/60),2)))</f>
        <v>0</v>
      </c>
      <c r="AL52" s="43">
        <f>IF(B52="","",IF(N52="Not found","Check - no such product ID",IF(AF52="","Check - no price yet",IF(AI52&lt;0,"Loss - this version costs you money",IF(AND(AK52&lt;&gt;"",AK52&lt;MinimumWage),"Below - pays under minimum wage",IF(AND(G52&gt;0,AG52&lt;=0),"Check - extra work, no extra charge",IF(AJ52&lt;MarginWarning,"Low margin - re-price it","OK")))))))</f>
        <v>0</v>
      </c>
    </row>
    <row r="53" spans="1:38">
      <c r="A53" s="38">
        <f>IF(C53="","",VariationPrefix&amp;TEXT(ROW()-4,"0000"))</f>
        <v>0</v>
      </c>
      <c r="N53" s="13">
        <f>IF(B53="","",IFERROR(INDEX(Products!$B$5:$B$304,MATCH(B53,Products!$A$5:$A$304,0)),"Not found"))</f>
        <v>0</v>
      </c>
      <c r="O53" s="20">
        <f>IF(B53="","",IFERROR(INDEX(Products!$T$5:$T$304,MATCH(B53,Products!$A$5:$A$304,0)),""))</f>
        <v>0</v>
      </c>
      <c r="P53" s="20">
        <f>IF(B53="","",IFERROR(INDEX(Products!$Z$5:$Z$304,MATCH(B53,Products!$A$5:$A$304,0)),""))</f>
        <v>0</v>
      </c>
      <c r="Q53" s="20">
        <f>IF(B53="","",IFERROR(INDEX(Products!$AH$5:$AH$304,MATCH(B53,Products!$A$5:$A$304,0))-INDEX(Products!$T$5:$T$304,MATCH(B53,Products!$A$5:$A$304,0))-INDEX(Products!$Z$5:$Z$304,MATCH(B53,Products!$A$5:$A$304,0)),0))</f>
        <v>0</v>
      </c>
      <c r="R53" s="36">
        <f>IF(B53="","",IFERROR(INDEX(Products!$X$5:$X$304,MATCH(B53,Products!$A$5:$A$304,0)),""))</f>
        <v>0</v>
      </c>
      <c r="S53" s="20">
        <f>IF(B53="","",IFERROR(INDEX(Products!$AR$5:$AR$304,MATCH(B53,Products!$A$5:$A$304,0)),""))</f>
        <v>0</v>
      </c>
      <c r="T53" s="41">
        <f>IF(B53="","",IFERROR(INDEX(SizeMaterialFactors,MATCH(E53,SizeNames,0)),1))</f>
        <v>0</v>
      </c>
      <c r="U53" s="41">
        <f>IF(B53="","",IFERROR(INDEX(SizeTimeFactors,MATCH(E53,SizeNames,0)),1))</f>
        <v>0</v>
      </c>
      <c r="V53" s="33">
        <f>IF(B53="","",IFERROR(INDEX(RushFactors,MATCH(H53,RushNames,0)),0))</f>
        <v>0</v>
      </c>
      <c r="W53" s="20">
        <f>IF(B53="","",ROUND(IF(O53="",0,O53)*T53+IF(F53="",0,F53),2))</f>
        <v>0</v>
      </c>
      <c r="X53" s="36">
        <f>IF(B53="","",ROUND(IF(R53="",0,R53)*U53+IF(G53="",0,G53),1))</f>
        <v>0</v>
      </c>
      <c r="Y53" s="20">
        <f>IF(B53="","",ROUND(IF(P53="",0,P53)*U53+IF(G53="",0,G53)/60*LaborCostHour,2))</f>
        <v>0</v>
      </c>
      <c r="Z53" s="20">
        <f>IF(B53="","",ROUND(W53+Y53+IF(Q53="",0,Q53),2))</f>
        <v>0</v>
      </c>
      <c r="AA53" s="33">
        <f>IF(B53="","",IFERROR(INDEX(Channels!$S$5:$S$18,MATCH(IF(J53="",DefaultChannel,J53),Channels!$A$5:$A$18,0)),0))</f>
        <v>0</v>
      </c>
      <c r="AB53" s="20">
        <f>IF(B53="","",IFERROR(INDEX(Channels!$T$5:$T$18,MATCH(IF(J53="",DefaultChannel,J53),Channels!$A$5:$A$18,0)),0))</f>
        <v>0</v>
      </c>
      <c r="AC53" s="41">
        <f>IF(B53="","",1-TargetRetailMargin-AA53)</f>
        <v>0</v>
      </c>
      <c r="AD53" s="20">
        <f>IF(B53="","",IF(AC53&lt;=0,"",((Z53+AB53)/AC53)*(1+V53)+IF(I53="",0,I53)))</f>
        <v>0</v>
      </c>
      <c r="AE53" s="20">
        <f>IF(B53="","",IF(AD53="","Check the settings",ROUND(IF(RoundingRule="None",AD53,IF(RoundingRule="Nearest 0.99",MAX(0.99,CEILING(AD53,1)-0.01),IF(RoundingRule="Nearest 0.95",MAX(0.95,CEILING(AD53,1)-0.05),IF(RoundingRule="Nearest 0.50",CEILING(AD53,0.5),IF(RoundingRule="Nearest 1",CEILING(AD53,1),IF(RoundingRule="Nearest 5",CEILING(AD53,5),IF(RoundingRule="Up to whole 1",CEILING(AD53,1),IF(RoundingRule="Up to whole 5",CEILING(AD53,5),ROUND(AD53,2))))))))),2)))</f>
        <v>0</v>
      </c>
      <c r="AF53" s="20">
        <f>IF(B53="","",IF(K53&lt;&gt;"",K53,IF(ISNUMBER(AE53),AE53,"")))</f>
        <v>0</v>
      </c>
      <c r="AG53" s="20">
        <f>IF(B53="","",IF(OR(AF53="",S53=""),"",ROUND(AF53-S53,2)))</f>
        <v>0</v>
      </c>
      <c r="AH53" s="20">
        <f>IF(B53="","",IF(AF53="","",ROUND(AF53*AA53+AB53,2)))</f>
        <v>0</v>
      </c>
      <c r="AI53" s="20">
        <f>IF(B53="","",IF(AF53="","",ROUND(AF53-Z53-AH53,2)))</f>
        <v>0</v>
      </c>
      <c r="AJ53" s="33">
        <f>IF(B53="","",IF(OR(AF53="",AF53=0),"",AI53/AF53))</f>
        <v>0</v>
      </c>
      <c r="AK53" s="20">
        <f>IF(B53="","",IF(OR(X53=0,X53="",AI53=""),"",ROUND((AI53+Y53)/(X53/60),2)))</f>
        <v>0</v>
      </c>
      <c r="AL53" s="43">
        <f>IF(B53="","",IF(N53="Not found","Check - no such product ID",IF(AF53="","Check - no price yet",IF(AI53&lt;0,"Loss - this version costs you money",IF(AND(AK53&lt;&gt;"",AK53&lt;MinimumWage),"Below - pays under minimum wage",IF(AND(G53&gt;0,AG53&lt;=0),"Check - extra work, no extra charge",IF(AJ53&lt;MarginWarning,"Low margin - re-price it","OK")))))))</f>
        <v>0</v>
      </c>
    </row>
    <row r="54" spans="1:38">
      <c r="A54" s="38">
        <f>IF(C54="","",VariationPrefix&amp;TEXT(ROW()-4,"0000"))</f>
        <v>0</v>
      </c>
      <c r="N54" s="13">
        <f>IF(B54="","",IFERROR(INDEX(Products!$B$5:$B$304,MATCH(B54,Products!$A$5:$A$304,0)),"Not found"))</f>
        <v>0</v>
      </c>
      <c r="O54" s="20">
        <f>IF(B54="","",IFERROR(INDEX(Products!$T$5:$T$304,MATCH(B54,Products!$A$5:$A$304,0)),""))</f>
        <v>0</v>
      </c>
      <c r="P54" s="20">
        <f>IF(B54="","",IFERROR(INDEX(Products!$Z$5:$Z$304,MATCH(B54,Products!$A$5:$A$304,0)),""))</f>
        <v>0</v>
      </c>
      <c r="Q54" s="20">
        <f>IF(B54="","",IFERROR(INDEX(Products!$AH$5:$AH$304,MATCH(B54,Products!$A$5:$A$304,0))-INDEX(Products!$T$5:$T$304,MATCH(B54,Products!$A$5:$A$304,0))-INDEX(Products!$Z$5:$Z$304,MATCH(B54,Products!$A$5:$A$304,0)),0))</f>
        <v>0</v>
      </c>
      <c r="R54" s="36">
        <f>IF(B54="","",IFERROR(INDEX(Products!$X$5:$X$304,MATCH(B54,Products!$A$5:$A$304,0)),""))</f>
        <v>0</v>
      </c>
      <c r="S54" s="20">
        <f>IF(B54="","",IFERROR(INDEX(Products!$AR$5:$AR$304,MATCH(B54,Products!$A$5:$A$304,0)),""))</f>
        <v>0</v>
      </c>
      <c r="T54" s="41">
        <f>IF(B54="","",IFERROR(INDEX(SizeMaterialFactors,MATCH(E54,SizeNames,0)),1))</f>
        <v>0</v>
      </c>
      <c r="U54" s="41">
        <f>IF(B54="","",IFERROR(INDEX(SizeTimeFactors,MATCH(E54,SizeNames,0)),1))</f>
        <v>0</v>
      </c>
      <c r="V54" s="33">
        <f>IF(B54="","",IFERROR(INDEX(RushFactors,MATCH(H54,RushNames,0)),0))</f>
        <v>0</v>
      </c>
      <c r="W54" s="20">
        <f>IF(B54="","",ROUND(IF(O54="",0,O54)*T54+IF(F54="",0,F54),2))</f>
        <v>0</v>
      </c>
      <c r="X54" s="36">
        <f>IF(B54="","",ROUND(IF(R54="",0,R54)*U54+IF(G54="",0,G54),1))</f>
        <v>0</v>
      </c>
      <c r="Y54" s="20">
        <f>IF(B54="","",ROUND(IF(P54="",0,P54)*U54+IF(G54="",0,G54)/60*LaborCostHour,2))</f>
        <v>0</v>
      </c>
      <c r="Z54" s="20">
        <f>IF(B54="","",ROUND(W54+Y54+IF(Q54="",0,Q54),2))</f>
        <v>0</v>
      </c>
      <c r="AA54" s="33">
        <f>IF(B54="","",IFERROR(INDEX(Channels!$S$5:$S$18,MATCH(IF(J54="",DefaultChannel,J54),Channels!$A$5:$A$18,0)),0))</f>
        <v>0</v>
      </c>
      <c r="AB54" s="20">
        <f>IF(B54="","",IFERROR(INDEX(Channels!$T$5:$T$18,MATCH(IF(J54="",DefaultChannel,J54),Channels!$A$5:$A$18,0)),0))</f>
        <v>0</v>
      </c>
      <c r="AC54" s="41">
        <f>IF(B54="","",1-TargetRetailMargin-AA54)</f>
        <v>0</v>
      </c>
      <c r="AD54" s="20">
        <f>IF(B54="","",IF(AC54&lt;=0,"",((Z54+AB54)/AC54)*(1+V54)+IF(I54="",0,I54)))</f>
        <v>0</v>
      </c>
      <c r="AE54" s="20">
        <f>IF(B54="","",IF(AD54="","Check the settings",ROUND(IF(RoundingRule="None",AD54,IF(RoundingRule="Nearest 0.99",MAX(0.99,CEILING(AD54,1)-0.01),IF(RoundingRule="Nearest 0.95",MAX(0.95,CEILING(AD54,1)-0.05),IF(RoundingRule="Nearest 0.50",CEILING(AD54,0.5),IF(RoundingRule="Nearest 1",CEILING(AD54,1),IF(RoundingRule="Nearest 5",CEILING(AD54,5),IF(RoundingRule="Up to whole 1",CEILING(AD54,1),IF(RoundingRule="Up to whole 5",CEILING(AD54,5),ROUND(AD54,2))))))))),2)))</f>
        <v>0</v>
      </c>
      <c r="AF54" s="20">
        <f>IF(B54="","",IF(K54&lt;&gt;"",K54,IF(ISNUMBER(AE54),AE54,"")))</f>
        <v>0</v>
      </c>
      <c r="AG54" s="20">
        <f>IF(B54="","",IF(OR(AF54="",S54=""),"",ROUND(AF54-S54,2)))</f>
        <v>0</v>
      </c>
      <c r="AH54" s="20">
        <f>IF(B54="","",IF(AF54="","",ROUND(AF54*AA54+AB54,2)))</f>
        <v>0</v>
      </c>
      <c r="AI54" s="20">
        <f>IF(B54="","",IF(AF54="","",ROUND(AF54-Z54-AH54,2)))</f>
        <v>0</v>
      </c>
      <c r="AJ54" s="33">
        <f>IF(B54="","",IF(OR(AF54="",AF54=0),"",AI54/AF54))</f>
        <v>0</v>
      </c>
      <c r="AK54" s="20">
        <f>IF(B54="","",IF(OR(X54=0,X54="",AI54=""),"",ROUND((AI54+Y54)/(X54/60),2)))</f>
        <v>0</v>
      </c>
      <c r="AL54" s="43">
        <f>IF(B54="","",IF(N54="Not found","Check - no such product ID",IF(AF54="","Check - no price yet",IF(AI54&lt;0,"Loss - this version costs you money",IF(AND(AK54&lt;&gt;"",AK54&lt;MinimumWage),"Below - pays under minimum wage",IF(AND(G54&gt;0,AG54&lt;=0),"Check - extra work, no extra charge",IF(AJ54&lt;MarginWarning,"Low margin - re-price it","OK")))))))</f>
        <v>0</v>
      </c>
    </row>
    <row r="55" spans="1:38">
      <c r="A55" s="38">
        <f>IF(C55="","",VariationPrefix&amp;TEXT(ROW()-4,"0000"))</f>
        <v>0</v>
      </c>
      <c r="N55" s="13">
        <f>IF(B55="","",IFERROR(INDEX(Products!$B$5:$B$304,MATCH(B55,Products!$A$5:$A$304,0)),"Not found"))</f>
        <v>0</v>
      </c>
      <c r="O55" s="20">
        <f>IF(B55="","",IFERROR(INDEX(Products!$T$5:$T$304,MATCH(B55,Products!$A$5:$A$304,0)),""))</f>
        <v>0</v>
      </c>
      <c r="P55" s="20">
        <f>IF(B55="","",IFERROR(INDEX(Products!$Z$5:$Z$304,MATCH(B55,Products!$A$5:$A$304,0)),""))</f>
        <v>0</v>
      </c>
      <c r="Q55" s="20">
        <f>IF(B55="","",IFERROR(INDEX(Products!$AH$5:$AH$304,MATCH(B55,Products!$A$5:$A$304,0))-INDEX(Products!$T$5:$T$304,MATCH(B55,Products!$A$5:$A$304,0))-INDEX(Products!$Z$5:$Z$304,MATCH(B55,Products!$A$5:$A$304,0)),0))</f>
        <v>0</v>
      </c>
      <c r="R55" s="36">
        <f>IF(B55="","",IFERROR(INDEX(Products!$X$5:$X$304,MATCH(B55,Products!$A$5:$A$304,0)),""))</f>
        <v>0</v>
      </c>
      <c r="S55" s="20">
        <f>IF(B55="","",IFERROR(INDEX(Products!$AR$5:$AR$304,MATCH(B55,Products!$A$5:$A$304,0)),""))</f>
        <v>0</v>
      </c>
      <c r="T55" s="41">
        <f>IF(B55="","",IFERROR(INDEX(SizeMaterialFactors,MATCH(E55,SizeNames,0)),1))</f>
        <v>0</v>
      </c>
      <c r="U55" s="41">
        <f>IF(B55="","",IFERROR(INDEX(SizeTimeFactors,MATCH(E55,SizeNames,0)),1))</f>
        <v>0</v>
      </c>
      <c r="V55" s="33">
        <f>IF(B55="","",IFERROR(INDEX(RushFactors,MATCH(H55,RushNames,0)),0))</f>
        <v>0</v>
      </c>
      <c r="W55" s="20">
        <f>IF(B55="","",ROUND(IF(O55="",0,O55)*T55+IF(F55="",0,F55),2))</f>
        <v>0</v>
      </c>
      <c r="X55" s="36">
        <f>IF(B55="","",ROUND(IF(R55="",0,R55)*U55+IF(G55="",0,G55),1))</f>
        <v>0</v>
      </c>
      <c r="Y55" s="20">
        <f>IF(B55="","",ROUND(IF(P55="",0,P55)*U55+IF(G55="",0,G55)/60*LaborCostHour,2))</f>
        <v>0</v>
      </c>
      <c r="Z55" s="20">
        <f>IF(B55="","",ROUND(W55+Y55+IF(Q55="",0,Q55),2))</f>
        <v>0</v>
      </c>
      <c r="AA55" s="33">
        <f>IF(B55="","",IFERROR(INDEX(Channels!$S$5:$S$18,MATCH(IF(J55="",DefaultChannel,J55),Channels!$A$5:$A$18,0)),0))</f>
        <v>0</v>
      </c>
      <c r="AB55" s="20">
        <f>IF(B55="","",IFERROR(INDEX(Channels!$T$5:$T$18,MATCH(IF(J55="",DefaultChannel,J55),Channels!$A$5:$A$18,0)),0))</f>
        <v>0</v>
      </c>
      <c r="AC55" s="41">
        <f>IF(B55="","",1-TargetRetailMargin-AA55)</f>
        <v>0</v>
      </c>
      <c r="AD55" s="20">
        <f>IF(B55="","",IF(AC55&lt;=0,"",((Z55+AB55)/AC55)*(1+V55)+IF(I55="",0,I55)))</f>
        <v>0</v>
      </c>
      <c r="AE55" s="20">
        <f>IF(B55="","",IF(AD55="","Check the settings",ROUND(IF(RoundingRule="None",AD55,IF(RoundingRule="Nearest 0.99",MAX(0.99,CEILING(AD55,1)-0.01),IF(RoundingRule="Nearest 0.95",MAX(0.95,CEILING(AD55,1)-0.05),IF(RoundingRule="Nearest 0.50",CEILING(AD55,0.5),IF(RoundingRule="Nearest 1",CEILING(AD55,1),IF(RoundingRule="Nearest 5",CEILING(AD55,5),IF(RoundingRule="Up to whole 1",CEILING(AD55,1),IF(RoundingRule="Up to whole 5",CEILING(AD55,5),ROUND(AD55,2))))))))),2)))</f>
        <v>0</v>
      </c>
      <c r="AF55" s="20">
        <f>IF(B55="","",IF(K55&lt;&gt;"",K55,IF(ISNUMBER(AE55),AE55,"")))</f>
        <v>0</v>
      </c>
      <c r="AG55" s="20">
        <f>IF(B55="","",IF(OR(AF55="",S55=""),"",ROUND(AF55-S55,2)))</f>
        <v>0</v>
      </c>
      <c r="AH55" s="20">
        <f>IF(B55="","",IF(AF55="","",ROUND(AF55*AA55+AB55,2)))</f>
        <v>0</v>
      </c>
      <c r="AI55" s="20">
        <f>IF(B55="","",IF(AF55="","",ROUND(AF55-Z55-AH55,2)))</f>
        <v>0</v>
      </c>
      <c r="AJ55" s="33">
        <f>IF(B55="","",IF(OR(AF55="",AF55=0),"",AI55/AF55))</f>
        <v>0</v>
      </c>
      <c r="AK55" s="20">
        <f>IF(B55="","",IF(OR(X55=0,X55="",AI55=""),"",ROUND((AI55+Y55)/(X55/60),2)))</f>
        <v>0</v>
      </c>
      <c r="AL55" s="43">
        <f>IF(B55="","",IF(N55="Not found","Check - no such product ID",IF(AF55="","Check - no price yet",IF(AI55&lt;0,"Loss - this version costs you money",IF(AND(AK55&lt;&gt;"",AK55&lt;MinimumWage),"Below - pays under minimum wage",IF(AND(G55&gt;0,AG55&lt;=0),"Check - extra work, no extra charge",IF(AJ55&lt;MarginWarning,"Low margin - re-price it","OK")))))))</f>
        <v>0</v>
      </c>
    </row>
    <row r="56" spans="1:38">
      <c r="A56" s="38">
        <f>IF(C56="","",VariationPrefix&amp;TEXT(ROW()-4,"0000"))</f>
        <v>0</v>
      </c>
      <c r="N56" s="13">
        <f>IF(B56="","",IFERROR(INDEX(Products!$B$5:$B$304,MATCH(B56,Products!$A$5:$A$304,0)),"Not found"))</f>
        <v>0</v>
      </c>
      <c r="O56" s="20">
        <f>IF(B56="","",IFERROR(INDEX(Products!$T$5:$T$304,MATCH(B56,Products!$A$5:$A$304,0)),""))</f>
        <v>0</v>
      </c>
      <c r="P56" s="20">
        <f>IF(B56="","",IFERROR(INDEX(Products!$Z$5:$Z$304,MATCH(B56,Products!$A$5:$A$304,0)),""))</f>
        <v>0</v>
      </c>
      <c r="Q56" s="20">
        <f>IF(B56="","",IFERROR(INDEX(Products!$AH$5:$AH$304,MATCH(B56,Products!$A$5:$A$304,0))-INDEX(Products!$T$5:$T$304,MATCH(B56,Products!$A$5:$A$304,0))-INDEX(Products!$Z$5:$Z$304,MATCH(B56,Products!$A$5:$A$304,0)),0))</f>
        <v>0</v>
      </c>
      <c r="R56" s="36">
        <f>IF(B56="","",IFERROR(INDEX(Products!$X$5:$X$304,MATCH(B56,Products!$A$5:$A$304,0)),""))</f>
        <v>0</v>
      </c>
      <c r="S56" s="20">
        <f>IF(B56="","",IFERROR(INDEX(Products!$AR$5:$AR$304,MATCH(B56,Products!$A$5:$A$304,0)),""))</f>
        <v>0</v>
      </c>
      <c r="T56" s="41">
        <f>IF(B56="","",IFERROR(INDEX(SizeMaterialFactors,MATCH(E56,SizeNames,0)),1))</f>
        <v>0</v>
      </c>
      <c r="U56" s="41">
        <f>IF(B56="","",IFERROR(INDEX(SizeTimeFactors,MATCH(E56,SizeNames,0)),1))</f>
        <v>0</v>
      </c>
      <c r="V56" s="33">
        <f>IF(B56="","",IFERROR(INDEX(RushFactors,MATCH(H56,RushNames,0)),0))</f>
        <v>0</v>
      </c>
      <c r="W56" s="20">
        <f>IF(B56="","",ROUND(IF(O56="",0,O56)*T56+IF(F56="",0,F56),2))</f>
        <v>0</v>
      </c>
      <c r="X56" s="36">
        <f>IF(B56="","",ROUND(IF(R56="",0,R56)*U56+IF(G56="",0,G56),1))</f>
        <v>0</v>
      </c>
      <c r="Y56" s="20">
        <f>IF(B56="","",ROUND(IF(P56="",0,P56)*U56+IF(G56="",0,G56)/60*LaborCostHour,2))</f>
        <v>0</v>
      </c>
      <c r="Z56" s="20">
        <f>IF(B56="","",ROUND(W56+Y56+IF(Q56="",0,Q56),2))</f>
        <v>0</v>
      </c>
      <c r="AA56" s="33">
        <f>IF(B56="","",IFERROR(INDEX(Channels!$S$5:$S$18,MATCH(IF(J56="",DefaultChannel,J56),Channels!$A$5:$A$18,0)),0))</f>
        <v>0</v>
      </c>
      <c r="AB56" s="20">
        <f>IF(B56="","",IFERROR(INDEX(Channels!$T$5:$T$18,MATCH(IF(J56="",DefaultChannel,J56),Channels!$A$5:$A$18,0)),0))</f>
        <v>0</v>
      </c>
      <c r="AC56" s="41">
        <f>IF(B56="","",1-TargetRetailMargin-AA56)</f>
        <v>0</v>
      </c>
      <c r="AD56" s="20">
        <f>IF(B56="","",IF(AC56&lt;=0,"",((Z56+AB56)/AC56)*(1+V56)+IF(I56="",0,I56)))</f>
        <v>0</v>
      </c>
      <c r="AE56" s="20">
        <f>IF(B56="","",IF(AD56="","Check the settings",ROUND(IF(RoundingRule="None",AD56,IF(RoundingRule="Nearest 0.99",MAX(0.99,CEILING(AD56,1)-0.01),IF(RoundingRule="Nearest 0.95",MAX(0.95,CEILING(AD56,1)-0.05),IF(RoundingRule="Nearest 0.50",CEILING(AD56,0.5),IF(RoundingRule="Nearest 1",CEILING(AD56,1),IF(RoundingRule="Nearest 5",CEILING(AD56,5),IF(RoundingRule="Up to whole 1",CEILING(AD56,1),IF(RoundingRule="Up to whole 5",CEILING(AD56,5),ROUND(AD56,2))))))))),2)))</f>
        <v>0</v>
      </c>
      <c r="AF56" s="20">
        <f>IF(B56="","",IF(K56&lt;&gt;"",K56,IF(ISNUMBER(AE56),AE56,"")))</f>
        <v>0</v>
      </c>
      <c r="AG56" s="20">
        <f>IF(B56="","",IF(OR(AF56="",S56=""),"",ROUND(AF56-S56,2)))</f>
        <v>0</v>
      </c>
      <c r="AH56" s="20">
        <f>IF(B56="","",IF(AF56="","",ROUND(AF56*AA56+AB56,2)))</f>
        <v>0</v>
      </c>
      <c r="AI56" s="20">
        <f>IF(B56="","",IF(AF56="","",ROUND(AF56-Z56-AH56,2)))</f>
        <v>0</v>
      </c>
      <c r="AJ56" s="33">
        <f>IF(B56="","",IF(OR(AF56="",AF56=0),"",AI56/AF56))</f>
        <v>0</v>
      </c>
      <c r="AK56" s="20">
        <f>IF(B56="","",IF(OR(X56=0,X56="",AI56=""),"",ROUND((AI56+Y56)/(X56/60),2)))</f>
        <v>0</v>
      </c>
      <c r="AL56" s="43">
        <f>IF(B56="","",IF(N56="Not found","Check - no such product ID",IF(AF56="","Check - no price yet",IF(AI56&lt;0,"Loss - this version costs you money",IF(AND(AK56&lt;&gt;"",AK56&lt;MinimumWage),"Below - pays under minimum wage",IF(AND(G56&gt;0,AG56&lt;=0),"Check - extra work, no extra charge",IF(AJ56&lt;MarginWarning,"Low margin - re-price it","OK")))))))</f>
        <v>0</v>
      </c>
    </row>
    <row r="57" spans="1:38">
      <c r="A57" s="38">
        <f>IF(C57="","",VariationPrefix&amp;TEXT(ROW()-4,"0000"))</f>
        <v>0</v>
      </c>
      <c r="N57" s="13">
        <f>IF(B57="","",IFERROR(INDEX(Products!$B$5:$B$304,MATCH(B57,Products!$A$5:$A$304,0)),"Not found"))</f>
        <v>0</v>
      </c>
      <c r="O57" s="20">
        <f>IF(B57="","",IFERROR(INDEX(Products!$T$5:$T$304,MATCH(B57,Products!$A$5:$A$304,0)),""))</f>
        <v>0</v>
      </c>
      <c r="P57" s="20">
        <f>IF(B57="","",IFERROR(INDEX(Products!$Z$5:$Z$304,MATCH(B57,Products!$A$5:$A$304,0)),""))</f>
        <v>0</v>
      </c>
      <c r="Q57" s="20">
        <f>IF(B57="","",IFERROR(INDEX(Products!$AH$5:$AH$304,MATCH(B57,Products!$A$5:$A$304,0))-INDEX(Products!$T$5:$T$304,MATCH(B57,Products!$A$5:$A$304,0))-INDEX(Products!$Z$5:$Z$304,MATCH(B57,Products!$A$5:$A$304,0)),0))</f>
        <v>0</v>
      </c>
      <c r="R57" s="36">
        <f>IF(B57="","",IFERROR(INDEX(Products!$X$5:$X$304,MATCH(B57,Products!$A$5:$A$304,0)),""))</f>
        <v>0</v>
      </c>
      <c r="S57" s="20">
        <f>IF(B57="","",IFERROR(INDEX(Products!$AR$5:$AR$304,MATCH(B57,Products!$A$5:$A$304,0)),""))</f>
        <v>0</v>
      </c>
      <c r="T57" s="41">
        <f>IF(B57="","",IFERROR(INDEX(SizeMaterialFactors,MATCH(E57,SizeNames,0)),1))</f>
        <v>0</v>
      </c>
      <c r="U57" s="41">
        <f>IF(B57="","",IFERROR(INDEX(SizeTimeFactors,MATCH(E57,SizeNames,0)),1))</f>
        <v>0</v>
      </c>
      <c r="V57" s="33">
        <f>IF(B57="","",IFERROR(INDEX(RushFactors,MATCH(H57,RushNames,0)),0))</f>
        <v>0</v>
      </c>
      <c r="W57" s="20">
        <f>IF(B57="","",ROUND(IF(O57="",0,O57)*T57+IF(F57="",0,F57),2))</f>
        <v>0</v>
      </c>
      <c r="X57" s="36">
        <f>IF(B57="","",ROUND(IF(R57="",0,R57)*U57+IF(G57="",0,G57),1))</f>
        <v>0</v>
      </c>
      <c r="Y57" s="20">
        <f>IF(B57="","",ROUND(IF(P57="",0,P57)*U57+IF(G57="",0,G57)/60*LaborCostHour,2))</f>
        <v>0</v>
      </c>
      <c r="Z57" s="20">
        <f>IF(B57="","",ROUND(W57+Y57+IF(Q57="",0,Q57),2))</f>
        <v>0</v>
      </c>
      <c r="AA57" s="33">
        <f>IF(B57="","",IFERROR(INDEX(Channels!$S$5:$S$18,MATCH(IF(J57="",DefaultChannel,J57),Channels!$A$5:$A$18,0)),0))</f>
        <v>0</v>
      </c>
      <c r="AB57" s="20">
        <f>IF(B57="","",IFERROR(INDEX(Channels!$T$5:$T$18,MATCH(IF(J57="",DefaultChannel,J57),Channels!$A$5:$A$18,0)),0))</f>
        <v>0</v>
      </c>
      <c r="AC57" s="41">
        <f>IF(B57="","",1-TargetRetailMargin-AA57)</f>
        <v>0</v>
      </c>
      <c r="AD57" s="20">
        <f>IF(B57="","",IF(AC57&lt;=0,"",((Z57+AB57)/AC57)*(1+V57)+IF(I57="",0,I57)))</f>
        <v>0</v>
      </c>
      <c r="AE57" s="20">
        <f>IF(B57="","",IF(AD57="","Check the settings",ROUND(IF(RoundingRule="None",AD57,IF(RoundingRule="Nearest 0.99",MAX(0.99,CEILING(AD57,1)-0.01),IF(RoundingRule="Nearest 0.95",MAX(0.95,CEILING(AD57,1)-0.05),IF(RoundingRule="Nearest 0.50",CEILING(AD57,0.5),IF(RoundingRule="Nearest 1",CEILING(AD57,1),IF(RoundingRule="Nearest 5",CEILING(AD57,5),IF(RoundingRule="Up to whole 1",CEILING(AD57,1),IF(RoundingRule="Up to whole 5",CEILING(AD57,5),ROUND(AD57,2))))))))),2)))</f>
        <v>0</v>
      </c>
      <c r="AF57" s="20">
        <f>IF(B57="","",IF(K57&lt;&gt;"",K57,IF(ISNUMBER(AE57),AE57,"")))</f>
        <v>0</v>
      </c>
      <c r="AG57" s="20">
        <f>IF(B57="","",IF(OR(AF57="",S57=""),"",ROUND(AF57-S57,2)))</f>
        <v>0</v>
      </c>
      <c r="AH57" s="20">
        <f>IF(B57="","",IF(AF57="","",ROUND(AF57*AA57+AB57,2)))</f>
        <v>0</v>
      </c>
      <c r="AI57" s="20">
        <f>IF(B57="","",IF(AF57="","",ROUND(AF57-Z57-AH57,2)))</f>
        <v>0</v>
      </c>
      <c r="AJ57" s="33">
        <f>IF(B57="","",IF(OR(AF57="",AF57=0),"",AI57/AF57))</f>
        <v>0</v>
      </c>
      <c r="AK57" s="20">
        <f>IF(B57="","",IF(OR(X57=0,X57="",AI57=""),"",ROUND((AI57+Y57)/(X57/60),2)))</f>
        <v>0</v>
      </c>
      <c r="AL57" s="43">
        <f>IF(B57="","",IF(N57="Not found","Check - no such product ID",IF(AF57="","Check - no price yet",IF(AI57&lt;0,"Loss - this version costs you money",IF(AND(AK57&lt;&gt;"",AK57&lt;MinimumWage),"Below - pays under minimum wage",IF(AND(G57&gt;0,AG57&lt;=0),"Check - extra work, no extra charge",IF(AJ57&lt;MarginWarning,"Low margin - re-price it","OK")))))))</f>
        <v>0</v>
      </c>
    </row>
    <row r="58" spans="1:38">
      <c r="A58" s="38">
        <f>IF(C58="","",VariationPrefix&amp;TEXT(ROW()-4,"0000"))</f>
        <v>0</v>
      </c>
      <c r="N58" s="13">
        <f>IF(B58="","",IFERROR(INDEX(Products!$B$5:$B$304,MATCH(B58,Products!$A$5:$A$304,0)),"Not found"))</f>
        <v>0</v>
      </c>
      <c r="O58" s="20">
        <f>IF(B58="","",IFERROR(INDEX(Products!$T$5:$T$304,MATCH(B58,Products!$A$5:$A$304,0)),""))</f>
        <v>0</v>
      </c>
      <c r="P58" s="20">
        <f>IF(B58="","",IFERROR(INDEX(Products!$Z$5:$Z$304,MATCH(B58,Products!$A$5:$A$304,0)),""))</f>
        <v>0</v>
      </c>
      <c r="Q58" s="20">
        <f>IF(B58="","",IFERROR(INDEX(Products!$AH$5:$AH$304,MATCH(B58,Products!$A$5:$A$304,0))-INDEX(Products!$T$5:$T$304,MATCH(B58,Products!$A$5:$A$304,0))-INDEX(Products!$Z$5:$Z$304,MATCH(B58,Products!$A$5:$A$304,0)),0))</f>
        <v>0</v>
      </c>
      <c r="R58" s="36">
        <f>IF(B58="","",IFERROR(INDEX(Products!$X$5:$X$304,MATCH(B58,Products!$A$5:$A$304,0)),""))</f>
        <v>0</v>
      </c>
      <c r="S58" s="20">
        <f>IF(B58="","",IFERROR(INDEX(Products!$AR$5:$AR$304,MATCH(B58,Products!$A$5:$A$304,0)),""))</f>
        <v>0</v>
      </c>
      <c r="T58" s="41">
        <f>IF(B58="","",IFERROR(INDEX(SizeMaterialFactors,MATCH(E58,SizeNames,0)),1))</f>
        <v>0</v>
      </c>
      <c r="U58" s="41">
        <f>IF(B58="","",IFERROR(INDEX(SizeTimeFactors,MATCH(E58,SizeNames,0)),1))</f>
        <v>0</v>
      </c>
      <c r="V58" s="33">
        <f>IF(B58="","",IFERROR(INDEX(RushFactors,MATCH(H58,RushNames,0)),0))</f>
        <v>0</v>
      </c>
      <c r="W58" s="20">
        <f>IF(B58="","",ROUND(IF(O58="",0,O58)*T58+IF(F58="",0,F58),2))</f>
        <v>0</v>
      </c>
      <c r="X58" s="36">
        <f>IF(B58="","",ROUND(IF(R58="",0,R58)*U58+IF(G58="",0,G58),1))</f>
        <v>0</v>
      </c>
      <c r="Y58" s="20">
        <f>IF(B58="","",ROUND(IF(P58="",0,P58)*U58+IF(G58="",0,G58)/60*LaborCostHour,2))</f>
        <v>0</v>
      </c>
      <c r="Z58" s="20">
        <f>IF(B58="","",ROUND(W58+Y58+IF(Q58="",0,Q58),2))</f>
        <v>0</v>
      </c>
      <c r="AA58" s="33">
        <f>IF(B58="","",IFERROR(INDEX(Channels!$S$5:$S$18,MATCH(IF(J58="",DefaultChannel,J58),Channels!$A$5:$A$18,0)),0))</f>
        <v>0</v>
      </c>
      <c r="AB58" s="20">
        <f>IF(B58="","",IFERROR(INDEX(Channels!$T$5:$T$18,MATCH(IF(J58="",DefaultChannel,J58),Channels!$A$5:$A$18,0)),0))</f>
        <v>0</v>
      </c>
      <c r="AC58" s="41">
        <f>IF(B58="","",1-TargetRetailMargin-AA58)</f>
        <v>0</v>
      </c>
      <c r="AD58" s="20">
        <f>IF(B58="","",IF(AC58&lt;=0,"",((Z58+AB58)/AC58)*(1+V58)+IF(I58="",0,I58)))</f>
        <v>0</v>
      </c>
      <c r="AE58" s="20">
        <f>IF(B58="","",IF(AD58="","Check the settings",ROUND(IF(RoundingRule="None",AD58,IF(RoundingRule="Nearest 0.99",MAX(0.99,CEILING(AD58,1)-0.01),IF(RoundingRule="Nearest 0.95",MAX(0.95,CEILING(AD58,1)-0.05),IF(RoundingRule="Nearest 0.50",CEILING(AD58,0.5),IF(RoundingRule="Nearest 1",CEILING(AD58,1),IF(RoundingRule="Nearest 5",CEILING(AD58,5),IF(RoundingRule="Up to whole 1",CEILING(AD58,1),IF(RoundingRule="Up to whole 5",CEILING(AD58,5),ROUND(AD58,2))))))))),2)))</f>
        <v>0</v>
      </c>
      <c r="AF58" s="20">
        <f>IF(B58="","",IF(K58&lt;&gt;"",K58,IF(ISNUMBER(AE58),AE58,"")))</f>
        <v>0</v>
      </c>
      <c r="AG58" s="20">
        <f>IF(B58="","",IF(OR(AF58="",S58=""),"",ROUND(AF58-S58,2)))</f>
        <v>0</v>
      </c>
      <c r="AH58" s="20">
        <f>IF(B58="","",IF(AF58="","",ROUND(AF58*AA58+AB58,2)))</f>
        <v>0</v>
      </c>
      <c r="AI58" s="20">
        <f>IF(B58="","",IF(AF58="","",ROUND(AF58-Z58-AH58,2)))</f>
        <v>0</v>
      </c>
      <c r="AJ58" s="33">
        <f>IF(B58="","",IF(OR(AF58="",AF58=0),"",AI58/AF58))</f>
        <v>0</v>
      </c>
      <c r="AK58" s="20">
        <f>IF(B58="","",IF(OR(X58=0,X58="",AI58=""),"",ROUND((AI58+Y58)/(X58/60),2)))</f>
        <v>0</v>
      </c>
      <c r="AL58" s="43">
        <f>IF(B58="","",IF(N58="Not found","Check - no such product ID",IF(AF58="","Check - no price yet",IF(AI58&lt;0,"Loss - this version costs you money",IF(AND(AK58&lt;&gt;"",AK58&lt;MinimumWage),"Below - pays under minimum wage",IF(AND(G58&gt;0,AG58&lt;=0),"Check - extra work, no extra charge",IF(AJ58&lt;MarginWarning,"Low margin - re-price it","OK")))))))</f>
        <v>0</v>
      </c>
    </row>
    <row r="59" spans="1:38">
      <c r="A59" s="38">
        <f>IF(C59="","",VariationPrefix&amp;TEXT(ROW()-4,"0000"))</f>
        <v>0</v>
      </c>
      <c r="N59" s="13">
        <f>IF(B59="","",IFERROR(INDEX(Products!$B$5:$B$304,MATCH(B59,Products!$A$5:$A$304,0)),"Not found"))</f>
        <v>0</v>
      </c>
      <c r="O59" s="20">
        <f>IF(B59="","",IFERROR(INDEX(Products!$T$5:$T$304,MATCH(B59,Products!$A$5:$A$304,0)),""))</f>
        <v>0</v>
      </c>
      <c r="P59" s="20">
        <f>IF(B59="","",IFERROR(INDEX(Products!$Z$5:$Z$304,MATCH(B59,Products!$A$5:$A$304,0)),""))</f>
        <v>0</v>
      </c>
      <c r="Q59" s="20">
        <f>IF(B59="","",IFERROR(INDEX(Products!$AH$5:$AH$304,MATCH(B59,Products!$A$5:$A$304,0))-INDEX(Products!$T$5:$T$304,MATCH(B59,Products!$A$5:$A$304,0))-INDEX(Products!$Z$5:$Z$304,MATCH(B59,Products!$A$5:$A$304,0)),0))</f>
        <v>0</v>
      </c>
      <c r="R59" s="36">
        <f>IF(B59="","",IFERROR(INDEX(Products!$X$5:$X$304,MATCH(B59,Products!$A$5:$A$304,0)),""))</f>
        <v>0</v>
      </c>
      <c r="S59" s="20">
        <f>IF(B59="","",IFERROR(INDEX(Products!$AR$5:$AR$304,MATCH(B59,Products!$A$5:$A$304,0)),""))</f>
        <v>0</v>
      </c>
      <c r="T59" s="41">
        <f>IF(B59="","",IFERROR(INDEX(SizeMaterialFactors,MATCH(E59,SizeNames,0)),1))</f>
        <v>0</v>
      </c>
      <c r="U59" s="41">
        <f>IF(B59="","",IFERROR(INDEX(SizeTimeFactors,MATCH(E59,SizeNames,0)),1))</f>
        <v>0</v>
      </c>
      <c r="V59" s="33">
        <f>IF(B59="","",IFERROR(INDEX(RushFactors,MATCH(H59,RushNames,0)),0))</f>
        <v>0</v>
      </c>
      <c r="W59" s="20">
        <f>IF(B59="","",ROUND(IF(O59="",0,O59)*T59+IF(F59="",0,F59),2))</f>
        <v>0</v>
      </c>
      <c r="X59" s="36">
        <f>IF(B59="","",ROUND(IF(R59="",0,R59)*U59+IF(G59="",0,G59),1))</f>
        <v>0</v>
      </c>
      <c r="Y59" s="20">
        <f>IF(B59="","",ROUND(IF(P59="",0,P59)*U59+IF(G59="",0,G59)/60*LaborCostHour,2))</f>
        <v>0</v>
      </c>
      <c r="Z59" s="20">
        <f>IF(B59="","",ROUND(W59+Y59+IF(Q59="",0,Q59),2))</f>
        <v>0</v>
      </c>
      <c r="AA59" s="33">
        <f>IF(B59="","",IFERROR(INDEX(Channels!$S$5:$S$18,MATCH(IF(J59="",DefaultChannel,J59),Channels!$A$5:$A$18,0)),0))</f>
        <v>0</v>
      </c>
      <c r="AB59" s="20">
        <f>IF(B59="","",IFERROR(INDEX(Channels!$T$5:$T$18,MATCH(IF(J59="",DefaultChannel,J59),Channels!$A$5:$A$18,0)),0))</f>
        <v>0</v>
      </c>
      <c r="AC59" s="41">
        <f>IF(B59="","",1-TargetRetailMargin-AA59)</f>
        <v>0</v>
      </c>
      <c r="AD59" s="20">
        <f>IF(B59="","",IF(AC59&lt;=0,"",((Z59+AB59)/AC59)*(1+V59)+IF(I59="",0,I59)))</f>
        <v>0</v>
      </c>
      <c r="AE59" s="20">
        <f>IF(B59="","",IF(AD59="","Check the settings",ROUND(IF(RoundingRule="None",AD59,IF(RoundingRule="Nearest 0.99",MAX(0.99,CEILING(AD59,1)-0.01),IF(RoundingRule="Nearest 0.95",MAX(0.95,CEILING(AD59,1)-0.05),IF(RoundingRule="Nearest 0.50",CEILING(AD59,0.5),IF(RoundingRule="Nearest 1",CEILING(AD59,1),IF(RoundingRule="Nearest 5",CEILING(AD59,5),IF(RoundingRule="Up to whole 1",CEILING(AD59,1),IF(RoundingRule="Up to whole 5",CEILING(AD59,5),ROUND(AD59,2))))))))),2)))</f>
        <v>0</v>
      </c>
      <c r="AF59" s="20">
        <f>IF(B59="","",IF(K59&lt;&gt;"",K59,IF(ISNUMBER(AE59),AE59,"")))</f>
        <v>0</v>
      </c>
      <c r="AG59" s="20">
        <f>IF(B59="","",IF(OR(AF59="",S59=""),"",ROUND(AF59-S59,2)))</f>
        <v>0</v>
      </c>
      <c r="AH59" s="20">
        <f>IF(B59="","",IF(AF59="","",ROUND(AF59*AA59+AB59,2)))</f>
        <v>0</v>
      </c>
      <c r="AI59" s="20">
        <f>IF(B59="","",IF(AF59="","",ROUND(AF59-Z59-AH59,2)))</f>
        <v>0</v>
      </c>
      <c r="AJ59" s="33">
        <f>IF(B59="","",IF(OR(AF59="",AF59=0),"",AI59/AF59))</f>
        <v>0</v>
      </c>
      <c r="AK59" s="20">
        <f>IF(B59="","",IF(OR(X59=0,X59="",AI59=""),"",ROUND((AI59+Y59)/(X59/60),2)))</f>
        <v>0</v>
      </c>
      <c r="AL59" s="43">
        <f>IF(B59="","",IF(N59="Not found","Check - no such product ID",IF(AF59="","Check - no price yet",IF(AI59&lt;0,"Loss - this version costs you money",IF(AND(AK59&lt;&gt;"",AK59&lt;MinimumWage),"Below - pays under minimum wage",IF(AND(G59&gt;0,AG59&lt;=0),"Check - extra work, no extra charge",IF(AJ59&lt;MarginWarning,"Low margin - re-price it","OK")))))))</f>
        <v>0</v>
      </c>
    </row>
    <row r="60" spans="1:38">
      <c r="A60" s="38">
        <f>IF(C60="","",VariationPrefix&amp;TEXT(ROW()-4,"0000"))</f>
        <v>0</v>
      </c>
      <c r="N60" s="13">
        <f>IF(B60="","",IFERROR(INDEX(Products!$B$5:$B$304,MATCH(B60,Products!$A$5:$A$304,0)),"Not found"))</f>
        <v>0</v>
      </c>
      <c r="O60" s="20">
        <f>IF(B60="","",IFERROR(INDEX(Products!$T$5:$T$304,MATCH(B60,Products!$A$5:$A$304,0)),""))</f>
        <v>0</v>
      </c>
      <c r="P60" s="20">
        <f>IF(B60="","",IFERROR(INDEX(Products!$Z$5:$Z$304,MATCH(B60,Products!$A$5:$A$304,0)),""))</f>
        <v>0</v>
      </c>
      <c r="Q60" s="20">
        <f>IF(B60="","",IFERROR(INDEX(Products!$AH$5:$AH$304,MATCH(B60,Products!$A$5:$A$304,0))-INDEX(Products!$T$5:$T$304,MATCH(B60,Products!$A$5:$A$304,0))-INDEX(Products!$Z$5:$Z$304,MATCH(B60,Products!$A$5:$A$304,0)),0))</f>
        <v>0</v>
      </c>
      <c r="R60" s="36">
        <f>IF(B60="","",IFERROR(INDEX(Products!$X$5:$X$304,MATCH(B60,Products!$A$5:$A$304,0)),""))</f>
        <v>0</v>
      </c>
      <c r="S60" s="20">
        <f>IF(B60="","",IFERROR(INDEX(Products!$AR$5:$AR$304,MATCH(B60,Products!$A$5:$A$304,0)),""))</f>
        <v>0</v>
      </c>
      <c r="T60" s="41">
        <f>IF(B60="","",IFERROR(INDEX(SizeMaterialFactors,MATCH(E60,SizeNames,0)),1))</f>
        <v>0</v>
      </c>
      <c r="U60" s="41">
        <f>IF(B60="","",IFERROR(INDEX(SizeTimeFactors,MATCH(E60,SizeNames,0)),1))</f>
        <v>0</v>
      </c>
      <c r="V60" s="33">
        <f>IF(B60="","",IFERROR(INDEX(RushFactors,MATCH(H60,RushNames,0)),0))</f>
        <v>0</v>
      </c>
      <c r="W60" s="20">
        <f>IF(B60="","",ROUND(IF(O60="",0,O60)*T60+IF(F60="",0,F60),2))</f>
        <v>0</v>
      </c>
      <c r="X60" s="36">
        <f>IF(B60="","",ROUND(IF(R60="",0,R60)*U60+IF(G60="",0,G60),1))</f>
        <v>0</v>
      </c>
      <c r="Y60" s="20">
        <f>IF(B60="","",ROUND(IF(P60="",0,P60)*U60+IF(G60="",0,G60)/60*LaborCostHour,2))</f>
        <v>0</v>
      </c>
      <c r="Z60" s="20">
        <f>IF(B60="","",ROUND(W60+Y60+IF(Q60="",0,Q60),2))</f>
        <v>0</v>
      </c>
      <c r="AA60" s="33">
        <f>IF(B60="","",IFERROR(INDEX(Channels!$S$5:$S$18,MATCH(IF(J60="",DefaultChannel,J60),Channels!$A$5:$A$18,0)),0))</f>
        <v>0</v>
      </c>
      <c r="AB60" s="20">
        <f>IF(B60="","",IFERROR(INDEX(Channels!$T$5:$T$18,MATCH(IF(J60="",DefaultChannel,J60),Channels!$A$5:$A$18,0)),0))</f>
        <v>0</v>
      </c>
      <c r="AC60" s="41">
        <f>IF(B60="","",1-TargetRetailMargin-AA60)</f>
        <v>0</v>
      </c>
      <c r="AD60" s="20">
        <f>IF(B60="","",IF(AC60&lt;=0,"",((Z60+AB60)/AC60)*(1+V60)+IF(I60="",0,I60)))</f>
        <v>0</v>
      </c>
      <c r="AE60" s="20">
        <f>IF(B60="","",IF(AD60="","Check the settings",ROUND(IF(RoundingRule="None",AD60,IF(RoundingRule="Nearest 0.99",MAX(0.99,CEILING(AD60,1)-0.01),IF(RoundingRule="Nearest 0.95",MAX(0.95,CEILING(AD60,1)-0.05),IF(RoundingRule="Nearest 0.50",CEILING(AD60,0.5),IF(RoundingRule="Nearest 1",CEILING(AD60,1),IF(RoundingRule="Nearest 5",CEILING(AD60,5),IF(RoundingRule="Up to whole 1",CEILING(AD60,1),IF(RoundingRule="Up to whole 5",CEILING(AD60,5),ROUND(AD60,2))))))))),2)))</f>
        <v>0</v>
      </c>
      <c r="AF60" s="20">
        <f>IF(B60="","",IF(K60&lt;&gt;"",K60,IF(ISNUMBER(AE60),AE60,"")))</f>
        <v>0</v>
      </c>
      <c r="AG60" s="20">
        <f>IF(B60="","",IF(OR(AF60="",S60=""),"",ROUND(AF60-S60,2)))</f>
        <v>0</v>
      </c>
      <c r="AH60" s="20">
        <f>IF(B60="","",IF(AF60="","",ROUND(AF60*AA60+AB60,2)))</f>
        <v>0</v>
      </c>
      <c r="AI60" s="20">
        <f>IF(B60="","",IF(AF60="","",ROUND(AF60-Z60-AH60,2)))</f>
        <v>0</v>
      </c>
      <c r="AJ60" s="33">
        <f>IF(B60="","",IF(OR(AF60="",AF60=0),"",AI60/AF60))</f>
        <v>0</v>
      </c>
      <c r="AK60" s="20">
        <f>IF(B60="","",IF(OR(X60=0,X60="",AI60=""),"",ROUND((AI60+Y60)/(X60/60),2)))</f>
        <v>0</v>
      </c>
      <c r="AL60" s="43">
        <f>IF(B60="","",IF(N60="Not found","Check - no such product ID",IF(AF60="","Check - no price yet",IF(AI60&lt;0,"Loss - this version costs you money",IF(AND(AK60&lt;&gt;"",AK60&lt;MinimumWage),"Below - pays under minimum wage",IF(AND(G60&gt;0,AG60&lt;=0),"Check - extra work, no extra charge",IF(AJ60&lt;MarginWarning,"Low margin - re-price it","OK")))))))</f>
        <v>0</v>
      </c>
    </row>
    <row r="61" spans="1:38">
      <c r="A61" s="38">
        <f>IF(C61="","",VariationPrefix&amp;TEXT(ROW()-4,"0000"))</f>
        <v>0</v>
      </c>
      <c r="N61" s="13">
        <f>IF(B61="","",IFERROR(INDEX(Products!$B$5:$B$304,MATCH(B61,Products!$A$5:$A$304,0)),"Not found"))</f>
        <v>0</v>
      </c>
      <c r="O61" s="20">
        <f>IF(B61="","",IFERROR(INDEX(Products!$T$5:$T$304,MATCH(B61,Products!$A$5:$A$304,0)),""))</f>
        <v>0</v>
      </c>
      <c r="P61" s="20">
        <f>IF(B61="","",IFERROR(INDEX(Products!$Z$5:$Z$304,MATCH(B61,Products!$A$5:$A$304,0)),""))</f>
        <v>0</v>
      </c>
      <c r="Q61" s="20">
        <f>IF(B61="","",IFERROR(INDEX(Products!$AH$5:$AH$304,MATCH(B61,Products!$A$5:$A$304,0))-INDEX(Products!$T$5:$T$304,MATCH(B61,Products!$A$5:$A$304,0))-INDEX(Products!$Z$5:$Z$304,MATCH(B61,Products!$A$5:$A$304,0)),0))</f>
        <v>0</v>
      </c>
      <c r="R61" s="36">
        <f>IF(B61="","",IFERROR(INDEX(Products!$X$5:$X$304,MATCH(B61,Products!$A$5:$A$304,0)),""))</f>
        <v>0</v>
      </c>
      <c r="S61" s="20">
        <f>IF(B61="","",IFERROR(INDEX(Products!$AR$5:$AR$304,MATCH(B61,Products!$A$5:$A$304,0)),""))</f>
        <v>0</v>
      </c>
      <c r="T61" s="41">
        <f>IF(B61="","",IFERROR(INDEX(SizeMaterialFactors,MATCH(E61,SizeNames,0)),1))</f>
        <v>0</v>
      </c>
      <c r="U61" s="41">
        <f>IF(B61="","",IFERROR(INDEX(SizeTimeFactors,MATCH(E61,SizeNames,0)),1))</f>
        <v>0</v>
      </c>
      <c r="V61" s="33">
        <f>IF(B61="","",IFERROR(INDEX(RushFactors,MATCH(H61,RushNames,0)),0))</f>
        <v>0</v>
      </c>
      <c r="W61" s="20">
        <f>IF(B61="","",ROUND(IF(O61="",0,O61)*T61+IF(F61="",0,F61),2))</f>
        <v>0</v>
      </c>
      <c r="X61" s="36">
        <f>IF(B61="","",ROUND(IF(R61="",0,R61)*U61+IF(G61="",0,G61),1))</f>
        <v>0</v>
      </c>
      <c r="Y61" s="20">
        <f>IF(B61="","",ROUND(IF(P61="",0,P61)*U61+IF(G61="",0,G61)/60*LaborCostHour,2))</f>
        <v>0</v>
      </c>
      <c r="Z61" s="20">
        <f>IF(B61="","",ROUND(W61+Y61+IF(Q61="",0,Q61),2))</f>
        <v>0</v>
      </c>
      <c r="AA61" s="33">
        <f>IF(B61="","",IFERROR(INDEX(Channels!$S$5:$S$18,MATCH(IF(J61="",DefaultChannel,J61),Channels!$A$5:$A$18,0)),0))</f>
        <v>0</v>
      </c>
      <c r="AB61" s="20">
        <f>IF(B61="","",IFERROR(INDEX(Channels!$T$5:$T$18,MATCH(IF(J61="",DefaultChannel,J61),Channels!$A$5:$A$18,0)),0))</f>
        <v>0</v>
      </c>
      <c r="AC61" s="41">
        <f>IF(B61="","",1-TargetRetailMargin-AA61)</f>
        <v>0</v>
      </c>
      <c r="AD61" s="20">
        <f>IF(B61="","",IF(AC61&lt;=0,"",((Z61+AB61)/AC61)*(1+V61)+IF(I61="",0,I61)))</f>
        <v>0</v>
      </c>
      <c r="AE61" s="20">
        <f>IF(B61="","",IF(AD61="","Check the settings",ROUND(IF(RoundingRule="None",AD61,IF(RoundingRule="Nearest 0.99",MAX(0.99,CEILING(AD61,1)-0.01),IF(RoundingRule="Nearest 0.95",MAX(0.95,CEILING(AD61,1)-0.05),IF(RoundingRule="Nearest 0.50",CEILING(AD61,0.5),IF(RoundingRule="Nearest 1",CEILING(AD61,1),IF(RoundingRule="Nearest 5",CEILING(AD61,5),IF(RoundingRule="Up to whole 1",CEILING(AD61,1),IF(RoundingRule="Up to whole 5",CEILING(AD61,5),ROUND(AD61,2))))))))),2)))</f>
        <v>0</v>
      </c>
      <c r="AF61" s="20">
        <f>IF(B61="","",IF(K61&lt;&gt;"",K61,IF(ISNUMBER(AE61),AE61,"")))</f>
        <v>0</v>
      </c>
      <c r="AG61" s="20">
        <f>IF(B61="","",IF(OR(AF61="",S61=""),"",ROUND(AF61-S61,2)))</f>
        <v>0</v>
      </c>
      <c r="AH61" s="20">
        <f>IF(B61="","",IF(AF61="","",ROUND(AF61*AA61+AB61,2)))</f>
        <v>0</v>
      </c>
      <c r="AI61" s="20">
        <f>IF(B61="","",IF(AF61="","",ROUND(AF61-Z61-AH61,2)))</f>
        <v>0</v>
      </c>
      <c r="AJ61" s="33">
        <f>IF(B61="","",IF(OR(AF61="",AF61=0),"",AI61/AF61))</f>
        <v>0</v>
      </c>
      <c r="AK61" s="20">
        <f>IF(B61="","",IF(OR(X61=0,X61="",AI61=""),"",ROUND((AI61+Y61)/(X61/60),2)))</f>
        <v>0</v>
      </c>
      <c r="AL61" s="43">
        <f>IF(B61="","",IF(N61="Not found","Check - no such product ID",IF(AF61="","Check - no price yet",IF(AI61&lt;0,"Loss - this version costs you money",IF(AND(AK61&lt;&gt;"",AK61&lt;MinimumWage),"Below - pays under minimum wage",IF(AND(G61&gt;0,AG61&lt;=0),"Check - extra work, no extra charge",IF(AJ61&lt;MarginWarning,"Low margin - re-price it","OK")))))))</f>
        <v>0</v>
      </c>
    </row>
    <row r="62" spans="1:38">
      <c r="A62" s="38">
        <f>IF(C62="","",VariationPrefix&amp;TEXT(ROW()-4,"0000"))</f>
        <v>0</v>
      </c>
      <c r="N62" s="13">
        <f>IF(B62="","",IFERROR(INDEX(Products!$B$5:$B$304,MATCH(B62,Products!$A$5:$A$304,0)),"Not found"))</f>
        <v>0</v>
      </c>
      <c r="O62" s="20">
        <f>IF(B62="","",IFERROR(INDEX(Products!$T$5:$T$304,MATCH(B62,Products!$A$5:$A$304,0)),""))</f>
        <v>0</v>
      </c>
      <c r="P62" s="20">
        <f>IF(B62="","",IFERROR(INDEX(Products!$Z$5:$Z$304,MATCH(B62,Products!$A$5:$A$304,0)),""))</f>
        <v>0</v>
      </c>
      <c r="Q62" s="20">
        <f>IF(B62="","",IFERROR(INDEX(Products!$AH$5:$AH$304,MATCH(B62,Products!$A$5:$A$304,0))-INDEX(Products!$T$5:$T$304,MATCH(B62,Products!$A$5:$A$304,0))-INDEX(Products!$Z$5:$Z$304,MATCH(B62,Products!$A$5:$A$304,0)),0))</f>
        <v>0</v>
      </c>
      <c r="R62" s="36">
        <f>IF(B62="","",IFERROR(INDEX(Products!$X$5:$X$304,MATCH(B62,Products!$A$5:$A$304,0)),""))</f>
        <v>0</v>
      </c>
      <c r="S62" s="20">
        <f>IF(B62="","",IFERROR(INDEX(Products!$AR$5:$AR$304,MATCH(B62,Products!$A$5:$A$304,0)),""))</f>
        <v>0</v>
      </c>
      <c r="T62" s="41">
        <f>IF(B62="","",IFERROR(INDEX(SizeMaterialFactors,MATCH(E62,SizeNames,0)),1))</f>
        <v>0</v>
      </c>
      <c r="U62" s="41">
        <f>IF(B62="","",IFERROR(INDEX(SizeTimeFactors,MATCH(E62,SizeNames,0)),1))</f>
        <v>0</v>
      </c>
      <c r="V62" s="33">
        <f>IF(B62="","",IFERROR(INDEX(RushFactors,MATCH(H62,RushNames,0)),0))</f>
        <v>0</v>
      </c>
      <c r="W62" s="20">
        <f>IF(B62="","",ROUND(IF(O62="",0,O62)*T62+IF(F62="",0,F62),2))</f>
        <v>0</v>
      </c>
      <c r="X62" s="36">
        <f>IF(B62="","",ROUND(IF(R62="",0,R62)*U62+IF(G62="",0,G62),1))</f>
        <v>0</v>
      </c>
      <c r="Y62" s="20">
        <f>IF(B62="","",ROUND(IF(P62="",0,P62)*U62+IF(G62="",0,G62)/60*LaborCostHour,2))</f>
        <v>0</v>
      </c>
      <c r="Z62" s="20">
        <f>IF(B62="","",ROUND(W62+Y62+IF(Q62="",0,Q62),2))</f>
        <v>0</v>
      </c>
      <c r="AA62" s="33">
        <f>IF(B62="","",IFERROR(INDEX(Channels!$S$5:$S$18,MATCH(IF(J62="",DefaultChannel,J62),Channels!$A$5:$A$18,0)),0))</f>
        <v>0</v>
      </c>
      <c r="AB62" s="20">
        <f>IF(B62="","",IFERROR(INDEX(Channels!$T$5:$T$18,MATCH(IF(J62="",DefaultChannel,J62),Channels!$A$5:$A$18,0)),0))</f>
        <v>0</v>
      </c>
      <c r="AC62" s="41">
        <f>IF(B62="","",1-TargetRetailMargin-AA62)</f>
        <v>0</v>
      </c>
      <c r="AD62" s="20">
        <f>IF(B62="","",IF(AC62&lt;=0,"",((Z62+AB62)/AC62)*(1+V62)+IF(I62="",0,I62)))</f>
        <v>0</v>
      </c>
      <c r="AE62" s="20">
        <f>IF(B62="","",IF(AD62="","Check the settings",ROUND(IF(RoundingRule="None",AD62,IF(RoundingRule="Nearest 0.99",MAX(0.99,CEILING(AD62,1)-0.01),IF(RoundingRule="Nearest 0.95",MAX(0.95,CEILING(AD62,1)-0.05),IF(RoundingRule="Nearest 0.50",CEILING(AD62,0.5),IF(RoundingRule="Nearest 1",CEILING(AD62,1),IF(RoundingRule="Nearest 5",CEILING(AD62,5),IF(RoundingRule="Up to whole 1",CEILING(AD62,1),IF(RoundingRule="Up to whole 5",CEILING(AD62,5),ROUND(AD62,2))))))))),2)))</f>
        <v>0</v>
      </c>
      <c r="AF62" s="20">
        <f>IF(B62="","",IF(K62&lt;&gt;"",K62,IF(ISNUMBER(AE62),AE62,"")))</f>
        <v>0</v>
      </c>
      <c r="AG62" s="20">
        <f>IF(B62="","",IF(OR(AF62="",S62=""),"",ROUND(AF62-S62,2)))</f>
        <v>0</v>
      </c>
      <c r="AH62" s="20">
        <f>IF(B62="","",IF(AF62="","",ROUND(AF62*AA62+AB62,2)))</f>
        <v>0</v>
      </c>
      <c r="AI62" s="20">
        <f>IF(B62="","",IF(AF62="","",ROUND(AF62-Z62-AH62,2)))</f>
        <v>0</v>
      </c>
      <c r="AJ62" s="33">
        <f>IF(B62="","",IF(OR(AF62="",AF62=0),"",AI62/AF62))</f>
        <v>0</v>
      </c>
      <c r="AK62" s="20">
        <f>IF(B62="","",IF(OR(X62=0,X62="",AI62=""),"",ROUND((AI62+Y62)/(X62/60),2)))</f>
        <v>0</v>
      </c>
      <c r="AL62" s="43">
        <f>IF(B62="","",IF(N62="Not found","Check - no such product ID",IF(AF62="","Check - no price yet",IF(AI62&lt;0,"Loss - this version costs you money",IF(AND(AK62&lt;&gt;"",AK62&lt;MinimumWage),"Below - pays under minimum wage",IF(AND(G62&gt;0,AG62&lt;=0),"Check - extra work, no extra charge",IF(AJ62&lt;MarginWarning,"Low margin - re-price it","OK")))))))</f>
        <v>0</v>
      </c>
    </row>
    <row r="63" spans="1:38">
      <c r="A63" s="38">
        <f>IF(C63="","",VariationPrefix&amp;TEXT(ROW()-4,"0000"))</f>
        <v>0</v>
      </c>
      <c r="N63" s="13">
        <f>IF(B63="","",IFERROR(INDEX(Products!$B$5:$B$304,MATCH(B63,Products!$A$5:$A$304,0)),"Not found"))</f>
        <v>0</v>
      </c>
      <c r="O63" s="20">
        <f>IF(B63="","",IFERROR(INDEX(Products!$T$5:$T$304,MATCH(B63,Products!$A$5:$A$304,0)),""))</f>
        <v>0</v>
      </c>
      <c r="P63" s="20">
        <f>IF(B63="","",IFERROR(INDEX(Products!$Z$5:$Z$304,MATCH(B63,Products!$A$5:$A$304,0)),""))</f>
        <v>0</v>
      </c>
      <c r="Q63" s="20">
        <f>IF(B63="","",IFERROR(INDEX(Products!$AH$5:$AH$304,MATCH(B63,Products!$A$5:$A$304,0))-INDEX(Products!$T$5:$T$304,MATCH(B63,Products!$A$5:$A$304,0))-INDEX(Products!$Z$5:$Z$304,MATCH(B63,Products!$A$5:$A$304,0)),0))</f>
        <v>0</v>
      </c>
      <c r="R63" s="36">
        <f>IF(B63="","",IFERROR(INDEX(Products!$X$5:$X$304,MATCH(B63,Products!$A$5:$A$304,0)),""))</f>
        <v>0</v>
      </c>
      <c r="S63" s="20">
        <f>IF(B63="","",IFERROR(INDEX(Products!$AR$5:$AR$304,MATCH(B63,Products!$A$5:$A$304,0)),""))</f>
        <v>0</v>
      </c>
      <c r="T63" s="41">
        <f>IF(B63="","",IFERROR(INDEX(SizeMaterialFactors,MATCH(E63,SizeNames,0)),1))</f>
        <v>0</v>
      </c>
      <c r="U63" s="41">
        <f>IF(B63="","",IFERROR(INDEX(SizeTimeFactors,MATCH(E63,SizeNames,0)),1))</f>
        <v>0</v>
      </c>
      <c r="V63" s="33">
        <f>IF(B63="","",IFERROR(INDEX(RushFactors,MATCH(H63,RushNames,0)),0))</f>
        <v>0</v>
      </c>
      <c r="W63" s="20">
        <f>IF(B63="","",ROUND(IF(O63="",0,O63)*T63+IF(F63="",0,F63),2))</f>
        <v>0</v>
      </c>
      <c r="X63" s="36">
        <f>IF(B63="","",ROUND(IF(R63="",0,R63)*U63+IF(G63="",0,G63),1))</f>
        <v>0</v>
      </c>
      <c r="Y63" s="20">
        <f>IF(B63="","",ROUND(IF(P63="",0,P63)*U63+IF(G63="",0,G63)/60*LaborCostHour,2))</f>
        <v>0</v>
      </c>
      <c r="Z63" s="20">
        <f>IF(B63="","",ROUND(W63+Y63+IF(Q63="",0,Q63),2))</f>
        <v>0</v>
      </c>
      <c r="AA63" s="33">
        <f>IF(B63="","",IFERROR(INDEX(Channels!$S$5:$S$18,MATCH(IF(J63="",DefaultChannel,J63),Channels!$A$5:$A$18,0)),0))</f>
        <v>0</v>
      </c>
      <c r="AB63" s="20">
        <f>IF(B63="","",IFERROR(INDEX(Channels!$T$5:$T$18,MATCH(IF(J63="",DefaultChannel,J63),Channels!$A$5:$A$18,0)),0))</f>
        <v>0</v>
      </c>
      <c r="AC63" s="41">
        <f>IF(B63="","",1-TargetRetailMargin-AA63)</f>
        <v>0</v>
      </c>
      <c r="AD63" s="20">
        <f>IF(B63="","",IF(AC63&lt;=0,"",((Z63+AB63)/AC63)*(1+V63)+IF(I63="",0,I63)))</f>
        <v>0</v>
      </c>
      <c r="AE63" s="20">
        <f>IF(B63="","",IF(AD63="","Check the settings",ROUND(IF(RoundingRule="None",AD63,IF(RoundingRule="Nearest 0.99",MAX(0.99,CEILING(AD63,1)-0.01),IF(RoundingRule="Nearest 0.95",MAX(0.95,CEILING(AD63,1)-0.05),IF(RoundingRule="Nearest 0.50",CEILING(AD63,0.5),IF(RoundingRule="Nearest 1",CEILING(AD63,1),IF(RoundingRule="Nearest 5",CEILING(AD63,5),IF(RoundingRule="Up to whole 1",CEILING(AD63,1),IF(RoundingRule="Up to whole 5",CEILING(AD63,5),ROUND(AD63,2))))))))),2)))</f>
        <v>0</v>
      </c>
      <c r="AF63" s="20">
        <f>IF(B63="","",IF(K63&lt;&gt;"",K63,IF(ISNUMBER(AE63),AE63,"")))</f>
        <v>0</v>
      </c>
      <c r="AG63" s="20">
        <f>IF(B63="","",IF(OR(AF63="",S63=""),"",ROUND(AF63-S63,2)))</f>
        <v>0</v>
      </c>
      <c r="AH63" s="20">
        <f>IF(B63="","",IF(AF63="","",ROUND(AF63*AA63+AB63,2)))</f>
        <v>0</v>
      </c>
      <c r="AI63" s="20">
        <f>IF(B63="","",IF(AF63="","",ROUND(AF63-Z63-AH63,2)))</f>
        <v>0</v>
      </c>
      <c r="AJ63" s="33">
        <f>IF(B63="","",IF(OR(AF63="",AF63=0),"",AI63/AF63))</f>
        <v>0</v>
      </c>
      <c r="AK63" s="20">
        <f>IF(B63="","",IF(OR(X63=0,X63="",AI63=""),"",ROUND((AI63+Y63)/(X63/60),2)))</f>
        <v>0</v>
      </c>
      <c r="AL63" s="43">
        <f>IF(B63="","",IF(N63="Not found","Check - no such product ID",IF(AF63="","Check - no price yet",IF(AI63&lt;0,"Loss - this version costs you money",IF(AND(AK63&lt;&gt;"",AK63&lt;MinimumWage),"Below - pays under minimum wage",IF(AND(G63&gt;0,AG63&lt;=0),"Check - extra work, no extra charge",IF(AJ63&lt;MarginWarning,"Low margin - re-price it","OK")))))))</f>
        <v>0</v>
      </c>
    </row>
    <row r="64" spans="1:38">
      <c r="A64" s="38">
        <f>IF(C64="","",VariationPrefix&amp;TEXT(ROW()-4,"0000"))</f>
        <v>0</v>
      </c>
      <c r="N64" s="13">
        <f>IF(B64="","",IFERROR(INDEX(Products!$B$5:$B$304,MATCH(B64,Products!$A$5:$A$304,0)),"Not found"))</f>
        <v>0</v>
      </c>
      <c r="O64" s="20">
        <f>IF(B64="","",IFERROR(INDEX(Products!$T$5:$T$304,MATCH(B64,Products!$A$5:$A$304,0)),""))</f>
        <v>0</v>
      </c>
      <c r="P64" s="20">
        <f>IF(B64="","",IFERROR(INDEX(Products!$Z$5:$Z$304,MATCH(B64,Products!$A$5:$A$304,0)),""))</f>
        <v>0</v>
      </c>
      <c r="Q64" s="20">
        <f>IF(B64="","",IFERROR(INDEX(Products!$AH$5:$AH$304,MATCH(B64,Products!$A$5:$A$304,0))-INDEX(Products!$T$5:$T$304,MATCH(B64,Products!$A$5:$A$304,0))-INDEX(Products!$Z$5:$Z$304,MATCH(B64,Products!$A$5:$A$304,0)),0))</f>
        <v>0</v>
      </c>
      <c r="R64" s="36">
        <f>IF(B64="","",IFERROR(INDEX(Products!$X$5:$X$304,MATCH(B64,Products!$A$5:$A$304,0)),""))</f>
        <v>0</v>
      </c>
      <c r="S64" s="20">
        <f>IF(B64="","",IFERROR(INDEX(Products!$AR$5:$AR$304,MATCH(B64,Products!$A$5:$A$304,0)),""))</f>
        <v>0</v>
      </c>
      <c r="T64" s="41">
        <f>IF(B64="","",IFERROR(INDEX(SizeMaterialFactors,MATCH(E64,SizeNames,0)),1))</f>
        <v>0</v>
      </c>
      <c r="U64" s="41">
        <f>IF(B64="","",IFERROR(INDEX(SizeTimeFactors,MATCH(E64,SizeNames,0)),1))</f>
        <v>0</v>
      </c>
      <c r="V64" s="33">
        <f>IF(B64="","",IFERROR(INDEX(RushFactors,MATCH(H64,RushNames,0)),0))</f>
        <v>0</v>
      </c>
      <c r="W64" s="20">
        <f>IF(B64="","",ROUND(IF(O64="",0,O64)*T64+IF(F64="",0,F64),2))</f>
        <v>0</v>
      </c>
      <c r="X64" s="36">
        <f>IF(B64="","",ROUND(IF(R64="",0,R64)*U64+IF(G64="",0,G64),1))</f>
        <v>0</v>
      </c>
      <c r="Y64" s="20">
        <f>IF(B64="","",ROUND(IF(P64="",0,P64)*U64+IF(G64="",0,G64)/60*LaborCostHour,2))</f>
        <v>0</v>
      </c>
      <c r="Z64" s="20">
        <f>IF(B64="","",ROUND(W64+Y64+IF(Q64="",0,Q64),2))</f>
        <v>0</v>
      </c>
      <c r="AA64" s="33">
        <f>IF(B64="","",IFERROR(INDEX(Channels!$S$5:$S$18,MATCH(IF(J64="",DefaultChannel,J64),Channels!$A$5:$A$18,0)),0))</f>
        <v>0</v>
      </c>
      <c r="AB64" s="20">
        <f>IF(B64="","",IFERROR(INDEX(Channels!$T$5:$T$18,MATCH(IF(J64="",DefaultChannel,J64),Channels!$A$5:$A$18,0)),0))</f>
        <v>0</v>
      </c>
      <c r="AC64" s="41">
        <f>IF(B64="","",1-TargetRetailMargin-AA64)</f>
        <v>0</v>
      </c>
      <c r="AD64" s="20">
        <f>IF(B64="","",IF(AC64&lt;=0,"",((Z64+AB64)/AC64)*(1+V64)+IF(I64="",0,I64)))</f>
        <v>0</v>
      </c>
      <c r="AE64" s="20">
        <f>IF(B64="","",IF(AD64="","Check the settings",ROUND(IF(RoundingRule="None",AD64,IF(RoundingRule="Nearest 0.99",MAX(0.99,CEILING(AD64,1)-0.01),IF(RoundingRule="Nearest 0.95",MAX(0.95,CEILING(AD64,1)-0.05),IF(RoundingRule="Nearest 0.50",CEILING(AD64,0.5),IF(RoundingRule="Nearest 1",CEILING(AD64,1),IF(RoundingRule="Nearest 5",CEILING(AD64,5),IF(RoundingRule="Up to whole 1",CEILING(AD64,1),IF(RoundingRule="Up to whole 5",CEILING(AD64,5),ROUND(AD64,2))))))))),2)))</f>
        <v>0</v>
      </c>
      <c r="AF64" s="20">
        <f>IF(B64="","",IF(K64&lt;&gt;"",K64,IF(ISNUMBER(AE64),AE64,"")))</f>
        <v>0</v>
      </c>
      <c r="AG64" s="20">
        <f>IF(B64="","",IF(OR(AF64="",S64=""),"",ROUND(AF64-S64,2)))</f>
        <v>0</v>
      </c>
      <c r="AH64" s="20">
        <f>IF(B64="","",IF(AF64="","",ROUND(AF64*AA64+AB64,2)))</f>
        <v>0</v>
      </c>
      <c r="AI64" s="20">
        <f>IF(B64="","",IF(AF64="","",ROUND(AF64-Z64-AH64,2)))</f>
        <v>0</v>
      </c>
      <c r="AJ64" s="33">
        <f>IF(B64="","",IF(OR(AF64="",AF64=0),"",AI64/AF64))</f>
        <v>0</v>
      </c>
      <c r="AK64" s="20">
        <f>IF(B64="","",IF(OR(X64=0,X64="",AI64=""),"",ROUND((AI64+Y64)/(X64/60),2)))</f>
        <v>0</v>
      </c>
      <c r="AL64" s="43">
        <f>IF(B64="","",IF(N64="Not found","Check - no such product ID",IF(AF64="","Check - no price yet",IF(AI64&lt;0,"Loss - this version costs you money",IF(AND(AK64&lt;&gt;"",AK64&lt;MinimumWage),"Below - pays under minimum wage",IF(AND(G64&gt;0,AG64&lt;=0),"Check - extra work, no extra charge",IF(AJ64&lt;MarginWarning,"Low margin - re-price it","OK")))))))</f>
        <v>0</v>
      </c>
    </row>
    <row r="65" spans="1:38">
      <c r="A65" s="38">
        <f>IF(C65="","",VariationPrefix&amp;TEXT(ROW()-4,"0000"))</f>
        <v>0</v>
      </c>
      <c r="N65" s="13">
        <f>IF(B65="","",IFERROR(INDEX(Products!$B$5:$B$304,MATCH(B65,Products!$A$5:$A$304,0)),"Not found"))</f>
        <v>0</v>
      </c>
      <c r="O65" s="20">
        <f>IF(B65="","",IFERROR(INDEX(Products!$T$5:$T$304,MATCH(B65,Products!$A$5:$A$304,0)),""))</f>
        <v>0</v>
      </c>
      <c r="P65" s="20">
        <f>IF(B65="","",IFERROR(INDEX(Products!$Z$5:$Z$304,MATCH(B65,Products!$A$5:$A$304,0)),""))</f>
        <v>0</v>
      </c>
      <c r="Q65" s="20">
        <f>IF(B65="","",IFERROR(INDEX(Products!$AH$5:$AH$304,MATCH(B65,Products!$A$5:$A$304,0))-INDEX(Products!$T$5:$T$304,MATCH(B65,Products!$A$5:$A$304,0))-INDEX(Products!$Z$5:$Z$304,MATCH(B65,Products!$A$5:$A$304,0)),0))</f>
        <v>0</v>
      </c>
      <c r="R65" s="36">
        <f>IF(B65="","",IFERROR(INDEX(Products!$X$5:$X$304,MATCH(B65,Products!$A$5:$A$304,0)),""))</f>
        <v>0</v>
      </c>
      <c r="S65" s="20">
        <f>IF(B65="","",IFERROR(INDEX(Products!$AR$5:$AR$304,MATCH(B65,Products!$A$5:$A$304,0)),""))</f>
        <v>0</v>
      </c>
      <c r="T65" s="41">
        <f>IF(B65="","",IFERROR(INDEX(SizeMaterialFactors,MATCH(E65,SizeNames,0)),1))</f>
        <v>0</v>
      </c>
      <c r="U65" s="41">
        <f>IF(B65="","",IFERROR(INDEX(SizeTimeFactors,MATCH(E65,SizeNames,0)),1))</f>
        <v>0</v>
      </c>
      <c r="V65" s="33">
        <f>IF(B65="","",IFERROR(INDEX(RushFactors,MATCH(H65,RushNames,0)),0))</f>
        <v>0</v>
      </c>
      <c r="W65" s="20">
        <f>IF(B65="","",ROUND(IF(O65="",0,O65)*T65+IF(F65="",0,F65),2))</f>
        <v>0</v>
      </c>
      <c r="X65" s="36">
        <f>IF(B65="","",ROUND(IF(R65="",0,R65)*U65+IF(G65="",0,G65),1))</f>
        <v>0</v>
      </c>
      <c r="Y65" s="20">
        <f>IF(B65="","",ROUND(IF(P65="",0,P65)*U65+IF(G65="",0,G65)/60*LaborCostHour,2))</f>
        <v>0</v>
      </c>
      <c r="Z65" s="20">
        <f>IF(B65="","",ROUND(W65+Y65+IF(Q65="",0,Q65),2))</f>
        <v>0</v>
      </c>
      <c r="AA65" s="33">
        <f>IF(B65="","",IFERROR(INDEX(Channels!$S$5:$S$18,MATCH(IF(J65="",DefaultChannel,J65),Channels!$A$5:$A$18,0)),0))</f>
        <v>0</v>
      </c>
      <c r="AB65" s="20">
        <f>IF(B65="","",IFERROR(INDEX(Channels!$T$5:$T$18,MATCH(IF(J65="",DefaultChannel,J65),Channels!$A$5:$A$18,0)),0))</f>
        <v>0</v>
      </c>
      <c r="AC65" s="41">
        <f>IF(B65="","",1-TargetRetailMargin-AA65)</f>
        <v>0</v>
      </c>
      <c r="AD65" s="20">
        <f>IF(B65="","",IF(AC65&lt;=0,"",((Z65+AB65)/AC65)*(1+V65)+IF(I65="",0,I65)))</f>
        <v>0</v>
      </c>
      <c r="AE65" s="20">
        <f>IF(B65="","",IF(AD65="","Check the settings",ROUND(IF(RoundingRule="None",AD65,IF(RoundingRule="Nearest 0.99",MAX(0.99,CEILING(AD65,1)-0.01),IF(RoundingRule="Nearest 0.95",MAX(0.95,CEILING(AD65,1)-0.05),IF(RoundingRule="Nearest 0.50",CEILING(AD65,0.5),IF(RoundingRule="Nearest 1",CEILING(AD65,1),IF(RoundingRule="Nearest 5",CEILING(AD65,5),IF(RoundingRule="Up to whole 1",CEILING(AD65,1),IF(RoundingRule="Up to whole 5",CEILING(AD65,5),ROUND(AD65,2))))))))),2)))</f>
        <v>0</v>
      </c>
      <c r="AF65" s="20">
        <f>IF(B65="","",IF(K65&lt;&gt;"",K65,IF(ISNUMBER(AE65),AE65,"")))</f>
        <v>0</v>
      </c>
      <c r="AG65" s="20">
        <f>IF(B65="","",IF(OR(AF65="",S65=""),"",ROUND(AF65-S65,2)))</f>
        <v>0</v>
      </c>
      <c r="AH65" s="20">
        <f>IF(B65="","",IF(AF65="","",ROUND(AF65*AA65+AB65,2)))</f>
        <v>0</v>
      </c>
      <c r="AI65" s="20">
        <f>IF(B65="","",IF(AF65="","",ROUND(AF65-Z65-AH65,2)))</f>
        <v>0</v>
      </c>
      <c r="AJ65" s="33">
        <f>IF(B65="","",IF(OR(AF65="",AF65=0),"",AI65/AF65))</f>
        <v>0</v>
      </c>
      <c r="AK65" s="20">
        <f>IF(B65="","",IF(OR(X65=0,X65="",AI65=""),"",ROUND((AI65+Y65)/(X65/60),2)))</f>
        <v>0</v>
      </c>
      <c r="AL65" s="43">
        <f>IF(B65="","",IF(N65="Not found","Check - no such product ID",IF(AF65="","Check - no price yet",IF(AI65&lt;0,"Loss - this version costs you money",IF(AND(AK65&lt;&gt;"",AK65&lt;MinimumWage),"Below - pays under minimum wage",IF(AND(G65&gt;0,AG65&lt;=0),"Check - extra work, no extra charge",IF(AJ65&lt;MarginWarning,"Low margin - re-price it","OK")))))))</f>
        <v>0</v>
      </c>
    </row>
    <row r="66" spans="1:38">
      <c r="A66" s="38">
        <f>IF(C66="","",VariationPrefix&amp;TEXT(ROW()-4,"0000"))</f>
        <v>0</v>
      </c>
      <c r="N66" s="13">
        <f>IF(B66="","",IFERROR(INDEX(Products!$B$5:$B$304,MATCH(B66,Products!$A$5:$A$304,0)),"Not found"))</f>
        <v>0</v>
      </c>
      <c r="O66" s="20">
        <f>IF(B66="","",IFERROR(INDEX(Products!$T$5:$T$304,MATCH(B66,Products!$A$5:$A$304,0)),""))</f>
        <v>0</v>
      </c>
      <c r="P66" s="20">
        <f>IF(B66="","",IFERROR(INDEX(Products!$Z$5:$Z$304,MATCH(B66,Products!$A$5:$A$304,0)),""))</f>
        <v>0</v>
      </c>
      <c r="Q66" s="20">
        <f>IF(B66="","",IFERROR(INDEX(Products!$AH$5:$AH$304,MATCH(B66,Products!$A$5:$A$304,0))-INDEX(Products!$T$5:$T$304,MATCH(B66,Products!$A$5:$A$304,0))-INDEX(Products!$Z$5:$Z$304,MATCH(B66,Products!$A$5:$A$304,0)),0))</f>
        <v>0</v>
      </c>
      <c r="R66" s="36">
        <f>IF(B66="","",IFERROR(INDEX(Products!$X$5:$X$304,MATCH(B66,Products!$A$5:$A$304,0)),""))</f>
        <v>0</v>
      </c>
      <c r="S66" s="20">
        <f>IF(B66="","",IFERROR(INDEX(Products!$AR$5:$AR$304,MATCH(B66,Products!$A$5:$A$304,0)),""))</f>
        <v>0</v>
      </c>
      <c r="T66" s="41">
        <f>IF(B66="","",IFERROR(INDEX(SizeMaterialFactors,MATCH(E66,SizeNames,0)),1))</f>
        <v>0</v>
      </c>
      <c r="U66" s="41">
        <f>IF(B66="","",IFERROR(INDEX(SizeTimeFactors,MATCH(E66,SizeNames,0)),1))</f>
        <v>0</v>
      </c>
      <c r="V66" s="33">
        <f>IF(B66="","",IFERROR(INDEX(RushFactors,MATCH(H66,RushNames,0)),0))</f>
        <v>0</v>
      </c>
      <c r="W66" s="20">
        <f>IF(B66="","",ROUND(IF(O66="",0,O66)*T66+IF(F66="",0,F66),2))</f>
        <v>0</v>
      </c>
      <c r="X66" s="36">
        <f>IF(B66="","",ROUND(IF(R66="",0,R66)*U66+IF(G66="",0,G66),1))</f>
        <v>0</v>
      </c>
      <c r="Y66" s="20">
        <f>IF(B66="","",ROUND(IF(P66="",0,P66)*U66+IF(G66="",0,G66)/60*LaborCostHour,2))</f>
        <v>0</v>
      </c>
      <c r="Z66" s="20">
        <f>IF(B66="","",ROUND(W66+Y66+IF(Q66="",0,Q66),2))</f>
        <v>0</v>
      </c>
      <c r="AA66" s="33">
        <f>IF(B66="","",IFERROR(INDEX(Channels!$S$5:$S$18,MATCH(IF(J66="",DefaultChannel,J66),Channels!$A$5:$A$18,0)),0))</f>
        <v>0</v>
      </c>
      <c r="AB66" s="20">
        <f>IF(B66="","",IFERROR(INDEX(Channels!$T$5:$T$18,MATCH(IF(J66="",DefaultChannel,J66),Channels!$A$5:$A$18,0)),0))</f>
        <v>0</v>
      </c>
      <c r="AC66" s="41">
        <f>IF(B66="","",1-TargetRetailMargin-AA66)</f>
        <v>0</v>
      </c>
      <c r="AD66" s="20">
        <f>IF(B66="","",IF(AC66&lt;=0,"",((Z66+AB66)/AC66)*(1+V66)+IF(I66="",0,I66)))</f>
        <v>0</v>
      </c>
      <c r="AE66" s="20">
        <f>IF(B66="","",IF(AD66="","Check the settings",ROUND(IF(RoundingRule="None",AD66,IF(RoundingRule="Nearest 0.99",MAX(0.99,CEILING(AD66,1)-0.01),IF(RoundingRule="Nearest 0.95",MAX(0.95,CEILING(AD66,1)-0.05),IF(RoundingRule="Nearest 0.50",CEILING(AD66,0.5),IF(RoundingRule="Nearest 1",CEILING(AD66,1),IF(RoundingRule="Nearest 5",CEILING(AD66,5),IF(RoundingRule="Up to whole 1",CEILING(AD66,1),IF(RoundingRule="Up to whole 5",CEILING(AD66,5),ROUND(AD66,2))))))))),2)))</f>
        <v>0</v>
      </c>
      <c r="AF66" s="20">
        <f>IF(B66="","",IF(K66&lt;&gt;"",K66,IF(ISNUMBER(AE66),AE66,"")))</f>
        <v>0</v>
      </c>
      <c r="AG66" s="20">
        <f>IF(B66="","",IF(OR(AF66="",S66=""),"",ROUND(AF66-S66,2)))</f>
        <v>0</v>
      </c>
      <c r="AH66" s="20">
        <f>IF(B66="","",IF(AF66="","",ROUND(AF66*AA66+AB66,2)))</f>
        <v>0</v>
      </c>
      <c r="AI66" s="20">
        <f>IF(B66="","",IF(AF66="","",ROUND(AF66-Z66-AH66,2)))</f>
        <v>0</v>
      </c>
      <c r="AJ66" s="33">
        <f>IF(B66="","",IF(OR(AF66="",AF66=0),"",AI66/AF66))</f>
        <v>0</v>
      </c>
      <c r="AK66" s="20">
        <f>IF(B66="","",IF(OR(X66=0,X66="",AI66=""),"",ROUND((AI66+Y66)/(X66/60),2)))</f>
        <v>0</v>
      </c>
      <c r="AL66" s="43">
        <f>IF(B66="","",IF(N66="Not found","Check - no such product ID",IF(AF66="","Check - no price yet",IF(AI66&lt;0,"Loss - this version costs you money",IF(AND(AK66&lt;&gt;"",AK66&lt;MinimumWage),"Below - pays under minimum wage",IF(AND(G66&gt;0,AG66&lt;=0),"Check - extra work, no extra charge",IF(AJ66&lt;MarginWarning,"Low margin - re-price it","OK")))))))</f>
        <v>0</v>
      </c>
    </row>
    <row r="67" spans="1:38">
      <c r="A67" s="38">
        <f>IF(C67="","",VariationPrefix&amp;TEXT(ROW()-4,"0000"))</f>
        <v>0</v>
      </c>
      <c r="N67" s="13">
        <f>IF(B67="","",IFERROR(INDEX(Products!$B$5:$B$304,MATCH(B67,Products!$A$5:$A$304,0)),"Not found"))</f>
        <v>0</v>
      </c>
      <c r="O67" s="20">
        <f>IF(B67="","",IFERROR(INDEX(Products!$T$5:$T$304,MATCH(B67,Products!$A$5:$A$304,0)),""))</f>
        <v>0</v>
      </c>
      <c r="P67" s="20">
        <f>IF(B67="","",IFERROR(INDEX(Products!$Z$5:$Z$304,MATCH(B67,Products!$A$5:$A$304,0)),""))</f>
        <v>0</v>
      </c>
      <c r="Q67" s="20">
        <f>IF(B67="","",IFERROR(INDEX(Products!$AH$5:$AH$304,MATCH(B67,Products!$A$5:$A$304,0))-INDEX(Products!$T$5:$T$304,MATCH(B67,Products!$A$5:$A$304,0))-INDEX(Products!$Z$5:$Z$304,MATCH(B67,Products!$A$5:$A$304,0)),0))</f>
        <v>0</v>
      </c>
      <c r="R67" s="36">
        <f>IF(B67="","",IFERROR(INDEX(Products!$X$5:$X$304,MATCH(B67,Products!$A$5:$A$304,0)),""))</f>
        <v>0</v>
      </c>
      <c r="S67" s="20">
        <f>IF(B67="","",IFERROR(INDEX(Products!$AR$5:$AR$304,MATCH(B67,Products!$A$5:$A$304,0)),""))</f>
        <v>0</v>
      </c>
      <c r="T67" s="41">
        <f>IF(B67="","",IFERROR(INDEX(SizeMaterialFactors,MATCH(E67,SizeNames,0)),1))</f>
        <v>0</v>
      </c>
      <c r="U67" s="41">
        <f>IF(B67="","",IFERROR(INDEX(SizeTimeFactors,MATCH(E67,SizeNames,0)),1))</f>
        <v>0</v>
      </c>
      <c r="V67" s="33">
        <f>IF(B67="","",IFERROR(INDEX(RushFactors,MATCH(H67,RushNames,0)),0))</f>
        <v>0</v>
      </c>
      <c r="W67" s="20">
        <f>IF(B67="","",ROUND(IF(O67="",0,O67)*T67+IF(F67="",0,F67),2))</f>
        <v>0</v>
      </c>
      <c r="X67" s="36">
        <f>IF(B67="","",ROUND(IF(R67="",0,R67)*U67+IF(G67="",0,G67),1))</f>
        <v>0</v>
      </c>
      <c r="Y67" s="20">
        <f>IF(B67="","",ROUND(IF(P67="",0,P67)*U67+IF(G67="",0,G67)/60*LaborCostHour,2))</f>
        <v>0</v>
      </c>
      <c r="Z67" s="20">
        <f>IF(B67="","",ROUND(W67+Y67+IF(Q67="",0,Q67),2))</f>
        <v>0</v>
      </c>
      <c r="AA67" s="33">
        <f>IF(B67="","",IFERROR(INDEX(Channels!$S$5:$S$18,MATCH(IF(J67="",DefaultChannel,J67),Channels!$A$5:$A$18,0)),0))</f>
        <v>0</v>
      </c>
      <c r="AB67" s="20">
        <f>IF(B67="","",IFERROR(INDEX(Channels!$T$5:$T$18,MATCH(IF(J67="",DefaultChannel,J67),Channels!$A$5:$A$18,0)),0))</f>
        <v>0</v>
      </c>
      <c r="AC67" s="41">
        <f>IF(B67="","",1-TargetRetailMargin-AA67)</f>
        <v>0</v>
      </c>
      <c r="AD67" s="20">
        <f>IF(B67="","",IF(AC67&lt;=0,"",((Z67+AB67)/AC67)*(1+V67)+IF(I67="",0,I67)))</f>
        <v>0</v>
      </c>
      <c r="AE67" s="20">
        <f>IF(B67="","",IF(AD67="","Check the settings",ROUND(IF(RoundingRule="None",AD67,IF(RoundingRule="Nearest 0.99",MAX(0.99,CEILING(AD67,1)-0.01),IF(RoundingRule="Nearest 0.95",MAX(0.95,CEILING(AD67,1)-0.05),IF(RoundingRule="Nearest 0.50",CEILING(AD67,0.5),IF(RoundingRule="Nearest 1",CEILING(AD67,1),IF(RoundingRule="Nearest 5",CEILING(AD67,5),IF(RoundingRule="Up to whole 1",CEILING(AD67,1),IF(RoundingRule="Up to whole 5",CEILING(AD67,5),ROUND(AD67,2))))))))),2)))</f>
        <v>0</v>
      </c>
      <c r="AF67" s="20">
        <f>IF(B67="","",IF(K67&lt;&gt;"",K67,IF(ISNUMBER(AE67),AE67,"")))</f>
        <v>0</v>
      </c>
      <c r="AG67" s="20">
        <f>IF(B67="","",IF(OR(AF67="",S67=""),"",ROUND(AF67-S67,2)))</f>
        <v>0</v>
      </c>
      <c r="AH67" s="20">
        <f>IF(B67="","",IF(AF67="","",ROUND(AF67*AA67+AB67,2)))</f>
        <v>0</v>
      </c>
      <c r="AI67" s="20">
        <f>IF(B67="","",IF(AF67="","",ROUND(AF67-Z67-AH67,2)))</f>
        <v>0</v>
      </c>
      <c r="AJ67" s="33">
        <f>IF(B67="","",IF(OR(AF67="",AF67=0),"",AI67/AF67))</f>
        <v>0</v>
      </c>
      <c r="AK67" s="20">
        <f>IF(B67="","",IF(OR(X67=0,X67="",AI67=""),"",ROUND((AI67+Y67)/(X67/60),2)))</f>
        <v>0</v>
      </c>
      <c r="AL67" s="43">
        <f>IF(B67="","",IF(N67="Not found","Check - no such product ID",IF(AF67="","Check - no price yet",IF(AI67&lt;0,"Loss - this version costs you money",IF(AND(AK67&lt;&gt;"",AK67&lt;MinimumWage),"Below - pays under minimum wage",IF(AND(G67&gt;0,AG67&lt;=0),"Check - extra work, no extra charge",IF(AJ67&lt;MarginWarning,"Low margin - re-price it","OK")))))))</f>
        <v>0</v>
      </c>
    </row>
    <row r="68" spans="1:38">
      <c r="A68" s="38">
        <f>IF(C68="","",VariationPrefix&amp;TEXT(ROW()-4,"0000"))</f>
        <v>0</v>
      </c>
      <c r="N68" s="13">
        <f>IF(B68="","",IFERROR(INDEX(Products!$B$5:$B$304,MATCH(B68,Products!$A$5:$A$304,0)),"Not found"))</f>
        <v>0</v>
      </c>
      <c r="O68" s="20">
        <f>IF(B68="","",IFERROR(INDEX(Products!$T$5:$T$304,MATCH(B68,Products!$A$5:$A$304,0)),""))</f>
        <v>0</v>
      </c>
      <c r="P68" s="20">
        <f>IF(B68="","",IFERROR(INDEX(Products!$Z$5:$Z$304,MATCH(B68,Products!$A$5:$A$304,0)),""))</f>
        <v>0</v>
      </c>
      <c r="Q68" s="20">
        <f>IF(B68="","",IFERROR(INDEX(Products!$AH$5:$AH$304,MATCH(B68,Products!$A$5:$A$304,0))-INDEX(Products!$T$5:$T$304,MATCH(B68,Products!$A$5:$A$304,0))-INDEX(Products!$Z$5:$Z$304,MATCH(B68,Products!$A$5:$A$304,0)),0))</f>
        <v>0</v>
      </c>
      <c r="R68" s="36">
        <f>IF(B68="","",IFERROR(INDEX(Products!$X$5:$X$304,MATCH(B68,Products!$A$5:$A$304,0)),""))</f>
        <v>0</v>
      </c>
      <c r="S68" s="20">
        <f>IF(B68="","",IFERROR(INDEX(Products!$AR$5:$AR$304,MATCH(B68,Products!$A$5:$A$304,0)),""))</f>
        <v>0</v>
      </c>
      <c r="T68" s="41">
        <f>IF(B68="","",IFERROR(INDEX(SizeMaterialFactors,MATCH(E68,SizeNames,0)),1))</f>
        <v>0</v>
      </c>
      <c r="U68" s="41">
        <f>IF(B68="","",IFERROR(INDEX(SizeTimeFactors,MATCH(E68,SizeNames,0)),1))</f>
        <v>0</v>
      </c>
      <c r="V68" s="33">
        <f>IF(B68="","",IFERROR(INDEX(RushFactors,MATCH(H68,RushNames,0)),0))</f>
        <v>0</v>
      </c>
      <c r="W68" s="20">
        <f>IF(B68="","",ROUND(IF(O68="",0,O68)*T68+IF(F68="",0,F68),2))</f>
        <v>0</v>
      </c>
      <c r="X68" s="36">
        <f>IF(B68="","",ROUND(IF(R68="",0,R68)*U68+IF(G68="",0,G68),1))</f>
        <v>0</v>
      </c>
      <c r="Y68" s="20">
        <f>IF(B68="","",ROUND(IF(P68="",0,P68)*U68+IF(G68="",0,G68)/60*LaborCostHour,2))</f>
        <v>0</v>
      </c>
      <c r="Z68" s="20">
        <f>IF(B68="","",ROUND(W68+Y68+IF(Q68="",0,Q68),2))</f>
        <v>0</v>
      </c>
      <c r="AA68" s="33">
        <f>IF(B68="","",IFERROR(INDEX(Channels!$S$5:$S$18,MATCH(IF(J68="",DefaultChannel,J68),Channels!$A$5:$A$18,0)),0))</f>
        <v>0</v>
      </c>
      <c r="AB68" s="20">
        <f>IF(B68="","",IFERROR(INDEX(Channels!$T$5:$T$18,MATCH(IF(J68="",DefaultChannel,J68),Channels!$A$5:$A$18,0)),0))</f>
        <v>0</v>
      </c>
      <c r="AC68" s="41">
        <f>IF(B68="","",1-TargetRetailMargin-AA68)</f>
        <v>0</v>
      </c>
      <c r="AD68" s="20">
        <f>IF(B68="","",IF(AC68&lt;=0,"",((Z68+AB68)/AC68)*(1+V68)+IF(I68="",0,I68)))</f>
        <v>0</v>
      </c>
      <c r="AE68" s="20">
        <f>IF(B68="","",IF(AD68="","Check the settings",ROUND(IF(RoundingRule="None",AD68,IF(RoundingRule="Nearest 0.99",MAX(0.99,CEILING(AD68,1)-0.01),IF(RoundingRule="Nearest 0.95",MAX(0.95,CEILING(AD68,1)-0.05),IF(RoundingRule="Nearest 0.50",CEILING(AD68,0.5),IF(RoundingRule="Nearest 1",CEILING(AD68,1),IF(RoundingRule="Nearest 5",CEILING(AD68,5),IF(RoundingRule="Up to whole 1",CEILING(AD68,1),IF(RoundingRule="Up to whole 5",CEILING(AD68,5),ROUND(AD68,2))))))))),2)))</f>
        <v>0</v>
      </c>
      <c r="AF68" s="20">
        <f>IF(B68="","",IF(K68&lt;&gt;"",K68,IF(ISNUMBER(AE68),AE68,"")))</f>
        <v>0</v>
      </c>
      <c r="AG68" s="20">
        <f>IF(B68="","",IF(OR(AF68="",S68=""),"",ROUND(AF68-S68,2)))</f>
        <v>0</v>
      </c>
      <c r="AH68" s="20">
        <f>IF(B68="","",IF(AF68="","",ROUND(AF68*AA68+AB68,2)))</f>
        <v>0</v>
      </c>
      <c r="AI68" s="20">
        <f>IF(B68="","",IF(AF68="","",ROUND(AF68-Z68-AH68,2)))</f>
        <v>0</v>
      </c>
      <c r="AJ68" s="33">
        <f>IF(B68="","",IF(OR(AF68="",AF68=0),"",AI68/AF68))</f>
        <v>0</v>
      </c>
      <c r="AK68" s="20">
        <f>IF(B68="","",IF(OR(X68=0,X68="",AI68=""),"",ROUND((AI68+Y68)/(X68/60),2)))</f>
        <v>0</v>
      </c>
      <c r="AL68" s="43">
        <f>IF(B68="","",IF(N68="Not found","Check - no such product ID",IF(AF68="","Check - no price yet",IF(AI68&lt;0,"Loss - this version costs you money",IF(AND(AK68&lt;&gt;"",AK68&lt;MinimumWage),"Below - pays under minimum wage",IF(AND(G68&gt;0,AG68&lt;=0),"Check - extra work, no extra charge",IF(AJ68&lt;MarginWarning,"Low margin - re-price it","OK")))))))</f>
        <v>0</v>
      </c>
    </row>
    <row r="69" spans="1:38">
      <c r="A69" s="38">
        <f>IF(C69="","",VariationPrefix&amp;TEXT(ROW()-4,"0000"))</f>
        <v>0</v>
      </c>
      <c r="N69" s="13">
        <f>IF(B69="","",IFERROR(INDEX(Products!$B$5:$B$304,MATCH(B69,Products!$A$5:$A$304,0)),"Not found"))</f>
        <v>0</v>
      </c>
      <c r="O69" s="20">
        <f>IF(B69="","",IFERROR(INDEX(Products!$T$5:$T$304,MATCH(B69,Products!$A$5:$A$304,0)),""))</f>
        <v>0</v>
      </c>
      <c r="P69" s="20">
        <f>IF(B69="","",IFERROR(INDEX(Products!$Z$5:$Z$304,MATCH(B69,Products!$A$5:$A$304,0)),""))</f>
        <v>0</v>
      </c>
      <c r="Q69" s="20">
        <f>IF(B69="","",IFERROR(INDEX(Products!$AH$5:$AH$304,MATCH(B69,Products!$A$5:$A$304,0))-INDEX(Products!$T$5:$T$304,MATCH(B69,Products!$A$5:$A$304,0))-INDEX(Products!$Z$5:$Z$304,MATCH(B69,Products!$A$5:$A$304,0)),0))</f>
        <v>0</v>
      </c>
      <c r="R69" s="36">
        <f>IF(B69="","",IFERROR(INDEX(Products!$X$5:$X$304,MATCH(B69,Products!$A$5:$A$304,0)),""))</f>
        <v>0</v>
      </c>
      <c r="S69" s="20">
        <f>IF(B69="","",IFERROR(INDEX(Products!$AR$5:$AR$304,MATCH(B69,Products!$A$5:$A$304,0)),""))</f>
        <v>0</v>
      </c>
      <c r="T69" s="41">
        <f>IF(B69="","",IFERROR(INDEX(SizeMaterialFactors,MATCH(E69,SizeNames,0)),1))</f>
        <v>0</v>
      </c>
      <c r="U69" s="41">
        <f>IF(B69="","",IFERROR(INDEX(SizeTimeFactors,MATCH(E69,SizeNames,0)),1))</f>
        <v>0</v>
      </c>
      <c r="V69" s="33">
        <f>IF(B69="","",IFERROR(INDEX(RushFactors,MATCH(H69,RushNames,0)),0))</f>
        <v>0</v>
      </c>
      <c r="W69" s="20">
        <f>IF(B69="","",ROUND(IF(O69="",0,O69)*T69+IF(F69="",0,F69),2))</f>
        <v>0</v>
      </c>
      <c r="X69" s="36">
        <f>IF(B69="","",ROUND(IF(R69="",0,R69)*U69+IF(G69="",0,G69),1))</f>
        <v>0</v>
      </c>
      <c r="Y69" s="20">
        <f>IF(B69="","",ROUND(IF(P69="",0,P69)*U69+IF(G69="",0,G69)/60*LaborCostHour,2))</f>
        <v>0</v>
      </c>
      <c r="Z69" s="20">
        <f>IF(B69="","",ROUND(W69+Y69+IF(Q69="",0,Q69),2))</f>
        <v>0</v>
      </c>
      <c r="AA69" s="33">
        <f>IF(B69="","",IFERROR(INDEX(Channels!$S$5:$S$18,MATCH(IF(J69="",DefaultChannel,J69),Channels!$A$5:$A$18,0)),0))</f>
        <v>0</v>
      </c>
      <c r="AB69" s="20">
        <f>IF(B69="","",IFERROR(INDEX(Channels!$T$5:$T$18,MATCH(IF(J69="",DefaultChannel,J69),Channels!$A$5:$A$18,0)),0))</f>
        <v>0</v>
      </c>
      <c r="AC69" s="41">
        <f>IF(B69="","",1-TargetRetailMargin-AA69)</f>
        <v>0</v>
      </c>
      <c r="AD69" s="20">
        <f>IF(B69="","",IF(AC69&lt;=0,"",((Z69+AB69)/AC69)*(1+V69)+IF(I69="",0,I69)))</f>
        <v>0</v>
      </c>
      <c r="AE69" s="20">
        <f>IF(B69="","",IF(AD69="","Check the settings",ROUND(IF(RoundingRule="None",AD69,IF(RoundingRule="Nearest 0.99",MAX(0.99,CEILING(AD69,1)-0.01),IF(RoundingRule="Nearest 0.95",MAX(0.95,CEILING(AD69,1)-0.05),IF(RoundingRule="Nearest 0.50",CEILING(AD69,0.5),IF(RoundingRule="Nearest 1",CEILING(AD69,1),IF(RoundingRule="Nearest 5",CEILING(AD69,5),IF(RoundingRule="Up to whole 1",CEILING(AD69,1),IF(RoundingRule="Up to whole 5",CEILING(AD69,5),ROUND(AD69,2))))))))),2)))</f>
        <v>0</v>
      </c>
      <c r="AF69" s="20">
        <f>IF(B69="","",IF(K69&lt;&gt;"",K69,IF(ISNUMBER(AE69),AE69,"")))</f>
        <v>0</v>
      </c>
      <c r="AG69" s="20">
        <f>IF(B69="","",IF(OR(AF69="",S69=""),"",ROUND(AF69-S69,2)))</f>
        <v>0</v>
      </c>
      <c r="AH69" s="20">
        <f>IF(B69="","",IF(AF69="","",ROUND(AF69*AA69+AB69,2)))</f>
        <v>0</v>
      </c>
      <c r="AI69" s="20">
        <f>IF(B69="","",IF(AF69="","",ROUND(AF69-Z69-AH69,2)))</f>
        <v>0</v>
      </c>
      <c r="AJ69" s="33">
        <f>IF(B69="","",IF(OR(AF69="",AF69=0),"",AI69/AF69))</f>
        <v>0</v>
      </c>
      <c r="AK69" s="20">
        <f>IF(B69="","",IF(OR(X69=0,X69="",AI69=""),"",ROUND((AI69+Y69)/(X69/60),2)))</f>
        <v>0</v>
      </c>
      <c r="AL69" s="43">
        <f>IF(B69="","",IF(N69="Not found","Check - no such product ID",IF(AF69="","Check - no price yet",IF(AI69&lt;0,"Loss - this version costs you money",IF(AND(AK69&lt;&gt;"",AK69&lt;MinimumWage),"Below - pays under minimum wage",IF(AND(G69&gt;0,AG69&lt;=0),"Check - extra work, no extra charge",IF(AJ69&lt;MarginWarning,"Low margin - re-price it","OK")))))))</f>
        <v>0</v>
      </c>
    </row>
    <row r="70" spans="1:38">
      <c r="A70" s="38">
        <f>IF(C70="","",VariationPrefix&amp;TEXT(ROW()-4,"0000"))</f>
        <v>0</v>
      </c>
      <c r="N70" s="13">
        <f>IF(B70="","",IFERROR(INDEX(Products!$B$5:$B$304,MATCH(B70,Products!$A$5:$A$304,0)),"Not found"))</f>
        <v>0</v>
      </c>
      <c r="O70" s="20">
        <f>IF(B70="","",IFERROR(INDEX(Products!$T$5:$T$304,MATCH(B70,Products!$A$5:$A$304,0)),""))</f>
        <v>0</v>
      </c>
      <c r="P70" s="20">
        <f>IF(B70="","",IFERROR(INDEX(Products!$Z$5:$Z$304,MATCH(B70,Products!$A$5:$A$304,0)),""))</f>
        <v>0</v>
      </c>
      <c r="Q70" s="20">
        <f>IF(B70="","",IFERROR(INDEX(Products!$AH$5:$AH$304,MATCH(B70,Products!$A$5:$A$304,0))-INDEX(Products!$T$5:$T$304,MATCH(B70,Products!$A$5:$A$304,0))-INDEX(Products!$Z$5:$Z$304,MATCH(B70,Products!$A$5:$A$304,0)),0))</f>
        <v>0</v>
      </c>
      <c r="R70" s="36">
        <f>IF(B70="","",IFERROR(INDEX(Products!$X$5:$X$304,MATCH(B70,Products!$A$5:$A$304,0)),""))</f>
        <v>0</v>
      </c>
      <c r="S70" s="20">
        <f>IF(B70="","",IFERROR(INDEX(Products!$AR$5:$AR$304,MATCH(B70,Products!$A$5:$A$304,0)),""))</f>
        <v>0</v>
      </c>
      <c r="T70" s="41">
        <f>IF(B70="","",IFERROR(INDEX(SizeMaterialFactors,MATCH(E70,SizeNames,0)),1))</f>
        <v>0</v>
      </c>
      <c r="U70" s="41">
        <f>IF(B70="","",IFERROR(INDEX(SizeTimeFactors,MATCH(E70,SizeNames,0)),1))</f>
        <v>0</v>
      </c>
      <c r="V70" s="33">
        <f>IF(B70="","",IFERROR(INDEX(RushFactors,MATCH(H70,RushNames,0)),0))</f>
        <v>0</v>
      </c>
      <c r="W70" s="20">
        <f>IF(B70="","",ROUND(IF(O70="",0,O70)*T70+IF(F70="",0,F70),2))</f>
        <v>0</v>
      </c>
      <c r="X70" s="36">
        <f>IF(B70="","",ROUND(IF(R70="",0,R70)*U70+IF(G70="",0,G70),1))</f>
        <v>0</v>
      </c>
      <c r="Y70" s="20">
        <f>IF(B70="","",ROUND(IF(P70="",0,P70)*U70+IF(G70="",0,G70)/60*LaborCostHour,2))</f>
        <v>0</v>
      </c>
      <c r="Z70" s="20">
        <f>IF(B70="","",ROUND(W70+Y70+IF(Q70="",0,Q70),2))</f>
        <v>0</v>
      </c>
      <c r="AA70" s="33">
        <f>IF(B70="","",IFERROR(INDEX(Channels!$S$5:$S$18,MATCH(IF(J70="",DefaultChannel,J70),Channels!$A$5:$A$18,0)),0))</f>
        <v>0</v>
      </c>
      <c r="AB70" s="20">
        <f>IF(B70="","",IFERROR(INDEX(Channels!$T$5:$T$18,MATCH(IF(J70="",DefaultChannel,J70),Channels!$A$5:$A$18,0)),0))</f>
        <v>0</v>
      </c>
      <c r="AC70" s="41">
        <f>IF(B70="","",1-TargetRetailMargin-AA70)</f>
        <v>0</v>
      </c>
      <c r="AD70" s="20">
        <f>IF(B70="","",IF(AC70&lt;=0,"",((Z70+AB70)/AC70)*(1+V70)+IF(I70="",0,I70)))</f>
        <v>0</v>
      </c>
      <c r="AE70" s="20">
        <f>IF(B70="","",IF(AD70="","Check the settings",ROUND(IF(RoundingRule="None",AD70,IF(RoundingRule="Nearest 0.99",MAX(0.99,CEILING(AD70,1)-0.01),IF(RoundingRule="Nearest 0.95",MAX(0.95,CEILING(AD70,1)-0.05),IF(RoundingRule="Nearest 0.50",CEILING(AD70,0.5),IF(RoundingRule="Nearest 1",CEILING(AD70,1),IF(RoundingRule="Nearest 5",CEILING(AD70,5),IF(RoundingRule="Up to whole 1",CEILING(AD70,1),IF(RoundingRule="Up to whole 5",CEILING(AD70,5),ROUND(AD70,2))))))))),2)))</f>
        <v>0</v>
      </c>
      <c r="AF70" s="20">
        <f>IF(B70="","",IF(K70&lt;&gt;"",K70,IF(ISNUMBER(AE70),AE70,"")))</f>
        <v>0</v>
      </c>
      <c r="AG70" s="20">
        <f>IF(B70="","",IF(OR(AF70="",S70=""),"",ROUND(AF70-S70,2)))</f>
        <v>0</v>
      </c>
      <c r="AH70" s="20">
        <f>IF(B70="","",IF(AF70="","",ROUND(AF70*AA70+AB70,2)))</f>
        <v>0</v>
      </c>
      <c r="AI70" s="20">
        <f>IF(B70="","",IF(AF70="","",ROUND(AF70-Z70-AH70,2)))</f>
        <v>0</v>
      </c>
      <c r="AJ70" s="33">
        <f>IF(B70="","",IF(OR(AF70="",AF70=0),"",AI70/AF70))</f>
        <v>0</v>
      </c>
      <c r="AK70" s="20">
        <f>IF(B70="","",IF(OR(X70=0,X70="",AI70=""),"",ROUND((AI70+Y70)/(X70/60),2)))</f>
        <v>0</v>
      </c>
      <c r="AL70" s="43">
        <f>IF(B70="","",IF(N70="Not found","Check - no such product ID",IF(AF70="","Check - no price yet",IF(AI70&lt;0,"Loss - this version costs you money",IF(AND(AK70&lt;&gt;"",AK70&lt;MinimumWage),"Below - pays under minimum wage",IF(AND(G70&gt;0,AG70&lt;=0),"Check - extra work, no extra charge",IF(AJ70&lt;MarginWarning,"Low margin - re-price it","OK")))))))</f>
        <v>0</v>
      </c>
    </row>
    <row r="71" spans="1:38">
      <c r="A71" s="38">
        <f>IF(C71="","",VariationPrefix&amp;TEXT(ROW()-4,"0000"))</f>
        <v>0</v>
      </c>
      <c r="N71" s="13">
        <f>IF(B71="","",IFERROR(INDEX(Products!$B$5:$B$304,MATCH(B71,Products!$A$5:$A$304,0)),"Not found"))</f>
        <v>0</v>
      </c>
      <c r="O71" s="20">
        <f>IF(B71="","",IFERROR(INDEX(Products!$T$5:$T$304,MATCH(B71,Products!$A$5:$A$304,0)),""))</f>
        <v>0</v>
      </c>
      <c r="P71" s="20">
        <f>IF(B71="","",IFERROR(INDEX(Products!$Z$5:$Z$304,MATCH(B71,Products!$A$5:$A$304,0)),""))</f>
        <v>0</v>
      </c>
      <c r="Q71" s="20">
        <f>IF(B71="","",IFERROR(INDEX(Products!$AH$5:$AH$304,MATCH(B71,Products!$A$5:$A$304,0))-INDEX(Products!$T$5:$T$304,MATCH(B71,Products!$A$5:$A$304,0))-INDEX(Products!$Z$5:$Z$304,MATCH(B71,Products!$A$5:$A$304,0)),0))</f>
        <v>0</v>
      </c>
      <c r="R71" s="36">
        <f>IF(B71="","",IFERROR(INDEX(Products!$X$5:$X$304,MATCH(B71,Products!$A$5:$A$304,0)),""))</f>
        <v>0</v>
      </c>
      <c r="S71" s="20">
        <f>IF(B71="","",IFERROR(INDEX(Products!$AR$5:$AR$304,MATCH(B71,Products!$A$5:$A$304,0)),""))</f>
        <v>0</v>
      </c>
      <c r="T71" s="41">
        <f>IF(B71="","",IFERROR(INDEX(SizeMaterialFactors,MATCH(E71,SizeNames,0)),1))</f>
        <v>0</v>
      </c>
      <c r="U71" s="41">
        <f>IF(B71="","",IFERROR(INDEX(SizeTimeFactors,MATCH(E71,SizeNames,0)),1))</f>
        <v>0</v>
      </c>
      <c r="V71" s="33">
        <f>IF(B71="","",IFERROR(INDEX(RushFactors,MATCH(H71,RushNames,0)),0))</f>
        <v>0</v>
      </c>
      <c r="W71" s="20">
        <f>IF(B71="","",ROUND(IF(O71="",0,O71)*T71+IF(F71="",0,F71),2))</f>
        <v>0</v>
      </c>
      <c r="X71" s="36">
        <f>IF(B71="","",ROUND(IF(R71="",0,R71)*U71+IF(G71="",0,G71),1))</f>
        <v>0</v>
      </c>
      <c r="Y71" s="20">
        <f>IF(B71="","",ROUND(IF(P71="",0,P71)*U71+IF(G71="",0,G71)/60*LaborCostHour,2))</f>
        <v>0</v>
      </c>
      <c r="Z71" s="20">
        <f>IF(B71="","",ROUND(W71+Y71+IF(Q71="",0,Q71),2))</f>
        <v>0</v>
      </c>
      <c r="AA71" s="33">
        <f>IF(B71="","",IFERROR(INDEX(Channels!$S$5:$S$18,MATCH(IF(J71="",DefaultChannel,J71),Channels!$A$5:$A$18,0)),0))</f>
        <v>0</v>
      </c>
      <c r="AB71" s="20">
        <f>IF(B71="","",IFERROR(INDEX(Channels!$T$5:$T$18,MATCH(IF(J71="",DefaultChannel,J71),Channels!$A$5:$A$18,0)),0))</f>
        <v>0</v>
      </c>
      <c r="AC71" s="41">
        <f>IF(B71="","",1-TargetRetailMargin-AA71)</f>
        <v>0</v>
      </c>
      <c r="AD71" s="20">
        <f>IF(B71="","",IF(AC71&lt;=0,"",((Z71+AB71)/AC71)*(1+V71)+IF(I71="",0,I71)))</f>
        <v>0</v>
      </c>
      <c r="AE71" s="20">
        <f>IF(B71="","",IF(AD71="","Check the settings",ROUND(IF(RoundingRule="None",AD71,IF(RoundingRule="Nearest 0.99",MAX(0.99,CEILING(AD71,1)-0.01),IF(RoundingRule="Nearest 0.95",MAX(0.95,CEILING(AD71,1)-0.05),IF(RoundingRule="Nearest 0.50",CEILING(AD71,0.5),IF(RoundingRule="Nearest 1",CEILING(AD71,1),IF(RoundingRule="Nearest 5",CEILING(AD71,5),IF(RoundingRule="Up to whole 1",CEILING(AD71,1),IF(RoundingRule="Up to whole 5",CEILING(AD71,5),ROUND(AD71,2))))))))),2)))</f>
        <v>0</v>
      </c>
      <c r="AF71" s="20">
        <f>IF(B71="","",IF(K71&lt;&gt;"",K71,IF(ISNUMBER(AE71),AE71,"")))</f>
        <v>0</v>
      </c>
      <c r="AG71" s="20">
        <f>IF(B71="","",IF(OR(AF71="",S71=""),"",ROUND(AF71-S71,2)))</f>
        <v>0</v>
      </c>
      <c r="AH71" s="20">
        <f>IF(B71="","",IF(AF71="","",ROUND(AF71*AA71+AB71,2)))</f>
        <v>0</v>
      </c>
      <c r="AI71" s="20">
        <f>IF(B71="","",IF(AF71="","",ROUND(AF71-Z71-AH71,2)))</f>
        <v>0</v>
      </c>
      <c r="AJ71" s="33">
        <f>IF(B71="","",IF(OR(AF71="",AF71=0),"",AI71/AF71))</f>
        <v>0</v>
      </c>
      <c r="AK71" s="20">
        <f>IF(B71="","",IF(OR(X71=0,X71="",AI71=""),"",ROUND((AI71+Y71)/(X71/60),2)))</f>
        <v>0</v>
      </c>
      <c r="AL71" s="43">
        <f>IF(B71="","",IF(N71="Not found","Check - no such product ID",IF(AF71="","Check - no price yet",IF(AI71&lt;0,"Loss - this version costs you money",IF(AND(AK71&lt;&gt;"",AK71&lt;MinimumWage),"Below - pays under minimum wage",IF(AND(G71&gt;0,AG71&lt;=0),"Check - extra work, no extra charge",IF(AJ71&lt;MarginWarning,"Low margin - re-price it","OK")))))))</f>
        <v>0</v>
      </c>
    </row>
    <row r="72" spans="1:38">
      <c r="A72" s="38">
        <f>IF(C72="","",VariationPrefix&amp;TEXT(ROW()-4,"0000"))</f>
        <v>0</v>
      </c>
      <c r="N72" s="13">
        <f>IF(B72="","",IFERROR(INDEX(Products!$B$5:$B$304,MATCH(B72,Products!$A$5:$A$304,0)),"Not found"))</f>
        <v>0</v>
      </c>
      <c r="O72" s="20">
        <f>IF(B72="","",IFERROR(INDEX(Products!$T$5:$T$304,MATCH(B72,Products!$A$5:$A$304,0)),""))</f>
        <v>0</v>
      </c>
      <c r="P72" s="20">
        <f>IF(B72="","",IFERROR(INDEX(Products!$Z$5:$Z$304,MATCH(B72,Products!$A$5:$A$304,0)),""))</f>
        <v>0</v>
      </c>
      <c r="Q72" s="20">
        <f>IF(B72="","",IFERROR(INDEX(Products!$AH$5:$AH$304,MATCH(B72,Products!$A$5:$A$304,0))-INDEX(Products!$T$5:$T$304,MATCH(B72,Products!$A$5:$A$304,0))-INDEX(Products!$Z$5:$Z$304,MATCH(B72,Products!$A$5:$A$304,0)),0))</f>
        <v>0</v>
      </c>
      <c r="R72" s="36">
        <f>IF(B72="","",IFERROR(INDEX(Products!$X$5:$X$304,MATCH(B72,Products!$A$5:$A$304,0)),""))</f>
        <v>0</v>
      </c>
      <c r="S72" s="20">
        <f>IF(B72="","",IFERROR(INDEX(Products!$AR$5:$AR$304,MATCH(B72,Products!$A$5:$A$304,0)),""))</f>
        <v>0</v>
      </c>
      <c r="T72" s="41">
        <f>IF(B72="","",IFERROR(INDEX(SizeMaterialFactors,MATCH(E72,SizeNames,0)),1))</f>
        <v>0</v>
      </c>
      <c r="U72" s="41">
        <f>IF(B72="","",IFERROR(INDEX(SizeTimeFactors,MATCH(E72,SizeNames,0)),1))</f>
        <v>0</v>
      </c>
      <c r="V72" s="33">
        <f>IF(B72="","",IFERROR(INDEX(RushFactors,MATCH(H72,RushNames,0)),0))</f>
        <v>0</v>
      </c>
      <c r="W72" s="20">
        <f>IF(B72="","",ROUND(IF(O72="",0,O72)*T72+IF(F72="",0,F72),2))</f>
        <v>0</v>
      </c>
      <c r="X72" s="36">
        <f>IF(B72="","",ROUND(IF(R72="",0,R72)*U72+IF(G72="",0,G72),1))</f>
        <v>0</v>
      </c>
      <c r="Y72" s="20">
        <f>IF(B72="","",ROUND(IF(P72="",0,P72)*U72+IF(G72="",0,G72)/60*LaborCostHour,2))</f>
        <v>0</v>
      </c>
      <c r="Z72" s="20">
        <f>IF(B72="","",ROUND(W72+Y72+IF(Q72="",0,Q72),2))</f>
        <v>0</v>
      </c>
      <c r="AA72" s="33">
        <f>IF(B72="","",IFERROR(INDEX(Channels!$S$5:$S$18,MATCH(IF(J72="",DefaultChannel,J72),Channels!$A$5:$A$18,0)),0))</f>
        <v>0</v>
      </c>
      <c r="AB72" s="20">
        <f>IF(B72="","",IFERROR(INDEX(Channels!$T$5:$T$18,MATCH(IF(J72="",DefaultChannel,J72),Channels!$A$5:$A$18,0)),0))</f>
        <v>0</v>
      </c>
      <c r="AC72" s="41">
        <f>IF(B72="","",1-TargetRetailMargin-AA72)</f>
        <v>0</v>
      </c>
      <c r="AD72" s="20">
        <f>IF(B72="","",IF(AC72&lt;=0,"",((Z72+AB72)/AC72)*(1+V72)+IF(I72="",0,I72)))</f>
        <v>0</v>
      </c>
      <c r="AE72" s="20">
        <f>IF(B72="","",IF(AD72="","Check the settings",ROUND(IF(RoundingRule="None",AD72,IF(RoundingRule="Nearest 0.99",MAX(0.99,CEILING(AD72,1)-0.01),IF(RoundingRule="Nearest 0.95",MAX(0.95,CEILING(AD72,1)-0.05),IF(RoundingRule="Nearest 0.50",CEILING(AD72,0.5),IF(RoundingRule="Nearest 1",CEILING(AD72,1),IF(RoundingRule="Nearest 5",CEILING(AD72,5),IF(RoundingRule="Up to whole 1",CEILING(AD72,1),IF(RoundingRule="Up to whole 5",CEILING(AD72,5),ROUND(AD72,2))))))))),2)))</f>
        <v>0</v>
      </c>
      <c r="AF72" s="20">
        <f>IF(B72="","",IF(K72&lt;&gt;"",K72,IF(ISNUMBER(AE72),AE72,"")))</f>
        <v>0</v>
      </c>
      <c r="AG72" s="20">
        <f>IF(B72="","",IF(OR(AF72="",S72=""),"",ROUND(AF72-S72,2)))</f>
        <v>0</v>
      </c>
      <c r="AH72" s="20">
        <f>IF(B72="","",IF(AF72="","",ROUND(AF72*AA72+AB72,2)))</f>
        <v>0</v>
      </c>
      <c r="AI72" s="20">
        <f>IF(B72="","",IF(AF72="","",ROUND(AF72-Z72-AH72,2)))</f>
        <v>0</v>
      </c>
      <c r="AJ72" s="33">
        <f>IF(B72="","",IF(OR(AF72="",AF72=0),"",AI72/AF72))</f>
        <v>0</v>
      </c>
      <c r="AK72" s="20">
        <f>IF(B72="","",IF(OR(X72=0,X72="",AI72=""),"",ROUND((AI72+Y72)/(X72/60),2)))</f>
        <v>0</v>
      </c>
      <c r="AL72" s="43">
        <f>IF(B72="","",IF(N72="Not found","Check - no such product ID",IF(AF72="","Check - no price yet",IF(AI72&lt;0,"Loss - this version costs you money",IF(AND(AK72&lt;&gt;"",AK72&lt;MinimumWage),"Below - pays under minimum wage",IF(AND(G72&gt;0,AG72&lt;=0),"Check - extra work, no extra charge",IF(AJ72&lt;MarginWarning,"Low margin - re-price it","OK")))))))</f>
        <v>0</v>
      </c>
    </row>
    <row r="73" spans="1:38">
      <c r="A73" s="38">
        <f>IF(C73="","",VariationPrefix&amp;TEXT(ROW()-4,"0000"))</f>
        <v>0</v>
      </c>
      <c r="N73" s="13">
        <f>IF(B73="","",IFERROR(INDEX(Products!$B$5:$B$304,MATCH(B73,Products!$A$5:$A$304,0)),"Not found"))</f>
        <v>0</v>
      </c>
      <c r="O73" s="20">
        <f>IF(B73="","",IFERROR(INDEX(Products!$T$5:$T$304,MATCH(B73,Products!$A$5:$A$304,0)),""))</f>
        <v>0</v>
      </c>
      <c r="P73" s="20">
        <f>IF(B73="","",IFERROR(INDEX(Products!$Z$5:$Z$304,MATCH(B73,Products!$A$5:$A$304,0)),""))</f>
        <v>0</v>
      </c>
      <c r="Q73" s="20">
        <f>IF(B73="","",IFERROR(INDEX(Products!$AH$5:$AH$304,MATCH(B73,Products!$A$5:$A$304,0))-INDEX(Products!$T$5:$T$304,MATCH(B73,Products!$A$5:$A$304,0))-INDEX(Products!$Z$5:$Z$304,MATCH(B73,Products!$A$5:$A$304,0)),0))</f>
        <v>0</v>
      </c>
      <c r="R73" s="36">
        <f>IF(B73="","",IFERROR(INDEX(Products!$X$5:$X$304,MATCH(B73,Products!$A$5:$A$304,0)),""))</f>
        <v>0</v>
      </c>
      <c r="S73" s="20">
        <f>IF(B73="","",IFERROR(INDEX(Products!$AR$5:$AR$304,MATCH(B73,Products!$A$5:$A$304,0)),""))</f>
        <v>0</v>
      </c>
      <c r="T73" s="41">
        <f>IF(B73="","",IFERROR(INDEX(SizeMaterialFactors,MATCH(E73,SizeNames,0)),1))</f>
        <v>0</v>
      </c>
      <c r="U73" s="41">
        <f>IF(B73="","",IFERROR(INDEX(SizeTimeFactors,MATCH(E73,SizeNames,0)),1))</f>
        <v>0</v>
      </c>
      <c r="V73" s="33">
        <f>IF(B73="","",IFERROR(INDEX(RushFactors,MATCH(H73,RushNames,0)),0))</f>
        <v>0</v>
      </c>
      <c r="W73" s="20">
        <f>IF(B73="","",ROUND(IF(O73="",0,O73)*T73+IF(F73="",0,F73),2))</f>
        <v>0</v>
      </c>
      <c r="X73" s="36">
        <f>IF(B73="","",ROUND(IF(R73="",0,R73)*U73+IF(G73="",0,G73),1))</f>
        <v>0</v>
      </c>
      <c r="Y73" s="20">
        <f>IF(B73="","",ROUND(IF(P73="",0,P73)*U73+IF(G73="",0,G73)/60*LaborCostHour,2))</f>
        <v>0</v>
      </c>
      <c r="Z73" s="20">
        <f>IF(B73="","",ROUND(W73+Y73+IF(Q73="",0,Q73),2))</f>
        <v>0</v>
      </c>
      <c r="AA73" s="33">
        <f>IF(B73="","",IFERROR(INDEX(Channels!$S$5:$S$18,MATCH(IF(J73="",DefaultChannel,J73),Channels!$A$5:$A$18,0)),0))</f>
        <v>0</v>
      </c>
      <c r="AB73" s="20">
        <f>IF(B73="","",IFERROR(INDEX(Channels!$T$5:$T$18,MATCH(IF(J73="",DefaultChannel,J73),Channels!$A$5:$A$18,0)),0))</f>
        <v>0</v>
      </c>
      <c r="AC73" s="41">
        <f>IF(B73="","",1-TargetRetailMargin-AA73)</f>
        <v>0</v>
      </c>
      <c r="AD73" s="20">
        <f>IF(B73="","",IF(AC73&lt;=0,"",((Z73+AB73)/AC73)*(1+V73)+IF(I73="",0,I73)))</f>
        <v>0</v>
      </c>
      <c r="AE73" s="20">
        <f>IF(B73="","",IF(AD73="","Check the settings",ROUND(IF(RoundingRule="None",AD73,IF(RoundingRule="Nearest 0.99",MAX(0.99,CEILING(AD73,1)-0.01),IF(RoundingRule="Nearest 0.95",MAX(0.95,CEILING(AD73,1)-0.05),IF(RoundingRule="Nearest 0.50",CEILING(AD73,0.5),IF(RoundingRule="Nearest 1",CEILING(AD73,1),IF(RoundingRule="Nearest 5",CEILING(AD73,5),IF(RoundingRule="Up to whole 1",CEILING(AD73,1),IF(RoundingRule="Up to whole 5",CEILING(AD73,5),ROUND(AD73,2))))))))),2)))</f>
        <v>0</v>
      </c>
      <c r="AF73" s="20">
        <f>IF(B73="","",IF(K73&lt;&gt;"",K73,IF(ISNUMBER(AE73),AE73,"")))</f>
        <v>0</v>
      </c>
      <c r="AG73" s="20">
        <f>IF(B73="","",IF(OR(AF73="",S73=""),"",ROUND(AF73-S73,2)))</f>
        <v>0</v>
      </c>
      <c r="AH73" s="20">
        <f>IF(B73="","",IF(AF73="","",ROUND(AF73*AA73+AB73,2)))</f>
        <v>0</v>
      </c>
      <c r="AI73" s="20">
        <f>IF(B73="","",IF(AF73="","",ROUND(AF73-Z73-AH73,2)))</f>
        <v>0</v>
      </c>
      <c r="AJ73" s="33">
        <f>IF(B73="","",IF(OR(AF73="",AF73=0),"",AI73/AF73))</f>
        <v>0</v>
      </c>
      <c r="AK73" s="20">
        <f>IF(B73="","",IF(OR(X73=0,X73="",AI73=""),"",ROUND((AI73+Y73)/(X73/60),2)))</f>
        <v>0</v>
      </c>
      <c r="AL73" s="43">
        <f>IF(B73="","",IF(N73="Not found","Check - no such product ID",IF(AF73="","Check - no price yet",IF(AI73&lt;0,"Loss - this version costs you money",IF(AND(AK73&lt;&gt;"",AK73&lt;MinimumWage),"Below - pays under minimum wage",IF(AND(G73&gt;0,AG73&lt;=0),"Check - extra work, no extra charge",IF(AJ73&lt;MarginWarning,"Low margin - re-price it","OK")))))))</f>
        <v>0</v>
      </c>
    </row>
    <row r="74" spans="1:38">
      <c r="A74" s="38">
        <f>IF(C74="","",VariationPrefix&amp;TEXT(ROW()-4,"0000"))</f>
        <v>0</v>
      </c>
      <c r="N74" s="13">
        <f>IF(B74="","",IFERROR(INDEX(Products!$B$5:$B$304,MATCH(B74,Products!$A$5:$A$304,0)),"Not found"))</f>
        <v>0</v>
      </c>
      <c r="O74" s="20">
        <f>IF(B74="","",IFERROR(INDEX(Products!$T$5:$T$304,MATCH(B74,Products!$A$5:$A$304,0)),""))</f>
        <v>0</v>
      </c>
      <c r="P74" s="20">
        <f>IF(B74="","",IFERROR(INDEX(Products!$Z$5:$Z$304,MATCH(B74,Products!$A$5:$A$304,0)),""))</f>
        <v>0</v>
      </c>
      <c r="Q74" s="20">
        <f>IF(B74="","",IFERROR(INDEX(Products!$AH$5:$AH$304,MATCH(B74,Products!$A$5:$A$304,0))-INDEX(Products!$T$5:$T$304,MATCH(B74,Products!$A$5:$A$304,0))-INDEX(Products!$Z$5:$Z$304,MATCH(B74,Products!$A$5:$A$304,0)),0))</f>
        <v>0</v>
      </c>
      <c r="R74" s="36">
        <f>IF(B74="","",IFERROR(INDEX(Products!$X$5:$X$304,MATCH(B74,Products!$A$5:$A$304,0)),""))</f>
        <v>0</v>
      </c>
      <c r="S74" s="20">
        <f>IF(B74="","",IFERROR(INDEX(Products!$AR$5:$AR$304,MATCH(B74,Products!$A$5:$A$304,0)),""))</f>
        <v>0</v>
      </c>
      <c r="T74" s="41">
        <f>IF(B74="","",IFERROR(INDEX(SizeMaterialFactors,MATCH(E74,SizeNames,0)),1))</f>
        <v>0</v>
      </c>
      <c r="U74" s="41">
        <f>IF(B74="","",IFERROR(INDEX(SizeTimeFactors,MATCH(E74,SizeNames,0)),1))</f>
        <v>0</v>
      </c>
      <c r="V74" s="33">
        <f>IF(B74="","",IFERROR(INDEX(RushFactors,MATCH(H74,RushNames,0)),0))</f>
        <v>0</v>
      </c>
      <c r="W74" s="20">
        <f>IF(B74="","",ROUND(IF(O74="",0,O74)*T74+IF(F74="",0,F74),2))</f>
        <v>0</v>
      </c>
      <c r="X74" s="36">
        <f>IF(B74="","",ROUND(IF(R74="",0,R74)*U74+IF(G74="",0,G74),1))</f>
        <v>0</v>
      </c>
      <c r="Y74" s="20">
        <f>IF(B74="","",ROUND(IF(P74="",0,P74)*U74+IF(G74="",0,G74)/60*LaborCostHour,2))</f>
        <v>0</v>
      </c>
      <c r="Z74" s="20">
        <f>IF(B74="","",ROUND(W74+Y74+IF(Q74="",0,Q74),2))</f>
        <v>0</v>
      </c>
      <c r="AA74" s="33">
        <f>IF(B74="","",IFERROR(INDEX(Channels!$S$5:$S$18,MATCH(IF(J74="",DefaultChannel,J74),Channels!$A$5:$A$18,0)),0))</f>
        <v>0</v>
      </c>
      <c r="AB74" s="20">
        <f>IF(B74="","",IFERROR(INDEX(Channels!$T$5:$T$18,MATCH(IF(J74="",DefaultChannel,J74),Channels!$A$5:$A$18,0)),0))</f>
        <v>0</v>
      </c>
      <c r="AC74" s="41">
        <f>IF(B74="","",1-TargetRetailMargin-AA74)</f>
        <v>0</v>
      </c>
      <c r="AD74" s="20">
        <f>IF(B74="","",IF(AC74&lt;=0,"",((Z74+AB74)/AC74)*(1+V74)+IF(I74="",0,I74)))</f>
        <v>0</v>
      </c>
      <c r="AE74" s="20">
        <f>IF(B74="","",IF(AD74="","Check the settings",ROUND(IF(RoundingRule="None",AD74,IF(RoundingRule="Nearest 0.99",MAX(0.99,CEILING(AD74,1)-0.01),IF(RoundingRule="Nearest 0.95",MAX(0.95,CEILING(AD74,1)-0.05),IF(RoundingRule="Nearest 0.50",CEILING(AD74,0.5),IF(RoundingRule="Nearest 1",CEILING(AD74,1),IF(RoundingRule="Nearest 5",CEILING(AD74,5),IF(RoundingRule="Up to whole 1",CEILING(AD74,1),IF(RoundingRule="Up to whole 5",CEILING(AD74,5),ROUND(AD74,2))))))))),2)))</f>
        <v>0</v>
      </c>
      <c r="AF74" s="20">
        <f>IF(B74="","",IF(K74&lt;&gt;"",K74,IF(ISNUMBER(AE74),AE74,"")))</f>
        <v>0</v>
      </c>
      <c r="AG74" s="20">
        <f>IF(B74="","",IF(OR(AF74="",S74=""),"",ROUND(AF74-S74,2)))</f>
        <v>0</v>
      </c>
      <c r="AH74" s="20">
        <f>IF(B74="","",IF(AF74="","",ROUND(AF74*AA74+AB74,2)))</f>
        <v>0</v>
      </c>
      <c r="AI74" s="20">
        <f>IF(B74="","",IF(AF74="","",ROUND(AF74-Z74-AH74,2)))</f>
        <v>0</v>
      </c>
      <c r="AJ74" s="33">
        <f>IF(B74="","",IF(OR(AF74="",AF74=0),"",AI74/AF74))</f>
        <v>0</v>
      </c>
      <c r="AK74" s="20">
        <f>IF(B74="","",IF(OR(X74=0,X74="",AI74=""),"",ROUND((AI74+Y74)/(X74/60),2)))</f>
        <v>0</v>
      </c>
      <c r="AL74" s="43">
        <f>IF(B74="","",IF(N74="Not found","Check - no such product ID",IF(AF74="","Check - no price yet",IF(AI74&lt;0,"Loss - this version costs you money",IF(AND(AK74&lt;&gt;"",AK74&lt;MinimumWage),"Below - pays under minimum wage",IF(AND(G74&gt;0,AG74&lt;=0),"Check - extra work, no extra charge",IF(AJ74&lt;MarginWarning,"Low margin - re-price it","OK")))))))</f>
        <v>0</v>
      </c>
    </row>
    <row r="75" spans="1:38">
      <c r="A75" s="38">
        <f>IF(C75="","",VariationPrefix&amp;TEXT(ROW()-4,"0000"))</f>
        <v>0</v>
      </c>
      <c r="N75" s="13">
        <f>IF(B75="","",IFERROR(INDEX(Products!$B$5:$B$304,MATCH(B75,Products!$A$5:$A$304,0)),"Not found"))</f>
        <v>0</v>
      </c>
      <c r="O75" s="20">
        <f>IF(B75="","",IFERROR(INDEX(Products!$T$5:$T$304,MATCH(B75,Products!$A$5:$A$304,0)),""))</f>
        <v>0</v>
      </c>
      <c r="P75" s="20">
        <f>IF(B75="","",IFERROR(INDEX(Products!$Z$5:$Z$304,MATCH(B75,Products!$A$5:$A$304,0)),""))</f>
        <v>0</v>
      </c>
      <c r="Q75" s="20">
        <f>IF(B75="","",IFERROR(INDEX(Products!$AH$5:$AH$304,MATCH(B75,Products!$A$5:$A$304,0))-INDEX(Products!$T$5:$T$304,MATCH(B75,Products!$A$5:$A$304,0))-INDEX(Products!$Z$5:$Z$304,MATCH(B75,Products!$A$5:$A$304,0)),0))</f>
        <v>0</v>
      </c>
      <c r="R75" s="36">
        <f>IF(B75="","",IFERROR(INDEX(Products!$X$5:$X$304,MATCH(B75,Products!$A$5:$A$304,0)),""))</f>
        <v>0</v>
      </c>
      <c r="S75" s="20">
        <f>IF(B75="","",IFERROR(INDEX(Products!$AR$5:$AR$304,MATCH(B75,Products!$A$5:$A$304,0)),""))</f>
        <v>0</v>
      </c>
      <c r="T75" s="41">
        <f>IF(B75="","",IFERROR(INDEX(SizeMaterialFactors,MATCH(E75,SizeNames,0)),1))</f>
        <v>0</v>
      </c>
      <c r="U75" s="41">
        <f>IF(B75="","",IFERROR(INDEX(SizeTimeFactors,MATCH(E75,SizeNames,0)),1))</f>
        <v>0</v>
      </c>
      <c r="V75" s="33">
        <f>IF(B75="","",IFERROR(INDEX(RushFactors,MATCH(H75,RushNames,0)),0))</f>
        <v>0</v>
      </c>
      <c r="W75" s="20">
        <f>IF(B75="","",ROUND(IF(O75="",0,O75)*T75+IF(F75="",0,F75),2))</f>
        <v>0</v>
      </c>
      <c r="X75" s="36">
        <f>IF(B75="","",ROUND(IF(R75="",0,R75)*U75+IF(G75="",0,G75),1))</f>
        <v>0</v>
      </c>
      <c r="Y75" s="20">
        <f>IF(B75="","",ROUND(IF(P75="",0,P75)*U75+IF(G75="",0,G75)/60*LaborCostHour,2))</f>
        <v>0</v>
      </c>
      <c r="Z75" s="20">
        <f>IF(B75="","",ROUND(W75+Y75+IF(Q75="",0,Q75),2))</f>
        <v>0</v>
      </c>
      <c r="AA75" s="33">
        <f>IF(B75="","",IFERROR(INDEX(Channels!$S$5:$S$18,MATCH(IF(J75="",DefaultChannel,J75),Channels!$A$5:$A$18,0)),0))</f>
        <v>0</v>
      </c>
      <c r="AB75" s="20">
        <f>IF(B75="","",IFERROR(INDEX(Channels!$T$5:$T$18,MATCH(IF(J75="",DefaultChannel,J75),Channels!$A$5:$A$18,0)),0))</f>
        <v>0</v>
      </c>
      <c r="AC75" s="41">
        <f>IF(B75="","",1-TargetRetailMargin-AA75)</f>
        <v>0</v>
      </c>
      <c r="AD75" s="20">
        <f>IF(B75="","",IF(AC75&lt;=0,"",((Z75+AB75)/AC75)*(1+V75)+IF(I75="",0,I75)))</f>
        <v>0</v>
      </c>
      <c r="AE75" s="20">
        <f>IF(B75="","",IF(AD75="","Check the settings",ROUND(IF(RoundingRule="None",AD75,IF(RoundingRule="Nearest 0.99",MAX(0.99,CEILING(AD75,1)-0.01),IF(RoundingRule="Nearest 0.95",MAX(0.95,CEILING(AD75,1)-0.05),IF(RoundingRule="Nearest 0.50",CEILING(AD75,0.5),IF(RoundingRule="Nearest 1",CEILING(AD75,1),IF(RoundingRule="Nearest 5",CEILING(AD75,5),IF(RoundingRule="Up to whole 1",CEILING(AD75,1),IF(RoundingRule="Up to whole 5",CEILING(AD75,5),ROUND(AD75,2))))))))),2)))</f>
        <v>0</v>
      </c>
      <c r="AF75" s="20">
        <f>IF(B75="","",IF(K75&lt;&gt;"",K75,IF(ISNUMBER(AE75),AE75,"")))</f>
        <v>0</v>
      </c>
      <c r="AG75" s="20">
        <f>IF(B75="","",IF(OR(AF75="",S75=""),"",ROUND(AF75-S75,2)))</f>
        <v>0</v>
      </c>
      <c r="AH75" s="20">
        <f>IF(B75="","",IF(AF75="","",ROUND(AF75*AA75+AB75,2)))</f>
        <v>0</v>
      </c>
      <c r="AI75" s="20">
        <f>IF(B75="","",IF(AF75="","",ROUND(AF75-Z75-AH75,2)))</f>
        <v>0</v>
      </c>
      <c r="AJ75" s="33">
        <f>IF(B75="","",IF(OR(AF75="",AF75=0),"",AI75/AF75))</f>
        <v>0</v>
      </c>
      <c r="AK75" s="20">
        <f>IF(B75="","",IF(OR(X75=0,X75="",AI75=""),"",ROUND((AI75+Y75)/(X75/60),2)))</f>
        <v>0</v>
      </c>
      <c r="AL75" s="43">
        <f>IF(B75="","",IF(N75="Not found","Check - no such product ID",IF(AF75="","Check - no price yet",IF(AI75&lt;0,"Loss - this version costs you money",IF(AND(AK75&lt;&gt;"",AK75&lt;MinimumWage),"Below - pays under minimum wage",IF(AND(G75&gt;0,AG75&lt;=0),"Check - extra work, no extra charge",IF(AJ75&lt;MarginWarning,"Low margin - re-price it","OK")))))))</f>
        <v>0</v>
      </c>
    </row>
    <row r="76" spans="1:38">
      <c r="A76" s="38">
        <f>IF(C76="","",VariationPrefix&amp;TEXT(ROW()-4,"0000"))</f>
        <v>0</v>
      </c>
      <c r="N76" s="13">
        <f>IF(B76="","",IFERROR(INDEX(Products!$B$5:$B$304,MATCH(B76,Products!$A$5:$A$304,0)),"Not found"))</f>
        <v>0</v>
      </c>
      <c r="O76" s="20">
        <f>IF(B76="","",IFERROR(INDEX(Products!$T$5:$T$304,MATCH(B76,Products!$A$5:$A$304,0)),""))</f>
        <v>0</v>
      </c>
      <c r="P76" s="20">
        <f>IF(B76="","",IFERROR(INDEX(Products!$Z$5:$Z$304,MATCH(B76,Products!$A$5:$A$304,0)),""))</f>
        <v>0</v>
      </c>
      <c r="Q76" s="20">
        <f>IF(B76="","",IFERROR(INDEX(Products!$AH$5:$AH$304,MATCH(B76,Products!$A$5:$A$304,0))-INDEX(Products!$T$5:$T$304,MATCH(B76,Products!$A$5:$A$304,0))-INDEX(Products!$Z$5:$Z$304,MATCH(B76,Products!$A$5:$A$304,0)),0))</f>
        <v>0</v>
      </c>
      <c r="R76" s="36">
        <f>IF(B76="","",IFERROR(INDEX(Products!$X$5:$X$304,MATCH(B76,Products!$A$5:$A$304,0)),""))</f>
        <v>0</v>
      </c>
      <c r="S76" s="20">
        <f>IF(B76="","",IFERROR(INDEX(Products!$AR$5:$AR$304,MATCH(B76,Products!$A$5:$A$304,0)),""))</f>
        <v>0</v>
      </c>
      <c r="T76" s="41">
        <f>IF(B76="","",IFERROR(INDEX(SizeMaterialFactors,MATCH(E76,SizeNames,0)),1))</f>
        <v>0</v>
      </c>
      <c r="U76" s="41">
        <f>IF(B76="","",IFERROR(INDEX(SizeTimeFactors,MATCH(E76,SizeNames,0)),1))</f>
        <v>0</v>
      </c>
      <c r="V76" s="33">
        <f>IF(B76="","",IFERROR(INDEX(RushFactors,MATCH(H76,RushNames,0)),0))</f>
        <v>0</v>
      </c>
      <c r="W76" s="20">
        <f>IF(B76="","",ROUND(IF(O76="",0,O76)*T76+IF(F76="",0,F76),2))</f>
        <v>0</v>
      </c>
      <c r="X76" s="36">
        <f>IF(B76="","",ROUND(IF(R76="",0,R76)*U76+IF(G76="",0,G76),1))</f>
        <v>0</v>
      </c>
      <c r="Y76" s="20">
        <f>IF(B76="","",ROUND(IF(P76="",0,P76)*U76+IF(G76="",0,G76)/60*LaborCostHour,2))</f>
        <v>0</v>
      </c>
      <c r="Z76" s="20">
        <f>IF(B76="","",ROUND(W76+Y76+IF(Q76="",0,Q76),2))</f>
        <v>0</v>
      </c>
      <c r="AA76" s="33">
        <f>IF(B76="","",IFERROR(INDEX(Channels!$S$5:$S$18,MATCH(IF(J76="",DefaultChannel,J76),Channels!$A$5:$A$18,0)),0))</f>
        <v>0</v>
      </c>
      <c r="AB76" s="20">
        <f>IF(B76="","",IFERROR(INDEX(Channels!$T$5:$T$18,MATCH(IF(J76="",DefaultChannel,J76),Channels!$A$5:$A$18,0)),0))</f>
        <v>0</v>
      </c>
      <c r="AC76" s="41">
        <f>IF(B76="","",1-TargetRetailMargin-AA76)</f>
        <v>0</v>
      </c>
      <c r="AD76" s="20">
        <f>IF(B76="","",IF(AC76&lt;=0,"",((Z76+AB76)/AC76)*(1+V76)+IF(I76="",0,I76)))</f>
        <v>0</v>
      </c>
      <c r="AE76" s="20">
        <f>IF(B76="","",IF(AD76="","Check the settings",ROUND(IF(RoundingRule="None",AD76,IF(RoundingRule="Nearest 0.99",MAX(0.99,CEILING(AD76,1)-0.01),IF(RoundingRule="Nearest 0.95",MAX(0.95,CEILING(AD76,1)-0.05),IF(RoundingRule="Nearest 0.50",CEILING(AD76,0.5),IF(RoundingRule="Nearest 1",CEILING(AD76,1),IF(RoundingRule="Nearest 5",CEILING(AD76,5),IF(RoundingRule="Up to whole 1",CEILING(AD76,1),IF(RoundingRule="Up to whole 5",CEILING(AD76,5),ROUND(AD76,2))))))))),2)))</f>
        <v>0</v>
      </c>
      <c r="AF76" s="20">
        <f>IF(B76="","",IF(K76&lt;&gt;"",K76,IF(ISNUMBER(AE76),AE76,"")))</f>
        <v>0</v>
      </c>
      <c r="AG76" s="20">
        <f>IF(B76="","",IF(OR(AF76="",S76=""),"",ROUND(AF76-S76,2)))</f>
        <v>0</v>
      </c>
      <c r="AH76" s="20">
        <f>IF(B76="","",IF(AF76="","",ROUND(AF76*AA76+AB76,2)))</f>
        <v>0</v>
      </c>
      <c r="AI76" s="20">
        <f>IF(B76="","",IF(AF76="","",ROUND(AF76-Z76-AH76,2)))</f>
        <v>0</v>
      </c>
      <c r="AJ76" s="33">
        <f>IF(B76="","",IF(OR(AF76="",AF76=0),"",AI76/AF76))</f>
        <v>0</v>
      </c>
      <c r="AK76" s="20">
        <f>IF(B76="","",IF(OR(X76=0,X76="",AI76=""),"",ROUND((AI76+Y76)/(X76/60),2)))</f>
        <v>0</v>
      </c>
      <c r="AL76" s="43">
        <f>IF(B76="","",IF(N76="Not found","Check - no such product ID",IF(AF76="","Check - no price yet",IF(AI76&lt;0,"Loss - this version costs you money",IF(AND(AK76&lt;&gt;"",AK76&lt;MinimumWage),"Below - pays under minimum wage",IF(AND(G76&gt;0,AG76&lt;=0),"Check - extra work, no extra charge",IF(AJ76&lt;MarginWarning,"Low margin - re-price it","OK")))))))</f>
        <v>0</v>
      </c>
    </row>
    <row r="77" spans="1:38">
      <c r="A77" s="38">
        <f>IF(C77="","",VariationPrefix&amp;TEXT(ROW()-4,"0000"))</f>
        <v>0</v>
      </c>
      <c r="N77" s="13">
        <f>IF(B77="","",IFERROR(INDEX(Products!$B$5:$B$304,MATCH(B77,Products!$A$5:$A$304,0)),"Not found"))</f>
        <v>0</v>
      </c>
      <c r="O77" s="20">
        <f>IF(B77="","",IFERROR(INDEX(Products!$T$5:$T$304,MATCH(B77,Products!$A$5:$A$304,0)),""))</f>
        <v>0</v>
      </c>
      <c r="P77" s="20">
        <f>IF(B77="","",IFERROR(INDEX(Products!$Z$5:$Z$304,MATCH(B77,Products!$A$5:$A$304,0)),""))</f>
        <v>0</v>
      </c>
      <c r="Q77" s="20">
        <f>IF(B77="","",IFERROR(INDEX(Products!$AH$5:$AH$304,MATCH(B77,Products!$A$5:$A$304,0))-INDEX(Products!$T$5:$T$304,MATCH(B77,Products!$A$5:$A$304,0))-INDEX(Products!$Z$5:$Z$304,MATCH(B77,Products!$A$5:$A$304,0)),0))</f>
        <v>0</v>
      </c>
      <c r="R77" s="36">
        <f>IF(B77="","",IFERROR(INDEX(Products!$X$5:$X$304,MATCH(B77,Products!$A$5:$A$304,0)),""))</f>
        <v>0</v>
      </c>
      <c r="S77" s="20">
        <f>IF(B77="","",IFERROR(INDEX(Products!$AR$5:$AR$304,MATCH(B77,Products!$A$5:$A$304,0)),""))</f>
        <v>0</v>
      </c>
      <c r="T77" s="41">
        <f>IF(B77="","",IFERROR(INDEX(SizeMaterialFactors,MATCH(E77,SizeNames,0)),1))</f>
        <v>0</v>
      </c>
      <c r="U77" s="41">
        <f>IF(B77="","",IFERROR(INDEX(SizeTimeFactors,MATCH(E77,SizeNames,0)),1))</f>
        <v>0</v>
      </c>
      <c r="V77" s="33">
        <f>IF(B77="","",IFERROR(INDEX(RushFactors,MATCH(H77,RushNames,0)),0))</f>
        <v>0</v>
      </c>
      <c r="W77" s="20">
        <f>IF(B77="","",ROUND(IF(O77="",0,O77)*T77+IF(F77="",0,F77),2))</f>
        <v>0</v>
      </c>
      <c r="X77" s="36">
        <f>IF(B77="","",ROUND(IF(R77="",0,R77)*U77+IF(G77="",0,G77),1))</f>
        <v>0</v>
      </c>
      <c r="Y77" s="20">
        <f>IF(B77="","",ROUND(IF(P77="",0,P77)*U77+IF(G77="",0,G77)/60*LaborCostHour,2))</f>
        <v>0</v>
      </c>
      <c r="Z77" s="20">
        <f>IF(B77="","",ROUND(W77+Y77+IF(Q77="",0,Q77),2))</f>
        <v>0</v>
      </c>
      <c r="AA77" s="33">
        <f>IF(B77="","",IFERROR(INDEX(Channels!$S$5:$S$18,MATCH(IF(J77="",DefaultChannel,J77),Channels!$A$5:$A$18,0)),0))</f>
        <v>0</v>
      </c>
      <c r="AB77" s="20">
        <f>IF(B77="","",IFERROR(INDEX(Channels!$T$5:$T$18,MATCH(IF(J77="",DefaultChannel,J77),Channels!$A$5:$A$18,0)),0))</f>
        <v>0</v>
      </c>
      <c r="AC77" s="41">
        <f>IF(B77="","",1-TargetRetailMargin-AA77)</f>
        <v>0</v>
      </c>
      <c r="AD77" s="20">
        <f>IF(B77="","",IF(AC77&lt;=0,"",((Z77+AB77)/AC77)*(1+V77)+IF(I77="",0,I77)))</f>
        <v>0</v>
      </c>
      <c r="AE77" s="20">
        <f>IF(B77="","",IF(AD77="","Check the settings",ROUND(IF(RoundingRule="None",AD77,IF(RoundingRule="Nearest 0.99",MAX(0.99,CEILING(AD77,1)-0.01),IF(RoundingRule="Nearest 0.95",MAX(0.95,CEILING(AD77,1)-0.05),IF(RoundingRule="Nearest 0.50",CEILING(AD77,0.5),IF(RoundingRule="Nearest 1",CEILING(AD77,1),IF(RoundingRule="Nearest 5",CEILING(AD77,5),IF(RoundingRule="Up to whole 1",CEILING(AD77,1),IF(RoundingRule="Up to whole 5",CEILING(AD77,5),ROUND(AD77,2))))))))),2)))</f>
        <v>0</v>
      </c>
      <c r="AF77" s="20">
        <f>IF(B77="","",IF(K77&lt;&gt;"",K77,IF(ISNUMBER(AE77),AE77,"")))</f>
        <v>0</v>
      </c>
      <c r="AG77" s="20">
        <f>IF(B77="","",IF(OR(AF77="",S77=""),"",ROUND(AF77-S77,2)))</f>
        <v>0</v>
      </c>
      <c r="AH77" s="20">
        <f>IF(B77="","",IF(AF77="","",ROUND(AF77*AA77+AB77,2)))</f>
        <v>0</v>
      </c>
      <c r="AI77" s="20">
        <f>IF(B77="","",IF(AF77="","",ROUND(AF77-Z77-AH77,2)))</f>
        <v>0</v>
      </c>
      <c r="AJ77" s="33">
        <f>IF(B77="","",IF(OR(AF77="",AF77=0),"",AI77/AF77))</f>
        <v>0</v>
      </c>
      <c r="AK77" s="20">
        <f>IF(B77="","",IF(OR(X77=0,X77="",AI77=""),"",ROUND((AI77+Y77)/(X77/60),2)))</f>
        <v>0</v>
      </c>
      <c r="AL77" s="43">
        <f>IF(B77="","",IF(N77="Not found","Check - no such product ID",IF(AF77="","Check - no price yet",IF(AI77&lt;0,"Loss - this version costs you money",IF(AND(AK77&lt;&gt;"",AK77&lt;MinimumWage),"Below - pays under minimum wage",IF(AND(G77&gt;0,AG77&lt;=0),"Check - extra work, no extra charge",IF(AJ77&lt;MarginWarning,"Low margin - re-price it","OK")))))))</f>
        <v>0</v>
      </c>
    </row>
    <row r="78" spans="1:38">
      <c r="A78" s="38">
        <f>IF(C78="","",VariationPrefix&amp;TEXT(ROW()-4,"0000"))</f>
        <v>0</v>
      </c>
      <c r="N78" s="13">
        <f>IF(B78="","",IFERROR(INDEX(Products!$B$5:$B$304,MATCH(B78,Products!$A$5:$A$304,0)),"Not found"))</f>
        <v>0</v>
      </c>
      <c r="O78" s="20">
        <f>IF(B78="","",IFERROR(INDEX(Products!$T$5:$T$304,MATCH(B78,Products!$A$5:$A$304,0)),""))</f>
        <v>0</v>
      </c>
      <c r="P78" s="20">
        <f>IF(B78="","",IFERROR(INDEX(Products!$Z$5:$Z$304,MATCH(B78,Products!$A$5:$A$304,0)),""))</f>
        <v>0</v>
      </c>
      <c r="Q78" s="20">
        <f>IF(B78="","",IFERROR(INDEX(Products!$AH$5:$AH$304,MATCH(B78,Products!$A$5:$A$304,0))-INDEX(Products!$T$5:$T$304,MATCH(B78,Products!$A$5:$A$304,0))-INDEX(Products!$Z$5:$Z$304,MATCH(B78,Products!$A$5:$A$304,0)),0))</f>
        <v>0</v>
      </c>
      <c r="R78" s="36">
        <f>IF(B78="","",IFERROR(INDEX(Products!$X$5:$X$304,MATCH(B78,Products!$A$5:$A$304,0)),""))</f>
        <v>0</v>
      </c>
      <c r="S78" s="20">
        <f>IF(B78="","",IFERROR(INDEX(Products!$AR$5:$AR$304,MATCH(B78,Products!$A$5:$A$304,0)),""))</f>
        <v>0</v>
      </c>
      <c r="T78" s="41">
        <f>IF(B78="","",IFERROR(INDEX(SizeMaterialFactors,MATCH(E78,SizeNames,0)),1))</f>
        <v>0</v>
      </c>
      <c r="U78" s="41">
        <f>IF(B78="","",IFERROR(INDEX(SizeTimeFactors,MATCH(E78,SizeNames,0)),1))</f>
        <v>0</v>
      </c>
      <c r="V78" s="33">
        <f>IF(B78="","",IFERROR(INDEX(RushFactors,MATCH(H78,RushNames,0)),0))</f>
        <v>0</v>
      </c>
      <c r="W78" s="20">
        <f>IF(B78="","",ROUND(IF(O78="",0,O78)*T78+IF(F78="",0,F78),2))</f>
        <v>0</v>
      </c>
      <c r="X78" s="36">
        <f>IF(B78="","",ROUND(IF(R78="",0,R78)*U78+IF(G78="",0,G78),1))</f>
        <v>0</v>
      </c>
      <c r="Y78" s="20">
        <f>IF(B78="","",ROUND(IF(P78="",0,P78)*U78+IF(G78="",0,G78)/60*LaborCostHour,2))</f>
        <v>0</v>
      </c>
      <c r="Z78" s="20">
        <f>IF(B78="","",ROUND(W78+Y78+IF(Q78="",0,Q78),2))</f>
        <v>0</v>
      </c>
      <c r="AA78" s="33">
        <f>IF(B78="","",IFERROR(INDEX(Channels!$S$5:$S$18,MATCH(IF(J78="",DefaultChannel,J78),Channels!$A$5:$A$18,0)),0))</f>
        <v>0</v>
      </c>
      <c r="AB78" s="20">
        <f>IF(B78="","",IFERROR(INDEX(Channels!$T$5:$T$18,MATCH(IF(J78="",DefaultChannel,J78),Channels!$A$5:$A$18,0)),0))</f>
        <v>0</v>
      </c>
      <c r="AC78" s="41">
        <f>IF(B78="","",1-TargetRetailMargin-AA78)</f>
        <v>0</v>
      </c>
      <c r="AD78" s="20">
        <f>IF(B78="","",IF(AC78&lt;=0,"",((Z78+AB78)/AC78)*(1+V78)+IF(I78="",0,I78)))</f>
        <v>0</v>
      </c>
      <c r="AE78" s="20">
        <f>IF(B78="","",IF(AD78="","Check the settings",ROUND(IF(RoundingRule="None",AD78,IF(RoundingRule="Nearest 0.99",MAX(0.99,CEILING(AD78,1)-0.01),IF(RoundingRule="Nearest 0.95",MAX(0.95,CEILING(AD78,1)-0.05),IF(RoundingRule="Nearest 0.50",CEILING(AD78,0.5),IF(RoundingRule="Nearest 1",CEILING(AD78,1),IF(RoundingRule="Nearest 5",CEILING(AD78,5),IF(RoundingRule="Up to whole 1",CEILING(AD78,1),IF(RoundingRule="Up to whole 5",CEILING(AD78,5),ROUND(AD78,2))))))))),2)))</f>
        <v>0</v>
      </c>
      <c r="AF78" s="20">
        <f>IF(B78="","",IF(K78&lt;&gt;"",K78,IF(ISNUMBER(AE78),AE78,"")))</f>
        <v>0</v>
      </c>
      <c r="AG78" s="20">
        <f>IF(B78="","",IF(OR(AF78="",S78=""),"",ROUND(AF78-S78,2)))</f>
        <v>0</v>
      </c>
      <c r="AH78" s="20">
        <f>IF(B78="","",IF(AF78="","",ROUND(AF78*AA78+AB78,2)))</f>
        <v>0</v>
      </c>
      <c r="AI78" s="20">
        <f>IF(B78="","",IF(AF78="","",ROUND(AF78-Z78-AH78,2)))</f>
        <v>0</v>
      </c>
      <c r="AJ78" s="33">
        <f>IF(B78="","",IF(OR(AF78="",AF78=0),"",AI78/AF78))</f>
        <v>0</v>
      </c>
      <c r="AK78" s="20">
        <f>IF(B78="","",IF(OR(X78=0,X78="",AI78=""),"",ROUND((AI78+Y78)/(X78/60),2)))</f>
        <v>0</v>
      </c>
      <c r="AL78" s="43">
        <f>IF(B78="","",IF(N78="Not found","Check - no such product ID",IF(AF78="","Check - no price yet",IF(AI78&lt;0,"Loss - this version costs you money",IF(AND(AK78&lt;&gt;"",AK78&lt;MinimumWage),"Below - pays under minimum wage",IF(AND(G78&gt;0,AG78&lt;=0),"Check - extra work, no extra charge",IF(AJ78&lt;MarginWarning,"Low margin - re-price it","OK")))))))</f>
        <v>0</v>
      </c>
    </row>
    <row r="79" spans="1:38">
      <c r="A79" s="38">
        <f>IF(C79="","",VariationPrefix&amp;TEXT(ROW()-4,"0000"))</f>
        <v>0</v>
      </c>
      <c r="N79" s="13">
        <f>IF(B79="","",IFERROR(INDEX(Products!$B$5:$B$304,MATCH(B79,Products!$A$5:$A$304,0)),"Not found"))</f>
        <v>0</v>
      </c>
      <c r="O79" s="20">
        <f>IF(B79="","",IFERROR(INDEX(Products!$T$5:$T$304,MATCH(B79,Products!$A$5:$A$304,0)),""))</f>
        <v>0</v>
      </c>
      <c r="P79" s="20">
        <f>IF(B79="","",IFERROR(INDEX(Products!$Z$5:$Z$304,MATCH(B79,Products!$A$5:$A$304,0)),""))</f>
        <v>0</v>
      </c>
      <c r="Q79" s="20">
        <f>IF(B79="","",IFERROR(INDEX(Products!$AH$5:$AH$304,MATCH(B79,Products!$A$5:$A$304,0))-INDEX(Products!$T$5:$T$304,MATCH(B79,Products!$A$5:$A$304,0))-INDEX(Products!$Z$5:$Z$304,MATCH(B79,Products!$A$5:$A$304,0)),0))</f>
        <v>0</v>
      </c>
      <c r="R79" s="36">
        <f>IF(B79="","",IFERROR(INDEX(Products!$X$5:$X$304,MATCH(B79,Products!$A$5:$A$304,0)),""))</f>
        <v>0</v>
      </c>
      <c r="S79" s="20">
        <f>IF(B79="","",IFERROR(INDEX(Products!$AR$5:$AR$304,MATCH(B79,Products!$A$5:$A$304,0)),""))</f>
        <v>0</v>
      </c>
      <c r="T79" s="41">
        <f>IF(B79="","",IFERROR(INDEX(SizeMaterialFactors,MATCH(E79,SizeNames,0)),1))</f>
        <v>0</v>
      </c>
      <c r="U79" s="41">
        <f>IF(B79="","",IFERROR(INDEX(SizeTimeFactors,MATCH(E79,SizeNames,0)),1))</f>
        <v>0</v>
      </c>
      <c r="V79" s="33">
        <f>IF(B79="","",IFERROR(INDEX(RushFactors,MATCH(H79,RushNames,0)),0))</f>
        <v>0</v>
      </c>
      <c r="W79" s="20">
        <f>IF(B79="","",ROUND(IF(O79="",0,O79)*T79+IF(F79="",0,F79),2))</f>
        <v>0</v>
      </c>
      <c r="X79" s="36">
        <f>IF(B79="","",ROUND(IF(R79="",0,R79)*U79+IF(G79="",0,G79),1))</f>
        <v>0</v>
      </c>
      <c r="Y79" s="20">
        <f>IF(B79="","",ROUND(IF(P79="",0,P79)*U79+IF(G79="",0,G79)/60*LaborCostHour,2))</f>
        <v>0</v>
      </c>
      <c r="Z79" s="20">
        <f>IF(B79="","",ROUND(W79+Y79+IF(Q79="",0,Q79),2))</f>
        <v>0</v>
      </c>
      <c r="AA79" s="33">
        <f>IF(B79="","",IFERROR(INDEX(Channels!$S$5:$S$18,MATCH(IF(J79="",DefaultChannel,J79),Channels!$A$5:$A$18,0)),0))</f>
        <v>0</v>
      </c>
      <c r="AB79" s="20">
        <f>IF(B79="","",IFERROR(INDEX(Channels!$T$5:$T$18,MATCH(IF(J79="",DefaultChannel,J79),Channels!$A$5:$A$18,0)),0))</f>
        <v>0</v>
      </c>
      <c r="AC79" s="41">
        <f>IF(B79="","",1-TargetRetailMargin-AA79)</f>
        <v>0</v>
      </c>
      <c r="AD79" s="20">
        <f>IF(B79="","",IF(AC79&lt;=0,"",((Z79+AB79)/AC79)*(1+V79)+IF(I79="",0,I79)))</f>
        <v>0</v>
      </c>
      <c r="AE79" s="20">
        <f>IF(B79="","",IF(AD79="","Check the settings",ROUND(IF(RoundingRule="None",AD79,IF(RoundingRule="Nearest 0.99",MAX(0.99,CEILING(AD79,1)-0.01),IF(RoundingRule="Nearest 0.95",MAX(0.95,CEILING(AD79,1)-0.05),IF(RoundingRule="Nearest 0.50",CEILING(AD79,0.5),IF(RoundingRule="Nearest 1",CEILING(AD79,1),IF(RoundingRule="Nearest 5",CEILING(AD79,5),IF(RoundingRule="Up to whole 1",CEILING(AD79,1),IF(RoundingRule="Up to whole 5",CEILING(AD79,5),ROUND(AD79,2))))))))),2)))</f>
        <v>0</v>
      </c>
      <c r="AF79" s="20">
        <f>IF(B79="","",IF(K79&lt;&gt;"",K79,IF(ISNUMBER(AE79),AE79,"")))</f>
        <v>0</v>
      </c>
      <c r="AG79" s="20">
        <f>IF(B79="","",IF(OR(AF79="",S79=""),"",ROUND(AF79-S79,2)))</f>
        <v>0</v>
      </c>
      <c r="AH79" s="20">
        <f>IF(B79="","",IF(AF79="","",ROUND(AF79*AA79+AB79,2)))</f>
        <v>0</v>
      </c>
      <c r="AI79" s="20">
        <f>IF(B79="","",IF(AF79="","",ROUND(AF79-Z79-AH79,2)))</f>
        <v>0</v>
      </c>
      <c r="AJ79" s="33">
        <f>IF(B79="","",IF(OR(AF79="",AF79=0),"",AI79/AF79))</f>
        <v>0</v>
      </c>
      <c r="AK79" s="20">
        <f>IF(B79="","",IF(OR(X79=0,X79="",AI79=""),"",ROUND((AI79+Y79)/(X79/60),2)))</f>
        <v>0</v>
      </c>
      <c r="AL79" s="43">
        <f>IF(B79="","",IF(N79="Not found","Check - no such product ID",IF(AF79="","Check - no price yet",IF(AI79&lt;0,"Loss - this version costs you money",IF(AND(AK79&lt;&gt;"",AK79&lt;MinimumWage),"Below - pays under minimum wage",IF(AND(G79&gt;0,AG79&lt;=0),"Check - extra work, no extra charge",IF(AJ79&lt;MarginWarning,"Low margin - re-price it","OK")))))))</f>
        <v>0</v>
      </c>
    </row>
    <row r="80" spans="1:38">
      <c r="A80" s="38">
        <f>IF(C80="","",VariationPrefix&amp;TEXT(ROW()-4,"0000"))</f>
        <v>0</v>
      </c>
      <c r="N80" s="13">
        <f>IF(B80="","",IFERROR(INDEX(Products!$B$5:$B$304,MATCH(B80,Products!$A$5:$A$304,0)),"Not found"))</f>
        <v>0</v>
      </c>
      <c r="O80" s="20">
        <f>IF(B80="","",IFERROR(INDEX(Products!$T$5:$T$304,MATCH(B80,Products!$A$5:$A$304,0)),""))</f>
        <v>0</v>
      </c>
      <c r="P80" s="20">
        <f>IF(B80="","",IFERROR(INDEX(Products!$Z$5:$Z$304,MATCH(B80,Products!$A$5:$A$304,0)),""))</f>
        <v>0</v>
      </c>
      <c r="Q80" s="20">
        <f>IF(B80="","",IFERROR(INDEX(Products!$AH$5:$AH$304,MATCH(B80,Products!$A$5:$A$304,0))-INDEX(Products!$T$5:$T$304,MATCH(B80,Products!$A$5:$A$304,0))-INDEX(Products!$Z$5:$Z$304,MATCH(B80,Products!$A$5:$A$304,0)),0))</f>
        <v>0</v>
      </c>
      <c r="R80" s="36">
        <f>IF(B80="","",IFERROR(INDEX(Products!$X$5:$X$304,MATCH(B80,Products!$A$5:$A$304,0)),""))</f>
        <v>0</v>
      </c>
      <c r="S80" s="20">
        <f>IF(B80="","",IFERROR(INDEX(Products!$AR$5:$AR$304,MATCH(B80,Products!$A$5:$A$304,0)),""))</f>
        <v>0</v>
      </c>
      <c r="T80" s="41">
        <f>IF(B80="","",IFERROR(INDEX(SizeMaterialFactors,MATCH(E80,SizeNames,0)),1))</f>
        <v>0</v>
      </c>
      <c r="U80" s="41">
        <f>IF(B80="","",IFERROR(INDEX(SizeTimeFactors,MATCH(E80,SizeNames,0)),1))</f>
        <v>0</v>
      </c>
      <c r="V80" s="33">
        <f>IF(B80="","",IFERROR(INDEX(RushFactors,MATCH(H80,RushNames,0)),0))</f>
        <v>0</v>
      </c>
      <c r="W80" s="20">
        <f>IF(B80="","",ROUND(IF(O80="",0,O80)*T80+IF(F80="",0,F80),2))</f>
        <v>0</v>
      </c>
      <c r="X80" s="36">
        <f>IF(B80="","",ROUND(IF(R80="",0,R80)*U80+IF(G80="",0,G80),1))</f>
        <v>0</v>
      </c>
      <c r="Y80" s="20">
        <f>IF(B80="","",ROUND(IF(P80="",0,P80)*U80+IF(G80="",0,G80)/60*LaborCostHour,2))</f>
        <v>0</v>
      </c>
      <c r="Z80" s="20">
        <f>IF(B80="","",ROUND(W80+Y80+IF(Q80="",0,Q80),2))</f>
        <v>0</v>
      </c>
      <c r="AA80" s="33">
        <f>IF(B80="","",IFERROR(INDEX(Channels!$S$5:$S$18,MATCH(IF(J80="",DefaultChannel,J80),Channels!$A$5:$A$18,0)),0))</f>
        <v>0</v>
      </c>
      <c r="AB80" s="20">
        <f>IF(B80="","",IFERROR(INDEX(Channels!$T$5:$T$18,MATCH(IF(J80="",DefaultChannel,J80),Channels!$A$5:$A$18,0)),0))</f>
        <v>0</v>
      </c>
      <c r="AC80" s="41">
        <f>IF(B80="","",1-TargetRetailMargin-AA80)</f>
        <v>0</v>
      </c>
      <c r="AD80" s="20">
        <f>IF(B80="","",IF(AC80&lt;=0,"",((Z80+AB80)/AC80)*(1+V80)+IF(I80="",0,I80)))</f>
        <v>0</v>
      </c>
      <c r="AE80" s="20">
        <f>IF(B80="","",IF(AD80="","Check the settings",ROUND(IF(RoundingRule="None",AD80,IF(RoundingRule="Nearest 0.99",MAX(0.99,CEILING(AD80,1)-0.01),IF(RoundingRule="Nearest 0.95",MAX(0.95,CEILING(AD80,1)-0.05),IF(RoundingRule="Nearest 0.50",CEILING(AD80,0.5),IF(RoundingRule="Nearest 1",CEILING(AD80,1),IF(RoundingRule="Nearest 5",CEILING(AD80,5),IF(RoundingRule="Up to whole 1",CEILING(AD80,1),IF(RoundingRule="Up to whole 5",CEILING(AD80,5),ROUND(AD80,2))))))))),2)))</f>
        <v>0</v>
      </c>
      <c r="AF80" s="20">
        <f>IF(B80="","",IF(K80&lt;&gt;"",K80,IF(ISNUMBER(AE80),AE80,"")))</f>
        <v>0</v>
      </c>
      <c r="AG80" s="20">
        <f>IF(B80="","",IF(OR(AF80="",S80=""),"",ROUND(AF80-S80,2)))</f>
        <v>0</v>
      </c>
      <c r="AH80" s="20">
        <f>IF(B80="","",IF(AF80="","",ROUND(AF80*AA80+AB80,2)))</f>
        <v>0</v>
      </c>
      <c r="AI80" s="20">
        <f>IF(B80="","",IF(AF80="","",ROUND(AF80-Z80-AH80,2)))</f>
        <v>0</v>
      </c>
      <c r="AJ80" s="33">
        <f>IF(B80="","",IF(OR(AF80="",AF80=0),"",AI80/AF80))</f>
        <v>0</v>
      </c>
      <c r="AK80" s="20">
        <f>IF(B80="","",IF(OR(X80=0,X80="",AI80=""),"",ROUND((AI80+Y80)/(X80/60),2)))</f>
        <v>0</v>
      </c>
      <c r="AL80" s="43">
        <f>IF(B80="","",IF(N80="Not found","Check - no such product ID",IF(AF80="","Check - no price yet",IF(AI80&lt;0,"Loss - this version costs you money",IF(AND(AK80&lt;&gt;"",AK80&lt;MinimumWage),"Below - pays under minimum wage",IF(AND(G80&gt;0,AG80&lt;=0),"Check - extra work, no extra charge",IF(AJ80&lt;MarginWarning,"Low margin - re-price it","OK")))))))</f>
        <v>0</v>
      </c>
    </row>
    <row r="81" spans="1:38">
      <c r="A81" s="38">
        <f>IF(C81="","",VariationPrefix&amp;TEXT(ROW()-4,"0000"))</f>
        <v>0</v>
      </c>
      <c r="N81" s="13">
        <f>IF(B81="","",IFERROR(INDEX(Products!$B$5:$B$304,MATCH(B81,Products!$A$5:$A$304,0)),"Not found"))</f>
        <v>0</v>
      </c>
      <c r="O81" s="20">
        <f>IF(B81="","",IFERROR(INDEX(Products!$T$5:$T$304,MATCH(B81,Products!$A$5:$A$304,0)),""))</f>
        <v>0</v>
      </c>
      <c r="P81" s="20">
        <f>IF(B81="","",IFERROR(INDEX(Products!$Z$5:$Z$304,MATCH(B81,Products!$A$5:$A$304,0)),""))</f>
        <v>0</v>
      </c>
      <c r="Q81" s="20">
        <f>IF(B81="","",IFERROR(INDEX(Products!$AH$5:$AH$304,MATCH(B81,Products!$A$5:$A$304,0))-INDEX(Products!$T$5:$T$304,MATCH(B81,Products!$A$5:$A$304,0))-INDEX(Products!$Z$5:$Z$304,MATCH(B81,Products!$A$5:$A$304,0)),0))</f>
        <v>0</v>
      </c>
      <c r="R81" s="36">
        <f>IF(B81="","",IFERROR(INDEX(Products!$X$5:$X$304,MATCH(B81,Products!$A$5:$A$304,0)),""))</f>
        <v>0</v>
      </c>
      <c r="S81" s="20">
        <f>IF(B81="","",IFERROR(INDEX(Products!$AR$5:$AR$304,MATCH(B81,Products!$A$5:$A$304,0)),""))</f>
        <v>0</v>
      </c>
      <c r="T81" s="41">
        <f>IF(B81="","",IFERROR(INDEX(SizeMaterialFactors,MATCH(E81,SizeNames,0)),1))</f>
        <v>0</v>
      </c>
      <c r="U81" s="41">
        <f>IF(B81="","",IFERROR(INDEX(SizeTimeFactors,MATCH(E81,SizeNames,0)),1))</f>
        <v>0</v>
      </c>
      <c r="V81" s="33">
        <f>IF(B81="","",IFERROR(INDEX(RushFactors,MATCH(H81,RushNames,0)),0))</f>
        <v>0</v>
      </c>
      <c r="W81" s="20">
        <f>IF(B81="","",ROUND(IF(O81="",0,O81)*T81+IF(F81="",0,F81),2))</f>
        <v>0</v>
      </c>
      <c r="X81" s="36">
        <f>IF(B81="","",ROUND(IF(R81="",0,R81)*U81+IF(G81="",0,G81),1))</f>
        <v>0</v>
      </c>
      <c r="Y81" s="20">
        <f>IF(B81="","",ROUND(IF(P81="",0,P81)*U81+IF(G81="",0,G81)/60*LaborCostHour,2))</f>
        <v>0</v>
      </c>
      <c r="Z81" s="20">
        <f>IF(B81="","",ROUND(W81+Y81+IF(Q81="",0,Q81),2))</f>
        <v>0</v>
      </c>
      <c r="AA81" s="33">
        <f>IF(B81="","",IFERROR(INDEX(Channels!$S$5:$S$18,MATCH(IF(J81="",DefaultChannel,J81),Channels!$A$5:$A$18,0)),0))</f>
        <v>0</v>
      </c>
      <c r="AB81" s="20">
        <f>IF(B81="","",IFERROR(INDEX(Channels!$T$5:$T$18,MATCH(IF(J81="",DefaultChannel,J81),Channels!$A$5:$A$18,0)),0))</f>
        <v>0</v>
      </c>
      <c r="AC81" s="41">
        <f>IF(B81="","",1-TargetRetailMargin-AA81)</f>
        <v>0</v>
      </c>
      <c r="AD81" s="20">
        <f>IF(B81="","",IF(AC81&lt;=0,"",((Z81+AB81)/AC81)*(1+V81)+IF(I81="",0,I81)))</f>
        <v>0</v>
      </c>
      <c r="AE81" s="20">
        <f>IF(B81="","",IF(AD81="","Check the settings",ROUND(IF(RoundingRule="None",AD81,IF(RoundingRule="Nearest 0.99",MAX(0.99,CEILING(AD81,1)-0.01),IF(RoundingRule="Nearest 0.95",MAX(0.95,CEILING(AD81,1)-0.05),IF(RoundingRule="Nearest 0.50",CEILING(AD81,0.5),IF(RoundingRule="Nearest 1",CEILING(AD81,1),IF(RoundingRule="Nearest 5",CEILING(AD81,5),IF(RoundingRule="Up to whole 1",CEILING(AD81,1),IF(RoundingRule="Up to whole 5",CEILING(AD81,5),ROUND(AD81,2))))))))),2)))</f>
        <v>0</v>
      </c>
      <c r="AF81" s="20">
        <f>IF(B81="","",IF(K81&lt;&gt;"",K81,IF(ISNUMBER(AE81),AE81,"")))</f>
        <v>0</v>
      </c>
      <c r="AG81" s="20">
        <f>IF(B81="","",IF(OR(AF81="",S81=""),"",ROUND(AF81-S81,2)))</f>
        <v>0</v>
      </c>
      <c r="AH81" s="20">
        <f>IF(B81="","",IF(AF81="","",ROUND(AF81*AA81+AB81,2)))</f>
        <v>0</v>
      </c>
      <c r="AI81" s="20">
        <f>IF(B81="","",IF(AF81="","",ROUND(AF81-Z81-AH81,2)))</f>
        <v>0</v>
      </c>
      <c r="AJ81" s="33">
        <f>IF(B81="","",IF(OR(AF81="",AF81=0),"",AI81/AF81))</f>
        <v>0</v>
      </c>
      <c r="AK81" s="20">
        <f>IF(B81="","",IF(OR(X81=0,X81="",AI81=""),"",ROUND((AI81+Y81)/(X81/60),2)))</f>
        <v>0</v>
      </c>
      <c r="AL81" s="43">
        <f>IF(B81="","",IF(N81="Not found","Check - no such product ID",IF(AF81="","Check - no price yet",IF(AI81&lt;0,"Loss - this version costs you money",IF(AND(AK81&lt;&gt;"",AK81&lt;MinimumWage),"Below - pays under minimum wage",IF(AND(G81&gt;0,AG81&lt;=0),"Check - extra work, no extra charge",IF(AJ81&lt;MarginWarning,"Low margin - re-price it","OK")))))))</f>
        <v>0</v>
      </c>
    </row>
    <row r="82" spans="1:38">
      <c r="A82" s="38">
        <f>IF(C82="","",VariationPrefix&amp;TEXT(ROW()-4,"0000"))</f>
        <v>0</v>
      </c>
      <c r="N82" s="13">
        <f>IF(B82="","",IFERROR(INDEX(Products!$B$5:$B$304,MATCH(B82,Products!$A$5:$A$304,0)),"Not found"))</f>
        <v>0</v>
      </c>
      <c r="O82" s="20">
        <f>IF(B82="","",IFERROR(INDEX(Products!$T$5:$T$304,MATCH(B82,Products!$A$5:$A$304,0)),""))</f>
        <v>0</v>
      </c>
      <c r="P82" s="20">
        <f>IF(B82="","",IFERROR(INDEX(Products!$Z$5:$Z$304,MATCH(B82,Products!$A$5:$A$304,0)),""))</f>
        <v>0</v>
      </c>
      <c r="Q82" s="20">
        <f>IF(B82="","",IFERROR(INDEX(Products!$AH$5:$AH$304,MATCH(B82,Products!$A$5:$A$304,0))-INDEX(Products!$T$5:$T$304,MATCH(B82,Products!$A$5:$A$304,0))-INDEX(Products!$Z$5:$Z$304,MATCH(B82,Products!$A$5:$A$304,0)),0))</f>
        <v>0</v>
      </c>
      <c r="R82" s="36">
        <f>IF(B82="","",IFERROR(INDEX(Products!$X$5:$X$304,MATCH(B82,Products!$A$5:$A$304,0)),""))</f>
        <v>0</v>
      </c>
      <c r="S82" s="20">
        <f>IF(B82="","",IFERROR(INDEX(Products!$AR$5:$AR$304,MATCH(B82,Products!$A$5:$A$304,0)),""))</f>
        <v>0</v>
      </c>
      <c r="T82" s="41">
        <f>IF(B82="","",IFERROR(INDEX(SizeMaterialFactors,MATCH(E82,SizeNames,0)),1))</f>
        <v>0</v>
      </c>
      <c r="U82" s="41">
        <f>IF(B82="","",IFERROR(INDEX(SizeTimeFactors,MATCH(E82,SizeNames,0)),1))</f>
        <v>0</v>
      </c>
      <c r="V82" s="33">
        <f>IF(B82="","",IFERROR(INDEX(RushFactors,MATCH(H82,RushNames,0)),0))</f>
        <v>0</v>
      </c>
      <c r="W82" s="20">
        <f>IF(B82="","",ROUND(IF(O82="",0,O82)*T82+IF(F82="",0,F82),2))</f>
        <v>0</v>
      </c>
      <c r="X82" s="36">
        <f>IF(B82="","",ROUND(IF(R82="",0,R82)*U82+IF(G82="",0,G82),1))</f>
        <v>0</v>
      </c>
      <c r="Y82" s="20">
        <f>IF(B82="","",ROUND(IF(P82="",0,P82)*U82+IF(G82="",0,G82)/60*LaborCostHour,2))</f>
        <v>0</v>
      </c>
      <c r="Z82" s="20">
        <f>IF(B82="","",ROUND(W82+Y82+IF(Q82="",0,Q82),2))</f>
        <v>0</v>
      </c>
      <c r="AA82" s="33">
        <f>IF(B82="","",IFERROR(INDEX(Channels!$S$5:$S$18,MATCH(IF(J82="",DefaultChannel,J82),Channels!$A$5:$A$18,0)),0))</f>
        <v>0</v>
      </c>
      <c r="AB82" s="20">
        <f>IF(B82="","",IFERROR(INDEX(Channels!$T$5:$T$18,MATCH(IF(J82="",DefaultChannel,J82),Channels!$A$5:$A$18,0)),0))</f>
        <v>0</v>
      </c>
      <c r="AC82" s="41">
        <f>IF(B82="","",1-TargetRetailMargin-AA82)</f>
        <v>0</v>
      </c>
      <c r="AD82" s="20">
        <f>IF(B82="","",IF(AC82&lt;=0,"",((Z82+AB82)/AC82)*(1+V82)+IF(I82="",0,I82)))</f>
        <v>0</v>
      </c>
      <c r="AE82" s="20">
        <f>IF(B82="","",IF(AD82="","Check the settings",ROUND(IF(RoundingRule="None",AD82,IF(RoundingRule="Nearest 0.99",MAX(0.99,CEILING(AD82,1)-0.01),IF(RoundingRule="Nearest 0.95",MAX(0.95,CEILING(AD82,1)-0.05),IF(RoundingRule="Nearest 0.50",CEILING(AD82,0.5),IF(RoundingRule="Nearest 1",CEILING(AD82,1),IF(RoundingRule="Nearest 5",CEILING(AD82,5),IF(RoundingRule="Up to whole 1",CEILING(AD82,1),IF(RoundingRule="Up to whole 5",CEILING(AD82,5),ROUND(AD82,2))))))))),2)))</f>
        <v>0</v>
      </c>
      <c r="AF82" s="20">
        <f>IF(B82="","",IF(K82&lt;&gt;"",K82,IF(ISNUMBER(AE82),AE82,"")))</f>
        <v>0</v>
      </c>
      <c r="AG82" s="20">
        <f>IF(B82="","",IF(OR(AF82="",S82=""),"",ROUND(AF82-S82,2)))</f>
        <v>0</v>
      </c>
      <c r="AH82" s="20">
        <f>IF(B82="","",IF(AF82="","",ROUND(AF82*AA82+AB82,2)))</f>
        <v>0</v>
      </c>
      <c r="AI82" s="20">
        <f>IF(B82="","",IF(AF82="","",ROUND(AF82-Z82-AH82,2)))</f>
        <v>0</v>
      </c>
      <c r="AJ82" s="33">
        <f>IF(B82="","",IF(OR(AF82="",AF82=0),"",AI82/AF82))</f>
        <v>0</v>
      </c>
      <c r="AK82" s="20">
        <f>IF(B82="","",IF(OR(X82=0,X82="",AI82=""),"",ROUND((AI82+Y82)/(X82/60),2)))</f>
        <v>0</v>
      </c>
      <c r="AL82" s="43">
        <f>IF(B82="","",IF(N82="Not found","Check - no such product ID",IF(AF82="","Check - no price yet",IF(AI82&lt;0,"Loss - this version costs you money",IF(AND(AK82&lt;&gt;"",AK82&lt;MinimumWage),"Below - pays under minimum wage",IF(AND(G82&gt;0,AG82&lt;=0),"Check - extra work, no extra charge",IF(AJ82&lt;MarginWarning,"Low margin - re-price it","OK")))))))</f>
        <v>0</v>
      </c>
    </row>
    <row r="83" spans="1:38">
      <c r="A83" s="38">
        <f>IF(C83="","",VariationPrefix&amp;TEXT(ROW()-4,"0000"))</f>
        <v>0</v>
      </c>
      <c r="N83" s="13">
        <f>IF(B83="","",IFERROR(INDEX(Products!$B$5:$B$304,MATCH(B83,Products!$A$5:$A$304,0)),"Not found"))</f>
        <v>0</v>
      </c>
      <c r="O83" s="20">
        <f>IF(B83="","",IFERROR(INDEX(Products!$T$5:$T$304,MATCH(B83,Products!$A$5:$A$304,0)),""))</f>
        <v>0</v>
      </c>
      <c r="P83" s="20">
        <f>IF(B83="","",IFERROR(INDEX(Products!$Z$5:$Z$304,MATCH(B83,Products!$A$5:$A$304,0)),""))</f>
        <v>0</v>
      </c>
      <c r="Q83" s="20">
        <f>IF(B83="","",IFERROR(INDEX(Products!$AH$5:$AH$304,MATCH(B83,Products!$A$5:$A$304,0))-INDEX(Products!$T$5:$T$304,MATCH(B83,Products!$A$5:$A$304,0))-INDEX(Products!$Z$5:$Z$304,MATCH(B83,Products!$A$5:$A$304,0)),0))</f>
        <v>0</v>
      </c>
      <c r="R83" s="36">
        <f>IF(B83="","",IFERROR(INDEX(Products!$X$5:$X$304,MATCH(B83,Products!$A$5:$A$304,0)),""))</f>
        <v>0</v>
      </c>
      <c r="S83" s="20">
        <f>IF(B83="","",IFERROR(INDEX(Products!$AR$5:$AR$304,MATCH(B83,Products!$A$5:$A$304,0)),""))</f>
        <v>0</v>
      </c>
      <c r="T83" s="41">
        <f>IF(B83="","",IFERROR(INDEX(SizeMaterialFactors,MATCH(E83,SizeNames,0)),1))</f>
        <v>0</v>
      </c>
      <c r="U83" s="41">
        <f>IF(B83="","",IFERROR(INDEX(SizeTimeFactors,MATCH(E83,SizeNames,0)),1))</f>
        <v>0</v>
      </c>
      <c r="V83" s="33">
        <f>IF(B83="","",IFERROR(INDEX(RushFactors,MATCH(H83,RushNames,0)),0))</f>
        <v>0</v>
      </c>
      <c r="W83" s="20">
        <f>IF(B83="","",ROUND(IF(O83="",0,O83)*T83+IF(F83="",0,F83),2))</f>
        <v>0</v>
      </c>
      <c r="X83" s="36">
        <f>IF(B83="","",ROUND(IF(R83="",0,R83)*U83+IF(G83="",0,G83),1))</f>
        <v>0</v>
      </c>
      <c r="Y83" s="20">
        <f>IF(B83="","",ROUND(IF(P83="",0,P83)*U83+IF(G83="",0,G83)/60*LaborCostHour,2))</f>
        <v>0</v>
      </c>
      <c r="Z83" s="20">
        <f>IF(B83="","",ROUND(W83+Y83+IF(Q83="",0,Q83),2))</f>
        <v>0</v>
      </c>
      <c r="AA83" s="33">
        <f>IF(B83="","",IFERROR(INDEX(Channels!$S$5:$S$18,MATCH(IF(J83="",DefaultChannel,J83),Channels!$A$5:$A$18,0)),0))</f>
        <v>0</v>
      </c>
      <c r="AB83" s="20">
        <f>IF(B83="","",IFERROR(INDEX(Channels!$T$5:$T$18,MATCH(IF(J83="",DefaultChannel,J83),Channels!$A$5:$A$18,0)),0))</f>
        <v>0</v>
      </c>
      <c r="AC83" s="41">
        <f>IF(B83="","",1-TargetRetailMargin-AA83)</f>
        <v>0</v>
      </c>
      <c r="AD83" s="20">
        <f>IF(B83="","",IF(AC83&lt;=0,"",((Z83+AB83)/AC83)*(1+V83)+IF(I83="",0,I83)))</f>
        <v>0</v>
      </c>
      <c r="AE83" s="20">
        <f>IF(B83="","",IF(AD83="","Check the settings",ROUND(IF(RoundingRule="None",AD83,IF(RoundingRule="Nearest 0.99",MAX(0.99,CEILING(AD83,1)-0.01),IF(RoundingRule="Nearest 0.95",MAX(0.95,CEILING(AD83,1)-0.05),IF(RoundingRule="Nearest 0.50",CEILING(AD83,0.5),IF(RoundingRule="Nearest 1",CEILING(AD83,1),IF(RoundingRule="Nearest 5",CEILING(AD83,5),IF(RoundingRule="Up to whole 1",CEILING(AD83,1),IF(RoundingRule="Up to whole 5",CEILING(AD83,5),ROUND(AD83,2))))))))),2)))</f>
        <v>0</v>
      </c>
      <c r="AF83" s="20">
        <f>IF(B83="","",IF(K83&lt;&gt;"",K83,IF(ISNUMBER(AE83),AE83,"")))</f>
        <v>0</v>
      </c>
      <c r="AG83" s="20">
        <f>IF(B83="","",IF(OR(AF83="",S83=""),"",ROUND(AF83-S83,2)))</f>
        <v>0</v>
      </c>
      <c r="AH83" s="20">
        <f>IF(B83="","",IF(AF83="","",ROUND(AF83*AA83+AB83,2)))</f>
        <v>0</v>
      </c>
      <c r="AI83" s="20">
        <f>IF(B83="","",IF(AF83="","",ROUND(AF83-Z83-AH83,2)))</f>
        <v>0</v>
      </c>
      <c r="AJ83" s="33">
        <f>IF(B83="","",IF(OR(AF83="",AF83=0),"",AI83/AF83))</f>
        <v>0</v>
      </c>
      <c r="AK83" s="20">
        <f>IF(B83="","",IF(OR(X83=0,X83="",AI83=""),"",ROUND((AI83+Y83)/(X83/60),2)))</f>
        <v>0</v>
      </c>
      <c r="AL83" s="43">
        <f>IF(B83="","",IF(N83="Not found","Check - no such product ID",IF(AF83="","Check - no price yet",IF(AI83&lt;0,"Loss - this version costs you money",IF(AND(AK83&lt;&gt;"",AK83&lt;MinimumWage),"Below - pays under minimum wage",IF(AND(G83&gt;0,AG83&lt;=0),"Check - extra work, no extra charge",IF(AJ83&lt;MarginWarning,"Low margin - re-price it","OK")))))))</f>
        <v>0</v>
      </c>
    </row>
    <row r="84" spans="1:38">
      <c r="A84" s="38">
        <f>IF(C84="","",VariationPrefix&amp;TEXT(ROW()-4,"0000"))</f>
        <v>0</v>
      </c>
      <c r="N84" s="13">
        <f>IF(B84="","",IFERROR(INDEX(Products!$B$5:$B$304,MATCH(B84,Products!$A$5:$A$304,0)),"Not found"))</f>
        <v>0</v>
      </c>
      <c r="O84" s="20">
        <f>IF(B84="","",IFERROR(INDEX(Products!$T$5:$T$304,MATCH(B84,Products!$A$5:$A$304,0)),""))</f>
        <v>0</v>
      </c>
      <c r="P84" s="20">
        <f>IF(B84="","",IFERROR(INDEX(Products!$Z$5:$Z$304,MATCH(B84,Products!$A$5:$A$304,0)),""))</f>
        <v>0</v>
      </c>
      <c r="Q84" s="20">
        <f>IF(B84="","",IFERROR(INDEX(Products!$AH$5:$AH$304,MATCH(B84,Products!$A$5:$A$304,0))-INDEX(Products!$T$5:$T$304,MATCH(B84,Products!$A$5:$A$304,0))-INDEX(Products!$Z$5:$Z$304,MATCH(B84,Products!$A$5:$A$304,0)),0))</f>
        <v>0</v>
      </c>
      <c r="R84" s="36">
        <f>IF(B84="","",IFERROR(INDEX(Products!$X$5:$X$304,MATCH(B84,Products!$A$5:$A$304,0)),""))</f>
        <v>0</v>
      </c>
      <c r="S84" s="20">
        <f>IF(B84="","",IFERROR(INDEX(Products!$AR$5:$AR$304,MATCH(B84,Products!$A$5:$A$304,0)),""))</f>
        <v>0</v>
      </c>
      <c r="T84" s="41">
        <f>IF(B84="","",IFERROR(INDEX(SizeMaterialFactors,MATCH(E84,SizeNames,0)),1))</f>
        <v>0</v>
      </c>
      <c r="U84" s="41">
        <f>IF(B84="","",IFERROR(INDEX(SizeTimeFactors,MATCH(E84,SizeNames,0)),1))</f>
        <v>0</v>
      </c>
      <c r="V84" s="33">
        <f>IF(B84="","",IFERROR(INDEX(RushFactors,MATCH(H84,RushNames,0)),0))</f>
        <v>0</v>
      </c>
      <c r="W84" s="20">
        <f>IF(B84="","",ROUND(IF(O84="",0,O84)*T84+IF(F84="",0,F84),2))</f>
        <v>0</v>
      </c>
      <c r="X84" s="36">
        <f>IF(B84="","",ROUND(IF(R84="",0,R84)*U84+IF(G84="",0,G84),1))</f>
        <v>0</v>
      </c>
      <c r="Y84" s="20">
        <f>IF(B84="","",ROUND(IF(P84="",0,P84)*U84+IF(G84="",0,G84)/60*LaborCostHour,2))</f>
        <v>0</v>
      </c>
      <c r="Z84" s="20">
        <f>IF(B84="","",ROUND(W84+Y84+IF(Q84="",0,Q84),2))</f>
        <v>0</v>
      </c>
      <c r="AA84" s="33">
        <f>IF(B84="","",IFERROR(INDEX(Channels!$S$5:$S$18,MATCH(IF(J84="",DefaultChannel,J84),Channels!$A$5:$A$18,0)),0))</f>
        <v>0</v>
      </c>
      <c r="AB84" s="20">
        <f>IF(B84="","",IFERROR(INDEX(Channels!$T$5:$T$18,MATCH(IF(J84="",DefaultChannel,J84),Channels!$A$5:$A$18,0)),0))</f>
        <v>0</v>
      </c>
      <c r="AC84" s="41">
        <f>IF(B84="","",1-TargetRetailMargin-AA84)</f>
        <v>0</v>
      </c>
      <c r="AD84" s="20">
        <f>IF(B84="","",IF(AC84&lt;=0,"",((Z84+AB84)/AC84)*(1+V84)+IF(I84="",0,I84)))</f>
        <v>0</v>
      </c>
      <c r="AE84" s="20">
        <f>IF(B84="","",IF(AD84="","Check the settings",ROUND(IF(RoundingRule="None",AD84,IF(RoundingRule="Nearest 0.99",MAX(0.99,CEILING(AD84,1)-0.01),IF(RoundingRule="Nearest 0.95",MAX(0.95,CEILING(AD84,1)-0.05),IF(RoundingRule="Nearest 0.50",CEILING(AD84,0.5),IF(RoundingRule="Nearest 1",CEILING(AD84,1),IF(RoundingRule="Nearest 5",CEILING(AD84,5),IF(RoundingRule="Up to whole 1",CEILING(AD84,1),IF(RoundingRule="Up to whole 5",CEILING(AD84,5),ROUND(AD84,2))))))))),2)))</f>
        <v>0</v>
      </c>
      <c r="AF84" s="20">
        <f>IF(B84="","",IF(K84&lt;&gt;"",K84,IF(ISNUMBER(AE84),AE84,"")))</f>
        <v>0</v>
      </c>
      <c r="AG84" s="20">
        <f>IF(B84="","",IF(OR(AF84="",S84=""),"",ROUND(AF84-S84,2)))</f>
        <v>0</v>
      </c>
      <c r="AH84" s="20">
        <f>IF(B84="","",IF(AF84="","",ROUND(AF84*AA84+AB84,2)))</f>
        <v>0</v>
      </c>
      <c r="AI84" s="20">
        <f>IF(B84="","",IF(AF84="","",ROUND(AF84-Z84-AH84,2)))</f>
        <v>0</v>
      </c>
      <c r="AJ84" s="33">
        <f>IF(B84="","",IF(OR(AF84="",AF84=0),"",AI84/AF84))</f>
        <v>0</v>
      </c>
      <c r="AK84" s="20">
        <f>IF(B84="","",IF(OR(X84=0,X84="",AI84=""),"",ROUND((AI84+Y84)/(X84/60),2)))</f>
        <v>0</v>
      </c>
      <c r="AL84" s="43">
        <f>IF(B84="","",IF(N84="Not found","Check - no such product ID",IF(AF84="","Check - no price yet",IF(AI84&lt;0,"Loss - this version costs you money",IF(AND(AK84&lt;&gt;"",AK84&lt;MinimumWage),"Below - pays under minimum wage",IF(AND(G84&gt;0,AG84&lt;=0),"Check - extra work, no extra charge",IF(AJ84&lt;MarginWarning,"Low margin - re-price it","OK")))))))</f>
        <v>0</v>
      </c>
    </row>
    <row r="85" spans="1:38">
      <c r="A85" s="38">
        <f>IF(C85="","",VariationPrefix&amp;TEXT(ROW()-4,"0000"))</f>
        <v>0</v>
      </c>
      <c r="N85" s="13">
        <f>IF(B85="","",IFERROR(INDEX(Products!$B$5:$B$304,MATCH(B85,Products!$A$5:$A$304,0)),"Not found"))</f>
        <v>0</v>
      </c>
      <c r="O85" s="20">
        <f>IF(B85="","",IFERROR(INDEX(Products!$T$5:$T$304,MATCH(B85,Products!$A$5:$A$304,0)),""))</f>
        <v>0</v>
      </c>
      <c r="P85" s="20">
        <f>IF(B85="","",IFERROR(INDEX(Products!$Z$5:$Z$304,MATCH(B85,Products!$A$5:$A$304,0)),""))</f>
        <v>0</v>
      </c>
      <c r="Q85" s="20">
        <f>IF(B85="","",IFERROR(INDEX(Products!$AH$5:$AH$304,MATCH(B85,Products!$A$5:$A$304,0))-INDEX(Products!$T$5:$T$304,MATCH(B85,Products!$A$5:$A$304,0))-INDEX(Products!$Z$5:$Z$304,MATCH(B85,Products!$A$5:$A$304,0)),0))</f>
        <v>0</v>
      </c>
      <c r="R85" s="36">
        <f>IF(B85="","",IFERROR(INDEX(Products!$X$5:$X$304,MATCH(B85,Products!$A$5:$A$304,0)),""))</f>
        <v>0</v>
      </c>
      <c r="S85" s="20">
        <f>IF(B85="","",IFERROR(INDEX(Products!$AR$5:$AR$304,MATCH(B85,Products!$A$5:$A$304,0)),""))</f>
        <v>0</v>
      </c>
      <c r="T85" s="41">
        <f>IF(B85="","",IFERROR(INDEX(SizeMaterialFactors,MATCH(E85,SizeNames,0)),1))</f>
        <v>0</v>
      </c>
      <c r="U85" s="41">
        <f>IF(B85="","",IFERROR(INDEX(SizeTimeFactors,MATCH(E85,SizeNames,0)),1))</f>
        <v>0</v>
      </c>
      <c r="V85" s="33">
        <f>IF(B85="","",IFERROR(INDEX(RushFactors,MATCH(H85,RushNames,0)),0))</f>
        <v>0</v>
      </c>
      <c r="W85" s="20">
        <f>IF(B85="","",ROUND(IF(O85="",0,O85)*T85+IF(F85="",0,F85),2))</f>
        <v>0</v>
      </c>
      <c r="X85" s="36">
        <f>IF(B85="","",ROUND(IF(R85="",0,R85)*U85+IF(G85="",0,G85),1))</f>
        <v>0</v>
      </c>
      <c r="Y85" s="20">
        <f>IF(B85="","",ROUND(IF(P85="",0,P85)*U85+IF(G85="",0,G85)/60*LaborCostHour,2))</f>
        <v>0</v>
      </c>
      <c r="Z85" s="20">
        <f>IF(B85="","",ROUND(W85+Y85+IF(Q85="",0,Q85),2))</f>
        <v>0</v>
      </c>
      <c r="AA85" s="33">
        <f>IF(B85="","",IFERROR(INDEX(Channels!$S$5:$S$18,MATCH(IF(J85="",DefaultChannel,J85),Channels!$A$5:$A$18,0)),0))</f>
        <v>0</v>
      </c>
      <c r="AB85" s="20">
        <f>IF(B85="","",IFERROR(INDEX(Channels!$T$5:$T$18,MATCH(IF(J85="",DefaultChannel,J85),Channels!$A$5:$A$18,0)),0))</f>
        <v>0</v>
      </c>
      <c r="AC85" s="41">
        <f>IF(B85="","",1-TargetRetailMargin-AA85)</f>
        <v>0</v>
      </c>
      <c r="AD85" s="20">
        <f>IF(B85="","",IF(AC85&lt;=0,"",((Z85+AB85)/AC85)*(1+V85)+IF(I85="",0,I85)))</f>
        <v>0</v>
      </c>
      <c r="AE85" s="20">
        <f>IF(B85="","",IF(AD85="","Check the settings",ROUND(IF(RoundingRule="None",AD85,IF(RoundingRule="Nearest 0.99",MAX(0.99,CEILING(AD85,1)-0.01),IF(RoundingRule="Nearest 0.95",MAX(0.95,CEILING(AD85,1)-0.05),IF(RoundingRule="Nearest 0.50",CEILING(AD85,0.5),IF(RoundingRule="Nearest 1",CEILING(AD85,1),IF(RoundingRule="Nearest 5",CEILING(AD85,5),IF(RoundingRule="Up to whole 1",CEILING(AD85,1),IF(RoundingRule="Up to whole 5",CEILING(AD85,5),ROUND(AD85,2))))))))),2)))</f>
        <v>0</v>
      </c>
      <c r="AF85" s="20">
        <f>IF(B85="","",IF(K85&lt;&gt;"",K85,IF(ISNUMBER(AE85),AE85,"")))</f>
        <v>0</v>
      </c>
      <c r="AG85" s="20">
        <f>IF(B85="","",IF(OR(AF85="",S85=""),"",ROUND(AF85-S85,2)))</f>
        <v>0</v>
      </c>
      <c r="AH85" s="20">
        <f>IF(B85="","",IF(AF85="","",ROUND(AF85*AA85+AB85,2)))</f>
        <v>0</v>
      </c>
      <c r="AI85" s="20">
        <f>IF(B85="","",IF(AF85="","",ROUND(AF85-Z85-AH85,2)))</f>
        <v>0</v>
      </c>
      <c r="AJ85" s="33">
        <f>IF(B85="","",IF(OR(AF85="",AF85=0),"",AI85/AF85))</f>
        <v>0</v>
      </c>
      <c r="AK85" s="20">
        <f>IF(B85="","",IF(OR(X85=0,X85="",AI85=""),"",ROUND((AI85+Y85)/(X85/60),2)))</f>
        <v>0</v>
      </c>
      <c r="AL85" s="43">
        <f>IF(B85="","",IF(N85="Not found","Check - no such product ID",IF(AF85="","Check - no price yet",IF(AI85&lt;0,"Loss - this version costs you money",IF(AND(AK85&lt;&gt;"",AK85&lt;MinimumWage),"Below - pays under minimum wage",IF(AND(G85&gt;0,AG85&lt;=0),"Check - extra work, no extra charge",IF(AJ85&lt;MarginWarning,"Low margin - re-price it","OK")))))))</f>
        <v>0</v>
      </c>
    </row>
    <row r="86" spans="1:38">
      <c r="A86" s="38">
        <f>IF(C86="","",VariationPrefix&amp;TEXT(ROW()-4,"0000"))</f>
        <v>0</v>
      </c>
      <c r="N86" s="13">
        <f>IF(B86="","",IFERROR(INDEX(Products!$B$5:$B$304,MATCH(B86,Products!$A$5:$A$304,0)),"Not found"))</f>
        <v>0</v>
      </c>
      <c r="O86" s="20">
        <f>IF(B86="","",IFERROR(INDEX(Products!$T$5:$T$304,MATCH(B86,Products!$A$5:$A$304,0)),""))</f>
        <v>0</v>
      </c>
      <c r="P86" s="20">
        <f>IF(B86="","",IFERROR(INDEX(Products!$Z$5:$Z$304,MATCH(B86,Products!$A$5:$A$304,0)),""))</f>
        <v>0</v>
      </c>
      <c r="Q86" s="20">
        <f>IF(B86="","",IFERROR(INDEX(Products!$AH$5:$AH$304,MATCH(B86,Products!$A$5:$A$304,0))-INDEX(Products!$T$5:$T$304,MATCH(B86,Products!$A$5:$A$304,0))-INDEX(Products!$Z$5:$Z$304,MATCH(B86,Products!$A$5:$A$304,0)),0))</f>
        <v>0</v>
      </c>
      <c r="R86" s="36">
        <f>IF(B86="","",IFERROR(INDEX(Products!$X$5:$X$304,MATCH(B86,Products!$A$5:$A$304,0)),""))</f>
        <v>0</v>
      </c>
      <c r="S86" s="20">
        <f>IF(B86="","",IFERROR(INDEX(Products!$AR$5:$AR$304,MATCH(B86,Products!$A$5:$A$304,0)),""))</f>
        <v>0</v>
      </c>
      <c r="T86" s="41">
        <f>IF(B86="","",IFERROR(INDEX(SizeMaterialFactors,MATCH(E86,SizeNames,0)),1))</f>
        <v>0</v>
      </c>
      <c r="U86" s="41">
        <f>IF(B86="","",IFERROR(INDEX(SizeTimeFactors,MATCH(E86,SizeNames,0)),1))</f>
        <v>0</v>
      </c>
      <c r="V86" s="33">
        <f>IF(B86="","",IFERROR(INDEX(RushFactors,MATCH(H86,RushNames,0)),0))</f>
        <v>0</v>
      </c>
      <c r="W86" s="20">
        <f>IF(B86="","",ROUND(IF(O86="",0,O86)*T86+IF(F86="",0,F86),2))</f>
        <v>0</v>
      </c>
      <c r="X86" s="36">
        <f>IF(B86="","",ROUND(IF(R86="",0,R86)*U86+IF(G86="",0,G86),1))</f>
        <v>0</v>
      </c>
      <c r="Y86" s="20">
        <f>IF(B86="","",ROUND(IF(P86="",0,P86)*U86+IF(G86="",0,G86)/60*LaborCostHour,2))</f>
        <v>0</v>
      </c>
      <c r="Z86" s="20">
        <f>IF(B86="","",ROUND(W86+Y86+IF(Q86="",0,Q86),2))</f>
        <v>0</v>
      </c>
      <c r="AA86" s="33">
        <f>IF(B86="","",IFERROR(INDEX(Channels!$S$5:$S$18,MATCH(IF(J86="",DefaultChannel,J86),Channels!$A$5:$A$18,0)),0))</f>
        <v>0</v>
      </c>
      <c r="AB86" s="20">
        <f>IF(B86="","",IFERROR(INDEX(Channels!$T$5:$T$18,MATCH(IF(J86="",DefaultChannel,J86),Channels!$A$5:$A$18,0)),0))</f>
        <v>0</v>
      </c>
      <c r="AC86" s="41">
        <f>IF(B86="","",1-TargetRetailMargin-AA86)</f>
        <v>0</v>
      </c>
      <c r="AD86" s="20">
        <f>IF(B86="","",IF(AC86&lt;=0,"",((Z86+AB86)/AC86)*(1+V86)+IF(I86="",0,I86)))</f>
        <v>0</v>
      </c>
      <c r="AE86" s="20">
        <f>IF(B86="","",IF(AD86="","Check the settings",ROUND(IF(RoundingRule="None",AD86,IF(RoundingRule="Nearest 0.99",MAX(0.99,CEILING(AD86,1)-0.01),IF(RoundingRule="Nearest 0.95",MAX(0.95,CEILING(AD86,1)-0.05),IF(RoundingRule="Nearest 0.50",CEILING(AD86,0.5),IF(RoundingRule="Nearest 1",CEILING(AD86,1),IF(RoundingRule="Nearest 5",CEILING(AD86,5),IF(RoundingRule="Up to whole 1",CEILING(AD86,1),IF(RoundingRule="Up to whole 5",CEILING(AD86,5),ROUND(AD86,2))))))))),2)))</f>
        <v>0</v>
      </c>
      <c r="AF86" s="20">
        <f>IF(B86="","",IF(K86&lt;&gt;"",K86,IF(ISNUMBER(AE86),AE86,"")))</f>
        <v>0</v>
      </c>
      <c r="AG86" s="20">
        <f>IF(B86="","",IF(OR(AF86="",S86=""),"",ROUND(AF86-S86,2)))</f>
        <v>0</v>
      </c>
      <c r="AH86" s="20">
        <f>IF(B86="","",IF(AF86="","",ROUND(AF86*AA86+AB86,2)))</f>
        <v>0</v>
      </c>
      <c r="AI86" s="20">
        <f>IF(B86="","",IF(AF86="","",ROUND(AF86-Z86-AH86,2)))</f>
        <v>0</v>
      </c>
      <c r="AJ86" s="33">
        <f>IF(B86="","",IF(OR(AF86="",AF86=0),"",AI86/AF86))</f>
        <v>0</v>
      </c>
      <c r="AK86" s="20">
        <f>IF(B86="","",IF(OR(X86=0,X86="",AI86=""),"",ROUND((AI86+Y86)/(X86/60),2)))</f>
        <v>0</v>
      </c>
      <c r="AL86" s="43">
        <f>IF(B86="","",IF(N86="Not found","Check - no such product ID",IF(AF86="","Check - no price yet",IF(AI86&lt;0,"Loss - this version costs you money",IF(AND(AK86&lt;&gt;"",AK86&lt;MinimumWage),"Below - pays under minimum wage",IF(AND(G86&gt;0,AG86&lt;=0),"Check - extra work, no extra charge",IF(AJ86&lt;MarginWarning,"Low margin - re-price it","OK")))))))</f>
        <v>0</v>
      </c>
    </row>
    <row r="87" spans="1:38">
      <c r="A87" s="38">
        <f>IF(C87="","",VariationPrefix&amp;TEXT(ROW()-4,"0000"))</f>
        <v>0</v>
      </c>
      <c r="N87" s="13">
        <f>IF(B87="","",IFERROR(INDEX(Products!$B$5:$B$304,MATCH(B87,Products!$A$5:$A$304,0)),"Not found"))</f>
        <v>0</v>
      </c>
      <c r="O87" s="20">
        <f>IF(B87="","",IFERROR(INDEX(Products!$T$5:$T$304,MATCH(B87,Products!$A$5:$A$304,0)),""))</f>
        <v>0</v>
      </c>
      <c r="P87" s="20">
        <f>IF(B87="","",IFERROR(INDEX(Products!$Z$5:$Z$304,MATCH(B87,Products!$A$5:$A$304,0)),""))</f>
        <v>0</v>
      </c>
      <c r="Q87" s="20">
        <f>IF(B87="","",IFERROR(INDEX(Products!$AH$5:$AH$304,MATCH(B87,Products!$A$5:$A$304,0))-INDEX(Products!$T$5:$T$304,MATCH(B87,Products!$A$5:$A$304,0))-INDEX(Products!$Z$5:$Z$304,MATCH(B87,Products!$A$5:$A$304,0)),0))</f>
        <v>0</v>
      </c>
      <c r="R87" s="36">
        <f>IF(B87="","",IFERROR(INDEX(Products!$X$5:$X$304,MATCH(B87,Products!$A$5:$A$304,0)),""))</f>
        <v>0</v>
      </c>
      <c r="S87" s="20">
        <f>IF(B87="","",IFERROR(INDEX(Products!$AR$5:$AR$304,MATCH(B87,Products!$A$5:$A$304,0)),""))</f>
        <v>0</v>
      </c>
      <c r="T87" s="41">
        <f>IF(B87="","",IFERROR(INDEX(SizeMaterialFactors,MATCH(E87,SizeNames,0)),1))</f>
        <v>0</v>
      </c>
      <c r="U87" s="41">
        <f>IF(B87="","",IFERROR(INDEX(SizeTimeFactors,MATCH(E87,SizeNames,0)),1))</f>
        <v>0</v>
      </c>
      <c r="V87" s="33">
        <f>IF(B87="","",IFERROR(INDEX(RushFactors,MATCH(H87,RushNames,0)),0))</f>
        <v>0</v>
      </c>
      <c r="W87" s="20">
        <f>IF(B87="","",ROUND(IF(O87="",0,O87)*T87+IF(F87="",0,F87),2))</f>
        <v>0</v>
      </c>
      <c r="X87" s="36">
        <f>IF(B87="","",ROUND(IF(R87="",0,R87)*U87+IF(G87="",0,G87),1))</f>
        <v>0</v>
      </c>
      <c r="Y87" s="20">
        <f>IF(B87="","",ROUND(IF(P87="",0,P87)*U87+IF(G87="",0,G87)/60*LaborCostHour,2))</f>
        <v>0</v>
      </c>
      <c r="Z87" s="20">
        <f>IF(B87="","",ROUND(W87+Y87+IF(Q87="",0,Q87),2))</f>
        <v>0</v>
      </c>
      <c r="AA87" s="33">
        <f>IF(B87="","",IFERROR(INDEX(Channels!$S$5:$S$18,MATCH(IF(J87="",DefaultChannel,J87),Channels!$A$5:$A$18,0)),0))</f>
        <v>0</v>
      </c>
      <c r="AB87" s="20">
        <f>IF(B87="","",IFERROR(INDEX(Channels!$T$5:$T$18,MATCH(IF(J87="",DefaultChannel,J87),Channels!$A$5:$A$18,0)),0))</f>
        <v>0</v>
      </c>
      <c r="AC87" s="41">
        <f>IF(B87="","",1-TargetRetailMargin-AA87)</f>
        <v>0</v>
      </c>
      <c r="AD87" s="20">
        <f>IF(B87="","",IF(AC87&lt;=0,"",((Z87+AB87)/AC87)*(1+V87)+IF(I87="",0,I87)))</f>
        <v>0</v>
      </c>
      <c r="AE87" s="20">
        <f>IF(B87="","",IF(AD87="","Check the settings",ROUND(IF(RoundingRule="None",AD87,IF(RoundingRule="Nearest 0.99",MAX(0.99,CEILING(AD87,1)-0.01),IF(RoundingRule="Nearest 0.95",MAX(0.95,CEILING(AD87,1)-0.05),IF(RoundingRule="Nearest 0.50",CEILING(AD87,0.5),IF(RoundingRule="Nearest 1",CEILING(AD87,1),IF(RoundingRule="Nearest 5",CEILING(AD87,5),IF(RoundingRule="Up to whole 1",CEILING(AD87,1),IF(RoundingRule="Up to whole 5",CEILING(AD87,5),ROUND(AD87,2))))))))),2)))</f>
        <v>0</v>
      </c>
      <c r="AF87" s="20">
        <f>IF(B87="","",IF(K87&lt;&gt;"",K87,IF(ISNUMBER(AE87),AE87,"")))</f>
        <v>0</v>
      </c>
      <c r="AG87" s="20">
        <f>IF(B87="","",IF(OR(AF87="",S87=""),"",ROUND(AF87-S87,2)))</f>
        <v>0</v>
      </c>
      <c r="AH87" s="20">
        <f>IF(B87="","",IF(AF87="","",ROUND(AF87*AA87+AB87,2)))</f>
        <v>0</v>
      </c>
      <c r="AI87" s="20">
        <f>IF(B87="","",IF(AF87="","",ROUND(AF87-Z87-AH87,2)))</f>
        <v>0</v>
      </c>
      <c r="AJ87" s="33">
        <f>IF(B87="","",IF(OR(AF87="",AF87=0),"",AI87/AF87))</f>
        <v>0</v>
      </c>
      <c r="AK87" s="20">
        <f>IF(B87="","",IF(OR(X87=0,X87="",AI87=""),"",ROUND((AI87+Y87)/(X87/60),2)))</f>
        <v>0</v>
      </c>
      <c r="AL87" s="43">
        <f>IF(B87="","",IF(N87="Not found","Check - no such product ID",IF(AF87="","Check - no price yet",IF(AI87&lt;0,"Loss - this version costs you money",IF(AND(AK87&lt;&gt;"",AK87&lt;MinimumWage),"Below - pays under minimum wage",IF(AND(G87&gt;0,AG87&lt;=0),"Check - extra work, no extra charge",IF(AJ87&lt;MarginWarning,"Low margin - re-price it","OK")))))))</f>
        <v>0</v>
      </c>
    </row>
    <row r="88" spans="1:38">
      <c r="A88" s="38">
        <f>IF(C88="","",VariationPrefix&amp;TEXT(ROW()-4,"0000"))</f>
        <v>0</v>
      </c>
      <c r="N88" s="13">
        <f>IF(B88="","",IFERROR(INDEX(Products!$B$5:$B$304,MATCH(B88,Products!$A$5:$A$304,0)),"Not found"))</f>
        <v>0</v>
      </c>
      <c r="O88" s="20">
        <f>IF(B88="","",IFERROR(INDEX(Products!$T$5:$T$304,MATCH(B88,Products!$A$5:$A$304,0)),""))</f>
        <v>0</v>
      </c>
      <c r="P88" s="20">
        <f>IF(B88="","",IFERROR(INDEX(Products!$Z$5:$Z$304,MATCH(B88,Products!$A$5:$A$304,0)),""))</f>
        <v>0</v>
      </c>
      <c r="Q88" s="20">
        <f>IF(B88="","",IFERROR(INDEX(Products!$AH$5:$AH$304,MATCH(B88,Products!$A$5:$A$304,0))-INDEX(Products!$T$5:$T$304,MATCH(B88,Products!$A$5:$A$304,0))-INDEX(Products!$Z$5:$Z$304,MATCH(B88,Products!$A$5:$A$304,0)),0))</f>
        <v>0</v>
      </c>
      <c r="R88" s="36">
        <f>IF(B88="","",IFERROR(INDEX(Products!$X$5:$X$304,MATCH(B88,Products!$A$5:$A$304,0)),""))</f>
        <v>0</v>
      </c>
      <c r="S88" s="20">
        <f>IF(B88="","",IFERROR(INDEX(Products!$AR$5:$AR$304,MATCH(B88,Products!$A$5:$A$304,0)),""))</f>
        <v>0</v>
      </c>
      <c r="T88" s="41">
        <f>IF(B88="","",IFERROR(INDEX(SizeMaterialFactors,MATCH(E88,SizeNames,0)),1))</f>
        <v>0</v>
      </c>
      <c r="U88" s="41">
        <f>IF(B88="","",IFERROR(INDEX(SizeTimeFactors,MATCH(E88,SizeNames,0)),1))</f>
        <v>0</v>
      </c>
      <c r="V88" s="33">
        <f>IF(B88="","",IFERROR(INDEX(RushFactors,MATCH(H88,RushNames,0)),0))</f>
        <v>0</v>
      </c>
      <c r="W88" s="20">
        <f>IF(B88="","",ROUND(IF(O88="",0,O88)*T88+IF(F88="",0,F88),2))</f>
        <v>0</v>
      </c>
      <c r="X88" s="36">
        <f>IF(B88="","",ROUND(IF(R88="",0,R88)*U88+IF(G88="",0,G88),1))</f>
        <v>0</v>
      </c>
      <c r="Y88" s="20">
        <f>IF(B88="","",ROUND(IF(P88="",0,P88)*U88+IF(G88="",0,G88)/60*LaborCostHour,2))</f>
        <v>0</v>
      </c>
      <c r="Z88" s="20">
        <f>IF(B88="","",ROUND(W88+Y88+IF(Q88="",0,Q88),2))</f>
        <v>0</v>
      </c>
      <c r="AA88" s="33">
        <f>IF(B88="","",IFERROR(INDEX(Channels!$S$5:$S$18,MATCH(IF(J88="",DefaultChannel,J88),Channels!$A$5:$A$18,0)),0))</f>
        <v>0</v>
      </c>
      <c r="AB88" s="20">
        <f>IF(B88="","",IFERROR(INDEX(Channels!$T$5:$T$18,MATCH(IF(J88="",DefaultChannel,J88),Channels!$A$5:$A$18,0)),0))</f>
        <v>0</v>
      </c>
      <c r="AC88" s="41">
        <f>IF(B88="","",1-TargetRetailMargin-AA88)</f>
        <v>0</v>
      </c>
      <c r="AD88" s="20">
        <f>IF(B88="","",IF(AC88&lt;=0,"",((Z88+AB88)/AC88)*(1+V88)+IF(I88="",0,I88)))</f>
        <v>0</v>
      </c>
      <c r="AE88" s="20">
        <f>IF(B88="","",IF(AD88="","Check the settings",ROUND(IF(RoundingRule="None",AD88,IF(RoundingRule="Nearest 0.99",MAX(0.99,CEILING(AD88,1)-0.01),IF(RoundingRule="Nearest 0.95",MAX(0.95,CEILING(AD88,1)-0.05),IF(RoundingRule="Nearest 0.50",CEILING(AD88,0.5),IF(RoundingRule="Nearest 1",CEILING(AD88,1),IF(RoundingRule="Nearest 5",CEILING(AD88,5),IF(RoundingRule="Up to whole 1",CEILING(AD88,1),IF(RoundingRule="Up to whole 5",CEILING(AD88,5),ROUND(AD88,2))))))))),2)))</f>
        <v>0</v>
      </c>
      <c r="AF88" s="20">
        <f>IF(B88="","",IF(K88&lt;&gt;"",K88,IF(ISNUMBER(AE88),AE88,"")))</f>
        <v>0</v>
      </c>
      <c r="AG88" s="20">
        <f>IF(B88="","",IF(OR(AF88="",S88=""),"",ROUND(AF88-S88,2)))</f>
        <v>0</v>
      </c>
      <c r="AH88" s="20">
        <f>IF(B88="","",IF(AF88="","",ROUND(AF88*AA88+AB88,2)))</f>
        <v>0</v>
      </c>
      <c r="AI88" s="20">
        <f>IF(B88="","",IF(AF88="","",ROUND(AF88-Z88-AH88,2)))</f>
        <v>0</v>
      </c>
      <c r="AJ88" s="33">
        <f>IF(B88="","",IF(OR(AF88="",AF88=0),"",AI88/AF88))</f>
        <v>0</v>
      </c>
      <c r="AK88" s="20">
        <f>IF(B88="","",IF(OR(X88=0,X88="",AI88=""),"",ROUND((AI88+Y88)/(X88/60),2)))</f>
        <v>0</v>
      </c>
      <c r="AL88" s="43">
        <f>IF(B88="","",IF(N88="Not found","Check - no such product ID",IF(AF88="","Check - no price yet",IF(AI88&lt;0,"Loss - this version costs you money",IF(AND(AK88&lt;&gt;"",AK88&lt;MinimumWage),"Below - pays under minimum wage",IF(AND(G88&gt;0,AG88&lt;=0),"Check - extra work, no extra charge",IF(AJ88&lt;MarginWarning,"Low margin - re-price it","OK")))))))</f>
        <v>0</v>
      </c>
    </row>
    <row r="89" spans="1:38">
      <c r="A89" s="38">
        <f>IF(C89="","",VariationPrefix&amp;TEXT(ROW()-4,"0000"))</f>
        <v>0</v>
      </c>
      <c r="N89" s="13">
        <f>IF(B89="","",IFERROR(INDEX(Products!$B$5:$B$304,MATCH(B89,Products!$A$5:$A$304,0)),"Not found"))</f>
        <v>0</v>
      </c>
      <c r="O89" s="20">
        <f>IF(B89="","",IFERROR(INDEX(Products!$T$5:$T$304,MATCH(B89,Products!$A$5:$A$304,0)),""))</f>
        <v>0</v>
      </c>
      <c r="P89" s="20">
        <f>IF(B89="","",IFERROR(INDEX(Products!$Z$5:$Z$304,MATCH(B89,Products!$A$5:$A$304,0)),""))</f>
        <v>0</v>
      </c>
      <c r="Q89" s="20">
        <f>IF(B89="","",IFERROR(INDEX(Products!$AH$5:$AH$304,MATCH(B89,Products!$A$5:$A$304,0))-INDEX(Products!$T$5:$T$304,MATCH(B89,Products!$A$5:$A$304,0))-INDEX(Products!$Z$5:$Z$304,MATCH(B89,Products!$A$5:$A$304,0)),0))</f>
        <v>0</v>
      </c>
      <c r="R89" s="36">
        <f>IF(B89="","",IFERROR(INDEX(Products!$X$5:$X$304,MATCH(B89,Products!$A$5:$A$304,0)),""))</f>
        <v>0</v>
      </c>
      <c r="S89" s="20">
        <f>IF(B89="","",IFERROR(INDEX(Products!$AR$5:$AR$304,MATCH(B89,Products!$A$5:$A$304,0)),""))</f>
        <v>0</v>
      </c>
      <c r="T89" s="41">
        <f>IF(B89="","",IFERROR(INDEX(SizeMaterialFactors,MATCH(E89,SizeNames,0)),1))</f>
        <v>0</v>
      </c>
      <c r="U89" s="41">
        <f>IF(B89="","",IFERROR(INDEX(SizeTimeFactors,MATCH(E89,SizeNames,0)),1))</f>
        <v>0</v>
      </c>
      <c r="V89" s="33">
        <f>IF(B89="","",IFERROR(INDEX(RushFactors,MATCH(H89,RushNames,0)),0))</f>
        <v>0</v>
      </c>
      <c r="W89" s="20">
        <f>IF(B89="","",ROUND(IF(O89="",0,O89)*T89+IF(F89="",0,F89),2))</f>
        <v>0</v>
      </c>
      <c r="X89" s="36">
        <f>IF(B89="","",ROUND(IF(R89="",0,R89)*U89+IF(G89="",0,G89),1))</f>
        <v>0</v>
      </c>
      <c r="Y89" s="20">
        <f>IF(B89="","",ROUND(IF(P89="",0,P89)*U89+IF(G89="",0,G89)/60*LaborCostHour,2))</f>
        <v>0</v>
      </c>
      <c r="Z89" s="20">
        <f>IF(B89="","",ROUND(W89+Y89+IF(Q89="",0,Q89),2))</f>
        <v>0</v>
      </c>
      <c r="AA89" s="33">
        <f>IF(B89="","",IFERROR(INDEX(Channels!$S$5:$S$18,MATCH(IF(J89="",DefaultChannel,J89),Channels!$A$5:$A$18,0)),0))</f>
        <v>0</v>
      </c>
      <c r="AB89" s="20">
        <f>IF(B89="","",IFERROR(INDEX(Channels!$T$5:$T$18,MATCH(IF(J89="",DefaultChannel,J89),Channels!$A$5:$A$18,0)),0))</f>
        <v>0</v>
      </c>
      <c r="AC89" s="41">
        <f>IF(B89="","",1-TargetRetailMargin-AA89)</f>
        <v>0</v>
      </c>
      <c r="AD89" s="20">
        <f>IF(B89="","",IF(AC89&lt;=0,"",((Z89+AB89)/AC89)*(1+V89)+IF(I89="",0,I89)))</f>
        <v>0</v>
      </c>
      <c r="AE89" s="20">
        <f>IF(B89="","",IF(AD89="","Check the settings",ROUND(IF(RoundingRule="None",AD89,IF(RoundingRule="Nearest 0.99",MAX(0.99,CEILING(AD89,1)-0.01),IF(RoundingRule="Nearest 0.95",MAX(0.95,CEILING(AD89,1)-0.05),IF(RoundingRule="Nearest 0.50",CEILING(AD89,0.5),IF(RoundingRule="Nearest 1",CEILING(AD89,1),IF(RoundingRule="Nearest 5",CEILING(AD89,5),IF(RoundingRule="Up to whole 1",CEILING(AD89,1),IF(RoundingRule="Up to whole 5",CEILING(AD89,5),ROUND(AD89,2))))))))),2)))</f>
        <v>0</v>
      </c>
      <c r="AF89" s="20">
        <f>IF(B89="","",IF(K89&lt;&gt;"",K89,IF(ISNUMBER(AE89),AE89,"")))</f>
        <v>0</v>
      </c>
      <c r="AG89" s="20">
        <f>IF(B89="","",IF(OR(AF89="",S89=""),"",ROUND(AF89-S89,2)))</f>
        <v>0</v>
      </c>
      <c r="AH89" s="20">
        <f>IF(B89="","",IF(AF89="","",ROUND(AF89*AA89+AB89,2)))</f>
        <v>0</v>
      </c>
      <c r="AI89" s="20">
        <f>IF(B89="","",IF(AF89="","",ROUND(AF89-Z89-AH89,2)))</f>
        <v>0</v>
      </c>
      <c r="AJ89" s="33">
        <f>IF(B89="","",IF(OR(AF89="",AF89=0),"",AI89/AF89))</f>
        <v>0</v>
      </c>
      <c r="AK89" s="20">
        <f>IF(B89="","",IF(OR(X89=0,X89="",AI89=""),"",ROUND((AI89+Y89)/(X89/60),2)))</f>
        <v>0</v>
      </c>
      <c r="AL89" s="43">
        <f>IF(B89="","",IF(N89="Not found","Check - no such product ID",IF(AF89="","Check - no price yet",IF(AI89&lt;0,"Loss - this version costs you money",IF(AND(AK89&lt;&gt;"",AK89&lt;MinimumWage),"Below - pays under minimum wage",IF(AND(G89&gt;0,AG89&lt;=0),"Check - extra work, no extra charge",IF(AJ89&lt;MarginWarning,"Low margin - re-price it","OK")))))))</f>
        <v>0</v>
      </c>
    </row>
    <row r="90" spans="1:38">
      <c r="A90" s="38">
        <f>IF(C90="","",VariationPrefix&amp;TEXT(ROW()-4,"0000"))</f>
        <v>0</v>
      </c>
      <c r="N90" s="13">
        <f>IF(B90="","",IFERROR(INDEX(Products!$B$5:$B$304,MATCH(B90,Products!$A$5:$A$304,0)),"Not found"))</f>
        <v>0</v>
      </c>
      <c r="O90" s="20">
        <f>IF(B90="","",IFERROR(INDEX(Products!$T$5:$T$304,MATCH(B90,Products!$A$5:$A$304,0)),""))</f>
        <v>0</v>
      </c>
      <c r="P90" s="20">
        <f>IF(B90="","",IFERROR(INDEX(Products!$Z$5:$Z$304,MATCH(B90,Products!$A$5:$A$304,0)),""))</f>
        <v>0</v>
      </c>
      <c r="Q90" s="20">
        <f>IF(B90="","",IFERROR(INDEX(Products!$AH$5:$AH$304,MATCH(B90,Products!$A$5:$A$304,0))-INDEX(Products!$T$5:$T$304,MATCH(B90,Products!$A$5:$A$304,0))-INDEX(Products!$Z$5:$Z$304,MATCH(B90,Products!$A$5:$A$304,0)),0))</f>
        <v>0</v>
      </c>
      <c r="R90" s="36">
        <f>IF(B90="","",IFERROR(INDEX(Products!$X$5:$X$304,MATCH(B90,Products!$A$5:$A$304,0)),""))</f>
        <v>0</v>
      </c>
      <c r="S90" s="20">
        <f>IF(B90="","",IFERROR(INDEX(Products!$AR$5:$AR$304,MATCH(B90,Products!$A$5:$A$304,0)),""))</f>
        <v>0</v>
      </c>
      <c r="T90" s="41">
        <f>IF(B90="","",IFERROR(INDEX(SizeMaterialFactors,MATCH(E90,SizeNames,0)),1))</f>
        <v>0</v>
      </c>
      <c r="U90" s="41">
        <f>IF(B90="","",IFERROR(INDEX(SizeTimeFactors,MATCH(E90,SizeNames,0)),1))</f>
        <v>0</v>
      </c>
      <c r="V90" s="33">
        <f>IF(B90="","",IFERROR(INDEX(RushFactors,MATCH(H90,RushNames,0)),0))</f>
        <v>0</v>
      </c>
      <c r="W90" s="20">
        <f>IF(B90="","",ROUND(IF(O90="",0,O90)*T90+IF(F90="",0,F90),2))</f>
        <v>0</v>
      </c>
      <c r="X90" s="36">
        <f>IF(B90="","",ROUND(IF(R90="",0,R90)*U90+IF(G90="",0,G90),1))</f>
        <v>0</v>
      </c>
      <c r="Y90" s="20">
        <f>IF(B90="","",ROUND(IF(P90="",0,P90)*U90+IF(G90="",0,G90)/60*LaborCostHour,2))</f>
        <v>0</v>
      </c>
      <c r="Z90" s="20">
        <f>IF(B90="","",ROUND(W90+Y90+IF(Q90="",0,Q90),2))</f>
        <v>0</v>
      </c>
      <c r="AA90" s="33">
        <f>IF(B90="","",IFERROR(INDEX(Channels!$S$5:$S$18,MATCH(IF(J90="",DefaultChannel,J90),Channels!$A$5:$A$18,0)),0))</f>
        <v>0</v>
      </c>
      <c r="AB90" s="20">
        <f>IF(B90="","",IFERROR(INDEX(Channels!$T$5:$T$18,MATCH(IF(J90="",DefaultChannel,J90),Channels!$A$5:$A$18,0)),0))</f>
        <v>0</v>
      </c>
      <c r="AC90" s="41">
        <f>IF(B90="","",1-TargetRetailMargin-AA90)</f>
        <v>0</v>
      </c>
      <c r="AD90" s="20">
        <f>IF(B90="","",IF(AC90&lt;=0,"",((Z90+AB90)/AC90)*(1+V90)+IF(I90="",0,I90)))</f>
        <v>0</v>
      </c>
      <c r="AE90" s="20">
        <f>IF(B90="","",IF(AD90="","Check the settings",ROUND(IF(RoundingRule="None",AD90,IF(RoundingRule="Nearest 0.99",MAX(0.99,CEILING(AD90,1)-0.01),IF(RoundingRule="Nearest 0.95",MAX(0.95,CEILING(AD90,1)-0.05),IF(RoundingRule="Nearest 0.50",CEILING(AD90,0.5),IF(RoundingRule="Nearest 1",CEILING(AD90,1),IF(RoundingRule="Nearest 5",CEILING(AD90,5),IF(RoundingRule="Up to whole 1",CEILING(AD90,1),IF(RoundingRule="Up to whole 5",CEILING(AD90,5),ROUND(AD90,2))))))))),2)))</f>
        <v>0</v>
      </c>
      <c r="AF90" s="20">
        <f>IF(B90="","",IF(K90&lt;&gt;"",K90,IF(ISNUMBER(AE90),AE90,"")))</f>
        <v>0</v>
      </c>
      <c r="AG90" s="20">
        <f>IF(B90="","",IF(OR(AF90="",S90=""),"",ROUND(AF90-S90,2)))</f>
        <v>0</v>
      </c>
      <c r="AH90" s="20">
        <f>IF(B90="","",IF(AF90="","",ROUND(AF90*AA90+AB90,2)))</f>
        <v>0</v>
      </c>
      <c r="AI90" s="20">
        <f>IF(B90="","",IF(AF90="","",ROUND(AF90-Z90-AH90,2)))</f>
        <v>0</v>
      </c>
      <c r="AJ90" s="33">
        <f>IF(B90="","",IF(OR(AF90="",AF90=0),"",AI90/AF90))</f>
        <v>0</v>
      </c>
      <c r="AK90" s="20">
        <f>IF(B90="","",IF(OR(X90=0,X90="",AI90=""),"",ROUND((AI90+Y90)/(X90/60),2)))</f>
        <v>0</v>
      </c>
      <c r="AL90" s="43">
        <f>IF(B90="","",IF(N90="Not found","Check - no such product ID",IF(AF90="","Check - no price yet",IF(AI90&lt;0,"Loss - this version costs you money",IF(AND(AK90&lt;&gt;"",AK90&lt;MinimumWage),"Below - pays under minimum wage",IF(AND(G90&gt;0,AG90&lt;=0),"Check - extra work, no extra charge",IF(AJ90&lt;MarginWarning,"Low margin - re-price it","OK")))))))</f>
        <v>0</v>
      </c>
    </row>
    <row r="91" spans="1:38">
      <c r="A91" s="38">
        <f>IF(C91="","",VariationPrefix&amp;TEXT(ROW()-4,"0000"))</f>
        <v>0</v>
      </c>
      <c r="N91" s="13">
        <f>IF(B91="","",IFERROR(INDEX(Products!$B$5:$B$304,MATCH(B91,Products!$A$5:$A$304,0)),"Not found"))</f>
        <v>0</v>
      </c>
      <c r="O91" s="20">
        <f>IF(B91="","",IFERROR(INDEX(Products!$T$5:$T$304,MATCH(B91,Products!$A$5:$A$304,0)),""))</f>
        <v>0</v>
      </c>
      <c r="P91" s="20">
        <f>IF(B91="","",IFERROR(INDEX(Products!$Z$5:$Z$304,MATCH(B91,Products!$A$5:$A$304,0)),""))</f>
        <v>0</v>
      </c>
      <c r="Q91" s="20">
        <f>IF(B91="","",IFERROR(INDEX(Products!$AH$5:$AH$304,MATCH(B91,Products!$A$5:$A$304,0))-INDEX(Products!$T$5:$T$304,MATCH(B91,Products!$A$5:$A$304,0))-INDEX(Products!$Z$5:$Z$304,MATCH(B91,Products!$A$5:$A$304,0)),0))</f>
        <v>0</v>
      </c>
      <c r="R91" s="36">
        <f>IF(B91="","",IFERROR(INDEX(Products!$X$5:$X$304,MATCH(B91,Products!$A$5:$A$304,0)),""))</f>
        <v>0</v>
      </c>
      <c r="S91" s="20">
        <f>IF(B91="","",IFERROR(INDEX(Products!$AR$5:$AR$304,MATCH(B91,Products!$A$5:$A$304,0)),""))</f>
        <v>0</v>
      </c>
      <c r="T91" s="41">
        <f>IF(B91="","",IFERROR(INDEX(SizeMaterialFactors,MATCH(E91,SizeNames,0)),1))</f>
        <v>0</v>
      </c>
      <c r="U91" s="41">
        <f>IF(B91="","",IFERROR(INDEX(SizeTimeFactors,MATCH(E91,SizeNames,0)),1))</f>
        <v>0</v>
      </c>
      <c r="V91" s="33">
        <f>IF(B91="","",IFERROR(INDEX(RushFactors,MATCH(H91,RushNames,0)),0))</f>
        <v>0</v>
      </c>
      <c r="W91" s="20">
        <f>IF(B91="","",ROUND(IF(O91="",0,O91)*T91+IF(F91="",0,F91),2))</f>
        <v>0</v>
      </c>
      <c r="X91" s="36">
        <f>IF(B91="","",ROUND(IF(R91="",0,R91)*U91+IF(G91="",0,G91),1))</f>
        <v>0</v>
      </c>
      <c r="Y91" s="20">
        <f>IF(B91="","",ROUND(IF(P91="",0,P91)*U91+IF(G91="",0,G91)/60*LaborCostHour,2))</f>
        <v>0</v>
      </c>
      <c r="Z91" s="20">
        <f>IF(B91="","",ROUND(W91+Y91+IF(Q91="",0,Q91),2))</f>
        <v>0</v>
      </c>
      <c r="AA91" s="33">
        <f>IF(B91="","",IFERROR(INDEX(Channels!$S$5:$S$18,MATCH(IF(J91="",DefaultChannel,J91),Channels!$A$5:$A$18,0)),0))</f>
        <v>0</v>
      </c>
      <c r="AB91" s="20">
        <f>IF(B91="","",IFERROR(INDEX(Channels!$T$5:$T$18,MATCH(IF(J91="",DefaultChannel,J91),Channels!$A$5:$A$18,0)),0))</f>
        <v>0</v>
      </c>
      <c r="AC91" s="41">
        <f>IF(B91="","",1-TargetRetailMargin-AA91)</f>
        <v>0</v>
      </c>
      <c r="AD91" s="20">
        <f>IF(B91="","",IF(AC91&lt;=0,"",((Z91+AB91)/AC91)*(1+V91)+IF(I91="",0,I91)))</f>
        <v>0</v>
      </c>
      <c r="AE91" s="20">
        <f>IF(B91="","",IF(AD91="","Check the settings",ROUND(IF(RoundingRule="None",AD91,IF(RoundingRule="Nearest 0.99",MAX(0.99,CEILING(AD91,1)-0.01),IF(RoundingRule="Nearest 0.95",MAX(0.95,CEILING(AD91,1)-0.05),IF(RoundingRule="Nearest 0.50",CEILING(AD91,0.5),IF(RoundingRule="Nearest 1",CEILING(AD91,1),IF(RoundingRule="Nearest 5",CEILING(AD91,5),IF(RoundingRule="Up to whole 1",CEILING(AD91,1),IF(RoundingRule="Up to whole 5",CEILING(AD91,5),ROUND(AD91,2))))))))),2)))</f>
        <v>0</v>
      </c>
      <c r="AF91" s="20">
        <f>IF(B91="","",IF(K91&lt;&gt;"",K91,IF(ISNUMBER(AE91),AE91,"")))</f>
        <v>0</v>
      </c>
      <c r="AG91" s="20">
        <f>IF(B91="","",IF(OR(AF91="",S91=""),"",ROUND(AF91-S91,2)))</f>
        <v>0</v>
      </c>
      <c r="AH91" s="20">
        <f>IF(B91="","",IF(AF91="","",ROUND(AF91*AA91+AB91,2)))</f>
        <v>0</v>
      </c>
      <c r="AI91" s="20">
        <f>IF(B91="","",IF(AF91="","",ROUND(AF91-Z91-AH91,2)))</f>
        <v>0</v>
      </c>
      <c r="AJ91" s="33">
        <f>IF(B91="","",IF(OR(AF91="",AF91=0),"",AI91/AF91))</f>
        <v>0</v>
      </c>
      <c r="AK91" s="20">
        <f>IF(B91="","",IF(OR(X91=0,X91="",AI91=""),"",ROUND((AI91+Y91)/(X91/60),2)))</f>
        <v>0</v>
      </c>
      <c r="AL91" s="43">
        <f>IF(B91="","",IF(N91="Not found","Check - no such product ID",IF(AF91="","Check - no price yet",IF(AI91&lt;0,"Loss - this version costs you money",IF(AND(AK91&lt;&gt;"",AK91&lt;MinimumWage),"Below - pays under minimum wage",IF(AND(G91&gt;0,AG91&lt;=0),"Check - extra work, no extra charge",IF(AJ91&lt;MarginWarning,"Low margin - re-price it","OK")))))))</f>
        <v>0</v>
      </c>
    </row>
    <row r="92" spans="1:38">
      <c r="A92" s="38">
        <f>IF(C92="","",VariationPrefix&amp;TEXT(ROW()-4,"0000"))</f>
        <v>0</v>
      </c>
      <c r="N92" s="13">
        <f>IF(B92="","",IFERROR(INDEX(Products!$B$5:$B$304,MATCH(B92,Products!$A$5:$A$304,0)),"Not found"))</f>
        <v>0</v>
      </c>
      <c r="O92" s="20">
        <f>IF(B92="","",IFERROR(INDEX(Products!$T$5:$T$304,MATCH(B92,Products!$A$5:$A$304,0)),""))</f>
        <v>0</v>
      </c>
      <c r="P92" s="20">
        <f>IF(B92="","",IFERROR(INDEX(Products!$Z$5:$Z$304,MATCH(B92,Products!$A$5:$A$304,0)),""))</f>
        <v>0</v>
      </c>
      <c r="Q92" s="20">
        <f>IF(B92="","",IFERROR(INDEX(Products!$AH$5:$AH$304,MATCH(B92,Products!$A$5:$A$304,0))-INDEX(Products!$T$5:$T$304,MATCH(B92,Products!$A$5:$A$304,0))-INDEX(Products!$Z$5:$Z$304,MATCH(B92,Products!$A$5:$A$304,0)),0))</f>
        <v>0</v>
      </c>
      <c r="R92" s="36">
        <f>IF(B92="","",IFERROR(INDEX(Products!$X$5:$X$304,MATCH(B92,Products!$A$5:$A$304,0)),""))</f>
        <v>0</v>
      </c>
      <c r="S92" s="20">
        <f>IF(B92="","",IFERROR(INDEX(Products!$AR$5:$AR$304,MATCH(B92,Products!$A$5:$A$304,0)),""))</f>
        <v>0</v>
      </c>
      <c r="T92" s="41">
        <f>IF(B92="","",IFERROR(INDEX(SizeMaterialFactors,MATCH(E92,SizeNames,0)),1))</f>
        <v>0</v>
      </c>
      <c r="U92" s="41">
        <f>IF(B92="","",IFERROR(INDEX(SizeTimeFactors,MATCH(E92,SizeNames,0)),1))</f>
        <v>0</v>
      </c>
      <c r="V92" s="33">
        <f>IF(B92="","",IFERROR(INDEX(RushFactors,MATCH(H92,RushNames,0)),0))</f>
        <v>0</v>
      </c>
      <c r="W92" s="20">
        <f>IF(B92="","",ROUND(IF(O92="",0,O92)*T92+IF(F92="",0,F92),2))</f>
        <v>0</v>
      </c>
      <c r="X92" s="36">
        <f>IF(B92="","",ROUND(IF(R92="",0,R92)*U92+IF(G92="",0,G92),1))</f>
        <v>0</v>
      </c>
      <c r="Y92" s="20">
        <f>IF(B92="","",ROUND(IF(P92="",0,P92)*U92+IF(G92="",0,G92)/60*LaborCostHour,2))</f>
        <v>0</v>
      </c>
      <c r="Z92" s="20">
        <f>IF(B92="","",ROUND(W92+Y92+IF(Q92="",0,Q92),2))</f>
        <v>0</v>
      </c>
      <c r="AA92" s="33">
        <f>IF(B92="","",IFERROR(INDEX(Channels!$S$5:$S$18,MATCH(IF(J92="",DefaultChannel,J92),Channels!$A$5:$A$18,0)),0))</f>
        <v>0</v>
      </c>
      <c r="AB92" s="20">
        <f>IF(B92="","",IFERROR(INDEX(Channels!$T$5:$T$18,MATCH(IF(J92="",DefaultChannel,J92),Channels!$A$5:$A$18,0)),0))</f>
        <v>0</v>
      </c>
      <c r="AC92" s="41">
        <f>IF(B92="","",1-TargetRetailMargin-AA92)</f>
        <v>0</v>
      </c>
      <c r="AD92" s="20">
        <f>IF(B92="","",IF(AC92&lt;=0,"",((Z92+AB92)/AC92)*(1+V92)+IF(I92="",0,I92)))</f>
        <v>0</v>
      </c>
      <c r="AE92" s="20">
        <f>IF(B92="","",IF(AD92="","Check the settings",ROUND(IF(RoundingRule="None",AD92,IF(RoundingRule="Nearest 0.99",MAX(0.99,CEILING(AD92,1)-0.01),IF(RoundingRule="Nearest 0.95",MAX(0.95,CEILING(AD92,1)-0.05),IF(RoundingRule="Nearest 0.50",CEILING(AD92,0.5),IF(RoundingRule="Nearest 1",CEILING(AD92,1),IF(RoundingRule="Nearest 5",CEILING(AD92,5),IF(RoundingRule="Up to whole 1",CEILING(AD92,1),IF(RoundingRule="Up to whole 5",CEILING(AD92,5),ROUND(AD92,2))))))))),2)))</f>
        <v>0</v>
      </c>
      <c r="AF92" s="20">
        <f>IF(B92="","",IF(K92&lt;&gt;"",K92,IF(ISNUMBER(AE92),AE92,"")))</f>
        <v>0</v>
      </c>
      <c r="AG92" s="20">
        <f>IF(B92="","",IF(OR(AF92="",S92=""),"",ROUND(AF92-S92,2)))</f>
        <v>0</v>
      </c>
      <c r="AH92" s="20">
        <f>IF(B92="","",IF(AF92="","",ROUND(AF92*AA92+AB92,2)))</f>
        <v>0</v>
      </c>
      <c r="AI92" s="20">
        <f>IF(B92="","",IF(AF92="","",ROUND(AF92-Z92-AH92,2)))</f>
        <v>0</v>
      </c>
      <c r="AJ92" s="33">
        <f>IF(B92="","",IF(OR(AF92="",AF92=0),"",AI92/AF92))</f>
        <v>0</v>
      </c>
      <c r="AK92" s="20">
        <f>IF(B92="","",IF(OR(X92=0,X92="",AI92=""),"",ROUND((AI92+Y92)/(X92/60),2)))</f>
        <v>0</v>
      </c>
      <c r="AL92" s="43">
        <f>IF(B92="","",IF(N92="Not found","Check - no such product ID",IF(AF92="","Check - no price yet",IF(AI92&lt;0,"Loss - this version costs you money",IF(AND(AK92&lt;&gt;"",AK92&lt;MinimumWage),"Below - pays under minimum wage",IF(AND(G92&gt;0,AG92&lt;=0),"Check - extra work, no extra charge",IF(AJ92&lt;MarginWarning,"Low margin - re-price it","OK")))))))</f>
        <v>0</v>
      </c>
    </row>
    <row r="93" spans="1:38">
      <c r="A93" s="38">
        <f>IF(C93="","",VariationPrefix&amp;TEXT(ROW()-4,"0000"))</f>
        <v>0</v>
      </c>
      <c r="N93" s="13">
        <f>IF(B93="","",IFERROR(INDEX(Products!$B$5:$B$304,MATCH(B93,Products!$A$5:$A$304,0)),"Not found"))</f>
        <v>0</v>
      </c>
      <c r="O93" s="20">
        <f>IF(B93="","",IFERROR(INDEX(Products!$T$5:$T$304,MATCH(B93,Products!$A$5:$A$304,0)),""))</f>
        <v>0</v>
      </c>
      <c r="P93" s="20">
        <f>IF(B93="","",IFERROR(INDEX(Products!$Z$5:$Z$304,MATCH(B93,Products!$A$5:$A$304,0)),""))</f>
        <v>0</v>
      </c>
      <c r="Q93" s="20">
        <f>IF(B93="","",IFERROR(INDEX(Products!$AH$5:$AH$304,MATCH(B93,Products!$A$5:$A$304,0))-INDEX(Products!$T$5:$T$304,MATCH(B93,Products!$A$5:$A$304,0))-INDEX(Products!$Z$5:$Z$304,MATCH(B93,Products!$A$5:$A$304,0)),0))</f>
        <v>0</v>
      </c>
      <c r="R93" s="36">
        <f>IF(B93="","",IFERROR(INDEX(Products!$X$5:$X$304,MATCH(B93,Products!$A$5:$A$304,0)),""))</f>
        <v>0</v>
      </c>
      <c r="S93" s="20">
        <f>IF(B93="","",IFERROR(INDEX(Products!$AR$5:$AR$304,MATCH(B93,Products!$A$5:$A$304,0)),""))</f>
        <v>0</v>
      </c>
      <c r="T93" s="41">
        <f>IF(B93="","",IFERROR(INDEX(SizeMaterialFactors,MATCH(E93,SizeNames,0)),1))</f>
        <v>0</v>
      </c>
      <c r="U93" s="41">
        <f>IF(B93="","",IFERROR(INDEX(SizeTimeFactors,MATCH(E93,SizeNames,0)),1))</f>
        <v>0</v>
      </c>
      <c r="V93" s="33">
        <f>IF(B93="","",IFERROR(INDEX(RushFactors,MATCH(H93,RushNames,0)),0))</f>
        <v>0</v>
      </c>
      <c r="W93" s="20">
        <f>IF(B93="","",ROUND(IF(O93="",0,O93)*T93+IF(F93="",0,F93),2))</f>
        <v>0</v>
      </c>
      <c r="X93" s="36">
        <f>IF(B93="","",ROUND(IF(R93="",0,R93)*U93+IF(G93="",0,G93),1))</f>
        <v>0</v>
      </c>
      <c r="Y93" s="20">
        <f>IF(B93="","",ROUND(IF(P93="",0,P93)*U93+IF(G93="",0,G93)/60*LaborCostHour,2))</f>
        <v>0</v>
      </c>
      <c r="Z93" s="20">
        <f>IF(B93="","",ROUND(W93+Y93+IF(Q93="",0,Q93),2))</f>
        <v>0</v>
      </c>
      <c r="AA93" s="33">
        <f>IF(B93="","",IFERROR(INDEX(Channels!$S$5:$S$18,MATCH(IF(J93="",DefaultChannel,J93),Channels!$A$5:$A$18,0)),0))</f>
        <v>0</v>
      </c>
      <c r="AB93" s="20">
        <f>IF(B93="","",IFERROR(INDEX(Channels!$T$5:$T$18,MATCH(IF(J93="",DefaultChannel,J93),Channels!$A$5:$A$18,0)),0))</f>
        <v>0</v>
      </c>
      <c r="AC93" s="41">
        <f>IF(B93="","",1-TargetRetailMargin-AA93)</f>
        <v>0</v>
      </c>
      <c r="AD93" s="20">
        <f>IF(B93="","",IF(AC93&lt;=0,"",((Z93+AB93)/AC93)*(1+V93)+IF(I93="",0,I93)))</f>
        <v>0</v>
      </c>
      <c r="AE93" s="20">
        <f>IF(B93="","",IF(AD93="","Check the settings",ROUND(IF(RoundingRule="None",AD93,IF(RoundingRule="Nearest 0.99",MAX(0.99,CEILING(AD93,1)-0.01),IF(RoundingRule="Nearest 0.95",MAX(0.95,CEILING(AD93,1)-0.05),IF(RoundingRule="Nearest 0.50",CEILING(AD93,0.5),IF(RoundingRule="Nearest 1",CEILING(AD93,1),IF(RoundingRule="Nearest 5",CEILING(AD93,5),IF(RoundingRule="Up to whole 1",CEILING(AD93,1),IF(RoundingRule="Up to whole 5",CEILING(AD93,5),ROUND(AD93,2))))))))),2)))</f>
        <v>0</v>
      </c>
      <c r="AF93" s="20">
        <f>IF(B93="","",IF(K93&lt;&gt;"",K93,IF(ISNUMBER(AE93),AE93,"")))</f>
        <v>0</v>
      </c>
      <c r="AG93" s="20">
        <f>IF(B93="","",IF(OR(AF93="",S93=""),"",ROUND(AF93-S93,2)))</f>
        <v>0</v>
      </c>
      <c r="AH93" s="20">
        <f>IF(B93="","",IF(AF93="","",ROUND(AF93*AA93+AB93,2)))</f>
        <v>0</v>
      </c>
      <c r="AI93" s="20">
        <f>IF(B93="","",IF(AF93="","",ROUND(AF93-Z93-AH93,2)))</f>
        <v>0</v>
      </c>
      <c r="AJ93" s="33">
        <f>IF(B93="","",IF(OR(AF93="",AF93=0),"",AI93/AF93))</f>
        <v>0</v>
      </c>
      <c r="AK93" s="20">
        <f>IF(B93="","",IF(OR(X93=0,X93="",AI93=""),"",ROUND((AI93+Y93)/(X93/60),2)))</f>
        <v>0</v>
      </c>
      <c r="AL93" s="43">
        <f>IF(B93="","",IF(N93="Not found","Check - no such product ID",IF(AF93="","Check - no price yet",IF(AI93&lt;0,"Loss - this version costs you money",IF(AND(AK93&lt;&gt;"",AK93&lt;MinimumWage),"Below - pays under minimum wage",IF(AND(G93&gt;0,AG93&lt;=0),"Check - extra work, no extra charge",IF(AJ93&lt;MarginWarning,"Low margin - re-price it","OK")))))))</f>
        <v>0</v>
      </c>
    </row>
    <row r="94" spans="1:38">
      <c r="A94" s="38">
        <f>IF(C94="","",VariationPrefix&amp;TEXT(ROW()-4,"0000"))</f>
        <v>0</v>
      </c>
      <c r="N94" s="13">
        <f>IF(B94="","",IFERROR(INDEX(Products!$B$5:$B$304,MATCH(B94,Products!$A$5:$A$304,0)),"Not found"))</f>
        <v>0</v>
      </c>
      <c r="O94" s="20">
        <f>IF(B94="","",IFERROR(INDEX(Products!$T$5:$T$304,MATCH(B94,Products!$A$5:$A$304,0)),""))</f>
        <v>0</v>
      </c>
      <c r="P94" s="20">
        <f>IF(B94="","",IFERROR(INDEX(Products!$Z$5:$Z$304,MATCH(B94,Products!$A$5:$A$304,0)),""))</f>
        <v>0</v>
      </c>
      <c r="Q94" s="20">
        <f>IF(B94="","",IFERROR(INDEX(Products!$AH$5:$AH$304,MATCH(B94,Products!$A$5:$A$304,0))-INDEX(Products!$T$5:$T$304,MATCH(B94,Products!$A$5:$A$304,0))-INDEX(Products!$Z$5:$Z$304,MATCH(B94,Products!$A$5:$A$304,0)),0))</f>
        <v>0</v>
      </c>
      <c r="R94" s="36">
        <f>IF(B94="","",IFERROR(INDEX(Products!$X$5:$X$304,MATCH(B94,Products!$A$5:$A$304,0)),""))</f>
        <v>0</v>
      </c>
      <c r="S94" s="20">
        <f>IF(B94="","",IFERROR(INDEX(Products!$AR$5:$AR$304,MATCH(B94,Products!$A$5:$A$304,0)),""))</f>
        <v>0</v>
      </c>
      <c r="T94" s="41">
        <f>IF(B94="","",IFERROR(INDEX(SizeMaterialFactors,MATCH(E94,SizeNames,0)),1))</f>
        <v>0</v>
      </c>
      <c r="U94" s="41">
        <f>IF(B94="","",IFERROR(INDEX(SizeTimeFactors,MATCH(E94,SizeNames,0)),1))</f>
        <v>0</v>
      </c>
      <c r="V94" s="33">
        <f>IF(B94="","",IFERROR(INDEX(RushFactors,MATCH(H94,RushNames,0)),0))</f>
        <v>0</v>
      </c>
      <c r="W94" s="20">
        <f>IF(B94="","",ROUND(IF(O94="",0,O94)*T94+IF(F94="",0,F94),2))</f>
        <v>0</v>
      </c>
      <c r="X94" s="36">
        <f>IF(B94="","",ROUND(IF(R94="",0,R94)*U94+IF(G94="",0,G94),1))</f>
        <v>0</v>
      </c>
      <c r="Y94" s="20">
        <f>IF(B94="","",ROUND(IF(P94="",0,P94)*U94+IF(G94="",0,G94)/60*LaborCostHour,2))</f>
        <v>0</v>
      </c>
      <c r="Z94" s="20">
        <f>IF(B94="","",ROUND(W94+Y94+IF(Q94="",0,Q94),2))</f>
        <v>0</v>
      </c>
      <c r="AA94" s="33">
        <f>IF(B94="","",IFERROR(INDEX(Channels!$S$5:$S$18,MATCH(IF(J94="",DefaultChannel,J94),Channels!$A$5:$A$18,0)),0))</f>
        <v>0</v>
      </c>
      <c r="AB94" s="20">
        <f>IF(B94="","",IFERROR(INDEX(Channels!$T$5:$T$18,MATCH(IF(J94="",DefaultChannel,J94),Channels!$A$5:$A$18,0)),0))</f>
        <v>0</v>
      </c>
      <c r="AC94" s="41">
        <f>IF(B94="","",1-TargetRetailMargin-AA94)</f>
        <v>0</v>
      </c>
      <c r="AD94" s="20">
        <f>IF(B94="","",IF(AC94&lt;=0,"",((Z94+AB94)/AC94)*(1+V94)+IF(I94="",0,I94)))</f>
        <v>0</v>
      </c>
      <c r="AE94" s="20">
        <f>IF(B94="","",IF(AD94="","Check the settings",ROUND(IF(RoundingRule="None",AD94,IF(RoundingRule="Nearest 0.99",MAX(0.99,CEILING(AD94,1)-0.01),IF(RoundingRule="Nearest 0.95",MAX(0.95,CEILING(AD94,1)-0.05),IF(RoundingRule="Nearest 0.50",CEILING(AD94,0.5),IF(RoundingRule="Nearest 1",CEILING(AD94,1),IF(RoundingRule="Nearest 5",CEILING(AD94,5),IF(RoundingRule="Up to whole 1",CEILING(AD94,1),IF(RoundingRule="Up to whole 5",CEILING(AD94,5),ROUND(AD94,2))))))))),2)))</f>
        <v>0</v>
      </c>
      <c r="AF94" s="20">
        <f>IF(B94="","",IF(K94&lt;&gt;"",K94,IF(ISNUMBER(AE94),AE94,"")))</f>
        <v>0</v>
      </c>
      <c r="AG94" s="20">
        <f>IF(B94="","",IF(OR(AF94="",S94=""),"",ROUND(AF94-S94,2)))</f>
        <v>0</v>
      </c>
      <c r="AH94" s="20">
        <f>IF(B94="","",IF(AF94="","",ROUND(AF94*AA94+AB94,2)))</f>
        <v>0</v>
      </c>
      <c r="AI94" s="20">
        <f>IF(B94="","",IF(AF94="","",ROUND(AF94-Z94-AH94,2)))</f>
        <v>0</v>
      </c>
      <c r="AJ94" s="33">
        <f>IF(B94="","",IF(OR(AF94="",AF94=0),"",AI94/AF94))</f>
        <v>0</v>
      </c>
      <c r="AK94" s="20">
        <f>IF(B94="","",IF(OR(X94=0,X94="",AI94=""),"",ROUND((AI94+Y94)/(X94/60),2)))</f>
        <v>0</v>
      </c>
      <c r="AL94" s="43">
        <f>IF(B94="","",IF(N94="Not found","Check - no such product ID",IF(AF94="","Check - no price yet",IF(AI94&lt;0,"Loss - this version costs you money",IF(AND(AK94&lt;&gt;"",AK94&lt;MinimumWage),"Below - pays under minimum wage",IF(AND(G94&gt;0,AG94&lt;=0),"Check - extra work, no extra charge",IF(AJ94&lt;MarginWarning,"Low margin - re-price it","OK")))))))</f>
        <v>0</v>
      </c>
    </row>
    <row r="95" spans="1:38">
      <c r="A95" s="38">
        <f>IF(C95="","",VariationPrefix&amp;TEXT(ROW()-4,"0000"))</f>
        <v>0</v>
      </c>
      <c r="N95" s="13">
        <f>IF(B95="","",IFERROR(INDEX(Products!$B$5:$B$304,MATCH(B95,Products!$A$5:$A$304,0)),"Not found"))</f>
        <v>0</v>
      </c>
      <c r="O95" s="20">
        <f>IF(B95="","",IFERROR(INDEX(Products!$T$5:$T$304,MATCH(B95,Products!$A$5:$A$304,0)),""))</f>
        <v>0</v>
      </c>
      <c r="P95" s="20">
        <f>IF(B95="","",IFERROR(INDEX(Products!$Z$5:$Z$304,MATCH(B95,Products!$A$5:$A$304,0)),""))</f>
        <v>0</v>
      </c>
      <c r="Q95" s="20">
        <f>IF(B95="","",IFERROR(INDEX(Products!$AH$5:$AH$304,MATCH(B95,Products!$A$5:$A$304,0))-INDEX(Products!$T$5:$T$304,MATCH(B95,Products!$A$5:$A$304,0))-INDEX(Products!$Z$5:$Z$304,MATCH(B95,Products!$A$5:$A$304,0)),0))</f>
        <v>0</v>
      </c>
      <c r="R95" s="36">
        <f>IF(B95="","",IFERROR(INDEX(Products!$X$5:$X$304,MATCH(B95,Products!$A$5:$A$304,0)),""))</f>
        <v>0</v>
      </c>
      <c r="S95" s="20">
        <f>IF(B95="","",IFERROR(INDEX(Products!$AR$5:$AR$304,MATCH(B95,Products!$A$5:$A$304,0)),""))</f>
        <v>0</v>
      </c>
      <c r="T95" s="41">
        <f>IF(B95="","",IFERROR(INDEX(SizeMaterialFactors,MATCH(E95,SizeNames,0)),1))</f>
        <v>0</v>
      </c>
      <c r="U95" s="41">
        <f>IF(B95="","",IFERROR(INDEX(SizeTimeFactors,MATCH(E95,SizeNames,0)),1))</f>
        <v>0</v>
      </c>
      <c r="V95" s="33">
        <f>IF(B95="","",IFERROR(INDEX(RushFactors,MATCH(H95,RushNames,0)),0))</f>
        <v>0</v>
      </c>
      <c r="W95" s="20">
        <f>IF(B95="","",ROUND(IF(O95="",0,O95)*T95+IF(F95="",0,F95),2))</f>
        <v>0</v>
      </c>
      <c r="X95" s="36">
        <f>IF(B95="","",ROUND(IF(R95="",0,R95)*U95+IF(G95="",0,G95),1))</f>
        <v>0</v>
      </c>
      <c r="Y95" s="20">
        <f>IF(B95="","",ROUND(IF(P95="",0,P95)*U95+IF(G95="",0,G95)/60*LaborCostHour,2))</f>
        <v>0</v>
      </c>
      <c r="Z95" s="20">
        <f>IF(B95="","",ROUND(W95+Y95+IF(Q95="",0,Q95),2))</f>
        <v>0</v>
      </c>
      <c r="AA95" s="33">
        <f>IF(B95="","",IFERROR(INDEX(Channels!$S$5:$S$18,MATCH(IF(J95="",DefaultChannel,J95),Channels!$A$5:$A$18,0)),0))</f>
        <v>0</v>
      </c>
      <c r="AB95" s="20">
        <f>IF(B95="","",IFERROR(INDEX(Channels!$T$5:$T$18,MATCH(IF(J95="",DefaultChannel,J95),Channels!$A$5:$A$18,0)),0))</f>
        <v>0</v>
      </c>
      <c r="AC95" s="41">
        <f>IF(B95="","",1-TargetRetailMargin-AA95)</f>
        <v>0</v>
      </c>
      <c r="AD95" s="20">
        <f>IF(B95="","",IF(AC95&lt;=0,"",((Z95+AB95)/AC95)*(1+V95)+IF(I95="",0,I95)))</f>
        <v>0</v>
      </c>
      <c r="AE95" s="20">
        <f>IF(B95="","",IF(AD95="","Check the settings",ROUND(IF(RoundingRule="None",AD95,IF(RoundingRule="Nearest 0.99",MAX(0.99,CEILING(AD95,1)-0.01),IF(RoundingRule="Nearest 0.95",MAX(0.95,CEILING(AD95,1)-0.05),IF(RoundingRule="Nearest 0.50",CEILING(AD95,0.5),IF(RoundingRule="Nearest 1",CEILING(AD95,1),IF(RoundingRule="Nearest 5",CEILING(AD95,5),IF(RoundingRule="Up to whole 1",CEILING(AD95,1),IF(RoundingRule="Up to whole 5",CEILING(AD95,5),ROUND(AD95,2))))))))),2)))</f>
        <v>0</v>
      </c>
      <c r="AF95" s="20">
        <f>IF(B95="","",IF(K95&lt;&gt;"",K95,IF(ISNUMBER(AE95),AE95,"")))</f>
        <v>0</v>
      </c>
      <c r="AG95" s="20">
        <f>IF(B95="","",IF(OR(AF95="",S95=""),"",ROUND(AF95-S95,2)))</f>
        <v>0</v>
      </c>
      <c r="AH95" s="20">
        <f>IF(B95="","",IF(AF95="","",ROUND(AF95*AA95+AB95,2)))</f>
        <v>0</v>
      </c>
      <c r="AI95" s="20">
        <f>IF(B95="","",IF(AF95="","",ROUND(AF95-Z95-AH95,2)))</f>
        <v>0</v>
      </c>
      <c r="AJ95" s="33">
        <f>IF(B95="","",IF(OR(AF95="",AF95=0),"",AI95/AF95))</f>
        <v>0</v>
      </c>
      <c r="AK95" s="20">
        <f>IF(B95="","",IF(OR(X95=0,X95="",AI95=""),"",ROUND((AI95+Y95)/(X95/60),2)))</f>
        <v>0</v>
      </c>
      <c r="AL95" s="43">
        <f>IF(B95="","",IF(N95="Not found","Check - no such product ID",IF(AF95="","Check - no price yet",IF(AI95&lt;0,"Loss - this version costs you money",IF(AND(AK95&lt;&gt;"",AK95&lt;MinimumWage),"Below - pays under minimum wage",IF(AND(G95&gt;0,AG95&lt;=0),"Check - extra work, no extra charge",IF(AJ95&lt;MarginWarning,"Low margin - re-price it","OK")))))))</f>
        <v>0</v>
      </c>
    </row>
    <row r="96" spans="1:38">
      <c r="A96" s="38">
        <f>IF(C96="","",VariationPrefix&amp;TEXT(ROW()-4,"0000"))</f>
        <v>0</v>
      </c>
      <c r="N96" s="13">
        <f>IF(B96="","",IFERROR(INDEX(Products!$B$5:$B$304,MATCH(B96,Products!$A$5:$A$304,0)),"Not found"))</f>
        <v>0</v>
      </c>
      <c r="O96" s="20">
        <f>IF(B96="","",IFERROR(INDEX(Products!$T$5:$T$304,MATCH(B96,Products!$A$5:$A$304,0)),""))</f>
        <v>0</v>
      </c>
      <c r="P96" s="20">
        <f>IF(B96="","",IFERROR(INDEX(Products!$Z$5:$Z$304,MATCH(B96,Products!$A$5:$A$304,0)),""))</f>
        <v>0</v>
      </c>
      <c r="Q96" s="20">
        <f>IF(B96="","",IFERROR(INDEX(Products!$AH$5:$AH$304,MATCH(B96,Products!$A$5:$A$304,0))-INDEX(Products!$T$5:$T$304,MATCH(B96,Products!$A$5:$A$304,0))-INDEX(Products!$Z$5:$Z$304,MATCH(B96,Products!$A$5:$A$304,0)),0))</f>
        <v>0</v>
      </c>
      <c r="R96" s="36">
        <f>IF(B96="","",IFERROR(INDEX(Products!$X$5:$X$304,MATCH(B96,Products!$A$5:$A$304,0)),""))</f>
        <v>0</v>
      </c>
      <c r="S96" s="20">
        <f>IF(B96="","",IFERROR(INDEX(Products!$AR$5:$AR$304,MATCH(B96,Products!$A$5:$A$304,0)),""))</f>
        <v>0</v>
      </c>
      <c r="T96" s="41">
        <f>IF(B96="","",IFERROR(INDEX(SizeMaterialFactors,MATCH(E96,SizeNames,0)),1))</f>
        <v>0</v>
      </c>
      <c r="U96" s="41">
        <f>IF(B96="","",IFERROR(INDEX(SizeTimeFactors,MATCH(E96,SizeNames,0)),1))</f>
        <v>0</v>
      </c>
      <c r="V96" s="33">
        <f>IF(B96="","",IFERROR(INDEX(RushFactors,MATCH(H96,RushNames,0)),0))</f>
        <v>0</v>
      </c>
      <c r="W96" s="20">
        <f>IF(B96="","",ROUND(IF(O96="",0,O96)*T96+IF(F96="",0,F96),2))</f>
        <v>0</v>
      </c>
      <c r="X96" s="36">
        <f>IF(B96="","",ROUND(IF(R96="",0,R96)*U96+IF(G96="",0,G96),1))</f>
        <v>0</v>
      </c>
      <c r="Y96" s="20">
        <f>IF(B96="","",ROUND(IF(P96="",0,P96)*U96+IF(G96="",0,G96)/60*LaborCostHour,2))</f>
        <v>0</v>
      </c>
      <c r="Z96" s="20">
        <f>IF(B96="","",ROUND(W96+Y96+IF(Q96="",0,Q96),2))</f>
        <v>0</v>
      </c>
      <c r="AA96" s="33">
        <f>IF(B96="","",IFERROR(INDEX(Channels!$S$5:$S$18,MATCH(IF(J96="",DefaultChannel,J96),Channels!$A$5:$A$18,0)),0))</f>
        <v>0</v>
      </c>
      <c r="AB96" s="20">
        <f>IF(B96="","",IFERROR(INDEX(Channels!$T$5:$T$18,MATCH(IF(J96="",DefaultChannel,J96),Channels!$A$5:$A$18,0)),0))</f>
        <v>0</v>
      </c>
      <c r="AC96" s="41">
        <f>IF(B96="","",1-TargetRetailMargin-AA96)</f>
        <v>0</v>
      </c>
      <c r="AD96" s="20">
        <f>IF(B96="","",IF(AC96&lt;=0,"",((Z96+AB96)/AC96)*(1+V96)+IF(I96="",0,I96)))</f>
        <v>0</v>
      </c>
      <c r="AE96" s="20">
        <f>IF(B96="","",IF(AD96="","Check the settings",ROUND(IF(RoundingRule="None",AD96,IF(RoundingRule="Nearest 0.99",MAX(0.99,CEILING(AD96,1)-0.01),IF(RoundingRule="Nearest 0.95",MAX(0.95,CEILING(AD96,1)-0.05),IF(RoundingRule="Nearest 0.50",CEILING(AD96,0.5),IF(RoundingRule="Nearest 1",CEILING(AD96,1),IF(RoundingRule="Nearest 5",CEILING(AD96,5),IF(RoundingRule="Up to whole 1",CEILING(AD96,1),IF(RoundingRule="Up to whole 5",CEILING(AD96,5),ROUND(AD96,2))))))))),2)))</f>
        <v>0</v>
      </c>
      <c r="AF96" s="20">
        <f>IF(B96="","",IF(K96&lt;&gt;"",K96,IF(ISNUMBER(AE96),AE96,"")))</f>
        <v>0</v>
      </c>
      <c r="AG96" s="20">
        <f>IF(B96="","",IF(OR(AF96="",S96=""),"",ROUND(AF96-S96,2)))</f>
        <v>0</v>
      </c>
      <c r="AH96" s="20">
        <f>IF(B96="","",IF(AF96="","",ROUND(AF96*AA96+AB96,2)))</f>
        <v>0</v>
      </c>
      <c r="AI96" s="20">
        <f>IF(B96="","",IF(AF96="","",ROUND(AF96-Z96-AH96,2)))</f>
        <v>0</v>
      </c>
      <c r="AJ96" s="33">
        <f>IF(B96="","",IF(OR(AF96="",AF96=0),"",AI96/AF96))</f>
        <v>0</v>
      </c>
      <c r="AK96" s="20">
        <f>IF(B96="","",IF(OR(X96=0,X96="",AI96=""),"",ROUND((AI96+Y96)/(X96/60),2)))</f>
        <v>0</v>
      </c>
      <c r="AL96" s="43">
        <f>IF(B96="","",IF(N96="Not found","Check - no such product ID",IF(AF96="","Check - no price yet",IF(AI96&lt;0,"Loss - this version costs you money",IF(AND(AK96&lt;&gt;"",AK96&lt;MinimumWage),"Below - pays under minimum wage",IF(AND(G96&gt;0,AG96&lt;=0),"Check - extra work, no extra charge",IF(AJ96&lt;MarginWarning,"Low margin - re-price it","OK")))))))</f>
        <v>0</v>
      </c>
    </row>
    <row r="97" spans="1:38">
      <c r="A97" s="38">
        <f>IF(C97="","",VariationPrefix&amp;TEXT(ROW()-4,"0000"))</f>
        <v>0</v>
      </c>
      <c r="N97" s="13">
        <f>IF(B97="","",IFERROR(INDEX(Products!$B$5:$B$304,MATCH(B97,Products!$A$5:$A$304,0)),"Not found"))</f>
        <v>0</v>
      </c>
      <c r="O97" s="20">
        <f>IF(B97="","",IFERROR(INDEX(Products!$T$5:$T$304,MATCH(B97,Products!$A$5:$A$304,0)),""))</f>
        <v>0</v>
      </c>
      <c r="P97" s="20">
        <f>IF(B97="","",IFERROR(INDEX(Products!$Z$5:$Z$304,MATCH(B97,Products!$A$5:$A$304,0)),""))</f>
        <v>0</v>
      </c>
      <c r="Q97" s="20">
        <f>IF(B97="","",IFERROR(INDEX(Products!$AH$5:$AH$304,MATCH(B97,Products!$A$5:$A$304,0))-INDEX(Products!$T$5:$T$304,MATCH(B97,Products!$A$5:$A$304,0))-INDEX(Products!$Z$5:$Z$304,MATCH(B97,Products!$A$5:$A$304,0)),0))</f>
        <v>0</v>
      </c>
      <c r="R97" s="36">
        <f>IF(B97="","",IFERROR(INDEX(Products!$X$5:$X$304,MATCH(B97,Products!$A$5:$A$304,0)),""))</f>
        <v>0</v>
      </c>
      <c r="S97" s="20">
        <f>IF(B97="","",IFERROR(INDEX(Products!$AR$5:$AR$304,MATCH(B97,Products!$A$5:$A$304,0)),""))</f>
        <v>0</v>
      </c>
      <c r="T97" s="41">
        <f>IF(B97="","",IFERROR(INDEX(SizeMaterialFactors,MATCH(E97,SizeNames,0)),1))</f>
        <v>0</v>
      </c>
      <c r="U97" s="41">
        <f>IF(B97="","",IFERROR(INDEX(SizeTimeFactors,MATCH(E97,SizeNames,0)),1))</f>
        <v>0</v>
      </c>
      <c r="V97" s="33">
        <f>IF(B97="","",IFERROR(INDEX(RushFactors,MATCH(H97,RushNames,0)),0))</f>
        <v>0</v>
      </c>
      <c r="W97" s="20">
        <f>IF(B97="","",ROUND(IF(O97="",0,O97)*T97+IF(F97="",0,F97),2))</f>
        <v>0</v>
      </c>
      <c r="X97" s="36">
        <f>IF(B97="","",ROUND(IF(R97="",0,R97)*U97+IF(G97="",0,G97),1))</f>
        <v>0</v>
      </c>
      <c r="Y97" s="20">
        <f>IF(B97="","",ROUND(IF(P97="",0,P97)*U97+IF(G97="",0,G97)/60*LaborCostHour,2))</f>
        <v>0</v>
      </c>
      <c r="Z97" s="20">
        <f>IF(B97="","",ROUND(W97+Y97+IF(Q97="",0,Q97),2))</f>
        <v>0</v>
      </c>
      <c r="AA97" s="33">
        <f>IF(B97="","",IFERROR(INDEX(Channels!$S$5:$S$18,MATCH(IF(J97="",DefaultChannel,J97),Channels!$A$5:$A$18,0)),0))</f>
        <v>0</v>
      </c>
      <c r="AB97" s="20">
        <f>IF(B97="","",IFERROR(INDEX(Channels!$T$5:$T$18,MATCH(IF(J97="",DefaultChannel,J97),Channels!$A$5:$A$18,0)),0))</f>
        <v>0</v>
      </c>
      <c r="AC97" s="41">
        <f>IF(B97="","",1-TargetRetailMargin-AA97)</f>
        <v>0</v>
      </c>
      <c r="AD97" s="20">
        <f>IF(B97="","",IF(AC97&lt;=0,"",((Z97+AB97)/AC97)*(1+V97)+IF(I97="",0,I97)))</f>
        <v>0</v>
      </c>
      <c r="AE97" s="20">
        <f>IF(B97="","",IF(AD97="","Check the settings",ROUND(IF(RoundingRule="None",AD97,IF(RoundingRule="Nearest 0.99",MAX(0.99,CEILING(AD97,1)-0.01),IF(RoundingRule="Nearest 0.95",MAX(0.95,CEILING(AD97,1)-0.05),IF(RoundingRule="Nearest 0.50",CEILING(AD97,0.5),IF(RoundingRule="Nearest 1",CEILING(AD97,1),IF(RoundingRule="Nearest 5",CEILING(AD97,5),IF(RoundingRule="Up to whole 1",CEILING(AD97,1),IF(RoundingRule="Up to whole 5",CEILING(AD97,5),ROUND(AD97,2))))))))),2)))</f>
        <v>0</v>
      </c>
      <c r="AF97" s="20">
        <f>IF(B97="","",IF(K97&lt;&gt;"",K97,IF(ISNUMBER(AE97),AE97,"")))</f>
        <v>0</v>
      </c>
      <c r="AG97" s="20">
        <f>IF(B97="","",IF(OR(AF97="",S97=""),"",ROUND(AF97-S97,2)))</f>
        <v>0</v>
      </c>
      <c r="AH97" s="20">
        <f>IF(B97="","",IF(AF97="","",ROUND(AF97*AA97+AB97,2)))</f>
        <v>0</v>
      </c>
      <c r="AI97" s="20">
        <f>IF(B97="","",IF(AF97="","",ROUND(AF97-Z97-AH97,2)))</f>
        <v>0</v>
      </c>
      <c r="AJ97" s="33">
        <f>IF(B97="","",IF(OR(AF97="",AF97=0),"",AI97/AF97))</f>
        <v>0</v>
      </c>
      <c r="AK97" s="20">
        <f>IF(B97="","",IF(OR(X97=0,X97="",AI97=""),"",ROUND((AI97+Y97)/(X97/60),2)))</f>
        <v>0</v>
      </c>
      <c r="AL97" s="43">
        <f>IF(B97="","",IF(N97="Not found","Check - no such product ID",IF(AF97="","Check - no price yet",IF(AI97&lt;0,"Loss - this version costs you money",IF(AND(AK97&lt;&gt;"",AK97&lt;MinimumWage),"Below - pays under minimum wage",IF(AND(G97&gt;0,AG97&lt;=0),"Check - extra work, no extra charge",IF(AJ97&lt;MarginWarning,"Low margin - re-price it","OK")))))))</f>
        <v>0</v>
      </c>
    </row>
    <row r="98" spans="1:38">
      <c r="A98" s="38">
        <f>IF(C98="","",VariationPrefix&amp;TEXT(ROW()-4,"0000"))</f>
        <v>0</v>
      </c>
      <c r="N98" s="13">
        <f>IF(B98="","",IFERROR(INDEX(Products!$B$5:$B$304,MATCH(B98,Products!$A$5:$A$304,0)),"Not found"))</f>
        <v>0</v>
      </c>
      <c r="O98" s="20">
        <f>IF(B98="","",IFERROR(INDEX(Products!$T$5:$T$304,MATCH(B98,Products!$A$5:$A$304,0)),""))</f>
        <v>0</v>
      </c>
      <c r="P98" s="20">
        <f>IF(B98="","",IFERROR(INDEX(Products!$Z$5:$Z$304,MATCH(B98,Products!$A$5:$A$304,0)),""))</f>
        <v>0</v>
      </c>
      <c r="Q98" s="20">
        <f>IF(B98="","",IFERROR(INDEX(Products!$AH$5:$AH$304,MATCH(B98,Products!$A$5:$A$304,0))-INDEX(Products!$T$5:$T$304,MATCH(B98,Products!$A$5:$A$304,0))-INDEX(Products!$Z$5:$Z$304,MATCH(B98,Products!$A$5:$A$304,0)),0))</f>
        <v>0</v>
      </c>
      <c r="R98" s="36">
        <f>IF(B98="","",IFERROR(INDEX(Products!$X$5:$X$304,MATCH(B98,Products!$A$5:$A$304,0)),""))</f>
        <v>0</v>
      </c>
      <c r="S98" s="20">
        <f>IF(B98="","",IFERROR(INDEX(Products!$AR$5:$AR$304,MATCH(B98,Products!$A$5:$A$304,0)),""))</f>
        <v>0</v>
      </c>
      <c r="T98" s="41">
        <f>IF(B98="","",IFERROR(INDEX(SizeMaterialFactors,MATCH(E98,SizeNames,0)),1))</f>
        <v>0</v>
      </c>
      <c r="U98" s="41">
        <f>IF(B98="","",IFERROR(INDEX(SizeTimeFactors,MATCH(E98,SizeNames,0)),1))</f>
        <v>0</v>
      </c>
      <c r="V98" s="33">
        <f>IF(B98="","",IFERROR(INDEX(RushFactors,MATCH(H98,RushNames,0)),0))</f>
        <v>0</v>
      </c>
      <c r="W98" s="20">
        <f>IF(B98="","",ROUND(IF(O98="",0,O98)*T98+IF(F98="",0,F98),2))</f>
        <v>0</v>
      </c>
      <c r="X98" s="36">
        <f>IF(B98="","",ROUND(IF(R98="",0,R98)*U98+IF(G98="",0,G98),1))</f>
        <v>0</v>
      </c>
      <c r="Y98" s="20">
        <f>IF(B98="","",ROUND(IF(P98="",0,P98)*U98+IF(G98="",0,G98)/60*LaborCostHour,2))</f>
        <v>0</v>
      </c>
      <c r="Z98" s="20">
        <f>IF(B98="","",ROUND(W98+Y98+IF(Q98="",0,Q98),2))</f>
        <v>0</v>
      </c>
      <c r="AA98" s="33">
        <f>IF(B98="","",IFERROR(INDEX(Channels!$S$5:$S$18,MATCH(IF(J98="",DefaultChannel,J98),Channels!$A$5:$A$18,0)),0))</f>
        <v>0</v>
      </c>
      <c r="AB98" s="20">
        <f>IF(B98="","",IFERROR(INDEX(Channels!$T$5:$T$18,MATCH(IF(J98="",DefaultChannel,J98),Channels!$A$5:$A$18,0)),0))</f>
        <v>0</v>
      </c>
      <c r="AC98" s="41">
        <f>IF(B98="","",1-TargetRetailMargin-AA98)</f>
        <v>0</v>
      </c>
      <c r="AD98" s="20">
        <f>IF(B98="","",IF(AC98&lt;=0,"",((Z98+AB98)/AC98)*(1+V98)+IF(I98="",0,I98)))</f>
        <v>0</v>
      </c>
      <c r="AE98" s="20">
        <f>IF(B98="","",IF(AD98="","Check the settings",ROUND(IF(RoundingRule="None",AD98,IF(RoundingRule="Nearest 0.99",MAX(0.99,CEILING(AD98,1)-0.01),IF(RoundingRule="Nearest 0.95",MAX(0.95,CEILING(AD98,1)-0.05),IF(RoundingRule="Nearest 0.50",CEILING(AD98,0.5),IF(RoundingRule="Nearest 1",CEILING(AD98,1),IF(RoundingRule="Nearest 5",CEILING(AD98,5),IF(RoundingRule="Up to whole 1",CEILING(AD98,1),IF(RoundingRule="Up to whole 5",CEILING(AD98,5),ROUND(AD98,2))))))))),2)))</f>
        <v>0</v>
      </c>
      <c r="AF98" s="20">
        <f>IF(B98="","",IF(K98&lt;&gt;"",K98,IF(ISNUMBER(AE98),AE98,"")))</f>
        <v>0</v>
      </c>
      <c r="AG98" s="20">
        <f>IF(B98="","",IF(OR(AF98="",S98=""),"",ROUND(AF98-S98,2)))</f>
        <v>0</v>
      </c>
      <c r="AH98" s="20">
        <f>IF(B98="","",IF(AF98="","",ROUND(AF98*AA98+AB98,2)))</f>
        <v>0</v>
      </c>
      <c r="AI98" s="20">
        <f>IF(B98="","",IF(AF98="","",ROUND(AF98-Z98-AH98,2)))</f>
        <v>0</v>
      </c>
      <c r="AJ98" s="33">
        <f>IF(B98="","",IF(OR(AF98="",AF98=0),"",AI98/AF98))</f>
        <v>0</v>
      </c>
      <c r="AK98" s="20">
        <f>IF(B98="","",IF(OR(X98=0,X98="",AI98=""),"",ROUND((AI98+Y98)/(X98/60),2)))</f>
        <v>0</v>
      </c>
      <c r="AL98" s="43">
        <f>IF(B98="","",IF(N98="Not found","Check - no such product ID",IF(AF98="","Check - no price yet",IF(AI98&lt;0,"Loss - this version costs you money",IF(AND(AK98&lt;&gt;"",AK98&lt;MinimumWage),"Below - pays under minimum wage",IF(AND(G98&gt;0,AG98&lt;=0),"Check - extra work, no extra charge",IF(AJ98&lt;MarginWarning,"Low margin - re-price it","OK")))))))</f>
        <v>0</v>
      </c>
    </row>
    <row r="99" spans="1:38">
      <c r="A99" s="38">
        <f>IF(C99="","",VariationPrefix&amp;TEXT(ROW()-4,"0000"))</f>
        <v>0</v>
      </c>
      <c r="N99" s="13">
        <f>IF(B99="","",IFERROR(INDEX(Products!$B$5:$B$304,MATCH(B99,Products!$A$5:$A$304,0)),"Not found"))</f>
        <v>0</v>
      </c>
      <c r="O99" s="20">
        <f>IF(B99="","",IFERROR(INDEX(Products!$T$5:$T$304,MATCH(B99,Products!$A$5:$A$304,0)),""))</f>
        <v>0</v>
      </c>
      <c r="P99" s="20">
        <f>IF(B99="","",IFERROR(INDEX(Products!$Z$5:$Z$304,MATCH(B99,Products!$A$5:$A$304,0)),""))</f>
        <v>0</v>
      </c>
      <c r="Q99" s="20">
        <f>IF(B99="","",IFERROR(INDEX(Products!$AH$5:$AH$304,MATCH(B99,Products!$A$5:$A$304,0))-INDEX(Products!$T$5:$T$304,MATCH(B99,Products!$A$5:$A$304,0))-INDEX(Products!$Z$5:$Z$304,MATCH(B99,Products!$A$5:$A$304,0)),0))</f>
        <v>0</v>
      </c>
      <c r="R99" s="36">
        <f>IF(B99="","",IFERROR(INDEX(Products!$X$5:$X$304,MATCH(B99,Products!$A$5:$A$304,0)),""))</f>
        <v>0</v>
      </c>
      <c r="S99" s="20">
        <f>IF(B99="","",IFERROR(INDEX(Products!$AR$5:$AR$304,MATCH(B99,Products!$A$5:$A$304,0)),""))</f>
        <v>0</v>
      </c>
      <c r="T99" s="41">
        <f>IF(B99="","",IFERROR(INDEX(SizeMaterialFactors,MATCH(E99,SizeNames,0)),1))</f>
        <v>0</v>
      </c>
      <c r="U99" s="41">
        <f>IF(B99="","",IFERROR(INDEX(SizeTimeFactors,MATCH(E99,SizeNames,0)),1))</f>
        <v>0</v>
      </c>
      <c r="V99" s="33">
        <f>IF(B99="","",IFERROR(INDEX(RushFactors,MATCH(H99,RushNames,0)),0))</f>
        <v>0</v>
      </c>
      <c r="W99" s="20">
        <f>IF(B99="","",ROUND(IF(O99="",0,O99)*T99+IF(F99="",0,F99),2))</f>
        <v>0</v>
      </c>
      <c r="X99" s="36">
        <f>IF(B99="","",ROUND(IF(R99="",0,R99)*U99+IF(G99="",0,G99),1))</f>
        <v>0</v>
      </c>
      <c r="Y99" s="20">
        <f>IF(B99="","",ROUND(IF(P99="",0,P99)*U99+IF(G99="",0,G99)/60*LaborCostHour,2))</f>
        <v>0</v>
      </c>
      <c r="Z99" s="20">
        <f>IF(B99="","",ROUND(W99+Y99+IF(Q99="",0,Q99),2))</f>
        <v>0</v>
      </c>
      <c r="AA99" s="33">
        <f>IF(B99="","",IFERROR(INDEX(Channels!$S$5:$S$18,MATCH(IF(J99="",DefaultChannel,J99),Channels!$A$5:$A$18,0)),0))</f>
        <v>0</v>
      </c>
      <c r="AB99" s="20">
        <f>IF(B99="","",IFERROR(INDEX(Channels!$T$5:$T$18,MATCH(IF(J99="",DefaultChannel,J99),Channels!$A$5:$A$18,0)),0))</f>
        <v>0</v>
      </c>
      <c r="AC99" s="41">
        <f>IF(B99="","",1-TargetRetailMargin-AA99)</f>
        <v>0</v>
      </c>
      <c r="AD99" s="20">
        <f>IF(B99="","",IF(AC99&lt;=0,"",((Z99+AB99)/AC99)*(1+V99)+IF(I99="",0,I99)))</f>
        <v>0</v>
      </c>
      <c r="AE99" s="20">
        <f>IF(B99="","",IF(AD99="","Check the settings",ROUND(IF(RoundingRule="None",AD99,IF(RoundingRule="Nearest 0.99",MAX(0.99,CEILING(AD99,1)-0.01),IF(RoundingRule="Nearest 0.95",MAX(0.95,CEILING(AD99,1)-0.05),IF(RoundingRule="Nearest 0.50",CEILING(AD99,0.5),IF(RoundingRule="Nearest 1",CEILING(AD99,1),IF(RoundingRule="Nearest 5",CEILING(AD99,5),IF(RoundingRule="Up to whole 1",CEILING(AD99,1),IF(RoundingRule="Up to whole 5",CEILING(AD99,5),ROUND(AD99,2))))))))),2)))</f>
        <v>0</v>
      </c>
      <c r="AF99" s="20">
        <f>IF(B99="","",IF(K99&lt;&gt;"",K99,IF(ISNUMBER(AE99),AE99,"")))</f>
        <v>0</v>
      </c>
      <c r="AG99" s="20">
        <f>IF(B99="","",IF(OR(AF99="",S99=""),"",ROUND(AF99-S99,2)))</f>
        <v>0</v>
      </c>
      <c r="AH99" s="20">
        <f>IF(B99="","",IF(AF99="","",ROUND(AF99*AA99+AB99,2)))</f>
        <v>0</v>
      </c>
      <c r="AI99" s="20">
        <f>IF(B99="","",IF(AF99="","",ROUND(AF99-Z99-AH99,2)))</f>
        <v>0</v>
      </c>
      <c r="AJ99" s="33">
        <f>IF(B99="","",IF(OR(AF99="",AF99=0),"",AI99/AF99))</f>
        <v>0</v>
      </c>
      <c r="AK99" s="20">
        <f>IF(B99="","",IF(OR(X99=0,X99="",AI99=""),"",ROUND((AI99+Y99)/(X99/60),2)))</f>
        <v>0</v>
      </c>
      <c r="AL99" s="43">
        <f>IF(B99="","",IF(N99="Not found","Check - no such product ID",IF(AF99="","Check - no price yet",IF(AI99&lt;0,"Loss - this version costs you money",IF(AND(AK99&lt;&gt;"",AK99&lt;MinimumWage),"Below - pays under minimum wage",IF(AND(G99&gt;0,AG99&lt;=0),"Check - extra work, no extra charge",IF(AJ99&lt;MarginWarning,"Low margin - re-price it","OK")))))))</f>
        <v>0</v>
      </c>
    </row>
    <row r="100" spans="1:38">
      <c r="A100" s="38">
        <f>IF(C100="","",VariationPrefix&amp;TEXT(ROW()-4,"0000"))</f>
        <v>0</v>
      </c>
      <c r="N100" s="13">
        <f>IF(B100="","",IFERROR(INDEX(Products!$B$5:$B$304,MATCH(B100,Products!$A$5:$A$304,0)),"Not found"))</f>
        <v>0</v>
      </c>
      <c r="O100" s="20">
        <f>IF(B100="","",IFERROR(INDEX(Products!$T$5:$T$304,MATCH(B100,Products!$A$5:$A$304,0)),""))</f>
        <v>0</v>
      </c>
      <c r="P100" s="20">
        <f>IF(B100="","",IFERROR(INDEX(Products!$Z$5:$Z$304,MATCH(B100,Products!$A$5:$A$304,0)),""))</f>
        <v>0</v>
      </c>
      <c r="Q100" s="20">
        <f>IF(B100="","",IFERROR(INDEX(Products!$AH$5:$AH$304,MATCH(B100,Products!$A$5:$A$304,0))-INDEX(Products!$T$5:$T$304,MATCH(B100,Products!$A$5:$A$304,0))-INDEX(Products!$Z$5:$Z$304,MATCH(B100,Products!$A$5:$A$304,0)),0))</f>
        <v>0</v>
      </c>
      <c r="R100" s="36">
        <f>IF(B100="","",IFERROR(INDEX(Products!$X$5:$X$304,MATCH(B100,Products!$A$5:$A$304,0)),""))</f>
        <v>0</v>
      </c>
      <c r="S100" s="20">
        <f>IF(B100="","",IFERROR(INDEX(Products!$AR$5:$AR$304,MATCH(B100,Products!$A$5:$A$304,0)),""))</f>
        <v>0</v>
      </c>
      <c r="T100" s="41">
        <f>IF(B100="","",IFERROR(INDEX(SizeMaterialFactors,MATCH(E100,SizeNames,0)),1))</f>
        <v>0</v>
      </c>
      <c r="U100" s="41">
        <f>IF(B100="","",IFERROR(INDEX(SizeTimeFactors,MATCH(E100,SizeNames,0)),1))</f>
        <v>0</v>
      </c>
      <c r="V100" s="33">
        <f>IF(B100="","",IFERROR(INDEX(RushFactors,MATCH(H100,RushNames,0)),0))</f>
        <v>0</v>
      </c>
      <c r="W100" s="20">
        <f>IF(B100="","",ROUND(IF(O100="",0,O100)*T100+IF(F100="",0,F100),2))</f>
        <v>0</v>
      </c>
      <c r="X100" s="36">
        <f>IF(B100="","",ROUND(IF(R100="",0,R100)*U100+IF(G100="",0,G100),1))</f>
        <v>0</v>
      </c>
      <c r="Y100" s="20">
        <f>IF(B100="","",ROUND(IF(P100="",0,P100)*U100+IF(G100="",0,G100)/60*LaborCostHour,2))</f>
        <v>0</v>
      </c>
      <c r="Z100" s="20">
        <f>IF(B100="","",ROUND(W100+Y100+IF(Q100="",0,Q100),2))</f>
        <v>0</v>
      </c>
      <c r="AA100" s="33">
        <f>IF(B100="","",IFERROR(INDEX(Channels!$S$5:$S$18,MATCH(IF(J100="",DefaultChannel,J100),Channels!$A$5:$A$18,0)),0))</f>
        <v>0</v>
      </c>
      <c r="AB100" s="20">
        <f>IF(B100="","",IFERROR(INDEX(Channels!$T$5:$T$18,MATCH(IF(J100="",DefaultChannel,J100),Channels!$A$5:$A$18,0)),0))</f>
        <v>0</v>
      </c>
      <c r="AC100" s="41">
        <f>IF(B100="","",1-TargetRetailMargin-AA100)</f>
        <v>0</v>
      </c>
      <c r="AD100" s="20">
        <f>IF(B100="","",IF(AC100&lt;=0,"",((Z100+AB100)/AC100)*(1+V100)+IF(I100="",0,I100)))</f>
        <v>0</v>
      </c>
      <c r="AE100" s="20">
        <f>IF(B100="","",IF(AD100="","Check the settings",ROUND(IF(RoundingRule="None",AD100,IF(RoundingRule="Nearest 0.99",MAX(0.99,CEILING(AD100,1)-0.01),IF(RoundingRule="Nearest 0.95",MAX(0.95,CEILING(AD100,1)-0.05),IF(RoundingRule="Nearest 0.50",CEILING(AD100,0.5),IF(RoundingRule="Nearest 1",CEILING(AD100,1),IF(RoundingRule="Nearest 5",CEILING(AD100,5),IF(RoundingRule="Up to whole 1",CEILING(AD100,1),IF(RoundingRule="Up to whole 5",CEILING(AD100,5),ROUND(AD100,2))))))))),2)))</f>
        <v>0</v>
      </c>
      <c r="AF100" s="20">
        <f>IF(B100="","",IF(K100&lt;&gt;"",K100,IF(ISNUMBER(AE100),AE100,"")))</f>
        <v>0</v>
      </c>
      <c r="AG100" s="20">
        <f>IF(B100="","",IF(OR(AF100="",S100=""),"",ROUND(AF100-S100,2)))</f>
        <v>0</v>
      </c>
      <c r="AH100" s="20">
        <f>IF(B100="","",IF(AF100="","",ROUND(AF100*AA100+AB100,2)))</f>
        <v>0</v>
      </c>
      <c r="AI100" s="20">
        <f>IF(B100="","",IF(AF100="","",ROUND(AF100-Z100-AH100,2)))</f>
        <v>0</v>
      </c>
      <c r="AJ100" s="33">
        <f>IF(B100="","",IF(OR(AF100="",AF100=0),"",AI100/AF100))</f>
        <v>0</v>
      </c>
      <c r="AK100" s="20">
        <f>IF(B100="","",IF(OR(X100=0,X100="",AI100=""),"",ROUND((AI100+Y100)/(X100/60),2)))</f>
        <v>0</v>
      </c>
      <c r="AL100" s="43">
        <f>IF(B100="","",IF(N100="Not found","Check - no such product ID",IF(AF100="","Check - no price yet",IF(AI100&lt;0,"Loss - this version costs you money",IF(AND(AK100&lt;&gt;"",AK100&lt;MinimumWage),"Below - pays under minimum wage",IF(AND(G100&gt;0,AG100&lt;=0),"Check - extra work, no extra charge",IF(AJ100&lt;MarginWarning,"Low margin - re-price it","OK")))))))</f>
        <v>0</v>
      </c>
    </row>
    <row r="101" spans="1:38">
      <c r="A101" s="38">
        <f>IF(C101="","",VariationPrefix&amp;TEXT(ROW()-4,"0000"))</f>
        <v>0</v>
      </c>
      <c r="N101" s="13">
        <f>IF(B101="","",IFERROR(INDEX(Products!$B$5:$B$304,MATCH(B101,Products!$A$5:$A$304,0)),"Not found"))</f>
        <v>0</v>
      </c>
      <c r="O101" s="20">
        <f>IF(B101="","",IFERROR(INDEX(Products!$T$5:$T$304,MATCH(B101,Products!$A$5:$A$304,0)),""))</f>
        <v>0</v>
      </c>
      <c r="P101" s="20">
        <f>IF(B101="","",IFERROR(INDEX(Products!$Z$5:$Z$304,MATCH(B101,Products!$A$5:$A$304,0)),""))</f>
        <v>0</v>
      </c>
      <c r="Q101" s="20">
        <f>IF(B101="","",IFERROR(INDEX(Products!$AH$5:$AH$304,MATCH(B101,Products!$A$5:$A$304,0))-INDEX(Products!$T$5:$T$304,MATCH(B101,Products!$A$5:$A$304,0))-INDEX(Products!$Z$5:$Z$304,MATCH(B101,Products!$A$5:$A$304,0)),0))</f>
        <v>0</v>
      </c>
      <c r="R101" s="36">
        <f>IF(B101="","",IFERROR(INDEX(Products!$X$5:$X$304,MATCH(B101,Products!$A$5:$A$304,0)),""))</f>
        <v>0</v>
      </c>
      <c r="S101" s="20">
        <f>IF(B101="","",IFERROR(INDEX(Products!$AR$5:$AR$304,MATCH(B101,Products!$A$5:$A$304,0)),""))</f>
        <v>0</v>
      </c>
      <c r="T101" s="41">
        <f>IF(B101="","",IFERROR(INDEX(SizeMaterialFactors,MATCH(E101,SizeNames,0)),1))</f>
        <v>0</v>
      </c>
      <c r="U101" s="41">
        <f>IF(B101="","",IFERROR(INDEX(SizeTimeFactors,MATCH(E101,SizeNames,0)),1))</f>
        <v>0</v>
      </c>
      <c r="V101" s="33">
        <f>IF(B101="","",IFERROR(INDEX(RushFactors,MATCH(H101,RushNames,0)),0))</f>
        <v>0</v>
      </c>
      <c r="W101" s="20">
        <f>IF(B101="","",ROUND(IF(O101="",0,O101)*T101+IF(F101="",0,F101),2))</f>
        <v>0</v>
      </c>
      <c r="X101" s="36">
        <f>IF(B101="","",ROUND(IF(R101="",0,R101)*U101+IF(G101="",0,G101),1))</f>
        <v>0</v>
      </c>
      <c r="Y101" s="20">
        <f>IF(B101="","",ROUND(IF(P101="",0,P101)*U101+IF(G101="",0,G101)/60*LaborCostHour,2))</f>
        <v>0</v>
      </c>
      <c r="Z101" s="20">
        <f>IF(B101="","",ROUND(W101+Y101+IF(Q101="",0,Q101),2))</f>
        <v>0</v>
      </c>
      <c r="AA101" s="33">
        <f>IF(B101="","",IFERROR(INDEX(Channels!$S$5:$S$18,MATCH(IF(J101="",DefaultChannel,J101),Channels!$A$5:$A$18,0)),0))</f>
        <v>0</v>
      </c>
      <c r="AB101" s="20">
        <f>IF(B101="","",IFERROR(INDEX(Channels!$T$5:$T$18,MATCH(IF(J101="",DefaultChannel,J101),Channels!$A$5:$A$18,0)),0))</f>
        <v>0</v>
      </c>
      <c r="AC101" s="41">
        <f>IF(B101="","",1-TargetRetailMargin-AA101)</f>
        <v>0</v>
      </c>
      <c r="AD101" s="20">
        <f>IF(B101="","",IF(AC101&lt;=0,"",((Z101+AB101)/AC101)*(1+V101)+IF(I101="",0,I101)))</f>
        <v>0</v>
      </c>
      <c r="AE101" s="20">
        <f>IF(B101="","",IF(AD101="","Check the settings",ROUND(IF(RoundingRule="None",AD101,IF(RoundingRule="Nearest 0.99",MAX(0.99,CEILING(AD101,1)-0.01),IF(RoundingRule="Nearest 0.95",MAX(0.95,CEILING(AD101,1)-0.05),IF(RoundingRule="Nearest 0.50",CEILING(AD101,0.5),IF(RoundingRule="Nearest 1",CEILING(AD101,1),IF(RoundingRule="Nearest 5",CEILING(AD101,5),IF(RoundingRule="Up to whole 1",CEILING(AD101,1),IF(RoundingRule="Up to whole 5",CEILING(AD101,5),ROUND(AD101,2))))))))),2)))</f>
        <v>0</v>
      </c>
      <c r="AF101" s="20">
        <f>IF(B101="","",IF(K101&lt;&gt;"",K101,IF(ISNUMBER(AE101),AE101,"")))</f>
        <v>0</v>
      </c>
      <c r="AG101" s="20">
        <f>IF(B101="","",IF(OR(AF101="",S101=""),"",ROUND(AF101-S101,2)))</f>
        <v>0</v>
      </c>
      <c r="AH101" s="20">
        <f>IF(B101="","",IF(AF101="","",ROUND(AF101*AA101+AB101,2)))</f>
        <v>0</v>
      </c>
      <c r="AI101" s="20">
        <f>IF(B101="","",IF(AF101="","",ROUND(AF101-Z101-AH101,2)))</f>
        <v>0</v>
      </c>
      <c r="AJ101" s="33">
        <f>IF(B101="","",IF(OR(AF101="",AF101=0),"",AI101/AF101))</f>
        <v>0</v>
      </c>
      <c r="AK101" s="20">
        <f>IF(B101="","",IF(OR(X101=0,X101="",AI101=""),"",ROUND((AI101+Y101)/(X101/60),2)))</f>
        <v>0</v>
      </c>
      <c r="AL101" s="43">
        <f>IF(B101="","",IF(N101="Not found","Check - no such product ID",IF(AF101="","Check - no price yet",IF(AI101&lt;0,"Loss - this version costs you money",IF(AND(AK101&lt;&gt;"",AK101&lt;MinimumWage),"Below - pays under minimum wage",IF(AND(G101&gt;0,AG101&lt;=0),"Check - extra work, no extra charge",IF(AJ101&lt;MarginWarning,"Low margin - re-price it","OK")))))))</f>
        <v>0</v>
      </c>
    </row>
    <row r="102" spans="1:38">
      <c r="A102" s="38">
        <f>IF(C102="","",VariationPrefix&amp;TEXT(ROW()-4,"0000"))</f>
        <v>0</v>
      </c>
      <c r="N102" s="13">
        <f>IF(B102="","",IFERROR(INDEX(Products!$B$5:$B$304,MATCH(B102,Products!$A$5:$A$304,0)),"Not found"))</f>
        <v>0</v>
      </c>
      <c r="O102" s="20">
        <f>IF(B102="","",IFERROR(INDEX(Products!$T$5:$T$304,MATCH(B102,Products!$A$5:$A$304,0)),""))</f>
        <v>0</v>
      </c>
      <c r="P102" s="20">
        <f>IF(B102="","",IFERROR(INDEX(Products!$Z$5:$Z$304,MATCH(B102,Products!$A$5:$A$304,0)),""))</f>
        <v>0</v>
      </c>
      <c r="Q102" s="20">
        <f>IF(B102="","",IFERROR(INDEX(Products!$AH$5:$AH$304,MATCH(B102,Products!$A$5:$A$304,0))-INDEX(Products!$T$5:$T$304,MATCH(B102,Products!$A$5:$A$304,0))-INDEX(Products!$Z$5:$Z$304,MATCH(B102,Products!$A$5:$A$304,0)),0))</f>
        <v>0</v>
      </c>
      <c r="R102" s="36">
        <f>IF(B102="","",IFERROR(INDEX(Products!$X$5:$X$304,MATCH(B102,Products!$A$5:$A$304,0)),""))</f>
        <v>0</v>
      </c>
      <c r="S102" s="20">
        <f>IF(B102="","",IFERROR(INDEX(Products!$AR$5:$AR$304,MATCH(B102,Products!$A$5:$A$304,0)),""))</f>
        <v>0</v>
      </c>
      <c r="T102" s="41">
        <f>IF(B102="","",IFERROR(INDEX(SizeMaterialFactors,MATCH(E102,SizeNames,0)),1))</f>
        <v>0</v>
      </c>
      <c r="U102" s="41">
        <f>IF(B102="","",IFERROR(INDEX(SizeTimeFactors,MATCH(E102,SizeNames,0)),1))</f>
        <v>0</v>
      </c>
      <c r="V102" s="33">
        <f>IF(B102="","",IFERROR(INDEX(RushFactors,MATCH(H102,RushNames,0)),0))</f>
        <v>0</v>
      </c>
      <c r="W102" s="20">
        <f>IF(B102="","",ROUND(IF(O102="",0,O102)*T102+IF(F102="",0,F102),2))</f>
        <v>0</v>
      </c>
      <c r="X102" s="36">
        <f>IF(B102="","",ROUND(IF(R102="",0,R102)*U102+IF(G102="",0,G102),1))</f>
        <v>0</v>
      </c>
      <c r="Y102" s="20">
        <f>IF(B102="","",ROUND(IF(P102="",0,P102)*U102+IF(G102="",0,G102)/60*LaborCostHour,2))</f>
        <v>0</v>
      </c>
      <c r="Z102" s="20">
        <f>IF(B102="","",ROUND(W102+Y102+IF(Q102="",0,Q102),2))</f>
        <v>0</v>
      </c>
      <c r="AA102" s="33">
        <f>IF(B102="","",IFERROR(INDEX(Channels!$S$5:$S$18,MATCH(IF(J102="",DefaultChannel,J102),Channels!$A$5:$A$18,0)),0))</f>
        <v>0</v>
      </c>
      <c r="AB102" s="20">
        <f>IF(B102="","",IFERROR(INDEX(Channels!$T$5:$T$18,MATCH(IF(J102="",DefaultChannel,J102),Channels!$A$5:$A$18,0)),0))</f>
        <v>0</v>
      </c>
      <c r="AC102" s="41">
        <f>IF(B102="","",1-TargetRetailMargin-AA102)</f>
        <v>0</v>
      </c>
      <c r="AD102" s="20">
        <f>IF(B102="","",IF(AC102&lt;=0,"",((Z102+AB102)/AC102)*(1+V102)+IF(I102="",0,I102)))</f>
        <v>0</v>
      </c>
      <c r="AE102" s="20">
        <f>IF(B102="","",IF(AD102="","Check the settings",ROUND(IF(RoundingRule="None",AD102,IF(RoundingRule="Nearest 0.99",MAX(0.99,CEILING(AD102,1)-0.01),IF(RoundingRule="Nearest 0.95",MAX(0.95,CEILING(AD102,1)-0.05),IF(RoundingRule="Nearest 0.50",CEILING(AD102,0.5),IF(RoundingRule="Nearest 1",CEILING(AD102,1),IF(RoundingRule="Nearest 5",CEILING(AD102,5),IF(RoundingRule="Up to whole 1",CEILING(AD102,1),IF(RoundingRule="Up to whole 5",CEILING(AD102,5),ROUND(AD102,2))))))))),2)))</f>
        <v>0</v>
      </c>
      <c r="AF102" s="20">
        <f>IF(B102="","",IF(K102&lt;&gt;"",K102,IF(ISNUMBER(AE102),AE102,"")))</f>
        <v>0</v>
      </c>
      <c r="AG102" s="20">
        <f>IF(B102="","",IF(OR(AF102="",S102=""),"",ROUND(AF102-S102,2)))</f>
        <v>0</v>
      </c>
      <c r="AH102" s="20">
        <f>IF(B102="","",IF(AF102="","",ROUND(AF102*AA102+AB102,2)))</f>
        <v>0</v>
      </c>
      <c r="AI102" s="20">
        <f>IF(B102="","",IF(AF102="","",ROUND(AF102-Z102-AH102,2)))</f>
        <v>0</v>
      </c>
      <c r="AJ102" s="33">
        <f>IF(B102="","",IF(OR(AF102="",AF102=0),"",AI102/AF102))</f>
        <v>0</v>
      </c>
      <c r="AK102" s="20">
        <f>IF(B102="","",IF(OR(X102=0,X102="",AI102=""),"",ROUND((AI102+Y102)/(X102/60),2)))</f>
        <v>0</v>
      </c>
      <c r="AL102" s="43">
        <f>IF(B102="","",IF(N102="Not found","Check - no such product ID",IF(AF102="","Check - no price yet",IF(AI102&lt;0,"Loss - this version costs you money",IF(AND(AK102&lt;&gt;"",AK102&lt;MinimumWage),"Below - pays under minimum wage",IF(AND(G102&gt;0,AG102&lt;=0),"Check - extra work, no extra charge",IF(AJ102&lt;MarginWarning,"Low margin - re-price it","OK")))))))</f>
        <v>0</v>
      </c>
    </row>
    <row r="103" spans="1:38">
      <c r="A103" s="38">
        <f>IF(C103="","",VariationPrefix&amp;TEXT(ROW()-4,"0000"))</f>
        <v>0</v>
      </c>
      <c r="N103" s="13">
        <f>IF(B103="","",IFERROR(INDEX(Products!$B$5:$B$304,MATCH(B103,Products!$A$5:$A$304,0)),"Not found"))</f>
        <v>0</v>
      </c>
      <c r="O103" s="20">
        <f>IF(B103="","",IFERROR(INDEX(Products!$T$5:$T$304,MATCH(B103,Products!$A$5:$A$304,0)),""))</f>
        <v>0</v>
      </c>
      <c r="P103" s="20">
        <f>IF(B103="","",IFERROR(INDEX(Products!$Z$5:$Z$304,MATCH(B103,Products!$A$5:$A$304,0)),""))</f>
        <v>0</v>
      </c>
      <c r="Q103" s="20">
        <f>IF(B103="","",IFERROR(INDEX(Products!$AH$5:$AH$304,MATCH(B103,Products!$A$5:$A$304,0))-INDEX(Products!$T$5:$T$304,MATCH(B103,Products!$A$5:$A$304,0))-INDEX(Products!$Z$5:$Z$304,MATCH(B103,Products!$A$5:$A$304,0)),0))</f>
        <v>0</v>
      </c>
      <c r="R103" s="36">
        <f>IF(B103="","",IFERROR(INDEX(Products!$X$5:$X$304,MATCH(B103,Products!$A$5:$A$304,0)),""))</f>
        <v>0</v>
      </c>
      <c r="S103" s="20">
        <f>IF(B103="","",IFERROR(INDEX(Products!$AR$5:$AR$304,MATCH(B103,Products!$A$5:$A$304,0)),""))</f>
        <v>0</v>
      </c>
      <c r="T103" s="41">
        <f>IF(B103="","",IFERROR(INDEX(SizeMaterialFactors,MATCH(E103,SizeNames,0)),1))</f>
        <v>0</v>
      </c>
      <c r="U103" s="41">
        <f>IF(B103="","",IFERROR(INDEX(SizeTimeFactors,MATCH(E103,SizeNames,0)),1))</f>
        <v>0</v>
      </c>
      <c r="V103" s="33">
        <f>IF(B103="","",IFERROR(INDEX(RushFactors,MATCH(H103,RushNames,0)),0))</f>
        <v>0</v>
      </c>
      <c r="W103" s="20">
        <f>IF(B103="","",ROUND(IF(O103="",0,O103)*T103+IF(F103="",0,F103),2))</f>
        <v>0</v>
      </c>
      <c r="X103" s="36">
        <f>IF(B103="","",ROUND(IF(R103="",0,R103)*U103+IF(G103="",0,G103),1))</f>
        <v>0</v>
      </c>
      <c r="Y103" s="20">
        <f>IF(B103="","",ROUND(IF(P103="",0,P103)*U103+IF(G103="",0,G103)/60*LaborCostHour,2))</f>
        <v>0</v>
      </c>
      <c r="Z103" s="20">
        <f>IF(B103="","",ROUND(W103+Y103+IF(Q103="",0,Q103),2))</f>
        <v>0</v>
      </c>
      <c r="AA103" s="33">
        <f>IF(B103="","",IFERROR(INDEX(Channels!$S$5:$S$18,MATCH(IF(J103="",DefaultChannel,J103),Channels!$A$5:$A$18,0)),0))</f>
        <v>0</v>
      </c>
      <c r="AB103" s="20">
        <f>IF(B103="","",IFERROR(INDEX(Channels!$T$5:$T$18,MATCH(IF(J103="",DefaultChannel,J103),Channels!$A$5:$A$18,0)),0))</f>
        <v>0</v>
      </c>
      <c r="AC103" s="41">
        <f>IF(B103="","",1-TargetRetailMargin-AA103)</f>
        <v>0</v>
      </c>
      <c r="AD103" s="20">
        <f>IF(B103="","",IF(AC103&lt;=0,"",((Z103+AB103)/AC103)*(1+V103)+IF(I103="",0,I103)))</f>
        <v>0</v>
      </c>
      <c r="AE103" s="20">
        <f>IF(B103="","",IF(AD103="","Check the settings",ROUND(IF(RoundingRule="None",AD103,IF(RoundingRule="Nearest 0.99",MAX(0.99,CEILING(AD103,1)-0.01),IF(RoundingRule="Nearest 0.95",MAX(0.95,CEILING(AD103,1)-0.05),IF(RoundingRule="Nearest 0.50",CEILING(AD103,0.5),IF(RoundingRule="Nearest 1",CEILING(AD103,1),IF(RoundingRule="Nearest 5",CEILING(AD103,5),IF(RoundingRule="Up to whole 1",CEILING(AD103,1),IF(RoundingRule="Up to whole 5",CEILING(AD103,5),ROUND(AD103,2))))))))),2)))</f>
        <v>0</v>
      </c>
      <c r="AF103" s="20">
        <f>IF(B103="","",IF(K103&lt;&gt;"",K103,IF(ISNUMBER(AE103),AE103,"")))</f>
        <v>0</v>
      </c>
      <c r="AG103" s="20">
        <f>IF(B103="","",IF(OR(AF103="",S103=""),"",ROUND(AF103-S103,2)))</f>
        <v>0</v>
      </c>
      <c r="AH103" s="20">
        <f>IF(B103="","",IF(AF103="","",ROUND(AF103*AA103+AB103,2)))</f>
        <v>0</v>
      </c>
      <c r="AI103" s="20">
        <f>IF(B103="","",IF(AF103="","",ROUND(AF103-Z103-AH103,2)))</f>
        <v>0</v>
      </c>
      <c r="AJ103" s="33">
        <f>IF(B103="","",IF(OR(AF103="",AF103=0),"",AI103/AF103))</f>
        <v>0</v>
      </c>
      <c r="AK103" s="20">
        <f>IF(B103="","",IF(OR(X103=0,X103="",AI103=""),"",ROUND((AI103+Y103)/(X103/60),2)))</f>
        <v>0</v>
      </c>
      <c r="AL103" s="43">
        <f>IF(B103="","",IF(N103="Not found","Check - no such product ID",IF(AF103="","Check - no price yet",IF(AI103&lt;0,"Loss - this version costs you money",IF(AND(AK103&lt;&gt;"",AK103&lt;MinimumWage),"Below - pays under minimum wage",IF(AND(G103&gt;0,AG103&lt;=0),"Check - extra work, no extra charge",IF(AJ103&lt;MarginWarning,"Low margin - re-price it","OK")))))))</f>
        <v>0</v>
      </c>
    </row>
    <row r="104" spans="1:38">
      <c r="A104" s="38">
        <f>IF(C104="","",VariationPrefix&amp;TEXT(ROW()-4,"0000"))</f>
        <v>0</v>
      </c>
      <c r="N104" s="13">
        <f>IF(B104="","",IFERROR(INDEX(Products!$B$5:$B$304,MATCH(B104,Products!$A$5:$A$304,0)),"Not found"))</f>
        <v>0</v>
      </c>
      <c r="O104" s="20">
        <f>IF(B104="","",IFERROR(INDEX(Products!$T$5:$T$304,MATCH(B104,Products!$A$5:$A$304,0)),""))</f>
        <v>0</v>
      </c>
      <c r="P104" s="20">
        <f>IF(B104="","",IFERROR(INDEX(Products!$Z$5:$Z$304,MATCH(B104,Products!$A$5:$A$304,0)),""))</f>
        <v>0</v>
      </c>
      <c r="Q104" s="20">
        <f>IF(B104="","",IFERROR(INDEX(Products!$AH$5:$AH$304,MATCH(B104,Products!$A$5:$A$304,0))-INDEX(Products!$T$5:$T$304,MATCH(B104,Products!$A$5:$A$304,0))-INDEX(Products!$Z$5:$Z$304,MATCH(B104,Products!$A$5:$A$304,0)),0))</f>
        <v>0</v>
      </c>
      <c r="R104" s="36">
        <f>IF(B104="","",IFERROR(INDEX(Products!$X$5:$X$304,MATCH(B104,Products!$A$5:$A$304,0)),""))</f>
        <v>0</v>
      </c>
      <c r="S104" s="20">
        <f>IF(B104="","",IFERROR(INDEX(Products!$AR$5:$AR$304,MATCH(B104,Products!$A$5:$A$304,0)),""))</f>
        <v>0</v>
      </c>
      <c r="T104" s="41">
        <f>IF(B104="","",IFERROR(INDEX(SizeMaterialFactors,MATCH(E104,SizeNames,0)),1))</f>
        <v>0</v>
      </c>
      <c r="U104" s="41">
        <f>IF(B104="","",IFERROR(INDEX(SizeTimeFactors,MATCH(E104,SizeNames,0)),1))</f>
        <v>0</v>
      </c>
      <c r="V104" s="33">
        <f>IF(B104="","",IFERROR(INDEX(RushFactors,MATCH(H104,RushNames,0)),0))</f>
        <v>0</v>
      </c>
      <c r="W104" s="20">
        <f>IF(B104="","",ROUND(IF(O104="",0,O104)*T104+IF(F104="",0,F104),2))</f>
        <v>0</v>
      </c>
      <c r="X104" s="36">
        <f>IF(B104="","",ROUND(IF(R104="",0,R104)*U104+IF(G104="",0,G104),1))</f>
        <v>0</v>
      </c>
      <c r="Y104" s="20">
        <f>IF(B104="","",ROUND(IF(P104="",0,P104)*U104+IF(G104="",0,G104)/60*LaborCostHour,2))</f>
        <v>0</v>
      </c>
      <c r="Z104" s="20">
        <f>IF(B104="","",ROUND(W104+Y104+IF(Q104="",0,Q104),2))</f>
        <v>0</v>
      </c>
      <c r="AA104" s="33">
        <f>IF(B104="","",IFERROR(INDEX(Channels!$S$5:$S$18,MATCH(IF(J104="",DefaultChannel,J104),Channels!$A$5:$A$18,0)),0))</f>
        <v>0</v>
      </c>
      <c r="AB104" s="20">
        <f>IF(B104="","",IFERROR(INDEX(Channels!$T$5:$T$18,MATCH(IF(J104="",DefaultChannel,J104),Channels!$A$5:$A$18,0)),0))</f>
        <v>0</v>
      </c>
      <c r="AC104" s="41">
        <f>IF(B104="","",1-TargetRetailMargin-AA104)</f>
        <v>0</v>
      </c>
      <c r="AD104" s="20">
        <f>IF(B104="","",IF(AC104&lt;=0,"",((Z104+AB104)/AC104)*(1+V104)+IF(I104="",0,I104)))</f>
        <v>0</v>
      </c>
      <c r="AE104" s="20">
        <f>IF(B104="","",IF(AD104="","Check the settings",ROUND(IF(RoundingRule="None",AD104,IF(RoundingRule="Nearest 0.99",MAX(0.99,CEILING(AD104,1)-0.01),IF(RoundingRule="Nearest 0.95",MAX(0.95,CEILING(AD104,1)-0.05),IF(RoundingRule="Nearest 0.50",CEILING(AD104,0.5),IF(RoundingRule="Nearest 1",CEILING(AD104,1),IF(RoundingRule="Nearest 5",CEILING(AD104,5),IF(RoundingRule="Up to whole 1",CEILING(AD104,1),IF(RoundingRule="Up to whole 5",CEILING(AD104,5),ROUND(AD104,2))))))))),2)))</f>
        <v>0</v>
      </c>
      <c r="AF104" s="20">
        <f>IF(B104="","",IF(K104&lt;&gt;"",K104,IF(ISNUMBER(AE104),AE104,"")))</f>
        <v>0</v>
      </c>
      <c r="AG104" s="20">
        <f>IF(B104="","",IF(OR(AF104="",S104=""),"",ROUND(AF104-S104,2)))</f>
        <v>0</v>
      </c>
      <c r="AH104" s="20">
        <f>IF(B104="","",IF(AF104="","",ROUND(AF104*AA104+AB104,2)))</f>
        <v>0</v>
      </c>
      <c r="AI104" s="20">
        <f>IF(B104="","",IF(AF104="","",ROUND(AF104-Z104-AH104,2)))</f>
        <v>0</v>
      </c>
      <c r="AJ104" s="33">
        <f>IF(B104="","",IF(OR(AF104="",AF104=0),"",AI104/AF104))</f>
        <v>0</v>
      </c>
      <c r="AK104" s="20">
        <f>IF(B104="","",IF(OR(X104=0,X104="",AI104=""),"",ROUND((AI104+Y104)/(X104/60),2)))</f>
        <v>0</v>
      </c>
      <c r="AL104" s="43">
        <f>IF(B104="","",IF(N104="Not found","Check - no such product ID",IF(AF104="","Check - no price yet",IF(AI104&lt;0,"Loss - this version costs you money",IF(AND(AK104&lt;&gt;"",AK104&lt;MinimumWage),"Below - pays under minimum wage",IF(AND(G104&gt;0,AG104&lt;=0),"Check - extra work, no extra charge",IF(AJ104&lt;MarginWarning,"Low margin - re-price it","OK")))))))</f>
        <v>0</v>
      </c>
    </row>
    <row r="105" spans="1:38">
      <c r="A105" s="38">
        <f>IF(C105="","",VariationPrefix&amp;TEXT(ROW()-4,"0000"))</f>
        <v>0</v>
      </c>
      <c r="N105" s="13">
        <f>IF(B105="","",IFERROR(INDEX(Products!$B$5:$B$304,MATCH(B105,Products!$A$5:$A$304,0)),"Not found"))</f>
        <v>0</v>
      </c>
      <c r="O105" s="20">
        <f>IF(B105="","",IFERROR(INDEX(Products!$T$5:$T$304,MATCH(B105,Products!$A$5:$A$304,0)),""))</f>
        <v>0</v>
      </c>
      <c r="P105" s="20">
        <f>IF(B105="","",IFERROR(INDEX(Products!$Z$5:$Z$304,MATCH(B105,Products!$A$5:$A$304,0)),""))</f>
        <v>0</v>
      </c>
      <c r="Q105" s="20">
        <f>IF(B105="","",IFERROR(INDEX(Products!$AH$5:$AH$304,MATCH(B105,Products!$A$5:$A$304,0))-INDEX(Products!$T$5:$T$304,MATCH(B105,Products!$A$5:$A$304,0))-INDEX(Products!$Z$5:$Z$304,MATCH(B105,Products!$A$5:$A$304,0)),0))</f>
        <v>0</v>
      </c>
      <c r="R105" s="36">
        <f>IF(B105="","",IFERROR(INDEX(Products!$X$5:$X$304,MATCH(B105,Products!$A$5:$A$304,0)),""))</f>
        <v>0</v>
      </c>
      <c r="S105" s="20">
        <f>IF(B105="","",IFERROR(INDEX(Products!$AR$5:$AR$304,MATCH(B105,Products!$A$5:$A$304,0)),""))</f>
        <v>0</v>
      </c>
      <c r="T105" s="41">
        <f>IF(B105="","",IFERROR(INDEX(SizeMaterialFactors,MATCH(E105,SizeNames,0)),1))</f>
        <v>0</v>
      </c>
      <c r="U105" s="41">
        <f>IF(B105="","",IFERROR(INDEX(SizeTimeFactors,MATCH(E105,SizeNames,0)),1))</f>
        <v>0</v>
      </c>
      <c r="V105" s="33">
        <f>IF(B105="","",IFERROR(INDEX(RushFactors,MATCH(H105,RushNames,0)),0))</f>
        <v>0</v>
      </c>
      <c r="W105" s="20">
        <f>IF(B105="","",ROUND(IF(O105="",0,O105)*T105+IF(F105="",0,F105),2))</f>
        <v>0</v>
      </c>
      <c r="X105" s="36">
        <f>IF(B105="","",ROUND(IF(R105="",0,R105)*U105+IF(G105="",0,G105),1))</f>
        <v>0</v>
      </c>
      <c r="Y105" s="20">
        <f>IF(B105="","",ROUND(IF(P105="",0,P105)*U105+IF(G105="",0,G105)/60*LaborCostHour,2))</f>
        <v>0</v>
      </c>
      <c r="Z105" s="20">
        <f>IF(B105="","",ROUND(W105+Y105+IF(Q105="",0,Q105),2))</f>
        <v>0</v>
      </c>
      <c r="AA105" s="33">
        <f>IF(B105="","",IFERROR(INDEX(Channels!$S$5:$S$18,MATCH(IF(J105="",DefaultChannel,J105),Channels!$A$5:$A$18,0)),0))</f>
        <v>0</v>
      </c>
      <c r="AB105" s="20">
        <f>IF(B105="","",IFERROR(INDEX(Channels!$T$5:$T$18,MATCH(IF(J105="",DefaultChannel,J105),Channels!$A$5:$A$18,0)),0))</f>
        <v>0</v>
      </c>
      <c r="AC105" s="41">
        <f>IF(B105="","",1-TargetRetailMargin-AA105)</f>
        <v>0</v>
      </c>
      <c r="AD105" s="20">
        <f>IF(B105="","",IF(AC105&lt;=0,"",((Z105+AB105)/AC105)*(1+V105)+IF(I105="",0,I105)))</f>
        <v>0</v>
      </c>
      <c r="AE105" s="20">
        <f>IF(B105="","",IF(AD105="","Check the settings",ROUND(IF(RoundingRule="None",AD105,IF(RoundingRule="Nearest 0.99",MAX(0.99,CEILING(AD105,1)-0.01),IF(RoundingRule="Nearest 0.95",MAX(0.95,CEILING(AD105,1)-0.05),IF(RoundingRule="Nearest 0.50",CEILING(AD105,0.5),IF(RoundingRule="Nearest 1",CEILING(AD105,1),IF(RoundingRule="Nearest 5",CEILING(AD105,5),IF(RoundingRule="Up to whole 1",CEILING(AD105,1),IF(RoundingRule="Up to whole 5",CEILING(AD105,5),ROUND(AD105,2))))))))),2)))</f>
        <v>0</v>
      </c>
      <c r="AF105" s="20">
        <f>IF(B105="","",IF(K105&lt;&gt;"",K105,IF(ISNUMBER(AE105),AE105,"")))</f>
        <v>0</v>
      </c>
      <c r="AG105" s="20">
        <f>IF(B105="","",IF(OR(AF105="",S105=""),"",ROUND(AF105-S105,2)))</f>
        <v>0</v>
      </c>
      <c r="AH105" s="20">
        <f>IF(B105="","",IF(AF105="","",ROUND(AF105*AA105+AB105,2)))</f>
        <v>0</v>
      </c>
      <c r="AI105" s="20">
        <f>IF(B105="","",IF(AF105="","",ROUND(AF105-Z105-AH105,2)))</f>
        <v>0</v>
      </c>
      <c r="AJ105" s="33">
        <f>IF(B105="","",IF(OR(AF105="",AF105=0),"",AI105/AF105))</f>
        <v>0</v>
      </c>
      <c r="AK105" s="20">
        <f>IF(B105="","",IF(OR(X105=0,X105="",AI105=""),"",ROUND((AI105+Y105)/(X105/60),2)))</f>
        <v>0</v>
      </c>
      <c r="AL105" s="43">
        <f>IF(B105="","",IF(N105="Not found","Check - no such product ID",IF(AF105="","Check - no price yet",IF(AI105&lt;0,"Loss - this version costs you money",IF(AND(AK105&lt;&gt;"",AK105&lt;MinimumWage),"Below - pays under minimum wage",IF(AND(G105&gt;0,AG105&lt;=0),"Check - extra work, no extra charge",IF(AJ105&lt;MarginWarning,"Low margin - re-price it","OK")))))))</f>
        <v>0</v>
      </c>
    </row>
    <row r="106" spans="1:38">
      <c r="A106" s="38">
        <f>IF(C106="","",VariationPrefix&amp;TEXT(ROW()-4,"0000"))</f>
        <v>0</v>
      </c>
      <c r="N106" s="13">
        <f>IF(B106="","",IFERROR(INDEX(Products!$B$5:$B$304,MATCH(B106,Products!$A$5:$A$304,0)),"Not found"))</f>
        <v>0</v>
      </c>
      <c r="O106" s="20">
        <f>IF(B106="","",IFERROR(INDEX(Products!$T$5:$T$304,MATCH(B106,Products!$A$5:$A$304,0)),""))</f>
        <v>0</v>
      </c>
      <c r="P106" s="20">
        <f>IF(B106="","",IFERROR(INDEX(Products!$Z$5:$Z$304,MATCH(B106,Products!$A$5:$A$304,0)),""))</f>
        <v>0</v>
      </c>
      <c r="Q106" s="20">
        <f>IF(B106="","",IFERROR(INDEX(Products!$AH$5:$AH$304,MATCH(B106,Products!$A$5:$A$304,0))-INDEX(Products!$T$5:$T$304,MATCH(B106,Products!$A$5:$A$304,0))-INDEX(Products!$Z$5:$Z$304,MATCH(B106,Products!$A$5:$A$304,0)),0))</f>
        <v>0</v>
      </c>
      <c r="R106" s="36">
        <f>IF(B106="","",IFERROR(INDEX(Products!$X$5:$X$304,MATCH(B106,Products!$A$5:$A$304,0)),""))</f>
        <v>0</v>
      </c>
      <c r="S106" s="20">
        <f>IF(B106="","",IFERROR(INDEX(Products!$AR$5:$AR$304,MATCH(B106,Products!$A$5:$A$304,0)),""))</f>
        <v>0</v>
      </c>
      <c r="T106" s="41">
        <f>IF(B106="","",IFERROR(INDEX(SizeMaterialFactors,MATCH(E106,SizeNames,0)),1))</f>
        <v>0</v>
      </c>
      <c r="U106" s="41">
        <f>IF(B106="","",IFERROR(INDEX(SizeTimeFactors,MATCH(E106,SizeNames,0)),1))</f>
        <v>0</v>
      </c>
      <c r="V106" s="33">
        <f>IF(B106="","",IFERROR(INDEX(RushFactors,MATCH(H106,RushNames,0)),0))</f>
        <v>0</v>
      </c>
      <c r="W106" s="20">
        <f>IF(B106="","",ROUND(IF(O106="",0,O106)*T106+IF(F106="",0,F106),2))</f>
        <v>0</v>
      </c>
      <c r="X106" s="36">
        <f>IF(B106="","",ROUND(IF(R106="",0,R106)*U106+IF(G106="",0,G106),1))</f>
        <v>0</v>
      </c>
      <c r="Y106" s="20">
        <f>IF(B106="","",ROUND(IF(P106="",0,P106)*U106+IF(G106="",0,G106)/60*LaborCostHour,2))</f>
        <v>0</v>
      </c>
      <c r="Z106" s="20">
        <f>IF(B106="","",ROUND(W106+Y106+IF(Q106="",0,Q106),2))</f>
        <v>0</v>
      </c>
      <c r="AA106" s="33">
        <f>IF(B106="","",IFERROR(INDEX(Channels!$S$5:$S$18,MATCH(IF(J106="",DefaultChannel,J106),Channels!$A$5:$A$18,0)),0))</f>
        <v>0</v>
      </c>
      <c r="AB106" s="20">
        <f>IF(B106="","",IFERROR(INDEX(Channels!$T$5:$T$18,MATCH(IF(J106="",DefaultChannel,J106),Channels!$A$5:$A$18,0)),0))</f>
        <v>0</v>
      </c>
      <c r="AC106" s="41">
        <f>IF(B106="","",1-TargetRetailMargin-AA106)</f>
        <v>0</v>
      </c>
      <c r="AD106" s="20">
        <f>IF(B106="","",IF(AC106&lt;=0,"",((Z106+AB106)/AC106)*(1+V106)+IF(I106="",0,I106)))</f>
        <v>0</v>
      </c>
      <c r="AE106" s="20">
        <f>IF(B106="","",IF(AD106="","Check the settings",ROUND(IF(RoundingRule="None",AD106,IF(RoundingRule="Nearest 0.99",MAX(0.99,CEILING(AD106,1)-0.01),IF(RoundingRule="Nearest 0.95",MAX(0.95,CEILING(AD106,1)-0.05),IF(RoundingRule="Nearest 0.50",CEILING(AD106,0.5),IF(RoundingRule="Nearest 1",CEILING(AD106,1),IF(RoundingRule="Nearest 5",CEILING(AD106,5),IF(RoundingRule="Up to whole 1",CEILING(AD106,1),IF(RoundingRule="Up to whole 5",CEILING(AD106,5),ROUND(AD106,2))))))))),2)))</f>
        <v>0</v>
      </c>
      <c r="AF106" s="20">
        <f>IF(B106="","",IF(K106&lt;&gt;"",K106,IF(ISNUMBER(AE106),AE106,"")))</f>
        <v>0</v>
      </c>
      <c r="AG106" s="20">
        <f>IF(B106="","",IF(OR(AF106="",S106=""),"",ROUND(AF106-S106,2)))</f>
        <v>0</v>
      </c>
      <c r="AH106" s="20">
        <f>IF(B106="","",IF(AF106="","",ROUND(AF106*AA106+AB106,2)))</f>
        <v>0</v>
      </c>
      <c r="AI106" s="20">
        <f>IF(B106="","",IF(AF106="","",ROUND(AF106-Z106-AH106,2)))</f>
        <v>0</v>
      </c>
      <c r="AJ106" s="33">
        <f>IF(B106="","",IF(OR(AF106="",AF106=0),"",AI106/AF106))</f>
        <v>0</v>
      </c>
      <c r="AK106" s="20">
        <f>IF(B106="","",IF(OR(X106=0,X106="",AI106=""),"",ROUND((AI106+Y106)/(X106/60),2)))</f>
        <v>0</v>
      </c>
      <c r="AL106" s="43">
        <f>IF(B106="","",IF(N106="Not found","Check - no such product ID",IF(AF106="","Check - no price yet",IF(AI106&lt;0,"Loss - this version costs you money",IF(AND(AK106&lt;&gt;"",AK106&lt;MinimumWage),"Below - pays under minimum wage",IF(AND(G106&gt;0,AG106&lt;=0),"Check - extra work, no extra charge",IF(AJ106&lt;MarginWarning,"Low margin - re-price it","OK")))))))</f>
        <v>0</v>
      </c>
    </row>
    <row r="107" spans="1:38">
      <c r="A107" s="38">
        <f>IF(C107="","",VariationPrefix&amp;TEXT(ROW()-4,"0000"))</f>
        <v>0</v>
      </c>
      <c r="N107" s="13">
        <f>IF(B107="","",IFERROR(INDEX(Products!$B$5:$B$304,MATCH(B107,Products!$A$5:$A$304,0)),"Not found"))</f>
        <v>0</v>
      </c>
      <c r="O107" s="20">
        <f>IF(B107="","",IFERROR(INDEX(Products!$T$5:$T$304,MATCH(B107,Products!$A$5:$A$304,0)),""))</f>
        <v>0</v>
      </c>
      <c r="P107" s="20">
        <f>IF(B107="","",IFERROR(INDEX(Products!$Z$5:$Z$304,MATCH(B107,Products!$A$5:$A$304,0)),""))</f>
        <v>0</v>
      </c>
      <c r="Q107" s="20">
        <f>IF(B107="","",IFERROR(INDEX(Products!$AH$5:$AH$304,MATCH(B107,Products!$A$5:$A$304,0))-INDEX(Products!$T$5:$T$304,MATCH(B107,Products!$A$5:$A$304,0))-INDEX(Products!$Z$5:$Z$304,MATCH(B107,Products!$A$5:$A$304,0)),0))</f>
        <v>0</v>
      </c>
      <c r="R107" s="36">
        <f>IF(B107="","",IFERROR(INDEX(Products!$X$5:$X$304,MATCH(B107,Products!$A$5:$A$304,0)),""))</f>
        <v>0</v>
      </c>
      <c r="S107" s="20">
        <f>IF(B107="","",IFERROR(INDEX(Products!$AR$5:$AR$304,MATCH(B107,Products!$A$5:$A$304,0)),""))</f>
        <v>0</v>
      </c>
      <c r="T107" s="41">
        <f>IF(B107="","",IFERROR(INDEX(SizeMaterialFactors,MATCH(E107,SizeNames,0)),1))</f>
        <v>0</v>
      </c>
      <c r="U107" s="41">
        <f>IF(B107="","",IFERROR(INDEX(SizeTimeFactors,MATCH(E107,SizeNames,0)),1))</f>
        <v>0</v>
      </c>
      <c r="V107" s="33">
        <f>IF(B107="","",IFERROR(INDEX(RushFactors,MATCH(H107,RushNames,0)),0))</f>
        <v>0</v>
      </c>
      <c r="W107" s="20">
        <f>IF(B107="","",ROUND(IF(O107="",0,O107)*T107+IF(F107="",0,F107),2))</f>
        <v>0</v>
      </c>
      <c r="X107" s="36">
        <f>IF(B107="","",ROUND(IF(R107="",0,R107)*U107+IF(G107="",0,G107),1))</f>
        <v>0</v>
      </c>
      <c r="Y107" s="20">
        <f>IF(B107="","",ROUND(IF(P107="",0,P107)*U107+IF(G107="",0,G107)/60*LaborCostHour,2))</f>
        <v>0</v>
      </c>
      <c r="Z107" s="20">
        <f>IF(B107="","",ROUND(W107+Y107+IF(Q107="",0,Q107),2))</f>
        <v>0</v>
      </c>
      <c r="AA107" s="33">
        <f>IF(B107="","",IFERROR(INDEX(Channels!$S$5:$S$18,MATCH(IF(J107="",DefaultChannel,J107),Channels!$A$5:$A$18,0)),0))</f>
        <v>0</v>
      </c>
      <c r="AB107" s="20">
        <f>IF(B107="","",IFERROR(INDEX(Channels!$T$5:$T$18,MATCH(IF(J107="",DefaultChannel,J107),Channels!$A$5:$A$18,0)),0))</f>
        <v>0</v>
      </c>
      <c r="AC107" s="41">
        <f>IF(B107="","",1-TargetRetailMargin-AA107)</f>
        <v>0</v>
      </c>
      <c r="AD107" s="20">
        <f>IF(B107="","",IF(AC107&lt;=0,"",((Z107+AB107)/AC107)*(1+V107)+IF(I107="",0,I107)))</f>
        <v>0</v>
      </c>
      <c r="AE107" s="20">
        <f>IF(B107="","",IF(AD107="","Check the settings",ROUND(IF(RoundingRule="None",AD107,IF(RoundingRule="Nearest 0.99",MAX(0.99,CEILING(AD107,1)-0.01),IF(RoundingRule="Nearest 0.95",MAX(0.95,CEILING(AD107,1)-0.05),IF(RoundingRule="Nearest 0.50",CEILING(AD107,0.5),IF(RoundingRule="Nearest 1",CEILING(AD107,1),IF(RoundingRule="Nearest 5",CEILING(AD107,5),IF(RoundingRule="Up to whole 1",CEILING(AD107,1),IF(RoundingRule="Up to whole 5",CEILING(AD107,5),ROUND(AD107,2))))))))),2)))</f>
        <v>0</v>
      </c>
      <c r="AF107" s="20">
        <f>IF(B107="","",IF(K107&lt;&gt;"",K107,IF(ISNUMBER(AE107),AE107,"")))</f>
        <v>0</v>
      </c>
      <c r="AG107" s="20">
        <f>IF(B107="","",IF(OR(AF107="",S107=""),"",ROUND(AF107-S107,2)))</f>
        <v>0</v>
      </c>
      <c r="AH107" s="20">
        <f>IF(B107="","",IF(AF107="","",ROUND(AF107*AA107+AB107,2)))</f>
        <v>0</v>
      </c>
      <c r="AI107" s="20">
        <f>IF(B107="","",IF(AF107="","",ROUND(AF107-Z107-AH107,2)))</f>
        <v>0</v>
      </c>
      <c r="AJ107" s="33">
        <f>IF(B107="","",IF(OR(AF107="",AF107=0),"",AI107/AF107))</f>
        <v>0</v>
      </c>
      <c r="AK107" s="20">
        <f>IF(B107="","",IF(OR(X107=0,X107="",AI107=""),"",ROUND((AI107+Y107)/(X107/60),2)))</f>
        <v>0</v>
      </c>
      <c r="AL107" s="43">
        <f>IF(B107="","",IF(N107="Not found","Check - no such product ID",IF(AF107="","Check - no price yet",IF(AI107&lt;0,"Loss - this version costs you money",IF(AND(AK107&lt;&gt;"",AK107&lt;MinimumWage),"Below - pays under minimum wage",IF(AND(G107&gt;0,AG107&lt;=0),"Check - extra work, no extra charge",IF(AJ107&lt;MarginWarning,"Low margin - re-price it","OK")))))))</f>
        <v>0</v>
      </c>
    </row>
    <row r="108" spans="1:38">
      <c r="A108" s="38">
        <f>IF(C108="","",VariationPrefix&amp;TEXT(ROW()-4,"0000"))</f>
        <v>0</v>
      </c>
      <c r="N108" s="13">
        <f>IF(B108="","",IFERROR(INDEX(Products!$B$5:$B$304,MATCH(B108,Products!$A$5:$A$304,0)),"Not found"))</f>
        <v>0</v>
      </c>
      <c r="O108" s="20">
        <f>IF(B108="","",IFERROR(INDEX(Products!$T$5:$T$304,MATCH(B108,Products!$A$5:$A$304,0)),""))</f>
        <v>0</v>
      </c>
      <c r="P108" s="20">
        <f>IF(B108="","",IFERROR(INDEX(Products!$Z$5:$Z$304,MATCH(B108,Products!$A$5:$A$304,0)),""))</f>
        <v>0</v>
      </c>
      <c r="Q108" s="20">
        <f>IF(B108="","",IFERROR(INDEX(Products!$AH$5:$AH$304,MATCH(B108,Products!$A$5:$A$304,0))-INDEX(Products!$T$5:$T$304,MATCH(B108,Products!$A$5:$A$304,0))-INDEX(Products!$Z$5:$Z$304,MATCH(B108,Products!$A$5:$A$304,0)),0))</f>
        <v>0</v>
      </c>
      <c r="R108" s="36">
        <f>IF(B108="","",IFERROR(INDEX(Products!$X$5:$X$304,MATCH(B108,Products!$A$5:$A$304,0)),""))</f>
        <v>0</v>
      </c>
      <c r="S108" s="20">
        <f>IF(B108="","",IFERROR(INDEX(Products!$AR$5:$AR$304,MATCH(B108,Products!$A$5:$A$304,0)),""))</f>
        <v>0</v>
      </c>
      <c r="T108" s="41">
        <f>IF(B108="","",IFERROR(INDEX(SizeMaterialFactors,MATCH(E108,SizeNames,0)),1))</f>
        <v>0</v>
      </c>
      <c r="U108" s="41">
        <f>IF(B108="","",IFERROR(INDEX(SizeTimeFactors,MATCH(E108,SizeNames,0)),1))</f>
        <v>0</v>
      </c>
      <c r="V108" s="33">
        <f>IF(B108="","",IFERROR(INDEX(RushFactors,MATCH(H108,RushNames,0)),0))</f>
        <v>0</v>
      </c>
      <c r="W108" s="20">
        <f>IF(B108="","",ROUND(IF(O108="",0,O108)*T108+IF(F108="",0,F108),2))</f>
        <v>0</v>
      </c>
      <c r="X108" s="36">
        <f>IF(B108="","",ROUND(IF(R108="",0,R108)*U108+IF(G108="",0,G108),1))</f>
        <v>0</v>
      </c>
      <c r="Y108" s="20">
        <f>IF(B108="","",ROUND(IF(P108="",0,P108)*U108+IF(G108="",0,G108)/60*LaborCostHour,2))</f>
        <v>0</v>
      </c>
      <c r="Z108" s="20">
        <f>IF(B108="","",ROUND(W108+Y108+IF(Q108="",0,Q108),2))</f>
        <v>0</v>
      </c>
      <c r="AA108" s="33">
        <f>IF(B108="","",IFERROR(INDEX(Channels!$S$5:$S$18,MATCH(IF(J108="",DefaultChannel,J108),Channels!$A$5:$A$18,0)),0))</f>
        <v>0</v>
      </c>
      <c r="AB108" s="20">
        <f>IF(B108="","",IFERROR(INDEX(Channels!$T$5:$T$18,MATCH(IF(J108="",DefaultChannel,J108),Channels!$A$5:$A$18,0)),0))</f>
        <v>0</v>
      </c>
      <c r="AC108" s="41">
        <f>IF(B108="","",1-TargetRetailMargin-AA108)</f>
        <v>0</v>
      </c>
      <c r="AD108" s="20">
        <f>IF(B108="","",IF(AC108&lt;=0,"",((Z108+AB108)/AC108)*(1+V108)+IF(I108="",0,I108)))</f>
        <v>0</v>
      </c>
      <c r="AE108" s="20">
        <f>IF(B108="","",IF(AD108="","Check the settings",ROUND(IF(RoundingRule="None",AD108,IF(RoundingRule="Nearest 0.99",MAX(0.99,CEILING(AD108,1)-0.01),IF(RoundingRule="Nearest 0.95",MAX(0.95,CEILING(AD108,1)-0.05),IF(RoundingRule="Nearest 0.50",CEILING(AD108,0.5),IF(RoundingRule="Nearest 1",CEILING(AD108,1),IF(RoundingRule="Nearest 5",CEILING(AD108,5),IF(RoundingRule="Up to whole 1",CEILING(AD108,1),IF(RoundingRule="Up to whole 5",CEILING(AD108,5),ROUND(AD108,2))))))))),2)))</f>
        <v>0</v>
      </c>
      <c r="AF108" s="20">
        <f>IF(B108="","",IF(K108&lt;&gt;"",K108,IF(ISNUMBER(AE108),AE108,"")))</f>
        <v>0</v>
      </c>
      <c r="AG108" s="20">
        <f>IF(B108="","",IF(OR(AF108="",S108=""),"",ROUND(AF108-S108,2)))</f>
        <v>0</v>
      </c>
      <c r="AH108" s="20">
        <f>IF(B108="","",IF(AF108="","",ROUND(AF108*AA108+AB108,2)))</f>
        <v>0</v>
      </c>
      <c r="AI108" s="20">
        <f>IF(B108="","",IF(AF108="","",ROUND(AF108-Z108-AH108,2)))</f>
        <v>0</v>
      </c>
      <c r="AJ108" s="33">
        <f>IF(B108="","",IF(OR(AF108="",AF108=0),"",AI108/AF108))</f>
        <v>0</v>
      </c>
      <c r="AK108" s="20">
        <f>IF(B108="","",IF(OR(X108=0,X108="",AI108=""),"",ROUND((AI108+Y108)/(X108/60),2)))</f>
        <v>0</v>
      </c>
      <c r="AL108" s="43">
        <f>IF(B108="","",IF(N108="Not found","Check - no such product ID",IF(AF108="","Check - no price yet",IF(AI108&lt;0,"Loss - this version costs you money",IF(AND(AK108&lt;&gt;"",AK108&lt;MinimumWage),"Below - pays under minimum wage",IF(AND(G108&gt;0,AG108&lt;=0),"Check - extra work, no extra charge",IF(AJ108&lt;MarginWarning,"Low margin - re-price it","OK")))))))</f>
        <v>0</v>
      </c>
    </row>
    <row r="109" spans="1:38">
      <c r="A109" s="38">
        <f>IF(C109="","",VariationPrefix&amp;TEXT(ROW()-4,"0000"))</f>
        <v>0</v>
      </c>
      <c r="N109" s="13">
        <f>IF(B109="","",IFERROR(INDEX(Products!$B$5:$B$304,MATCH(B109,Products!$A$5:$A$304,0)),"Not found"))</f>
        <v>0</v>
      </c>
      <c r="O109" s="20">
        <f>IF(B109="","",IFERROR(INDEX(Products!$T$5:$T$304,MATCH(B109,Products!$A$5:$A$304,0)),""))</f>
        <v>0</v>
      </c>
      <c r="P109" s="20">
        <f>IF(B109="","",IFERROR(INDEX(Products!$Z$5:$Z$304,MATCH(B109,Products!$A$5:$A$304,0)),""))</f>
        <v>0</v>
      </c>
      <c r="Q109" s="20">
        <f>IF(B109="","",IFERROR(INDEX(Products!$AH$5:$AH$304,MATCH(B109,Products!$A$5:$A$304,0))-INDEX(Products!$T$5:$T$304,MATCH(B109,Products!$A$5:$A$304,0))-INDEX(Products!$Z$5:$Z$304,MATCH(B109,Products!$A$5:$A$304,0)),0))</f>
        <v>0</v>
      </c>
      <c r="R109" s="36">
        <f>IF(B109="","",IFERROR(INDEX(Products!$X$5:$X$304,MATCH(B109,Products!$A$5:$A$304,0)),""))</f>
        <v>0</v>
      </c>
      <c r="S109" s="20">
        <f>IF(B109="","",IFERROR(INDEX(Products!$AR$5:$AR$304,MATCH(B109,Products!$A$5:$A$304,0)),""))</f>
        <v>0</v>
      </c>
      <c r="T109" s="41">
        <f>IF(B109="","",IFERROR(INDEX(SizeMaterialFactors,MATCH(E109,SizeNames,0)),1))</f>
        <v>0</v>
      </c>
      <c r="U109" s="41">
        <f>IF(B109="","",IFERROR(INDEX(SizeTimeFactors,MATCH(E109,SizeNames,0)),1))</f>
        <v>0</v>
      </c>
      <c r="V109" s="33">
        <f>IF(B109="","",IFERROR(INDEX(RushFactors,MATCH(H109,RushNames,0)),0))</f>
        <v>0</v>
      </c>
      <c r="W109" s="20">
        <f>IF(B109="","",ROUND(IF(O109="",0,O109)*T109+IF(F109="",0,F109),2))</f>
        <v>0</v>
      </c>
      <c r="X109" s="36">
        <f>IF(B109="","",ROUND(IF(R109="",0,R109)*U109+IF(G109="",0,G109),1))</f>
        <v>0</v>
      </c>
      <c r="Y109" s="20">
        <f>IF(B109="","",ROUND(IF(P109="",0,P109)*U109+IF(G109="",0,G109)/60*LaborCostHour,2))</f>
        <v>0</v>
      </c>
      <c r="Z109" s="20">
        <f>IF(B109="","",ROUND(W109+Y109+IF(Q109="",0,Q109),2))</f>
        <v>0</v>
      </c>
      <c r="AA109" s="33">
        <f>IF(B109="","",IFERROR(INDEX(Channels!$S$5:$S$18,MATCH(IF(J109="",DefaultChannel,J109),Channels!$A$5:$A$18,0)),0))</f>
        <v>0</v>
      </c>
      <c r="AB109" s="20">
        <f>IF(B109="","",IFERROR(INDEX(Channels!$T$5:$T$18,MATCH(IF(J109="",DefaultChannel,J109),Channels!$A$5:$A$18,0)),0))</f>
        <v>0</v>
      </c>
      <c r="AC109" s="41">
        <f>IF(B109="","",1-TargetRetailMargin-AA109)</f>
        <v>0</v>
      </c>
      <c r="AD109" s="20">
        <f>IF(B109="","",IF(AC109&lt;=0,"",((Z109+AB109)/AC109)*(1+V109)+IF(I109="",0,I109)))</f>
        <v>0</v>
      </c>
      <c r="AE109" s="20">
        <f>IF(B109="","",IF(AD109="","Check the settings",ROUND(IF(RoundingRule="None",AD109,IF(RoundingRule="Nearest 0.99",MAX(0.99,CEILING(AD109,1)-0.01),IF(RoundingRule="Nearest 0.95",MAX(0.95,CEILING(AD109,1)-0.05),IF(RoundingRule="Nearest 0.50",CEILING(AD109,0.5),IF(RoundingRule="Nearest 1",CEILING(AD109,1),IF(RoundingRule="Nearest 5",CEILING(AD109,5),IF(RoundingRule="Up to whole 1",CEILING(AD109,1),IF(RoundingRule="Up to whole 5",CEILING(AD109,5),ROUND(AD109,2))))))))),2)))</f>
        <v>0</v>
      </c>
      <c r="AF109" s="20">
        <f>IF(B109="","",IF(K109&lt;&gt;"",K109,IF(ISNUMBER(AE109),AE109,"")))</f>
        <v>0</v>
      </c>
      <c r="AG109" s="20">
        <f>IF(B109="","",IF(OR(AF109="",S109=""),"",ROUND(AF109-S109,2)))</f>
        <v>0</v>
      </c>
      <c r="AH109" s="20">
        <f>IF(B109="","",IF(AF109="","",ROUND(AF109*AA109+AB109,2)))</f>
        <v>0</v>
      </c>
      <c r="AI109" s="20">
        <f>IF(B109="","",IF(AF109="","",ROUND(AF109-Z109-AH109,2)))</f>
        <v>0</v>
      </c>
      <c r="AJ109" s="33">
        <f>IF(B109="","",IF(OR(AF109="",AF109=0),"",AI109/AF109))</f>
        <v>0</v>
      </c>
      <c r="AK109" s="20">
        <f>IF(B109="","",IF(OR(X109=0,X109="",AI109=""),"",ROUND((AI109+Y109)/(X109/60),2)))</f>
        <v>0</v>
      </c>
      <c r="AL109" s="43">
        <f>IF(B109="","",IF(N109="Not found","Check - no such product ID",IF(AF109="","Check - no price yet",IF(AI109&lt;0,"Loss - this version costs you money",IF(AND(AK109&lt;&gt;"",AK109&lt;MinimumWage),"Below - pays under minimum wage",IF(AND(G109&gt;0,AG109&lt;=0),"Check - extra work, no extra charge",IF(AJ109&lt;MarginWarning,"Low margin - re-price it","OK")))))))</f>
        <v>0</v>
      </c>
    </row>
    <row r="110" spans="1:38">
      <c r="A110" s="38">
        <f>IF(C110="","",VariationPrefix&amp;TEXT(ROW()-4,"0000"))</f>
        <v>0</v>
      </c>
      <c r="N110" s="13">
        <f>IF(B110="","",IFERROR(INDEX(Products!$B$5:$B$304,MATCH(B110,Products!$A$5:$A$304,0)),"Not found"))</f>
        <v>0</v>
      </c>
      <c r="O110" s="20">
        <f>IF(B110="","",IFERROR(INDEX(Products!$T$5:$T$304,MATCH(B110,Products!$A$5:$A$304,0)),""))</f>
        <v>0</v>
      </c>
      <c r="P110" s="20">
        <f>IF(B110="","",IFERROR(INDEX(Products!$Z$5:$Z$304,MATCH(B110,Products!$A$5:$A$304,0)),""))</f>
        <v>0</v>
      </c>
      <c r="Q110" s="20">
        <f>IF(B110="","",IFERROR(INDEX(Products!$AH$5:$AH$304,MATCH(B110,Products!$A$5:$A$304,0))-INDEX(Products!$T$5:$T$304,MATCH(B110,Products!$A$5:$A$304,0))-INDEX(Products!$Z$5:$Z$304,MATCH(B110,Products!$A$5:$A$304,0)),0))</f>
        <v>0</v>
      </c>
      <c r="R110" s="36">
        <f>IF(B110="","",IFERROR(INDEX(Products!$X$5:$X$304,MATCH(B110,Products!$A$5:$A$304,0)),""))</f>
        <v>0</v>
      </c>
      <c r="S110" s="20">
        <f>IF(B110="","",IFERROR(INDEX(Products!$AR$5:$AR$304,MATCH(B110,Products!$A$5:$A$304,0)),""))</f>
        <v>0</v>
      </c>
      <c r="T110" s="41">
        <f>IF(B110="","",IFERROR(INDEX(SizeMaterialFactors,MATCH(E110,SizeNames,0)),1))</f>
        <v>0</v>
      </c>
      <c r="U110" s="41">
        <f>IF(B110="","",IFERROR(INDEX(SizeTimeFactors,MATCH(E110,SizeNames,0)),1))</f>
        <v>0</v>
      </c>
      <c r="V110" s="33">
        <f>IF(B110="","",IFERROR(INDEX(RushFactors,MATCH(H110,RushNames,0)),0))</f>
        <v>0</v>
      </c>
      <c r="W110" s="20">
        <f>IF(B110="","",ROUND(IF(O110="",0,O110)*T110+IF(F110="",0,F110),2))</f>
        <v>0</v>
      </c>
      <c r="X110" s="36">
        <f>IF(B110="","",ROUND(IF(R110="",0,R110)*U110+IF(G110="",0,G110),1))</f>
        <v>0</v>
      </c>
      <c r="Y110" s="20">
        <f>IF(B110="","",ROUND(IF(P110="",0,P110)*U110+IF(G110="",0,G110)/60*LaborCostHour,2))</f>
        <v>0</v>
      </c>
      <c r="Z110" s="20">
        <f>IF(B110="","",ROUND(W110+Y110+IF(Q110="",0,Q110),2))</f>
        <v>0</v>
      </c>
      <c r="AA110" s="33">
        <f>IF(B110="","",IFERROR(INDEX(Channels!$S$5:$S$18,MATCH(IF(J110="",DefaultChannel,J110),Channels!$A$5:$A$18,0)),0))</f>
        <v>0</v>
      </c>
      <c r="AB110" s="20">
        <f>IF(B110="","",IFERROR(INDEX(Channels!$T$5:$T$18,MATCH(IF(J110="",DefaultChannel,J110),Channels!$A$5:$A$18,0)),0))</f>
        <v>0</v>
      </c>
      <c r="AC110" s="41">
        <f>IF(B110="","",1-TargetRetailMargin-AA110)</f>
        <v>0</v>
      </c>
      <c r="AD110" s="20">
        <f>IF(B110="","",IF(AC110&lt;=0,"",((Z110+AB110)/AC110)*(1+V110)+IF(I110="",0,I110)))</f>
        <v>0</v>
      </c>
      <c r="AE110" s="20">
        <f>IF(B110="","",IF(AD110="","Check the settings",ROUND(IF(RoundingRule="None",AD110,IF(RoundingRule="Nearest 0.99",MAX(0.99,CEILING(AD110,1)-0.01),IF(RoundingRule="Nearest 0.95",MAX(0.95,CEILING(AD110,1)-0.05),IF(RoundingRule="Nearest 0.50",CEILING(AD110,0.5),IF(RoundingRule="Nearest 1",CEILING(AD110,1),IF(RoundingRule="Nearest 5",CEILING(AD110,5),IF(RoundingRule="Up to whole 1",CEILING(AD110,1),IF(RoundingRule="Up to whole 5",CEILING(AD110,5),ROUND(AD110,2))))))))),2)))</f>
        <v>0</v>
      </c>
      <c r="AF110" s="20">
        <f>IF(B110="","",IF(K110&lt;&gt;"",K110,IF(ISNUMBER(AE110),AE110,"")))</f>
        <v>0</v>
      </c>
      <c r="AG110" s="20">
        <f>IF(B110="","",IF(OR(AF110="",S110=""),"",ROUND(AF110-S110,2)))</f>
        <v>0</v>
      </c>
      <c r="AH110" s="20">
        <f>IF(B110="","",IF(AF110="","",ROUND(AF110*AA110+AB110,2)))</f>
        <v>0</v>
      </c>
      <c r="AI110" s="20">
        <f>IF(B110="","",IF(AF110="","",ROUND(AF110-Z110-AH110,2)))</f>
        <v>0</v>
      </c>
      <c r="AJ110" s="33">
        <f>IF(B110="","",IF(OR(AF110="",AF110=0),"",AI110/AF110))</f>
        <v>0</v>
      </c>
      <c r="AK110" s="20">
        <f>IF(B110="","",IF(OR(X110=0,X110="",AI110=""),"",ROUND((AI110+Y110)/(X110/60),2)))</f>
        <v>0</v>
      </c>
      <c r="AL110" s="43">
        <f>IF(B110="","",IF(N110="Not found","Check - no such product ID",IF(AF110="","Check - no price yet",IF(AI110&lt;0,"Loss - this version costs you money",IF(AND(AK110&lt;&gt;"",AK110&lt;MinimumWage),"Below - pays under minimum wage",IF(AND(G110&gt;0,AG110&lt;=0),"Check - extra work, no extra charge",IF(AJ110&lt;MarginWarning,"Low margin - re-price it","OK")))))))</f>
        <v>0</v>
      </c>
    </row>
    <row r="111" spans="1:38">
      <c r="A111" s="38">
        <f>IF(C111="","",VariationPrefix&amp;TEXT(ROW()-4,"0000"))</f>
        <v>0</v>
      </c>
      <c r="N111" s="13">
        <f>IF(B111="","",IFERROR(INDEX(Products!$B$5:$B$304,MATCH(B111,Products!$A$5:$A$304,0)),"Not found"))</f>
        <v>0</v>
      </c>
      <c r="O111" s="20">
        <f>IF(B111="","",IFERROR(INDEX(Products!$T$5:$T$304,MATCH(B111,Products!$A$5:$A$304,0)),""))</f>
        <v>0</v>
      </c>
      <c r="P111" s="20">
        <f>IF(B111="","",IFERROR(INDEX(Products!$Z$5:$Z$304,MATCH(B111,Products!$A$5:$A$304,0)),""))</f>
        <v>0</v>
      </c>
      <c r="Q111" s="20">
        <f>IF(B111="","",IFERROR(INDEX(Products!$AH$5:$AH$304,MATCH(B111,Products!$A$5:$A$304,0))-INDEX(Products!$T$5:$T$304,MATCH(B111,Products!$A$5:$A$304,0))-INDEX(Products!$Z$5:$Z$304,MATCH(B111,Products!$A$5:$A$304,0)),0))</f>
        <v>0</v>
      </c>
      <c r="R111" s="36">
        <f>IF(B111="","",IFERROR(INDEX(Products!$X$5:$X$304,MATCH(B111,Products!$A$5:$A$304,0)),""))</f>
        <v>0</v>
      </c>
      <c r="S111" s="20">
        <f>IF(B111="","",IFERROR(INDEX(Products!$AR$5:$AR$304,MATCH(B111,Products!$A$5:$A$304,0)),""))</f>
        <v>0</v>
      </c>
      <c r="T111" s="41">
        <f>IF(B111="","",IFERROR(INDEX(SizeMaterialFactors,MATCH(E111,SizeNames,0)),1))</f>
        <v>0</v>
      </c>
      <c r="U111" s="41">
        <f>IF(B111="","",IFERROR(INDEX(SizeTimeFactors,MATCH(E111,SizeNames,0)),1))</f>
        <v>0</v>
      </c>
      <c r="V111" s="33">
        <f>IF(B111="","",IFERROR(INDEX(RushFactors,MATCH(H111,RushNames,0)),0))</f>
        <v>0</v>
      </c>
      <c r="W111" s="20">
        <f>IF(B111="","",ROUND(IF(O111="",0,O111)*T111+IF(F111="",0,F111),2))</f>
        <v>0</v>
      </c>
      <c r="X111" s="36">
        <f>IF(B111="","",ROUND(IF(R111="",0,R111)*U111+IF(G111="",0,G111),1))</f>
        <v>0</v>
      </c>
      <c r="Y111" s="20">
        <f>IF(B111="","",ROUND(IF(P111="",0,P111)*U111+IF(G111="",0,G111)/60*LaborCostHour,2))</f>
        <v>0</v>
      </c>
      <c r="Z111" s="20">
        <f>IF(B111="","",ROUND(W111+Y111+IF(Q111="",0,Q111),2))</f>
        <v>0</v>
      </c>
      <c r="AA111" s="33">
        <f>IF(B111="","",IFERROR(INDEX(Channels!$S$5:$S$18,MATCH(IF(J111="",DefaultChannel,J111),Channels!$A$5:$A$18,0)),0))</f>
        <v>0</v>
      </c>
      <c r="AB111" s="20">
        <f>IF(B111="","",IFERROR(INDEX(Channels!$T$5:$T$18,MATCH(IF(J111="",DefaultChannel,J111),Channels!$A$5:$A$18,0)),0))</f>
        <v>0</v>
      </c>
      <c r="AC111" s="41">
        <f>IF(B111="","",1-TargetRetailMargin-AA111)</f>
        <v>0</v>
      </c>
      <c r="AD111" s="20">
        <f>IF(B111="","",IF(AC111&lt;=0,"",((Z111+AB111)/AC111)*(1+V111)+IF(I111="",0,I111)))</f>
        <v>0</v>
      </c>
      <c r="AE111" s="20">
        <f>IF(B111="","",IF(AD111="","Check the settings",ROUND(IF(RoundingRule="None",AD111,IF(RoundingRule="Nearest 0.99",MAX(0.99,CEILING(AD111,1)-0.01),IF(RoundingRule="Nearest 0.95",MAX(0.95,CEILING(AD111,1)-0.05),IF(RoundingRule="Nearest 0.50",CEILING(AD111,0.5),IF(RoundingRule="Nearest 1",CEILING(AD111,1),IF(RoundingRule="Nearest 5",CEILING(AD111,5),IF(RoundingRule="Up to whole 1",CEILING(AD111,1),IF(RoundingRule="Up to whole 5",CEILING(AD111,5),ROUND(AD111,2))))))))),2)))</f>
        <v>0</v>
      </c>
      <c r="AF111" s="20">
        <f>IF(B111="","",IF(K111&lt;&gt;"",K111,IF(ISNUMBER(AE111),AE111,"")))</f>
        <v>0</v>
      </c>
      <c r="AG111" s="20">
        <f>IF(B111="","",IF(OR(AF111="",S111=""),"",ROUND(AF111-S111,2)))</f>
        <v>0</v>
      </c>
      <c r="AH111" s="20">
        <f>IF(B111="","",IF(AF111="","",ROUND(AF111*AA111+AB111,2)))</f>
        <v>0</v>
      </c>
      <c r="AI111" s="20">
        <f>IF(B111="","",IF(AF111="","",ROUND(AF111-Z111-AH111,2)))</f>
        <v>0</v>
      </c>
      <c r="AJ111" s="33">
        <f>IF(B111="","",IF(OR(AF111="",AF111=0),"",AI111/AF111))</f>
        <v>0</v>
      </c>
      <c r="AK111" s="20">
        <f>IF(B111="","",IF(OR(X111=0,X111="",AI111=""),"",ROUND((AI111+Y111)/(X111/60),2)))</f>
        <v>0</v>
      </c>
      <c r="AL111" s="43">
        <f>IF(B111="","",IF(N111="Not found","Check - no such product ID",IF(AF111="","Check - no price yet",IF(AI111&lt;0,"Loss - this version costs you money",IF(AND(AK111&lt;&gt;"",AK111&lt;MinimumWage),"Below - pays under minimum wage",IF(AND(G111&gt;0,AG111&lt;=0),"Check - extra work, no extra charge",IF(AJ111&lt;MarginWarning,"Low margin - re-price it","OK")))))))</f>
        <v>0</v>
      </c>
    </row>
    <row r="112" spans="1:38">
      <c r="A112" s="38">
        <f>IF(C112="","",VariationPrefix&amp;TEXT(ROW()-4,"0000"))</f>
        <v>0</v>
      </c>
      <c r="N112" s="13">
        <f>IF(B112="","",IFERROR(INDEX(Products!$B$5:$B$304,MATCH(B112,Products!$A$5:$A$304,0)),"Not found"))</f>
        <v>0</v>
      </c>
      <c r="O112" s="20">
        <f>IF(B112="","",IFERROR(INDEX(Products!$T$5:$T$304,MATCH(B112,Products!$A$5:$A$304,0)),""))</f>
        <v>0</v>
      </c>
      <c r="P112" s="20">
        <f>IF(B112="","",IFERROR(INDEX(Products!$Z$5:$Z$304,MATCH(B112,Products!$A$5:$A$304,0)),""))</f>
        <v>0</v>
      </c>
      <c r="Q112" s="20">
        <f>IF(B112="","",IFERROR(INDEX(Products!$AH$5:$AH$304,MATCH(B112,Products!$A$5:$A$304,0))-INDEX(Products!$T$5:$T$304,MATCH(B112,Products!$A$5:$A$304,0))-INDEX(Products!$Z$5:$Z$304,MATCH(B112,Products!$A$5:$A$304,0)),0))</f>
        <v>0</v>
      </c>
      <c r="R112" s="36">
        <f>IF(B112="","",IFERROR(INDEX(Products!$X$5:$X$304,MATCH(B112,Products!$A$5:$A$304,0)),""))</f>
        <v>0</v>
      </c>
      <c r="S112" s="20">
        <f>IF(B112="","",IFERROR(INDEX(Products!$AR$5:$AR$304,MATCH(B112,Products!$A$5:$A$304,0)),""))</f>
        <v>0</v>
      </c>
      <c r="T112" s="41">
        <f>IF(B112="","",IFERROR(INDEX(SizeMaterialFactors,MATCH(E112,SizeNames,0)),1))</f>
        <v>0</v>
      </c>
      <c r="U112" s="41">
        <f>IF(B112="","",IFERROR(INDEX(SizeTimeFactors,MATCH(E112,SizeNames,0)),1))</f>
        <v>0</v>
      </c>
      <c r="V112" s="33">
        <f>IF(B112="","",IFERROR(INDEX(RushFactors,MATCH(H112,RushNames,0)),0))</f>
        <v>0</v>
      </c>
      <c r="W112" s="20">
        <f>IF(B112="","",ROUND(IF(O112="",0,O112)*T112+IF(F112="",0,F112),2))</f>
        <v>0</v>
      </c>
      <c r="X112" s="36">
        <f>IF(B112="","",ROUND(IF(R112="",0,R112)*U112+IF(G112="",0,G112),1))</f>
        <v>0</v>
      </c>
      <c r="Y112" s="20">
        <f>IF(B112="","",ROUND(IF(P112="",0,P112)*U112+IF(G112="",0,G112)/60*LaborCostHour,2))</f>
        <v>0</v>
      </c>
      <c r="Z112" s="20">
        <f>IF(B112="","",ROUND(W112+Y112+IF(Q112="",0,Q112),2))</f>
        <v>0</v>
      </c>
      <c r="AA112" s="33">
        <f>IF(B112="","",IFERROR(INDEX(Channels!$S$5:$S$18,MATCH(IF(J112="",DefaultChannel,J112),Channels!$A$5:$A$18,0)),0))</f>
        <v>0</v>
      </c>
      <c r="AB112" s="20">
        <f>IF(B112="","",IFERROR(INDEX(Channels!$T$5:$T$18,MATCH(IF(J112="",DefaultChannel,J112),Channels!$A$5:$A$18,0)),0))</f>
        <v>0</v>
      </c>
      <c r="AC112" s="41">
        <f>IF(B112="","",1-TargetRetailMargin-AA112)</f>
        <v>0</v>
      </c>
      <c r="AD112" s="20">
        <f>IF(B112="","",IF(AC112&lt;=0,"",((Z112+AB112)/AC112)*(1+V112)+IF(I112="",0,I112)))</f>
        <v>0</v>
      </c>
      <c r="AE112" s="20">
        <f>IF(B112="","",IF(AD112="","Check the settings",ROUND(IF(RoundingRule="None",AD112,IF(RoundingRule="Nearest 0.99",MAX(0.99,CEILING(AD112,1)-0.01),IF(RoundingRule="Nearest 0.95",MAX(0.95,CEILING(AD112,1)-0.05),IF(RoundingRule="Nearest 0.50",CEILING(AD112,0.5),IF(RoundingRule="Nearest 1",CEILING(AD112,1),IF(RoundingRule="Nearest 5",CEILING(AD112,5),IF(RoundingRule="Up to whole 1",CEILING(AD112,1),IF(RoundingRule="Up to whole 5",CEILING(AD112,5),ROUND(AD112,2))))))))),2)))</f>
        <v>0</v>
      </c>
      <c r="AF112" s="20">
        <f>IF(B112="","",IF(K112&lt;&gt;"",K112,IF(ISNUMBER(AE112),AE112,"")))</f>
        <v>0</v>
      </c>
      <c r="AG112" s="20">
        <f>IF(B112="","",IF(OR(AF112="",S112=""),"",ROUND(AF112-S112,2)))</f>
        <v>0</v>
      </c>
      <c r="AH112" s="20">
        <f>IF(B112="","",IF(AF112="","",ROUND(AF112*AA112+AB112,2)))</f>
        <v>0</v>
      </c>
      <c r="AI112" s="20">
        <f>IF(B112="","",IF(AF112="","",ROUND(AF112-Z112-AH112,2)))</f>
        <v>0</v>
      </c>
      <c r="AJ112" s="33">
        <f>IF(B112="","",IF(OR(AF112="",AF112=0),"",AI112/AF112))</f>
        <v>0</v>
      </c>
      <c r="AK112" s="20">
        <f>IF(B112="","",IF(OR(X112=0,X112="",AI112=""),"",ROUND((AI112+Y112)/(X112/60),2)))</f>
        <v>0</v>
      </c>
      <c r="AL112" s="43">
        <f>IF(B112="","",IF(N112="Not found","Check - no such product ID",IF(AF112="","Check - no price yet",IF(AI112&lt;0,"Loss - this version costs you money",IF(AND(AK112&lt;&gt;"",AK112&lt;MinimumWage),"Below - pays under minimum wage",IF(AND(G112&gt;0,AG112&lt;=0),"Check - extra work, no extra charge",IF(AJ112&lt;MarginWarning,"Low margin - re-price it","OK")))))))</f>
        <v>0</v>
      </c>
    </row>
    <row r="113" spans="1:38">
      <c r="A113" s="38">
        <f>IF(C113="","",VariationPrefix&amp;TEXT(ROW()-4,"0000"))</f>
        <v>0</v>
      </c>
      <c r="N113" s="13">
        <f>IF(B113="","",IFERROR(INDEX(Products!$B$5:$B$304,MATCH(B113,Products!$A$5:$A$304,0)),"Not found"))</f>
        <v>0</v>
      </c>
      <c r="O113" s="20">
        <f>IF(B113="","",IFERROR(INDEX(Products!$T$5:$T$304,MATCH(B113,Products!$A$5:$A$304,0)),""))</f>
        <v>0</v>
      </c>
      <c r="P113" s="20">
        <f>IF(B113="","",IFERROR(INDEX(Products!$Z$5:$Z$304,MATCH(B113,Products!$A$5:$A$304,0)),""))</f>
        <v>0</v>
      </c>
      <c r="Q113" s="20">
        <f>IF(B113="","",IFERROR(INDEX(Products!$AH$5:$AH$304,MATCH(B113,Products!$A$5:$A$304,0))-INDEX(Products!$T$5:$T$304,MATCH(B113,Products!$A$5:$A$304,0))-INDEX(Products!$Z$5:$Z$304,MATCH(B113,Products!$A$5:$A$304,0)),0))</f>
        <v>0</v>
      </c>
      <c r="R113" s="36">
        <f>IF(B113="","",IFERROR(INDEX(Products!$X$5:$X$304,MATCH(B113,Products!$A$5:$A$304,0)),""))</f>
        <v>0</v>
      </c>
      <c r="S113" s="20">
        <f>IF(B113="","",IFERROR(INDEX(Products!$AR$5:$AR$304,MATCH(B113,Products!$A$5:$A$304,0)),""))</f>
        <v>0</v>
      </c>
      <c r="T113" s="41">
        <f>IF(B113="","",IFERROR(INDEX(SizeMaterialFactors,MATCH(E113,SizeNames,0)),1))</f>
        <v>0</v>
      </c>
      <c r="U113" s="41">
        <f>IF(B113="","",IFERROR(INDEX(SizeTimeFactors,MATCH(E113,SizeNames,0)),1))</f>
        <v>0</v>
      </c>
      <c r="V113" s="33">
        <f>IF(B113="","",IFERROR(INDEX(RushFactors,MATCH(H113,RushNames,0)),0))</f>
        <v>0</v>
      </c>
      <c r="W113" s="20">
        <f>IF(B113="","",ROUND(IF(O113="",0,O113)*T113+IF(F113="",0,F113),2))</f>
        <v>0</v>
      </c>
      <c r="X113" s="36">
        <f>IF(B113="","",ROUND(IF(R113="",0,R113)*U113+IF(G113="",0,G113),1))</f>
        <v>0</v>
      </c>
      <c r="Y113" s="20">
        <f>IF(B113="","",ROUND(IF(P113="",0,P113)*U113+IF(G113="",0,G113)/60*LaborCostHour,2))</f>
        <v>0</v>
      </c>
      <c r="Z113" s="20">
        <f>IF(B113="","",ROUND(W113+Y113+IF(Q113="",0,Q113),2))</f>
        <v>0</v>
      </c>
      <c r="AA113" s="33">
        <f>IF(B113="","",IFERROR(INDEX(Channels!$S$5:$S$18,MATCH(IF(J113="",DefaultChannel,J113),Channels!$A$5:$A$18,0)),0))</f>
        <v>0</v>
      </c>
      <c r="AB113" s="20">
        <f>IF(B113="","",IFERROR(INDEX(Channels!$T$5:$T$18,MATCH(IF(J113="",DefaultChannel,J113),Channels!$A$5:$A$18,0)),0))</f>
        <v>0</v>
      </c>
      <c r="AC113" s="41">
        <f>IF(B113="","",1-TargetRetailMargin-AA113)</f>
        <v>0</v>
      </c>
      <c r="AD113" s="20">
        <f>IF(B113="","",IF(AC113&lt;=0,"",((Z113+AB113)/AC113)*(1+V113)+IF(I113="",0,I113)))</f>
        <v>0</v>
      </c>
      <c r="AE113" s="20">
        <f>IF(B113="","",IF(AD113="","Check the settings",ROUND(IF(RoundingRule="None",AD113,IF(RoundingRule="Nearest 0.99",MAX(0.99,CEILING(AD113,1)-0.01),IF(RoundingRule="Nearest 0.95",MAX(0.95,CEILING(AD113,1)-0.05),IF(RoundingRule="Nearest 0.50",CEILING(AD113,0.5),IF(RoundingRule="Nearest 1",CEILING(AD113,1),IF(RoundingRule="Nearest 5",CEILING(AD113,5),IF(RoundingRule="Up to whole 1",CEILING(AD113,1),IF(RoundingRule="Up to whole 5",CEILING(AD113,5),ROUND(AD113,2))))))))),2)))</f>
        <v>0</v>
      </c>
      <c r="AF113" s="20">
        <f>IF(B113="","",IF(K113&lt;&gt;"",K113,IF(ISNUMBER(AE113),AE113,"")))</f>
        <v>0</v>
      </c>
      <c r="AG113" s="20">
        <f>IF(B113="","",IF(OR(AF113="",S113=""),"",ROUND(AF113-S113,2)))</f>
        <v>0</v>
      </c>
      <c r="AH113" s="20">
        <f>IF(B113="","",IF(AF113="","",ROUND(AF113*AA113+AB113,2)))</f>
        <v>0</v>
      </c>
      <c r="AI113" s="20">
        <f>IF(B113="","",IF(AF113="","",ROUND(AF113-Z113-AH113,2)))</f>
        <v>0</v>
      </c>
      <c r="AJ113" s="33">
        <f>IF(B113="","",IF(OR(AF113="",AF113=0),"",AI113/AF113))</f>
        <v>0</v>
      </c>
      <c r="AK113" s="20">
        <f>IF(B113="","",IF(OR(X113=0,X113="",AI113=""),"",ROUND((AI113+Y113)/(X113/60),2)))</f>
        <v>0</v>
      </c>
      <c r="AL113" s="43">
        <f>IF(B113="","",IF(N113="Not found","Check - no such product ID",IF(AF113="","Check - no price yet",IF(AI113&lt;0,"Loss - this version costs you money",IF(AND(AK113&lt;&gt;"",AK113&lt;MinimumWage),"Below - pays under minimum wage",IF(AND(G113&gt;0,AG113&lt;=0),"Check - extra work, no extra charge",IF(AJ113&lt;MarginWarning,"Low margin - re-price it","OK")))))))</f>
        <v>0</v>
      </c>
    </row>
    <row r="114" spans="1:38">
      <c r="A114" s="38">
        <f>IF(C114="","",VariationPrefix&amp;TEXT(ROW()-4,"0000"))</f>
        <v>0</v>
      </c>
      <c r="N114" s="13">
        <f>IF(B114="","",IFERROR(INDEX(Products!$B$5:$B$304,MATCH(B114,Products!$A$5:$A$304,0)),"Not found"))</f>
        <v>0</v>
      </c>
      <c r="O114" s="20">
        <f>IF(B114="","",IFERROR(INDEX(Products!$T$5:$T$304,MATCH(B114,Products!$A$5:$A$304,0)),""))</f>
        <v>0</v>
      </c>
      <c r="P114" s="20">
        <f>IF(B114="","",IFERROR(INDEX(Products!$Z$5:$Z$304,MATCH(B114,Products!$A$5:$A$304,0)),""))</f>
        <v>0</v>
      </c>
      <c r="Q114" s="20">
        <f>IF(B114="","",IFERROR(INDEX(Products!$AH$5:$AH$304,MATCH(B114,Products!$A$5:$A$304,0))-INDEX(Products!$T$5:$T$304,MATCH(B114,Products!$A$5:$A$304,0))-INDEX(Products!$Z$5:$Z$304,MATCH(B114,Products!$A$5:$A$304,0)),0))</f>
        <v>0</v>
      </c>
      <c r="R114" s="36">
        <f>IF(B114="","",IFERROR(INDEX(Products!$X$5:$X$304,MATCH(B114,Products!$A$5:$A$304,0)),""))</f>
        <v>0</v>
      </c>
      <c r="S114" s="20">
        <f>IF(B114="","",IFERROR(INDEX(Products!$AR$5:$AR$304,MATCH(B114,Products!$A$5:$A$304,0)),""))</f>
        <v>0</v>
      </c>
      <c r="T114" s="41">
        <f>IF(B114="","",IFERROR(INDEX(SizeMaterialFactors,MATCH(E114,SizeNames,0)),1))</f>
        <v>0</v>
      </c>
      <c r="U114" s="41">
        <f>IF(B114="","",IFERROR(INDEX(SizeTimeFactors,MATCH(E114,SizeNames,0)),1))</f>
        <v>0</v>
      </c>
      <c r="V114" s="33">
        <f>IF(B114="","",IFERROR(INDEX(RushFactors,MATCH(H114,RushNames,0)),0))</f>
        <v>0</v>
      </c>
      <c r="W114" s="20">
        <f>IF(B114="","",ROUND(IF(O114="",0,O114)*T114+IF(F114="",0,F114),2))</f>
        <v>0</v>
      </c>
      <c r="X114" s="36">
        <f>IF(B114="","",ROUND(IF(R114="",0,R114)*U114+IF(G114="",0,G114),1))</f>
        <v>0</v>
      </c>
      <c r="Y114" s="20">
        <f>IF(B114="","",ROUND(IF(P114="",0,P114)*U114+IF(G114="",0,G114)/60*LaborCostHour,2))</f>
        <v>0</v>
      </c>
      <c r="Z114" s="20">
        <f>IF(B114="","",ROUND(W114+Y114+IF(Q114="",0,Q114),2))</f>
        <v>0</v>
      </c>
      <c r="AA114" s="33">
        <f>IF(B114="","",IFERROR(INDEX(Channels!$S$5:$S$18,MATCH(IF(J114="",DefaultChannel,J114),Channels!$A$5:$A$18,0)),0))</f>
        <v>0</v>
      </c>
      <c r="AB114" s="20">
        <f>IF(B114="","",IFERROR(INDEX(Channels!$T$5:$T$18,MATCH(IF(J114="",DefaultChannel,J114),Channels!$A$5:$A$18,0)),0))</f>
        <v>0</v>
      </c>
      <c r="AC114" s="41">
        <f>IF(B114="","",1-TargetRetailMargin-AA114)</f>
        <v>0</v>
      </c>
      <c r="AD114" s="20">
        <f>IF(B114="","",IF(AC114&lt;=0,"",((Z114+AB114)/AC114)*(1+V114)+IF(I114="",0,I114)))</f>
        <v>0</v>
      </c>
      <c r="AE114" s="20">
        <f>IF(B114="","",IF(AD114="","Check the settings",ROUND(IF(RoundingRule="None",AD114,IF(RoundingRule="Nearest 0.99",MAX(0.99,CEILING(AD114,1)-0.01),IF(RoundingRule="Nearest 0.95",MAX(0.95,CEILING(AD114,1)-0.05),IF(RoundingRule="Nearest 0.50",CEILING(AD114,0.5),IF(RoundingRule="Nearest 1",CEILING(AD114,1),IF(RoundingRule="Nearest 5",CEILING(AD114,5),IF(RoundingRule="Up to whole 1",CEILING(AD114,1),IF(RoundingRule="Up to whole 5",CEILING(AD114,5),ROUND(AD114,2))))))))),2)))</f>
        <v>0</v>
      </c>
      <c r="AF114" s="20">
        <f>IF(B114="","",IF(K114&lt;&gt;"",K114,IF(ISNUMBER(AE114),AE114,"")))</f>
        <v>0</v>
      </c>
      <c r="AG114" s="20">
        <f>IF(B114="","",IF(OR(AF114="",S114=""),"",ROUND(AF114-S114,2)))</f>
        <v>0</v>
      </c>
      <c r="AH114" s="20">
        <f>IF(B114="","",IF(AF114="","",ROUND(AF114*AA114+AB114,2)))</f>
        <v>0</v>
      </c>
      <c r="AI114" s="20">
        <f>IF(B114="","",IF(AF114="","",ROUND(AF114-Z114-AH114,2)))</f>
        <v>0</v>
      </c>
      <c r="AJ114" s="33">
        <f>IF(B114="","",IF(OR(AF114="",AF114=0),"",AI114/AF114))</f>
        <v>0</v>
      </c>
      <c r="AK114" s="20">
        <f>IF(B114="","",IF(OR(X114=0,X114="",AI114=""),"",ROUND((AI114+Y114)/(X114/60),2)))</f>
        <v>0</v>
      </c>
      <c r="AL114" s="43">
        <f>IF(B114="","",IF(N114="Not found","Check - no such product ID",IF(AF114="","Check - no price yet",IF(AI114&lt;0,"Loss - this version costs you money",IF(AND(AK114&lt;&gt;"",AK114&lt;MinimumWage),"Below - pays under minimum wage",IF(AND(G114&gt;0,AG114&lt;=0),"Check - extra work, no extra charge",IF(AJ114&lt;MarginWarning,"Low margin - re-price it","OK")))))))</f>
        <v>0</v>
      </c>
    </row>
    <row r="115" spans="1:38">
      <c r="A115" s="38">
        <f>IF(C115="","",VariationPrefix&amp;TEXT(ROW()-4,"0000"))</f>
        <v>0</v>
      </c>
      <c r="N115" s="13">
        <f>IF(B115="","",IFERROR(INDEX(Products!$B$5:$B$304,MATCH(B115,Products!$A$5:$A$304,0)),"Not found"))</f>
        <v>0</v>
      </c>
      <c r="O115" s="20">
        <f>IF(B115="","",IFERROR(INDEX(Products!$T$5:$T$304,MATCH(B115,Products!$A$5:$A$304,0)),""))</f>
        <v>0</v>
      </c>
      <c r="P115" s="20">
        <f>IF(B115="","",IFERROR(INDEX(Products!$Z$5:$Z$304,MATCH(B115,Products!$A$5:$A$304,0)),""))</f>
        <v>0</v>
      </c>
      <c r="Q115" s="20">
        <f>IF(B115="","",IFERROR(INDEX(Products!$AH$5:$AH$304,MATCH(B115,Products!$A$5:$A$304,0))-INDEX(Products!$T$5:$T$304,MATCH(B115,Products!$A$5:$A$304,0))-INDEX(Products!$Z$5:$Z$304,MATCH(B115,Products!$A$5:$A$304,0)),0))</f>
        <v>0</v>
      </c>
      <c r="R115" s="36">
        <f>IF(B115="","",IFERROR(INDEX(Products!$X$5:$X$304,MATCH(B115,Products!$A$5:$A$304,0)),""))</f>
        <v>0</v>
      </c>
      <c r="S115" s="20">
        <f>IF(B115="","",IFERROR(INDEX(Products!$AR$5:$AR$304,MATCH(B115,Products!$A$5:$A$304,0)),""))</f>
        <v>0</v>
      </c>
      <c r="T115" s="41">
        <f>IF(B115="","",IFERROR(INDEX(SizeMaterialFactors,MATCH(E115,SizeNames,0)),1))</f>
        <v>0</v>
      </c>
      <c r="U115" s="41">
        <f>IF(B115="","",IFERROR(INDEX(SizeTimeFactors,MATCH(E115,SizeNames,0)),1))</f>
        <v>0</v>
      </c>
      <c r="V115" s="33">
        <f>IF(B115="","",IFERROR(INDEX(RushFactors,MATCH(H115,RushNames,0)),0))</f>
        <v>0</v>
      </c>
      <c r="W115" s="20">
        <f>IF(B115="","",ROUND(IF(O115="",0,O115)*T115+IF(F115="",0,F115),2))</f>
        <v>0</v>
      </c>
      <c r="X115" s="36">
        <f>IF(B115="","",ROUND(IF(R115="",0,R115)*U115+IF(G115="",0,G115),1))</f>
        <v>0</v>
      </c>
      <c r="Y115" s="20">
        <f>IF(B115="","",ROUND(IF(P115="",0,P115)*U115+IF(G115="",0,G115)/60*LaborCostHour,2))</f>
        <v>0</v>
      </c>
      <c r="Z115" s="20">
        <f>IF(B115="","",ROUND(W115+Y115+IF(Q115="",0,Q115),2))</f>
        <v>0</v>
      </c>
      <c r="AA115" s="33">
        <f>IF(B115="","",IFERROR(INDEX(Channels!$S$5:$S$18,MATCH(IF(J115="",DefaultChannel,J115),Channels!$A$5:$A$18,0)),0))</f>
        <v>0</v>
      </c>
      <c r="AB115" s="20">
        <f>IF(B115="","",IFERROR(INDEX(Channels!$T$5:$T$18,MATCH(IF(J115="",DefaultChannel,J115),Channels!$A$5:$A$18,0)),0))</f>
        <v>0</v>
      </c>
      <c r="AC115" s="41">
        <f>IF(B115="","",1-TargetRetailMargin-AA115)</f>
        <v>0</v>
      </c>
      <c r="AD115" s="20">
        <f>IF(B115="","",IF(AC115&lt;=0,"",((Z115+AB115)/AC115)*(1+V115)+IF(I115="",0,I115)))</f>
        <v>0</v>
      </c>
      <c r="AE115" s="20">
        <f>IF(B115="","",IF(AD115="","Check the settings",ROUND(IF(RoundingRule="None",AD115,IF(RoundingRule="Nearest 0.99",MAX(0.99,CEILING(AD115,1)-0.01),IF(RoundingRule="Nearest 0.95",MAX(0.95,CEILING(AD115,1)-0.05),IF(RoundingRule="Nearest 0.50",CEILING(AD115,0.5),IF(RoundingRule="Nearest 1",CEILING(AD115,1),IF(RoundingRule="Nearest 5",CEILING(AD115,5),IF(RoundingRule="Up to whole 1",CEILING(AD115,1),IF(RoundingRule="Up to whole 5",CEILING(AD115,5),ROUND(AD115,2))))))))),2)))</f>
        <v>0</v>
      </c>
      <c r="AF115" s="20">
        <f>IF(B115="","",IF(K115&lt;&gt;"",K115,IF(ISNUMBER(AE115),AE115,"")))</f>
        <v>0</v>
      </c>
      <c r="AG115" s="20">
        <f>IF(B115="","",IF(OR(AF115="",S115=""),"",ROUND(AF115-S115,2)))</f>
        <v>0</v>
      </c>
      <c r="AH115" s="20">
        <f>IF(B115="","",IF(AF115="","",ROUND(AF115*AA115+AB115,2)))</f>
        <v>0</v>
      </c>
      <c r="AI115" s="20">
        <f>IF(B115="","",IF(AF115="","",ROUND(AF115-Z115-AH115,2)))</f>
        <v>0</v>
      </c>
      <c r="AJ115" s="33">
        <f>IF(B115="","",IF(OR(AF115="",AF115=0),"",AI115/AF115))</f>
        <v>0</v>
      </c>
      <c r="AK115" s="20">
        <f>IF(B115="","",IF(OR(X115=0,X115="",AI115=""),"",ROUND((AI115+Y115)/(X115/60),2)))</f>
        <v>0</v>
      </c>
      <c r="AL115" s="43">
        <f>IF(B115="","",IF(N115="Not found","Check - no such product ID",IF(AF115="","Check - no price yet",IF(AI115&lt;0,"Loss - this version costs you money",IF(AND(AK115&lt;&gt;"",AK115&lt;MinimumWage),"Below - pays under minimum wage",IF(AND(G115&gt;0,AG115&lt;=0),"Check - extra work, no extra charge",IF(AJ115&lt;MarginWarning,"Low margin - re-price it","OK")))))))</f>
        <v>0</v>
      </c>
    </row>
    <row r="116" spans="1:38">
      <c r="A116" s="38">
        <f>IF(C116="","",VariationPrefix&amp;TEXT(ROW()-4,"0000"))</f>
        <v>0</v>
      </c>
      <c r="N116" s="13">
        <f>IF(B116="","",IFERROR(INDEX(Products!$B$5:$B$304,MATCH(B116,Products!$A$5:$A$304,0)),"Not found"))</f>
        <v>0</v>
      </c>
      <c r="O116" s="20">
        <f>IF(B116="","",IFERROR(INDEX(Products!$T$5:$T$304,MATCH(B116,Products!$A$5:$A$304,0)),""))</f>
        <v>0</v>
      </c>
      <c r="P116" s="20">
        <f>IF(B116="","",IFERROR(INDEX(Products!$Z$5:$Z$304,MATCH(B116,Products!$A$5:$A$304,0)),""))</f>
        <v>0</v>
      </c>
      <c r="Q116" s="20">
        <f>IF(B116="","",IFERROR(INDEX(Products!$AH$5:$AH$304,MATCH(B116,Products!$A$5:$A$304,0))-INDEX(Products!$T$5:$T$304,MATCH(B116,Products!$A$5:$A$304,0))-INDEX(Products!$Z$5:$Z$304,MATCH(B116,Products!$A$5:$A$304,0)),0))</f>
        <v>0</v>
      </c>
      <c r="R116" s="36">
        <f>IF(B116="","",IFERROR(INDEX(Products!$X$5:$X$304,MATCH(B116,Products!$A$5:$A$304,0)),""))</f>
        <v>0</v>
      </c>
      <c r="S116" s="20">
        <f>IF(B116="","",IFERROR(INDEX(Products!$AR$5:$AR$304,MATCH(B116,Products!$A$5:$A$304,0)),""))</f>
        <v>0</v>
      </c>
      <c r="T116" s="41">
        <f>IF(B116="","",IFERROR(INDEX(SizeMaterialFactors,MATCH(E116,SizeNames,0)),1))</f>
        <v>0</v>
      </c>
      <c r="U116" s="41">
        <f>IF(B116="","",IFERROR(INDEX(SizeTimeFactors,MATCH(E116,SizeNames,0)),1))</f>
        <v>0</v>
      </c>
      <c r="V116" s="33">
        <f>IF(B116="","",IFERROR(INDEX(RushFactors,MATCH(H116,RushNames,0)),0))</f>
        <v>0</v>
      </c>
      <c r="W116" s="20">
        <f>IF(B116="","",ROUND(IF(O116="",0,O116)*T116+IF(F116="",0,F116),2))</f>
        <v>0</v>
      </c>
      <c r="X116" s="36">
        <f>IF(B116="","",ROUND(IF(R116="",0,R116)*U116+IF(G116="",0,G116),1))</f>
        <v>0</v>
      </c>
      <c r="Y116" s="20">
        <f>IF(B116="","",ROUND(IF(P116="",0,P116)*U116+IF(G116="",0,G116)/60*LaborCostHour,2))</f>
        <v>0</v>
      </c>
      <c r="Z116" s="20">
        <f>IF(B116="","",ROUND(W116+Y116+IF(Q116="",0,Q116),2))</f>
        <v>0</v>
      </c>
      <c r="AA116" s="33">
        <f>IF(B116="","",IFERROR(INDEX(Channels!$S$5:$S$18,MATCH(IF(J116="",DefaultChannel,J116),Channels!$A$5:$A$18,0)),0))</f>
        <v>0</v>
      </c>
      <c r="AB116" s="20">
        <f>IF(B116="","",IFERROR(INDEX(Channels!$T$5:$T$18,MATCH(IF(J116="",DefaultChannel,J116),Channels!$A$5:$A$18,0)),0))</f>
        <v>0</v>
      </c>
      <c r="AC116" s="41">
        <f>IF(B116="","",1-TargetRetailMargin-AA116)</f>
        <v>0</v>
      </c>
      <c r="AD116" s="20">
        <f>IF(B116="","",IF(AC116&lt;=0,"",((Z116+AB116)/AC116)*(1+V116)+IF(I116="",0,I116)))</f>
        <v>0</v>
      </c>
      <c r="AE116" s="20">
        <f>IF(B116="","",IF(AD116="","Check the settings",ROUND(IF(RoundingRule="None",AD116,IF(RoundingRule="Nearest 0.99",MAX(0.99,CEILING(AD116,1)-0.01),IF(RoundingRule="Nearest 0.95",MAX(0.95,CEILING(AD116,1)-0.05),IF(RoundingRule="Nearest 0.50",CEILING(AD116,0.5),IF(RoundingRule="Nearest 1",CEILING(AD116,1),IF(RoundingRule="Nearest 5",CEILING(AD116,5),IF(RoundingRule="Up to whole 1",CEILING(AD116,1),IF(RoundingRule="Up to whole 5",CEILING(AD116,5),ROUND(AD116,2))))))))),2)))</f>
        <v>0</v>
      </c>
      <c r="AF116" s="20">
        <f>IF(B116="","",IF(K116&lt;&gt;"",K116,IF(ISNUMBER(AE116),AE116,"")))</f>
        <v>0</v>
      </c>
      <c r="AG116" s="20">
        <f>IF(B116="","",IF(OR(AF116="",S116=""),"",ROUND(AF116-S116,2)))</f>
        <v>0</v>
      </c>
      <c r="AH116" s="20">
        <f>IF(B116="","",IF(AF116="","",ROUND(AF116*AA116+AB116,2)))</f>
        <v>0</v>
      </c>
      <c r="AI116" s="20">
        <f>IF(B116="","",IF(AF116="","",ROUND(AF116-Z116-AH116,2)))</f>
        <v>0</v>
      </c>
      <c r="AJ116" s="33">
        <f>IF(B116="","",IF(OR(AF116="",AF116=0),"",AI116/AF116))</f>
        <v>0</v>
      </c>
      <c r="AK116" s="20">
        <f>IF(B116="","",IF(OR(X116=0,X116="",AI116=""),"",ROUND((AI116+Y116)/(X116/60),2)))</f>
        <v>0</v>
      </c>
      <c r="AL116" s="43">
        <f>IF(B116="","",IF(N116="Not found","Check - no such product ID",IF(AF116="","Check - no price yet",IF(AI116&lt;0,"Loss - this version costs you money",IF(AND(AK116&lt;&gt;"",AK116&lt;MinimumWage),"Below - pays under minimum wage",IF(AND(G116&gt;0,AG116&lt;=0),"Check - extra work, no extra charge",IF(AJ116&lt;MarginWarning,"Low margin - re-price it","OK")))))))</f>
        <v>0</v>
      </c>
    </row>
    <row r="117" spans="1:38">
      <c r="A117" s="38">
        <f>IF(C117="","",VariationPrefix&amp;TEXT(ROW()-4,"0000"))</f>
        <v>0</v>
      </c>
      <c r="N117" s="13">
        <f>IF(B117="","",IFERROR(INDEX(Products!$B$5:$B$304,MATCH(B117,Products!$A$5:$A$304,0)),"Not found"))</f>
        <v>0</v>
      </c>
      <c r="O117" s="20">
        <f>IF(B117="","",IFERROR(INDEX(Products!$T$5:$T$304,MATCH(B117,Products!$A$5:$A$304,0)),""))</f>
        <v>0</v>
      </c>
      <c r="P117" s="20">
        <f>IF(B117="","",IFERROR(INDEX(Products!$Z$5:$Z$304,MATCH(B117,Products!$A$5:$A$304,0)),""))</f>
        <v>0</v>
      </c>
      <c r="Q117" s="20">
        <f>IF(B117="","",IFERROR(INDEX(Products!$AH$5:$AH$304,MATCH(B117,Products!$A$5:$A$304,0))-INDEX(Products!$T$5:$T$304,MATCH(B117,Products!$A$5:$A$304,0))-INDEX(Products!$Z$5:$Z$304,MATCH(B117,Products!$A$5:$A$304,0)),0))</f>
        <v>0</v>
      </c>
      <c r="R117" s="36">
        <f>IF(B117="","",IFERROR(INDEX(Products!$X$5:$X$304,MATCH(B117,Products!$A$5:$A$304,0)),""))</f>
        <v>0</v>
      </c>
      <c r="S117" s="20">
        <f>IF(B117="","",IFERROR(INDEX(Products!$AR$5:$AR$304,MATCH(B117,Products!$A$5:$A$304,0)),""))</f>
        <v>0</v>
      </c>
      <c r="T117" s="41">
        <f>IF(B117="","",IFERROR(INDEX(SizeMaterialFactors,MATCH(E117,SizeNames,0)),1))</f>
        <v>0</v>
      </c>
      <c r="U117" s="41">
        <f>IF(B117="","",IFERROR(INDEX(SizeTimeFactors,MATCH(E117,SizeNames,0)),1))</f>
        <v>0</v>
      </c>
      <c r="V117" s="33">
        <f>IF(B117="","",IFERROR(INDEX(RushFactors,MATCH(H117,RushNames,0)),0))</f>
        <v>0</v>
      </c>
      <c r="W117" s="20">
        <f>IF(B117="","",ROUND(IF(O117="",0,O117)*T117+IF(F117="",0,F117),2))</f>
        <v>0</v>
      </c>
      <c r="X117" s="36">
        <f>IF(B117="","",ROUND(IF(R117="",0,R117)*U117+IF(G117="",0,G117),1))</f>
        <v>0</v>
      </c>
      <c r="Y117" s="20">
        <f>IF(B117="","",ROUND(IF(P117="",0,P117)*U117+IF(G117="",0,G117)/60*LaborCostHour,2))</f>
        <v>0</v>
      </c>
      <c r="Z117" s="20">
        <f>IF(B117="","",ROUND(W117+Y117+IF(Q117="",0,Q117),2))</f>
        <v>0</v>
      </c>
      <c r="AA117" s="33">
        <f>IF(B117="","",IFERROR(INDEX(Channels!$S$5:$S$18,MATCH(IF(J117="",DefaultChannel,J117),Channels!$A$5:$A$18,0)),0))</f>
        <v>0</v>
      </c>
      <c r="AB117" s="20">
        <f>IF(B117="","",IFERROR(INDEX(Channels!$T$5:$T$18,MATCH(IF(J117="",DefaultChannel,J117),Channels!$A$5:$A$18,0)),0))</f>
        <v>0</v>
      </c>
      <c r="AC117" s="41">
        <f>IF(B117="","",1-TargetRetailMargin-AA117)</f>
        <v>0</v>
      </c>
      <c r="AD117" s="20">
        <f>IF(B117="","",IF(AC117&lt;=0,"",((Z117+AB117)/AC117)*(1+V117)+IF(I117="",0,I117)))</f>
        <v>0</v>
      </c>
      <c r="AE117" s="20">
        <f>IF(B117="","",IF(AD117="","Check the settings",ROUND(IF(RoundingRule="None",AD117,IF(RoundingRule="Nearest 0.99",MAX(0.99,CEILING(AD117,1)-0.01),IF(RoundingRule="Nearest 0.95",MAX(0.95,CEILING(AD117,1)-0.05),IF(RoundingRule="Nearest 0.50",CEILING(AD117,0.5),IF(RoundingRule="Nearest 1",CEILING(AD117,1),IF(RoundingRule="Nearest 5",CEILING(AD117,5),IF(RoundingRule="Up to whole 1",CEILING(AD117,1),IF(RoundingRule="Up to whole 5",CEILING(AD117,5),ROUND(AD117,2))))))))),2)))</f>
        <v>0</v>
      </c>
      <c r="AF117" s="20">
        <f>IF(B117="","",IF(K117&lt;&gt;"",K117,IF(ISNUMBER(AE117),AE117,"")))</f>
        <v>0</v>
      </c>
      <c r="AG117" s="20">
        <f>IF(B117="","",IF(OR(AF117="",S117=""),"",ROUND(AF117-S117,2)))</f>
        <v>0</v>
      </c>
      <c r="AH117" s="20">
        <f>IF(B117="","",IF(AF117="","",ROUND(AF117*AA117+AB117,2)))</f>
        <v>0</v>
      </c>
      <c r="AI117" s="20">
        <f>IF(B117="","",IF(AF117="","",ROUND(AF117-Z117-AH117,2)))</f>
        <v>0</v>
      </c>
      <c r="AJ117" s="33">
        <f>IF(B117="","",IF(OR(AF117="",AF117=0),"",AI117/AF117))</f>
        <v>0</v>
      </c>
      <c r="AK117" s="20">
        <f>IF(B117="","",IF(OR(X117=0,X117="",AI117=""),"",ROUND((AI117+Y117)/(X117/60),2)))</f>
        <v>0</v>
      </c>
      <c r="AL117" s="43">
        <f>IF(B117="","",IF(N117="Not found","Check - no such product ID",IF(AF117="","Check - no price yet",IF(AI117&lt;0,"Loss - this version costs you money",IF(AND(AK117&lt;&gt;"",AK117&lt;MinimumWage),"Below - pays under minimum wage",IF(AND(G117&gt;0,AG117&lt;=0),"Check - extra work, no extra charge",IF(AJ117&lt;MarginWarning,"Low margin - re-price it","OK")))))))</f>
        <v>0</v>
      </c>
    </row>
    <row r="118" spans="1:38">
      <c r="A118" s="38">
        <f>IF(C118="","",VariationPrefix&amp;TEXT(ROW()-4,"0000"))</f>
        <v>0</v>
      </c>
      <c r="N118" s="13">
        <f>IF(B118="","",IFERROR(INDEX(Products!$B$5:$B$304,MATCH(B118,Products!$A$5:$A$304,0)),"Not found"))</f>
        <v>0</v>
      </c>
      <c r="O118" s="20">
        <f>IF(B118="","",IFERROR(INDEX(Products!$T$5:$T$304,MATCH(B118,Products!$A$5:$A$304,0)),""))</f>
        <v>0</v>
      </c>
      <c r="P118" s="20">
        <f>IF(B118="","",IFERROR(INDEX(Products!$Z$5:$Z$304,MATCH(B118,Products!$A$5:$A$304,0)),""))</f>
        <v>0</v>
      </c>
      <c r="Q118" s="20">
        <f>IF(B118="","",IFERROR(INDEX(Products!$AH$5:$AH$304,MATCH(B118,Products!$A$5:$A$304,0))-INDEX(Products!$T$5:$T$304,MATCH(B118,Products!$A$5:$A$304,0))-INDEX(Products!$Z$5:$Z$304,MATCH(B118,Products!$A$5:$A$304,0)),0))</f>
        <v>0</v>
      </c>
      <c r="R118" s="36">
        <f>IF(B118="","",IFERROR(INDEX(Products!$X$5:$X$304,MATCH(B118,Products!$A$5:$A$304,0)),""))</f>
        <v>0</v>
      </c>
      <c r="S118" s="20">
        <f>IF(B118="","",IFERROR(INDEX(Products!$AR$5:$AR$304,MATCH(B118,Products!$A$5:$A$304,0)),""))</f>
        <v>0</v>
      </c>
      <c r="T118" s="41">
        <f>IF(B118="","",IFERROR(INDEX(SizeMaterialFactors,MATCH(E118,SizeNames,0)),1))</f>
        <v>0</v>
      </c>
      <c r="U118" s="41">
        <f>IF(B118="","",IFERROR(INDEX(SizeTimeFactors,MATCH(E118,SizeNames,0)),1))</f>
        <v>0</v>
      </c>
      <c r="V118" s="33">
        <f>IF(B118="","",IFERROR(INDEX(RushFactors,MATCH(H118,RushNames,0)),0))</f>
        <v>0</v>
      </c>
      <c r="W118" s="20">
        <f>IF(B118="","",ROUND(IF(O118="",0,O118)*T118+IF(F118="",0,F118),2))</f>
        <v>0</v>
      </c>
      <c r="X118" s="36">
        <f>IF(B118="","",ROUND(IF(R118="",0,R118)*U118+IF(G118="",0,G118),1))</f>
        <v>0</v>
      </c>
      <c r="Y118" s="20">
        <f>IF(B118="","",ROUND(IF(P118="",0,P118)*U118+IF(G118="",0,G118)/60*LaborCostHour,2))</f>
        <v>0</v>
      </c>
      <c r="Z118" s="20">
        <f>IF(B118="","",ROUND(W118+Y118+IF(Q118="",0,Q118),2))</f>
        <v>0</v>
      </c>
      <c r="AA118" s="33">
        <f>IF(B118="","",IFERROR(INDEX(Channels!$S$5:$S$18,MATCH(IF(J118="",DefaultChannel,J118),Channels!$A$5:$A$18,0)),0))</f>
        <v>0</v>
      </c>
      <c r="AB118" s="20">
        <f>IF(B118="","",IFERROR(INDEX(Channels!$T$5:$T$18,MATCH(IF(J118="",DefaultChannel,J118),Channels!$A$5:$A$18,0)),0))</f>
        <v>0</v>
      </c>
      <c r="AC118" s="41">
        <f>IF(B118="","",1-TargetRetailMargin-AA118)</f>
        <v>0</v>
      </c>
      <c r="AD118" s="20">
        <f>IF(B118="","",IF(AC118&lt;=0,"",((Z118+AB118)/AC118)*(1+V118)+IF(I118="",0,I118)))</f>
        <v>0</v>
      </c>
      <c r="AE118" s="20">
        <f>IF(B118="","",IF(AD118="","Check the settings",ROUND(IF(RoundingRule="None",AD118,IF(RoundingRule="Nearest 0.99",MAX(0.99,CEILING(AD118,1)-0.01),IF(RoundingRule="Nearest 0.95",MAX(0.95,CEILING(AD118,1)-0.05),IF(RoundingRule="Nearest 0.50",CEILING(AD118,0.5),IF(RoundingRule="Nearest 1",CEILING(AD118,1),IF(RoundingRule="Nearest 5",CEILING(AD118,5),IF(RoundingRule="Up to whole 1",CEILING(AD118,1),IF(RoundingRule="Up to whole 5",CEILING(AD118,5),ROUND(AD118,2))))))))),2)))</f>
        <v>0</v>
      </c>
      <c r="AF118" s="20">
        <f>IF(B118="","",IF(K118&lt;&gt;"",K118,IF(ISNUMBER(AE118),AE118,"")))</f>
        <v>0</v>
      </c>
      <c r="AG118" s="20">
        <f>IF(B118="","",IF(OR(AF118="",S118=""),"",ROUND(AF118-S118,2)))</f>
        <v>0</v>
      </c>
      <c r="AH118" s="20">
        <f>IF(B118="","",IF(AF118="","",ROUND(AF118*AA118+AB118,2)))</f>
        <v>0</v>
      </c>
      <c r="AI118" s="20">
        <f>IF(B118="","",IF(AF118="","",ROUND(AF118-Z118-AH118,2)))</f>
        <v>0</v>
      </c>
      <c r="AJ118" s="33">
        <f>IF(B118="","",IF(OR(AF118="",AF118=0),"",AI118/AF118))</f>
        <v>0</v>
      </c>
      <c r="AK118" s="20">
        <f>IF(B118="","",IF(OR(X118=0,X118="",AI118=""),"",ROUND((AI118+Y118)/(X118/60),2)))</f>
        <v>0</v>
      </c>
      <c r="AL118" s="43">
        <f>IF(B118="","",IF(N118="Not found","Check - no such product ID",IF(AF118="","Check - no price yet",IF(AI118&lt;0,"Loss - this version costs you money",IF(AND(AK118&lt;&gt;"",AK118&lt;MinimumWage),"Below - pays under minimum wage",IF(AND(G118&gt;0,AG118&lt;=0),"Check - extra work, no extra charge",IF(AJ118&lt;MarginWarning,"Low margin - re-price it","OK")))))))</f>
        <v>0</v>
      </c>
    </row>
    <row r="119" spans="1:38">
      <c r="A119" s="38">
        <f>IF(C119="","",VariationPrefix&amp;TEXT(ROW()-4,"0000"))</f>
        <v>0</v>
      </c>
      <c r="N119" s="13">
        <f>IF(B119="","",IFERROR(INDEX(Products!$B$5:$B$304,MATCH(B119,Products!$A$5:$A$304,0)),"Not found"))</f>
        <v>0</v>
      </c>
      <c r="O119" s="20">
        <f>IF(B119="","",IFERROR(INDEX(Products!$T$5:$T$304,MATCH(B119,Products!$A$5:$A$304,0)),""))</f>
        <v>0</v>
      </c>
      <c r="P119" s="20">
        <f>IF(B119="","",IFERROR(INDEX(Products!$Z$5:$Z$304,MATCH(B119,Products!$A$5:$A$304,0)),""))</f>
        <v>0</v>
      </c>
      <c r="Q119" s="20">
        <f>IF(B119="","",IFERROR(INDEX(Products!$AH$5:$AH$304,MATCH(B119,Products!$A$5:$A$304,0))-INDEX(Products!$T$5:$T$304,MATCH(B119,Products!$A$5:$A$304,0))-INDEX(Products!$Z$5:$Z$304,MATCH(B119,Products!$A$5:$A$304,0)),0))</f>
        <v>0</v>
      </c>
      <c r="R119" s="36">
        <f>IF(B119="","",IFERROR(INDEX(Products!$X$5:$X$304,MATCH(B119,Products!$A$5:$A$304,0)),""))</f>
        <v>0</v>
      </c>
      <c r="S119" s="20">
        <f>IF(B119="","",IFERROR(INDEX(Products!$AR$5:$AR$304,MATCH(B119,Products!$A$5:$A$304,0)),""))</f>
        <v>0</v>
      </c>
      <c r="T119" s="41">
        <f>IF(B119="","",IFERROR(INDEX(SizeMaterialFactors,MATCH(E119,SizeNames,0)),1))</f>
        <v>0</v>
      </c>
      <c r="U119" s="41">
        <f>IF(B119="","",IFERROR(INDEX(SizeTimeFactors,MATCH(E119,SizeNames,0)),1))</f>
        <v>0</v>
      </c>
      <c r="V119" s="33">
        <f>IF(B119="","",IFERROR(INDEX(RushFactors,MATCH(H119,RushNames,0)),0))</f>
        <v>0</v>
      </c>
      <c r="W119" s="20">
        <f>IF(B119="","",ROUND(IF(O119="",0,O119)*T119+IF(F119="",0,F119),2))</f>
        <v>0</v>
      </c>
      <c r="X119" s="36">
        <f>IF(B119="","",ROUND(IF(R119="",0,R119)*U119+IF(G119="",0,G119),1))</f>
        <v>0</v>
      </c>
      <c r="Y119" s="20">
        <f>IF(B119="","",ROUND(IF(P119="",0,P119)*U119+IF(G119="",0,G119)/60*LaborCostHour,2))</f>
        <v>0</v>
      </c>
      <c r="Z119" s="20">
        <f>IF(B119="","",ROUND(W119+Y119+IF(Q119="",0,Q119),2))</f>
        <v>0</v>
      </c>
      <c r="AA119" s="33">
        <f>IF(B119="","",IFERROR(INDEX(Channels!$S$5:$S$18,MATCH(IF(J119="",DefaultChannel,J119),Channels!$A$5:$A$18,0)),0))</f>
        <v>0</v>
      </c>
      <c r="AB119" s="20">
        <f>IF(B119="","",IFERROR(INDEX(Channels!$T$5:$T$18,MATCH(IF(J119="",DefaultChannel,J119),Channels!$A$5:$A$18,0)),0))</f>
        <v>0</v>
      </c>
      <c r="AC119" s="41">
        <f>IF(B119="","",1-TargetRetailMargin-AA119)</f>
        <v>0</v>
      </c>
      <c r="AD119" s="20">
        <f>IF(B119="","",IF(AC119&lt;=0,"",((Z119+AB119)/AC119)*(1+V119)+IF(I119="",0,I119)))</f>
        <v>0</v>
      </c>
      <c r="AE119" s="20">
        <f>IF(B119="","",IF(AD119="","Check the settings",ROUND(IF(RoundingRule="None",AD119,IF(RoundingRule="Nearest 0.99",MAX(0.99,CEILING(AD119,1)-0.01),IF(RoundingRule="Nearest 0.95",MAX(0.95,CEILING(AD119,1)-0.05),IF(RoundingRule="Nearest 0.50",CEILING(AD119,0.5),IF(RoundingRule="Nearest 1",CEILING(AD119,1),IF(RoundingRule="Nearest 5",CEILING(AD119,5),IF(RoundingRule="Up to whole 1",CEILING(AD119,1),IF(RoundingRule="Up to whole 5",CEILING(AD119,5),ROUND(AD119,2))))))))),2)))</f>
        <v>0</v>
      </c>
      <c r="AF119" s="20">
        <f>IF(B119="","",IF(K119&lt;&gt;"",K119,IF(ISNUMBER(AE119),AE119,"")))</f>
        <v>0</v>
      </c>
      <c r="AG119" s="20">
        <f>IF(B119="","",IF(OR(AF119="",S119=""),"",ROUND(AF119-S119,2)))</f>
        <v>0</v>
      </c>
      <c r="AH119" s="20">
        <f>IF(B119="","",IF(AF119="","",ROUND(AF119*AA119+AB119,2)))</f>
        <v>0</v>
      </c>
      <c r="AI119" s="20">
        <f>IF(B119="","",IF(AF119="","",ROUND(AF119-Z119-AH119,2)))</f>
        <v>0</v>
      </c>
      <c r="AJ119" s="33">
        <f>IF(B119="","",IF(OR(AF119="",AF119=0),"",AI119/AF119))</f>
        <v>0</v>
      </c>
      <c r="AK119" s="20">
        <f>IF(B119="","",IF(OR(X119=0,X119="",AI119=""),"",ROUND((AI119+Y119)/(X119/60),2)))</f>
        <v>0</v>
      </c>
      <c r="AL119" s="43">
        <f>IF(B119="","",IF(N119="Not found","Check - no such product ID",IF(AF119="","Check - no price yet",IF(AI119&lt;0,"Loss - this version costs you money",IF(AND(AK119&lt;&gt;"",AK119&lt;MinimumWage),"Below - pays under minimum wage",IF(AND(G119&gt;0,AG119&lt;=0),"Check - extra work, no extra charge",IF(AJ119&lt;MarginWarning,"Low margin - re-price it","OK")))))))</f>
        <v>0</v>
      </c>
    </row>
    <row r="120" spans="1:38">
      <c r="A120" s="38">
        <f>IF(C120="","",VariationPrefix&amp;TEXT(ROW()-4,"0000"))</f>
        <v>0</v>
      </c>
      <c r="N120" s="13">
        <f>IF(B120="","",IFERROR(INDEX(Products!$B$5:$B$304,MATCH(B120,Products!$A$5:$A$304,0)),"Not found"))</f>
        <v>0</v>
      </c>
      <c r="O120" s="20">
        <f>IF(B120="","",IFERROR(INDEX(Products!$T$5:$T$304,MATCH(B120,Products!$A$5:$A$304,0)),""))</f>
        <v>0</v>
      </c>
      <c r="P120" s="20">
        <f>IF(B120="","",IFERROR(INDEX(Products!$Z$5:$Z$304,MATCH(B120,Products!$A$5:$A$304,0)),""))</f>
        <v>0</v>
      </c>
      <c r="Q120" s="20">
        <f>IF(B120="","",IFERROR(INDEX(Products!$AH$5:$AH$304,MATCH(B120,Products!$A$5:$A$304,0))-INDEX(Products!$T$5:$T$304,MATCH(B120,Products!$A$5:$A$304,0))-INDEX(Products!$Z$5:$Z$304,MATCH(B120,Products!$A$5:$A$304,0)),0))</f>
        <v>0</v>
      </c>
      <c r="R120" s="36">
        <f>IF(B120="","",IFERROR(INDEX(Products!$X$5:$X$304,MATCH(B120,Products!$A$5:$A$304,0)),""))</f>
        <v>0</v>
      </c>
      <c r="S120" s="20">
        <f>IF(B120="","",IFERROR(INDEX(Products!$AR$5:$AR$304,MATCH(B120,Products!$A$5:$A$304,0)),""))</f>
        <v>0</v>
      </c>
      <c r="T120" s="41">
        <f>IF(B120="","",IFERROR(INDEX(SizeMaterialFactors,MATCH(E120,SizeNames,0)),1))</f>
        <v>0</v>
      </c>
      <c r="U120" s="41">
        <f>IF(B120="","",IFERROR(INDEX(SizeTimeFactors,MATCH(E120,SizeNames,0)),1))</f>
        <v>0</v>
      </c>
      <c r="V120" s="33">
        <f>IF(B120="","",IFERROR(INDEX(RushFactors,MATCH(H120,RushNames,0)),0))</f>
        <v>0</v>
      </c>
      <c r="W120" s="20">
        <f>IF(B120="","",ROUND(IF(O120="",0,O120)*T120+IF(F120="",0,F120),2))</f>
        <v>0</v>
      </c>
      <c r="X120" s="36">
        <f>IF(B120="","",ROUND(IF(R120="",0,R120)*U120+IF(G120="",0,G120),1))</f>
        <v>0</v>
      </c>
      <c r="Y120" s="20">
        <f>IF(B120="","",ROUND(IF(P120="",0,P120)*U120+IF(G120="",0,G120)/60*LaborCostHour,2))</f>
        <v>0</v>
      </c>
      <c r="Z120" s="20">
        <f>IF(B120="","",ROUND(W120+Y120+IF(Q120="",0,Q120),2))</f>
        <v>0</v>
      </c>
      <c r="AA120" s="33">
        <f>IF(B120="","",IFERROR(INDEX(Channels!$S$5:$S$18,MATCH(IF(J120="",DefaultChannel,J120),Channels!$A$5:$A$18,0)),0))</f>
        <v>0</v>
      </c>
      <c r="AB120" s="20">
        <f>IF(B120="","",IFERROR(INDEX(Channels!$T$5:$T$18,MATCH(IF(J120="",DefaultChannel,J120),Channels!$A$5:$A$18,0)),0))</f>
        <v>0</v>
      </c>
      <c r="AC120" s="41">
        <f>IF(B120="","",1-TargetRetailMargin-AA120)</f>
        <v>0</v>
      </c>
      <c r="AD120" s="20">
        <f>IF(B120="","",IF(AC120&lt;=0,"",((Z120+AB120)/AC120)*(1+V120)+IF(I120="",0,I120)))</f>
        <v>0</v>
      </c>
      <c r="AE120" s="20">
        <f>IF(B120="","",IF(AD120="","Check the settings",ROUND(IF(RoundingRule="None",AD120,IF(RoundingRule="Nearest 0.99",MAX(0.99,CEILING(AD120,1)-0.01),IF(RoundingRule="Nearest 0.95",MAX(0.95,CEILING(AD120,1)-0.05),IF(RoundingRule="Nearest 0.50",CEILING(AD120,0.5),IF(RoundingRule="Nearest 1",CEILING(AD120,1),IF(RoundingRule="Nearest 5",CEILING(AD120,5),IF(RoundingRule="Up to whole 1",CEILING(AD120,1),IF(RoundingRule="Up to whole 5",CEILING(AD120,5),ROUND(AD120,2))))))))),2)))</f>
        <v>0</v>
      </c>
      <c r="AF120" s="20">
        <f>IF(B120="","",IF(K120&lt;&gt;"",K120,IF(ISNUMBER(AE120),AE120,"")))</f>
        <v>0</v>
      </c>
      <c r="AG120" s="20">
        <f>IF(B120="","",IF(OR(AF120="",S120=""),"",ROUND(AF120-S120,2)))</f>
        <v>0</v>
      </c>
      <c r="AH120" s="20">
        <f>IF(B120="","",IF(AF120="","",ROUND(AF120*AA120+AB120,2)))</f>
        <v>0</v>
      </c>
      <c r="AI120" s="20">
        <f>IF(B120="","",IF(AF120="","",ROUND(AF120-Z120-AH120,2)))</f>
        <v>0</v>
      </c>
      <c r="AJ120" s="33">
        <f>IF(B120="","",IF(OR(AF120="",AF120=0),"",AI120/AF120))</f>
        <v>0</v>
      </c>
      <c r="AK120" s="20">
        <f>IF(B120="","",IF(OR(X120=0,X120="",AI120=""),"",ROUND((AI120+Y120)/(X120/60),2)))</f>
        <v>0</v>
      </c>
      <c r="AL120" s="43">
        <f>IF(B120="","",IF(N120="Not found","Check - no such product ID",IF(AF120="","Check - no price yet",IF(AI120&lt;0,"Loss - this version costs you money",IF(AND(AK120&lt;&gt;"",AK120&lt;MinimumWage),"Below - pays under minimum wage",IF(AND(G120&gt;0,AG120&lt;=0),"Check - extra work, no extra charge",IF(AJ120&lt;MarginWarning,"Low margin - re-price it","OK")))))))</f>
        <v>0</v>
      </c>
    </row>
    <row r="121" spans="1:38">
      <c r="A121" s="38">
        <f>IF(C121="","",VariationPrefix&amp;TEXT(ROW()-4,"0000"))</f>
        <v>0</v>
      </c>
      <c r="N121" s="13">
        <f>IF(B121="","",IFERROR(INDEX(Products!$B$5:$B$304,MATCH(B121,Products!$A$5:$A$304,0)),"Not found"))</f>
        <v>0</v>
      </c>
      <c r="O121" s="20">
        <f>IF(B121="","",IFERROR(INDEX(Products!$T$5:$T$304,MATCH(B121,Products!$A$5:$A$304,0)),""))</f>
        <v>0</v>
      </c>
      <c r="P121" s="20">
        <f>IF(B121="","",IFERROR(INDEX(Products!$Z$5:$Z$304,MATCH(B121,Products!$A$5:$A$304,0)),""))</f>
        <v>0</v>
      </c>
      <c r="Q121" s="20">
        <f>IF(B121="","",IFERROR(INDEX(Products!$AH$5:$AH$304,MATCH(B121,Products!$A$5:$A$304,0))-INDEX(Products!$T$5:$T$304,MATCH(B121,Products!$A$5:$A$304,0))-INDEX(Products!$Z$5:$Z$304,MATCH(B121,Products!$A$5:$A$304,0)),0))</f>
        <v>0</v>
      </c>
      <c r="R121" s="36">
        <f>IF(B121="","",IFERROR(INDEX(Products!$X$5:$X$304,MATCH(B121,Products!$A$5:$A$304,0)),""))</f>
        <v>0</v>
      </c>
      <c r="S121" s="20">
        <f>IF(B121="","",IFERROR(INDEX(Products!$AR$5:$AR$304,MATCH(B121,Products!$A$5:$A$304,0)),""))</f>
        <v>0</v>
      </c>
      <c r="T121" s="41">
        <f>IF(B121="","",IFERROR(INDEX(SizeMaterialFactors,MATCH(E121,SizeNames,0)),1))</f>
        <v>0</v>
      </c>
      <c r="U121" s="41">
        <f>IF(B121="","",IFERROR(INDEX(SizeTimeFactors,MATCH(E121,SizeNames,0)),1))</f>
        <v>0</v>
      </c>
      <c r="V121" s="33">
        <f>IF(B121="","",IFERROR(INDEX(RushFactors,MATCH(H121,RushNames,0)),0))</f>
        <v>0</v>
      </c>
      <c r="W121" s="20">
        <f>IF(B121="","",ROUND(IF(O121="",0,O121)*T121+IF(F121="",0,F121),2))</f>
        <v>0</v>
      </c>
      <c r="X121" s="36">
        <f>IF(B121="","",ROUND(IF(R121="",0,R121)*U121+IF(G121="",0,G121),1))</f>
        <v>0</v>
      </c>
      <c r="Y121" s="20">
        <f>IF(B121="","",ROUND(IF(P121="",0,P121)*U121+IF(G121="",0,G121)/60*LaborCostHour,2))</f>
        <v>0</v>
      </c>
      <c r="Z121" s="20">
        <f>IF(B121="","",ROUND(W121+Y121+IF(Q121="",0,Q121),2))</f>
        <v>0</v>
      </c>
      <c r="AA121" s="33">
        <f>IF(B121="","",IFERROR(INDEX(Channels!$S$5:$S$18,MATCH(IF(J121="",DefaultChannel,J121),Channels!$A$5:$A$18,0)),0))</f>
        <v>0</v>
      </c>
      <c r="AB121" s="20">
        <f>IF(B121="","",IFERROR(INDEX(Channels!$T$5:$T$18,MATCH(IF(J121="",DefaultChannel,J121),Channels!$A$5:$A$18,0)),0))</f>
        <v>0</v>
      </c>
      <c r="AC121" s="41">
        <f>IF(B121="","",1-TargetRetailMargin-AA121)</f>
        <v>0</v>
      </c>
      <c r="AD121" s="20">
        <f>IF(B121="","",IF(AC121&lt;=0,"",((Z121+AB121)/AC121)*(1+V121)+IF(I121="",0,I121)))</f>
        <v>0</v>
      </c>
      <c r="AE121" s="20">
        <f>IF(B121="","",IF(AD121="","Check the settings",ROUND(IF(RoundingRule="None",AD121,IF(RoundingRule="Nearest 0.99",MAX(0.99,CEILING(AD121,1)-0.01),IF(RoundingRule="Nearest 0.95",MAX(0.95,CEILING(AD121,1)-0.05),IF(RoundingRule="Nearest 0.50",CEILING(AD121,0.5),IF(RoundingRule="Nearest 1",CEILING(AD121,1),IF(RoundingRule="Nearest 5",CEILING(AD121,5),IF(RoundingRule="Up to whole 1",CEILING(AD121,1),IF(RoundingRule="Up to whole 5",CEILING(AD121,5),ROUND(AD121,2))))))))),2)))</f>
        <v>0</v>
      </c>
      <c r="AF121" s="20">
        <f>IF(B121="","",IF(K121&lt;&gt;"",K121,IF(ISNUMBER(AE121),AE121,"")))</f>
        <v>0</v>
      </c>
      <c r="AG121" s="20">
        <f>IF(B121="","",IF(OR(AF121="",S121=""),"",ROUND(AF121-S121,2)))</f>
        <v>0</v>
      </c>
      <c r="AH121" s="20">
        <f>IF(B121="","",IF(AF121="","",ROUND(AF121*AA121+AB121,2)))</f>
        <v>0</v>
      </c>
      <c r="AI121" s="20">
        <f>IF(B121="","",IF(AF121="","",ROUND(AF121-Z121-AH121,2)))</f>
        <v>0</v>
      </c>
      <c r="AJ121" s="33">
        <f>IF(B121="","",IF(OR(AF121="",AF121=0),"",AI121/AF121))</f>
        <v>0</v>
      </c>
      <c r="AK121" s="20">
        <f>IF(B121="","",IF(OR(X121=0,X121="",AI121=""),"",ROUND((AI121+Y121)/(X121/60),2)))</f>
        <v>0</v>
      </c>
      <c r="AL121" s="43">
        <f>IF(B121="","",IF(N121="Not found","Check - no such product ID",IF(AF121="","Check - no price yet",IF(AI121&lt;0,"Loss - this version costs you money",IF(AND(AK121&lt;&gt;"",AK121&lt;MinimumWage),"Below - pays under minimum wage",IF(AND(G121&gt;0,AG121&lt;=0),"Check - extra work, no extra charge",IF(AJ121&lt;MarginWarning,"Low margin - re-price it","OK")))))))</f>
        <v>0</v>
      </c>
    </row>
    <row r="122" spans="1:38">
      <c r="A122" s="38">
        <f>IF(C122="","",VariationPrefix&amp;TEXT(ROW()-4,"0000"))</f>
        <v>0</v>
      </c>
      <c r="N122" s="13">
        <f>IF(B122="","",IFERROR(INDEX(Products!$B$5:$B$304,MATCH(B122,Products!$A$5:$A$304,0)),"Not found"))</f>
        <v>0</v>
      </c>
      <c r="O122" s="20">
        <f>IF(B122="","",IFERROR(INDEX(Products!$T$5:$T$304,MATCH(B122,Products!$A$5:$A$304,0)),""))</f>
        <v>0</v>
      </c>
      <c r="P122" s="20">
        <f>IF(B122="","",IFERROR(INDEX(Products!$Z$5:$Z$304,MATCH(B122,Products!$A$5:$A$304,0)),""))</f>
        <v>0</v>
      </c>
      <c r="Q122" s="20">
        <f>IF(B122="","",IFERROR(INDEX(Products!$AH$5:$AH$304,MATCH(B122,Products!$A$5:$A$304,0))-INDEX(Products!$T$5:$T$304,MATCH(B122,Products!$A$5:$A$304,0))-INDEX(Products!$Z$5:$Z$304,MATCH(B122,Products!$A$5:$A$304,0)),0))</f>
        <v>0</v>
      </c>
      <c r="R122" s="36">
        <f>IF(B122="","",IFERROR(INDEX(Products!$X$5:$X$304,MATCH(B122,Products!$A$5:$A$304,0)),""))</f>
        <v>0</v>
      </c>
      <c r="S122" s="20">
        <f>IF(B122="","",IFERROR(INDEX(Products!$AR$5:$AR$304,MATCH(B122,Products!$A$5:$A$304,0)),""))</f>
        <v>0</v>
      </c>
      <c r="T122" s="41">
        <f>IF(B122="","",IFERROR(INDEX(SizeMaterialFactors,MATCH(E122,SizeNames,0)),1))</f>
        <v>0</v>
      </c>
      <c r="U122" s="41">
        <f>IF(B122="","",IFERROR(INDEX(SizeTimeFactors,MATCH(E122,SizeNames,0)),1))</f>
        <v>0</v>
      </c>
      <c r="V122" s="33">
        <f>IF(B122="","",IFERROR(INDEX(RushFactors,MATCH(H122,RushNames,0)),0))</f>
        <v>0</v>
      </c>
      <c r="W122" s="20">
        <f>IF(B122="","",ROUND(IF(O122="",0,O122)*T122+IF(F122="",0,F122),2))</f>
        <v>0</v>
      </c>
      <c r="X122" s="36">
        <f>IF(B122="","",ROUND(IF(R122="",0,R122)*U122+IF(G122="",0,G122),1))</f>
        <v>0</v>
      </c>
      <c r="Y122" s="20">
        <f>IF(B122="","",ROUND(IF(P122="",0,P122)*U122+IF(G122="",0,G122)/60*LaborCostHour,2))</f>
        <v>0</v>
      </c>
      <c r="Z122" s="20">
        <f>IF(B122="","",ROUND(W122+Y122+IF(Q122="",0,Q122),2))</f>
        <v>0</v>
      </c>
      <c r="AA122" s="33">
        <f>IF(B122="","",IFERROR(INDEX(Channels!$S$5:$S$18,MATCH(IF(J122="",DefaultChannel,J122),Channels!$A$5:$A$18,0)),0))</f>
        <v>0</v>
      </c>
      <c r="AB122" s="20">
        <f>IF(B122="","",IFERROR(INDEX(Channels!$T$5:$T$18,MATCH(IF(J122="",DefaultChannel,J122),Channels!$A$5:$A$18,0)),0))</f>
        <v>0</v>
      </c>
      <c r="AC122" s="41">
        <f>IF(B122="","",1-TargetRetailMargin-AA122)</f>
        <v>0</v>
      </c>
      <c r="AD122" s="20">
        <f>IF(B122="","",IF(AC122&lt;=0,"",((Z122+AB122)/AC122)*(1+V122)+IF(I122="",0,I122)))</f>
        <v>0</v>
      </c>
      <c r="AE122" s="20">
        <f>IF(B122="","",IF(AD122="","Check the settings",ROUND(IF(RoundingRule="None",AD122,IF(RoundingRule="Nearest 0.99",MAX(0.99,CEILING(AD122,1)-0.01),IF(RoundingRule="Nearest 0.95",MAX(0.95,CEILING(AD122,1)-0.05),IF(RoundingRule="Nearest 0.50",CEILING(AD122,0.5),IF(RoundingRule="Nearest 1",CEILING(AD122,1),IF(RoundingRule="Nearest 5",CEILING(AD122,5),IF(RoundingRule="Up to whole 1",CEILING(AD122,1),IF(RoundingRule="Up to whole 5",CEILING(AD122,5),ROUND(AD122,2))))))))),2)))</f>
        <v>0</v>
      </c>
      <c r="AF122" s="20">
        <f>IF(B122="","",IF(K122&lt;&gt;"",K122,IF(ISNUMBER(AE122),AE122,"")))</f>
        <v>0</v>
      </c>
      <c r="AG122" s="20">
        <f>IF(B122="","",IF(OR(AF122="",S122=""),"",ROUND(AF122-S122,2)))</f>
        <v>0</v>
      </c>
      <c r="AH122" s="20">
        <f>IF(B122="","",IF(AF122="","",ROUND(AF122*AA122+AB122,2)))</f>
        <v>0</v>
      </c>
      <c r="AI122" s="20">
        <f>IF(B122="","",IF(AF122="","",ROUND(AF122-Z122-AH122,2)))</f>
        <v>0</v>
      </c>
      <c r="AJ122" s="33">
        <f>IF(B122="","",IF(OR(AF122="",AF122=0),"",AI122/AF122))</f>
        <v>0</v>
      </c>
      <c r="AK122" s="20">
        <f>IF(B122="","",IF(OR(X122=0,X122="",AI122=""),"",ROUND((AI122+Y122)/(X122/60),2)))</f>
        <v>0</v>
      </c>
      <c r="AL122" s="43">
        <f>IF(B122="","",IF(N122="Not found","Check - no such product ID",IF(AF122="","Check - no price yet",IF(AI122&lt;0,"Loss - this version costs you money",IF(AND(AK122&lt;&gt;"",AK122&lt;MinimumWage),"Below - pays under minimum wage",IF(AND(G122&gt;0,AG122&lt;=0),"Check - extra work, no extra charge",IF(AJ122&lt;MarginWarning,"Low margin - re-price it","OK")))))))</f>
        <v>0</v>
      </c>
    </row>
    <row r="123" spans="1:38">
      <c r="A123" s="38">
        <f>IF(C123="","",VariationPrefix&amp;TEXT(ROW()-4,"0000"))</f>
        <v>0</v>
      </c>
      <c r="N123" s="13">
        <f>IF(B123="","",IFERROR(INDEX(Products!$B$5:$B$304,MATCH(B123,Products!$A$5:$A$304,0)),"Not found"))</f>
        <v>0</v>
      </c>
      <c r="O123" s="20">
        <f>IF(B123="","",IFERROR(INDEX(Products!$T$5:$T$304,MATCH(B123,Products!$A$5:$A$304,0)),""))</f>
        <v>0</v>
      </c>
      <c r="P123" s="20">
        <f>IF(B123="","",IFERROR(INDEX(Products!$Z$5:$Z$304,MATCH(B123,Products!$A$5:$A$304,0)),""))</f>
        <v>0</v>
      </c>
      <c r="Q123" s="20">
        <f>IF(B123="","",IFERROR(INDEX(Products!$AH$5:$AH$304,MATCH(B123,Products!$A$5:$A$304,0))-INDEX(Products!$T$5:$T$304,MATCH(B123,Products!$A$5:$A$304,0))-INDEX(Products!$Z$5:$Z$304,MATCH(B123,Products!$A$5:$A$304,0)),0))</f>
        <v>0</v>
      </c>
      <c r="R123" s="36">
        <f>IF(B123="","",IFERROR(INDEX(Products!$X$5:$X$304,MATCH(B123,Products!$A$5:$A$304,0)),""))</f>
        <v>0</v>
      </c>
      <c r="S123" s="20">
        <f>IF(B123="","",IFERROR(INDEX(Products!$AR$5:$AR$304,MATCH(B123,Products!$A$5:$A$304,0)),""))</f>
        <v>0</v>
      </c>
      <c r="T123" s="41">
        <f>IF(B123="","",IFERROR(INDEX(SizeMaterialFactors,MATCH(E123,SizeNames,0)),1))</f>
        <v>0</v>
      </c>
      <c r="U123" s="41">
        <f>IF(B123="","",IFERROR(INDEX(SizeTimeFactors,MATCH(E123,SizeNames,0)),1))</f>
        <v>0</v>
      </c>
      <c r="V123" s="33">
        <f>IF(B123="","",IFERROR(INDEX(RushFactors,MATCH(H123,RushNames,0)),0))</f>
        <v>0</v>
      </c>
      <c r="W123" s="20">
        <f>IF(B123="","",ROUND(IF(O123="",0,O123)*T123+IF(F123="",0,F123),2))</f>
        <v>0</v>
      </c>
      <c r="X123" s="36">
        <f>IF(B123="","",ROUND(IF(R123="",0,R123)*U123+IF(G123="",0,G123),1))</f>
        <v>0</v>
      </c>
      <c r="Y123" s="20">
        <f>IF(B123="","",ROUND(IF(P123="",0,P123)*U123+IF(G123="",0,G123)/60*LaborCostHour,2))</f>
        <v>0</v>
      </c>
      <c r="Z123" s="20">
        <f>IF(B123="","",ROUND(W123+Y123+IF(Q123="",0,Q123),2))</f>
        <v>0</v>
      </c>
      <c r="AA123" s="33">
        <f>IF(B123="","",IFERROR(INDEX(Channels!$S$5:$S$18,MATCH(IF(J123="",DefaultChannel,J123),Channels!$A$5:$A$18,0)),0))</f>
        <v>0</v>
      </c>
      <c r="AB123" s="20">
        <f>IF(B123="","",IFERROR(INDEX(Channels!$T$5:$T$18,MATCH(IF(J123="",DefaultChannel,J123),Channels!$A$5:$A$18,0)),0))</f>
        <v>0</v>
      </c>
      <c r="AC123" s="41">
        <f>IF(B123="","",1-TargetRetailMargin-AA123)</f>
        <v>0</v>
      </c>
      <c r="AD123" s="20">
        <f>IF(B123="","",IF(AC123&lt;=0,"",((Z123+AB123)/AC123)*(1+V123)+IF(I123="",0,I123)))</f>
        <v>0</v>
      </c>
      <c r="AE123" s="20">
        <f>IF(B123="","",IF(AD123="","Check the settings",ROUND(IF(RoundingRule="None",AD123,IF(RoundingRule="Nearest 0.99",MAX(0.99,CEILING(AD123,1)-0.01),IF(RoundingRule="Nearest 0.95",MAX(0.95,CEILING(AD123,1)-0.05),IF(RoundingRule="Nearest 0.50",CEILING(AD123,0.5),IF(RoundingRule="Nearest 1",CEILING(AD123,1),IF(RoundingRule="Nearest 5",CEILING(AD123,5),IF(RoundingRule="Up to whole 1",CEILING(AD123,1),IF(RoundingRule="Up to whole 5",CEILING(AD123,5),ROUND(AD123,2))))))))),2)))</f>
        <v>0</v>
      </c>
      <c r="AF123" s="20">
        <f>IF(B123="","",IF(K123&lt;&gt;"",K123,IF(ISNUMBER(AE123),AE123,"")))</f>
        <v>0</v>
      </c>
      <c r="AG123" s="20">
        <f>IF(B123="","",IF(OR(AF123="",S123=""),"",ROUND(AF123-S123,2)))</f>
        <v>0</v>
      </c>
      <c r="AH123" s="20">
        <f>IF(B123="","",IF(AF123="","",ROUND(AF123*AA123+AB123,2)))</f>
        <v>0</v>
      </c>
      <c r="AI123" s="20">
        <f>IF(B123="","",IF(AF123="","",ROUND(AF123-Z123-AH123,2)))</f>
        <v>0</v>
      </c>
      <c r="AJ123" s="33">
        <f>IF(B123="","",IF(OR(AF123="",AF123=0),"",AI123/AF123))</f>
        <v>0</v>
      </c>
      <c r="AK123" s="20">
        <f>IF(B123="","",IF(OR(X123=0,X123="",AI123=""),"",ROUND((AI123+Y123)/(X123/60),2)))</f>
        <v>0</v>
      </c>
      <c r="AL123" s="43">
        <f>IF(B123="","",IF(N123="Not found","Check - no such product ID",IF(AF123="","Check - no price yet",IF(AI123&lt;0,"Loss - this version costs you money",IF(AND(AK123&lt;&gt;"",AK123&lt;MinimumWage),"Below - pays under minimum wage",IF(AND(G123&gt;0,AG123&lt;=0),"Check - extra work, no extra charge",IF(AJ123&lt;MarginWarning,"Low margin - re-price it","OK")))))))</f>
        <v>0</v>
      </c>
    </row>
    <row r="124" spans="1:38">
      <c r="A124" s="38">
        <f>IF(C124="","",VariationPrefix&amp;TEXT(ROW()-4,"0000"))</f>
        <v>0</v>
      </c>
      <c r="N124" s="13">
        <f>IF(B124="","",IFERROR(INDEX(Products!$B$5:$B$304,MATCH(B124,Products!$A$5:$A$304,0)),"Not found"))</f>
        <v>0</v>
      </c>
      <c r="O124" s="20">
        <f>IF(B124="","",IFERROR(INDEX(Products!$T$5:$T$304,MATCH(B124,Products!$A$5:$A$304,0)),""))</f>
        <v>0</v>
      </c>
      <c r="P124" s="20">
        <f>IF(B124="","",IFERROR(INDEX(Products!$Z$5:$Z$304,MATCH(B124,Products!$A$5:$A$304,0)),""))</f>
        <v>0</v>
      </c>
      <c r="Q124" s="20">
        <f>IF(B124="","",IFERROR(INDEX(Products!$AH$5:$AH$304,MATCH(B124,Products!$A$5:$A$304,0))-INDEX(Products!$T$5:$T$304,MATCH(B124,Products!$A$5:$A$304,0))-INDEX(Products!$Z$5:$Z$304,MATCH(B124,Products!$A$5:$A$304,0)),0))</f>
        <v>0</v>
      </c>
      <c r="R124" s="36">
        <f>IF(B124="","",IFERROR(INDEX(Products!$X$5:$X$304,MATCH(B124,Products!$A$5:$A$304,0)),""))</f>
        <v>0</v>
      </c>
      <c r="S124" s="20">
        <f>IF(B124="","",IFERROR(INDEX(Products!$AR$5:$AR$304,MATCH(B124,Products!$A$5:$A$304,0)),""))</f>
        <v>0</v>
      </c>
      <c r="T124" s="41">
        <f>IF(B124="","",IFERROR(INDEX(SizeMaterialFactors,MATCH(E124,SizeNames,0)),1))</f>
        <v>0</v>
      </c>
      <c r="U124" s="41">
        <f>IF(B124="","",IFERROR(INDEX(SizeTimeFactors,MATCH(E124,SizeNames,0)),1))</f>
        <v>0</v>
      </c>
      <c r="V124" s="33">
        <f>IF(B124="","",IFERROR(INDEX(RushFactors,MATCH(H124,RushNames,0)),0))</f>
        <v>0</v>
      </c>
      <c r="W124" s="20">
        <f>IF(B124="","",ROUND(IF(O124="",0,O124)*T124+IF(F124="",0,F124),2))</f>
        <v>0</v>
      </c>
      <c r="X124" s="36">
        <f>IF(B124="","",ROUND(IF(R124="",0,R124)*U124+IF(G124="",0,G124),1))</f>
        <v>0</v>
      </c>
      <c r="Y124" s="20">
        <f>IF(B124="","",ROUND(IF(P124="",0,P124)*U124+IF(G124="",0,G124)/60*LaborCostHour,2))</f>
        <v>0</v>
      </c>
      <c r="Z124" s="20">
        <f>IF(B124="","",ROUND(W124+Y124+IF(Q124="",0,Q124),2))</f>
        <v>0</v>
      </c>
      <c r="AA124" s="33">
        <f>IF(B124="","",IFERROR(INDEX(Channels!$S$5:$S$18,MATCH(IF(J124="",DefaultChannel,J124),Channels!$A$5:$A$18,0)),0))</f>
        <v>0</v>
      </c>
      <c r="AB124" s="20">
        <f>IF(B124="","",IFERROR(INDEX(Channels!$T$5:$T$18,MATCH(IF(J124="",DefaultChannel,J124),Channels!$A$5:$A$18,0)),0))</f>
        <v>0</v>
      </c>
      <c r="AC124" s="41">
        <f>IF(B124="","",1-TargetRetailMargin-AA124)</f>
        <v>0</v>
      </c>
      <c r="AD124" s="20">
        <f>IF(B124="","",IF(AC124&lt;=0,"",((Z124+AB124)/AC124)*(1+V124)+IF(I124="",0,I124)))</f>
        <v>0</v>
      </c>
      <c r="AE124" s="20">
        <f>IF(B124="","",IF(AD124="","Check the settings",ROUND(IF(RoundingRule="None",AD124,IF(RoundingRule="Nearest 0.99",MAX(0.99,CEILING(AD124,1)-0.01),IF(RoundingRule="Nearest 0.95",MAX(0.95,CEILING(AD124,1)-0.05),IF(RoundingRule="Nearest 0.50",CEILING(AD124,0.5),IF(RoundingRule="Nearest 1",CEILING(AD124,1),IF(RoundingRule="Nearest 5",CEILING(AD124,5),IF(RoundingRule="Up to whole 1",CEILING(AD124,1),IF(RoundingRule="Up to whole 5",CEILING(AD124,5),ROUND(AD124,2))))))))),2)))</f>
        <v>0</v>
      </c>
      <c r="AF124" s="20">
        <f>IF(B124="","",IF(K124&lt;&gt;"",K124,IF(ISNUMBER(AE124),AE124,"")))</f>
        <v>0</v>
      </c>
      <c r="AG124" s="20">
        <f>IF(B124="","",IF(OR(AF124="",S124=""),"",ROUND(AF124-S124,2)))</f>
        <v>0</v>
      </c>
      <c r="AH124" s="20">
        <f>IF(B124="","",IF(AF124="","",ROUND(AF124*AA124+AB124,2)))</f>
        <v>0</v>
      </c>
      <c r="AI124" s="20">
        <f>IF(B124="","",IF(AF124="","",ROUND(AF124-Z124-AH124,2)))</f>
        <v>0</v>
      </c>
      <c r="AJ124" s="33">
        <f>IF(B124="","",IF(OR(AF124="",AF124=0),"",AI124/AF124))</f>
        <v>0</v>
      </c>
      <c r="AK124" s="20">
        <f>IF(B124="","",IF(OR(X124=0,X124="",AI124=""),"",ROUND((AI124+Y124)/(X124/60),2)))</f>
        <v>0</v>
      </c>
      <c r="AL124" s="43">
        <f>IF(B124="","",IF(N124="Not found","Check - no such product ID",IF(AF124="","Check - no price yet",IF(AI124&lt;0,"Loss - this version costs you money",IF(AND(AK124&lt;&gt;"",AK124&lt;MinimumWage),"Below - pays under minimum wage",IF(AND(G124&gt;0,AG124&lt;=0),"Check - extra work, no extra charge",IF(AJ124&lt;MarginWarning,"Low margin - re-price it","OK")))))))</f>
        <v>0</v>
      </c>
    </row>
    <row r="125" spans="1:38">
      <c r="A125" s="38">
        <f>IF(C125="","",VariationPrefix&amp;TEXT(ROW()-4,"0000"))</f>
        <v>0</v>
      </c>
      <c r="N125" s="13">
        <f>IF(B125="","",IFERROR(INDEX(Products!$B$5:$B$304,MATCH(B125,Products!$A$5:$A$304,0)),"Not found"))</f>
        <v>0</v>
      </c>
      <c r="O125" s="20">
        <f>IF(B125="","",IFERROR(INDEX(Products!$T$5:$T$304,MATCH(B125,Products!$A$5:$A$304,0)),""))</f>
        <v>0</v>
      </c>
      <c r="P125" s="20">
        <f>IF(B125="","",IFERROR(INDEX(Products!$Z$5:$Z$304,MATCH(B125,Products!$A$5:$A$304,0)),""))</f>
        <v>0</v>
      </c>
      <c r="Q125" s="20">
        <f>IF(B125="","",IFERROR(INDEX(Products!$AH$5:$AH$304,MATCH(B125,Products!$A$5:$A$304,0))-INDEX(Products!$T$5:$T$304,MATCH(B125,Products!$A$5:$A$304,0))-INDEX(Products!$Z$5:$Z$304,MATCH(B125,Products!$A$5:$A$304,0)),0))</f>
        <v>0</v>
      </c>
      <c r="R125" s="36">
        <f>IF(B125="","",IFERROR(INDEX(Products!$X$5:$X$304,MATCH(B125,Products!$A$5:$A$304,0)),""))</f>
        <v>0</v>
      </c>
      <c r="S125" s="20">
        <f>IF(B125="","",IFERROR(INDEX(Products!$AR$5:$AR$304,MATCH(B125,Products!$A$5:$A$304,0)),""))</f>
        <v>0</v>
      </c>
      <c r="T125" s="41">
        <f>IF(B125="","",IFERROR(INDEX(SizeMaterialFactors,MATCH(E125,SizeNames,0)),1))</f>
        <v>0</v>
      </c>
      <c r="U125" s="41">
        <f>IF(B125="","",IFERROR(INDEX(SizeTimeFactors,MATCH(E125,SizeNames,0)),1))</f>
        <v>0</v>
      </c>
      <c r="V125" s="33">
        <f>IF(B125="","",IFERROR(INDEX(RushFactors,MATCH(H125,RushNames,0)),0))</f>
        <v>0</v>
      </c>
      <c r="W125" s="20">
        <f>IF(B125="","",ROUND(IF(O125="",0,O125)*T125+IF(F125="",0,F125),2))</f>
        <v>0</v>
      </c>
      <c r="X125" s="36">
        <f>IF(B125="","",ROUND(IF(R125="",0,R125)*U125+IF(G125="",0,G125),1))</f>
        <v>0</v>
      </c>
      <c r="Y125" s="20">
        <f>IF(B125="","",ROUND(IF(P125="",0,P125)*U125+IF(G125="",0,G125)/60*LaborCostHour,2))</f>
        <v>0</v>
      </c>
      <c r="Z125" s="20">
        <f>IF(B125="","",ROUND(W125+Y125+IF(Q125="",0,Q125),2))</f>
        <v>0</v>
      </c>
      <c r="AA125" s="33">
        <f>IF(B125="","",IFERROR(INDEX(Channels!$S$5:$S$18,MATCH(IF(J125="",DefaultChannel,J125),Channels!$A$5:$A$18,0)),0))</f>
        <v>0</v>
      </c>
      <c r="AB125" s="20">
        <f>IF(B125="","",IFERROR(INDEX(Channels!$T$5:$T$18,MATCH(IF(J125="",DefaultChannel,J125),Channels!$A$5:$A$18,0)),0))</f>
        <v>0</v>
      </c>
      <c r="AC125" s="41">
        <f>IF(B125="","",1-TargetRetailMargin-AA125)</f>
        <v>0</v>
      </c>
      <c r="AD125" s="20">
        <f>IF(B125="","",IF(AC125&lt;=0,"",((Z125+AB125)/AC125)*(1+V125)+IF(I125="",0,I125)))</f>
        <v>0</v>
      </c>
      <c r="AE125" s="20">
        <f>IF(B125="","",IF(AD125="","Check the settings",ROUND(IF(RoundingRule="None",AD125,IF(RoundingRule="Nearest 0.99",MAX(0.99,CEILING(AD125,1)-0.01),IF(RoundingRule="Nearest 0.95",MAX(0.95,CEILING(AD125,1)-0.05),IF(RoundingRule="Nearest 0.50",CEILING(AD125,0.5),IF(RoundingRule="Nearest 1",CEILING(AD125,1),IF(RoundingRule="Nearest 5",CEILING(AD125,5),IF(RoundingRule="Up to whole 1",CEILING(AD125,1),IF(RoundingRule="Up to whole 5",CEILING(AD125,5),ROUND(AD125,2))))))))),2)))</f>
        <v>0</v>
      </c>
      <c r="AF125" s="20">
        <f>IF(B125="","",IF(K125&lt;&gt;"",K125,IF(ISNUMBER(AE125),AE125,"")))</f>
        <v>0</v>
      </c>
      <c r="AG125" s="20">
        <f>IF(B125="","",IF(OR(AF125="",S125=""),"",ROUND(AF125-S125,2)))</f>
        <v>0</v>
      </c>
      <c r="AH125" s="20">
        <f>IF(B125="","",IF(AF125="","",ROUND(AF125*AA125+AB125,2)))</f>
        <v>0</v>
      </c>
      <c r="AI125" s="20">
        <f>IF(B125="","",IF(AF125="","",ROUND(AF125-Z125-AH125,2)))</f>
        <v>0</v>
      </c>
      <c r="AJ125" s="33">
        <f>IF(B125="","",IF(OR(AF125="",AF125=0),"",AI125/AF125))</f>
        <v>0</v>
      </c>
      <c r="AK125" s="20">
        <f>IF(B125="","",IF(OR(X125=0,X125="",AI125=""),"",ROUND((AI125+Y125)/(X125/60),2)))</f>
        <v>0</v>
      </c>
      <c r="AL125" s="43">
        <f>IF(B125="","",IF(N125="Not found","Check - no such product ID",IF(AF125="","Check - no price yet",IF(AI125&lt;0,"Loss - this version costs you money",IF(AND(AK125&lt;&gt;"",AK125&lt;MinimumWage),"Below - pays under minimum wage",IF(AND(G125&gt;0,AG125&lt;=0),"Check - extra work, no extra charge",IF(AJ125&lt;MarginWarning,"Low margin - re-price it","OK")))))))</f>
        <v>0</v>
      </c>
    </row>
    <row r="126" spans="1:38">
      <c r="A126" s="38">
        <f>IF(C126="","",VariationPrefix&amp;TEXT(ROW()-4,"0000"))</f>
        <v>0</v>
      </c>
      <c r="N126" s="13">
        <f>IF(B126="","",IFERROR(INDEX(Products!$B$5:$B$304,MATCH(B126,Products!$A$5:$A$304,0)),"Not found"))</f>
        <v>0</v>
      </c>
      <c r="O126" s="20">
        <f>IF(B126="","",IFERROR(INDEX(Products!$T$5:$T$304,MATCH(B126,Products!$A$5:$A$304,0)),""))</f>
        <v>0</v>
      </c>
      <c r="P126" s="20">
        <f>IF(B126="","",IFERROR(INDEX(Products!$Z$5:$Z$304,MATCH(B126,Products!$A$5:$A$304,0)),""))</f>
        <v>0</v>
      </c>
      <c r="Q126" s="20">
        <f>IF(B126="","",IFERROR(INDEX(Products!$AH$5:$AH$304,MATCH(B126,Products!$A$5:$A$304,0))-INDEX(Products!$T$5:$T$304,MATCH(B126,Products!$A$5:$A$304,0))-INDEX(Products!$Z$5:$Z$304,MATCH(B126,Products!$A$5:$A$304,0)),0))</f>
        <v>0</v>
      </c>
      <c r="R126" s="36">
        <f>IF(B126="","",IFERROR(INDEX(Products!$X$5:$X$304,MATCH(B126,Products!$A$5:$A$304,0)),""))</f>
        <v>0</v>
      </c>
      <c r="S126" s="20">
        <f>IF(B126="","",IFERROR(INDEX(Products!$AR$5:$AR$304,MATCH(B126,Products!$A$5:$A$304,0)),""))</f>
        <v>0</v>
      </c>
      <c r="T126" s="41">
        <f>IF(B126="","",IFERROR(INDEX(SizeMaterialFactors,MATCH(E126,SizeNames,0)),1))</f>
        <v>0</v>
      </c>
      <c r="U126" s="41">
        <f>IF(B126="","",IFERROR(INDEX(SizeTimeFactors,MATCH(E126,SizeNames,0)),1))</f>
        <v>0</v>
      </c>
      <c r="V126" s="33">
        <f>IF(B126="","",IFERROR(INDEX(RushFactors,MATCH(H126,RushNames,0)),0))</f>
        <v>0</v>
      </c>
      <c r="W126" s="20">
        <f>IF(B126="","",ROUND(IF(O126="",0,O126)*T126+IF(F126="",0,F126),2))</f>
        <v>0</v>
      </c>
      <c r="X126" s="36">
        <f>IF(B126="","",ROUND(IF(R126="",0,R126)*U126+IF(G126="",0,G126),1))</f>
        <v>0</v>
      </c>
      <c r="Y126" s="20">
        <f>IF(B126="","",ROUND(IF(P126="",0,P126)*U126+IF(G126="",0,G126)/60*LaborCostHour,2))</f>
        <v>0</v>
      </c>
      <c r="Z126" s="20">
        <f>IF(B126="","",ROUND(W126+Y126+IF(Q126="",0,Q126),2))</f>
        <v>0</v>
      </c>
      <c r="AA126" s="33">
        <f>IF(B126="","",IFERROR(INDEX(Channels!$S$5:$S$18,MATCH(IF(J126="",DefaultChannel,J126),Channels!$A$5:$A$18,0)),0))</f>
        <v>0</v>
      </c>
      <c r="AB126" s="20">
        <f>IF(B126="","",IFERROR(INDEX(Channels!$T$5:$T$18,MATCH(IF(J126="",DefaultChannel,J126),Channels!$A$5:$A$18,0)),0))</f>
        <v>0</v>
      </c>
      <c r="AC126" s="41">
        <f>IF(B126="","",1-TargetRetailMargin-AA126)</f>
        <v>0</v>
      </c>
      <c r="AD126" s="20">
        <f>IF(B126="","",IF(AC126&lt;=0,"",((Z126+AB126)/AC126)*(1+V126)+IF(I126="",0,I126)))</f>
        <v>0</v>
      </c>
      <c r="AE126" s="20">
        <f>IF(B126="","",IF(AD126="","Check the settings",ROUND(IF(RoundingRule="None",AD126,IF(RoundingRule="Nearest 0.99",MAX(0.99,CEILING(AD126,1)-0.01),IF(RoundingRule="Nearest 0.95",MAX(0.95,CEILING(AD126,1)-0.05),IF(RoundingRule="Nearest 0.50",CEILING(AD126,0.5),IF(RoundingRule="Nearest 1",CEILING(AD126,1),IF(RoundingRule="Nearest 5",CEILING(AD126,5),IF(RoundingRule="Up to whole 1",CEILING(AD126,1),IF(RoundingRule="Up to whole 5",CEILING(AD126,5),ROUND(AD126,2))))))))),2)))</f>
        <v>0</v>
      </c>
      <c r="AF126" s="20">
        <f>IF(B126="","",IF(K126&lt;&gt;"",K126,IF(ISNUMBER(AE126),AE126,"")))</f>
        <v>0</v>
      </c>
      <c r="AG126" s="20">
        <f>IF(B126="","",IF(OR(AF126="",S126=""),"",ROUND(AF126-S126,2)))</f>
        <v>0</v>
      </c>
      <c r="AH126" s="20">
        <f>IF(B126="","",IF(AF126="","",ROUND(AF126*AA126+AB126,2)))</f>
        <v>0</v>
      </c>
      <c r="AI126" s="20">
        <f>IF(B126="","",IF(AF126="","",ROUND(AF126-Z126-AH126,2)))</f>
        <v>0</v>
      </c>
      <c r="AJ126" s="33">
        <f>IF(B126="","",IF(OR(AF126="",AF126=0),"",AI126/AF126))</f>
        <v>0</v>
      </c>
      <c r="AK126" s="20">
        <f>IF(B126="","",IF(OR(X126=0,X126="",AI126=""),"",ROUND((AI126+Y126)/(X126/60),2)))</f>
        <v>0</v>
      </c>
      <c r="AL126" s="43">
        <f>IF(B126="","",IF(N126="Not found","Check - no such product ID",IF(AF126="","Check - no price yet",IF(AI126&lt;0,"Loss - this version costs you money",IF(AND(AK126&lt;&gt;"",AK126&lt;MinimumWage),"Below - pays under minimum wage",IF(AND(G126&gt;0,AG126&lt;=0),"Check - extra work, no extra charge",IF(AJ126&lt;MarginWarning,"Low margin - re-price it","OK")))))))</f>
        <v>0</v>
      </c>
    </row>
    <row r="127" spans="1:38">
      <c r="A127" s="38">
        <f>IF(C127="","",VariationPrefix&amp;TEXT(ROW()-4,"0000"))</f>
        <v>0</v>
      </c>
      <c r="N127" s="13">
        <f>IF(B127="","",IFERROR(INDEX(Products!$B$5:$B$304,MATCH(B127,Products!$A$5:$A$304,0)),"Not found"))</f>
        <v>0</v>
      </c>
      <c r="O127" s="20">
        <f>IF(B127="","",IFERROR(INDEX(Products!$T$5:$T$304,MATCH(B127,Products!$A$5:$A$304,0)),""))</f>
        <v>0</v>
      </c>
      <c r="P127" s="20">
        <f>IF(B127="","",IFERROR(INDEX(Products!$Z$5:$Z$304,MATCH(B127,Products!$A$5:$A$304,0)),""))</f>
        <v>0</v>
      </c>
      <c r="Q127" s="20">
        <f>IF(B127="","",IFERROR(INDEX(Products!$AH$5:$AH$304,MATCH(B127,Products!$A$5:$A$304,0))-INDEX(Products!$T$5:$T$304,MATCH(B127,Products!$A$5:$A$304,0))-INDEX(Products!$Z$5:$Z$304,MATCH(B127,Products!$A$5:$A$304,0)),0))</f>
        <v>0</v>
      </c>
      <c r="R127" s="36">
        <f>IF(B127="","",IFERROR(INDEX(Products!$X$5:$X$304,MATCH(B127,Products!$A$5:$A$304,0)),""))</f>
        <v>0</v>
      </c>
      <c r="S127" s="20">
        <f>IF(B127="","",IFERROR(INDEX(Products!$AR$5:$AR$304,MATCH(B127,Products!$A$5:$A$304,0)),""))</f>
        <v>0</v>
      </c>
      <c r="T127" s="41">
        <f>IF(B127="","",IFERROR(INDEX(SizeMaterialFactors,MATCH(E127,SizeNames,0)),1))</f>
        <v>0</v>
      </c>
      <c r="U127" s="41">
        <f>IF(B127="","",IFERROR(INDEX(SizeTimeFactors,MATCH(E127,SizeNames,0)),1))</f>
        <v>0</v>
      </c>
      <c r="V127" s="33">
        <f>IF(B127="","",IFERROR(INDEX(RushFactors,MATCH(H127,RushNames,0)),0))</f>
        <v>0</v>
      </c>
      <c r="W127" s="20">
        <f>IF(B127="","",ROUND(IF(O127="",0,O127)*T127+IF(F127="",0,F127),2))</f>
        <v>0</v>
      </c>
      <c r="X127" s="36">
        <f>IF(B127="","",ROUND(IF(R127="",0,R127)*U127+IF(G127="",0,G127),1))</f>
        <v>0</v>
      </c>
      <c r="Y127" s="20">
        <f>IF(B127="","",ROUND(IF(P127="",0,P127)*U127+IF(G127="",0,G127)/60*LaborCostHour,2))</f>
        <v>0</v>
      </c>
      <c r="Z127" s="20">
        <f>IF(B127="","",ROUND(W127+Y127+IF(Q127="",0,Q127),2))</f>
        <v>0</v>
      </c>
      <c r="AA127" s="33">
        <f>IF(B127="","",IFERROR(INDEX(Channels!$S$5:$S$18,MATCH(IF(J127="",DefaultChannel,J127),Channels!$A$5:$A$18,0)),0))</f>
        <v>0</v>
      </c>
      <c r="AB127" s="20">
        <f>IF(B127="","",IFERROR(INDEX(Channels!$T$5:$T$18,MATCH(IF(J127="",DefaultChannel,J127),Channels!$A$5:$A$18,0)),0))</f>
        <v>0</v>
      </c>
      <c r="AC127" s="41">
        <f>IF(B127="","",1-TargetRetailMargin-AA127)</f>
        <v>0</v>
      </c>
      <c r="AD127" s="20">
        <f>IF(B127="","",IF(AC127&lt;=0,"",((Z127+AB127)/AC127)*(1+V127)+IF(I127="",0,I127)))</f>
        <v>0</v>
      </c>
      <c r="AE127" s="20">
        <f>IF(B127="","",IF(AD127="","Check the settings",ROUND(IF(RoundingRule="None",AD127,IF(RoundingRule="Nearest 0.99",MAX(0.99,CEILING(AD127,1)-0.01),IF(RoundingRule="Nearest 0.95",MAX(0.95,CEILING(AD127,1)-0.05),IF(RoundingRule="Nearest 0.50",CEILING(AD127,0.5),IF(RoundingRule="Nearest 1",CEILING(AD127,1),IF(RoundingRule="Nearest 5",CEILING(AD127,5),IF(RoundingRule="Up to whole 1",CEILING(AD127,1),IF(RoundingRule="Up to whole 5",CEILING(AD127,5),ROUND(AD127,2))))))))),2)))</f>
        <v>0</v>
      </c>
      <c r="AF127" s="20">
        <f>IF(B127="","",IF(K127&lt;&gt;"",K127,IF(ISNUMBER(AE127),AE127,"")))</f>
        <v>0</v>
      </c>
      <c r="AG127" s="20">
        <f>IF(B127="","",IF(OR(AF127="",S127=""),"",ROUND(AF127-S127,2)))</f>
        <v>0</v>
      </c>
      <c r="AH127" s="20">
        <f>IF(B127="","",IF(AF127="","",ROUND(AF127*AA127+AB127,2)))</f>
        <v>0</v>
      </c>
      <c r="AI127" s="20">
        <f>IF(B127="","",IF(AF127="","",ROUND(AF127-Z127-AH127,2)))</f>
        <v>0</v>
      </c>
      <c r="AJ127" s="33">
        <f>IF(B127="","",IF(OR(AF127="",AF127=0),"",AI127/AF127))</f>
        <v>0</v>
      </c>
      <c r="AK127" s="20">
        <f>IF(B127="","",IF(OR(X127=0,X127="",AI127=""),"",ROUND((AI127+Y127)/(X127/60),2)))</f>
        <v>0</v>
      </c>
      <c r="AL127" s="43">
        <f>IF(B127="","",IF(N127="Not found","Check - no such product ID",IF(AF127="","Check - no price yet",IF(AI127&lt;0,"Loss - this version costs you money",IF(AND(AK127&lt;&gt;"",AK127&lt;MinimumWage),"Below - pays under minimum wage",IF(AND(G127&gt;0,AG127&lt;=0),"Check - extra work, no extra charge",IF(AJ127&lt;MarginWarning,"Low margin - re-price it","OK")))))))</f>
        <v>0</v>
      </c>
    </row>
    <row r="128" spans="1:38">
      <c r="A128" s="38">
        <f>IF(C128="","",VariationPrefix&amp;TEXT(ROW()-4,"0000"))</f>
        <v>0</v>
      </c>
      <c r="N128" s="13">
        <f>IF(B128="","",IFERROR(INDEX(Products!$B$5:$B$304,MATCH(B128,Products!$A$5:$A$304,0)),"Not found"))</f>
        <v>0</v>
      </c>
      <c r="O128" s="20">
        <f>IF(B128="","",IFERROR(INDEX(Products!$T$5:$T$304,MATCH(B128,Products!$A$5:$A$304,0)),""))</f>
        <v>0</v>
      </c>
      <c r="P128" s="20">
        <f>IF(B128="","",IFERROR(INDEX(Products!$Z$5:$Z$304,MATCH(B128,Products!$A$5:$A$304,0)),""))</f>
        <v>0</v>
      </c>
      <c r="Q128" s="20">
        <f>IF(B128="","",IFERROR(INDEX(Products!$AH$5:$AH$304,MATCH(B128,Products!$A$5:$A$304,0))-INDEX(Products!$T$5:$T$304,MATCH(B128,Products!$A$5:$A$304,0))-INDEX(Products!$Z$5:$Z$304,MATCH(B128,Products!$A$5:$A$304,0)),0))</f>
        <v>0</v>
      </c>
      <c r="R128" s="36">
        <f>IF(B128="","",IFERROR(INDEX(Products!$X$5:$X$304,MATCH(B128,Products!$A$5:$A$304,0)),""))</f>
        <v>0</v>
      </c>
      <c r="S128" s="20">
        <f>IF(B128="","",IFERROR(INDEX(Products!$AR$5:$AR$304,MATCH(B128,Products!$A$5:$A$304,0)),""))</f>
        <v>0</v>
      </c>
      <c r="T128" s="41">
        <f>IF(B128="","",IFERROR(INDEX(SizeMaterialFactors,MATCH(E128,SizeNames,0)),1))</f>
        <v>0</v>
      </c>
      <c r="U128" s="41">
        <f>IF(B128="","",IFERROR(INDEX(SizeTimeFactors,MATCH(E128,SizeNames,0)),1))</f>
        <v>0</v>
      </c>
      <c r="V128" s="33">
        <f>IF(B128="","",IFERROR(INDEX(RushFactors,MATCH(H128,RushNames,0)),0))</f>
        <v>0</v>
      </c>
      <c r="W128" s="20">
        <f>IF(B128="","",ROUND(IF(O128="",0,O128)*T128+IF(F128="",0,F128),2))</f>
        <v>0</v>
      </c>
      <c r="X128" s="36">
        <f>IF(B128="","",ROUND(IF(R128="",0,R128)*U128+IF(G128="",0,G128),1))</f>
        <v>0</v>
      </c>
      <c r="Y128" s="20">
        <f>IF(B128="","",ROUND(IF(P128="",0,P128)*U128+IF(G128="",0,G128)/60*LaborCostHour,2))</f>
        <v>0</v>
      </c>
      <c r="Z128" s="20">
        <f>IF(B128="","",ROUND(W128+Y128+IF(Q128="",0,Q128),2))</f>
        <v>0</v>
      </c>
      <c r="AA128" s="33">
        <f>IF(B128="","",IFERROR(INDEX(Channels!$S$5:$S$18,MATCH(IF(J128="",DefaultChannel,J128),Channels!$A$5:$A$18,0)),0))</f>
        <v>0</v>
      </c>
      <c r="AB128" s="20">
        <f>IF(B128="","",IFERROR(INDEX(Channels!$T$5:$T$18,MATCH(IF(J128="",DefaultChannel,J128),Channels!$A$5:$A$18,0)),0))</f>
        <v>0</v>
      </c>
      <c r="AC128" s="41">
        <f>IF(B128="","",1-TargetRetailMargin-AA128)</f>
        <v>0</v>
      </c>
      <c r="AD128" s="20">
        <f>IF(B128="","",IF(AC128&lt;=0,"",((Z128+AB128)/AC128)*(1+V128)+IF(I128="",0,I128)))</f>
        <v>0</v>
      </c>
      <c r="AE128" s="20">
        <f>IF(B128="","",IF(AD128="","Check the settings",ROUND(IF(RoundingRule="None",AD128,IF(RoundingRule="Nearest 0.99",MAX(0.99,CEILING(AD128,1)-0.01),IF(RoundingRule="Nearest 0.95",MAX(0.95,CEILING(AD128,1)-0.05),IF(RoundingRule="Nearest 0.50",CEILING(AD128,0.5),IF(RoundingRule="Nearest 1",CEILING(AD128,1),IF(RoundingRule="Nearest 5",CEILING(AD128,5),IF(RoundingRule="Up to whole 1",CEILING(AD128,1),IF(RoundingRule="Up to whole 5",CEILING(AD128,5),ROUND(AD128,2))))))))),2)))</f>
        <v>0</v>
      </c>
      <c r="AF128" s="20">
        <f>IF(B128="","",IF(K128&lt;&gt;"",K128,IF(ISNUMBER(AE128),AE128,"")))</f>
        <v>0</v>
      </c>
      <c r="AG128" s="20">
        <f>IF(B128="","",IF(OR(AF128="",S128=""),"",ROUND(AF128-S128,2)))</f>
        <v>0</v>
      </c>
      <c r="AH128" s="20">
        <f>IF(B128="","",IF(AF128="","",ROUND(AF128*AA128+AB128,2)))</f>
        <v>0</v>
      </c>
      <c r="AI128" s="20">
        <f>IF(B128="","",IF(AF128="","",ROUND(AF128-Z128-AH128,2)))</f>
        <v>0</v>
      </c>
      <c r="AJ128" s="33">
        <f>IF(B128="","",IF(OR(AF128="",AF128=0),"",AI128/AF128))</f>
        <v>0</v>
      </c>
      <c r="AK128" s="20">
        <f>IF(B128="","",IF(OR(X128=0,X128="",AI128=""),"",ROUND((AI128+Y128)/(X128/60),2)))</f>
        <v>0</v>
      </c>
      <c r="AL128" s="43">
        <f>IF(B128="","",IF(N128="Not found","Check - no such product ID",IF(AF128="","Check - no price yet",IF(AI128&lt;0,"Loss - this version costs you money",IF(AND(AK128&lt;&gt;"",AK128&lt;MinimumWage),"Below - pays under minimum wage",IF(AND(G128&gt;0,AG128&lt;=0),"Check - extra work, no extra charge",IF(AJ128&lt;MarginWarning,"Low margin - re-price it","OK")))))))</f>
        <v>0</v>
      </c>
    </row>
    <row r="129" spans="1:38">
      <c r="A129" s="38">
        <f>IF(C129="","",VariationPrefix&amp;TEXT(ROW()-4,"0000"))</f>
        <v>0</v>
      </c>
      <c r="N129" s="13">
        <f>IF(B129="","",IFERROR(INDEX(Products!$B$5:$B$304,MATCH(B129,Products!$A$5:$A$304,0)),"Not found"))</f>
        <v>0</v>
      </c>
      <c r="O129" s="20">
        <f>IF(B129="","",IFERROR(INDEX(Products!$T$5:$T$304,MATCH(B129,Products!$A$5:$A$304,0)),""))</f>
        <v>0</v>
      </c>
      <c r="P129" s="20">
        <f>IF(B129="","",IFERROR(INDEX(Products!$Z$5:$Z$304,MATCH(B129,Products!$A$5:$A$304,0)),""))</f>
        <v>0</v>
      </c>
      <c r="Q129" s="20">
        <f>IF(B129="","",IFERROR(INDEX(Products!$AH$5:$AH$304,MATCH(B129,Products!$A$5:$A$304,0))-INDEX(Products!$T$5:$T$304,MATCH(B129,Products!$A$5:$A$304,0))-INDEX(Products!$Z$5:$Z$304,MATCH(B129,Products!$A$5:$A$304,0)),0))</f>
        <v>0</v>
      </c>
      <c r="R129" s="36">
        <f>IF(B129="","",IFERROR(INDEX(Products!$X$5:$X$304,MATCH(B129,Products!$A$5:$A$304,0)),""))</f>
        <v>0</v>
      </c>
      <c r="S129" s="20">
        <f>IF(B129="","",IFERROR(INDEX(Products!$AR$5:$AR$304,MATCH(B129,Products!$A$5:$A$304,0)),""))</f>
        <v>0</v>
      </c>
      <c r="T129" s="41">
        <f>IF(B129="","",IFERROR(INDEX(SizeMaterialFactors,MATCH(E129,SizeNames,0)),1))</f>
        <v>0</v>
      </c>
      <c r="U129" s="41">
        <f>IF(B129="","",IFERROR(INDEX(SizeTimeFactors,MATCH(E129,SizeNames,0)),1))</f>
        <v>0</v>
      </c>
      <c r="V129" s="33">
        <f>IF(B129="","",IFERROR(INDEX(RushFactors,MATCH(H129,RushNames,0)),0))</f>
        <v>0</v>
      </c>
      <c r="W129" s="20">
        <f>IF(B129="","",ROUND(IF(O129="",0,O129)*T129+IF(F129="",0,F129),2))</f>
        <v>0</v>
      </c>
      <c r="X129" s="36">
        <f>IF(B129="","",ROUND(IF(R129="",0,R129)*U129+IF(G129="",0,G129),1))</f>
        <v>0</v>
      </c>
      <c r="Y129" s="20">
        <f>IF(B129="","",ROUND(IF(P129="",0,P129)*U129+IF(G129="",0,G129)/60*LaborCostHour,2))</f>
        <v>0</v>
      </c>
      <c r="Z129" s="20">
        <f>IF(B129="","",ROUND(W129+Y129+IF(Q129="",0,Q129),2))</f>
        <v>0</v>
      </c>
      <c r="AA129" s="33">
        <f>IF(B129="","",IFERROR(INDEX(Channels!$S$5:$S$18,MATCH(IF(J129="",DefaultChannel,J129),Channels!$A$5:$A$18,0)),0))</f>
        <v>0</v>
      </c>
      <c r="AB129" s="20">
        <f>IF(B129="","",IFERROR(INDEX(Channels!$T$5:$T$18,MATCH(IF(J129="",DefaultChannel,J129),Channels!$A$5:$A$18,0)),0))</f>
        <v>0</v>
      </c>
      <c r="AC129" s="41">
        <f>IF(B129="","",1-TargetRetailMargin-AA129)</f>
        <v>0</v>
      </c>
      <c r="AD129" s="20">
        <f>IF(B129="","",IF(AC129&lt;=0,"",((Z129+AB129)/AC129)*(1+V129)+IF(I129="",0,I129)))</f>
        <v>0</v>
      </c>
      <c r="AE129" s="20">
        <f>IF(B129="","",IF(AD129="","Check the settings",ROUND(IF(RoundingRule="None",AD129,IF(RoundingRule="Nearest 0.99",MAX(0.99,CEILING(AD129,1)-0.01),IF(RoundingRule="Nearest 0.95",MAX(0.95,CEILING(AD129,1)-0.05),IF(RoundingRule="Nearest 0.50",CEILING(AD129,0.5),IF(RoundingRule="Nearest 1",CEILING(AD129,1),IF(RoundingRule="Nearest 5",CEILING(AD129,5),IF(RoundingRule="Up to whole 1",CEILING(AD129,1),IF(RoundingRule="Up to whole 5",CEILING(AD129,5),ROUND(AD129,2))))))))),2)))</f>
        <v>0</v>
      </c>
      <c r="AF129" s="20">
        <f>IF(B129="","",IF(K129&lt;&gt;"",K129,IF(ISNUMBER(AE129),AE129,"")))</f>
        <v>0</v>
      </c>
      <c r="AG129" s="20">
        <f>IF(B129="","",IF(OR(AF129="",S129=""),"",ROUND(AF129-S129,2)))</f>
        <v>0</v>
      </c>
      <c r="AH129" s="20">
        <f>IF(B129="","",IF(AF129="","",ROUND(AF129*AA129+AB129,2)))</f>
        <v>0</v>
      </c>
      <c r="AI129" s="20">
        <f>IF(B129="","",IF(AF129="","",ROUND(AF129-Z129-AH129,2)))</f>
        <v>0</v>
      </c>
      <c r="AJ129" s="33">
        <f>IF(B129="","",IF(OR(AF129="",AF129=0),"",AI129/AF129))</f>
        <v>0</v>
      </c>
      <c r="AK129" s="20">
        <f>IF(B129="","",IF(OR(X129=0,X129="",AI129=""),"",ROUND((AI129+Y129)/(X129/60),2)))</f>
        <v>0</v>
      </c>
      <c r="AL129" s="43">
        <f>IF(B129="","",IF(N129="Not found","Check - no such product ID",IF(AF129="","Check - no price yet",IF(AI129&lt;0,"Loss - this version costs you money",IF(AND(AK129&lt;&gt;"",AK129&lt;MinimumWage),"Below - pays under minimum wage",IF(AND(G129&gt;0,AG129&lt;=0),"Check - extra work, no extra charge",IF(AJ129&lt;MarginWarning,"Low margin - re-price it","OK")))))))</f>
        <v>0</v>
      </c>
    </row>
    <row r="130" spans="1:38">
      <c r="A130" s="38">
        <f>IF(C130="","",VariationPrefix&amp;TEXT(ROW()-4,"0000"))</f>
        <v>0</v>
      </c>
      <c r="N130" s="13">
        <f>IF(B130="","",IFERROR(INDEX(Products!$B$5:$B$304,MATCH(B130,Products!$A$5:$A$304,0)),"Not found"))</f>
        <v>0</v>
      </c>
      <c r="O130" s="20">
        <f>IF(B130="","",IFERROR(INDEX(Products!$T$5:$T$304,MATCH(B130,Products!$A$5:$A$304,0)),""))</f>
        <v>0</v>
      </c>
      <c r="P130" s="20">
        <f>IF(B130="","",IFERROR(INDEX(Products!$Z$5:$Z$304,MATCH(B130,Products!$A$5:$A$304,0)),""))</f>
        <v>0</v>
      </c>
      <c r="Q130" s="20">
        <f>IF(B130="","",IFERROR(INDEX(Products!$AH$5:$AH$304,MATCH(B130,Products!$A$5:$A$304,0))-INDEX(Products!$T$5:$T$304,MATCH(B130,Products!$A$5:$A$304,0))-INDEX(Products!$Z$5:$Z$304,MATCH(B130,Products!$A$5:$A$304,0)),0))</f>
        <v>0</v>
      </c>
      <c r="R130" s="36">
        <f>IF(B130="","",IFERROR(INDEX(Products!$X$5:$X$304,MATCH(B130,Products!$A$5:$A$304,0)),""))</f>
        <v>0</v>
      </c>
      <c r="S130" s="20">
        <f>IF(B130="","",IFERROR(INDEX(Products!$AR$5:$AR$304,MATCH(B130,Products!$A$5:$A$304,0)),""))</f>
        <v>0</v>
      </c>
      <c r="T130" s="41">
        <f>IF(B130="","",IFERROR(INDEX(SizeMaterialFactors,MATCH(E130,SizeNames,0)),1))</f>
        <v>0</v>
      </c>
      <c r="U130" s="41">
        <f>IF(B130="","",IFERROR(INDEX(SizeTimeFactors,MATCH(E130,SizeNames,0)),1))</f>
        <v>0</v>
      </c>
      <c r="V130" s="33">
        <f>IF(B130="","",IFERROR(INDEX(RushFactors,MATCH(H130,RushNames,0)),0))</f>
        <v>0</v>
      </c>
      <c r="W130" s="20">
        <f>IF(B130="","",ROUND(IF(O130="",0,O130)*T130+IF(F130="",0,F130),2))</f>
        <v>0</v>
      </c>
      <c r="X130" s="36">
        <f>IF(B130="","",ROUND(IF(R130="",0,R130)*U130+IF(G130="",0,G130),1))</f>
        <v>0</v>
      </c>
      <c r="Y130" s="20">
        <f>IF(B130="","",ROUND(IF(P130="",0,P130)*U130+IF(G130="",0,G130)/60*LaborCostHour,2))</f>
        <v>0</v>
      </c>
      <c r="Z130" s="20">
        <f>IF(B130="","",ROUND(W130+Y130+IF(Q130="",0,Q130),2))</f>
        <v>0</v>
      </c>
      <c r="AA130" s="33">
        <f>IF(B130="","",IFERROR(INDEX(Channels!$S$5:$S$18,MATCH(IF(J130="",DefaultChannel,J130),Channels!$A$5:$A$18,0)),0))</f>
        <v>0</v>
      </c>
      <c r="AB130" s="20">
        <f>IF(B130="","",IFERROR(INDEX(Channels!$T$5:$T$18,MATCH(IF(J130="",DefaultChannel,J130),Channels!$A$5:$A$18,0)),0))</f>
        <v>0</v>
      </c>
      <c r="AC130" s="41">
        <f>IF(B130="","",1-TargetRetailMargin-AA130)</f>
        <v>0</v>
      </c>
      <c r="AD130" s="20">
        <f>IF(B130="","",IF(AC130&lt;=0,"",((Z130+AB130)/AC130)*(1+V130)+IF(I130="",0,I130)))</f>
        <v>0</v>
      </c>
      <c r="AE130" s="20">
        <f>IF(B130="","",IF(AD130="","Check the settings",ROUND(IF(RoundingRule="None",AD130,IF(RoundingRule="Nearest 0.99",MAX(0.99,CEILING(AD130,1)-0.01),IF(RoundingRule="Nearest 0.95",MAX(0.95,CEILING(AD130,1)-0.05),IF(RoundingRule="Nearest 0.50",CEILING(AD130,0.5),IF(RoundingRule="Nearest 1",CEILING(AD130,1),IF(RoundingRule="Nearest 5",CEILING(AD130,5),IF(RoundingRule="Up to whole 1",CEILING(AD130,1),IF(RoundingRule="Up to whole 5",CEILING(AD130,5),ROUND(AD130,2))))))))),2)))</f>
        <v>0</v>
      </c>
      <c r="AF130" s="20">
        <f>IF(B130="","",IF(K130&lt;&gt;"",K130,IF(ISNUMBER(AE130),AE130,"")))</f>
        <v>0</v>
      </c>
      <c r="AG130" s="20">
        <f>IF(B130="","",IF(OR(AF130="",S130=""),"",ROUND(AF130-S130,2)))</f>
        <v>0</v>
      </c>
      <c r="AH130" s="20">
        <f>IF(B130="","",IF(AF130="","",ROUND(AF130*AA130+AB130,2)))</f>
        <v>0</v>
      </c>
      <c r="AI130" s="20">
        <f>IF(B130="","",IF(AF130="","",ROUND(AF130-Z130-AH130,2)))</f>
        <v>0</v>
      </c>
      <c r="AJ130" s="33">
        <f>IF(B130="","",IF(OR(AF130="",AF130=0),"",AI130/AF130))</f>
        <v>0</v>
      </c>
      <c r="AK130" s="20">
        <f>IF(B130="","",IF(OR(X130=0,X130="",AI130=""),"",ROUND((AI130+Y130)/(X130/60),2)))</f>
        <v>0</v>
      </c>
      <c r="AL130" s="43">
        <f>IF(B130="","",IF(N130="Not found","Check - no such product ID",IF(AF130="","Check - no price yet",IF(AI130&lt;0,"Loss - this version costs you money",IF(AND(AK130&lt;&gt;"",AK130&lt;MinimumWage),"Below - pays under minimum wage",IF(AND(G130&gt;0,AG130&lt;=0),"Check - extra work, no extra charge",IF(AJ130&lt;MarginWarning,"Low margin - re-price it","OK")))))))</f>
        <v>0</v>
      </c>
    </row>
    <row r="131" spans="1:38">
      <c r="A131" s="38">
        <f>IF(C131="","",VariationPrefix&amp;TEXT(ROW()-4,"0000"))</f>
        <v>0</v>
      </c>
      <c r="N131" s="13">
        <f>IF(B131="","",IFERROR(INDEX(Products!$B$5:$B$304,MATCH(B131,Products!$A$5:$A$304,0)),"Not found"))</f>
        <v>0</v>
      </c>
      <c r="O131" s="20">
        <f>IF(B131="","",IFERROR(INDEX(Products!$T$5:$T$304,MATCH(B131,Products!$A$5:$A$304,0)),""))</f>
        <v>0</v>
      </c>
      <c r="P131" s="20">
        <f>IF(B131="","",IFERROR(INDEX(Products!$Z$5:$Z$304,MATCH(B131,Products!$A$5:$A$304,0)),""))</f>
        <v>0</v>
      </c>
      <c r="Q131" s="20">
        <f>IF(B131="","",IFERROR(INDEX(Products!$AH$5:$AH$304,MATCH(B131,Products!$A$5:$A$304,0))-INDEX(Products!$T$5:$T$304,MATCH(B131,Products!$A$5:$A$304,0))-INDEX(Products!$Z$5:$Z$304,MATCH(B131,Products!$A$5:$A$304,0)),0))</f>
        <v>0</v>
      </c>
      <c r="R131" s="36">
        <f>IF(B131="","",IFERROR(INDEX(Products!$X$5:$X$304,MATCH(B131,Products!$A$5:$A$304,0)),""))</f>
        <v>0</v>
      </c>
      <c r="S131" s="20">
        <f>IF(B131="","",IFERROR(INDEX(Products!$AR$5:$AR$304,MATCH(B131,Products!$A$5:$A$304,0)),""))</f>
        <v>0</v>
      </c>
      <c r="T131" s="41">
        <f>IF(B131="","",IFERROR(INDEX(SizeMaterialFactors,MATCH(E131,SizeNames,0)),1))</f>
        <v>0</v>
      </c>
      <c r="U131" s="41">
        <f>IF(B131="","",IFERROR(INDEX(SizeTimeFactors,MATCH(E131,SizeNames,0)),1))</f>
        <v>0</v>
      </c>
      <c r="V131" s="33">
        <f>IF(B131="","",IFERROR(INDEX(RushFactors,MATCH(H131,RushNames,0)),0))</f>
        <v>0</v>
      </c>
      <c r="W131" s="20">
        <f>IF(B131="","",ROUND(IF(O131="",0,O131)*T131+IF(F131="",0,F131),2))</f>
        <v>0</v>
      </c>
      <c r="X131" s="36">
        <f>IF(B131="","",ROUND(IF(R131="",0,R131)*U131+IF(G131="",0,G131),1))</f>
        <v>0</v>
      </c>
      <c r="Y131" s="20">
        <f>IF(B131="","",ROUND(IF(P131="",0,P131)*U131+IF(G131="",0,G131)/60*LaborCostHour,2))</f>
        <v>0</v>
      </c>
      <c r="Z131" s="20">
        <f>IF(B131="","",ROUND(W131+Y131+IF(Q131="",0,Q131),2))</f>
        <v>0</v>
      </c>
      <c r="AA131" s="33">
        <f>IF(B131="","",IFERROR(INDEX(Channels!$S$5:$S$18,MATCH(IF(J131="",DefaultChannel,J131),Channels!$A$5:$A$18,0)),0))</f>
        <v>0</v>
      </c>
      <c r="AB131" s="20">
        <f>IF(B131="","",IFERROR(INDEX(Channels!$T$5:$T$18,MATCH(IF(J131="",DefaultChannel,J131),Channels!$A$5:$A$18,0)),0))</f>
        <v>0</v>
      </c>
      <c r="AC131" s="41">
        <f>IF(B131="","",1-TargetRetailMargin-AA131)</f>
        <v>0</v>
      </c>
      <c r="AD131" s="20">
        <f>IF(B131="","",IF(AC131&lt;=0,"",((Z131+AB131)/AC131)*(1+V131)+IF(I131="",0,I131)))</f>
        <v>0</v>
      </c>
      <c r="AE131" s="20">
        <f>IF(B131="","",IF(AD131="","Check the settings",ROUND(IF(RoundingRule="None",AD131,IF(RoundingRule="Nearest 0.99",MAX(0.99,CEILING(AD131,1)-0.01),IF(RoundingRule="Nearest 0.95",MAX(0.95,CEILING(AD131,1)-0.05),IF(RoundingRule="Nearest 0.50",CEILING(AD131,0.5),IF(RoundingRule="Nearest 1",CEILING(AD131,1),IF(RoundingRule="Nearest 5",CEILING(AD131,5),IF(RoundingRule="Up to whole 1",CEILING(AD131,1),IF(RoundingRule="Up to whole 5",CEILING(AD131,5),ROUND(AD131,2))))))))),2)))</f>
        <v>0</v>
      </c>
      <c r="AF131" s="20">
        <f>IF(B131="","",IF(K131&lt;&gt;"",K131,IF(ISNUMBER(AE131),AE131,"")))</f>
        <v>0</v>
      </c>
      <c r="AG131" s="20">
        <f>IF(B131="","",IF(OR(AF131="",S131=""),"",ROUND(AF131-S131,2)))</f>
        <v>0</v>
      </c>
      <c r="AH131" s="20">
        <f>IF(B131="","",IF(AF131="","",ROUND(AF131*AA131+AB131,2)))</f>
        <v>0</v>
      </c>
      <c r="AI131" s="20">
        <f>IF(B131="","",IF(AF131="","",ROUND(AF131-Z131-AH131,2)))</f>
        <v>0</v>
      </c>
      <c r="AJ131" s="33">
        <f>IF(B131="","",IF(OR(AF131="",AF131=0),"",AI131/AF131))</f>
        <v>0</v>
      </c>
      <c r="AK131" s="20">
        <f>IF(B131="","",IF(OR(X131=0,X131="",AI131=""),"",ROUND((AI131+Y131)/(X131/60),2)))</f>
        <v>0</v>
      </c>
      <c r="AL131" s="43">
        <f>IF(B131="","",IF(N131="Not found","Check - no such product ID",IF(AF131="","Check - no price yet",IF(AI131&lt;0,"Loss - this version costs you money",IF(AND(AK131&lt;&gt;"",AK131&lt;MinimumWage),"Below - pays under minimum wage",IF(AND(G131&gt;0,AG131&lt;=0),"Check - extra work, no extra charge",IF(AJ131&lt;MarginWarning,"Low margin - re-price it","OK")))))))</f>
        <v>0</v>
      </c>
    </row>
    <row r="132" spans="1:38">
      <c r="A132" s="38">
        <f>IF(C132="","",VariationPrefix&amp;TEXT(ROW()-4,"0000"))</f>
        <v>0</v>
      </c>
      <c r="N132" s="13">
        <f>IF(B132="","",IFERROR(INDEX(Products!$B$5:$B$304,MATCH(B132,Products!$A$5:$A$304,0)),"Not found"))</f>
        <v>0</v>
      </c>
      <c r="O132" s="20">
        <f>IF(B132="","",IFERROR(INDEX(Products!$T$5:$T$304,MATCH(B132,Products!$A$5:$A$304,0)),""))</f>
        <v>0</v>
      </c>
      <c r="P132" s="20">
        <f>IF(B132="","",IFERROR(INDEX(Products!$Z$5:$Z$304,MATCH(B132,Products!$A$5:$A$304,0)),""))</f>
        <v>0</v>
      </c>
      <c r="Q132" s="20">
        <f>IF(B132="","",IFERROR(INDEX(Products!$AH$5:$AH$304,MATCH(B132,Products!$A$5:$A$304,0))-INDEX(Products!$T$5:$T$304,MATCH(B132,Products!$A$5:$A$304,0))-INDEX(Products!$Z$5:$Z$304,MATCH(B132,Products!$A$5:$A$304,0)),0))</f>
        <v>0</v>
      </c>
      <c r="R132" s="36">
        <f>IF(B132="","",IFERROR(INDEX(Products!$X$5:$X$304,MATCH(B132,Products!$A$5:$A$304,0)),""))</f>
        <v>0</v>
      </c>
      <c r="S132" s="20">
        <f>IF(B132="","",IFERROR(INDEX(Products!$AR$5:$AR$304,MATCH(B132,Products!$A$5:$A$304,0)),""))</f>
        <v>0</v>
      </c>
      <c r="T132" s="41">
        <f>IF(B132="","",IFERROR(INDEX(SizeMaterialFactors,MATCH(E132,SizeNames,0)),1))</f>
        <v>0</v>
      </c>
      <c r="U132" s="41">
        <f>IF(B132="","",IFERROR(INDEX(SizeTimeFactors,MATCH(E132,SizeNames,0)),1))</f>
        <v>0</v>
      </c>
      <c r="V132" s="33">
        <f>IF(B132="","",IFERROR(INDEX(RushFactors,MATCH(H132,RushNames,0)),0))</f>
        <v>0</v>
      </c>
      <c r="W132" s="20">
        <f>IF(B132="","",ROUND(IF(O132="",0,O132)*T132+IF(F132="",0,F132),2))</f>
        <v>0</v>
      </c>
      <c r="X132" s="36">
        <f>IF(B132="","",ROUND(IF(R132="",0,R132)*U132+IF(G132="",0,G132),1))</f>
        <v>0</v>
      </c>
      <c r="Y132" s="20">
        <f>IF(B132="","",ROUND(IF(P132="",0,P132)*U132+IF(G132="",0,G132)/60*LaborCostHour,2))</f>
        <v>0</v>
      </c>
      <c r="Z132" s="20">
        <f>IF(B132="","",ROUND(W132+Y132+IF(Q132="",0,Q132),2))</f>
        <v>0</v>
      </c>
      <c r="AA132" s="33">
        <f>IF(B132="","",IFERROR(INDEX(Channels!$S$5:$S$18,MATCH(IF(J132="",DefaultChannel,J132),Channels!$A$5:$A$18,0)),0))</f>
        <v>0</v>
      </c>
      <c r="AB132" s="20">
        <f>IF(B132="","",IFERROR(INDEX(Channels!$T$5:$T$18,MATCH(IF(J132="",DefaultChannel,J132),Channels!$A$5:$A$18,0)),0))</f>
        <v>0</v>
      </c>
      <c r="AC132" s="41">
        <f>IF(B132="","",1-TargetRetailMargin-AA132)</f>
        <v>0</v>
      </c>
      <c r="AD132" s="20">
        <f>IF(B132="","",IF(AC132&lt;=0,"",((Z132+AB132)/AC132)*(1+V132)+IF(I132="",0,I132)))</f>
        <v>0</v>
      </c>
      <c r="AE132" s="20">
        <f>IF(B132="","",IF(AD132="","Check the settings",ROUND(IF(RoundingRule="None",AD132,IF(RoundingRule="Nearest 0.99",MAX(0.99,CEILING(AD132,1)-0.01),IF(RoundingRule="Nearest 0.95",MAX(0.95,CEILING(AD132,1)-0.05),IF(RoundingRule="Nearest 0.50",CEILING(AD132,0.5),IF(RoundingRule="Nearest 1",CEILING(AD132,1),IF(RoundingRule="Nearest 5",CEILING(AD132,5),IF(RoundingRule="Up to whole 1",CEILING(AD132,1),IF(RoundingRule="Up to whole 5",CEILING(AD132,5),ROUND(AD132,2))))))))),2)))</f>
        <v>0</v>
      </c>
      <c r="AF132" s="20">
        <f>IF(B132="","",IF(K132&lt;&gt;"",K132,IF(ISNUMBER(AE132),AE132,"")))</f>
        <v>0</v>
      </c>
      <c r="AG132" s="20">
        <f>IF(B132="","",IF(OR(AF132="",S132=""),"",ROUND(AF132-S132,2)))</f>
        <v>0</v>
      </c>
      <c r="AH132" s="20">
        <f>IF(B132="","",IF(AF132="","",ROUND(AF132*AA132+AB132,2)))</f>
        <v>0</v>
      </c>
      <c r="AI132" s="20">
        <f>IF(B132="","",IF(AF132="","",ROUND(AF132-Z132-AH132,2)))</f>
        <v>0</v>
      </c>
      <c r="AJ132" s="33">
        <f>IF(B132="","",IF(OR(AF132="",AF132=0),"",AI132/AF132))</f>
        <v>0</v>
      </c>
      <c r="AK132" s="20">
        <f>IF(B132="","",IF(OR(X132=0,X132="",AI132=""),"",ROUND((AI132+Y132)/(X132/60),2)))</f>
        <v>0</v>
      </c>
      <c r="AL132" s="43">
        <f>IF(B132="","",IF(N132="Not found","Check - no such product ID",IF(AF132="","Check - no price yet",IF(AI132&lt;0,"Loss - this version costs you money",IF(AND(AK132&lt;&gt;"",AK132&lt;MinimumWage),"Below - pays under minimum wage",IF(AND(G132&gt;0,AG132&lt;=0),"Check - extra work, no extra charge",IF(AJ132&lt;MarginWarning,"Low margin - re-price it","OK")))))))</f>
        <v>0</v>
      </c>
    </row>
    <row r="133" spans="1:38">
      <c r="A133" s="38">
        <f>IF(C133="","",VariationPrefix&amp;TEXT(ROW()-4,"0000"))</f>
        <v>0</v>
      </c>
      <c r="N133" s="13">
        <f>IF(B133="","",IFERROR(INDEX(Products!$B$5:$B$304,MATCH(B133,Products!$A$5:$A$304,0)),"Not found"))</f>
        <v>0</v>
      </c>
      <c r="O133" s="20">
        <f>IF(B133="","",IFERROR(INDEX(Products!$T$5:$T$304,MATCH(B133,Products!$A$5:$A$304,0)),""))</f>
        <v>0</v>
      </c>
      <c r="P133" s="20">
        <f>IF(B133="","",IFERROR(INDEX(Products!$Z$5:$Z$304,MATCH(B133,Products!$A$5:$A$304,0)),""))</f>
        <v>0</v>
      </c>
      <c r="Q133" s="20">
        <f>IF(B133="","",IFERROR(INDEX(Products!$AH$5:$AH$304,MATCH(B133,Products!$A$5:$A$304,0))-INDEX(Products!$T$5:$T$304,MATCH(B133,Products!$A$5:$A$304,0))-INDEX(Products!$Z$5:$Z$304,MATCH(B133,Products!$A$5:$A$304,0)),0))</f>
        <v>0</v>
      </c>
      <c r="R133" s="36">
        <f>IF(B133="","",IFERROR(INDEX(Products!$X$5:$X$304,MATCH(B133,Products!$A$5:$A$304,0)),""))</f>
        <v>0</v>
      </c>
      <c r="S133" s="20">
        <f>IF(B133="","",IFERROR(INDEX(Products!$AR$5:$AR$304,MATCH(B133,Products!$A$5:$A$304,0)),""))</f>
        <v>0</v>
      </c>
      <c r="T133" s="41">
        <f>IF(B133="","",IFERROR(INDEX(SizeMaterialFactors,MATCH(E133,SizeNames,0)),1))</f>
        <v>0</v>
      </c>
      <c r="U133" s="41">
        <f>IF(B133="","",IFERROR(INDEX(SizeTimeFactors,MATCH(E133,SizeNames,0)),1))</f>
        <v>0</v>
      </c>
      <c r="V133" s="33">
        <f>IF(B133="","",IFERROR(INDEX(RushFactors,MATCH(H133,RushNames,0)),0))</f>
        <v>0</v>
      </c>
      <c r="W133" s="20">
        <f>IF(B133="","",ROUND(IF(O133="",0,O133)*T133+IF(F133="",0,F133),2))</f>
        <v>0</v>
      </c>
      <c r="X133" s="36">
        <f>IF(B133="","",ROUND(IF(R133="",0,R133)*U133+IF(G133="",0,G133),1))</f>
        <v>0</v>
      </c>
      <c r="Y133" s="20">
        <f>IF(B133="","",ROUND(IF(P133="",0,P133)*U133+IF(G133="",0,G133)/60*LaborCostHour,2))</f>
        <v>0</v>
      </c>
      <c r="Z133" s="20">
        <f>IF(B133="","",ROUND(W133+Y133+IF(Q133="",0,Q133),2))</f>
        <v>0</v>
      </c>
      <c r="AA133" s="33">
        <f>IF(B133="","",IFERROR(INDEX(Channels!$S$5:$S$18,MATCH(IF(J133="",DefaultChannel,J133),Channels!$A$5:$A$18,0)),0))</f>
        <v>0</v>
      </c>
      <c r="AB133" s="20">
        <f>IF(B133="","",IFERROR(INDEX(Channels!$T$5:$T$18,MATCH(IF(J133="",DefaultChannel,J133),Channels!$A$5:$A$18,0)),0))</f>
        <v>0</v>
      </c>
      <c r="AC133" s="41">
        <f>IF(B133="","",1-TargetRetailMargin-AA133)</f>
        <v>0</v>
      </c>
      <c r="AD133" s="20">
        <f>IF(B133="","",IF(AC133&lt;=0,"",((Z133+AB133)/AC133)*(1+V133)+IF(I133="",0,I133)))</f>
        <v>0</v>
      </c>
      <c r="AE133" s="20">
        <f>IF(B133="","",IF(AD133="","Check the settings",ROUND(IF(RoundingRule="None",AD133,IF(RoundingRule="Nearest 0.99",MAX(0.99,CEILING(AD133,1)-0.01),IF(RoundingRule="Nearest 0.95",MAX(0.95,CEILING(AD133,1)-0.05),IF(RoundingRule="Nearest 0.50",CEILING(AD133,0.5),IF(RoundingRule="Nearest 1",CEILING(AD133,1),IF(RoundingRule="Nearest 5",CEILING(AD133,5),IF(RoundingRule="Up to whole 1",CEILING(AD133,1),IF(RoundingRule="Up to whole 5",CEILING(AD133,5),ROUND(AD133,2))))))))),2)))</f>
        <v>0</v>
      </c>
      <c r="AF133" s="20">
        <f>IF(B133="","",IF(K133&lt;&gt;"",K133,IF(ISNUMBER(AE133),AE133,"")))</f>
        <v>0</v>
      </c>
      <c r="AG133" s="20">
        <f>IF(B133="","",IF(OR(AF133="",S133=""),"",ROUND(AF133-S133,2)))</f>
        <v>0</v>
      </c>
      <c r="AH133" s="20">
        <f>IF(B133="","",IF(AF133="","",ROUND(AF133*AA133+AB133,2)))</f>
        <v>0</v>
      </c>
      <c r="AI133" s="20">
        <f>IF(B133="","",IF(AF133="","",ROUND(AF133-Z133-AH133,2)))</f>
        <v>0</v>
      </c>
      <c r="AJ133" s="33">
        <f>IF(B133="","",IF(OR(AF133="",AF133=0),"",AI133/AF133))</f>
        <v>0</v>
      </c>
      <c r="AK133" s="20">
        <f>IF(B133="","",IF(OR(X133=0,X133="",AI133=""),"",ROUND((AI133+Y133)/(X133/60),2)))</f>
        <v>0</v>
      </c>
      <c r="AL133" s="43">
        <f>IF(B133="","",IF(N133="Not found","Check - no such product ID",IF(AF133="","Check - no price yet",IF(AI133&lt;0,"Loss - this version costs you money",IF(AND(AK133&lt;&gt;"",AK133&lt;MinimumWage),"Below - pays under minimum wage",IF(AND(G133&gt;0,AG133&lt;=0),"Check - extra work, no extra charge",IF(AJ133&lt;MarginWarning,"Low margin - re-price it","OK")))))))</f>
        <v>0</v>
      </c>
    </row>
    <row r="134" spans="1:38">
      <c r="A134" s="38">
        <f>IF(C134="","",VariationPrefix&amp;TEXT(ROW()-4,"0000"))</f>
        <v>0</v>
      </c>
      <c r="N134" s="13">
        <f>IF(B134="","",IFERROR(INDEX(Products!$B$5:$B$304,MATCH(B134,Products!$A$5:$A$304,0)),"Not found"))</f>
        <v>0</v>
      </c>
      <c r="O134" s="20">
        <f>IF(B134="","",IFERROR(INDEX(Products!$T$5:$T$304,MATCH(B134,Products!$A$5:$A$304,0)),""))</f>
        <v>0</v>
      </c>
      <c r="P134" s="20">
        <f>IF(B134="","",IFERROR(INDEX(Products!$Z$5:$Z$304,MATCH(B134,Products!$A$5:$A$304,0)),""))</f>
        <v>0</v>
      </c>
      <c r="Q134" s="20">
        <f>IF(B134="","",IFERROR(INDEX(Products!$AH$5:$AH$304,MATCH(B134,Products!$A$5:$A$304,0))-INDEX(Products!$T$5:$T$304,MATCH(B134,Products!$A$5:$A$304,0))-INDEX(Products!$Z$5:$Z$304,MATCH(B134,Products!$A$5:$A$304,0)),0))</f>
        <v>0</v>
      </c>
      <c r="R134" s="36">
        <f>IF(B134="","",IFERROR(INDEX(Products!$X$5:$X$304,MATCH(B134,Products!$A$5:$A$304,0)),""))</f>
        <v>0</v>
      </c>
      <c r="S134" s="20">
        <f>IF(B134="","",IFERROR(INDEX(Products!$AR$5:$AR$304,MATCH(B134,Products!$A$5:$A$304,0)),""))</f>
        <v>0</v>
      </c>
      <c r="T134" s="41">
        <f>IF(B134="","",IFERROR(INDEX(SizeMaterialFactors,MATCH(E134,SizeNames,0)),1))</f>
        <v>0</v>
      </c>
      <c r="U134" s="41">
        <f>IF(B134="","",IFERROR(INDEX(SizeTimeFactors,MATCH(E134,SizeNames,0)),1))</f>
        <v>0</v>
      </c>
      <c r="V134" s="33">
        <f>IF(B134="","",IFERROR(INDEX(RushFactors,MATCH(H134,RushNames,0)),0))</f>
        <v>0</v>
      </c>
      <c r="W134" s="20">
        <f>IF(B134="","",ROUND(IF(O134="",0,O134)*T134+IF(F134="",0,F134),2))</f>
        <v>0</v>
      </c>
      <c r="X134" s="36">
        <f>IF(B134="","",ROUND(IF(R134="",0,R134)*U134+IF(G134="",0,G134),1))</f>
        <v>0</v>
      </c>
      <c r="Y134" s="20">
        <f>IF(B134="","",ROUND(IF(P134="",0,P134)*U134+IF(G134="",0,G134)/60*LaborCostHour,2))</f>
        <v>0</v>
      </c>
      <c r="Z134" s="20">
        <f>IF(B134="","",ROUND(W134+Y134+IF(Q134="",0,Q134),2))</f>
        <v>0</v>
      </c>
      <c r="AA134" s="33">
        <f>IF(B134="","",IFERROR(INDEX(Channels!$S$5:$S$18,MATCH(IF(J134="",DefaultChannel,J134),Channels!$A$5:$A$18,0)),0))</f>
        <v>0</v>
      </c>
      <c r="AB134" s="20">
        <f>IF(B134="","",IFERROR(INDEX(Channels!$T$5:$T$18,MATCH(IF(J134="",DefaultChannel,J134),Channels!$A$5:$A$18,0)),0))</f>
        <v>0</v>
      </c>
      <c r="AC134" s="41">
        <f>IF(B134="","",1-TargetRetailMargin-AA134)</f>
        <v>0</v>
      </c>
      <c r="AD134" s="20">
        <f>IF(B134="","",IF(AC134&lt;=0,"",((Z134+AB134)/AC134)*(1+V134)+IF(I134="",0,I134)))</f>
        <v>0</v>
      </c>
      <c r="AE134" s="20">
        <f>IF(B134="","",IF(AD134="","Check the settings",ROUND(IF(RoundingRule="None",AD134,IF(RoundingRule="Nearest 0.99",MAX(0.99,CEILING(AD134,1)-0.01),IF(RoundingRule="Nearest 0.95",MAX(0.95,CEILING(AD134,1)-0.05),IF(RoundingRule="Nearest 0.50",CEILING(AD134,0.5),IF(RoundingRule="Nearest 1",CEILING(AD134,1),IF(RoundingRule="Nearest 5",CEILING(AD134,5),IF(RoundingRule="Up to whole 1",CEILING(AD134,1),IF(RoundingRule="Up to whole 5",CEILING(AD134,5),ROUND(AD134,2))))))))),2)))</f>
        <v>0</v>
      </c>
      <c r="AF134" s="20">
        <f>IF(B134="","",IF(K134&lt;&gt;"",K134,IF(ISNUMBER(AE134),AE134,"")))</f>
        <v>0</v>
      </c>
      <c r="AG134" s="20">
        <f>IF(B134="","",IF(OR(AF134="",S134=""),"",ROUND(AF134-S134,2)))</f>
        <v>0</v>
      </c>
      <c r="AH134" s="20">
        <f>IF(B134="","",IF(AF134="","",ROUND(AF134*AA134+AB134,2)))</f>
        <v>0</v>
      </c>
      <c r="AI134" s="20">
        <f>IF(B134="","",IF(AF134="","",ROUND(AF134-Z134-AH134,2)))</f>
        <v>0</v>
      </c>
      <c r="AJ134" s="33">
        <f>IF(B134="","",IF(OR(AF134="",AF134=0),"",AI134/AF134))</f>
        <v>0</v>
      </c>
      <c r="AK134" s="20">
        <f>IF(B134="","",IF(OR(X134=0,X134="",AI134=""),"",ROUND((AI134+Y134)/(X134/60),2)))</f>
        <v>0</v>
      </c>
      <c r="AL134" s="43">
        <f>IF(B134="","",IF(N134="Not found","Check - no such product ID",IF(AF134="","Check - no price yet",IF(AI134&lt;0,"Loss - this version costs you money",IF(AND(AK134&lt;&gt;"",AK134&lt;MinimumWage),"Below - pays under minimum wage",IF(AND(G134&gt;0,AG134&lt;=0),"Check - extra work, no extra charge",IF(AJ134&lt;MarginWarning,"Low margin - re-price it","OK")))))))</f>
        <v>0</v>
      </c>
    </row>
    <row r="135" spans="1:38">
      <c r="A135" s="38">
        <f>IF(C135="","",VariationPrefix&amp;TEXT(ROW()-4,"0000"))</f>
        <v>0</v>
      </c>
      <c r="N135" s="13">
        <f>IF(B135="","",IFERROR(INDEX(Products!$B$5:$B$304,MATCH(B135,Products!$A$5:$A$304,0)),"Not found"))</f>
        <v>0</v>
      </c>
      <c r="O135" s="20">
        <f>IF(B135="","",IFERROR(INDEX(Products!$T$5:$T$304,MATCH(B135,Products!$A$5:$A$304,0)),""))</f>
        <v>0</v>
      </c>
      <c r="P135" s="20">
        <f>IF(B135="","",IFERROR(INDEX(Products!$Z$5:$Z$304,MATCH(B135,Products!$A$5:$A$304,0)),""))</f>
        <v>0</v>
      </c>
      <c r="Q135" s="20">
        <f>IF(B135="","",IFERROR(INDEX(Products!$AH$5:$AH$304,MATCH(B135,Products!$A$5:$A$304,0))-INDEX(Products!$T$5:$T$304,MATCH(B135,Products!$A$5:$A$304,0))-INDEX(Products!$Z$5:$Z$304,MATCH(B135,Products!$A$5:$A$304,0)),0))</f>
        <v>0</v>
      </c>
      <c r="R135" s="36">
        <f>IF(B135="","",IFERROR(INDEX(Products!$X$5:$X$304,MATCH(B135,Products!$A$5:$A$304,0)),""))</f>
        <v>0</v>
      </c>
      <c r="S135" s="20">
        <f>IF(B135="","",IFERROR(INDEX(Products!$AR$5:$AR$304,MATCH(B135,Products!$A$5:$A$304,0)),""))</f>
        <v>0</v>
      </c>
      <c r="T135" s="41">
        <f>IF(B135="","",IFERROR(INDEX(SizeMaterialFactors,MATCH(E135,SizeNames,0)),1))</f>
        <v>0</v>
      </c>
      <c r="U135" s="41">
        <f>IF(B135="","",IFERROR(INDEX(SizeTimeFactors,MATCH(E135,SizeNames,0)),1))</f>
        <v>0</v>
      </c>
      <c r="V135" s="33">
        <f>IF(B135="","",IFERROR(INDEX(RushFactors,MATCH(H135,RushNames,0)),0))</f>
        <v>0</v>
      </c>
      <c r="W135" s="20">
        <f>IF(B135="","",ROUND(IF(O135="",0,O135)*T135+IF(F135="",0,F135),2))</f>
        <v>0</v>
      </c>
      <c r="X135" s="36">
        <f>IF(B135="","",ROUND(IF(R135="",0,R135)*U135+IF(G135="",0,G135),1))</f>
        <v>0</v>
      </c>
      <c r="Y135" s="20">
        <f>IF(B135="","",ROUND(IF(P135="",0,P135)*U135+IF(G135="",0,G135)/60*LaborCostHour,2))</f>
        <v>0</v>
      </c>
      <c r="Z135" s="20">
        <f>IF(B135="","",ROUND(W135+Y135+IF(Q135="",0,Q135),2))</f>
        <v>0</v>
      </c>
      <c r="AA135" s="33">
        <f>IF(B135="","",IFERROR(INDEX(Channels!$S$5:$S$18,MATCH(IF(J135="",DefaultChannel,J135),Channels!$A$5:$A$18,0)),0))</f>
        <v>0</v>
      </c>
      <c r="AB135" s="20">
        <f>IF(B135="","",IFERROR(INDEX(Channels!$T$5:$T$18,MATCH(IF(J135="",DefaultChannel,J135),Channels!$A$5:$A$18,0)),0))</f>
        <v>0</v>
      </c>
      <c r="AC135" s="41">
        <f>IF(B135="","",1-TargetRetailMargin-AA135)</f>
        <v>0</v>
      </c>
      <c r="AD135" s="20">
        <f>IF(B135="","",IF(AC135&lt;=0,"",((Z135+AB135)/AC135)*(1+V135)+IF(I135="",0,I135)))</f>
        <v>0</v>
      </c>
      <c r="AE135" s="20">
        <f>IF(B135="","",IF(AD135="","Check the settings",ROUND(IF(RoundingRule="None",AD135,IF(RoundingRule="Nearest 0.99",MAX(0.99,CEILING(AD135,1)-0.01),IF(RoundingRule="Nearest 0.95",MAX(0.95,CEILING(AD135,1)-0.05),IF(RoundingRule="Nearest 0.50",CEILING(AD135,0.5),IF(RoundingRule="Nearest 1",CEILING(AD135,1),IF(RoundingRule="Nearest 5",CEILING(AD135,5),IF(RoundingRule="Up to whole 1",CEILING(AD135,1),IF(RoundingRule="Up to whole 5",CEILING(AD135,5),ROUND(AD135,2))))))))),2)))</f>
        <v>0</v>
      </c>
      <c r="AF135" s="20">
        <f>IF(B135="","",IF(K135&lt;&gt;"",K135,IF(ISNUMBER(AE135),AE135,"")))</f>
        <v>0</v>
      </c>
      <c r="AG135" s="20">
        <f>IF(B135="","",IF(OR(AF135="",S135=""),"",ROUND(AF135-S135,2)))</f>
        <v>0</v>
      </c>
      <c r="AH135" s="20">
        <f>IF(B135="","",IF(AF135="","",ROUND(AF135*AA135+AB135,2)))</f>
        <v>0</v>
      </c>
      <c r="AI135" s="20">
        <f>IF(B135="","",IF(AF135="","",ROUND(AF135-Z135-AH135,2)))</f>
        <v>0</v>
      </c>
      <c r="AJ135" s="33">
        <f>IF(B135="","",IF(OR(AF135="",AF135=0),"",AI135/AF135))</f>
        <v>0</v>
      </c>
      <c r="AK135" s="20">
        <f>IF(B135="","",IF(OR(X135=0,X135="",AI135=""),"",ROUND((AI135+Y135)/(X135/60),2)))</f>
        <v>0</v>
      </c>
      <c r="AL135" s="43">
        <f>IF(B135="","",IF(N135="Not found","Check - no such product ID",IF(AF135="","Check - no price yet",IF(AI135&lt;0,"Loss - this version costs you money",IF(AND(AK135&lt;&gt;"",AK135&lt;MinimumWage),"Below - pays under minimum wage",IF(AND(G135&gt;0,AG135&lt;=0),"Check - extra work, no extra charge",IF(AJ135&lt;MarginWarning,"Low margin - re-price it","OK")))))))</f>
        <v>0</v>
      </c>
    </row>
    <row r="136" spans="1:38">
      <c r="A136" s="38">
        <f>IF(C136="","",VariationPrefix&amp;TEXT(ROW()-4,"0000"))</f>
        <v>0</v>
      </c>
      <c r="N136" s="13">
        <f>IF(B136="","",IFERROR(INDEX(Products!$B$5:$B$304,MATCH(B136,Products!$A$5:$A$304,0)),"Not found"))</f>
        <v>0</v>
      </c>
      <c r="O136" s="20">
        <f>IF(B136="","",IFERROR(INDEX(Products!$T$5:$T$304,MATCH(B136,Products!$A$5:$A$304,0)),""))</f>
        <v>0</v>
      </c>
      <c r="P136" s="20">
        <f>IF(B136="","",IFERROR(INDEX(Products!$Z$5:$Z$304,MATCH(B136,Products!$A$5:$A$304,0)),""))</f>
        <v>0</v>
      </c>
      <c r="Q136" s="20">
        <f>IF(B136="","",IFERROR(INDEX(Products!$AH$5:$AH$304,MATCH(B136,Products!$A$5:$A$304,0))-INDEX(Products!$T$5:$T$304,MATCH(B136,Products!$A$5:$A$304,0))-INDEX(Products!$Z$5:$Z$304,MATCH(B136,Products!$A$5:$A$304,0)),0))</f>
        <v>0</v>
      </c>
      <c r="R136" s="36">
        <f>IF(B136="","",IFERROR(INDEX(Products!$X$5:$X$304,MATCH(B136,Products!$A$5:$A$304,0)),""))</f>
        <v>0</v>
      </c>
      <c r="S136" s="20">
        <f>IF(B136="","",IFERROR(INDEX(Products!$AR$5:$AR$304,MATCH(B136,Products!$A$5:$A$304,0)),""))</f>
        <v>0</v>
      </c>
      <c r="T136" s="41">
        <f>IF(B136="","",IFERROR(INDEX(SizeMaterialFactors,MATCH(E136,SizeNames,0)),1))</f>
        <v>0</v>
      </c>
      <c r="U136" s="41">
        <f>IF(B136="","",IFERROR(INDEX(SizeTimeFactors,MATCH(E136,SizeNames,0)),1))</f>
        <v>0</v>
      </c>
      <c r="V136" s="33">
        <f>IF(B136="","",IFERROR(INDEX(RushFactors,MATCH(H136,RushNames,0)),0))</f>
        <v>0</v>
      </c>
      <c r="W136" s="20">
        <f>IF(B136="","",ROUND(IF(O136="",0,O136)*T136+IF(F136="",0,F136),2))</f>
        <v>0</v>
      </c>
      <c r="X136" s="36">
        <f>IF(B136="","",ROUND(IF(R136="",0,R136)*U136+IF(G136="",0,G136),1))</f>
        <v>0</v>
      </c>
      <c r="Y136" s="20">
        <f>IF(B136="","",ROUND(IF(P136="",0,P136)*U136+IF(G136="",0,G136)/60*LaborCostHour,2))</f>
        <v>0</v>
      </c>
      <c r="Z136" s="20">
        <f>IF(B136="","",ROUND(W136+Y136+IF(Q136="",0,Q136),2))</f>
        <v>0</v>
      </c>
      <c r="AA136" s="33">
        <f>IF(B136="","",IFERROR(INDEX(Channels!$S$5:$S$18,MATCH(IF(J136="",DefaultChannel,J136),Channels!$A$5:$A$18,0)),0))</f>
        <v>0</v>
      </c>
      <c r="AB136" s="20">
        <f>IF(B136="","",IFERROR(INDEX(Channels!$T$5:$T$18,MATCH(IF(J136="",DefaultChannel,J136),Channels!$A$5:$A$18,0)),0))</f>
        <v>0</v>
      </c>
      <c r="AC136" s="41">
        <f>IF(B136="","",1-TargetRetailMargin-AA136)</f>
        <v>0</v>
      </c>
      <c r="AD136" s="20">
        <f>IF(B136="","",IF(AC136&lt;=0,"",((Z136+AB136)/AC136)*(1+V136)+IF(I136="",0,I136)))</f>
        <v>0</v>
      </c>
      <c r="AE136" s="20">
        <f>IF(B136="","",IF(AD136="","Check the settings",ROUND(IF(RoundingRule="None",AD136,IF(RoundingRule="Nearest 0.99",MAX(0.99,CEILING(AD136,1)-0.01),IF(RoundingRule="Nearest 0.95",MAX(0.95,CEILING(AD136,1)-0.05),IF(RoundingRule="Nearest 0.50",CEILING(AD136,0.5),IF(RoundingRule="Nearest 1",CEILING(AD136,1),IF(RoundingRule="Nearest 5",CEILING(AD136,5),IF(RoundingRule="Up to whole 1",CEILING(AD136,1),IF(RoundingRule="Up to whole 5",CEILING(AD136,5),ROUND(AD136,2))))))))),2)))</f>
        <v>0</v>
      </c>
      <c r="AF136" s="20">
        <f>IF(B136="","",IF(K136&lt;&gt;"",K136,IF(ISNUMBER(AE136),AE136,"")))</f>
        <v>0</v>
      </c>
      <c r="AG136" s="20">
        <f>IF(B136="","",IF(OR(AF136="",S136=""),"",ROUND(AF136-S136,2)))</f>
        <v>0</v>
      </c>
      <c r="AH136" s="20">
        <f>IF(B136="","",IF(AF136="","",ROUND(AF136*AA136+AB136,2)))</f>
        <v>0</v>
      </c>
      <c r="AI136" s="20">
        <f>IF(B136="","",IF(AF136="","",ROUND(AF136-Z136-AH136,2)))</f>
        <v>0</v>
      </c>
      <c r="AJ136" s="33">
        <f>IF(B136="","",IF(OR(AF136="",AF136=0),"",AI136/AF136))</f>
        <v>0</v>
      </c>
      <c r="AK136" s="20">
        <f>IF(B136="","",IF(OR(X136=0,X136="",AI136=""),"",ROUND((AI136+Y136)/(X136/60),2)))</f>
        <v>0</v>
      </c>
      <c r="AL136" s="43">
        <f>IF(B136="","",IF(N136="Not found","Check - no such product ID",IF(AF136="","Check - no price yet",IF(AI136&lt;0,"Loss - this version costs you money",IF(AND(AK136&lt;&gt;"",AK136&lt;MinimumWage),"Below - pays under minimum wage",IF(AND(G136&gt;0,AG136&lt;=0),"Check - extra work, no extra charge",IF(AJ136&lt;MarginWarning,"Low margin - re-price it","OK")))))))</f>
        <v>0</v>
      </c>
    </row>
    <row r="137" spans="1:38">
      <c r="A137" s="38">
        <f>IF(C137="","",VariationPrefix&amp;TEXT(ROW()-4,"0000"))</f>
        <v>0</v>
      </c>
      <c r="N137" s="13">
        <f>IF(B137="","",IFERROR(INDEX(Products!$B$5:$B$304,MATCH(B137,Products!$A$5:$A$304,0)),"Not found"))</f>
        <v>0</v>
      </c>
      <c r="O137" s="20">
        <f>IF(B137="","",IFERROR(INDEX(Products!$T$5:$T$304,MATCH(B137,Products!$A$5:$A$304,0)),""))</f>
        <v>0</v>
      </c>
      <c r="P137" s="20">
        <f>IF(B137="","",IFERROR(INDEX(Products!$Z$5:$Z$304,MATCH(B137,Products!$A$5:$A$304,0)),""))</f>
        <v>0</v>
      </c>
      <c r="Q137" s="20">
        <f>IF(B137="","",IFERROR(INDEX(Products!$AH$5:$AH$304,MATCH(B137,Products!$A$5:$A$304,0))-INDEX(Products!$T$5:$T$304,MATCH(B137,Products!$A$5:$A$304,0))-INDEX(Products!$Z$5:$Z$304,MATCH(B137,Products!$A$5:$A$304,0)),0))</f>
        <v>0</v>
      </c>
      <c r="R137" s="36">
        <f>IF(B137="","",IFERROR(INDEX(Products!$X$5:$X$304,MATCH(B137,Products!$A$5:$A$304,0)),""))</f>
        <v>0</v>
      </c>
      <c r="S137" s="20">
        <f>IF(B137="","",IFERROR(INDEX(Products!$AR$5:$AR$304,MATCH(B137,Products!$A$5:$A$304,0)),""))</f>
        <v>0</v>
      </c>
      <c r="T137" s="41">
        <f>IF(B137="","",IFERROR(INDEX(SizeMaterialFactors,MATCH(E137,SizeNames,0)),1))</f>
        <v>0</v>
      </c>
      <c r="U137" s="41">
        <f>IF(B137="","",IFERROR(INDEX(SizeTimeFactors,MATCH(E137,SizeNames,0)),1))</f>
        <v>0</v>
      </c>
      <c r="V137" s="33">
        <f>IF(B137="","",IFERROR(INDEX(RushFactors,MATCH(H137,RushNames,0)),0))</f>
        <v>0</v>
      </c>
      <c r="W137" s="20">
        <f>IF(B137="","",ROUND(IF(O137="",0,O137)*T137+IF(F137="",0,F137),2))</f>
        <v>0</v>
      </c>
      <c r="X137" s="36">
        <f>IF(B137="","",ROUND(IF(R137="",0,R137)*U137+IF(G137="",0,G137),1))</f>
        <v>0</v>
      </c>
      <c r="Y137" s="20">
        <f>IF(B137="","",ROUND(IF(P137="",0,P137)*U137+IF(G137="",0,G137)/60*LaborCostHour,2))</f>
        <v>0</v>
      </c>
      <c r="Z137" s="20">
        <f>IF(B137="","",ROUND(W137+Y137+IF(Q137="",0,Q137),2))</f>
        <v>0</v>
      </c>
      <c r="AA137" s="33">
        <f>IF(B137="","",IFERROR(INDEX(Channels!$S$5:$S$18,MATCH(IF(J137="",DefaultChannel,J137),Channels!$A$5:$A$18,0)),0))</f>
        <v>0</v>
      </c>
      <c r="AB137" s="20">
        <f>IF(B137="","",IFERROR(INDEX(Channels!$T$5:$T$18,MATCH(IF(J137="",DefaultChannel,J137),Channels!$A$5:$A$18,0)),0))</f>
        <v>0</v>
      </c>
      <c r="AC137" s="41">
        <f>IF(B137="","",1-TargetRetailMargin-AA137)</f>
        <v>0</v>
      </c>
      <c r="AD137" s="20">
        <f>IF(B137="","",IF(AC137&lt;=0,"",((Z137+AB137)/AC137)*(1+V137)+IF(I137="",0,I137)))</f>
        <v>0</v>
      </c>
      <c r="AE137" s="20">
        <f>IF(B137="","",IF(AD137="","Check the settings",ROUND(IF(RoundingRule="None",AD137,IF(RoundingRule="Nearest 0.99",MAX(0.99,CEILING(AD137,1)-0.01),IF(RoundingRule="Nearest 0.95",MAX(0.95,CEILING(AD137,1)-0.05),IF(RoundingRule="Nearest 0.50",CEILING(AD137,0.5),IF(RoundingRule="Nearest 1",CEILING(AD137,1),IF(RoundingRule="Nearest 5",CEILING(AD137,5),IF(RoundingRule="Up to whole 1",CEILING(AD137,1),IF(RoundingRule="Up to whole 5",CEILING(AD137,5),ROUND(AD137,2))))))))),2)))</f>
        <v>0</v>
      </c>
      <c r="AF137" s="20">
        <f>IF(B137="","",IF(K137&lt;&gt;"",K137,IF(ISNUMBER(AE137),AE137,"")))</f>
        <v>0</v>
      </c>
      <c r="AG137" s="20">
        <f>IF(B137="","",IF(OR(AF137="",S137=""),"",ROUND(AF137-S137,2)))</f>
        <v>0</v>
      </c>
      <c r="AH137" s="20">
        <f>IF(B137="","",IF(AF137="","",ROUND(AF137*AA137+AB137,2)))</f>
        <v>0</v>
      </c>
      <c r="AI137" s="20">
        <f>IF(B137="","",IF(AF137="","",ROUND(AF137-Z137-AH137,2)))</f>
        <v>0</v>
      </c>
      <c r="AJ137" s="33">
        <f>IF(B137="","",IF(OR(AF137="",AF137=0),"",AI137/AF137))</f>
        <v>0</v>
      </c>
      <c r="AK137" s="20">
        <f>IF(B137="","",IF(OR(X137=0,X137="",AI137=""),"",ROUND((AI137+Y137)/(X137/60),2)))</f>
        <v>0</v>
      </c>
      <c r="AL137" s="43">
        <f>IF(B137="","",IF(N137="Not found","Check - no such product ID",IF(AF137="","Check - no price yet",IF(AI137&lt;0,"Loss - this version costs you money",IF(AND(AK137&lt;&gt;"",AK137&lt;MinimumWage),"Below - pays under minimum wage",IF(AND(G137&gt;0,AG137&lt;=0),"Check - extra work, no extra charge",IF(AJ137&lt;MarginWarning,"Low margin - re-price it","OK")))))))</f>
        <v>0</v>
      </c>
    </row>
    <row r="138" spans="1:38">
      <c r="A138" s="38">
        <f>IF(C138="","",VariationPrefix&amp;TEXT(ROW()-4,"0000"))</f>
        <v>0</v>
      </c>
      <c r="N138" s="13">
        <f>IF(B138="","",IFERROR(INDEX(Products!$B$5:$B$304,MATCH(B138,Products!$A$5:$A$304,0)),"Not found"))</f>
        <v>0</v>
      </c>
      <c r="O138" s="20">
        <f>IF(B138="","",IFERROR(INDEX(Products!$T$5:$T$304,MATCH(B138,Products!$A$5:$A$304,0)),""))</f>
        <v>0</v>
      </c>
      <c r="P138" s="20">
        <f>IF(B138="","",IFERROR(INDEX(Products!$Z$5:$Z$304,MATCH(B138,Products!$A$5:$A$304,0)),""))</f>
        <v>0</v>
      </c>
      <c r="Q138" s="20">
        <f>IF(B138="","",IFERROR(INDEX(Products!$AH$5:$AH$304,MATCH(B138,Products!$A$5:$A$304,0))-INDEX(Products!$T$5:$T$304,MATCH(B138,Products!$A$5:$A$304,0))-INDEX(Products!$Z$5:$Z$304,MATCH(B138,Products!$A$5:$A$304,0)),0))</f>
        <v>0</v>
      </c>
      <c r="R138" s="36">
        <f>IF(B138="","",IFERROR(INDEX(Products!$X$5:$X$304,MATCH(B138,Products!$A$5:$A$304,0)),""))</f>
        <v>0</v>
      </c>
      <c r="S138" s="20">
        <f>IF(B138="","",IFERROR(INDEX(Products!$AR$5:$AR$304,MATCH(B138,Products!$A$5:$A$304,0)),""))</f>
        <v>0</v>
      </c>
      <c r="T138" s="41">
        <f>IF(B138="","",IFERROR(INDEX(SizeMaterialFactors,MATCH(E138,SizeNames,0)),1))</f>
        <v>0</v>
      </c>
      <c r="U138" s="41">
        <f>IF(B138="","",IFERROR(INDEX(SizeTimeFactors,MATCH(E138,SizeNames,0)),1))</f>
        <v>0</v>
      </c>
      <c r="V138" s="33">
        <f>IF(B138="","",IFERROR(INDEX(RushFactors,MATCH(H138,RushNames,0)),0))</f>
        <v>0</v>
      </c>
      <c r="W138" s="20">
        <f>IF(B138="","",ROUND(IF(O138="",0,O138)*T138+IF(F138="",0,F138),2))</f>
        <v>0</v>
      </c>
      <c r="X138" s="36">
        <f>IF(B138="","",ROUND(IF(R138="",0,R138)*U138+IF(G138="",0,G138),1))</f>
        <v>0</v>
      </c>
      <c r="Y138" s="20">
        <f>IF(B138="","",ROUND(IF(P138="",0,P138)*U138+IF(G138="",0,G138)/60*LaborCostHour,2))</f>
        <v>0</v>
      </c>
      <c r="Z138" s="20">
        <f>IF(B138="","",ROUND(W138+Y138+IF(Q138="",0,Q138),2))</f>
        <v>0</v>
      </c>
      <c r="AA138" s="33">
        <f>IF(B138="","",IFERROR(INDEX(Channels!$S$5:$S$18,MATCH(IF(J138="",DefaultChannel,J138),Channels!$A$5:$A$18,0)),0))</f>
        <v>0</v>
      </c>
      <c r="AB138" s="20">
        <f>IF(B138="","",IFERROR(INDEX(Channels!$T$5:$T$18,MATCH(IF(J138="",DefaultChannel,J138),Channels!$A$5:$A$18,0)),0))</f>
        <v>0</v>
      </c>
      <c r="AC138" s="41">
        <f>IF(B138="","",1-TargetRetailMargin-AA138)</f>
        <v>0</v>
      </c>
      <c r="AD138" s="20">
        <f>IF(B138="","",IF(AC138&lt;=0,"",((Z138+AB138)/AC138)*(1+V138)+IF(I138="",0,I138)))</f>
        <v>0</v>
      </c>
      <c r="AE138" s="20">
        <f>IF(B138="","",IF(AD138="","Check the settings",ROUND(IF(RoundingRule="None",AD138,IF(RoundingRule="Nearest 0.99",MAX(0.99,CEILING(AD138,1)-0.01),IF(RoundingRule="Nearest 0.95",MAX(0.95,CEILING(AD138,1)-0.05),IF(RoundingRule="Nearest 0.50",CEILING(AD138,0.5),IF(RoundingRule="Nearest 1",CEILING(AD138,1),IF(RoundingRule="Nearest 5",CEILING(AD138,5),IF(RoundingRule="Up to whole 1",CEILING(AD138,1),IF(RoundingRule="Up to whole 5",CEILING(AD138,5),ROUND(AD138,2))))))))),2)))</f>
        <v>0</v>
      </c>
      <c r="AF138" s="20">
        <f>IF(B138="","",IF(K138&lt;&gt;"",K138,IF(ISNUMBER(AE138),AE138,"")))</f>
        <v>0</v>
      </c>
      <c r="AG138" s="20">
        <f>IF(B138="","",IF(OR(AF138="",S138=""),"",ROUND(AF138-S138,2)))</f>
        <v>0</v>
      </c>
      <c r="AH138" s="20">
        <f>IF(B138="","",IF(AF138="","",ROUND(AF138*AA138+AB138,2)))</f>
        <v>0</v>
      </c>
      <c r="AI138" s="20">
        <f>IF(B138="","",IF(AF138="","",ROUND(AF138-Z138-AH138,2)))</f>
        <v>0</v>
      </c>
      <c r="AJ138" s="33">
        <f>IF(B138="","",IF(OR(AF138="",AF138=0),"",AI138/AF138))</f>
        <v>0</v>
      </c>
      <c r="AK138" s="20">
        <f>IF(B138="","",IF(OR(X138=0,X138="",AI138=""),"",ROUND((AI138+Y138)/(X138/60),2)))</f>
        <v>0</v>
      </c>
      <c r="AL138" s="43">
        <f>IF(B138="","",IF(N138="Not found","Check - no such product ID",IF(AF138="","Check - no price yet",IF(AI138&lt;0,"Loss - this version costs you money",IF(AND(AK138&lt;&gt;"",AK138&lt;MinimumWage),"Below - pays under minimum wage",IF(AND(G138&gt;0,AG138&lt;=0),"Check - extra work, no extra charge",IF(AJ138&lt;MarginWarning,"Low margin - re-price it","OK")))))))</f>
        <v>0</v>
      </c>
    </row>
    <row r="139" spans="1:38">
      <c r="A139" s="38">
        <f>IF(C139="","",VariationPrefix&amp;TEXT(ROW()-4,"0000"))</f>
        <v>0</v>
      </c>
      <c r="N139" s="13">
        <f>IF(B139="","",IFERROR(INDEX(Products!$B$5:$B$304,MATCH(B139,Products!$A$5:$A$304,0)),"Not found"))</f>
        <v>0</v>
      </c>
      <c r="O139" s="20">
        <f>IF(B139="","",IFERROR(INDEX(Products!$T$5:$T$304,MATCH(B139,Products!$A$5:$A$304,0)),""))</f>
        <v>0</v>
      </c>
      <c r="P139" s="20">
        <f>IF(B139="","",IFERROR(INDEX(Products!$Z$5:$Z$304,MATCH(B139,Products!$A$5:$A$304,0)),""))</f>
        <v>0</v>
      </c>
      <c r="Q139" s="20">
        <f>IF(B139="","",IFERROR(INDEX(Products!$AH$5:$AH$304,MATCH(B139,Products!$A$5:$A$304,0))-INDEX(Products!$T$5:$T$304,MATCH(B139,Products!$A$5:$A$304,0))-INDEX(Products!$Z$5:$Z$304,MATCH(B139,Products!$A$5:$A$304,0)),0))</f>
        <v>0</v>
      </c>
      <c r="R139" s="36">
        <f>IF(B139="","",IFERROR(INDEX(Products!$X$5:$X$304,MATCH(B139,Products!$A$5:$A$304,0)),""))</f>
        <v>0</v>
      </c>
      <c r="S139" s="20">
        <f>IF(B139="","",IFERROR(INDEX(Products!$AR$5:$AR$304,MATCH(B139,Products!$A$5:$A$304,0)),""))</f>
        <v>0</v>
      </c>
      <c r="T139" s="41">
        <f>IF(B139="","",IFERROR(INDEX(SizeMaterialFactors,MATCH(E139,SizeNames,0)),1))</f>
        <v>0</v>
      </c>
      <c r="U139" s="41">
        <f>IF(B139="","",IFERROR(INDEX(SizeTimeFactors,MATCH(E139,SizeNames,0)),1))</f>
        <v>0</v>
      </c>
      <c r="V139" s="33">
        <f>IF(B139="","",IFERROR(INDEX(RushFactors,MATCH(H139,RushNames,0)),0))</f>
        <v>0</v>
      </c>
      <c r="W139" s="20">
        <f>IF(B139="","",ROUND(IF(O139="",0,O139)*T139+IF(F139="",0,F139),2))</f>
        <v>0</v>
      </c>
      <c r="X139" s="36">
        <f>IF(B139="","",ROUND(IF(R139="",0,R139)*U139+IF(G139="",0,G139),1))</f>
        <v>0</v>
      </c>
      <c r="Y139" s="20">
        <f>IF(B139="","",ROUND(IF(P139="",0,P139)*U139+IF(G139="",0,G139)/60*LaborCostHour,2))</f>
        <v>0</v>
      </c>
      <c r="Z139" s="20">
        <f>IF(B139="","",ROUND(W139+Y139+IF(Q139="",0,Q139),2))</f>
        <v>0</v>
      </c>
      <c r="AA139" s="33">
        <f>IF(B139="","",IFERROR(INDEX(Channels!$S$5:$S$18,MATCH(IF(J139="",DefaultChannel,J139),Channels!$A$5:$A$18,0)),0))</f>
        <v>0</v>
      </c>
      <c r="AB139" s="20">
        <f>IF(B139="","",IFERROR(INDEX(Channels!$T$5:$T$18,MATCH(IF(J139="",DefaultChannel,J139),Channels!$A$5:$A$18,0)),0))</f>
        <v>0</v>
      </c>
      <c r="AC139" s="41">
        <f>IF(B139="","",1-TargetRetailMargin-AA139)</f>
        <v>0</v>
      </c>
      <c r="AD139" s="20">
        <f>IF(B139="","",IF(AC139&lt;=0,"",((Z139+AB139)/AC139)*(1+V139)+IF(I139="",0,I139)))</f>
        <v>0</v>
      </c>
      <c r="AE139" s="20">
        <f>IF(B139="","",IF(AD139="","Check the settings",ROUND(IF(RoundingRule="None",AD139,IF(RoundingRule="Nearest 0.99",MAX(0.99,CEILING(AD139,1)-0.01),IF(RoundingRule="Nearest 0.95",MAX(0.95,CEILING(AD139,1)-0.05),IF(RoundingRule="Nearest 0.50",CEILING(AD139,0.5),IF(RoundingRule="Nearest 1",CEILING(AD139,1),IF(RoundingRule="Nearest 5",CEILING(AD139,5),IF(RoundingRule="Up to whole 1",CEILING(AD139,1),IF(RoundingRule="Up to whole 5",CEILING(AD139,5),ROUND(AD139,2))))))))),2)))</f>
        <v>0</v>
      </c>
      <c r="AF139" s="20">
        <f>IF(B139="","",IF(K139&lt;&gt;"",K139,IF(ISNUMBER(AE139),AE139,"")))</f>
        <v>0</v>
      </c>
      <c r="AG139" s="20">
        <f>IF(B139="","",IF(OR(AF139="",S139=""),"",ROUND(AF139-S139,2)))</f>
        <v>0</v>
      </c>
      <c r="AH139" s="20">
        <f>IF(B139="","",IF(AF139="","",ROUND(AF139*AA139+AB139,2)))</f>
        <v>0</v>
      </c>
      <c r="AI139" s="20">
        <f>IF(B139="","",IF(AF139="","",ROUND(AF139-Z139-AH139,2)))</f>
        <v>0</v>
      </c>
      <c r="AJ139" s="33">
        <f>IF(B139="","",IF(OR(AF139="",AF139=0),"",AI139/AF139))</f>
        <v>0</v>
      </c>
      <c r="AK139" s="20">
        <f>IF(B139="","",IF(OR(X139=0,X139="",AI139=""),"",ROUND((AI139+Y139)/(X139/60),2)))</f>
        <v>0</v>
      </c>
      <c r="AL139" s="43">
        <f>IF(B139="","",IF(N139="Not found","Check - no such product ID",IF(AF139="","Check - no price yet",IF(AI139&lt;0,"Loss - this version costs you money",IF(AND(AK139&lt;&gt;"",AK139&lt;MinimumWage),"Below - pays under minimum wage",IF(AND(G139&gt;0,AG139&lt;=0),"Check - extra work, no extra charge",IF(AJ139&lt;MarginWarning,"Low margin - re-price it","OK")))))))</f>
        <v>0</v>
      </c>
    </row>
    <row r="140" spans="1:38">
      <c r="A140" s="38">
        <f>IF(C140="","",VariationPrefix&amp;TEXT(ROW()-4,"0000"))</f>
        <v>0</v>
      </c>
      <c r="N140" s="13">
        <f>IF(B140="","",IFERROR(INDEX(Products!$B$5:$B$304,MATCH(B140,Products!$A$5:$A$304,0)),"Not found"))</f>
        <v>0</v>
      </c>
      <c r="O140" s="20">
        <f>IF(B140="","",IFERROR(INDEX(Products!$T$5:$T$304,MATCH(B140,Products!$A$5:$A$304,0)),""))</f>
        <v>0</v>
      </c>
      <c r="P140" s="20">
        <f>IF(B140="","",IFERROR(INDEX(Products!$Z$5:$Z$304,MATCH(B140,Products!$A$5:$A$304,0)),""))</f>
        <v>0</v>
      </c>
      <c r="Q140" s="20">
        <f>IF(B140="","",IFERROR(INDEX(Products!$AH$5:$AH$304,MATCH(B140,Products!$A$5:$A$304,0))-INDEX(Products!$T$5:$T$304,MATCH(B140,Products!$A$5:$A$304,0))-INDEX(Products!$Z$5:$Z$304,MATCH(B140,Products!$A$5:$A$304,0)),0))</f>
        <v>0</v>
      </c>
      <c r="R140" s="36">
        <f>IF(B140="","",IFERROR(INDEX(Products!$X$5:$X$304,MATCH(B140,Products!$A$5:$A$304,0)),""))</f>
        <v>0</v>
      </c>
      <c r="S140" s="20">
        <f>IF(B140="","",IFERROR(INDEX(Products!$AR$5:$AR$304,MATCH(B140,Products!$A$5:$A$304,0)),""))</f>
        <v>0</v>
      </c>
      <c r="T140" s="41">
        <f>IF(B140="","",IFERROR(INDEX(SizeMaterialFactors,MATCH(E140,SizeNames,0)),1))</f>
        <v>0</v>
      </c>
      <c r="U140" s="41">
        <f>IF(B140="","",IFERROR(INDEX(SizeTimeFactors,MATCH(E140,SizeNames,0)),1))</f>
        <v>0</v>
      </c>
      <c r="V140" s="33">
        <f>IF(B140="","",IFERROR(INDEX(RushFactors,MATCH(H140,RushNames,0)),0))</f>
        <v>0</v>
      </c>
      <c r="W140" s="20">
        <f>IF(B140="","",ROUND(IF(O140="",0,O140)*T140+IF(F140="",0,F140),2))</f>
        <v>0</v>
      </c>
      <c r="X140" s="36">
        <f>IF(B140="","",ROUND(IF(R140="",0,R140)*U140+IF(G140="",0,G140),1))</f>
        <v>0</v>
      </c>
      <c r="Y140" s="20">
        <f>IF(B140="","",ROUND(IF(P140="",0,P140)*U140+IF(G140="",0,G140)/60*LaborCostHour,2))</f>
        <v>0</v>
      </c>
      <c r="Z140" s="20">
        <f>IF(B140="","",ROUND(W140+Y140+IF(Q140="",0,Q140),2))</f>
        <v>0</v>
      </c>
      <c r="AA140" s="33">
        <f>IF(B140="","",IFERROR(INDEX(Channels!$S$5:$S$18,MATCH(IF(J140="",DefaultChannel,J140),Channels!$A$5:$A$18,0)),0))</f>
        <v>0</v>
      </c>
      <c r="AB140" s="20">
        <f>IF(B140="","",IFERROR(INDEX(Channels!$T$5:$T$18,MATCH(IF(J140="",DefaultChannel,J140),Channels!$A$5:$A$18,0)),0))</f>
        <v>0</v>
      </c>
      <c r="AC140" s="41">
        <f>IF(B140="","",1-TargetRetailMargin-AA140)</f>
        <v>0</v>
      </c>
      <c r="AD140" s="20">
        <f>IF(B140="","",IF(AC140&lt;=0,"",((Z140+AB140)/AC140)*(1+V140)+IF(I140="",0,I140)))</f>
        <v>0</v>
      </c>
      <c r="AE140" s="20">
        <f>IF(B140="","",IF(AD140="","Check the settings",ROUND(IF(RoundingRule="None",AD140,IF(RoundingRule="Nearest 0.99",MAX(0.99,CEILING(AD140,1)-0.01),IF(RoundingRule="Nearest 0.95",MAX(0.95,CEILING(AD140,1)-0.05),IF(RoundingRule="Nearest 0.50",CEILING(AD140,0.5),IF(RoundingRule="Nearest 1",CEILING(AD140,1),IF(RoundingRule="Nearest 5",CEILING(AD140,5),IF(RoundingRule="Up to whole 1",CEILING(AD140,1),IF(RoundingRule="Up to whole 5",CEILING(AD140,5),ROUND(AD140,2))))))))),2)))</f>
        <v>0</v>
      </c>
      <c r="AF140" s="20">
        <f>IF(B140="","",IF(K140&lt;&gt;"",K140,IF(ISNUMBER(AE140),AE140,"")))</f>
        <v>0</v>
      </c>
      <c r="AG140" s="20">
        <f>IF(B140="","",IF(OR(AF140="",S140=""),"",ROUND(AF140-S140,2)))</f>
        <v>0</v>
      </c>
      <c r="AH140" s="20">
        <f>IF(B140="","",IF(AF140="","",ROUND(AF140*AA140+AB140,2)))</f>
        <v>0</v>
      </c>
      <c r="AI140" s="20">
        <f>IF(B140="","",IF(AF140="","",ROUND(AF140-Z140-AH140,2)))</f>
        <v>0</v>
      </c>
      <c r="AJ140" s="33">
        <f>IF(B140="","",IF(OR(AF140="",AF140=0),"",AI140/AF140))</f>
        <v>0</v>
      </c>
      <c r="AK140" s="20">
        <f>IF(B140="","",IF(OR(X140=0,X140="",AI140=""),"",ROUND((AI140+Y140)/(X140/60),2)))</f>
        <v>0</v>
      </c>
      <c r="AL140" s="43">
        <f>IF(B140="","",IF(N140="Not found","Check - no such product ID",IF(AF140="","Check - no price yet",IF(AI140&lt;0,"Loss - this version costs you money",IF(AND(AK140&lt;&gt;"",AK140&lt;MinimumWage),"Below - pays under minimum wage",IF(AND(G140&gt;0,AG140&lt;=0),"Check - extra work, no extra charge",IF(AJ140&lt;MarginWarning,"Low margin - re-price it","OK")))))))</f>
        <v>0</v>
      </c>
    </row>
    <row r="141" spans="1:38">
      <c r="A141" s="38">
        <f>IF(C141="","",VariationPrefix&amp;TEXT(ROW()-4,"0000"))</f>
        <v>0</v>
      </c>
      <c r="N141" s="13">
        <f>IF(B141="","",IFERROR(INDEX(Products!$B$5:$B$304,MATCH(B141,Products!$A$5:$A$304,0)),"Not found"))</f>
        <v>0</v>
      </c>
      <c r="O141" s="20">
        <f>IF(B141="","",IFERROR(INDEX(Products!$T$5:$T$304,MATCH(B141,Products!$A$5:$A$304,0)),""))</f>
        <v>0</v>
      </c>
      <c r="P141" s="20">
        <f>IF(B141="","",IFERROR(INDEX(Products!$Z$5:$Z$304,MATCH(B141,Products!$A$5:$A$304,0)),""))</f>
        <v>0</v>
      </c>
      <c r="Q141" s="20">
        <f>IF(B141="","",IFERROR(INDEX(Products!$AH$5:$AH$304,MATCH(B141,Products!$A$5:$A$304,0))-INDEX(Products!$T$5:$T$304,MATCH(B141,Products!$A$5:$A$304,0))-INDEX(Products!$Z$5:$Z$304,MATCH(B141,Products!$A$5:$A$304,0)),0))</f>
        <v>0</v>
      </c>
      <c r="R141" s="36">
        <f>IF(B141="","",IFERROR(INDEX(Products!$X$5:$X$304,MATCH(B141,Products!$A$5:$A$304,0)),""))</f>
        <v>0</v>
      </c>
      <c r="S141" s="20">
        <f>IF(B141="","",IFERROR(INDEX(Products!$AR$5:$AR$304,MATCH(B141,Products!$A$5:$A$304,0)),""))</f>
        <v>0</v>
      </c>
      <c r="T141" s="41">
        <f>IF(B141="","",IFERROR(INDEX(SizeMaterialFactors,MATCH(E141,SizeNames,0)),1))</f>
        <v>0</v>
      </c>
      <c r="U141" s="41">
        <f>IF(B141="","",IFERROR(INDEX(SizeTimeFactors,MATCH(E141,SizeNames,0)),1))</f>
        <v>0</v>
      </c>
      <c r="V141" s="33">
        <f>IF(B141="","",IFERROR(INDEX(RushFactors,MATCH(H141,RushNames,0)),0))</f>
        <v>0</v>
      </c>
      <c r="W141" s="20">
        <f>IF(B141="","",ROUND(IF(O141="",0,O141)*T141+IF(F141="",0,F141),2))</f>
        <v>0</v>
      </c>
      <c r="X141" s="36">
        <f>IF(B141="","",ROUND(IF(R141="",0,R141)*U141+IF(G141="",0,G141),1))</f>
        <v>0</v>
      </c>
      <c r="Y141" s="20">
        <f>IF(B141="","",ROUND(IF(P141="",0,P141)*U141+IF(G141="",0,G141)/60*LaborCostHour,2))</f>
        <v>0</v>
      </c>
      <c r="Z141" s="20">
        <f>IF(B141="","",ROUND(W141+Y141+IF(Q141="",0,Q141),2))</f>
        <v>0</v>
      </c>
      <c r="AA141" s="33">
        <f>IF(B141="","",IFERROR(INDEX(Channels!$S$5:$S$18,MATCH(IF(J141="",DefaultChannel,J141),Channels!$A$5:$A$18,0)),0))</f>
        <v>0</v>
      </c>
      <c r="AB141" s="20">
        <f>IF(B141="","",IFERROR(INDEX(Channels!$T$5:$T$18,MATCH(IF(J141="",DefaultChannel,J141),Channels!$A$5:$A$18,0)),0))</f>
        <v>0</v>
      </c>
      <c r="AC141" s="41">
        <f>IF(B141="","",1-TargetRetailMargin-AA141)</f>
        <v>0</v>
      </c>
      <c r="AD141" s="20">
        <f>IF(B141="","",IF(AC141&lt;=0,"",((Z141+AB141)/AC141)*(1+V141)+IF(I141="",0,I141)))</f>
        <v>0</v>
      </c>
      <c r="AE141" s="20">
        <f>IF(B141="","",IF(AD141="","Check the settings",ROUND(IF(RoundingRule="None",AD141,IF(RoundingRule="Nearest 0.99",MAX(0.99,CEILING(AD141,1)-0.01),IF(RoundingRule="Nearest 0.95",MAX(0.95,CEILING(AD141,1)-0.05),IF(RoundingRule="Nearest 0.50",CEILING(AD141,0.5),IF(RoundingRule="Nearest 1",CEILING(AD141,1),IF(RoundingRule="Nearest 5",CEILING(AD141,5),IF(RoundingRule="Up to whole 1",CEILING(AD141,1),IF(RoundingRule="Up to whole 5",CEILING(AD141,5),ROUND(AD141,2))))))))),2)))</f>
        <v>0</v>
      </c>
      <c r="AF141" s="20">
        <f>IF(B141="","",IF(K141&lt;&gt;"",K141,IF(ISNUMBER(AE141),AE141,"")))</f>
        <v>0</v>
      </c>
      <c r="AG141" s="20">
        <f>IF(B141="","",IF(OR(AF141="",S141=""),"",ROUND(AF141-S141,2)))</f>
        <v>0</v>
      </c>
      <c r="AH141" s="20">
        <f>IF(B141="","",IF(AF141="","",ROUND(AF141*AA141+AB141,2)))</f>
        <v>0</v>
      </c>
      <c r="AI141" s="20">
        <f>IF(B141="","",IF(AF141="","",ROUND(AF141-Z141-AH141,2)))</f>
        <v>0</v>
      </c>
      <c r="AJ141" s="33">
        <f>IF(B141="","",IF(OR(AF141="",AF141=0),"",AI141/AF141))</f>
        <v>0</v>
      </c>
      <c r="AK141" s="20">
        <f>IF(B141="","",IF(OR(X141=0,X141="",AI141=""),"",ROUND((AI141+Y141)/(X141/60),2)))</f>
        <v>0</v>
      </c>
      <c r="AL141" s="43">
        <f>IF(B141="","",IF(N141="Not found","Check - no such product ID",IF(AF141="","Check - no price yet",IF(AI141&lt;0,"Loss - this version costs you money",IF(AND(AK141&lt;&gt;"",AK141&lt;MinimumWage),"Below - pays under minimum wage",IF(AND(G141&gt;0,AG141&lt;=0),"Check - extra work, no extra charge",IF(AJ141&lt;MarginWarning,"Low margin - re-price it","OK")))))))</f>
        <v>0</v>
      </c>
    </row>
    <row r="142" spans="1:38">
      <c r="A142" s="38">
        <f>IF(C142="","",VariationPrefix&amp;TEXT(ROW()-4,"0000"))</f>
        <v>0</v>
      </c>
      <c r="N142" s="13">
        <f>IF(B142="","",IFERROR(INDEX(Products!$B$5:$B$304,MATCH(B142,Products!$A$5:$A$304,0)),"Not found"))</f>
        <v>0</v>
      </c>
      <c r="O142" s="20">
        <f>IF(B142="","",IFERROR(INDEX(Products!$T$5:$T$304,MATCH(B142,Products!$A$5:$A$304,0)),""))</f>
        <v>0</v>
      </c>
      <c r="P142" s="20">
        <f>IF(B142="","",IFERROR(INDEX(Products!$Z$5:$Z$304,MATCH(B142,Products!$A$5:$A$304,0)),""))</f>
        <v>0</v>
      </c>
      <c r="Q142" s="20">
        <f>IF(B142="","",IFERROR(INDEX(Products!$AH$5:$AH$304,MATCH(B142,Products!$A$5:$A$304,0))-INDEX(Products!$T$5:$T$304,MATCH(B142,Products!$A$5:$A$304,0))-INDEX(Products!$Z$5:$Z$304,MATCH(B142,Products!$A$5:$A$304,0)),0))</f>
        <v>0</v>
      </c>
      <c r="R142" s="36">
        <f>IF(B142="","",IFERROR(INDEX(Products!$X$5:$X$304,MATCH(B142,Products!$A$5:$A$304,0)),""))</f>
        <v>0</v>
      </c>
      <c r="S142" s="20">
        <f>IF(B142="","",IFERROR(INDEX(Products!$AR$5:$AR$304,MATCH(B142,Products!$A$5:$A$304,0)),""))</f>
        <v>0</v>
      </c>
      <c r="T142" s="41">
        <f>IF(B142="","",IFERROR(INDEX(SizeMaterialFactors,MATCH(E142,SizeNames,0)),1))</f>
        <v>0</v>
      </c>
      <c r="U142" s="41">
        <f>IF(B142="","",IFERROR(INDEX(SizeTimeFactors,MATCH(E142,SizeNames,0)),1))</f>
        <v>0</v>
      </c>
      <c r="V142" s="33">
        <f>IF(B142="","",IFERROR(INDEX(RushFactors,MATCH(H142,RushNames,0)),0))</f>
        <v>0</v>
      </c>
      <c r="W142" s="20">
        <f>IF(B142="","",ROUND(IF(O142="",0,O142)*T142+IF(F142="",0,F142),2))</f>
        <v>0</v>
      </c>
      <c r="X142" s="36">
        <f>IF(B142="","",ROUND(IF(R142="",0,R142)*U142+IF(G142="",0,G142),1))</f>
        <v>0</v>
      </c>
      <c r="Y142" s="20">
        <f>IF(B142="","",ROUND(IF(P142="",0,P142)*U142+IF(G142="",0,G142)/60*LaborCostHour,2))</f>
        <v>0</v>
      </c>
      <c r="Z142" s="20">
        <f>IF(B142="","",ROUND(W142+Y142+IF(Q142="",0,Q142),2))</f>
        <v>0</v>
      </c>
      <c r="AA142" s="33">
        <f>IF(B142="","",IFERROR(INDEX(Channels!$S$5:$S$18,MATCH(IF(J142="",DefaultChannel,J142),Channels!$A$5:$A$18,0)),0))</f>
        <v>0</v>
      </c>
      <c r="AB142" s="20">
        <f>IF(B142="","",IFERROR(INDEX(Channels!$T$5:$T$18,MATCH(IF(J142="",DefaultChannel,J142),Channels!$A$5:$A$18,0)),0))</f>
        <v>0</v>
      </c>
      <c r="AC142" s="41">
        <f>IF(B142="","",1-TargetRetailMargin-AA142)</f>
        <v>0</v>
      </c>
      <c r="AD142" s="20">
        <f>IF(B142="","",IF(AC142&lt;=0,"",((Z142+AB142)/AC142)*(1+V142)+IF(I142="",0,I142)))</f>
        <v>0</v>
      </c>
      <c r="AE142" s="20">
        <f>IF(B142="","",IF(AD142="","Check the settings",ROUND(IF(RoundingRule="None",AD142,IF(RoundingRule="Nearest 0.99",MAX(0.99,CEILING(AD142,1)-0.01),IF(RoundingRule="Nearest 0.95",MAX(0.95,CEILING(AD142,1)-0.05),IF(RoundingRule="Nearest 0.50",CEILING(AD142,0.5),IF(RoundingRule="Nearest 1",CEILING(AD142,1),IF(RoundingRule="Nearest 5",CEILING(AD142,5),IF(RoundingRule="Up to whole 1",CEILING(AD142,1),IF(RoundingRule="Up to whole 5",CEILING(AD142,5),ROUND(AD142,2))))))))),2)))</f>
        <v>0</v>
      </c>
      <c r="AF142" s="20">
        <f>IF(B142="","",IF(K142&lt;&gt;"",K142,IF(ISNUMBER(AE142),AE142,"")))</f>
        <v>0</v>
      </c>
      <c r="AG142" s="20">
        <f>IF(B142="","",IF(OR(AF142="",S142=""),"",ROUND(AF142-S142,2)))</f>
        <v>0</v>
      </c>
      <c r="AH142" s="20">
        <f>IF(B142="","",IF(AF142="","",ROUND(AF142*AA142+AB142,2)))</f>
        <v>0</v>
      </c>
      <c r="AI142" s="20">
        <f>IF(B142="","",IF(AF142="","",ROUND(AF142-Z142-AH142,2)))</f>
        <v>0</v>
      </c>
      <c r="AJ142" s="33">
        <f>IF(B142="","",IF(OR(AF142="",AF142=0),"",AI142/AF142))</f>
        <v>0</v>
      </c>
      <c r="AK142" s="20">
        <f>IF(B142="","",IF(OR(X142=0,X142="",AI142=""),"",ROUND((AI142+Y142)/(X142/60),2)))</f>
        <v>0</v>
      </c>
      <c r="AL142" s="43">
        <f>IF(B142="","",IF(N142="Not found","Check - no such product ID",IF(AF142="","Check - no price yet",IF(AI142&lt;0,"Loss - this version costs you money",IF(AND(AK142&lt;&gt;"",AK142&lt;MinimumWage),"Below - pays under minimum wage",IF(AND(G142&gt;0,AG142&lt;=0),"Check - extra work, no extra charge",IF(AJ142&lt;MarginWarning,"Low margin - re-price it","OK")))))))</f>
        <v>0</v>
      </c>
    </row>
    <row r="143" spans="1:38">
      <c r="A143" s="38">
        <f>IF(C143="","",VariationPrefix&amp;TEXT(ROW()-4,"0000"))</f>
        <v>0</v>
      </c>
      <c r="N143" s="13">
        <f>IF(B143="","",IFERROR(INDEX(Products!$B$5:$B$304,MATCH(B143,Products!$A$5:$A$304,0)),"Not found"))</f>
        <v>0</v>
      </c>
      <c r="O143" s="20">
        <f>IF(B143="","",IFERROR(INDEX(Products!$T$5:$T$304,MATCH(B143,Products!$A$5:$A$304,0)),""))</f>
        <v>0</v>
      </c>
      <c r="P143" s="20">
        <f>IF(B143="","",IFERROR(INDEX(Products!$Z$5:$Z$304,MATCH(B143,Products!$A$5:$A$304,0)),""))</f>
        <v>0</v>
      </c>
      <c r="Q143" s="20">
        <f>IF(B143="","",IFERROR(INDEX(Products!$AH$5:$AH$304,MATCH(B143,Products!$A$5:$A$304,0))-INDEX(Products!$T$5:$T$304,MATCH(B143,Products!$A$5:$A$304,0))-INDEX(Products!$Z$5:$Z$304,MATCH(B143,Products!$A$5:$A$304,0)),0))</f>
        <v>0</v>
      </c>
      <c r="R143" s="36">
        <f>IF(B143="","",IFERROR(INDEX(Products!$X$5:$X$304,MATCH(B143,Products!$A$5:$A$304,0)),""))</f>
        <v>0</v>
      </c>
      <c r="S143" s="20">
        <f>IF(B143="","",IFERROR(INDEX(Products!$AR$5:$AR$304,MATCH(B143,Products!$A$5:$A$304,0)),""))</f>
        <v>0</v>
      </c>
      <c r="T143" s="41">
        <f>IF(B143="","",IFERROR(INDEX(SizeMaterialFactors,MATCH(E143,SizeNames,0)),1))</f>
        <v>0</v>
      </c>
      <c r="U143" s="41">
        <f>IF(B143="","",IFERROR(INDEX(SizeTimeFactors,MATCH(E143,SizeNames,0)),1))</f>
        <v>0</v>
      </c>
      <c r="V143" s="33">
        <f>IF(B143="","",IFERROR(INDEX(RushFactors,MATCH(H143,RushNames,0)),0))</f>
        <v>0</v>
      </c>
      <c r="W143" s="20">
        <f>IF(B143="","",ROUND(IF(O143="",0,O143)*T143+IF(F143="",0,F143),2))</f>
        <v>0</v>
      </c>
      <c r="X143" s="36">
        <f>IF(B143="","",ROUND(IF(R143="",0,R143)*U143+IF(G143="",0,G143),1))</f>
        <v>0</v>
      </c>
      <c r="Y143" s="20">
        <f>IF(B143="","",ROUND(IF(P143="",0,P143)*U143+IF(G143="",0,G143)/60*LaborCostHour,2))</f>
        <v>0</v>
      </c>
      <c r="Z143" s="20">
        <f>IF(B143="","",ROUND(W143+Y143+IF(Q143="",0,Q143),2))</f>
        <v>0</v>
      </c>
      <c r="AA143" s="33">
        <f>IF(B143="","",IFERROR(INDEX(Channels!$S$5:$S$18,MATCH(IF(J143="",DefaultChannel,J143),Channels!$A$5:$A$18,0)),0))</f>
        <v>0</v>
      </c>
      <c r="AB143" s="20">
        <f>IF(B143="","",IFERROR(INDEX(Channels!$T$5:$T$18,MATCH(IF(J143="",DefaultChannel,J143),Channels!$A$5:$A$18,0)),0))</f>
        <v>0</v>
      </c>
      <c r="AC143" s="41">
        <f>IF(B143="","",1-TargetRetailMargin-AA143)</f>
        <v>0</v>
      </c>
      <c r="AD143" s="20">
        <f>IF(B143="","",IF(AC143&lt;=0,"",((Z143+AB143)/AC143)*(1+V143)+IF(I143="",0,I143)))</f>
        <v>0</v>
      </c>
      <c r="AE143" s="20">
        <f>IF(B143="","",IF(AD143="","Check the settings",ROUND(IF(RoundingRule="None",AD143,IF(RoundingRule="Nearest 0.99",MAX(0.99,CEILING(AD143,1)-0.01),IF(RoundingRule="Nearest 0.95",MAX(0.95,CEILING(AD143,1)-0.05),IF(RoundingRule="Nearest 0.50",CEILING(AD143,0.5),IF(RoundingRule="Nearest 1",CEILING(AD143,1),IF(RoundingRule="Nearest 5",CEILING(AD143,5),IF(RoundingRule="Up to whole 1",CEILING(AD143,1),IF(RoundingRule="Up to whole 5",CEILING(AD143,5),ROUND(AD143,2))))))))),2)))</f>
        <v>0</v>
      </c>
      <c r="AF143" s="20">
        <f>IF(B143="","",IF(K143&lt;&gt;"",K143,IF(ISNUMBER(AE143),AE143,"")))</f>
        <v>0</v>
      </c>
      <c r="AG143" s="20">
        <f>IF(B143="","",IF(OR(AF143="",S143=""),"",ROUND(AF143-S143,2)))</f>
        <v>0</v>
      </c>
      <c r="AH143" s="20">
        <f>IF(B143="","",IF(AF143="","",ROUND(AF143*AA143+AB143,2)))</f>
        <v>0</v>
      </c>
      <c r="AI143" s="20">
        <f>IF(B143="","",IF(AF143="","",ROUND(AF143-Z143-AH143,2)))</f>
        <v>0</v>
      </c>
      <c r="AJ143" s="33">
        <f>IF(B143="","",IF(OR(AF143="",AF143=0),"",AI143/AF143))</f>
        <v>0</v>
      </c>
      <c r="AK143" s="20">
        <f>IF(B143="","",IF(OR(X143=0,X143="",AI143=""),"",ROUND((AI143+Y143)/(X143/60),2)))</f>
        <v>0</v>
      </c>
      <c r="AL143" s="43">
        <f>IF(B143="","",IF(N143="Not found","Check - no such product ID",IF(AF143="","Check - no price yet",IF(AI143&lt;0,"Loss - this version costs you money",IF(AND(AK143&lt;&gt;"",AK143&lt;MinimumWage),"Below - pays under minimum wage",IF(AND(G143&gt;0,AG143&lt;=0),"Check - extra work, no extra charge",IF(AJ143&lt;MarginWarning,"Low margin - re-price it","OK")))))))</f>
        <v>0</v>
      </c>
    </row>
    <row r="144" spans="1:38">
      <c r="A144" s="38">
        <f>IF(C144="","",VariationPrefix&amp;TEXT(ROW()-4,"0000"))</f>
        <v>0</v>
      </c>
      <c r="N144" s="13">
        <f>IF(B144="","",IFERROR(INDEX(Products!$B$5:$B$304,MATCH(B144,Products!$A$5:$A$304,0)),"Not found"))</f>
        <v>0</v>
      </c>
      <c r="O144" s="20">
        <f>IF(B144="","",IFERROR(INDEX(Products!$T$5:$T$304,MATCH(B144,Products!$A$5:$A$304,0)),""))</f>
        <v>0</v>
      </c>
      <c r="P144" s="20">
        <f>IF(B144="","",IFERROR(INDEX(Products!$Z$5:$Z$304,MATCH(B144,Products!$A$5:$A$304,0)),""))</f>
        <v>0</v>
      </c>
      <c r="Q144" s="20">
        <f>IF(B144="","",IFERROR(INDEX(Products!$AH$5:$AH$304,MATCH(B144,Products!$A$5:$A$304,0))-INDEX(Products!$T$5:$T$304,MATCH(B144,Products!$A$5:$A$304,0))-INDEX(Products!$Z$5:$Z$304,MATCH(B144,Products!$A$5:$A$304,0)),0))</f>
        <v>0</v>
      </c>
      <c r="R144" s="36">
        <f>IF(B144="","",IFERROR(INDEX(Products!$X$5:$X$304,MATCH(B144,Products!$A$5:$A$304,0)),""))</f>
        <v>0</v>
      </c>
      <c r="S144" s="20">
        <f>IF(B144="","",IFERROR(INDEX(Products!$AR$5:$AR$304,MATCH(B144,Products!$A$5:$A$304,0)),""))</f>
        <v>0</v>
      </c>
      <c r="T144" s="41">
        <f>IF(B144="","",IFERROR(INDEX(SizeMaterialFactors,MATCH(E144,SizeNames,0)),1))</f>
        <v>0</v>
      </c>
      <c r="U144" s="41">
        <f>IF(B144="","",IFERROR(INDEX(SizeTimeFactors,MATCH(E144,SizeNames,0)),1))</f>
        <v>0</v>
      </c>
      <c r="V144" s="33">
        <f>IF(B144="","",IFERROR(INDEX(RushFactors,MATCH(H144,RushNames,0)),0))</f>
        <v>0</v>
      </c>
      <c r="W144" s="20">
        <f>IF(B144="","",ROUND(IF(O144="",0,O144)*T144+IF(F144="",0,F144),2))</f>
        <v>0</v>
      </c>
      <c r="X144" s="36">
        <f>IF(B144="","",ROUND(IF(R144="",0,R144)*U144+IF(G144="",0,G144),1))</f>
        <v>0</v>
      </c>
      <c r="Y144" s="20">
        <f>IF(B144="","",ROUND(IF(P144="",0,P144)*U144+IF(G144="",0,G144)/60*LaborCostHour,2))</f>
        <v>0</v>
      </c>
      <c r="Z144" s="20">
        <f>IF(B144="","",ROUND(W144+Y144+IF(Q144="",0,Q144),2))</f>
        <v>0</v>
      </c>
      <c r="AA144" s="33">
        <f>IF(B144="","",IFERROR(INDEX(Channels!$S$5:$S$18,MATCH(IF(J144="",DefaultChannel,J144),Channels!$A$5:$A$18,0)),0))</f>
        <v>0</v>
      </c>
      <c r="AB144" s="20">
        <f>IF(B144="","",IFERROR(INDEX(Channels!$T$5:$T$18,MATCH(IF(J144="",DefaultChannel,J144),Channels!$A$5:$A$18,0)),0))</f>
        <v>0</v>
      </c>
      <c r="AC144" s="41">
        <f>IF(B144="","",1-TargetRetailMargin-AA144)</f>
        <v>0</v>
      </c>
      <c r="AD144" s="20">
        <f>IF(B144="","",IF(AC144&lt;=0,"",((Z144+AB144)/AC144)*(1+V144)+IF(I144="",0,I144)))</f>
        <v>0</v>
      </c>
      <c r="AE144" s="20">
        <f>IF(B144="","",IF(AD144="","Check the settings",ROUND(IF(RoundingRule="None",AD144,IF(RoundingRule="Nearest 0.99",MAX(0.99,CEILING(AD144,1)-0.01),IF(RoundingRule="Nearest 0.95",MAX(0.95,CEILING(AD144,1)-0.05),IF(RoundingRule="Nearest 0.50",CEILING(AD144,0.5),IF(RoundingRule="Nearest 1",CEILING(AD144,1),IF(RoundingRule="Nearest 5",CEILING(AD144,5),IF(RoundingRule="Up to whole 1",CEILING(AD144,1),IF(RoundingRule="Up to whole 5",CEILING(AD144,5),ROUND(AD144,2))))))))),2)))</f>
        <v>0</v>
      </c>
      <c r="AF144" s="20">
        <f>IF(B144="","",IF(K144&lt;&gt;"",K144,IF(ISNUMBER(AE144),AE144,"")))</f>
        <v>0</v>
      </c>
      <c r="AG144" s="20">
        <f>IF(B144="","",IF(OR(AF144="",S144=""),"",ROUND(AF144-S144,2)))</f>
        <v>0</v>
      </c>
      <c r="AH144" s="20">
        <f>IF(B144="","",IF(AF144="","",ROUND(AF144*AA144+AB144,2)))</f>
        <v>0</v>
      </c>
      <c r="AI144" s="20">
        <f>IF(B144="","",IF(AF144="","",ROUND(AF144-Z144-AH144,2)))</f>
        <v>0</v>
      </c>
      <c r="AJ144" s="33">
        <f>IF(B144="","",IF(OR(AF144="",AF144=0),"",AI144/AF144))</f>
        <v>0</v>
      </c>
      <c r="AK144" s="20">
        <f>IF(B144="","",IF(OR(X144=0,X144="",AI144=""),"",ROUND((AI144+Y144)/(X144/60),2)))</f>
        <v>0</v>
      </c>
      <c r="AL144" s="43">
        <f>IF(B144="","",IF(N144="Not found","Check - no such product ID",IF(AF144="","Check - no price yet",IF(AI144&lt;0,"Loss - this version costs you money",IF(AND(AK144&lt;&gt;"",AK144&lt;MinimumWage),"Below - pays under minimum wage",IF(AND(G144&gt;0,AG144&lt;=0),"Check - extra work, no extra charge",IF(AJ144&lt;MarginWarning,"Low margin - re-price it","OK")))))))</f>
        <v>0</v>
      </c>
    </row>
    <row r="145" spans="1:38">
      <c r="A145" s="38">
        <f>IF(C145="","",VariationPrefix&amp;TEXT(ROW()-4,"0000"))</f>
        <v>0</v>
      </c>
      <c r="N145" s="13">
        <f>IF(B145="","",IFERROR(INDEX(Products!$B$5:$B$304,MATCH(B145,Products!$A$5:$A$304,0)),"Not found"))</f>
        <v>0</v>
      </c>
      <c r="O145" s="20">
        <f>IF(B145="","",IFERROR(INDEX(Products!$T$5:$T$304,MATCH(B145,Products!$A$5:$A$304,0)),""))</f>
        <v>0</v>
      </c>
      <c r="P145" s="20">
        <f>IF(B145="","",IFERROR(INDEX(Products!$Z$5:$Z$304,MATCH(B145,Products!$A$5:$A$304,0)),""))</f>
        <v>0</v>
      </c>
      <c r="Q145" s="20">
        <f>IF(B145="","",IFERROR(INDEX(Products!$AH$5:$AH$304,MATCH(B145,Products!$A$5:$A$304,0))-INDEX(Products!$T$5:$T$304,MATCH(B145,Products!$A$5:$A$304,0))-INDEX(Products!$Z$5:$Z$304,MATCH(B145,Products!$A$5:$A$304,0)),0))</f>
        <v>0</v>
      </c>
      <c r="R145" s="36">
        <f>IF(B145="","",IFERROR(INDEX(Products!$X$5:$X$304,MATCH(B145,Products!$A$5:$A$304,0)),""))</f>
        <v>0</v>
      </c>
      <c r="S145" s="20">
        <f>IF(B145="","",IFERROR(INDEX(Products!$AR$5:$AR$304,MATCH(B145,Products!$A$5:$A$304,0)),""))</f>
        <v>0</v>
      </c>
      <c r="T145" s="41">
        <f>IF(B145="","",IFERROR(INDEX(SizeMaterialFactors,MATCH(E145,SizeNames,0)),1))</f>
        <v>0</v>
      </c>
      <c r="U145" s="41">
        <f>IF(B145="","",IFERROR(INDEX(SizeTimeFactors,MATCH(E145,SizeNames,0)),1))</f>
        <v>0</v>
      </c>
      <c r="V145" s="33">
        <f>IF(B145="","",IFERROR(INDEX(RushFactors,MATCH(H145,RushNames,0)),0))</f>
        <v>0</v>
      </c>
      <c r="W145" s="20">
        <f>IF(B145="","",ROUND(IF(O145="",0,O145)*T145+IF(F145="",0,F145),2))</f>
        <v>0</v>
      </c>
      <c r="X145" s="36">
        <f>IF(B145="","",ROUND(IF(R145="",0,R145)*U145+IF(G145="",0,G145),1))</f>
        <v>0</v>
      </c>
      <c r="Y145" s="20">
        <f>IF(B145="","",ROUND(IF(P145="",0,P145)*U145+IF(G145="",0,G145)/60*LaborCostHour,2))</f>
        <v>0</v>
      </c>
      <c r="Z145" s="20">
        <f>IF(B145="","",ROUND(W145+Y145+IF(Q145="",0,Q145),2))</f>
        <v>0</v>
      </c>
      <c r="AA145" s="33">
        <f>IF(B145="","",IFERROR(INDEX(Channels!$S$5:$S$18,MATCH(IF(J145="",DefaultChannel,J145),Channels!$A$5:$A$18,0)),0))</f>
        <v>0</v>
      </c>
      <c r="AB145" s="20">
        <f>IF(B145="","",IFERROR(INDEX(Channels!$T$5:$T$18,MATCH(IF(J145="",DefaultChannel,J145),Channels!$A$5:$A$18,0)),0))</f>
        <v>0</v>
      </c>
      <c r="AC145" s="41">
        <f>IF(B145="","",1-TargetRetailMargin-AA145)</f>
        <v>0</v>
      </c>
      <c r="AD145" s="20">
        <f>IF(B145="","",IF(AC145&lt;=0,"",((Z145+AB145)/AC145)*(1+V145)+IF(I145="",0,I145)))</f>
        <v>0</v>
      </c>
      <c r="AE145" s="20">
        <f>IF(B145="","",IF(AD145="","Check the settings",ROUND(IF(RoundingRule="None",AD145,IF(RoundingRule="Nearest 0.99",MAX(0.99,CEILING(AD145,1)-0.01),IF(RoundingRule="Nearest 0.95",MAX(0.95,CEILING(AD145,1)-0.05),IF(RoundingRule="Nearest 0.50",CEILING(AD145,0.5),IF(RoundingRule="Nearest 1",CEILING(AD145,1),IF(RoundingRule="Nearest 5",CEILING(AD145,5),IF(RoundingRule="Up to whole 1",CEILING(AD145,1),IF(RoundingRule="Up to whole 5",CEILING(AD145,5),ROUND(AD145,2))))))))),2)))</f>
        <v>0</v>
      </c>
      <c r="AF145" s="20">
        <f>IF(B145="","",IF(K145&lt;&gt;"",K145,IF(ISNUMBER(AE145),AE145,"")))</f>
        <v>0</v>
      </c>
      <c r="AG145" s="20">
        <f>IF(B145="","",IF(OR(AF145="",S145=""),"",ROUND(AF145-S145,2)))</f>
        <v>0</v>
      </c>
      <c r="AH145" s="20">
        <f>IF(B145="","",IF(AF145="","",ROUND(AF145*AA145+AB145,2)))</f>
        <v>0</v>
      </c>
      <c r="AI145" s="20">
        <f>IF(B145="","",IF(AF145="","",ROUND(AF145-Z145-AH145,2)))</f>
        <v>0</v>
      </c>
      <c r="AJ145" s="33">
        <f>IF(B145="","",IF(OR(AF145="",AF145=0),"",AI145/AF145))</f>
        <v>0</v>
      </c>
      <c r="AK145" s="20">
        <f>IF(B145="","",IF(OR(X145=0,X145="",AI145=""),"",ROUND((AI145+Y145)/(X145/60),2)))</f>
        <v>0</v>
      </c>
      <c r="AL145" s="43">
        <f>IF(B145="","",IF(N145="Not found","Check - no such product ID",IF(AF145="","Check - no price yet",IF(AI145&lt;0,"Loss - this version costs you money",IF(AND(AK145&lt;&gt;"",AK145&lt;MinimumWage),"Below - pays under minimum wage",IF(AND(G145&gt;0,AG145&lt;=0),"Check - extra work, no extra charge",IF(AJ145&lt;MarginWarning,"Low margin - re-price it","OK")))))))</f>
        <v>0</v>
      </c>
    </row>
    <row r="146" spans="1:38">
      <c r="A146" s="38">
        <f>IF(C146="","",VariationPrefix&amp;TEXT(ROW()-4,"0000"))</f>
        <v>0</v>
      </c>
      <c r="N146" s="13">
        <f>IF(B146="","",IFERROR(INDEX(Products!$B$5:$B$304,MATCH(B146,Products!$A$5:$A$304,0)),"Not found"))</f>
        <v>0</v>
      </c>
      <c r="O146" s="20">
        <f>IF(B146="","",IFERROR(INDEX(Products!$T$5:$T$304,MATCH(B146,Products!$A$5:$A$304,0)),""))</f>
        <v>0</v>
      </c>
      <c r="P146" s="20">
        <f>IF(B146="","",IFERROR(INDEX(Products!$Z$5:$Z$304,MATCH(B146,Products!$A$5:$A$304,0)),""))</f>
        <v>0</v>
      </c>
      <c r="Q146" s="20">
        <f>IF(B146="","",IFERROR(INDEX(Products!$AH$5:$AH$304,MATCH(B146,Products!$A$5:$A$304,0))-INDEX(Products!$T$5:$T$304,MATCH(B146,Products!$A$5:$A$304,0))-INDEX(Products!$Z$5:$Z$304,MATCH(B146,Products!$A$5:$A$304,0)),0))</f>
        <v>0</v>
      </c>
      <c r="R146" s="36">
        <f>IF(B146="","",IFERROR(INDEX(Products!$X$5:$X$304,MATCH(B146,Products!$A$5:$A$304,0)),""))</f>
        <v>0</v>
      </c>
      <c r="S146" s="20">
        <f>IF(B146="","",IFERROR(INDEX(Products!$AR$5:$AR$304,MATCH(B146,Products!$A$5:$A$304,0)),""))</f>
        <v>0</v>
      </c>
      <c r="T146" s="41">
        <f>IF(B146="","",IFERROR(INDEX(SizeMaterialFactors,MATCH(E146,SizeNames,0)),1))</f>
        <v>0</v>
      </c>
      <c r="U146" s="41">
        <f>IF(B146="","",IFERROR(INDEX(SizeTimeFactors,MATCH(E146,SizeNames,0)),1))</f>
        <v>0</v>
      </c>
      <c r="V146" s="33">
        <f>IF(B146="","",IFERROR(INDEX(RushFactors,MATCH(H146,RushNames,0)),0))</f>
        <v>0</v>
      </c>
      <c r="W146" s="20">
        <f>IF(B146="","",ROUND(IF(O146="",0,O146)*T146+IF(F146="",0,F146),2))</f>
        <v>0</v>
      </c>
      <c r="X146" s="36">
        <f>IF(B146="","",ROUND(IF(R146="",0,R146)*U146+IF(G146="",0,G146),1))</f>
        <v>0</v>
      </c>
      <c r="Y146" s="20">
        <f>IF(B146="","",ROUND(IF(P146="",0,P146)*U146+IF(G146="",0,G146)/60*LaborCostHour,2))</f>
        <v>0</v>
      </c>
      <c r="Z146" s="20">
        <f>IF(B146="","",ROUND(W146+Y146+IF(Q146="",0,Q146),2))</f>
        <v>0</v>
      </c>
      <c r="AA146" s="33">
        <f>IF(B146="","",IFERROR(INDEX(Channels!$S$5:$S$18,MATCH(IF(J146="",DefaultChannel,J146),Channels!$A$5:$A$18,0)),0))</f>
        <v>0</v>
      </c>
      <c r="AB146" s="20">
        <f>IF(B146="","",IFERROR(INDEX(Channels!$T$5:$T$18,MATCH(IF(J146="",DefaultChannel,J146),Channels!$A$5:$A$18,0)),0))</f>
        <v>0</v>
      </c>
      <c r="AC146" s="41">
        <f>IF(B146="","",1-TargetRetailMargin-AA146)</f>
        <v>0</v>
      </c>
      <c r="AD146" s="20">
        <f>IF(B146="","",IF(AC146&lt;=0,"",((Z146+AB146)/AC146)*(1+V146)+IF(I146="",0,I146)))</f>
        <v>0</v>
      </c>
      <c r="AE146" s="20">
        <f>IF(B146="","",IF(AD146="","Check the settings",ROUND(IF(RoundingRule="None",AD146,IF(RoundingRule="Nearest 0.99",MAX(0.99,CEILING(AD146,1)-0.01),IF(RoundingRule="Nearest 0.95",MAX(0.95,CEILING(AD146,1)-0.05),IF(RoundingRule="Nearest 0.50",CEILING(AD146,0.5),IF(RoundingRule="Nearest 1",CEILING(AD146,1),IF(RoundingRule="Nearest 5",CEILING(AD146,5),IF(RoundingRule="Up to whole 1",CEILING(AD146,1),IF(RoundingRule="Up to whole 5",CEILING(AD146,5),ROUND(AD146,2))))))))),2)))</f>
        <v>0</v>
      </c>
      <c r="AF146" s="20">
        <f>IF(B146="","",IF(K146&lt;&gt;"",K146,IF(ISNUMBER(AE146),AE146,"")))</f>
        <v>0</v>
      </c>
      <c r="AG146" s="20">
        <f>IF(B146="","",IF(OR(AF146="",S146=""),"",ROUND(AF146-S146,2)))</f>
        <v>0</v>
      </c>
      <c r="AH146" s="20">
        <f>IF(B146="","",IF(AF146="","",ROUND(AF146*AA146+AB146,2)))</f>
        <v>0</v>
      </c>
      <c r="AI146" s="20">
        <f>IF(B146="","",IF(AF146="","",ROUND(AF146-Z146-AH146,2)))</f>
        <v>0</v>
      </c>
      <c r="AJ146" s="33">
        <f>IF(B146="","",IF(OR(AF146="",AF146=0),"",AI146/AF146))</f>
        <v>0</v>
      </c>
      <c r="AK146" s="20">
        <f>IF(B146="","",IF(OR(X146=0,X146="",AI146=""),"",ROUND((AI146+Y146)/(X146/60),2)))</f>
        <v>0</v>
      </c>
      <c r="AL146" s="43">
        <f>IF(B146="","",IF(N146="Not found","Check - no such product ID",IF(AF146="","Check - no price yet",IF(AI146&lt;0,"Loss - this version costs you money",IF(AND(AK146&lt;&gt;"",AK146&lt;MinimumWage),"Below - pays under minimum wage",IF(AND(G146&gt;0,AG146&lt;=0),"Check - extra work, no extra charge",IF(AJ146&lt;MarginWarning,"Low margin - re-price it","OK")))))))</f>
        <v>0</v>
      </c>
    </row>
    <row r="147" spans="1:38">
      <c r="A147" s="38">
        <f>IF(C147="","",VariationPrefix&amp;TEXT(ROW()-4,"0000"))</f>
        <v>0</v>
      </c>
      <c r="N147" s="13">
        <f>IF(B147="","",IFERROR(INDEX(Products!$B$5:$B$304,MATCH(B147,Products!$A$5:$A$304,0)),"Not found"))</f>
        <v>0</v>
      </c>
      <c r="O147" s="20">
        <f>IF(B147="","",IFERROR(INDEX(Products!$T$5:$T$304,MATCH(B147,Products!$A$5:$A$304,0)),""))</f>
        <v>0</v>
      </c>
      <c r="P147" s="20">
        <f>IF(B147="","",IFERROR(INDEX(Products!$Z$5:$Z$304,MATCH(B147,Products!$A$5:$A$304,0)),""))</f>
        <v>0</v>
      </c>
      <c r="Q147" s="20">
        <f>IF(B147="","",IFERROR(INDEX(Products!$AH$5:$AH$304,MATCH(B147,Products!$A$5:$A$304,0))-INDEX(Products!$T$5:$T$304,MATCH(B147,Products!$A$5:$A$304,0))-INDEX(Products!$Z$5:$Z$304,MATCH(B147,Products!$A$5:$A$304,0)),0))</f>
        <v>0</v>
      </c>
      <c r="R147" s="36">
        <f>IF(B147="","",IFERROR(INDEX(Products!$X$5:$X$304,MATCH(B147,Products!$A$5:$A$304,0)),""))</f>
        <v>0</v>
      </c>
      <c r="S147" s="20">
        <f>IF(B147="","",IFERROR(INDEX(Products!$AR$5:$AR$304,MATCH(B147,Products!$A$5:$A$304,0)),""))</f>
        <v>0</v>
      </c>
      <c r="T147" s="41">
        <f>IF(B147="","",IFERROR(INDEX(SizeMaterialFactors,MATCH(E147,SizeNames,0)),1))</f>
        <v>0</v>
      </c>
      <c r="U147" s="41">
        <f>IF(B147="","",IFERROR(INDEX(SizeTimeFactors,MATCH(E147,SizeNames,0)),1))</f>
        <v>0</v>
      </c>
      <c r="V147" s="33">
        <f>IF(B147="","",IFERROR(INDEX(RushFactors,MATCH(H147,RushNames,0)),0))</f>
        <v>0</v>
      </c>
      <c r="W147" s="20">
        <f>IF(B147="","",ROUND(IF(O147="",0,O147)*T147+IF(F147="",0,F147),2))</f>
        <v>0</v>
      </c>
      <c r="X147" s="36">
        <f>IF(B147="","",ROUND(IF(R147="",0,R147)*U147+IF(G147="",0,G147),1))</f>
        <v>0</v>
      </c>
      <c r="Y147" s="20">
        <f>IF(B147="","",ROUND(IF(P147="",0,P147)*U147+IF(G147="",0,G147)/60*LaborCostHour,2))</f>
        <v>0</v>
      </c>
      <c r="Z147" s="20">
        <f>IF(B147="","",ROUND(W147+Y147+IF(Q147="",0,Q147),2))</f>
        <v>0</v>
      </c>
      <c r="AA147" s="33">
        <f>IF(B147="","",IFERROR(INDEX(Channels!$S$5:$S$18,MATCH(IF(J147="",DefaultChannel,J147),Channels!$A$5:$A$18,0)),0))</f>
        <v>0</v>
      </c>
      <c r="AB147" s="20">
        <f>IF(B147="","",IFERROR(INDEX(Channels!$T$5:$T$18,MATCH(IF(J147="",DefaultChannel,J147),Channels!$A$5:$A$18,0)),0))</f>
        <v>0</v>
      </c>
      <c r="AC147" s="41">
        <f>IF(B147="","",1-TargetRetailMargin-AA147)</f>
        <v>0</v>
      </c>
      <c r="AD147" s="20">
        <f>IF(B147="","",IF(AC147&lt;=0,"",((Z147+AB147)/AC147)*(1+V147)+IF(I147="",0,I147)))</f>
        <v>0</v>
      </c>
      <c r="AE147" s="20">
        <f>IF(B147="","",IF(AD147="","Check the settings",ROUND(IF(RoundingRule="None",AD147,IF(RoundingRule="Nearest 0.99",MAX(0.99,CEILING(AD147,1)-0.01),IF(RoundingRule="Nearest 0.95",MAX(0.95,CEILING(AD147,1)-0.05),IF(RoundingRule="Nearest 0.50",CEILING(AD147,0.5),IF(RoundingRule="Nearest 1",CEILING(AD147,1),IF(RoundingRule="Nearest 5",CEILING(AD147,5),IF(RoundingRule="Up to whole 1",CEILING(AD147,1),IF(RoundingRule="Up to whole 5",CEILING(AD147,5),ROUND(AD147,2))))))))),2)))</f>
        <v>0</v>
      </c>
      <c r="AF147" s="20">
        <f>IF(B147="","",IF(K147&lt;&gt;"",K147,IF(ISNUMBER(AE147),AE147,"")))</f>
        <v>0</v>
      </c>
      <c r="AG147" s="20">
        <f>IF(B147="","",IF(OR(AF147="",S147=""),"",ROUND(AF147-S147,2)))</f>
        <v>0</v>
      </c>
      <c r="AH147" s="20">
        <f>IF(B147="","",IF(AF147="","",ROUND(AF147*AA147+AB147,2)))</f>
        <v>0</v>
      </c>
      <c r="AI147" s="20">
        <f>IF(B147="","",IF(AF147="","",ROUND(AF147-Z147-AH147,2)))</f>
        <v>0</v>
      </c>
      <c r="AJ147" s="33">
        <f>IF(B147="","",IF(OR(AF147="",AF147=0),"",AI147/AF147))</f>
        <v>0</v>
      </c>
      <c r="AK147" s="20">
        <f>IF(B147="","",IF(OR(X147=0,X147="",AI147=""),"",ROUND((AI147+Y147)/(X147/60),2)))</f>
        <v>0</v>
      </c>
      <c r="AL147" s="43">
        <f>IF(B147="","",IF(N147="Not found","Check - no such product ID",IF(AF147="","Check - no price yet",IF(AI147&lt;0,"Loss - this version costs you money",IF(AND(AK147&lt;&gt;"",AK147&lt;MinimumWage),"Below - pays under minimum wage",IF(AND(G147&gt;0,AG147&lt;=0),"Check - extra work, no extra charge",IF(AJ147&lt;MarginWarning,"Low margin - re-price it","OK")))))))</f>
        <v>0</v>
      </c>
    </row>
    <row r="148" spans="1:38">
      <c r="A148" s="38">
        <f>IF(C148="","",VariationPrefix&amp;TEXT(ROW()-4,"0000"))</f>
        <v>0</v>
      </c>
      <c r="N148" s="13">
        <f>IF(B148="","",IFERROR(INDEX(Products!$B$5:$B$304,MATCH(B148,Products!$A$5:$A$304,0)),"Not found"))</f>
        <v>0</v>
      </c>
      <c r="O148" s="20">
        <f>IF(B148="","",IFERROR(INDEX(Products!$T$5:$T$304,MATCH(B148,Products!$A$5:$A$304,0)),""))</f>
        <v>0</v>
      </c>
      <c r="P148" s="20">
        <f>IF(B148="","",IFERROR(INDEX(Products!$Z$5:$Z$304,MATCH(B148,Products!$A$5:$A$304,0)),""))</f>
        <v>0</v>
      </c>
      <c r="Q148" s="20">
        <f>IF(B148="","",IFERROR(INDEX(Products!$AH$5:$AH$304,MATCH(B148,Products!$A$5:$A$304,0))-INDEX(Products!$T$5:$T$304,MATCH(B148,Products!$A$5:$A$304,0))-INDEX(Products!$Z$5:$Z$304,MATCH(B148,Products!$A$5:$A$304,0)),0))</f>
        <v>0</v>
      </c>
      <c r="R148" s="36">
        <f>IF(B148="","",IFERROR(INDEX(Products!$X$5:$X$304,MATCH(B148,Products!$A$5:$A$304,0)),""))</f>
        <v>0</v>
      </c>
      <c r="S148" s="20">
        <f>IF(B148="","",IFERROR(INDEX(Products!$AR$5:$AR$304,MATCH(B148,Products!$A$5:$A$304,0)),""))</f>
        <v>0</v>
      </c>
      <c r="T148" s="41">
        <f>IF(B148="","",IFERROR(INDEX(SizeMaterialFactors,MATCH(E148,SizeNames,0)),1))</f>
        <v>0</v>
      </c>
      <c r="U148" s="41">
        <f>IF(B148="","",IFERROR(INDEX(SizeTimeFactors,MATCH(E148,SizeNames,0)),1))</f>
        <v>0</v>
      </c>
      <c r="V148" s="33">
        <f>IF(B148="","",IFERROR(INDEX(RushFactors,MATCH(H148,RushNames,0)),0))</f>
        <v>0</v>
      </c>
      <c r="W148" s="20">
        <f>IF(B148="","",ROUND(IF(O148="",0,O148)*T148+IF(F148="",0,F148),2))</f>
        <v>0</v>
      </c>
      <c r="X148" s="36">
        <f>IF(B148="","",ROUND(IF(R148="",0,R148)*U148+IF(G148="",0,G148),1))</f>
        <v>0</v>
      </c>
      <c r="Y148" s="20">
        <f>IF(B148="","",ROUND(IF(P148="",0,P148)*U148+IF(G148="",0,G148)/60*LaborCostHour,2))</f>
        <v>0</v>
      </c>
      <c r="Z148" s="20">
        <f>IF(B148="","",ROUND(W148+Y148+IF(Q148="",0,Q148),2))</f>
        <v>0</v>
      </c>
      <c r="AA148" s="33">
        <f>IF(B148="","",IFERROR(INDEX(Channels!$S$5:$S$18,MATCH(IF(J148="",DefaultChannel,J148),Channels!$A$5:$A$18,0)),0))</f>
        <v>0</v>
      </c>
      <c r="AB148" s="20">
        <f>IF(B148="","",IFERROR(INDEX(Channels!$T$5:$T$18,MATCH(IF(J148="",DefaultChannel,J148),Channels!$A$5:$A$18,0)),0))</f>
        <v>0</v>
      </c>
      <c r="AC148" s="41">
        <f>IF(B148="","",1-TargetRetailMargin-AA148)</f>
        <v>0</v>
      </c>
      <c r="AD148" s="20">
        <f>IF(B148="","",IF(AC148&lt;=0,"",((Z148+AB148)/AC148)*(1+V148)+IF(I148="",0,I148)))</f>
        <v>0</v>
      </c>
      <c r="AE148" s="20">
        <f>IF(B148="","",IF(AD148="","Check the settings",ROUND(IF(RoundingRule="None",AD148,IF(RoundingRule="Nearest 0.99",MAX(0.99,CEILING(AD148,1)-0.01),IF(RoundingRule="Nearest 0.95",MAX(0.95,CEILING(AD148,1)-0.05),IF(RoundingRule="Nearest 0.50",CEILING(AD148,0.5),IF(RoundingRule="Nearest 1",CEILING(AD148,1),IF(RoundingRule="Nearest 5",CEILING(AD148,5),IF(RoundingRule="Up to whole 1",CEILING(AD148,1),IF(RoundingRule="Up to whole 5",CEILING(AD148,5),ROUND(AD148,2))))))))),2)))</f>
        <v>0</v>
      </c>
      <c r="AF148" s="20">
        <f>IF(B148="","",IF(K148&lt;&gt;"",K148,IF(ISNUMBER(AE148),AE148,"")))</f>
        <v>0</v>
      </c>
      <c r="AG148" s="20">
        <f>IF(B148="","",IF(OR(AF148="",S148=""),"",ROUND(AF148-S148,2)))</f>
        <v>0</v>
      </c>
      <c r="AH148" s="20">
        <f>IF(B148="","",IF(AF148="","",ROUND(AF148*AA148+AB148,2)))</f>
        <v>0</v>
      </c>
      <c r="AI148" s="20">
        <f>IF(B148="","",IF(AF148="","",ROUND(AF148-Z148-AH148,2)))</f>
        <v>0</v>
      </c>
      <c r="AJ148" s="33">
        <f>IF(B148="","",IF(OR(AF148="",AF148=0),"",AI148/AF148))</f>
        <v>0</v>
      </c>
      <c r="AK148" s="20">
        <f>IF(B148="","",IF(OR(X148=0,X148="",AI148=""),"",ROUND((AI148+Y148)/(X148/60),2)))</f>
        <v>0</v>
      </c>
      <c r="AL148" s="43">
        <f>IF(B148="","",IF(N148="Not found","Check - no such product ID",IF(AF148="","Check - no price yet",IF(AI148&lt;0,"Loss - this version costs you money",IF(AND(AK148&lt;&gt;"",AK148&lt;MinimumWage),"Below - pays under minimum wage",IF(AND(G148&gt;0,AG148&lt;=0),"Check - extra work, no extra charge",IF(AJ148&lt;MarginWarning,"Low margin - re-price it","OK")))))))</f>
        <v>0</v>
      </c>
    </row>
    <row r="149" spans="1:38">
      <c r="A149" s="38">
        <f>IF(C149="","",VariationPrefix&amp;TEXT(ROW()-4,"0000"))</f>
        <v>0</v>
      </c>
      <c r="N149" s="13">
        <f>IF(B149="","",IFERROR(INDEX(Products!$B$5:$B$304,MATCH(B149,Products!$A$5:$A$304,0)),"Not found"))</f>
        <v>0</v>
      </c>
      <c r="O149" s="20">
        <f>IF(B149="","",IFERROR(INDEX(Products!$T$5:$T$304,MATCH(B149,Products!$A$5:$A$304,0)),""))</f>
        <v>0</v>
      </c>
      <c r="P149" s="20">
        <f>IF(B149="","",IFERROR(INDEX(Products!$Z$5:$Z$304,MATCH(B149,Products!$A$5:$A$304,0)),""))</f>
        <v>0</v>
      </c>
      <c r="Q149" s="20">
        <f>IF(B149="","",IFERROR(INDEX(Products!$AH$5:$AH$304,MATCH(B149,Products!$A$5:$A$304,0))-INDEX(Products!$T$5:$T$304,MATCH(B149,Products!$A$5:$A$304,0))-INDEX(Products!$Z$5:$Z$304,MATCH(B149,Products!$A$5:$A$304,0)),0))</f>
        <v>0</v>
      </c>
      <c r="R149" s="36">
        <f>IF(B149="","",IFERROR(INDEX(Products!$X$5:$X$304,MATCH(B149,Products!$A$5:$A$304,0)),""))</f>
        <v>0</v>
      </c>
      <c r="S149" s="20">
        <f>IF(B149="","",IFERROR(INDEX(Products!$AR$5:$AR$304,MATCH(B149,Products!$A$5:$A$304,0)),""))</f>
        <v>0</v>
      </c>
      <c r="T149" s="41">
        <f>IF(B149="","",IFERROR(INDEX(SizeMaterialFactors,MATCH(E149,SizeNames,0)),1))</f>
        <v>0</v>
      </c>
      <c r="U149" s="41">
        <f>IF(B149="","",IFERROR(INDEX(SizeTimeFactors,MATCH(E149,SizeNames,0)),1))</f>
        <v>0</v>
      </c>
      <c r="V149" s="33">
        <f>IF(B149="","",IFERROR(INDEX(RushFactors,MATCH(H149,RushNames,0)),0))</f>
        <v>0</v>
      </c>
      <c r="W149" s="20">
        <f>IF(B149="","",ROUND(IF(O149="",0,O149)*T149+IF(F149="",0,F149),2))</f>
        <v>0</v>
      </c>
      <c r="X149" s="36">
        <f>IF(B149="","",ROUND(IF(R149="",0,R149)*U149+IF(G149="",0,G149),1))</f>
        <v>0</v>
      </c>
      <c r="Y149" s="20">
        <f>IF(B149="","",ROUND(IF(P149="",0,P149)*U149+IF(G149="",0,G149)/60*LaborCostHour,2))</f>
        <v>0</v>
      </c>
      <c r="Z149" s="20">
        <f>IF(B149="","",ROUND(W149+Y149+IF(Q149="",0,Q149),2))</f>
        <v>0</v>
      </c>
      <c r="AA149" s="33">
        <f>IF(B149="","",IFERROR(INDEX(Channels!$S$5:$S$18,MATCH(IF(J149="",DefaultChannel,J149),Channels!$A$5:$A$18,0)),0))</f>
        <v>0</v>
      </c>
      <c r="AB149" s="20">
        <f>IF(B149="","",IFERROR(INDEX(Channels!$T$5:$T$18,MATCH(IF(J149="",DefaultChannel,J149),Channels!$A$5:$A$18,0)),0))</f>
        <v>0</v>
      </c>
      <c r="AC149" s="41">
        <f>IF(B149="","",1-TargetRetailMargin-AA149)</f>
        <v>0</v>
      </c>
      <c r="AD149" s="20">
        <f>IF(B149="","",IF(AC149&lt;=0,"",((Z149+AB149)/AC149)*(1+V149)+IF(I149="",0,I149)))</f>
        <v>0</v>
      </c>
      <c r="AE149" s="20">
        <f>IF(B149="","",IF(AD149="","Check the settings",ROUND(IF(RoundingRule="None",AD149,IF(RoundingRule="Nearest 0.99",MAX(0.99,CEILING(AD149,1)-0.01),IF(RoundingRule="Nearest 0.95",MAX(0.95,CEILING(AD149,1)-0.05),IF(RoundingRule="Nearest 0.50",CEILING(AD149,0.5),IF(RoundingRule="Nearest 1",CEILING(AD149,1),IF(RoundingRule="Nearest 5",CEILING(AD149,5),IF(RoundingRule="Up to whole 1",CEILING(AD149,1),IF(RoundingRule="Up to whole 5",CEILING(AD149,5),ROUND(AD149,2))))))))),2)))</f>
        <v>0</v>
      </c>
      <c r="AF149" s="20">
        <f>IF(B149="","",IF(K149&lt;&gt;"",K149,IF(ISNUMBER(AE149),AE149,"")))</f>
        <v>0</v>
      </c>
      <c r="AG149" s="20">
        <f>IF(B149="","",IF(OR(AF149="",S149=""),"",ROUND(AF149-S149,2)))</f>
        <v>0</v>
      </c>
      <c r="AH149" s="20">
        <f>IF(B149="","",IF(AF149="","",ROUND(AF149*AA149+AB149,2)))</f>
        <v>0</v>
      </c>
      <c r="AI149" s="20">
        <f>IF(B149="","",IF(AF149="","",ROUND(AF149-Z149-AH149,2)))</f>
        <v>0</v>
      </c>
      <c r="AJ149" s="33">
        <f>IF(B149="","",IF(OR(AF149="",AF149=0),"",AI149/AF149))</f>
        <v>0</v>
      </c>
      <c r="AK149" s="20">
        <f>IF(B149="","",IF(OR(X149=0,X149="",AI149=""),"",ROUND((AI149+Y149)/(X149/60),2)))</f>
        <v>0</v>
      </c>
      <c r="AL149" s="43">
        <f>IF(B149="","",IF(N149="Not found","Check - no such product ID",IF(AF149="","Check - no price yet",IF(AI149&lt;0,"Loss - this version costs you money",IF(AND(AK149&lt;&gt;"",AK149&lt;MinimumWage),"Below - pays under minimum wage",IF(AND(G149&gt;0,AG149&lt;=0),"Check - extra work, no extra charge",IF(AJ149&lt;MarginWarning,"Low margin - re-price it","OK")))))))</f>
        <v>0</v>
      </c>
    </row>
    <row r="150" spans="1:38">
      <c r="A150" s="38">
        <f>IF(C150="","",VariationPrefix&amp;TEXT(ROW()-4,"0000"))</f>
        <v>0</v>
      </c>
      <c r="N150" s="13">
        <f>IF(B150="","",IFERROR(INDEX(Products!$B$5:$B$304,MATCH(B150,Products!$A$5:$A$304,0)),"Not found"))</f>
        <v>0</v>
      </c>
      <c r="O150" s="20">
        <f>IF(B150="","",IFERROR(INDEX(Products!$T$5:$T$304,MATCH(B150,Products!$A$5:$A$304,0)),""))</f>
        <v>0</v>
      </c>
      <c r="P150" s="20">
        <f>IF(B150="","",IFERROR(INDEX(Products!$Z$5:$Z$304,MATCH(B150,Products!$A$5:$A$304,0)),""))</f>
        <v>0</v>
      </c>
      <c r="Q150" s="20">
        <f>IF(B150="","",IFERROR(INDEX(Products!$AH$5:$AH$304,MATCH(B150,Products!$A$5:$A$304,0))-INDEX(Products!$T$5:$T$304,MATCH(B150,Products!$A$5:$A$304,0))-INDEX(Products!$Z$5:$Z$304,MATCH(B150,Products!$A$5:$A$304,0)),0))</f>
        <v>0</v>
      </c>
      <c r="R150" s="36">
        <f>IF(B150="","",IFERROR(INDEX(Products!$X$5:$X$304,MATCH(B150,Products!$A$5:$A$304,0)),""))</f>
        <v>0</v>
      </c>
      <c r="S150" s="20">
        <f>IF(B150="","",IFERROR(INDEX(Products!$AR$5:$AR$304,MATCH(B150,Products!$A$5:$A$304,0)),""))</f>
        <v>0</v>
      </c>
      <c r="T150" s="41">
        <f>IF(B150="","",IFERROR(INDEX(SizeMaterialFactors,MATCH(E150,SizeNames,0)),1))</f>
        <v>0</v>
      </c>
      <c r="U150" s="41">
        <f>IF(B150="","",IFERROR(INDEX(SizeTimeFactors,MATCH(E150,SizeNames,0)),1))</f>
        <v>0</v>
      </c>
      <c r="V150" s="33">
        <f>IF(B150="","",IFERROR(INDEX(RushFactors,MATCH(H150,RushNames,0)),0))</f>
        <v>0</v>
      </c>
      <c r="W150" s="20">
        <f>IF(B150="","",ROUND(IF(O150="",0,O150)*T150+IF(F150="",0,F150),2))</f>
        <v>0</v>
      </c>
      <c r="X150" s="36">
        <f>IF(B150="","",ROUND(IF(R150="",0,R150)*U150+IF(G150="",0,G150),1))</f>
        <v>0</v>
      </c>
      <c r="Y150" s="20">
        <f>IF(B150="","",ROUND(IF(P150="",0,P150)*U150+IF(G150="",0,G150)/60*LaborCostHour,2))</f>
        <v>0</v>
      </c>
      <c r="Z150" s="20">
        <f>IF(B150="","",ROUND(W150+Y150+IF(Q150="",0,Q150),2))</f>
        <v>0</v>
      </c>
      <c r="AA150" s="33">
        <f>IF(B150="","",IFERROR(INDEX(Channels!$S$5:$S$18,MATCH(IF(J150="",DefaultChannel,J150),Channels!$A$5:$A$18,0)),0))</f>
        <v>0</v>
      </c>
      <c r="AB150" s="20">
        <f>IF(B150="","",IFERROR(INDEX(Channels!$T$5:$T$18,MATCH(IF(J150="",DefaultChannel,J150),Channels!$A$5:$A$18,0)),0))</f>
        <v>0</v>
      </c>
      <c r="AC150" s="41">
        <f>IF(B150="","",1-TargetRetailMargin-AA150)</f>
        <v>0</v>
      </c>
      <c r="AD150" s="20">
        <f>IF(B150="","",IF(AC150&lt;=0,"",((Z150+AB150)/AC150)*(1+V150)+IF(I150="",0,I150)))</f>
        <v>0</v>
      </c>
      <c r="AE150" s="20">
        <f>IF(B150="","",IF(AD150="","Check the settings",ROUND(IF(RoundingRule="None",AD150,IF(RoundingRule="Nearest 0.99",MAX(0.99,CEILING(AD150,1)-0.01),IF(RoundingRule="Nearest 0.95",MAX(0.95,CEILING(AD150,1)-0.05),IF(RoundingRule="Nearest 0.50",CEILING(AD150,0.5),IF(RoundingRule="Nearest 1",CEILING(AD150,1),IF(RoundingRule="Nearest 5",CEILING(AD150,5),IF(RoundingRule="Up to whole 1",CEILING(AD150,1),IF(RoundingRule="Up to whole 5",CEILING(AD150,5),ROUND(AD150,2))))))))),2)))</f>
        <v>0</v>
      </c>
      <c r="AF150" s="20">
        <f>IF(B150="","",IF(K150&lt;&gt;"",K150,IF(ISNUMBER(AE150),AE150,"")))</f>
        <v>0</v>
      </c>
      <c r="AG150" s="20">
        <f>IF(B150="","",IF(OR(AF150="",S150=""),"",ROUND(AF150-S150,2)))</f>
        <v>0</v>
      </c>
      <c r="AH150" s="20">
        <f>IF(B150="","",IF(AF150="","",ROUND(AF150*AA150+AB150,2)))</f>
        <v>0</v>
      </c>
      <c r="AI150" s="20">
        <f>IF(B150="","",IF(AF150="","",ROUND(AF150-Z150-AH150,2)))</f>
        <v>0</v>
      </c>
      <c r="AJ150" s="33">
        <f>IF(B150="","",IF(OR(AF150="",AF150=0),"",AI150/AF150))</f>
        <v>0</v>
      </c>
      <c r="AK150" s="20">
        <f>IF(B150="","",IF(OR(X150=0,X150="",AI150=""),"",ROUND((AI150+Y150)/(X150/60),2)))</f>
        <v>0</v>
      </c>
      <c r="AL150" s="43">
        <f>IF(B150="","",IF(N150="Not found","Check - no such product ID",IF(AF150="","Check - no price yet",IF(AI150&lt;0,"Loss - this version costs you money",IF(AND(AK150&lt;&gt;"",AK150&lt;MinimumWage),"Below - pays under minimum wage",IF(AND(G150&gt;0,AG150&lt;=0),"Check - extra work, no extra charge",IF(AJ150&lt;MarginWarning,"Low margin - re-price it","OK")))))))</f>
        <v>0</v>
      </c>
    </row>
    <row r="151" spans="1:38">
      <c r="A151" s="38">
        <f>IF(C151="","",VariationPrefix&amp;TEXT(ROW()-4,"0000"))</f>
        <v>0</v>
      </c>
      <c r="N151" s="13">
        <f>IF(B151="","",IFERROR(INDEX(Products!$B$5:$B$304,MATCH(B151,Products!$A$5:$A$304,0)),"Not found"))</f>
        <v>0</v>
      </c>
      <c r="O151" s="20">
        <f>IF(B151="","",IFERROR(INDEX(Products!$T$5:$T$304,MATCH(B151,Products!$A$5:$A$304,0)),""))</f>
        <v>0</v>
      </c>
      <c r="P151" s="20">
        <f>IF(B151="","",IFERROR(INDEX(Products!$Z$5:$Z$304,MATCH(B151,Products!$A$5:$A$304,0)),""))</f>
        <v>0</v>
      </c>
      <c r="Q151" s="20">
        <f>IF(B151="","",IFERROR(INDEX(Products!$AH$5:$AH$304,MATCH(B151,Products!$A$5:$A$304,0))-INDEX(Products!$T$5:$T$304,MATCH(B151,Products!$A$5:$A$304,0))-INDEX(Products!$Z$5:$Z$304,MATCH(B151,Products!$A$5:$A$304,0)),0))</f>
        <v>0</v>
      </c>
      <c r="R151" s="36">
        <f>IF(B151="","",IFERROR(INDEX(Products!$X$5:$X$304,MATCH(B151,Products!$A$5:$A$304,0)),""))</f>
        <v>0</v>
      </c>
      <c r="S151" s="20">
        <f>IF(B151="","",IFERROR(INDEX(Products!$AR$5:$AR$304,MATCH(B151,Products!$A$5:$A$304,0)),""))</f>
        <v>0</v>
      </c>
      <c r="T151" s="41">
        <f>IF(B151="","",IFERROR(INDEX(SizeMaterialFactors,MATCH(E151,SizeNames,0)),1))</f>
        <v>0</v>
      </c>
      <c r="U151" s="41">
        <f>IF(B151="","",IFERROR(INDEX(SizeTimeFactors,MATCH(E151,SizeNames,0)),1))</f>
        <v>0</v>
      </c>
      <c r="V151" s="33">
        <f>IF(B151="","",IFERROR(INDEX(RushFactors,MATCH(H151,RushNames,0)),0))</f>
        <v>0</v>
      </c>
      <c r="W151" s="20">
        <f>IF(B151="","",ROUND(IF(O151="",0,O151)*T151+IF(F151="",0,F151),2))</f>
        <v>0</v>
      </c>
      <c r="X151" s="36">
        <f>IF(B151="","",ROUND(IF(R151="",0,R151)*U151+IF(G151="",0,G151),1))</f>
        <v>0</v>
      </c>
      <c r="Y151" s="20">
        <f>IF(B151="","",ROUND(IF(P151="",0,P151)*U151+IF(G151="",0,G151)/60*LaborCostHour,2))</f>
        <v>0</v>
      </c>
      <c r="Z151" s="20">
        <f>IF(B151="","",ROUND(W151+Y151+IF(Q151="",0,Q151),2))</f>
        <v>0</v>
      </c>
      <c r="AA151" s="33">
        <f>IF(B151="","",IFERROR(INDEX(Channels!$S$5:$S$18,MATCH(IF(J151="",DefaultChannel,J151),Channels!$A$5:$A$18,0)),0))</f>
        <v>0</v>
      </c>
      <c r="AB151" s="20">
        <f>IF(B151="","",IFERROR(INDEX(Channels!$T$5:$T$18,MATCH(IF(J151="",DefaultChannel,J151),Channels!$A$5:$A$18,0)),0))</f>
        <v>0</v>
      </c>
      <c r="AC151" s="41">
        <f>IF(B151="","",1-TargetRetailMargin-AA151)</f>
        <v>0</v>
      </c>
      <c r="AD151" s="20">
        <f>IF(B151="","",IF(AC151&lt;=0,"",((Z151+AB151)/AC151)*(1+V151)+IF(I151="",0,I151)))</f>
        <v>0</v>
      </c>
      <c r="AE151" s="20">
        <f>IF(B151="","",IF(AD151="","Check the settings",ROUND(IF(RoundingRule="None",AD151,IF(RoundingRule="Nearest 0.99",MAX(0.99,CEILING(AD151,1)-0.01),IF(RoundingRule="Nearest 0.95",MAX(0.95,CEILING(AD151,1)-0.05),IF(RoundingRule="Nearest 0.50",CEILING(AD151,0.5),IF(RoundingRule="Nearest 1",CEILING(AD151,1),IF(RoundingRule="Nearest 5",CEILING(AD151,5),IF(RoundingRule="Up to whole 1",CEILING(AD151,1),IF(RoundingRule="Up to whole 5",CEILING(AD151,5),ROUND(AD151,2))))))))),2)))</f>
        <v>0</v>
      </c>
      <c r="AF151" s="20">
        <f>IF(B151="","",IF(K151&lt;&gt;"",K151,IF(ISNUMBER(AE151),AE151,"")))</f>
        <v>0</v>
      </c>
      <c r="AG151" s="20">
        <f>IF(B151="","",IF(OR(AF151="",S151=""),"",ROUND(AF151-S151,2)))</f>
        <v>0</v>
      </c>
      <c r="AH151" s="20">
        <f>IF(B151="","",IF(AF151="","",ROUND(AF151*AA151+AB151,2)))</f>
        <v>0</v>
      </c>
      <c r="AI151" s="20">
        <f>IF(B151="","",IF(AF151="","",ROUND(AF151-Z151-AH151,2)))</f>
        <v>0</v>
      </c>
      <c r="AJ151" s="33">
        <f>IF(B151="","",IF(OR(AF151="",AF151=0),"",AI151/AF151))</f>
        <v>0</v>
      </c>
      <c r="AK151" s="20">
        <f>IF(B151="","",IF(OR(X151=0,X151="",AI151=""),"",ROUND((AI151+Y151)/(X151/60),2)))</f>
        <v>0</v>
      </c>
      <c r="AL151" s="43">
        <f>IF(B151="","",IF(N151="Not found","Check - no such product ID",IF(AF151="","Check - no price yet",IF(AI151&lt;0,"Loss - this version costs you money",IF(AND(AK151&lt;&gt;"",AK151&lt;MinimumWage),"Below - pays under minimum wage",IF(AND(G151&gt;0,AG151&lt;=0),"Check - extra work, no extra charge",IF(AJ151&lt;MarginWarning,"Low margin - re-price it","OK")))))))</f>
        <v>0</v>
      </c>
    </row>
    <row r="152" spans="1:38">
      <c r="A152" s="38">
        <f>IF(C152="","",VariationPrefix&amp;TEXT(ROW()-4,"0000"))</f>
        <v>0</v>
      </c>
      <c r="N152" s="13">
        <f>IF(B152="","",IFERROR(INDEX(Products!$B$5:$B$304,MATCH(B152,Products!$A$5:$A$304,0)),"Not found"))</f>
        <v>0</v>
      </c>
      <c r="O152" s="20">
        <f>IF(B152="","",IFERROR(INDEX(Products!$T$5:$T$304,MATCH(B152,Products!$A$5:$A$304,0)),""))</f>
        <v>0</v>
      </c>
      <c r="P152" s="20">
        <f>IF(B152="","",IFERROR(INDEX(Products!$Z$5:$Z$304,MATCH(B152,Products!$A$5:$A$304,0)),""))</f>
        <v>0</v>
      </c>
      <c r="Q152" s="20">
        <f>IF(B152="","",IFERROR(INDEX(Products!$AH$5:$AH$304,MATCH(B152,Products!$A$5:$A$304,0))-INDEX(Products!$T$5:$T$304,MATCH(B152,Products!$A$5:$A$304,0))-INDEX(Products!$Z$5:$Z$304,MATCH(B152,Products!$A$5:$A$304,0)),0))</f>
        <v>0</v>
      </c>
      <c r="R152" s="36">
        <f>IF(B152="","",IFERROR(INDEX(Products!$X$5:$X$304,MATCH(B152,Products!$A$5:$A$304,0)),""))</f>
        <v>0</v>
      </c>
      <c r="S152" s="20">
        <f>IF(B152="","",IFERROR(INDEX(Products!$AR$5:$AR$304,MATCH(B152,Products!$A$5:$A$304,0)),""))</f>
        <v>0</v>
      </c>
      <c r="T152" s="41">
        <f>IF(B152="","",IFERROR(INDEX(SizeMaterialFactors,MATCH(E152,SizeNames,0)),1))</f>
        <v>0</v>
      </c>
      <c r="U152" s="41">
        <f>IF(B152="","",IFERROR(INDEX(SizeTimeFactors,MATCH(E152,SizeNames,0)),1))</f>
        <v>0</v>
      </c>
      <c r="V152" s="33">
        <f>IF(B152="","",IFERROR(INDEX(RushFactors,MATCH(H152,RushNames,0)),0))</f>
        <v>0</v>
      </c>
      <c r="W152" s="20">
        <f>IF(B152="","",ROUND(IF(O152="",0,O152)*T152+IF(F152="",0,F152),2))</f>
        <v>0</v>
      </c>
      <c r="X152" s="36">
        <f>IF(B152="","",ROUND(IF(R152="",0,R152)*U152+IF(G152="",0,G152),1))</f>
        <v>0</v>
      </c>
      <c r="Y152" s="20">
        <f>IF(B152="","",ROUND(IF(P152="",0,P152)*U152+IF(G152="",0,G152)/60*LaborCostHour,2))</f>
        <v>0</v>
      </c>
      <c r="Z152" s="20">
        <f>IF(B152="","",ROUND(W152+Y152+IF(Q152="",0,Q152),2))</f>
        <v>0</v>
      </c>
      <c r="AA152" s="33">
        <f>IF(B152="","",IFERROR(INDEX(Channels!$S$5:$S$18,MATCH(IF(J152="",DefaultChannel,J152),Channels!$A$5:$A$18,0)),0))</f>
        <v>0</v>
      </c>
      <c r="AB152" s="20">
        <f>IF(B152="","",IFERROR(INDEX(Channels!$T$5:$T$18,MATCH(IF(J152="",DefaultChannel,J152),Channels!$A$5:$A$18,0)),0))</f>
        <v>0</v>
      </c>
      <c r="AC152" s="41">
        <f>IF(B152="","",1-TargetRetailMargin-AA152)</f>
        <v>0</v>
      </c>
      <c r="AD152" s="20">
        <f>IF(B152="","",IF(AC152&lt;=0,"",((Z152+AB152)/AC152)*(1+V152)+IF(I152="",0,I152)))</f>
        <v>0</v>
      </c>
      <c r="AE152" s="20">
        <f>IF(B152="","",IF(AD152="","Check the settings",ROUND(IF(RoundingRule="None",AD152,IF(RoundingRule="Nearest 0.99",MAX(0.99,CEILING(AD152,1)-0.01),IF(RoundingRule="Nearest 0.95",MAX(0.95,CEILING(AD152,1)-0.05),IF(RoundingRule="Nearest 0.50",CEILING(AD152,0.5),IF(RoundingRule="Nearest 1",CEILING(AD152,1),IF(RoundingRule="Nearest 5",CEILING(AD152,5),IF(RoundingRule="Up to whole 1",CEILING(AD152,1),IF(RoundingRule="Up to whole 5",CEILING(AD152,5),ROUND(AD152,2))))))))),2)))</f>
        <v>0</v>
      </c>
      <c r="AF152" s="20">
        <f>IF(B152="","",IF(K152&lt;&gt;"",K152,IF(ISNUMBER(AE152),AE152,"")))</f>
        <v>0</v>
      </c>
      <c r="AG152" s="20">
        <f>IF(B152="","",IF(OR(AF152="",S152=""),"",ROUND(AF152-S152,2)))</f>
        <v>0</v>
      </c>
      <c r="AH152" s="20">
        <f>IF(B152="","",IF(AF152="","",ROUND(AF152*AA152+AB152,2)))</f>
        <v>0</v>
      </c>
      <c r="AI152" s="20">
        <f>IF(B152="","",IF(AF152="","",ROUND(AF152-Z152-AH152,2)))</f>
        <v>0</v>
      </c>
      <c r="AJ152" s="33">
        <f>IF(B152="","",IF(OR(AF152="",AF152=0),"",AI152/AF152))</f>
        <v>0</v>
      </c>
      <c r="AK152" s="20">
        <f>IF(B152="","",IF(OR(X152=0,X152="",AI152=""),"",ROUND((AI152+Y152)/(X152/60),2)))</f>
        <v>0</v>
      </c>
      <c r="AL152" s="43">
        <f>IF(B152="","",IF(N152="Not found","Check - no such product ID",IF(AF152="","Check - no price yet",IF(AI152&lt;0,"Loss - this version costs you money",IF(AND(AK152&lt;&gt;"",AK152&lt;MinimumWage),"Below - pays under minimum wage",IF(AND(G152&gt;0,AG152&lt;=0),"Check - extra work, no extra charge",IF(AJ152&lt;MarginWarning,"Low margin - re-price it","OK")))))))</f>
        <v>0</v>
      </c>
    </row>
    <row r="153" spans="1:38">
      <c r="A153" s="38">
        <f>IF(C153="","",VariationPrefix&amp;TEXT(ROW()-4,"0000"))</f>
        <v>0</v>
      </c>
      <c r="N153" s="13">
        <f>IF(B153="","",IFERROR(INDEX(Products!$B$5:$B$304,MATCH(B153,Products!$A$5:$A$304,0)),"Not found"))</f>
        <v>0</v>
      </c>
      <c r="O153" s="20">
        <f>IF(B153="","",IFERROR(INDEX(Products!$T$5:$T$304,MATCH(B153,Products!$A$5:$A$304,0)),""))</f>
        <v>0</v>
      </c>
      <c r="P153" s="20">
        <f>IF(B153="","",IFERROR(INDEX(Products!$Z$5:$Z$304,MATCH(B153,Products!$A$5:$A$304,0)),""))</f>
        <v>0</v>
      </c>
      <c r="Q153" s="20">
        <f>IF(B153="","",IFERROR(INDEX(Products!$AH$5:$AH$304,MATCH(B153,Products!$A$5:$A$304,0))-INDEX(Products!$T$5:$T$304,MATCH(B153,Products!$A$5:$A$304,0))-INDEX(Products!$Z$5:$Z$304,MATCH(B153,Products!$A$5:$A$304,0)),0))</f>
        <v>0</v>
      </c>
      <c r="R153" s="36">
        <f>IF(B153="","",IFERROR(INDEX(Products!$X$5:$X$304,MATCH(B153,Products!$A$5:$A$304,0)),""))</f>
        <v>0</v>
      </c>
      <c r="S153" s="20">
        <f>IF(B153="","",IFERROR(INDEX(Products!$AR$5:$AR$304,MATCH(B153,Products!$A$5:$A$304,0)),""))</f>
        <v>0</v>
      </c>
      <c r="T153" s="41">
        <f>IF(B153="","",IFERROR(INDEX(SizeMaterialFactors,MATCH(E153,SizeNames,0)),1))</f>
        <v>0</v>
      </c>
      <c r="U153" s="41">
        <f>IF(B153="","",IFERROR(INDEX(SizeTimeFactors,MATCH(E153,SizeNames,0)),1))</f>
        <v>0</v>
      </c>
      <c r="V153" s="33">
        <f>IF(B153="","",IFERROR(INDEX(RushFactors,MATCH(H153,RushNames,0)),0))</f>
        <v>0</v>
      </c>
      <c r="W153" s="20">
        <f>IF(B153="","",ROUND(IF(O153="",0,O153)*T153+IF(F153="",0,F153),2))</f>
        <v>0</v>
      </c>
      <c r="X153" s="36">
        <f>IF(B153="","",ROUND(IF(R153="",0,R153)*U153+IF(G153="",0,G153),1))</f>
        <v>0</v>
      </c>
      <c r="Y153" s="20">
        <f>IF(B153="","",ROUND(IF(P153="",0,P153)*U153+IF(G153="",0,G153)/60*LaborCostHour,2))</f>
        <v>0</v>
      </c>
      <c r="Z153" s="20">
        <f>IF(B153="","",ROUND(W153+Y153+IF(Q153="",0,Q153),2))</f>
        <v>0</v>
      </c>
      <c r="AA153" s="33">
        <f>IF(B153="","",IFERROR(INDEX(Channels!$S$5:$S$18,MATCH(IF(J153="",DefaultChannel,J153),Channels!$A$5:$A$18,0)),0))</f>
        <v>0</v>
      </c>
      <c r="AB153" s="20">
        <f>IF(B153="","",IFERROR(INDEX(Channels!$T$5:$T$18,MATCH(IF(J153="",DefaultChannel,J153),Channels!$A$5:$A$18,0)),0))</f>
        <v>0</v>
      </c>
      <c r="AC153" s="41">
        <f>IF(B153="","",1-TargetRetailMargin-AA153)</f>
        <v>0</v>
      </c>
      <c r="AD153" s="20">
        <f>IF(B153="","",IF(AC153&lt;=0,"",((Z153+AB153)/AC153)*(1+V153)+IF(I153="",0,I153)))</f>
        <v>0</v>
      </c>
      <c r="AE153" s="20">
        <f>IF(B153="","",IF(AD153="","Check the settings",ROUND(IF(RoundingRule="None",AD153,IF(RoundingRule="Nearest 0.99",MAX(0.99,CEILING(AD153,1)-0.01),IF(RoundingRule="Nearest 0.95",MAX(0.95,CEILING(AD153,1)-0.05),IF(RoundingRule="Nearest 0.50",CEILING(AD153,0.5),IF(RoundingRule="Nearest 1",CEILING(AD153,1),IF(RoundingRule="Nearest 5",CEILING(AD153,5),IF(RoundingRule="Up to whole 1",CEILING(AD153,1),IF(RoundingRule="Up to whole 5",CEILING(AD153,5),ROUND(AD153,2))))))))),2)))</f>
        <v>0</v>
      </c>
      <c r="AF153" s="20">
        <f>IF(B153="","",IF(K153&lt;&gt;"",K153,IF(ISNUMBER(AE153),AE153,"")))</f>
        <v>0</v>
      </c>
      <c r="AG153" s="20">
        <f>IF(B153="","",IF(OR(AF153="",S153=""),"",ROUND(AF153-S153,2)))</f>
        <v>0</v>
      </c>
      <c r="AH153" s="20">
        <f>IF(B153="","",IF(AF153="","",ROUND(AF153*AA153+AB153,2)))</f>
        <v>0</v>
      </c>
      <c r="AI153" s="20">
        <f>IF(B153="","",IF(AF153="","",ROUND(AF153-Z153-AH153,2)))</f>
        <v>0</v>
      </c>
      <c r="AJ153" s="33">
        <f>IF(B153="","",IF(OR(AF153="",AF153=0),"",AI153/AF153))</f>
        <v>0</v>
      </c>
      <c r="AK153" s="20">
        <f>IF(B153="","",IF(OR(X153=0,X153="",AI153=""),"",ROUND((AI153+Y153)/(X153/60),2)))</f>
        <v>0</v>
      </c>
      <c r="AL153" s="43">
        <f>IF(B153="","",IF(N153="Not found","Check - no such product ID",IF(AF153="","Check - no price yet",IF(AI153&lt;0,"Loss - this version costs you money",IF(AND(AK153&lt;&gt;"",AK153&lt;MinimumWage),"Below - pays under minimum wage",IF(AND(G153&gt;0,AG153&lt;=0),"Check - extra work, no extra charge",IF(AJ153&lt;MarginWarning,"Low margin - re-price it","OK")))))))</f>
        <v>0</v>
      </c>
    </row>
    <row r="154" spans="1:38">
      <c r="A154" s="38">
        <f>IF(C154="","",VariationPrefix&amp;TEXT(ROW()-4,"0000"))</f>
        <v>0</v>
      </c>
      <c r="N154" s="13">
        <f>IF(B154="","",IFERROR(INDEX(Products!$B$5:$B$304,MATCH(B154,Products!$A$5:$A$304,0)),"Not found"))</f>
        <v>0</v>
      </c>
      <c r="O154" s="20">
        <f>IF(B154="","",IFERROR(INDEX(Products!$T$5:$T$304,MATCH(B154,Products!$A$5:$A$304,0)),""))</f>
        <v>0</v>
      </c>
      <c r="P154" s="20">
        <f>IF(B154="","",IFERROR(INDEX(Products!$Z$5:$Z$304,MATCH(B154,Products!$A$5:$A$304,0)),""))</f>
        <v>0</v>
      </c>
      <c r="Q154" s="20">
        <f>IF(B154="","",IFERROR(INDEX(Products!$AH$5:$AH$304,MATCH(B154,Products!$A$5:$A$304,0))-INDEX(Products!$T$5:$T$304,MATCH(B154,Products!$A$5:$A$304,0))-INDEX(Products!$Z$5:$Z$304,MATCH(B154,Products!$A$5:$A$304,0)),0))</f>
        <v>0</v>
      </c>
      <c r="R154" s="36">
        <f>IF(B154="","",IFERROR(INDEX(Products!$X$5:$X$304,MATCH(B154,Products!$A$5:$A$304,0)),""))</f>
        <v>0</v>
      </c>
      <c r="S154" s="20">
        <f>IF(B154="","",IFERROR(INDEX(Products!$AR$5:$AR$304,MATCH(B154,Products!$A$5:$A$304,0)),""))</f>
        <v>0</v>
      </c>
      <c r="T154" s="41">
        <f>IF(B154="","",IFERROR(INDEX(SizeMaterialFactors,MATCH(E154,SizeNames,0)),1))</f>
        <v>0</v>
      </c>
      <c r="U154" s="41">
        <f>IF(B154="","",IFERROR(INDEX(SizeTimeFactors,MATCH(E154,SizeNames,0)),1))</f>
        <v>0</v>
      </c>
      <c r="V154" s="33">
        <f>IF(B154="","",IFERROR(INDEX(RushFactors,MATCH(H154,RushNames,0)),0))</f>
        <v>0</v>
      </c>
      <c r="W154" s="20">
        <f>IF(B154="","",ROUND(IF(O154="",0,O154)*T154+IF(F154="",0,F154),2))</f>
        <v>0</v>
      </c>
      <c r="X154" s="36">
        <f>IF(B154="","",ROUND(IF(R154="",0,R154)*U154+IF(G154="",0,G154),1))</f>
        <v>0</v>
      </c>
      <c r="Y154" s="20">
        <f>IF(B154="","",ROUND(IF(P154="",0,P154)*U154+IF(G154="",0,G154)/60*LaborCostHour,2))</f>
        <v>0</v>
      </c>
      <c r="Z154" s="20">
        <f>IF(B154="","",ROUND(W154+Y154+IF(Q154="",0,Q154),2))</f>
        <v>0</v>
      </c>
      <c r="AA154" s="33">
        <f>IF(B154="","",IFERROR(INDEX(Channels!$S$5:$S$18,MATCH(IF(J154="",DefaultChannel,J154),Channels!$A$5:$A$18,0)),0))</f>
        <v>0</v>
      </c>
      <c r="AB154" s="20">
        <f>IF(B154="","",IFERROR(INDEX(Channels!$T$5:$T$18,MATCH(IF(J154="",DefaultChannel,J154),Channels!$A$5:$A$18,0)),0))</f>
        <v>0</v>
      </c>
      <c r="AC154" s="41">
        <f>IF(B154="","",1-TargetRetailMargin-AA154)</f>
        <v>0</v>
      </c>
      <c r="AD154" s="20">
        <f>IF(B154="","",IF(AC154&lt;=0,"",((Z154+AB154)/AC154)*(1+V154)+IF(I154="",0,I154)))</f>
        <v>0</v>
      </c>
      <c r="AE154" s="20">
        <f>IF(B154="","",IF(AD154="","Check the settings",ROUND(IF(RoundingRule="None",AD154,IF(RoundingRule="Nearest 0.99",MAX(0.99,CEILING(AD154,1)-0.01),IF(RoundingRule="Nearest 0.95",MAX(0.95,CEILING(AD154,1)-0.05),IF(RoundingRule="Nearest 0.50",CEILING(AD154,0.5),IF(RoundingRule="Nearest 1",CEILING(AD154,1),IF(RoundingRule="Nearest 5",CEILING(AD154,5),IF(RoundingRule="Up to whole 1",CEILING(AD154,1),IF(RoundingRule="Up to whole 5",CEILING(AD154,5),ROUND(AD154,2))))))))),2)))</f>
        <v>0</v>
      </c>
      <c r="AF154" s="20">
        <f>IF(B154="","",IF(K154&lt;&gt;"",K154,IF(ISNUMBER(AE154),AE154,"")))</f>
        <v>0</v>
      </c>
      <c r="AG154" s="20">
        <f>IF(B154="","",IF(OR(AF154="",S154=""),"",ROUND(AF154-S154,2)))</f>
        <v>0</v>
      </c>
      <c r="AH154" s="20">
        <f>IF(B154="","",IF(AF154="","",ROUND(AF154*AA154+AB154,2)))</f>
        <v>0</v>
      </c>
      <c r="AI154" s="20">
        <f>IF(B154="","",IF(AF154="","",ROUND(AF154-Z154-AH154,2)))</f>
        <v>0</v>
      </c>
      <c r="AJ154" s="33">
        <f>IF(B154="","",IF(OR(AF154="",AF154=0),"",AI154/AF154))</f>
        <v>0</v>
      </c>
      <c r="AK154" s="20">
        <f>IF(B154="","",IF(OR(X154=0,X154="",AI154=""),"",ROUND((AI154+Y154)/(X154/60),2)))</f>
        <v>0</v>
      </c>
      <c r="AL154" s="43">
        <f>IF(B154="","",IF(N154="Not found","Check - no such product ID",IF(AF154="","Check - no price yet",IF(AI154&lt;0,"Loss - this version costs you money",IF(AND(AK154&lt;&gt;"",AK154&lt;MinimumWage),"Below - pays under minimum wage",IF(AND(G154&gt;0,AG154&lt;=0),"Check - extra work, no extra charge",IF(AJ154&lt;MarginWarning,"Low margin - re-price it","OK")))))))</f>
        <v>0</v>
      </c>
    </row>
    <row r="155" spans="1:38">
      <c r="A155" s="38">
        <f>IF(C155="","",VariationPrefix&amp;TEXT(ROW()-4,"0000"))</f>
        <v>0</v>
      </c>
      <c r="N155" s="13">
        <f>IF(B155="","",IFERROR(INDEX(Products!$B$5:$B$304,MATCH(B155,Products!$A$5:$A$304,0)),"Not found"))</f>
        <v>0</v>
      </c>
      <c r="O155" s="20">
        <f>IF(B155="","",IFERROR(INDEX(Products!$T$5:$T$304,MATCH(B155,Products!$A$5:$A$304,0)),""))</f>
        <v>0</v>
      </c>
      <c r="P155" s="20">
        <f>IF(B155="","",IFERROR(INDEX(Products!$Z$5:$Z$304,MATCH(B155,Products!$A$5:$A$304,0)),""))</f>
        <v>0</v>
      </c>
      <c r="Q155" s="20">
        <f>IF(B155="","",IFERROR(INDEX(Products!$AH$5:$AH$304,MATCH(B155,Products!$A$5:$A$304,0))-INDEX(Products!$T$5:$T$304,MATCH(B155,Products!$A$5:$A$304,0))-INDEX(Products!$Z$5:$Z$304,MATCH(B155,Products!$A$5:$A$304,0)),0))</f>
        <v>0</v>
      </c>
      <c r="R155" s="36">
        <f>IF(B155="","",IFERROR(INDEX(Products!$X$5:$X$304,MATCH(B155,Products!$A$5:$A$304,0)),""))</f>
        <v>0</v>
      </c>
      <c r="S155" s="20">
        <f>IF(B155="","",IFERROR(INDEX(Products!$AR$5:$AR$304,MATCH(B155,Products!$A$5:$A$304,0)),""))</f>
        <v>0</v>
      </c>
      <c r="T155" s="41">
        <f>IF(B155="","",IFERROR(INDEX(SizeMaterialFactors,MATCH(E155,SizeNames,0)),1))</f>
        <v>0</v>
      </c>
      <c r="U155" s="41">
        <f>IF(B155="","",IFERROR(INDEX(SizeTimeFactors,MATCH(E155,SizeNames,0)),1))</f>
        <v>0</v>
      </c>
      <c r="V155" s="33">
        <f>IF(B155="","",IFERROR(INDEX(RushFactors,MATCH(H155,RushNames,0)),0))</f>
        <v>0</v>
      </c>
      <c r="W155" s="20">
        <f>IF(B155="","",ROUND(IF(O155="",0,O155)*T155+IF(F155="",0,F155),2))</f>
        <v>0</v>
      </c>
      <c r="X155" s="36">
        <f>IF(B155="","",ROUND(IF(R155="",0,R155)*U155+IF(G155="",0,G155),1))</f>
        <v>0</v>
      </c>
      <c r="Y155" s="20">
        <f>IF(B155="","",ROUND(IF(P155="",0,P155)*U155+IF(G155="",0,G155)/60*LaborCostHour,2))</f>
        <v>0</v>
      </c>
      <c r="Z155" s="20">
        <f>IF(B155="","",ROUND(W155+Y155+IF(Q155="",0,Q155),2))</f>
        <v>0</v>
      </c>
      <c r="AA155" s="33">
        <f>IF(B155="","",IFERROR(INDEX(Channels!$S$5:$S$18,MATCH(IF(J155="",DefaultChannel,J155),Channels!$A$5:$A$18,0)),0))</f>
        <v>0</v>
      </c>
      <c r="AB155" s="20">
        <f>IF(B155="","",IFERROR(INDEX(Channels!$T$5:$T$18,MATCH(IF(J155="",DefaultChannel,J155),Channels!$A$5:$A$18,0)),0))</f>
        <v>0</v>
      </c>
      <c r="AC155" s="41">
        <f>IF(B155="","",1-TargetRetailMargin-AA155)</f>
        <v>0</v>
      </c>
      <c r="AD155" s="20">
        <f>IF(B155="","",IF(AC155&lt;=0,"",((Z155+AB155)/AC155)*(1+V155)+IF(I155="",0,I155)))</f>
        <v>0</v>
      </c>
      <c r="AE155" s="20">
        <f>IF(B155="","",IF(AD155="","Check the settings",ROUND(IF(RoundingRule="None",AD155,IF(RoundingRule="Nearest 0.99",MAX(0.99,CEILING(AD155,1)-0.01),IF(RoundingRule="Nearest 0.95",MAX(0.95,CEILING(AD155,1)-0.05),IF(RoundingRule="Nearest 0.50",CEILING(AD155,0.5),IF(RoundingRule="Nearest 1",CEILING(AD155,1),IF(RoundingRule="Nearest 5",CEILING(AD155,5),IF(RoundingRule="Up to whole 1",CEILING(AD155,1),IF(RoundingRule="Up to whole 5",CEILING(AD155,5),ROUND(AD155,2))))))))),2)))</f>
        <v>0</v>
      </c>
      <c r="AF155" s="20">
        <f>IF(B155="","",IF(K155&lt;&gt;"",K155,IF(ISNUMBER(AE155),AE155,"")))</f>
        <v>0</v>
      </c>
      <c r="AG155" s="20">
        <f>IF(B155="","",IF(OR(AF155="",S155=""),"",ROUND(AF155-S155,2)))</f>
        <v>0</v>
      </c>
      <c r="AH155" s="20">
        <f>IF(B155="","",IF(AF155="","",ROUND(AF155*AA155+AB155,2)))</f>
        <v>0</v>
      </c>
      <c r="AI155" s="20">
        <f>IF(B155="","",IF(AF155="","",ROUND(AF155-Z155-AH155,2)))</f>
        <v>0</v>
      </c>
      <c r="AJ155" s="33">
        <f>IF(B155="","",IF(OR(AF155="",AF155=0),"",AI155/AF155))</f>
        <v>0</v>
      </c>
      <c r="AK155" s="20">
        <f>IF(B155="","",IF(OR(X155=0,X155="",AI155=""),"",ROUND((AI155+Y155)/(X155/60),2)))</f>
        <v>0</v>
      </c>
      <c r="AL155" s="43">
        <f>IF(B155="","",IF(N155="Not found","Check - no such product ID",IF(AF155="","Check - no price yet",IF(AI155&lt;0,"Loss - this version costs you money",IF(AND(AK155&lt;&gt;"",AK155&lt;MinimumWage),"Below - pays under minimum wage",IF(AND(G155&gt;0,AG155&lt;=0),"Check - extra work, no extra charge",IF(AJ155&lt;MarginWarning,"Low margin - re-price it","OK")))))))</f>
        <v>0</v>
      </c>
    </row>
    <row r="156" spans="1:38">
      <c r="A156" s="38">
        <f>IF(C156="","",VariationPrefix&amp;TEXT(ROW()-4,"0000"))</f>
        <v>0</v>
      </c>
      <c r="N156" s="13">
        <f>IF(B156="","",IFERROR(INDEX(Products!$B$5:$B$304,MATCH(B156,Products!$A$5:$A$304,0)),"Not found"))</f>
        <v>0</v>
      </c>
      <c r="O156" s="20">
        <f>IF(B156="","",IFERROR(INDEX(Products!$T$5:$T$304,MATCH(B156,Products!$A$5:$A$304,0)),""))</f>
        <v>0</v>
      </c>
      <c r="P156" s="20">
        <f>IF(B156="","",IFERROR(INDEX(Products!$Z$5:$Z$304,MATCH(B156,Products!$A$5:$A$304,0)),""))</f>
        <v>0</v>
      </c>
      <c r="Q156" s="20">
        <f>IF(B156="","",IFERROR(INDEX(Products!$AH$5:$AH$304,MATCH(B156,Products!$A$5:$A$304,0))-INDEX(Products!$T$5:$T$304,MATCH(B156,Products!$A$5:$A$304,0))-INDEX(Products!$Z$5:$Z$304,MATCH(B156,Products!$A$5:$A$304,0)),0))</f>
        <v>0</v>
      </c>
      <c r="R156" s="36">
        <f>IF(B156="","",IFERROR(INDEX(Products!$X$5:$X$304,MATCH(B156,Products!$A$5:$A$304,0)),""))</f>
        <v>0</v>
      </c>
      <c r="S156" s="20">
        <f>IF(B156="","",IFERROR(INDEX(Products!$AR$5:$AR$304,MATCH(B156,Products!$A$5:$A$304,0)),""))</f>
        <v>0</v>
      </c>
      <c r="T156" s="41">
        <f>IF(B156="","",IFERROR(INDEX(SizeMaterialFactors,MATCH(E156,SizeNames,0)),1))</f>
        <v>0</v>
      </c>
      <c r="U156" s="41">
        <f>IF(B156="","",IFERROR(INDEX(SizeTimeFactors,MATCH(E156,SizeNames,0)),1))</f>
        <v>0</v>
      </c>
      <c r="V156" s="33">
        <f>IF(B156="","",IFERROR(INDEX(RushFactors,MATCH(H156,RushNames,0)),0))</f>
        <v>0</v>
      </c>
      <c r="W156" s="20">
        <f>IF(B156="","",ROUND(IF(O156="",0,O156)*T156+IF(F156="",0,F156),2))</f>
        <v>0</v>
      </c>
      <c r="X156" s="36">
        <f>IF(B156="","",ROUND(IF(R156="",0,R156)*U156+IF(G156="",0,G156),1))</f>
        <v>0</v>
      </c>
      <c r="Y156" s="20">
        <f>IF(B156="","",ROUND(IF(P156="",0,P156)*U156+IF(G156="",0,G156)/60*LaborCostHour,2))</f>
        <v>0</v>
      </c>
      <c r="Z156" s="20">
        <f>IF(B156="","",ROUND(W156+Y156+IF(Q156="",0,Q156),2))</f>
        <v>0</v>
      </c>
      <c r="AA156" s="33">
        <f>IF(B156="","",IFERROR(INDEX(Channels!$S$5:$S$18,MATCH(IF(J156="",DefaultChannel,J156),Channels!$A$5:$A$18,0)),0))</f>
        <v>0</v>
      </c>
      <c r="AB156" s="20">
        <f>IF(B156="","",IFERROR(INDEX(Channels!$T$5:$T$18,MATCH(IF(J156="",DefaultChannel,J156),Channels!$A$5:$A$18,0)),0))</f>
        <v>0</v>
      </c>
      <c r="AC156" s="41">
        <f>IF(B156="","",1-TargetRetailMargin-AA156)</f>
        <v>0</v>
      </c>
      <c r="AD156" s="20">
        <f>IF(B156="","",IF(AC156&lt;=0,"",((Z156+AB156)/AC156)*(1+V156)+IF(I156="",0,I156)))</f>
        <v>0</v>
      </c>
      <c r="AE156" s="20">
        <f>IF(B156="","",IF(AD156="","Check the settings",ROUND(IF(RoundingRule="None",AD156,IF(RoundingRule="Nearest 0.99",MAX(0.99,CEILING(AD156,1)-0.01),IF(RoundingRule="Nearest 0.95",MAX(0.95,CEILING(AD156,1)-0.05),IF(RoundingRule="Nearest 0.50",CEILING(AD156,0.5),IF(RoundingRule="Nearest 1",CEILING(AD156,1),IF(RoundingRule="Nearest 5",CEILING(AD156,5),IF(RoundingRule="Up to whole 1",CEILING(AD156,1),IF(RoundingRule="Up to whole 5",CEILING(AD156,5),ROUND(AD156,2))))))))),2)))</f>
        <v>0</v>
      </c>
      <c r="AF156" s="20">
        <f>IF(B156="","",IF(K156&lt;&gt;"",K156,IF(ISNUMBER(AE156),AE156,"")))</f>
        <v>0</v>
      </c>
      <c r="AG156" s="20">
        <f>IF(B156="","",IF(OR(AF156="",S156=""),"",ROUND(AF156-S156,2)))</f>
        <v>0</v>
      </c>
      <c r="AH156" s="20">
        <f>IF(B156="","",IF(AF156="","",ROUND(AF156*AA156+AB156,2)))</f>
        <v>0</v>
      </c>
      <c r="AI156" s="20">
        <f>IF(B156="","",IF(AF156="","",ROUND(AF156-Z156-AH156,2)))</f>
        <v>0</v>
      </c>
      <c r="AJ156" s="33">
        <f>IF(B156="","",IF(OR(AF156="",AF156=0),"",AI156/AF156))</f>
        <v>0</v>
      </c>
      <c r="AK156" s="20">
        <f>IF(B156="","",IF(OR(X156=0,X156="",AI156=""),"",ROUND((AI156+Y156)/(X156/60),2)))</f>
        <v>0</v>
      </c>
      <c r="AL156" s="43">
        <f>IF(B156="","",IF(N156="Not found","Check - no such product ID",IF(AF156="","Check - no price yet",IF(AI156&lt;0,"Loss - this version costs you money",IF(AND(AK156&lt;&gt;"",AK156&lt;MinimumWage),"Below - pays under minimum wage",IF(AND(G156&gt;0,AG156&lt;=0),"Check - extra work, no extra charge",IF(AJ156&lt;MarginWarning,"Low margin - re-price it","OK")))))))</f>
        <v>0</v>
      </c>
    </row>
    <row r="157" spans="1:38">
      <c r="A157" s="38">
        <f>IF(C157="","",VariationPrefix&amp;TEXT(ROW()-4,"0000"))</f>
        <v>0</v>
      </c>
      <c r="N157" s="13">
        <f>IF(B157="","",IFERROR(INDEX(Products!$B$5:$B$304,MATCH(B157,Products!$A$5:$A$304,0)),"Not found"))</f>
        <v>0</v>
      </c>
      <c r="O157" s="20">
        <f>IF(B157="","",IFERROR(INDEX(Products!$T$5:$T$304,MATCH(B157,Products!$A$5:$A$304,0)),""))</f>
        <v>0</v>
      </c>
      <c r="P157" s="20">
        <f>IF(B157="","",IFERROR(INDEX(Products!$Z$5:$Z$304,MATCH(B157,Products!$A$5:$A$304,0)),""))</f>
        <v>0</v>
      </c>
      <c r="Q157" s="20">
        <f>IF(B157="","",IFERROR(INDEX(Products!$AH$5:$AH$304,MATCH(B157,Products!$A$5:$A$304,0))-INDEX(Products!$T$5:$T$304,MATCH(B157,Products!$A$5:$A$304,0))-INDEX(Products!$Z$5:$Z$304,MATCH(B157,Products!$A$5:$A$304,0)),0))</f>
        <v>0</v>
      </c>
      <c r="R157" s="36">
        <f>IF(B157="","",IFERROR(INDEX(Products!$X$5:$X$304,MATCH(B157,Products!$A$5:$A$304,0)),""))</f>
        <v>0</v>
      </c>
      <c r="S157" s="20">
        <f>IF(B157="","",IFERROR(INDEX(Products!$AR$5:$AR$304,MATCH(B157,Products!$A$5:$A$304,0)),""))</f>
        <v>0</v>
      </c>
      <c r="T157" s="41">
        <f>IF(B157="","",IFERROR(INDEX(SizeMaterialFactors,MATCH(E157,SizeNames,0)),1))</f>
        <v>0</v>
      </c>
      <c r="U157" s="41">
        <f>IF(B157="","",IFERROR(INDEX(SizeTimeFactors,MATCH(E157,SizeNames,0)),1))</f>
        <v>0</v>
      </c>
      <c r="V157" s="33">
        <f>IF(B157="","",IFERROR(INDEX(RushFactors,MATCH(H157,RushNames,0)),0))</f>
        <v>0</v>
      </c>
      <c r="W157" s="20">
        <f>IF(B157="","",ROUND(IF(O157="",0,O157)*T157+IF(F157="",0,F157),2))</f>
        <v>0</v>
      </c>
      <c r="X157" s="36">
        <f>IF(B157="","",ROUND(IF(R157="",0,R157)*U157+IF(G157="",0,G157),1))</f>
        <v>0</v>
      </c>
      <c r="Y157" s="20">
        <f>IF(B157="","",ROUND(IF(P157="",0,P157)*U157+IF(G157="",0,G157)/60*LaborCostHour,2))</f>
        <v>0</v>
      </c>
      <c r="Z157" s="20">
        <f>IF(B157="","",ROUND(W157+Y157+IF(Q157="",0,Q157),2))</f>
        <v>0</v>
      </c>
      <c r="AA157" s="33">
        <f>IF(B157="","",IFERROR(INDEX(Channels!$S$5:$S$18,MATCH(IF(J157="",DefaultChannel,J157),Channels!$A$5:$A$18,0)),0))</f>
        <v>0</v>
      </c>
      <c r="AB157" s="20">
        <f>IF(B157="","",IFERROR(INDEX(Channels!$T$5:$T$18,MATCH(IF(J157="",DefaultChannel,J157),Channels!$A$5:$A$18,0)),0))</f>
        <v>0</v>
      </c>
      <c r="AC157" s="41">
        <f>IF(B157="","",1-TargetRetailMargin-AA157)</f>
        <v>0</v>
      </c>
      <c r="AD157" s="20">
        <f>IF(B157="","",IF(AC157&lt;=0,"",((Z157+AB157)/AC157)*(1+V157)+IF(I157="",0,I157)))</f>
        <v>0</v>
      </c>
      <c r="AE157" s="20">
        <f>IF(B157="","",IF(AD157="","Check the settings",ROUND(IF(RoundingRule="None",AD157,IF(RoundingRule="Nearest 0.99",MAX(0.99,CEILING(AD157,1)-0.01),IF(RoundingRule="Nearest 0.95",MAX(0.95,CEILING(AD157,1)-0.05),IF(RoundingRule="Nearest 0.50",CEILING(AD157,0.5),IF(RoundingRule="Nearest 1",CEILING(AD157,1),IF(RoundingRule="Nearest 5",CEILING(AD157,5),IF(RoundingRule="Up to whole 1",CEILING(AD157,1),IF(RoundingRule="Up to whole 5",CEILING(AD157,5),ROUND(AD157,2))))))))),2)))</f>
        <v>0</v>
      </c>
      <c r="AF157" s="20">
        <f>IF(B157="","",IF(K157&lt;&gt;"",K157,IF(ISNUMBER(AE157),AE157,"")))</f>
        <v>0</v>
      </c>
      <c r="AG157" s="20">
        <f>IF(B157="","",IF(OR(AF157="",S157=""),"",ROUND(AF157-S157,2)))</f>
        <v>0</v>
      </c>
      <c r="AH157" s="20">
        <f>IF(B157="","",IF(AF157="","",ROUND(AF157*AA157+AB157,2)))</f>
        <v>0</v>
      </c>
      <c r="AI157" s="20">
        <f>IF(B157="","",IF(AF157="","",ROUND(AF157-Z157-AH157,2)))</f>
        <v>0</v>
      </c>
      <c r="AJ157" s="33">
        <f>IF(B157="","",IF(OR(AF157="",AF157=0),"",AI157/AF157))</f>
        <v>0</v>
      </c>
      <c r="AK157" s="20">
        <f>IF(B157="","",IF(OR(X157=0,X157="",AI157=""),"",ROUND((AI157+Y157)/(X157/60),2)))</f>
        <v>0</v>
      </c>
      <c r="AL157" s="43">
        <f>IF(B157="","",IF(N157="Not found","Check - no such product ID",IF(AF157="","Check - no price yet",IF(AI157&lt;0,"Loss - this version costs you money",IF(AND(AK157&lt;&gt;"",AK157&lt;MinimumWage),"Below - pays under minimum wage",IF(AND(G157&gt;0,AG157&lt;=0),"Check - extra work, no extra charge",IF(AJ157&lt;MarginWarning,"Low margin - re-price it","OK")))))))</f>
        <v>0</v>
      </c>
    </row>
    <row r="158" spans="1:38">
      <c r="A158" s="38">
        <f>IF(C158="","",VariationPrefix&amp;TEXT(ROW()-4,"0000"))</f>
        <v>0</v>
      </c>
      <c r="N158" s="13">
        <f>IF(B158="","",IFERROR(INDEX(Products!$B$5:$B$304,MATCH(B158,Products!$A$5:$A$304,0)),"Not found"))</f>
        <v>0</v>
      </c>
      <c r="O158" s="20">
        <f>IF(B158="","",IFERROR(INDEX(Products!$T$5:$T$304,MATCH(B158,Products!$A$5:$A$304,0)),""))</f>
        <v>0</v>
      </c>
      <c r="P158" s="20">
        <f>IF(B158="","",IFERROR(INDEX(Products!$Z$5:$Z$304,MATCH(B158,Products!$A$5:$A$304,0)),""))</f>
        <v>0</v>
      </c>
      <c r="Q158" s="20">
        <f>IF(B158="","",IFERROR(INDEX(Products!$AH$5:$AH$304,MATCH(B158,Products!$A$5:$A$304,0))-INDEX(Products!$T$5:$T$304,MATCH(B158,Products!$A$5:$A$304,0))-INDEX(Products!$Z$5:$Z$304,MATCH(B158,Products!$A$5:$A$304,0)),0))</f>
        <v>0</v>
      </c>
      <c r="R158" s="36">
        <f>IF(B158="","",IFERROR(INDEX(Products!$X$5:$X$304,MATCH(B158,Products!$A$5:$A$304,0)),""))</f>
        <v>0</v>
      </c>
      <c r="S158" s="20">
        <f>IF(B158="","",IFERROR(INDEX(Products!$AR$5:$AR$304,MATCH(B158,Products!$A$5:$A$304,0)),""))</f>
        <v>0</v>
      </c>
      <c r="T158" s="41">
        <f>IF(B158="","",IFERROR(INDEX(SizeMaterialFactors,MATCH(E158,SizeNames,0)),1))</f>
        <v>0</v>
      </c>
      <c r="U158" s="41">
        <f>IF(B158="","",IFERROR(INDEX(SizeTimeFactors,MATCH(E158,SizeNames,0)),1))</f>
        <v>0</v>
      </c>
      <c r="V158" s="33">
        <f>IF(B158="","",IFERROR(INDEX(RushFactors,MATCH(H158,RushNames,0)),0))</f>
        <v>0</v>
      </c>
      <c r="W158" s="20">
        <f>IF(B158="","",ROUND(IF(O158="",0,O158)*T158+IF(F158="",0,F158),2))</f>
        <v>0</v>
      </c>
      <c r="X158" s="36">
        <f>IF(B158="","",ROUND(IF(R158="",0,R158)*U158+IF(G158="",0,G158),1))</f>
        <v>0</v>
      </c>
      <c r="Y158" s="20">
        <f>IF(B158="","",ROUND(IF(P158="",0,P158)*U158+IF(G158="",0,G158)/60*LaborCostHour,2))</f>
        <v>0</v>
      </c>
      <c r="Z158" s="20">
        <f>IF(B158="","",ROUND(W158+Y158+IF(Q158="",0,Q158),2))</f>
        <v>0</v>
      </c>
      <c r="AA158" s="33">
        <f>IF(B158="","",IFERROR(INDEX(Channels!$S$5:$S$18,MATCH(IF(J158="",DefaultChannel,J158),Channels!$A$5:$A$18,0)),0))</f>
        <v>0</v>
      </c>
      <c r="AB158" s="20">
        <f>IF(B158="","",IFERROR(INDEX(Channels!$T$5:$T$18,MATCH(IF(J158="",DefaultChannel,J158),Channels!$A$5:$A$18,0)),0))</f>
        <v>0</v>
      </c>
      <c r="AC158" s="41">
        <f>IF(B158="","",1-TargetRetailMargin-AA158)</f>
        <v>0</v>
      </c>
      <c r="AD158" s="20">
        <f>IF(B158="","",IF(AC158&lt;=0,"",((Z158+AB158)/AC158)*(1+V158)+IF(I158="",0,I158)))</f>
        <v>0</v>
      </c>
      <c r="AE158" s="20">
        <f>IF(B158="","",IF(AD158="","Check the settings",ROUND(IF(RoundingRule="None",AD158,IF(RoundingRule="Nearest 0.99",MAX(0.99,CEILING(AD158,1)-0.01),IF(RoundingRule="Nearest 0.95",MAX(0.95,CEILING(AD158,1)-0.05),IF(RoundingRule="Nearest 0.50",CEILING(AD158,0.5),IF(RoundingRule="Nearest 1",CEILING(AD158,1),IF(RoundingRule="Nearest 5",CEILING(AD158,5),IF(RoundingRule="Up to whole 1",CEILING(AD158,1),IF(RoundingRule="Up to whole 5",CEILING(AD158,5),ROUND(AD158,2))))))))),2)))</f>
        <v>0</v>
      </c>
      <c r="AF158" s="20">
        <f>IF(B158="","",IF(K158&lt;&gt;"",K158,IF(ISNUMBER(AE158),AE158,"")))</f>
        <v>0</v>
      </c>
      <c r="AG158" s="20">
        <f>IF(B158="","",IF(OR(AF158="",S158=""),"",ROUND(AF158-S158,2)))</f>
        <v>0</v>
      </c>
      <c r="AH158" s="20">
        <f>IF(B158="","",IF(AF158="","",ROUND(AF158*AA158+AB158,2)))</f>
        <v>0</v>
      </c>
      <c r="AI158" s="20">
        <f>IF(B158="","",IF(AF158="","",ROUND(AF158-Z158-AH158,2)))</f>
        <v>0</v>
      </c>
      <c r="AJ158" s="33">
        <f>IF(B158="","",IF(OR(AF158="",AF158=0),"",AI158/AF158))</f>
        <v>0</v>
      </c>
      <c r="AK158" s="20">
        <f>IF(B158="","",IF(OR(X158=0,X158="",AI158=""),"",ROUND((AI158+Y158)/(X158/60),2)))</f>
        <v>0</v>
      </c>
      <c r="AL158" s="43">
        <f>IF(B158="","",IF(N158="Not found","Check - no such product ID",IF(AF158="","Check - no price yet",IF(AI158&lt;0,"Loss - this version costs you money",IF(AND(AK158&lt;&gt;"",AK158&lt;MinimumWage),"Below - pays under minimum wage",IF(AND(G158&gt;0,AG158&lt;=0),"Check - extra work, no extra charge",IF(AJ158&lt;MarginWarning,"Low margin - re-price it","OK")))))))</f>
        <v>0</v>
      </c>
    </row>
    <row r="159" spans="1:38">
      <c r="A159" s="38">
        <f>IF(C159="","",VariationPrefix&amp;TEXT(ROW()-4,"0000"))</f>
        <v>0</v>
      </c>
      <c r="N159" s="13">
        <f>IF(B159="","",IFERROR(INDEX(Products!$B$5:$B$304,MATCH(B159,Products!$A$5:$A$304,0)),"Not found"))</f>
        <v>0</v>
      </c>
      <c r="O159" s="20">
        <f>IF(B159="","",IFERROR(INDEX(Products!$T$5:$T$304,MATCH(B159,Products!$A$5:$A$304,0)),""))</f>
        <v>0</v>
      </c>
      <c r="P159" s="20">
        <f>IF(B159="","",IFERROR(INDEX(Products!$Z$5:$Z$304,MATCH(B159,Products!$A$5:$A$304,0)),""))</f>
        <v>0</v>
      </c>
      <c r="Q159" s="20">
        <f>IF(B159="","",IFERROR(INDEX(Products!$AH$5:$AH$304,MATCH(B159,Products!$A$5:$A$304,0))-INDEX(Products!$T$5:$T$304,MATCH(B159,Products!$A$5:$A$304,0))-INDEX(Products!$Z$5:$Z$304,MATCH(B159,Products!$A$5:$A$304,0)),0))</f>
        <v>0</v>
      </c>
      <c r="R159" s="36">
        <f>IF(B159="","",IFERROR(INDEX(Products!$X$5:$X$304,MATCH(B159,Products!$A$5:$A$304,0)),""))</f>
        <v>0</v>
      </c>
      <c r="S159" s="20">
        <f>IF(B159="","",IFERROR(INDEX(Products!$AR$5:$AR$304,MATCH(B159,Products!$A$5:$A$304,0)),""))</f>
        <v>0</v>
      </c>
      <c r="T159" s="41">
        <f>IF(B159="","",IFERROR(INDEX(SizeMaterialFactors,MATCH(E159,SizeNames,0)),1))</f>
        <v>0</v>
      </c>
      <c r="U159" s="41">
        <f>IF(B159="","",IFERROR(INDEX(SizeTimeFactors,MATCH(E159,SizeNames,0)),1))</f>
        <v>0</v>
      </c>
      <c r="V159" s="33">
        <f>IF(B159="","",IFERROR(INDEX(RushFactors,MATCH(H159,RushNames,0)),0))</f>
        <v>0</v>
      </c>
      <c r="W159" s="20">
        <f>IF(B159="","",ROUND(IF(O159="",0,O159)*T159+IF(F159="",0,F159),2))</f>
        <v>0</v>
      </c>
      <c r="X159" s="36">
        <f>IF(B159="","",ROUND(IF(R159="",0,R159)*U159+IF(G159="",0,G159),1))</f>
        <v>0</v>
      </c>
      <c r="Y159" s="20">
        <f>IF(B159="","",ROUND(IF(P159="",0,P159)*U159+IF(G159="",0,G159)/60*LaborCostHour,2))</f>
        <v>0</v>
      </c>
      <c r="Z159" s="20">
        <f>IF(B159="","",ROUND(W159+Y159+IF(Q159="",0,Q159),2))</f>
        <v>0</v>
      </c>
      <c r="AA159" s="33">
        <f>IF(B159="","",IFERROR(INDEX(Channels!$S$5:$S$18,MATCH(IF(J159="",DefaultChannel,J159),Channels!$A$5:$A$18,0)),0))</f>
        <v>0</v>
      </c>
      <c r="AB159" s="20">
        <f>IF(B159="","",IFERROR(INDEX(Channels!$T$5:$T$18,MATCH(IF(J159="",DefaultChannel,J159),Channels!$A$5:$A$18,0)),0))</f>
        <v>0</v>
      </c>
      <c r="AC159" s="41">
        <f>IF(B159="","",1-TargetRetailMargin-AA159)</f>
        <v>0</v>
      </c>
      <c r="AD159" s="20">
        <f>IF(B159="","",IF(AC159&lt;=0,"",((Z159+AB159)/AC159)*(1+V159)+IF(I159="",0,I159)))</f>
        <v>0</v>
      </c>
      <c r="AE159" s="20">
        <f>IF(B159="","",IF(AD159="","Check the settings",ROUND(IF(RoundingRule="None",AD159,IF(RoundingRule="Nearest 0.99",MAX(0.99,CEILING(AD159,1)-0.01),IF(RoundingRule="Nearest 0.95",MAX(0.95,CEILING(AD159,1)-0.05),IF(RoundingRule="Nearest 0.50",CEILING(AD159,0.5),IF(RoundingRule="Nearest 1",CEILING(AD159,1),IF(RoundingRule="Nearest 5",CEILING(AD159,5),IF(RoundingRule="Up to whole 1",CEILING(AD159,1),IF(RoundingRule="Up to whole 5",CEILING(AD159,5),ROUND(AD159,2))))))))),2)))</f>
        <v>0</v>
      </c>
      <c r="AF159" s="20">
        <f>IF(B159="","",IF(K159&lt;&gt;"",K159,IF(ISNUMBER(AE159),AE159,"")))</f>
        <v>0</v>
      </c>
      <c r="AG159" s="20">
        <f>IF(B159="","",IF(OR(AF159="",S159=""),"",ROUND(AF159-S159,2)))</f>
        <v>0</v>
      </c>
      <c r="AH159" s="20">
        <f>IF(B159="","",IF(AF159="","",ROUND(AF159*AA159+AB159,2)))</f>
        <v>0</v>
      </c>
      <c r="AI159" s="20">
        <f>IF(B159="","",IF(AF159="","",ROUND(AF159-Z159-AH159,2)))</f>
        <v>0</v>
      </c>
      <c r="AJ159" s="33">
        <f>IF(B159="","",IF(OR(AF159="",AF159=0),"",AI159/AF159))</f>
        <v>0</v>
      </c>
      <c r="AK159" s="20">
        <f>IF(B159="","",IF(OR(X159=0,X159="",AI159=""),"",ROUND((AI159+Y159)/(X159/60),2)))</f>
        <v>0</v>
      </c>
      <c r="AL159" s="43">
        <f>IF(B159="","",IF(N159="Not found","Check - no such product ID",IF(AF159="","Check - no price yet",IF(AI159&lt;0,"Loss - this version costs you money",IF(AND(AK159&lt;&gt;"",AK159&lt;MinimumWage),"Below - pays under minimum wage",IF(AND(G159&gt;0,AG159&lt;=0),"Check - extra work, no extra charge",IF(AJ159&lt;MarginWarning,"Low margin - re-price it","OK")))))))</f>
        <v>0</v>
      </c>
    </row>
    <row r="160" spans="1:38">
      <c r="A160" s="38">
        <f>IF(C160="","",VariationPrefix&amp;TEXT(ROW()-4,"0000"))</f>
        <v>0</v>
      </c>
      <c r="N160" s="13">
        <f>IF(B160="","",IFERROR(INDEX(Products!$B$5:$B$304,MATCH(B160,Products!$A$5:$A$304,0)),"Not found"))</f>
        <v>0</v>
      </c>
      <c r="O160" s="20">
        <f>IF(B160="","",IFERROR(INDEX(Products!$T$5:$T$304,MATCH(B160,Products!$A$5:$A$304,0)),""))</f>
        <v>0</v>
      </c>
      <c r="P160" s="20">
        <f>IF(B160="","",IFERROR(INDEX(Products!$Z$5:$Z$304,MATCH(B160,Products!$A$5:$A$304,0)),""))</f>
        <v>0</v>
      </c>
      <c r="Q160" s="20">
        <f>IF(B160="","",IFERROR(INDEX(Products!$AH$5:$AH$304,MATCH(B160,Products!$A$5:$A$304,0))-INDEX(Products!$T$5:$T$304,MATCH(B160,Products!$A$5:$A$304,0))-INDEX(Products!$Z$5:$Z$304,MATCH(B160,Products!$A$5:$A$304,0)),0))</f>
        <v>0</v>
      </c>
      <c r="R160" s="36">
        <f>IF(B160="","",IFERROR(INDEX(Products!$X$5:$X$304,MATCH(B160,Products!$A$5:$A$304,0)),""))</f>
        <v>0</v>
      </c>
      <c r="S160" s="20">
        <f>IF(B160="","",IFERROR(INDEX(Products!$AR$5:$AR$304,MATCH(B160,Products!$A$5:$A$304,0)),""))</f>
        <v>0</v>
      </c>
      <c r="T160" s="41">
        <f>IF(B160="","",IFERROR(INDEX(SizeMaterialFactors,MATCH(E160,SizeNames,0)),1))</f>
        <v>0</v>
      </c>
      <c r="U160" s="41">
        <f>IF(B160="","",IFERROR(INDEX(SizeTimeFactors,MATCH(E160,SizeNames,0)),1))</f>
        <v>0</v>
      </c>
      <c r="V160" s="33">
        <f>IF(B160="","",IFERROR(INDEX(RushFactors,MATCH(H160,RushNames,0)),0))</f>
        <v>0</v>
      </c>
      <c r="W160" s="20">
        <f>IF(B160="","",ROUND(IF(O160="",0,O160)*T160+IF(F160="",0,F160),2))</f>
        <v>0</v>
      </c>
      <c r="X160" s="36">
        <f>IF(B160="","",ROUND(IF(R160="",0,R160)*U160+IF(G160="",0,G160),1))</f>
        <v>0</v>
      </c>
      <c r="Y160" s="20">
        <f>IF(B160="","",ROUND(IF(P160="",0,P160)*U160+IF(G160="",0,G160)/60*LaborCostHour,2))</f>
        <v>0</v>
      </c>
      <c r="Z160" s="20">
        <f>IF(B160="","",ROUND(W160+Y160+IF(Q160="",0,Q160),2))</f>
        <v>0</v>
      </c>
      <c r="AA160" s="33">
        <f>IF(B160="","",IFERROR(INDEX(Channels!$S$5:$S$18,MATCH(IF(J160="",DefaultChannel,J160),Channels!$A$5:$A$18,0)),0))</f>
        <v>0</v>
      </c>
      <c r="AB160" s="20">
        <f>IF(B160="","",IFERROR(INDEX(Channels!$T$5:$T$18,MATCH(IF(J160="",DefaultChannel,J160),Channels!$A$5:$A$18,0)),0))</f>
        <v>0</v>
      </c>
      <c r="AC160" s="41">
        <f>IF(B160="","",1-TargetRetailMargin-AA160)</f>
        <v>0</v>
      </c>
      <c r="AD160" s="20">
        <f>IF(B160="","",IF(AC160&lt;=0,"",((Z160+AB160)/AC160)*(1+V160)+IF(I160="",0,I160)))</f>
        <v>0</v>
      </c>
      <c r="AE160" s="20">
        <f>IF(B160="","",IF(AD160="","Check the settings",ROUND(IF(RoundingRule="None",AD160,IF(RoundingRule="Nearest 0.99",MAX(0.99,CEILING(AD160,1)-0.01),IF(RoundingRule="Nearest 0.95",MAX(0.95,CEILING(AD160,1)-0.05),IF(RoundingRule="Nearest 0.50",CEILING(AD160,0.5),IF(RoundingRule="Nearest 1",CEILING(AD160,1),IF(RoundingRule="Nearest 5",CEILING(AD160,5),IF(RoundingRule="Up to whole 1",CEILING(AD160,1),IF(RoundingRule="Up to whole 5",CEILING(AD160,5),ROUND(AD160,2))))))))),2)))</f>
        <v>0</v>
      </c>
      <c r="AF160" s="20">
        <f>IF(B160="","",IF(K160&lt;&gt;"",K160,IF(ISNUMBER(AE160),AE160,"")))</f>
        <v>0</v>
      </c>
      <c r="AG160" s="20">
        <f>IF(B160="","",IF(OR(AF160="",S160=""),"",ROUND(AF160-S160,2)))</f>
        <v>0</v>
      </c>
      <c r="AH160" s="20">
        <f>IF(B160="","",IF(AF160="","",ROUND(AF160*AA160+AB160,2)))</f>
        <v>0</v>
      </c>
      <c r="AI160" s="20">
        <f>IF(B160="","",IF(AF160="","",ROUND(AF160-Z160-AH160,2)))</f>
        <v>0</v>
      </c>
      <c r="AJ160" s="33">
        <f>IF(B160="","",IF(OR(AF160="",AF160=0),"",AI160/AF160))</f>
        <v>0</v>
      </c>
      <c r="AK160" s="20">
        <f>IF(B160="","",IF(OR(X160=0,X160="",AI160=""),"",ROUND((AI160+Y160)/(X160/60),2)))</f>
        <v>0</v>
      </c>
      <c r="AL160" s="43">
        <f>IF(B160="","",IF(N160="Not found","Check - no such product ID",IF(AF160="","Check - no price yet",IF(AI160&lt;0,"Loss - this version costs you money",IF(AND(AK160&lt;&gt;"",AK160&lt;MinimumWage),"Below - pays under minimum wage",IF(AND(G160&gt;0,AG160&lt;=0),"Check - extra work, no extra charge",IF(AJ160&lt;MarginWarning,"Low margin - re-price it","OK")))))))</f>
        <v>0</v>
      </c>
    </row>
    <row r="161" spans="1:38">
      <c r="A161" s="38">
        <f>IF(C161="","",VariationPrefix&amp;TEXT(ROW()-4,"0000"))</f>
        <v>0</v>
      </c>
      <c r="N161" s="13">
        <f>IF(B161="","",IFERROR(INDEX(Products!$B$5:$B$304,MATCH(B161,Products!$A$5:$A$304,0)),"Not found"))</f>
        <v>0</v>
      </c>
      <c r="O161" s="20">
        <f>IF(B161="","",IFERROR(INDEX(Products!$T$5:$T$304,MATCH(B161,Products!$A$5:$A$304,0)),""))</f>
        <v>0</v>
      </c>
      <c r="P161" s="20">
        <f>IF(B161="","",IFERROR(INDEX(Products!$Z$5:$Z$304,MATCH(B161,Products!$A$5:$A$304,0)),""))</f>
        <v>0</v>
      </c>
      <c r="Q161" s="20">
        <f>IF(B161="","",IFERROR(INDEX(Products!$AH$5:$AH$304,MATCH(B161,Products!$A$5:$A$304,0))-INDEX(Products!$T$5:$T$304,MATCH(B161,Products!$A$5:$A$304,0))-INDEX(Products!$Z$5:$Z$304,MATCH(B161,Products!$A$5:$A$304,0)),0))</f>
        <v>0</v>
      </c>
      <c r="R161" s="36">
        <f>IF(B161="","",IFERROR(INDEX(Products!$X$5:$X$304,MATCH(B161,Products!$A$5:$A$304,0)),""))</f>
        <v>0</v>
      </c>
      <c r="S161" s="20">
        <f>IF(B161="","",IFERROR(INDEX(Products!$AR$5:$AR$304,MATCH(B161,Products!$A$5:$A$304,0)),""))</f>
        <v>0</v>
      </c>
      <c r="T161" s="41">
        <f>IF(B161="","",IFERROR(INDEX(SizeMaterialFactors,MATCH(E161,SizeNames,0)),1))</f>
        <v>0</v>
      </c>
      <c r="U161" s="41">
        <f>IF(B161="","",IFERROR(INDEX(SizeTimeFactors,MATCH(E161,SizeNames,0)),1))</f>
        <v>0</v>
      </c>
      <c r="V161" s="33">
        <f>IF(B161="","",IFERROR(INDEX(RushFactors,MATCH(H161,RushNames,0)),0))</f>
        <v>0</v>
      </c>
      <c r="W161" s="20">
        <f>IF(B161="","",ROUND(IF(O161="",0,O161)*T161+IF(F161="",0,F161),2))</f>
        <v>0</v>
      </c>
      <c r="X161" s="36">
        <f>IF(B161="","",ROUND(IF(R161="",0,R161)*U161+IF(G161="",0,G161),1))</f>
        <v>0</v>
      </c>
      <c r="Y161" s="20">
        <f>IF(B161="","",ROUND(IF(P161="",0,P161)*U161+IF(G161="",0,G161)/60*LaborCostHour,2))</f>
        <v>0</v>
      </c>
      <c r="Z161" s="20">
        <f>IF(B161="","",ROUND(W161+Y161+IF(Q161="",0,Q161),2))</f>
        <v>0</v>
      </c>
      <c r="AA161" s="33">
        <f>IF(B161="","",IFERROR(INDEX(Channels!$S$5:$S$18,MATCH(IF(J161="",DefaultChannel,J161),Channels!$A$5:$A$18,0)),0))</f>
        <v>0</v>
      </c>
      <c r="AB161" s="20">
        <f>IF(B161="","",IFERROR(INDEX(Channels!$T$5:$T$18,MATCH(IF(J161="",DefaultChannel,J161),Channels!$A$5:$A$18,0)),0))</f>
        <v>0</v>
      </c>
      <c r="AC161" s="41">
        <f>IF(B161="","",1-TargetRetailMargin-AA161)</f>
        <v>0</v>
      </c>
      <c r="AD161" s="20">
        <f>IF(B161="","",IF(AC161&lt;=0,"",((Z161+AB161)/AC161)*(1+V161)+IF(I161="",0,I161)))</f>
        <v>0</v>
      </c>
      <c r="AE161" s="20">
        <f>IF(B161="","",IF(AD161="","Check the settings",ROUND(IF(RoundingRule="None",AD161,IF(RoundingRule="Nearest 0.99",MAX(0.99,CEILING(AD161,1)-0.01),IF(RoundingRule="Nearest 0.95",MAX(0.95,CEILING(AD161,1)-0.05),IF(RoundingRule="Nearest 0.50",CEILING(AD161,0.5),IF(RoundingRule="Nearest 1",CEILING(AD161,1),IF(RoundingRule="Nearest 5",CEILING(AD161,5),IF(RoundingRule="Up to whole 1",CEILING(AD161,1),IF(RoundingRule="Up to whole 5",CEILING(AD161,5),ROUND(AD161,2))))))))),2)))</f>
        <v>0</v>
      </c>
      <c r="AF161" s="20">
        <f>IF(B161="","",IF(K161&lt;&gt;"",K161,IF(ISNUMBER(AE161),AE161,"")))</f>
        <v>0</v>
      </c>
      <c r="AG161" s="20">
        <f>IF(B161="","",IF(OR(AF161="",S161=""),"",ROUND(AF161-S161,2)))</f>
        <v>0</v>
      </c>
      <c r="AH161" s="20">
        <f>IF(B161="","",IF(AF161="","",ROUND(AF161*AA161+AB161,2)))</f>
        <v>0</v>
      </c>
      <c r="AI161" s="20">
        <f>IF(B161="","",IF(AF161="","",ROUND(AF161-Z161-AH161,2)))</f>
        <v>0</v>
      </c>
      <c r="AJ161" s="33">
        <f>IF(B161="","",IF(OR(AF161="",AF161=0),"",AI161/AF161))</f>
        <v>0</v>
      </c>
      <c r="AK161" s="20">
        <f>IF(B161="","",IF(OR(X161=0,X161="",AI161=""),"",ROUND((AI161+Y161)/(X161/60),2)))</f>
        <v>0</v>
      </c>
      <c r="AL161" s="43">
        <f>IF(B161="","",IF(N161="Not found","Check - no such product ID",IF(AF161="","Check - no price yet",IF(AI161&lt;0,"Loss - this version costs you money",IF(AND(AK161&lt;&gt;"",AK161&lt;MinimumWage),"Below - pays under minimum wage",IF(AND(G161&gt;0,AG161&lt;=0),"Check - extra work, no extra charge",IF(AJ161&lt;MarginWarning,"Low margin - re-price it","OK")))))))</f>
        <v>0</v>
      </c>
    </row>
    <row r="162" spans="1:38">
      <c r="A162" s="38">
        <f>IF(C162="","",VariationPrefix&amp;TEXT(ROW()-4,"0000"))</f>
        <v>0</v>
      </c>
      <c r="N162" s="13">
        <f>IF(B162="","",IFERROR(INDEX(Products!$B$5:$B$304,MATCH(B162,Products!$A$5:$A$304,0)),"Not found"))</f>
        <v>0</v>
      </c>
      <c r="O162" s="20">
        <f>IF(B162="","",IFERROR(INDEX(Products!$T$5:$T$304,MATCH(B162,Products!$A$5:$A$304,0)),""))</f>
        <v>0</v>
      </c>
      <c r="P162" s="20">
        <f>IF(B162="","",IFERROR(INDEX(Products!$Z$5:$Z$304,MATCH(B162,Products!$A$5:$A$304,0)),""))</f>
        <v>0</v>
      </c>
      <c r="Q162" s="20">
        <f>IF(B162="","",IFERROR(INDEX(Products!$AH$5:$AH$304,MATCH(B162,Products!$A$5:$A$304,0))-INDEX(Products!$T$5:$T$304,MATCH(B162,Products!$A$5:$A$304,0))-INDEX(Products!$Z$5:$Z$304,MATCH(B162,Products!$A$5:$A$304,0)),0))</f>
        <v>0</v>
      </c>
      <c r="R162" s="36">
        <f>IF(B162="","",IFERROR(INDEX(Products!$X$5:$X$304,MATCH(B162,Products!$A$5:$A$304,0)),""))</f>
        <v>0</v>
      </c>
      <c r="S162" s="20">
        <f>IF(B162="","",IFERROR(INDEX(Products!$AR$5:$AR$304,MATCH(B162,Products!$A$5:$A$304,0)),""))</f>
        <v>0</v>
      </c>
      <c r="T162" s="41">
        <f>IF(B162="","",IFERROR(INDEX(SizeMaterialFactors,MATCH(E162,SizeNames,0)),1))</f>
        <v>0</v>
      </c>
      <c r="U162" s="41">
        <f>IF(B162="","",IFERROR(INDEX(SizeTimeFactors,MATCH(E162,SizeNames,0)),1))</f>
        <v>0</v>
      </c>
      <c r="V162" s="33">
        <f>IF(B162="","",IFERROR(INDEX(RushFactors,MATCH(H162,RushNames,0)),0))</f>
        <v>0</v>
      </c>
      <c r="W162" s="20">
        <f>IF(B162="","",ROUND(IF(O162="",0,O162)*T162+IF(F162="",0,F162),2))</f>
        <v>0</v>
      </c>
      <c r="X162" s="36">
        <f>IF(B162="","",ROUND(IF(R162="",0,R162)*U162+IF(G162="",0,G162),1))</f>
        <v>0</v>
      </c>
      <c r="Y162" s="20">
        <f>IF(B162="","",ROUND(IF(P162="",0,P162)*U162+IF(G162="",0,G162)/60*LaborCostHour,2))</f>
        <v>0</v>
      </c>
      <c r="Z162" s="20">
        <f>IF(B162="","",ROUND(W162+Y162+IF(Q162="",0,Q162),2))</f>
        <v>0</v>
      </c>
      <c r="AA162" s="33">
        <f>IF(B162="","",IFERROR(INDEX(Channels!$S$5:$S$18,MATCH(IF(J162="",DefaultChannel,J162),Channels!$A$5:$A$18,0)),0))</f>
        <v>0</v>
      </c>
      <c r="AB162" s="20">
        <f>IF(B162="","",IFERROR(INDEX(Channels!$T$5:$T$18,MATCH(IF(J162="",DefaultChannel,J162),Channels!$A$5:$A$18,0)),0))</f>
        <v>0</v>
      </c>
      <c r="AC162" s="41">
        <f>IF(B162="","",1-TargetRetailMargin-AA162)</f>
        <v>0</v>
      </c>
      <c r="AD162" s="20">
        <f>IF(B162="","",IF(AC162&lt;=0,"",((Z162+AB162)/AC162)*(1+V162)+IF(I162="",0,I162)))</f>
        <v>0</v>
      </c>
      <c r="AE162" s="20">
        <f>IF(B162="","",IF(AD162="","Check the settings",ROUND(IF(RoundingRule="None",AD162,IF(RoundingRule="Nearest 0.99",MAX(0.99,CEILING(AD162,1)-0.01),IF(RoundingRule="Nearest 0.95",MAX(0.95,CEILING(AD162,1)-0.05),IF(RoundingRule="Nearest 0.50",CEILING(AD162,0.5),IF(RoundingRule="Nearest 1",CEILING(AD162,1),IF(RoundingRule="Nearest 5",CEILING(AD162,5),IF(RoundingRule="Up to whole 1",CEILING(AD162,1),IF(RoundingRule="Up to whole 5",CEILING(AD162,5),ROUND(AD162,2))))))))),2)))</f>
        <v>0</v>
      </c>
      <c r="AF162" s="20">
        <f>IF(B162="","",IF(K162&lt;&gt;"",K162,IF(ISNUMBER(AE162),AE162,"")))</f>
        <v>0</v>
      </c>
      <c r="AG162" s="20">
        <f>IF(B162="","",IF(OR(AF162="",S162=""),"",ROUND(AF162-S162,2)))</f>
        <v>0</v>
      </c>
      <c r="AH162" s="20">
        <f>IF(B162="","",IF(AF162="","",ROUND(AF162*AA162+AB162,2)))</f>
        <v>0</v>
      </c>
      <c r="AI162" s="20">
        <f>IF(B162="","",IF(AF162="","",ROUND(AF162-Z162-AH162,2)))</f>
        <v>0</v>
      </c>
      <c r="AJ162" s="33">
        <f>IF(B162="","",IF(OR(AF162="",AF162=0),"",AI162/AF162))</f>
        <v>0</v>
      </c>
      <c r="AK162" s="20">
        <f>IF(B162="","",IF(OR(X162=0,X162="",AI162=""),"",ROUND((AI162+Y162)/(X162/60),2)))</f>
        <v>0</v>
      </c>
      <c r="AL162" s="43">
        <f>IF(B162="","",IF(N162="Not found","Check - no such product ID",IF(AF162="","Check - no price yet",IF(AI162&lt;0,"Loss - this version costs you money",IF(AND(AK162&lt;&gt;"",AK162&lt;MinimumWage),"Below - pays under minimum wage",IF(AND(G162&gt;0,AG162&lt;=0),"Check - extra work, no extra charge",IF(AJ162&lt;MarginWarning,"Low margin - re-price it","OK")))))))</f>
        <v>0</v>
      </c>
    </row>
    <row r="163" spans="1:38">
      <c r="A163" s="38">
        <f>IF(C163="","",VariationPrefix&amp;TEXT(ROW()-4,"0000"))</f>
        <v>0</v>
      </c>
      <c r="N163" s="13">
        <f>IF(B163="","",IFERROR(INDEX(Products!$B$5:$B$304,MATCH(B163,Products!$A$5:$A$304,0)),"Not found"))</f>
        <v>0</v>
      </c>
      <c r="O163" s="20">
        <f>IF(B163="","",IFERROR(INDEX(Products!$T$5:$T$304,MATCH(B163,Products!$A$5:$A$304,0)),""))</f>
        <v>0</v>
      </c>
      <c r="P163" s="20">
        <f>IF(B163="","",IFERROR(INDEX(Products!$Z$5:$Z$304,MATCH(B163,Products!$A$5:$A$304,0)),""))</f>
        <v>0</v>
      </c>
      <c r="Q163" s="20">
        <f>IF(B163="","",IFERROR(INDEX(Products!$AH$5:$AH$304,MATCH(B163,Products!$A$5:$A$304,0))-INDEX(Products!$T$5:$T$304,MATCH(B163,Products!$A$5:$A$304,0))-INDEX(Products!$Z$5:$Z$304,MATCH(B163,Products!$A$5:$A$304,0)),0))</f>
        <v>0</v>
      </c>
      <c r="R163" s="36">
        <f>IF(B163="","",IFERROR(INDEX(Products!$X$5:$X$304,MATCH(B163,Products!$A$5:$A$304,0)),""))</f>
        <v>0</v>
      </c>
      <c r="S163" s="20">
        <f>IF(B163="","",IFERROR(INDEX(Products!$AR$5:$AR$304,MATCH(B163,Products!$A$5:$A$304,0)),""))</f>
        <v>0</v>
      </c>
      <c r="T163" s="41">
        <f>IF(B163="","",IFERROR(INDEX(SizeMaterialFactors,MATCH(E163,SizeNames,0)),1))</f>
        <v>0</v>
      </c>
      <c r="U163" s="41">
        <f>IF(B163="","",IFERROR(INDEX(SizeTimeFactors,MATCH(E163,SizeNames,0)),1))</f>
        <v>0</v>
      </c>
      <c r="V163" s="33">
        <f>IF(B163="","",IFERROR(INDEX(RushFactors,MATCH(H163,RushNames,0)),0))</f>
        <v>0</v>
      </c>
      <c r="W163" s="20">
        <f>IF(B163="","",ROUND(IF(O163="",0,O163)*T163+IF(F163="",0,F163),2))</f>
        <v>0</v>
      </c>
      <c r="X163" s="36">
        <f>IF(B163="","",ROUND(IF(R163="",0,R163)*U163+IF(G163="",0,G163),1))</f>
        <v>0</v>
      </c>
      <c r="Y163" s="20">
        <f>IF(B163="","",ROUND(IF(P163="",0,P163)*U163+IF(G163="",0,G163)/60*LaborCostHour,2))</f>
        <v>0</v>
      </c>
      <c r="Z163" s="20">
        <f>IF(B163="","",ROUND(W163+Y163+IF(Q163="",0,Q163),2))</f>
        <v>0</v>
      </c>
      <c r="AA163" s="33">
        <f>IF(B163="","",IFERROR(INDEX(Channels!$S$5:$S$18,MATCH(IF(J163="",DefaultChannel,J163),Channels!$A$5:$A$18,0)),0))</f>
        <v>0</v>
      </c>
      <c r="AB163" s="20">
        <f>IF(B163="","",IFERROR(INDEX(Channels!$T$5:$T$18,MATCH(IF(J163="",DefaultChannel,J163),Channels!$A$5:$A$18,0)),0))</f>
        <v>0</v>
      </c>
      <c r="AC163" s="41">
        <f>IF(B163="","",1-TargetRetailMargin-AA163)</f>
        <v>0</v>
      </c>
      <c r="AD163" s="20">
        <f>IF(B163="","",IF(AC163&lt;=0,"",((Z163+AB163)/AC163)*(1+V163)+IF(I163="",0,I163)))</f>
        <v>0</v>
      </c>
      <c r="AE163" s="20">
        <f>IF(B163="","",IF(AD163="","Check the settings",ROUND(IF(RoundingRule="None",AD163,IF(RoundingRule="Nearest 0.99",MAX(0.99,CEILING(AD163,1)-0.01),IF(RoundingRule="Nearest 0.95",MAX(0.95,CEILING(AD163,1)-0.05),IF(RoundingRule="Nearest 0.50",CEILING(AD163,0.5),IF(RoundingRule="Nearest 1",CEILING(AD163,1),IF(RoundingRule="Nearest 5",CEILING(AD163,5),IF(RoundingRule="Up to whole 1",CEILING(AD163,1),IF(RoundingRule="Up to whole 5",CEILING(AD163,5),ROUND(AD163,2))))))))),2)))</f>
        <v>0</v>
      </c>
      <c r="AF163" s="20">
        <f>IF(B163="","",IF(K163&lt;&gt;"",K163,IF(ISNUMBER(AE163),AE163,"")))</f>
        <v>0</v>
      </c>
      <c r="AG163" s="20">
        <f>IF(B163="","",IF(OR(AF163="",S163=""),"",ROUND(AF163-S163,2)))</f>
        <v>0</v>
      </c>
      <c r="AH163" s="20">
        <f>IF(B163="","",IF(AF163="","",ROUND(AF163*AA163+AB163,2)))</f>
        <v>0</v>
      </c>
      <c r="AI163" s="20">
        <f>IF(B163="","",IF(AF163="","",ROUND(AF163-Z163-AH163,2)))</f>
        <v>0</v>
      </c>
      <c r="AJ163" s="33">
        <f>IF(B163="","",IF(OR(AF163="",AF163=0),"",AI163/AF163))</f>
        <v>0</v>
      </c>
      <c r="AK163" s="20">
        <f>IF(B163="","",IF(OR(X163=0,X163="",AI163=""),"",ROUND((AI163+Y163)/(X163/60),2)))</f>
        <v>0</v>
      </c>
      <c r="AL163" s="43">
        <f>IF(B163="","",IF(N163="Not found","Check - no such product ID",IF(AF163="","Check - no price yet",IF(AI163&lt;0,"Loss - this version costs you money",IF(AND(AK163&lt;&gt;"",AK163&lt;MinimumWage),"Below - pays under minimum wage",IF(AND(G163&gt;0,AG163&lt;=0),"Check - extra work, no extra charge",IF(AJ163&lt;MarginWarning,"Low margin - re-price it","OK")))))))</f>
        <v>0</v>
      </c>
    </row>
    <row r="164" spans="1:38">
      <c r="A164" s="38">
        <f>IF(C164="","",VariationPrefix&amp;TEXT(ROW()-4,"0000"))</f>
        <v>0</v>
      </c>
      <c r="N164" s="13">
        <f>IF(B164="","",IFERROR(INDEX(Products!$B$5:$B$304,MATCH(B164,Products!$A$5:$A$304,0)),"Not found"))</f>
        <v>0</v>
      </c>
      <c r="O164" s="20">
        <f>IF(B164="","",IFERROR(INDEX(Products!$T$5:$T$304,MATCH(B164,Products!$A$5:$A$304,0)),""))</f>
        <v>0</v>
      </c>
      <c r="P164" s="20">
        <f>IF(B164="","",IFERROR(INDEX(Products!$Z$5:$Z$304,MATCH(B164,Products!$A$5:$A$304,0)),""))</f>
        <v>0</v>
      </c>
      <c r="Q164" s="20">
        <f>IF(B164="","",IFERROR(INDEX(Products!$AH$5:$AH$304,MATCH(B164,Products!$A$5:$A$304,0))-INDEX(Products!$T$5:$T$304,MATCH(B164,Products!$A$5:$A$304,0))-INDEX(Products!$Z$5:$Z$304,MATCH(B164,Products!$A$5:$A$304,0)),0))</f>
        <v>0</v>
      </c>
      <c r="R164" s="36">
        <f>IF(B164="","",IFERROR(INDEX(Products!$X$5:$X$304,MATCH(B164,Products!$A$5:$A$304,0)),""))</f>
        <v>0</v>
      </c>
      <c r="S164" s="20">
        <f>IF(B164="","",IFERROR(INDEX(Products!$AR$5:$AR$304,MATCH(B164,Products!$A$5:$A$304,0)),""))</f>
        <v>0</v>
      </c>
      <c r="T164" s="41">
        <f>IF(B164="","",IFERROR(INDEX(SizeMaterialFactors,MATCH(E164,SizeNames,0)),1))</f>
        <v>0</v>
      </c>
      <c r="U164" s="41">
        <f>IF(B164="","",IFERROR(INDEX(SizeTimeFactors,MATCH(E164,SizeNames,0)),1))</f>
        <v>0</v>
      </c>
      <c r="V164" s="33">
        <f>IF(B164="","",IFERROR(INDEX(RushFactors,MATCH(H164,RushNames,0)),0))</f>
        <v>0</v>
      </c>
      <c r="W164" s="20">
        <f>IF(B164="","",ROUND(IF(O164="",0,O164)*T164+IF(F164="",0,F164),2))</f>
        <v>0</v>
      </c>
      <c r="X164" s="36">
        <f>IF(B164="","",ROUND(IF(R164="",0,R164)*U164+IF(G164="",0,G164),1))</f>
        <v>0</v>
      </c>
      <c r="Y164" s="20">
        <f>IF(B164="","",ROUND(IF(P164="",0,P164)*U164+IF(G164="",0,G164)/60*LaborCostHour,2))</f>
        <v>0</v>
      </c>
      <c r="Z164" s="20">
        <f>IF(B164="","",ROUND(W164+Y164+IF(Q164="",0,Q164),2))</f>
        <v>0</v>
      </c>
      <c r="AA164" s="33">
        <f>IF(B164="","",IFERROR(INDEX(Channels!$S$5:$S$18,MATCH(IF(J164="",DefaultChannel,J164),Channels!$A$5:$A$18,0)),0))</f>
        <v>0</v>
      </c>
      <c r="AB164" s="20">
        <f>IF(B164="","",IFERROR(INDEX(Channels!$T$5:$T$18,MATCH(IF(J164="",DefaultChannel,J164),Channels!$A$5:$A$18,0)),0))</f>
        <v>0</v>
      </c>
      <c r="AC164" s="41">
        <f>IF(B164="","",1-TargetRetailMargin-AA164)</f>
        <v>0</v>
      </c>
      <c r="AD164" s="20">
        <f>IF(B164="","",IF(AC164&lt;=0,"",((Z164+AB164)/AC164)*(1+V164)+IF(I164="",0,I164)))</f>
        <v>0</v>
      </c>
      <c r="AE164" s="20">
        <f>IF(B164="","",IF(AD164="","Check the settings",ROUND(IF(RoundingRule="None",AD164,IF(RoundingRule="Nearest 0.99",MAX(0.99,CEILING(AD164,1)-0.01),IF(RoundingRule="Nearest 0.95",MAX(0.95,CEILING(AD164,1)-0.05),IF(RoundingRule="Nearest 0.50",CEILING(AD164,0.5),IF(RoundingRule="Nearest 1",CEILING(AD164,1),IF(RoundingRule="Nearest 5",CEILING(AD164,5),IF(RoundingRule="Up to whole 1",CEILING(AD164,1),IF(RoundingRule="Up to whole 5",CEILING(AD164,5),ROUND(AD164,2))))))))),2)))</f>
        <v>0</v>
      </c>
      <c r="AF164" s="20">
        <f>IF(B164="","",IF(K164&lt;&gt;"",K164,IF(ISNUMBER(AE164),AE164,"")))</f>
        <v>0</v>
      </c>
      <c r="AG164" s="20">
        <f>IF(B164="","",IF(OR(AF164="",S164=""),"",ROUND(AF164-S164,2)))</f>
        <v>0</v>
      </c>
      <c r="AH164" s="20">
        <f>IF(B164="","",IF(AF164="","",ROUND(AF164*AA164+AB164,2)))</f>
        <v>0</v>
      </c>
      <c r="AI164" s="20">
        <f>IF(B164="","",IF(AF164="","",ROUND(AF164-Z164-AH164,2)))</f>
        <v>0</v>
      </c>
      <c r="AJ164" s="33">
        <f>IF(B164="","",IF(OR(AF164="",AF164=0),"",AI164/AF164))</f>
        <v>0</v>
      </c>
      <c r="AK164" s="20">
        <f>IF(B164="","",IF(OR(X164=0,X164="",AI164=""),"",ROUND((AI164+Y164)/(X164/60),2)))</f>
        <v>0</v>
      </c>
      <c r="AL164" s="43">
        <f>IF(B164="","",IF(N164="Not found","Check - no such product ID",IF(AF164="","Check - no price yet",IF(AI164&lt;0,"Loss - this version costs you money",IF(AND(AK164&lt;&gt;"",AK164&lt;MinimumWage),"Below - pays under minimum wage",IF(AND(G164&gt;0,AG164&lt;=0),"Check - extra work, no extra charge",IF(AJ164&lt;MarginWarning,"Low margin - re-price it","OK")))))))</f>
        <v>0</v>
      </c>
    </row>
    <row r="165" spans="1:38">
      <c r="A165" s="38">
        <f>IF(C165="","",VariationPrefix&amp;TEXT(ROW()-4,"0000"))</f>
        <v>0</v>
      </c>
      <c r="N165" s="13">
        <f>IF(B165="","",IFERROR(INDEX(Products!$B$5:$B$304,MATCH(B165,Products!$A$5:$A$304,0)),"Not found"))</f>
        <v>0</v>
      </c>
      <c r="O165" s="20">
        <f>IF(B165="","",IFERROR(INDEX(Products!$T$5:$T$304,MATCH(B165,Products!$A$5:$A$304,0)),""))</f>
        <v>0</v>
      </c>
      <c r="P165" s="20">
        <f>IF(B165="","",IFERROR(INDEX(Products!$Z$5:$Z$304,MATCH(B165,Products!$A$5:$A$304,0)),""))</f>
        <v>0</v>
      </c>
      <c r="Q165" s="20">
        <f>IF(B165="","",IFERROR(INDEX(Products!$AH$5:$AH$304,MATCH(B165,Products!$A$5:$A$304,0))-INDEX(Products!$T$5:$T$304,MATCH(B165,Products!$A$5:$A$304,0))-INDEX(Products!$Z$5:$Z$304,MATCH(B165,Products!$A$5:$A$304,0)),0))</f>
        <v>0</v>
      </c>
      <c r="R165" s="36">
        <f>IF(B165="","",IFERROR(INDEX(Products!$X$5:$X$304,MATCH(B165,Products!$A$5:$A$304,0)),""))</f>
        <v>0</v>
      </c>
      <c r="S165" s="20">
        <f>IF(B165="","",IFERROR(INDEX(Products!$AR$5:$AR$304,MATCH(B165,Products!$A$5:$A$304,0)),""))</f>
        <v>0</v>
      </c>
      <c r="T165" s="41">
        <f>IF(B165="","",IFERROR(INDEX(SizeMaterialFactors,MATCH(E165,SizeNames,0)),1))</f>
        <v>0</v>
      </c>
      <c r="U165" s="41">
        <f>IF(B165="","",IFERROR(INDEX(SizeTimeFactors,MATCH(E165,SizeNames,0)),1))</f>
        <v>0</v>
      </c>
      <c r="V165" s="33">
        <f>IF(B165="","",IFERROR(INDEX(RushFactors,MATCH(H165,RushNames,0)),0))</f>
        <v>0</v>
      </c>
      <c r="W165" s="20">
        <f>IF(B165="","",ROUND(IF(O165="",0,O165)*T165+IF(F165="",0,F165),2))</f>
        <v>0</v>
      </c>
      <c r="X165" s="36">
        <f>IF(B165="","",ROUND(IF(R165="",0,R165)*U165+IF(G165="",0,G165),1))</f>
        <v>0</v>
      </c>
      <c r="Y165" s="20">
        <f>IF(B165="","",ROUND(IF(P165="",0,P165)*U165+IF(G165="",0,G165)/60*LaborCostHour,2))</f>
        <v>0</v>
      </c>
      <c r="Z165" s="20">
        <f>IF(B165="","",ROUND(W165+Y165+IF(Q165="",0,Q165),2))</f>
        <v>0</v>
      </c>
      <c r="AA165" s="33">
        <f>IF(B165="","",IFERROR(INDEX(Channels!$S$5:$S$18,MATCH(IF(J165="",DefaultChannel,J165),Channels!$A$5:$A$18,0)),0))</f>
        <v>0</v>
      </c>
      <c r="AB165" s="20">
        <f>IF(B165="","",IFERROR(INDEX(Channels!$T$5:$T$18,MATCH(IF(J165="",DefaultChannel,J165),Channels!$A$5:$A$18,0)),0))</f>
        <v>0</v>
      </c>
      <c r="AC165" s="41">
        <f>IF(B165="","",1-TargetRetailMargin-AA165)</f>
        <v>0</v>
      </c>
      <c r="AD165" s="20">
        <f>IF(B165="","",IF(AC165&lt;=0,"",((Z165+AB165)/AC165)*(1+V165)+IF(I165="",0,I165)))</f>
        <v>0</v>
      </c>
      <c r="AE165" s="20">
        <f>IF(B165="","",IF(AD165="","Check the settings",ROUND(IF(RoundingRule="None",AD165,IF(RoundingRule="Nearest 0.99",MAX(0.99,CEILING(AD165,1)-0.01),IF(RoundingRule="Nearest 0.95",MAX(0.95,CEILING(AD165,1)-0.05),IF(RoundingRule="Nearest 0.50",CEILING(AD165,0.5),IF(RoundingRule="Nearest 1",CEILING(AD165,1),IF(RoundingRule="Nearest 5",CEILING(AD165,5),IF(RoundingRule="Up to whole 1",CEILING(AD165,1),IF(RoundingRule="Up to whole 5",CEILING(AD165,5),ROUND(AD165,2))))))))),2)))</f>
        <v>0</v>
      </c>
      <c r="AF165" s="20">
        <f>IF(B165="","",IF(K165&lt;&gt;"",K165,IF(ISNUMBER(AE165),AE165,"")))</f>
        <v>0</v>
      </c>
      <c r="AG165" s="20">
        <f>IF(B165="","",IF(OR(AF165="",S165=""),"",ROUND(AF165-S165,2)))</f>
        <v>0</v>
      </c>
      <c r="AH165" s="20">
        <f>IF(B165="","",IF(AF165="","",ROUND(AF165*AA165+AB165,2)))</f>
        <v>0</v>
      </c>
      <c r="AI165" s="20">
        <f>IF(B165="","",IF(AF165="","",ROUND(AF165-Z165-AH165,2)))</f>
        <v>0</v>
      </c>
      <c r="AJ165" s="33">
        <f>IF(B165="","",IF(OR(AF165="",AF165=0),"",AI165/AF165))</f>
        <v>0</v>
      </c>
      <c r="AK165" s="20">
        <f>IF(B165="","",IF(OR(X165=0,X165="",AI165=""),"",ROUND((AI165+Y165)/(X165/60),2)))</f>
        <v>0</v>
      </c>
      <c r="AL165" s="43">
        <f>IF(B165="","",IF(N165="Not found","Check - no such product ID",IF(AF165="","Check - no price yet",IF(AI165&lt;0,"Loss - this version costs you money",IF(AND(AK165&lt;&gt;"",AK165&lt;MinimumWage),"Below - pays under minimum wage",IF(AND(G165&gt;0,AG165&lt;=0),"Check - extra work, no extra charge",IF(AJ165&lt;MarginWarning,"Low margin - re-price it","OK")))))))</f>
        <v>0</v>
      </c>
    </row>
    <row r="166" spans="1:38">
      <c r="A166" s="38">
        <f>IF(C166="","",VariationPrefix&amp;TEXT(ROW()-4,"0000"))</f>
        <v>0</v>
      </c>
      <c r="N166" s="13">
        <f>IF(B166="","",IFERROR(INDEX(Products!$B$5:$B$304,MATCH(B166,Products!$A$5:$A$304,0)),"Not found"))</f>
        <v>0</v>
      </c>
      <c r="O166" s="20">
        <f>IF(B166="","",IFERROR(INDEX(Products!$T$5:$T$304,MATCH(B166,Products!$A$5:$A$304,0)),""))</f>
        <v>0</v>
      </c>
      <c r="P166" s="20">
        <f>IF(B166="","",IFERROR(INDEX(Products!$Z$5:$Z$304,MATCH(B166,Products!$A$5:$A$304,0)),""))</f>
        <v>0</v>
      </c>
      <c r="Q166" s="20">
        <f>IF(B166="","",IFERROR(INDEX(Products!$AH$5:$AH$304,MATCH(B166,Products!$A$5:$A$304,0))-INDEX(Products!$T$5:$T$304,MATCH(B166,Products!$A$5:$A$304,0))-INDEX(Products!$Z$5:$Z$304,MATCH(B166,Products!$A$5:$A$304,0)),0))</f>
        <v>0</v>
      </c>
      <c r="R166" s="36">
        <f>IF(B166="","",IFERROR(INDEX(Products!$X$5:$X$304,MATCH(B166,Products!$A$5:$A$304,0)),""))</f>
        <v>0</v>
      </c>
      <c r="S166" s="20">
        <f>IF(B166="","",IFERROR(INDEX(Products!$AR$5:$AR$304,MATCH(B166,Products!$A$5:$A$304,0)),""))</f>
        <v>0</v>
      </c>
      <c r="T166" s="41">
        <f>IF(B166="","",IFERROR(INDEX(SizeMaterialFactors,MATCH(E166,SizeNames,0)),1))</f>
        <v>0</v>
      </c>
      <c r="U166" s="41">
        <f>IF(B166="","",IFERROR(INDEX(SizeTimeFactors,MATCH(E166,SizeNames,0)),1))</f>
        <v>0</v>
      </c>
      <c r="V166" s="33">
        <f>IF(B166="","",IFERROR(INDEX(RushFactors,MATCH(H166,RushNames,0)),0))</f>
        <v>0</v>
      </c>
      <c r="W166" s="20">
        <f>IF(B166="","",ROUND(IF(O166="",0,O166)*T166+IF(F166="",0,F166),2))</f>
        <v>0</v>
      </c>
      <c r="X166" s="36">
        <f>IF(B166="","",ROUND(IF(R166="",0,R166)*U166+IF(G166="",0,G166),1))</f>
        <v>0</v>
      </c>
      <c r="Y166" s="20">
        <f>IF(B166="","",ROUND(IF(P166="",0,P166)*U166+IF(G166="",0,G166)/60*LaborCostHour,2))</f>
        <v>0</v>
      </c>
      <c r="Z166" s="20">
        <f>IF(B166="","",ROUND(W166+Y166+IF(Q166="",0,Q166),2))</f>
        <v>0</v>
      </c>
      <c r="AA166" s="33">
        <f>IF(B166="","",IFERROR(INDEX(Channels!$S$5:$S$18,MATCH(IF(J166="",DefaultChannel,J166),Channels!$A$5:$A$18,0)),0))</f>
        <v>0</v>
      </c>
      <c r="AB166" s="20">
        <f>IF(B166="","",IFERROR(INDEX(Channels!$T$5:$T$18,MATCH(IF(J166="",DefaultChannel,J166),Channels!$A$5:$A$18,0)),0))</f>
        <v>0</v>
      </c>
      <c r="AC166" s="41">
        <f>IF(B166="","",1-TargetRetailMargin-AA166)</f>
        <v>0</v>
      </c>
      <c r="AD166" s="20">
        <f>IF(B166="","",IF(AC166&lt;=0,"",((Z166+AB166)/AC166)*(1+V166)+IF(I166="",0,I166)))</f>
        <v>0</v>
      </c>
      <c r="AE166" s="20">
        <f>IF(B166="","",IF(AD166="","Check the settings",ROUND(IF(RoundingRule="None",AD166,IF(RoundingRule="Nearest 0.99",MAX(0.99,CEILING(AD166,1)-0.01),IF(RoundingRule="Nearest 0.95",MAX(0.95,CEILING(AD166,1)-0.05),IF(RoundingRule="Nearest 0.50",CEILING(AD166,0.5),IF(RoundingRule="Nearest 1",CEILING(AD166,1),IF(RoundingRule="Nearest 5",CEILING(AD166,5),IF(RoundingRule="Up to whole 1",CEILING(AD166,1),IF(RoundingRule="Up to whole 5",CEILING(AD166,5),ROUND(AD166,2))))))))),2)))</f>
        <v>0</v>
      </c>
      <c r="AF166" s="20">
        <f>IF(B166="","",IF(K166&lt;&gt;"",K166,IF(ISNUMBER(AE166),AE166,"")))</f>
        <v>0</v>
      </c>
      <c r="AG166" s="20">
        <f>IF(B166="","",IF(OR(AF166="",S166=""),"",ROUND(AF166-S166,2)))</f>
        <v>0</v>
      </c>
      <c r="AH166" s="20">
        <f>IF(B166="","",IF(AF166="","",ROUND(AF166*AA166+AB166,2)))</f>
        <v>0</v>
      </c>
      <c r="AI166" s="20">
        <f>IF(B166="","",IF(AF166="","",ROUND(AF166-Z166-AH166,2)))</f>
        <v>0</v>
      </c>
      <c r="AJ166" s="33">
        <f>IF(B166="","",IF(OR(AF166="",AF166=0),"",AI166/AF166))</f>
        <v>0</v>
      </c>
      <c r="AK166" s="20">
        <f>IF(B166="","",IF(OR(X166=0,X166="",AI166=""),"",ROUND((AI166+Y166)/(X166/60),2)))</f>
        <v>0</v>
      </c>
      <c r="AL166" s="43">
        <f>IF(B166="","",IF(N166="Not found","Check - no such product ID",IF(AF166="","Check - no price yet",IF(AI166&lt;0,"Loss - this version costs you money",IF(AND(AK166&lt;&gt;"",AK166&lt;MinimumWage),"Below - pays under minimum wage",IF(AND(G166&gt;0,AG166&lt;=0),"Check - extra work, no extra charge",IF(AJ166&lt;MarginWarning,"Low margin - re-price it","OK")))))))</f>
        <v>0</v>
      </c>
    </row>
    <row r="167" spans="1:38">
      <c r="A167" s="38">
        <f>IF(C167="","",VariationPrefix&amp;TEXT(ROW()-4,"0000"))</f>
        <v>0</v>
      </c>
      <c r="N167" s="13">
        <f>IF(B167="","",IFERROR(INDEX(Products!$B$5:$B$304,MATCH(B167,Products!$A$5:$A$304,0)),"Not found"))</f>
        <v>0</v>
      </c>
      <c r="O167" s="20">
        <f>IF(B167="","",IFERROR(INDEX(Products!$T$5:$T$304,MATCH(B167,Products!$A$5:$A$304,0)),""))</f>
        <v>0</v>
      </c>
      <c r="P167" s="20">
        <f>IF(B167="","",IFERROR(INDEX(Products!$Z$5:$Z$304,MATCH(B167,Products!$A$5:$A$304,0)),""))</f>
        <v>0</v>
      </c>
      <c r="Q167" s="20">
        <f>IF(B167="","",IFERROR(INDEX(Products!$AH$5:$AH$304,MATCH(B167,Products!$A$5:$A$304,0))-INDEX(Products!$T$5:$T$304,MATCH(B167,Products!$A$5:$A$304,0))-INDEX(Products!$Z$5:$Z$304,MATCH(B167,Products!$A$5:$A$304,0)),0))</f>
        <v>0</v>
      </c>
      <c r="R167" s="36">
        <f>IF(B167="","",IFERROR(INDEX(Products!$X$5:$X$304,MATCH(B167,Products!$A$5:$A$304,0)),""))</f>
        <v>0</v>
      </c>
      <c r="S167" s="20">
        <f>IF(B167="","",IFERROR(INDEX(Products!$AR$5:$AR$304,MATCH(B167,Products!$A$5:$A$304,0)),""))</f>
        <v>0</v>
      </c>
      <c r="T167" s="41">
        <f>IF(B167="","",IFERROR(INDEX(SizeMaterialFactors,MATCH(E167,SizeNames,0)),1))</f>
        <v>0</v>
      </c>
      <c r="U167" s="41">
        <f>IF(B167="","",IFERROR(INDEX(SizeTimeFactors,MATCH(E167,SizeNames,0)),1))</f>
        <v>0</v>
      </c>
      <c r="V167" s="33">
        <f>IF(B167="","",IFERROR(INDEX(RushFactors,MATCH(H167,RushNames,0)),0))</f>
        <v>0</v>
      </c>
      <c r="W167" s="20">
        <f>IF(B167="","",ROUND(IF(O167="",0,O167)*T167+IF(F167="",0,F167),2))</f>
        <v>0</v>
      </c>
      <c r="X167" s="36">
        <f>IF(B167="","",ROUND(IF(R167="",0,R167)*U167+IF(G167="",0,G167),1))</f>
        <v>0</v>
      </c>
      <c r="Y167" s="20">
        <f>IF(B167="","",ROUND(IF(P167="",0,P167)*U167+IF(G167="",0,G167)/60*LaborCostHour,2))</f>
        <v>0</v>
      </c>
      <c r="Z167" s="20">
        <f>IF(B167="","",ROUND(W167+Y167+IF(Q167="",0,Q167),2))</f>
        <v>0</v>
      </c>
      <c r="AA167" s="33">
        <f>IF(B167="","",IFERROR(INDEX(Channels!$S$5:$S$18,MATCH(IF(J167="",DefaultChannel,J167),Channels!$A$5:$A$18,0)),0))</f>
        <v>0</v>
      </c>
      <c r="AB167" s="20">
        <f>IF(B167="","",IFERROR(INDEX(Channels!$T$5:$T$18,MATCH(IF(J167="",DefaultChannel,J167),Channels!$A$5:$A$18,0)),0))</f>
        <v>0</v>
      </c>
      <c r="AC167" s="41">
        <f>IF(B167="","",1-TargetRetailMargin-AA167)</f>
        <v>0</v>
      </c>
      <c r="AD167" s="20">
        <f>IF(B167="","",IF(AC167&lt;=0,"",((Z167+AB167)/AC167)*(1+V167)+IF(I167="",0,I167)))</f>
        <v>0</v>
      </c>
      <c r="AE167" s="20">
        <f>IF(B167="","",IF(AD167="","Check the settings",ROUND(IF(RoundingRule="None",AD167,IF(RoundingRule="Nearest 0.99",MAX(0.99,CEILING(AD167,1)-0.01),IF(RoundingRule="Nearest 0.95",MAX(0.95,CEILING(AD167,1)-0.05),IF(RoundingRule="Nearest 0.50",CEILING(AD167,0.5),IF(RoundingRule="Nearest 1",CEILING(AD167,1),IF(RoundingRule="Nearest 5",CEILING(AD167,5),IF(RoundingRule="Up to whole 1",CEILING(AD167,1),IF(RoundingRule="Up to whole 5",CEILING(AD167,5),ROUND(AD167,2))))))))),2)))</f>
        <v>0</v>
      </c>
      <c r="AF167" s="20">
        <f>IF(B167="","",IF(K167&lt;&gt;"",K167,IF(ISNUMBER(AE167),AE167,"")))</f>
        <v>0</v>
      </c>
      <c r="AG167" s="20">
        <f>IF(B167="","",IF(OR(AF167="",S167=""),"",ROUND(AF167-S167,2)))</f>
        <v>0</v>
      </c>
      <c r="AH167" s="20">
        <f>IF(B167="","",IF(AF167="","",ROUND(AF167*AA167+AB167,2)))</f>
        <v>0</v>
      </c>
      <c r="AI167" s="20">
        <f>IF(B167="","",IF(AF167="","",ROUND(AF167-Z167-AH167,2)))</f>
        <v>0</v>
      </c>
      <c r="AJ167" s="33">
        <f>IF(B167="","",IF(OR(AF167="",AF167=0),"",AI167/AF167))</f>
        <v>0</v>
      </c>
      <c r="AK167" s="20">
        <f>IF(B167="","",IF(OR(X167=0,X167="",AI167=""),"",ROUND((AI167+Y167)/(X167/60),2)))</f>
        <v>0</v>
      </c>
      <c r="AL167" s="43">
        <f>IF(B167="","",IF(N167="Not found","Check - no such product ID",IF(AF167="","Check - no price yet",IF(AI167&lt;0,"Loss - this version costs you money",IF(AND(AK167&lt;&gt;"",AK167&lt;MinimumWage),"Below - pays under minimum wage",IF(AND(G167&gt;0,AG167&lt;=0),"Check - extra work, no extra charge",IF(AJ167&lt;MarginWarning,"Low margin - re-price it","OK")))))))</f>
        <v>0</v>
      </c>
    </row>
    <row r="168" spans="1:38">
      <c r="A168" s="38">
        <f>IF(C168="","",VariationPrefix&amp;TEXT(ROW()-4,"0000"))</f>
        <v>0</v>
      </c>
      <c r="N168" s="13">
        <f>IF(B168="","",IFERROR(INDEX(Products!$B$5:$B$304,MATCH(B168,Products!$A$5:$A$304,0)),"Not found"))</f>
        <v>0</v>
      </c>
      <c r="O168" s="20">
        <f>IF(B168="","",IFERROR(INDEX(Products!$T$5:$T$304,MATCH(B168,Products!$A$5:$A$304,0)),""))</f>
        <v>0</v>
      </c>
      <c r="P168" s="20">
        <f>IF(B168="","",IFERROR(INDEX(Products!$Z$5:$Z$304,MATCH(B168,Products!$A$5:$A$304,0)),""))</f>
        <v>0</v>
      </c>
      <c r="Q168" s="20">
        <f>IF(B168="","",IFERROR(INDEX(Products!$AH$5:$AH$304,MATCH(B168,Products!$A$5:$A$304,0))-INDEX(Products!$T$5:$T$304,MATCH(B168,Products!$A$5:$A$304,0))-INDEX(Products!$Z$5:$Z$304,MATCH(B168,Products!$A$5:$A$304,0)),0))</f>
        <v>0</v>
      </c>
      <c r="R168" s="36">
        <f>IF(B168="","",IFERROR(INDEX(Products!$X$5:$X$304,MATCH(B168,Products!$A$5:$A$304,0)),""))</f>
        <v>0</v>
      </c>
      <c r="S168" s="20">
        <f>IF(B168="","",IFERROR(INDEX(Products!$AR$5:$AR$304,MATCH(B168,Products!$A$5:$A$304,0)),""))</f>
        <v>0</v>
      </c>
      <c r="T168" s="41">
        <f>IF(B168="","",IFERROR(INDEX(SizeMaterialFactors,MATCH(E168,SizeNames,0)),1))</f>
        <v>0</v>
      </c>
      <c r="U168" s="41">
        <f>IF(B168="","",IFERROR(INDEX(SizeTimeFactors,MATCH(E168,SizeNames,0)),1))</f>
        <v>0</v>
      </c>
      <c r="V168" s="33">
        <f>IF(B168="","",IFERROR(INDEX(RushFactors,MATCH(H168,RushNames,0)),0))</f>
        <v>0</v>
      </c>
      <c r="W168" s="20">
        <f>IF(B168="","",ROUND(IF(O168="",0,O168)*T168+IF(F168="",0,F168),2))</f>
        <v>0</v>
      </c>
      <c r="X168" s="36">
        <f>IF(B168="","",ROUND(IF(R168="",0,R168)*U168+IF(G168="",0,G168),1))</f>
        <v>0</v>
      </c>
      <c r="Y168" s="20">
        <f>IF(B168="","",ROUND(IF(P168="",0,P168)*U168+IF(G168="",0,G168)/60*LaborCostHour,2))</f>
        <v>0</v>
      </c>
      <c r="Z168" s="20">
        <f>IF(B168="","",ROUND(W168+Y168+IF(Q168="",0,Q168),2))</f>
        <v>0</v>
      </c>
      <c r="AA168" s="33">
        <f>IF(B168="","",IFERROR(INDEX(Channels!$S$5:$S$18,MATCH(IF(J168="",DefaultChannel,J168),Channels!$A$5:$A$18,0)),0))</f>
        <v>0</v>
      </c>
      <c r="AB168" s="20">
        <f>IF(B168="","",IFERROR(INDEX(Channels!$T$5:$T$18,MATCH(IF(J168="",DefaultChannel,J168),Channels!$A$5:$A$18,0)),0))</f>
        <v>0</v>
      </c>
      <c r="AC168" s="41">
        <f>IF(B168="","",1-TargetRetailMargin-AA168)</f>
        <v>0</v>
      </c>
      <c r="AD168" s="20">
        <f>IF(B168="","",IF(AC168&lt;=0,"",((Z168+AB168)/AC168)*(1+V168)+IF(I168="",0,I168)))</f>
        <v>0</v>
      </c>
      <c r="AE168" s="20">
        <f>IF(B168="","",IF(AD168="","Check the settings",ROUND(IF(RoundingRule="None",AD168,IF(RoundingRule="Nearest 0.99",MAX(0.99,CEILING(AD168,1)-0.01),IF(RoundingRule="Nearest 0.95",MAX(0.95,CEILING(AD168,1)-0.05),IF(RoundingRule="Nearest 0.50",CEILING(AD168,0.5),IF(RoundingRule="Nearest 1",CEILING(AD168,1),IF(RoundingRule="Nearest 5",CEILING(AD168,5),IF(RoundingRule="Up to whole 1",CEILING(AD168,1),IF(RoundingRule="Up to whole 5",CEILING(AD168,5),ROUND(AD168,2))))))))),2)))</f>
        <v>0</v>
      </c>
      <c r="AF168" s="20">
        <f>IF(B168="","",IF(K168&lt;&gt;"",K168,IF(ISNUMBER(AE168),AE168,"")))</f>
        <v>0</v>
      </c>
      <c r="AG168" s="20">
        <f>IF(B168="","",IF(OR(AF168="",S168=""),"",ROUND(AF168-S168,2)))</f>
        <v>0</v>
      </c>
      <c r="AH168" s="20">
        <f>IF(B168="","",IF(AF168="","",ROUND(AF168*AA168+AB168,2)))</f>
        <v>0</v>
      </c>
      <c r="AI168" s="20">
        <f>IF(B168="","",IF(AF168="","",ROUND(AF168-Z168-AH168,2)))</f>
        <v>0</v>
      </c>
      <c r="AJ168" s="33">
        <f>IF(B168="","",IF(OR(AF168="",AF168=0),"",AI168/AF168))</f>
        <v>0</v>
      </c>
      <c r="AK168" s="20">
        <f>IF(B168="","",IF(OR(X168=0,X168="",AI168=""),"",ROUND((AI168+Y168)/(X168/60),2)))</f>
        <v>0</v>
      </c>
      <c r="AL168" s="43">
        <f>IF(B168="","",IF(N168="Not found","Check - no such product ID",IF(AF168="","Check - no price yet",IF(AI168&lt;0,"Loss - this version costs you money",IF(AND(AK168&lt;&gt;"",AK168&lt;MinimumWage),"Below - pays under minimum wage",IF(AND(G168&gt;0,AG168&lt;=0),"Check - extra work, no extra charge",IF(AJ168&lt;MarginWarning,"Low margin - re-price it","OK")))))))</f>
        <v>0</v>
      </c>
    </row>
    <row r="169" spans="1:38">
      <c r="A169" s="38">
        <f>IF(C169="","",VariationPrefix&amp;TEXT(ROW()-4,"0000"))</f>
        <v>0</v>
      </c>
      <c r="N169" s="13">
        <f>IF(B169="","",IFERROR(INDEX(Products!$B$5:$B$304,MATCH(B169,Products!$A$5:$A$304,0)),"Not found"))</f>
        <v>0</v>
      </c>
      <c r="O169" s="20">
        <f>IF(B169="","",IFERROR(INDEX(Products!$T$5:$T$304,MATCH(B169,Products!$A$5:$A$304,0)),""))</f>
        <v>0</v>
      </c>
      <c r="P169" s="20">
        <f>IF(B169="","",IFERROR(INDEX(Products!$Z$5:$Z$304,MATCH(B169,Products!$A$5:$A$304,0)),""))</f>
        <v>0</v>
      </c>
      <c r="Q169" s="20">
        <f>IF(B169="","",IFERROR(INDEX(Products!$AH$5:$AH$304,MATCH(B169,Products!$A$5:$A$304,0))-INDEX(Products!$T$5:$T$304,MATCH(B169,Products!$A$5:$A$304,0))-INDEX(Products!$Z$5:$Z$304,MATCH(B169,Products!$A$5:$A$304,0)),0))</f>
        <v>0</v>
      </c>
      <c r="R169" s="36">
        <f>IF(B169="","",IFERROR(INDEX(Products!$X$5:$X$304,MATCH(B169,Products!$A$5:$A$304,0)),""))</f>
        <v>0</v>
      </c>
      <c r="S169" s="20">
        <f>IF(B169="","",IFERROR(INDEX(Products!$AR$5:$AR$304,MATCH(B169,Products!$A$5:$A$304,0)),""))</f>
        <v>0</v>
      </c>
      <c r="T169" s="41">
        <f>IF(B169="","",IFERROR(INDEX(SizeMaterialFactors,MATCH(E169,SizeNames,0)),1))</f>
        <v>0</v>
      </c>
      <c r="U169" s="41">
        <f>IF(B169="","",IFERROR(INDEX(SizeTimeFactors,MATCH(E169,SizeNames,0)),1))</f>
        <v>0</v>
      </c>
      <c r="V169" s="33">
        <f>IF(B169="","",IFERROR(INDEX(RushFactors,MATCH(H169,RushNames,0)),0))</f>
        <v>0</v>
      </c>
      <c r="W169" s="20">
        <f>IF(B169="","",ROUND(IF(O169="",0,O169)*T169+IF(F169="",0,F169),2))</f>
        <v>0</v>
      </c>
      <c r="X169" s="36">
        <f>IF(B169="","",ROUND(IF(R169="",0,R169)*U169+IF(G169="",0,G169),1))</f>
        <v>0</v>
      </c>
      <c r="Y169" s="20">
        <f>IF(B169="","",ROUND(IF(P169="",0,P169)*U169+IF(G169="",0,G169)/60*LaborCostHour,2))</f>
        <v>0</v>
      </c>
      <c r="Z169" s="20">
        <f>IF(B169="","",ROUND(W169+Y169+IF(Q169="",0,Q169),2))</f>
        <v>0</v>
      </c>
      <c r="AA169" s="33">
        <f>IF(B169="","",IFERROR(INDEX(Channels!$S$5:$S$18,MATCH(IF(J169="",DefaultChannel,J169),Channels!$A$5:$A$18,0)),0))</f>
        <v>0</v>
      </c>
      <c r="AB169" s="20">
        <f>IF(B169="","",IFERROR(INDEX(Channels!$T$5:$T$18,MATCH(IF(J169="",DefaultChannel,J169),Channels!$A$5:$A$18,0)),0))</f>
        <v>0</v>
      </c>
      <c r="AC169" s="41">
        <f>IF(B169="","",1-TargetRetailMargin-AA169)</f>
        <v>0</v>
      </c>
      <c r="AD169" s="20">
        <f>IF(B169="","",IF(AC169&lt;=0,"",((Z169+AB169)/AC169)*(1+V169)+IF(I169="",0,I169)))</f>
        <v>0</v>
      </c>
      <c r="AE169" s="20">
        <f>IF(B169="","",IF(AD169="","Check the settings",ROUND(IF(RoundingRule="None",AD169,IF(RoundingRule="Nearest 0.99",MAX(0.99,CEILING(AD169,1)-0.01),IF(RoundingRule="Nearest 0.95",MAX(0.95,CEILING(AD169,1)-0.05),IF(RoundingRule="Nearest 0.50",CEILING(AD169,0.5),IF(RoundingRule="Nearest 1",CEILING(AD169,1),IF(RoundingRule="Nearest 5",CEILING(AD169,5),IF(RoundingRule="Up to whole 1",CEILING(AD169,1),IF(RoundingRule="Up to whole 5",CEILING(AD169,5),ROUND(AD169,2))))))))),2)))</f>
        <v>0</v>
      </c>
      <c r="AF169" s="20">
        <f>IF(B169="","",IF(K169&lt;&gt;"",K169,IF(ISNUMBER(AE169),AE169,"")))</f>
        <v>0</v>
      </c>
      <c r="AG169" s="20">
        <f>IF(B169="","",IF(OR(AF169="",S169=""),"",ROUND(AF169-S169,2)))</f>
        <v>0</v>
      </c>
      <c r="AH169" s="20">
        <f>IF(B169="","",IF(AF169="","",ROUND(AF169*AA169+AB169,2)))</f>
        <v>0</v>
      </c>
      <c r="AI169" s="20">
        <f>IF(B169="","",IF(AF169="","",ROUND(AF169-Z169-AH169,2)))</f>
        <v>0</v>
      </c>
      <c r="AJ169" s="33">
        <f>IF(B169="","",IF(OR(AF169="",AF169=0),"",AI169/AF169))</f>
        <v>0</v>
      </c>
      <c r="AK169" s="20">
        <f>IF(B169="","",IF(OR(X169=0,X169="",AI169=""),"",ROUND((AI169+Y169)/(X169/60),2)))</f>
        <v>0</v>
      </c>
      <c r="AL169" s="43">
        <f>IF(B169="","",IF(N169="Not found","Check - no such product ID",IF(AF169="","Check - no price yet",IF(AI169&lt;0,"Loss - this version costs you money",IF(AND(AK169&lt;&gt;"",AK169&lt;MinimumWage),"Below - pays under minimum wage",IF(AND(G169&gt;0,AG169&lt;=0),"Check - extra work, no extra charge",IF(AJ169&lt;MarginWarning,"Low margin - re-price it","OK")))))))</f>
        <v>0</v>
      </c>
    </row>
    <row r="170" spans="1:38">
      <c r="A170" s="38">
        <f>IF(C170="","",VariationPrefix&amp;TEXT(ROW()-4,"0000"))</f>
        <v>0</v>
      </c>
      <c r="N170" s="13">
        <f>IF(B170="","",IFERROR(INDEX(Products!$B$5:$B$304,MATCH(B170,Products!$A$5:$A$304,0)),"Not found"))</f>
        <v>0</v>
      </c>
      <c r="O170" s="20">
        <f>IF(B170="","",IFERROR(INDEX(Products!$T$5:$T$304,MATCH(B170,Products!$A$5:$A$304,0)),""))</f>
        <v>0</v>
      </c>
      <c r="P170" s="20">
        <f>IF(B170="","",IFERROR(INDEX(Products!$Z$5:$Z$304,MATCH(B170,Products!$A$5:$A$304,0)),""))</f>
        <v>0</v>
      </c>
      <c r="Q170" s="20">
        <f>IF(B170="","",IFERROR(INDEX(Products!$AH$5:$AH$304,MATCH(B170,Products!$A$5:$A$304,0))-INDEX(Products!$T$5:$T$304,MATCH(B170,Products!$A$5:$A$304,0))-INDEX(Products!$Z$5:$Z$304,MATCH(B170,Products!$A$5:$A$304,0)),0))</f>
        <v>0</v>
      </c>
      <c r="R170" s="36">
        <f>IF(B170="","",IFERROR(INDEX(Products!$X$5:$X$304,MATCH(B170,Products!$A$5:$A$304,0)),""))</f>
        <v>0</v>
      </c>
      <c r="S170" s="20">
        <f>IF(B170="","",IFERROR(INDEX(Products!$AR$5:$AR$304,MATCH(B170,Products!$A$5:$A$304,0)),""))</f>
        <v>0</v>
      </c>
      <c r="T170" s="41">
        <f>IF(B170="","",IFERROR(INDEX(SizeMaterialFactors,MATCH(E170,SizeNames,0)),1))</f>
        <v>0</v>
      </c>
      <c r="U170" s="41">
        <f>IF(B170="","",IFERROR(INDEX(SizeTimeFactors,MATCH(E170,SizeNames,0)),1))</f>
        <v>0</v>
      </c>
      <c r="V170" s="33">
        <f>IF(B170="","",IFERROR(INDEX(RushFactors,MATCH(H170,RushNames,0)),0))</f>
        <v>0</v>
      </c>
      <c r="W170" s="20">
        <f>IF(B170="","",ROUND(IF(O170="",0,O170)*T170+IF(F170="",0,F170),2))</f>
        <v>0</v>
      </c>
      <c r="X170" s="36">
        <f>IF(B170="","",ROUND(IF(R170="",0,R170)*U170+IF(G170="",0,G170),1))</f>
        <v>0</v>
      </c>
      <c r="Y170" s="20">
        <f>IF(B170="","",ROUND(IF(P170="",0,P170)*U170+IF(G170="",0,G170)/60*LaborCostHour,2))</f>
        <v>0</v>
      </c>
      <c r="Z170" s="20">
        <f>IF(B170="","",ROUND(W170+Y170+IF(Q170="",0,Q170),2))</f>
        <v>0</v>
      </c>
      <c r="AA170" s="33">
        <f>IF(B170="","",IFERROR(INDEX(Channels!$S$5:$S$18,MATCH(IF(J170="",DefaultChannel,J170),Channels!$A$5:$A$18,0)),0))</f>
        <v>0</v>
      </c>
      <c r="AB170" s="20">
        <f>IF(B170="","",IFERROR(INDEX(Channels!$T$5:$T$18,MATCH(IF(J170="",DefaultChannel,J170),Channels!$A$5:$A$18,0)),0))</f>
        <v>0</v>
      </c>
      <c r="AC170" s="41">
        <f>IF(B170="","",1-TargetRetailMargin-AA170)</f>
        <v>0</v>
      </c>
      <c r="AD170" s="20">
        <f>IF(B170="","",IF(AC170&lt;=0,"",((Z170+AB170)/AC170)*(1+V170)+IF(I170="",0,I170)))</f>
        <v>0</v>
      </c>
      <c r="AE170" s="20">
        <f>IF(B170="","",IF(AD170="","Check the settings",ROUND(IF(RoundingRule="None",AD170,IF(RoundingRule="Nearest 0.99",MAX(0.99,CEILING(AD170,1)-0.01),IF(RoundingRule="Nearest 0.95",MAX(0.95,CEILING(AD170,1)-0.05),IF(RoundingRule="Nearest 0.50",CEILING(AD170,0.5),IF(RoundingRule="Nearest 1",CEILING(AD170,1),IF(RoundingRule="Nearest 5",CEILING(AD170,5),IF(RoundingRule="Up to whole 1",CEILING(AD170,1),IF(RoundingRule="Up to whole 5",CEILING(AD170,5),ROUND(AD170,2))))))))),2)))</f>
        <v>0</v>
      </c>
      <c r="AF170" s="20">
        <f>IF(B170="","",IF(K170&lt;&gt;"",K170,IF(ISNUMBER(AE170),AE170,"")))</f>
        <v>0</v>
      </c>
      <c r="AG170" s="20">
        <f>IF(B170="","",IF(OR(AF170="",S170=""),"",ROUND(AF170-S170,2)))</f>
        <v>0</v>
      </c>
      <c r="AH170" s="20">
        <f>IF(B170="","",IF(AF170="","",ROUND(AF170*AA170+AB170,2)))</f>
        <v>0</v>
      </c>
      <c r="AI170" s="20">
        <f>IF(B170="","",IF(AF170="","",ROUND(AF170-Z170-AH170,2)))</f>
        <v>0</v>
      </c>
      <c r="AJ170" s="33">
        <f>IF(B170="","",IF(OR(AF170="",AF170=0),"",AI170/AF170))</f>
        <v>0</v>
      </c>
      <c r="AK170" s="20">
        <f>IF(B170="","",IF(OR(X170=0,X170="",AI170=""),"",ROUND((AI170+Y170)/(X170/60),2)))</f>
        <v>0</v>
      </c>
      <c r="AL170" s="43">
        <f>IF(B170="","",IF(N170="Not found","Check - no such product ID",IF(AF170="","Check - no price yet",IF(AI170&lt;0,"Loss - this version costs you money",IF(AND(AK170&lt;&gt;"",AK170&lt;MinimumWage),"Below - pays under minimum wage",IF(AND(G170&gt;0,AG170&lt;=0),"Check - extra work, no extra charge",IF(AJ170&lt;MarginWarning,"Low margin - re-price it","OK")))))))</f>
        <v>0</v>
      </c>
    </row>
    <row r="171" spans="1:38">
      <c r="A171" s="38">
        <f>IF(C171="","",VariationPrefix&amp;TEXT(ROW()-4,"0000"))</f>
        <v>0</v>
      </c>
      <c r="N171" s="13">
        <f>IF(B171="","",IFERROR(INDEX(Products!$B$5:$B$304,MATCH(B171,Products!$A$5:$A$304,0)),"Not found"))</f>
        <v>0</v>
      </c>
      <c r="O171" s="20">
        <f>IF(B171="","",IFERROR(INDEX(Products!$T$5:$T$304,MATCH(B171,Products!$A$5:$A$304,0)),""))</f>
        <v>0</v>
      </c>
      <c r="P171" s="20">
        <f>IF(B171="","",IFERROR(INDEX(Products!$Z$5:$Z$304,MATCH(B171,Products!$A$5:$A$304,0)),""))</f>
        <v>0</v>
      </c>
      <c r="Q171" s="20">
        <f>IF(B171="","",IFERROR(INDEX(Products!$AH$5:$AH$304,MATCH(B171,Products!$A$5:$A$304,0))-INDEX(Products!$T$5:$T$304,MATCH(B171,Products!$A$5:$A$304,0))-INDEX(Products!$Z$5:$Z$304,MATCH(B171,Products!$A$5:$A$304,0)),0))</f>
        <v>0</v>
      </c>
      <c r="R171" s="36">
        <f>IF(B171="","",IFERROR(INDEX(Products!$X$5:$X$304,MATCH(B171,Products!$A$5:$A$304,0)),""))</f>
        <v>0</v>
      </c>
      <c r="S171" s="20">
        <f>IF(B171="","",IFERROR(INDEX(Products!$AR$5:$AR$304,MATCH(B171,Products!$A$5:$A$304,0)),""))</f>
        <v>0</v>
      </c>
      <c r="T171" s="41">
        <f>IF(B171="","",IFERROR(INDEX(SizeMaterialFactors,MATCH(E171,SizeNames,0)),1))</f>
        <v>0</v>
      </c>
      <c r="U171" s="41">
        <f>IF(B171="","",IFERROR(INDEX(SizeTimeFactors,MATCH(E171,SizeNames,0)),1))</f>
        <v>0</v>
      </c>
      <c r="V171" s="33">
        <f>IF(B171="","",IFERROR(INDEX(RushFactors,MATCH(H171,RushNames,0)),0))</f>
        <v>0</v>
      </c>
      <c r="W171" s="20">
        <f>IF(B171="","",ROUND(IF(O171="",0,O171)*T171+IF(F171="",0,F171),2))</f>
        <v>0</v>
      </c>
      <c r="X171" s="36">
        <f>IF(B171="","",ROUND(IF(R171="",0,R171)*U171+IF(G171="",0,G171),1))</f>
        <v>0</v>
      </c>
      <c r="Y171" s="20">
        <f>IF(B171="","",ROUND(IF(P171="",0,P171)*U171+IF(G171="",0,G171)/60*LaborCostHour,2))</f>
        <v>0</v>
      </c>
      <c r="Z171" s="20">
        <f>IF(B171="","",ROUND(W171+Y171+IF(Q171="",0,Q171),2))</f>
        <v>0</v>
      </c>
      <c r="AA171" s="33">
        <f>IF(B171="","",IFERROR(INDEX(Channels!$S$5:$S$18,MATCH(IF(J171="",DefaultChannel,J171),Channels!$A$5:$A$18,0)),0))</f>
        <v>0</v>
      </c>
      <c r="AB171" s="20">
        <f>IF(B171="","",IFERROR(INDEX(Channels!$T$5:$T$18,MATCH(IF(J171="",DefaultChannel,J171),Channels!$A$5:$A$18,0)),0))</f>
        <v>0</v>
      </c>
      <c r="AC171" s="41">
        <f>IF(B171="","",1-TargetRetailMargin-AA171)</f>
        <v>0</v>
      </c>
      <c r="AD171" s="20">
        <f>IF(B171="","",IF(AC171&lt;=0,"",((Z171+AB171)/AC171)*(1+V171)+IF(I171="",0,I171)))</f>
        <v>0</v>
      </c>
      <c r="AE171" s="20">
        <f>IF(B171="","",IF(AD171="","Check the settings",ROUND(IF(RoundingRule="None",AD171,IF(RoundingRule="Nearest 0.99",MAX(0.99,CEILING(AD171,1)-0.01),IF(RoundingRule="Nearest 0.95",MAX(0.95,CEILING(AD171,1)-0.05),IF(RoundingRule="Nearest 0.50",CEILING(AD171,0.5),IF(RoundingRule="Nearest 1",CEILING(AD171,1),IF(RoundingRule="Nearest 5",CEILING(AD171,5),IF(RoundingRule="Up to whole 1",CEILING(AD171,1),IF(RoundingRule="Up to whole 5",CEILING(AD171,5),ROUND(AD171,2))))))))),2)))</f>
        <v>0</v>
      </c>
      <c r="AF171" s="20">
        <f>IF(B171="","",IF(K171&lt;&gt;"",K171,IF(ISNUMBER(AE171),AE171,"")))</f>
        <v>0</v>
      </c>
      <c r="AG171" s="20">
        <f>IF(B171="","",IF(OR(AF171="",S171=""),"",ROUND(AF171-S171,2)))</f>
        <v>0</v>
      </c>
      <c r="AH171" s="20">
        <f>IF(B171="","",IF(AF171="","",ROUND(AF171*AA171+AB171,2)))</f>
        <v>0</v>
      </c>
      <c r="AI171" s="20">
        <f>IF(B171="","",IF(AF171="","",ROUND(AF171-Z171-AH171,2)))</f>
        <v>0</v>
      </c>
      <c r="AJ171" s="33">
        <f>IF(B171="","",IF(OR(AF171="",AF171=0),"",AI171/AF171))</f>
        <v>0</v>
      </c>
      <c r="AK171" s="20">
        <f>IF(B171="","",IF(OR(X171=0,X171="",AI171=""),"",ROUND((AI171+Y171)/(X171/60),2)))</f>
        <v>0</v>
      </c>
      <c r="AL171" s="43">
        <f>IF(B171="","",IF(N171="Not found","Check - no such product ID",IF(AF171="","Check - no price yet",IF(AI171&lt;0,"Loss - this version costs you money",IF(AND(AK171&lt;&gt;"",AK171&lt;MinimumWage),"Below - pays under minimum wage",IF(AND(G171&gt;0,AG171&lt;=0),"Check - extra work, no extra charge",IF(AJ171&lt;MarginWarning,"Low margin - re-price it","OK")))))))</f>
        <v>0</v>
      </c>
    </row>
    <row r="172" spans="1:38">
      <c r="A172" s="38">
        <f>IF(C172="","",VariationPrefix&amp;TEXT(ROW()-4,"0000"))</f>
        <v>0</v>
      </c>
      <c r="N172" s="13">
        <f>IF(B172="","",IFERROR(INDEX(Products!$B$5:$B$304,MATCH(B172,Products!$A$5:$A$304,0)),"Not found"))</f>
        <v>0</v>
      </c>
      <c r="O172" s="20">
        <f>IF(B172="","",IFERROR(INDEX(Products!$T$5:$T$304,MATCH(B172,Products!$A$5:$A$304,0)),""))</f>
        <v>0</v>
      </c>
      <c r="P172" s="20">
        <f>IF(B172="","",IFERROR(INDEX(Products!$Z$5:$Z$304,MATCH(B172,Products!$A$5:$A$304,0)),""))</f>
        <v>0</v>
      </c>
      <c r="Q172" s="20">
        <f>IF(B172="","",IFERROR(INDEX(Products!$AH$5:$AH$304,MATCH(B172,Products!$A$5:$A$304,0))-INDEX(Products!$T$5:$T$304,MATCH(B172,Products!$A$5:$A$304,0))-INDEX(Products!$Z$5:$Z$304,MATCH(B172,Products!$A$5:$A$304,0)),0))</f>
        <v>0</v>
      </c>
      <c r="R172" s="36">
        <f>IF(B172="","",IFERROR(INDEX(Products!$X$5:$X$304,MATCH(B172,Products!$A$5:$A$304,0)),""))</f>
        <v>0</v>
      </c>
      <c r="S172" s="20">
        <f>IF(B172="","",IFERROR(INDEX(Products!$AR$5:$AR$304,MATCH(B172,Products!$A$5:$A$304,0)),""))</f>
        <v>0</v>
      </c>
      <c r="T172" s="41">
        <f>IF(B172="","",IFERROR(INDEX(SizeMaterialFactors,MATCH(E172,SizeNames,0)),1))</f>
        <v>0</v>
      </c>
      <c r="U172" s="41">
        <f>IF(B172="","",IFERROR(INDEX(SizeTimeFactors,MATCH(E172,SizeNames,0)),1))</f>
        <v>0</v>
      </c>
      <c r="V172" s="33">
        <f>IF(B172="","",IFERROR(INDEX(RushFactors,MATCH(H172,RushNames,0)),0))</f>
        <v>0</v>
      </c>
      <c r="W172" s="20">
        <f>IF(B172="","",ROUND(IF(O172="",0,O172)*T172+IF(F172="",0,F172),2))</f>
        <v>0</v>
      </c>
      <c r="X172" s="36">
        <f>IF(B172="","",ROUND(IF(R172="",0,R172)*U172+IF(G172="",0,G172),1))</f>
        <v>0</v>
      </c>
      <c r="Y172" s="20">
        <f>IF(B172="","",ROUND(IF(P172="",0,P172)*U172+IF(G172="",0,G172)/60*LaborCostHour,2))</f>
        <v>0</v>
      </c>
      <c r="Z172" s="20">
        <f>IF(B172="","",ROUND(W172+Y172+IF(Q172="",0,Q172),2))</f>
        <v>0</v>
      </c>
      <c r="AA172" s="33">
        <f>IF(B172="","",IFERROR(INDEX(Channels!$S$5:$S$18,MATCH(IF(J172="",DefaultChannel,J172),Channels!$A$5:$A$18,0)),0))</f>
        <v>0</v>
      </c>
      <c r="AB172" s="20">
        <f>IF(B172="","",IFERROR(INDEX(Channels!$T$5:$T$18,MATCH(IF(J172="",DefaultChannel,J172),Channels!$A$5:$A$18,0)),0))</f>
        <v>0</v>
      </c>
      <c r="AC172" s="41">
        <f>IF(B172="","",1-TargetRetailMargin-AA172)</f>
        <v>0</v>
      </c>
      <c r="AD172" s="20">
        <f>IF(B172="","",IF(AC172&lt;=0,"",((Z172+AB172)/AC172)*(1+V172)+IF(I172="",0,I172)))</f>
        <v>0</v>
      </c>
      <c r="AE172" s="20">
        <f>IF(B172="","",IF(AD172="","Check the settings",ROUND(IF(RoundingRule="None",AD172,IF(RoundingRule="Nearest 0.99",MAX(0.99,CEILING(AD172,1)-0.01),IF(RoundingRule="Nearest 0.95",MAX(0.95,CEILING(AD172,1)-0.05),IF(RoundingRule="Nearest 0.50",CEILING(AD172,0.5),IF(RoundingRule="Nearest 1",CEILING(AD172,1),IF(RoundingRule="Nearest 5",CEILING(AD172,5),IF(RoundingRule="Up to whole 1",CEILING(AD172,1),IF(RoundingRule="Up to whole 5",CEILING(AD172,5),ROUND(AD172,2))))))))),2)))</f>
        <v>0</v>
      </c>
      <c r="AF172" s="20">
        <f>IF(B172="","",IF(K172&lt;&gt;"",K172,IF(ISNUMBER(AE172),AE172,"")))</f>
        <v>0</v>
      </c>
      <c r="AG172" s="20">
        <f>IF(B172="","",IF(OR(AF172="",S172=""),"",ROUND(AF172-S172,2)))</f>
        <v>0</v>
      </c>
      <c r="AH172" s="20">
        <f>IF(B172="","",IF(AF172="","",ROUND(AF172*AA172+AB172,2)))</f>
        <v>0</v>
      </c>
      <c r="AI172" s="20">
        <f>IF(B172="","",IF(AF172="","",ROUND(AF172-Z172-AH172,2)))</f>
        <v>0</v>
      </c>
      <c r="AJ172" s="33">
        <f>IF(B172="","",IF(OR(AF172="",AF172=0),"",AI172/AF172))</f>
        <v>0</v>
      </c>
      <c r="AK172" s="20">
        <f>IF(B172="","",IF(OR(X172=0,X172="",AI172=""),"",ROUND((AI172+Y172)/(X172/60),2)))</f>
        <v>0</v>
      </c>
      <c r="AL172" s="43">
        <f>IF(B172="","",IF(N172="Not found","Check - no such product ID",IF(AF172="","Check - no price yet",IF(AI172&lt;0,"Loss - this version costs you money",IF(AND(AK172&lt;&gt;"",AK172&lt;MinimumWage),"Below - pays under minimum wage",IF(AND(G172&gt;0,AG172&lt;=0),"Check - extra work, no extra charge",IF(AJ172&lt;MarginWarning,"Low margin - re-price it","OK")))))))</f>
        <v>0</v>
      </c>
    </row>
    <row r="173" spans="1:38">
      <c r="A173" s="38">
        <f>IF(C173="","",VariationPrefix&amp;TEXT(ROW()-4,"0000"))</f>
        <v>0</v>
      </c>
      <c r="N173" s="13">
        <f>IF(B173="","",IFERROR(INDEX(Products!$B$5:$B$304,MATCH(B173,Products!$A$5:$A$304,0)),"Not found"))</f>
        <v>0</v>
      </c>
      <c r="O173" s="20">
        <f>IF(B173="","",IFERROR(INDEX(Products!$T$5:$T$304,MATCH(B173,Products!$A$5:$A$304,0)),""))</f>
        <v>0</v>
      </c>
      <c r="P173" s="20">
        <f>IF(B173="","",IFERROR(INDEX(Products!$Z$5:$Z$304,MATCH(B173,Products!$A$5:$A$304,0)),""))</f>
        <v>0</v>
      </c>
      <c r="Q173" s="20">
        <f>IF(B173="","",IFERROR(INDEX(Products!$AH$5:$AH$304,MATCH(B173,Products!$A$5:$A$304,0))-INDEX(Products!$T$5:$T$304,MATCH(B173,Products!$A$5:$A$304,0))-INDEX(Products!$Z$5:$Z$304,MATCH(B173,Products!$A$5:$A$304,0)),0))</f>
        <v>0</v>
      </c>
      <c r="R173" s="36">
        <f>IF(B173="","",IFERROR(INDEX(Products!$X$5:$X$304,MATCH(B173,Products!$A$5:$A$304,0)),""))</f>
        <v>0</v>
      </c>
      <c r="S173" s="20">
        <f>IF(B173="","",IFERROR(INDEX(Products!$AR$5:$AR$304,MATCH(B173,Products!$A$5:$A$304,0)),""))</f>
        <v>0</v>
      </c>
      <c r="T173" s="41">
        <f>IF(B173="","",IFERROR(INDEX(SizeMaterialFactors,MATCH(E173,SizeNames,0)),1))</f>
        <v>0</v>
      </c>
      <c r="U173" s="41">
        <f>IF(B173="","",IFERROR(INDEX(SizeTimeFactors,MATCH(E173,SizeNames,0)),1))</f>
        <v>0</v>
      </c>
      <c r="V173" s="33">
        <f>IF(B173="","",IFERROR(INDEX(RushFactors,MATCH(H173,RushNames,0)),0))</f>
        <v>0</v>
      </c>
      <c r="W173" s="20">
        <f>IF(B173="","",ROUND(IF(O173="",0,O173)*T173+IF(F173="",0,F173),2))</f>
        <v>0</v>
      </c>
      <c r="X173" s="36">
        <f>IF(B173="","",ROUND(IF(R173="",0,R173)*U173+IF(G173="",0,G173),1))</f>
        <v>0</v>
      </c>
      <c r="Y173" s="20">
        <f>IF(B173="","",ROUND(IF(P173="",0,P173)*U173+IF(G173="",0,G173)/60*LaborCostHour,2))</f>
        <v>0</v>
      </c>
      <c r="Z173" s="20">
        <f>IF(B173="","",ROUND(W173+Y173+IF(Q173="",0,Q173),2))</f>
        <v>0</v>
      </c>
      <c r="AA173" s="33">
        <f>IF(B173="","",IFERROR(INDEX(Channels!$S$5:$S$18,MATCH(IF(J173="",DefaultChannel,J173),Channels!$A$5:$A$18,0)),0))</f>
        <v>0</v>
      </c>
      <c r="AB173" s="20">
        <f>IF(B173="","",IFERROR(INDEX(Channels!$T$5:$T$18,MATCH(IF(J173="",DefaultChannel,J173),Channels!$A$5:$A$18,0)),0))</f>
        <v>0</v>
      </c>
      <c r="AC173" s="41">
        <f>IF(B173="","",1-TargetRetailMargin-AA173)</f>
        <v>0</v>
      </c>
      <c r="AD173" s="20">
        <f>IF(B173="","",IF(AC173&lt;=0,"",((Z173+AB173)/AC173)*(1+V173)+IF(I173="",0,I173)))</f>
        <v>0</v>
      </c>
      <c r="AE173" s="20">
        <f>IF(B173="","",IF(AD173="","Check the settings",ROUND(IF(RoundingRule="None",AD173,IF(RoundingRule="Nearest 0.99",MAX(0.99,CEILING(AD173,1)-0.01),IF(RoundingRule="Nearest 0.95",MAX(0.95,CEILING(AD173,1)-0.05),IF(RoundingRule="Nearest 0.50",CEILING(AD173,0.5),IF(RoundingRule="Nearest 1",CEILING(AD173,1),IF(RoundingRule="Nearest 5",CEILING(AD173,5),IF(RoundingRule="Up to whole 1",CEILING(AD173,1),IF(RoundingRule="Up to whole 5",CEILING(AD173,5),ROUND(AD173,2))))))))),2)))</f>
        <v>0</v>
      </c>
      <c r="AF173" s="20">
        <f>IF(B173="","",IF(K173&lt;&gt;"",K173,IF(ISNUMBER(AE173),AE173,"")))</f>
        <v>0</v>
      </c>
      <c r="AG173" s="20">
        <f>IF(B173="","",IF(OR(AF173="",S173=""),"",ROUND(AF173-S173,2)))</f>
        <v>0</v>
      </c>
      <c r="AH173" s="20">
        <f>IF(B173="","",IF(AF173="","",ROUND(AF173*AA173+AB173,2)))</f>
        <v>0</v>
      </c>
      <c r="AI173" s="20">
        <f>IF(B173="","",IF(AF173="","",ROUND(AF173-Z173-AH173,2)))</f>
        <v>0</v>
      </c>
      <c r="AJ173" s="33">
        <f>IF(B173="","",IF(OR(AF173="",AF173=0),"",AI173/AF173))</f>
        <v>0</v>
      </c>
      <c r="AK173" s="20">
        <f>IF(B173="","",IF(OR(X173=0,X173="",AI173=""),"",ROUND((AI173+Y173)/(X173/60),2)))</f>
        <v>0</v>
      </c>
      <c r="AL173" s="43">
        <f>IF(B173="","",IF(N173="Not found","Check - no such product ID",IF(AF173="","Check - no price yet",IF(AI173&lt;0,"Loss - this version costs you money",IF(AND(AK173&lt;&gt;"",AK173&lt;MinimumWage),"Below - pays under minimum wage",IF(AND(G173&gt;0,AG173&lt;=0),"Check - extra work, no extra charge",IF(AJ173&lt;MarginWarning,"Low margin - re-price it","OK")))))))</f>
        <v>0</v>
      </c>
    </row>
    <row r="174" spans="1:38">
      <c r="A174" s="38">
        <f>IF(C174="","",VariationPrefix&amp;TEXT(ROW()-4,"0000"))</f>
        <v>0</v>
      </c>
      <c r="N174" s="13">
        <f>IF(B174="","",IFERROR(INDEX(Products!$B$5:$B$304,MATCH(B174,Products!$A$5:$A$304,0)),"Not found"))</f>
        <v>0</v>
      </c>
      <c r="O174" s="20">
        <f>IF(B174="","",IFERROR(INDEX(Products!$T$5:$T$304,MATCH(B174,Products!$A$5:$A$304,0)),""))</f>
        <v>0</v>
      </c>
      <c r="P174" s="20">
        <f>IF(B174="","",IFERROR(INDEX(Products!$Z$5:$Z$304,MATCH(B174,Products!$A$5:$A$304,0)),""))</f>
        <v>0</v>
      </c>
      <c r="Q174" s="20">
        <f>IF(B174="","",IFERROR(INDEX(Products!$AH$5:$AH$304,MATCH(B174,Products!$A$5:$A$304,0))-INDEX(Products!$T$5:$T$304,MATCH(B174,Products!$A$5:$A$304,0))-INDEX(Products!$Z$5:$Z$304,MATCH(B174,Products!$A$5:$A$304,0)),0))</f>
        <v>0</v>
      </c>
      <c r="R174" s="36">
        <f>IF(B174="","",IFERROR(INDEX(Products!$X$5:$X$304,MATCH(B174,Products!$A$5:$A$304,0)),""))</f>
        <v>0</v>
      </c>
      <c r="S174" s="20">
        <f>IF(B174="","",IFERROR(INDEX(Products!$AR$5:$AR$304,MATCH(B174,Products!$A$5:$A$304,0)),""))</f>
        <v>0</v>
      </c>
      <c r="T174" s="41">
        <f>IF(B174="","",IFERROR(INDEX(SizeMaterialFactors,MATCH(E174,SizeNames,0)),1))</f>
        <v>0</v>
      </c>
      <c r="U174" s="41">
        <f>IF(B174="","",IFERROR(INDEX(SizeTimeFactors,MATCH(E174,SizeNames,0)),1))</f>
        <v>0</v>
      </c>
      <c r="V174" s="33">
        <f>IF(B174="","",IFERROR(INDEX(RushFactors,MATCH(H174,RushNames,0)),0))</f>
        <v>0</v>
      </c>
      <c r="W174" s="20">
        <f>IF(B174="","",ROUND(IF(O174="",0,O174)*T174+IF(F174="",0,F174),2))</f>
        <v>0</v>
      </c>
      <c r="X174" s="36">
        <f>IF(B174="","",ROUND(IF(R174="",0,R174)*U174+IF(G174="",0,G174),1))</f>
        <v>0</v>
      </c>
      <c r="Y174" s="20">
        <f>IF(B174="","",ROUND(IF(P174="",0,P174)*U174+IF(G174="",0,G174)/60*LaborCostHour,2))</f>
        <v>0</v>
      </c>
      <c r="Z174" s="20">
        <f>IF(B174="","",ROUND(W174+Y174+IF(Q174="",0,Q174),2))</f>
        <v>0</v>
      </c>
      <c r="AA174" s="33">
        <f>IF(B174="","",IFERROR(INDEX(Channels!$S$5:$S$18,MATCH(IF(J174="",DefaultChannel,J174),Channels!$A$5:$A$18,0)),0))</f>
        <v>0</v>
      </c>
      <c r="AB174" s="20">
        <f>IF(B174="","",IFERROR(INDEX(Channels!$T$5:$T$18,MATCH(IF(J174="",DefaultChannel,J174),Channels!$A$5:$A$18,0)),0))</f>
        <v>0</v>
      </c>
      <c r="AC174" s="41">
        <f>IF(B174="","",1-TargetRetailMargin-AA174)</f>
        <v>0</v>
      </c>
      <c r="AD174" s="20">
        <f>IF(B174="","",IF(AC174&lt;=0,"",((Z174+AB174)/AC174)*(1+V174)+IF(I174="",0,I174)))</f>
        <v>0</v>
      </c>
      <c r="AE174" s="20">
        <f>IF(B174="","",IF(AD174="","Check the settings",ROUND(IF(RoundingRule="None",AD174,IF(RoundingRule="Nearest 0.99",MAX(0.99,CEILING(AD174,1)-0.01),IF(RoundingRule="Nearest 0.95",MAX(0.95,CEILING(AD174,1)-0.05),IF(RoundingRule="Nearest 0.50",CEILING(AD174,0.5),IF(RoundingRule="Nearest 1",CEILING(AD174,1),IF(RoundingRule="Nearest 5",CEILING(AD174,5),IF(RoundingRule="Up to whole 1",CEILING(AD174,1),IF(RoundingRule="Up to whole 5",CEILING(AD174,5),ROUND(AD174,2))))))))),2)))</f>
        <v>0</v>
      </c>
      <c r="AF174" s="20">
        <f>IF(B174="","",IF(K174&lt;&gt;"",K174,IF(ISNUMBER(AE174),AE174,"")))</f>
        <v>0</v>
      </c>
      <c r="AG174" s="20">
        <f>IF(B174="","",IF(OR(AF174="",S174=""),"",ROUND(AF174-S174,2)))</f>
        <v>0</v>
      </c>
      <c r="AH174" s="20">
        <f>IF(B174="","",IF(AF174="","",ROUND(AF174*AA174+AB174,2)))</f>
        <v>0</v>
      </c>
      <c r="AI174" s="20">
        <f>IF(B174="","",IF(AF174="","",ROUND(AF174-Z174-AH174,2)))</f>
        <v>0</v>
      </c>
      <c r="AJ174" s="33">
        <f>IF(B174="","",IF(OR(AF174="",AF174=0),"",AI174/AF174))</f>
        <v>0</v>
      </c>
      <c r="AK174" s="20">
        <f>IF(B174="","",IF(OR(X174=0,X174="",AI174=""),"",ROUND((AI174+Y174)/(X174/60),2)))</f>
        <v>0</v>
      </c>
      <c r="AL174" s="43">
        <f>IF(B174="","",IF(N174="Not found","Check - no such product ID",IF(AF174="","Check - no price yet",IF(AI174&lt;0,"Loss - this version costs you money",IF(AND(AK174&lt;&gt;"",AK174&lt;MinimumWage),"Below - pays under minimum wage",IF(AND(G174&gt;0,AG174&lt;=0),"Check - extra work, no extra charge",IF(AJ174&lt;MarginWarning,"Low margin - re-price it","OK")))))))</f>
        <v>0</v>
      </c>
    </row>
    <row r="175" spans="1:38">
      <c r="A175" s="38">
        <f>IF(C175="","",VariationPrefix&amp;TEXT(ROW()-4,"0000"))</f>
        <v>0</v>
      </c>
      <c r="N175" s="13">
        <f>IF(B175="","",IFERROR(INDEX(Products!$B$5:$B$304,MATCH(B175,Products!$A$5:$A$304,0)),"Not found"))</f>
        <v>0</v>
      </c>
      <c r="O175" s="20">
        <f>IF(B175="","",IFERROR(INDEX(Products!$T$5:$T$304,MATCH(B175,Products!$A$5:$A$304,0)),""))</f>
        <v>0</v>
      </c>
      <c r="P175" s="20">
        <f>IF(B175="","",IFERROR(INDEX(Products!$Z$5:$Z$304,MATCH(B175,Products!$A$5:$A$304,0)),""))</f>
        <v>0</v>
      </c>
      <c r="Q175" s="20">
        <f>IF(B175="","",IFERROR(INDEX(Products!$AH$5:$AH$304,MATCH(B175,Products!$A$5:$A$304,0))-INDEX(Products!$T$5:$T$304,MATCH(B175,Products!$A$5:$A$304,0))-INDEX(Products!$Z$5:$Z$304,MATCH(B175,Products!$A$5:$A$304,0)),0))</f>
        <v>0</v>
      </c>
      <c r="R175" s="36">
        <f>IF(B175="","",IFERROR(INDEX(Products!$X$5:$X$304,MATCH(B175,Products!$A$5:$A$304,0)),""))</f>
        <v>0</v>
      </c>
      <c r="S175" s="20">
        <f>IF(B175="","",IFERROR(INDEX(Products!$AR$5:$AR$304,MATCH(B175,Products!$A$5:$A$304,0)),""))</f>
        <v>0</v>
      </c>
      <c r="T175" s="41">
        <f>IF(B175="","",IFERROR(INDEX(SizeMaterialFactors,MATCH(E175,SizeNames,0)),1))</f>
        <v>0</v>
      </c>
      <c r="U175" s="41">
        <f>IF(B175="","",IFERROR(INDEX(SizeTimeFactors,MATCH(E175,SizeNames,0)),1))</f>
        <v>0</v>
      </c>
      <c r="V175" s="33">
        <f>IF(B175="","",IFERROR(INDEX(RushFactors,MATCH(H175,RushNames,0)),0))</f>
        <v>0</v>
      </c>
      <c r="W175" s="20">
        <f>IF(B175="","",ROUND(IF(O175="",0,O175)*T175+IF(F175="",0,F175),2))</f>
        <v>0</v>
      </c>
      <c r="X175" s="36">
        <f>IF(B175="","",ROUND(IF(R175="",0,R175)*U175+IF(G175="",0,G175),1))</f>
        <v>0</v>
      </c>
      <c r="Y175" s="20">
        <f>IF(B175="","",ROUND(IF(P175="",0,P175)*U175+IF(G175="",0,G175)/60*LaborCostHour,2))</f>
        <v>0</v>
      </c>
      <c r="Z175" s="20">
        <f>IF(B175="","",ROUND(W175+Y175+IF(Q175="",0,Q175),2))</f>
        <v>0</v>
      </c>
      <c r="AA175" s="33">
        <f>IF(B175="","",IFERROR(INDEX(Channels!$S$5:$S$18,MATCH(IF(J175="",DefaultChannel,J175),Channels!$A$5:$A$18,0)),0))</f>
        <v>0</v>
      </c>
      <c r="AB175" s="20">
        <f>IF(B175="","",IFERROR(INDEX(Channels!$T$5:$T$18,MATCH(IF(J175="",DefaultChannel,J175),Channels!$A$5:$A$18,0)),0))</f>
        <v>0</v>
      </c>
      <c r="AC175" s="41">
        <f>IF(B175="","",1-TargetRetailMargin-AA175)</f>
        <v>0</v>
      </c>
      <c r="AD175" s="20">
        <f>IF(B175="","",IF(AC175&lt;=0,"",((Z175+AB175)/AC175)*(1+V175)+IF(I175="",0,I175)))</f>
        <v>0</v>
      </c>
      <c r="AE175" s="20">
        <f>IF(B175="","",IF(AD175="","Check the settings",ROUND(IF(RoundingRule="None",AD175,IF(RoundingRule="Nearest 0.99",MAX(0.99,CEILING(AD175,1)-0.01),IF(RoundingRule="Nearest 0.95",MAX(0.95,CEILING(AD175,1)-0.05),IF(RoundingRule="Nearest 0.50",CEILING(AD175,0.5),IF(RoundingRule="Nearest 1",CEILING(AD175,1),IF(RoundingRule="Nearest 5",CEILING(AD175,5),IF(RoundingRule="Up to whole 1",CEILING(AD175,1),IF(RoundingRule="Up to whole 5",CEILING(AD175,5),ROUND(AD175,2))))))))),2)))</f>
        <v>0</v>
      </c>
      <c r="AF175" s="20">
        <f>IF(B175="","",IF(K175&lt;&gt;"",K175,IF(ISNUMBER(AE175),AE175,"")))</f>
        <v>0</v>
      </c>
      <c r="AG175" s="20">
        <f>IF(B175="","",IF(OR(AF175="",S175=""),"",ROUND(AF175-S175,2)))</f>
        <v>0</v>
      </c>
      <c r="AH175" s="20">
        <f>IF(B175="","",IF(AF175="","",ROUND(AF175*AA175+AB175,2)))</f>
        <v>0</v>
      </c>
      <c r="AI175" s="20">
        <f>IF(B175="","",IF(AF175="","",ROUND(AF175-Z175-AH175,2)))</f>
        <v>0</v>
      </c>
      <c r="AJ175" s="33">
        <f>IF(B175="","",IF(OR(AF175="",AF175=0),"",AI175/AF175))</f>
        <v>0</v>
      </c>
      <c r="AK175" s="20">
        <f>IF(B175="","",IF(OR(X175=0,X175="",AI175=""),"",ROUND((AI175+Y175)/(X175/60),2)))</f>
        <v>0</v>
      </c>
      <c r="AL175" s="43">
        <f>IF(B175="","",IF(N175="Not found","Check - no such product ID",IF(AF175="","Check - no price yet",IF(AI175&lt;0,"Loss - this version costs you money",IF(AND(AK175&lt;&gt;"",AK175&lt;MinimumWage),"Below - pays under minimum wage",IF(AND(G175&gt;0,AG175&lt;=0),"Check - extra work, no extra charge",IF(AJ175&lt;MarginWarning,"Low margin - re-price it","OK")))))))</f>
        <v>0</v>
      </c>
    </row>
    <row r="176" spans="1:38">
      <c r="A176" s="38">
        <f>IF(C176="","",VariationPrefix&amp;TEXT(ROW()-4,"0000"))</f>
        <v>0</v>
      </c>
      <c r="N176" s="13">
        <f>IF(B176="","",IFERROR(INDEX(Products!$B$5:$B$304,MATCH(B176,Products!$A$5:$A$304,0)),"Not found"))</f>
        <v>0</v>
      </c>
      <c r="O176" s="20">
        <f>IF(B176="","",IFERROR(INDEX(Products!$T$5:$T$304,MATCH(B176,Products!$A$5:$A$304,0)),""))</f>
        <v>0</v>
      </c>
      <c r="P176" s="20">
        <f>IF(B176="","",IFERROR(INDEX(Products!$Z$5:$Z$304,MATCH(B176,Products!$A$5:$A$304,0)),""))</f>
        <v>0</v>
      </c>
      <c r="Q176" s="20">
        <f>IF(B176="","",IFERROR(INDEX(Products!$AH$5:$AH$304,MATCH(B176,Products!$A$5:$A$304,0))-INDEX(Products!$T$5:$T$304,MATCH(B176,Products!$A$5:$A$304,0))-INDEX(Products!$Z$5:$Z$304,MATCH(B176,Products!$A$5:$A$304,0)),0))</f>
        <v>0</v>
      </c>
      <c r="R176" s="36">
        <f>IF(B176="","",IFERROR(INDEX(Products!$X$5:$X$304,MATCH(B176,Products!$A$5:$A$304,0)),""))</f>
        <v>0</v>
      </c>
      <c r="S176" s="20">
        <f>IF(B176="","",IFERROR(INDEX(Products!$AR$5:$AR$304,MATCH(B176,Products!$A$5:$A$304,0)),""))</f>
        <v>0</v>
      </c>
      <c r="T176" s="41">
        <f>IF(B176="","",IFERROR(INDEX(SizeMaterialFactors,MATCH(E176,SizeNames,0)),1))</f>
        <v>0</v>
      </c>
      <c r="U176" s="41">
        <f>IF(B176="","",IFERROR(INDEX(SizeTimeFactors,MATCH(E176,SizeNames,0)),1))</f>
        <v>0</v>
      </c>
      <c r="V176" s="33">
        <f>IF(B176="","",IFERROR(INDEX(RushFactors,MATCH(H176,RushNames,0)),0))</f>
        <v>0</v>
      </c>
      <c r="W176" s="20">
        <f>IF(B176="","",ROUND(IF(O176="",0,O176)*T176+IF(F176="",0,F176),2))</f>
        <v>0</v>
      </c>
      <c r="X176" s="36">
        <f>IF(B176="","",ROUND(IF(R176="",0,R176)*U176+IF(G176="",0,G176),1))</f>
        <v>0</v>
      </c>
      <c r="Y176" s="20">
        <f>IF(B176="","",ROUND(IF(P176="",0,P176)*U176+IF(G176="",0,G176)/60*LaborCostHour,2))</f>
        <v>0</v>
      </c>
      <c r="Z176" s="20">
        <f>IF(B176="","",ROUND(W176+Y176+IF(Q176="",0,Q176),2))</f>
        <v>0</v>
      </c>
      <c r="AA176" s="33">
        <f>IF(B176="","",IFERROR(INDEX(Channels!$S$5:$S$18,MATCH(IF(J176="",DefaultChannel,J176),Channels!$A$5:$A$18,0)),0))</f>
        <v>0</v>
      </c>
      <c r="AB176" s="20">
        <f>IF(B176="","",IFERROR(INDEX(Channels!$T$5:$T$18,MATCH(IF(J176="",DefaultChannel,J176),Channels!$A$5:$A$18,0)),0))</f>
        <v>0</v>
      </c>
      <c r="AC176" s="41">
        <f>IF(B176="","",1-TargetRetailMargin-AA176)</f>
        <v>0</v>
      </c>
      <c r="AD176" s="20">
        <f>IF(B176="","",IF(AC176&lt;=0,"",((Z176+AB176)/AC176)*(1+V176)+IF(I176="",0,I176)))</f>
        <v>0</v>
      </c>
      <c r="AE176" s="20">
        <f>IF(B176="","",IF(AD176="","Check the settings",ROUND(IF(RoundingRule="None",AD176,IF(RoundingRule="Nearest 0.99",MAX(0.99,CEILING(AD176,1)-0.01),IF(RoundingRule="Nearest 0.95",MAX(0.95,CEILING(AD176,1)-0.05),IF(RoundingRule="Nearest 0.50",CEILING(AD176,0.5),IF(RoundingRule="Nearest 1",CEILING(AD176,1),IF(RoundingRule="Nearest 5",CEILING(AD176,5),IF(RoundingRule="Up to whole 1",CEILING(AD176,1),IF(RoundingRule="Up to whole 5",CEILING(AD176,5),ROUND(AD176,2))))))))),2)))</f>
        <v>0</v>
      </c>
      <c r="AF176" s="20">
        <f>IF(B176="","",IF(K176&lt;&gt;"",K176,IF(ISNUMBER(AE176),AE176,"")))</f>
        <v>0</v>
      </c>
      <c r="AG176" s="20">
        <f>IF(B176="","",IF(OR(AF176="",S176=""),"",ROUND(AF176-S176,2)))</f>
        <v>0</v>
      </c>
      <c r="AH176" s="20">
        <f>IF(B176="","",IF(AF176="","",ROUND(AF176*AA176+AB176,2)))</f>
        <v>0</v>
      </c>
      <c r="AI176" s="20">
        <f>IF(B176="","",IF(AF176="","",ROUND(AF176-Z176-AH176,2)))</f>
        <v>0</v>
      </c>
      <c r="AJ176" s="33">
        <f>IF(B176="","",IF(OR(AF176="",AF176=0),"",AI176/AF176))</f>
        <v>0</v>
      </c>
      <c r="AK176" s="20">
        <f>IF(B176="","",IF(OR(X176=0,X176="",AI176=""),"",ROUND((AI176+Y176)/(X176/60),2)))</f>
        <v>0</v>
      </c>
      <c r="AL176" s="43">
        <f>IF(B176="","",IF(N176="Not found","Check - no such product ID",IF(AF176="","Check - no price yet",IF(AI176&lt;0,"Loss - this version costs you money",IF(AND(AK176&lt;&gt;"",AK176&lt;MinimumWage),"Below - pays under minimum wage",IF(AND(G176&gt;0,AG176&lt;=0),"Check - extra work, no extra charge",IF(AJ176&lt;MarginWarning,"Low margin - re-price it","OK")))))))</f>
        <v>0</v>
      </c>
    </row>
    <row r="177" spans="1:38">
      <c r="A177" s="38">
        <f>IF(C177="","",VariationPrefix&amp;TEXT(ROW()-4,"0000"))</f>
        <v>0</v>
      </c>
      <c r="N177" s="13">
        <f>IF(B177="","",IFERROR(INDEX(Products!$B$5:$B$304,MATCH(B177,Products!$A$5:$A$304,0)),"Not found"))</f>
        <v>0</v>
      </c>
      <c r="O177" s="20">
        <f>IF(B177="","",IFERROR(INDEX(Products!$T$5:$T$304,MATCH(B177,Products!$A$5:$A$304,0)),""))</f>
        <v>0</v>
      </c>
      <c r="P177" s="20">
        <f>IF(B177="","",IFERROR(INDEX(Products!$Z$5:$Z$304,MATCH(B177,Products!$A$5:$A$304,0)),""))</f>
        <v>0</v>
      </c>
      <c r="Q177" s="20">
        <f>IF(B177="","",IFERROR(INDEX(Products!$AH$5:$AH$304,MATCH(B177,Products!$A$5:$A$304,0))-INDEX(Products!$T$5:$T$304,MATCH(B177,Products!$A$5:$A$304,0))-INDEX(Products!$Z$5:$Z$304,MATCH(B177,Products!$A$5:$A$304,0)),0))</f>
        <v>0</v>
      </c>
      <c r="R177" s="36">
        <f>IF(B177="","",IFERROR(INDEX(Products!$X$5:$X$304,MATCH(B177,Products!$A$5:$A$304,0)),""))</f>
        <v>0</v>
      </c>
      <c r="S177" s="20">
        <f>IF(B177="","",IFERROR(INDEX(Products!$AR$5:$AR$304,MATCH(B177,Products!$A$5:$A$304,0)),""))</f>
        <v>0</v>
      </c>
      <c r="T177" s="41">
        <f>IF(B177="","",IFERROR(INDEX(SizeMaterialFactors,MATCH(E177,SizeNames,0)),1))</f>
        <v>0</v>
      </c>
      <c r="U177" s="41">
        <f>IF(B177="","",IFERROR(INDEX(SizeTimeFactors,MATCH(E177,SizeNames,0)),1))</f>
        <v>0</v>
      </c>
      <c r="V177" s="33">
        <f>IF(B177="","",IFERROR(INDEX(RushFactors,MATCH(H177,RushNames,0)),0))</f>
        <v>0</v>
      </c>
      <c r="W177" s="20">
        <f>IF(B177="","",ROUND(IF(O177="",0,O177)*T177+IF(F177="",0,F177),2))</f>
        <v>0</v>
      </c>
      <c r="X177" s="36">
        <f>IF(B177="","",ROUND(IF(R177="",0,R177)*U177+IF(G177="",0,G177),1))</f>
        <v>0</v>
      </c>
      <c r="Y177" s="20">
        <f>IF(B177="","",ROUND(IF(P177="",0,P177)*U177+IF(G177="",0,G177)/60*LaborCostHour,2))</f>
        <v>0</v>
      </c>
      <c r="Z177" s="20">
        <f>IF(B177="","",ROUND(W177+Y177+IF(Q177="",0,Q177),2))</f>
        <v>0</v>
      </c>
      <c r="AA177" s="33">
        <f>IF(B177="","",IFERROR(INDEX(Channels!$S$5:$S$18,MATCH(IF(J177="",DefaultChannel,J177),Channels!$A$5:$A$18,0)),0))</f>
        <v>0</v>
      </c>
      <c r="AB177" s="20">
        <f>IF(B177="","",IFERROR(INDEX(Channels!$T$5:$T$18,MATCH(IF(J177="",DefaultChannel,J177),Channels!$A$5:$A$18,0)),0))</f>
        <v>0</v>
      </c>
      <c r="AC177" s="41">
        <f>IF(B177="","",1-TargetRetailMargin-AA177)</f>
        <v>0</v>
      </c>
      <c r="AD177" s="20">
        <f>IF(B177="","",IF(AC177&lt;=0,"",((Z177+AB177)/AC177)*(1+V177)+IF(I177="",0,I177)))</f>
        <v>0</v>
      </c>
      <c r="AE177" s="20">
        <f>IF(B177="","",IF(AD177="","Check the settings",ROUND(IF(RoundingRule="None",AD177,IF(RoundingRule="Nearest 0.99",MAX(0.99,CEILING(AD177,1)-0.01),IF(RoundingRule="Nearest 0.95",MAX(0.95,CEILING(AD177,1)-0.05),IF(RoundingRule="Nearest 0.50",CEILING(AD177,0.5),IF(RoundingRule="Nearest 1",CEILING(AD177,1),IF(RoundingRule="Nearest 5",CEILING(AD177,5),IF(RoundingRule="Up to whole 1",CEILING(AD177,1),IF(RoundingRule="Up to whole 5",CEILING(AD177,5),ROUND(AD177,2))))))))),2)))</f>
        <v>0</v>
      </c>
      <c r="AF177" s="20">
        <f>IF(B177="","",IF(K177&lt;&gt;"",K177,IF(ISNUMBER(AE177),AE177,"")))</f>
        <v>0</v>
      </c>
      <c r="AG177" s="20">
        <f>IF(B177="","",IF(OR(AF177="",S177=""),"",ROUND(AF177-S177,2)))</f>
        <v>0</v>
      </c>
      <c r="AH177" s="20">
        <f>IF(B177="","",IF(AF177="","",ROUND(AF177*AA177+AB177,2)))</f>
        <v>0</v>
      </c>
      <c r="AI177" s="20">
        <f>IF(B177="","",IF(AF177="","",ROUND(AF177-Z177-AH177,2)))</f>
        <v>0</v>
      </c>
      <c r="AJ177" s="33">
        <f>IF(B177="","",IF(OR(AF177="",AF177=0),"",AI177/AF177))</f>
        <v>0</v>
      </c>
      <c r="AK177" s="20">
        <f>IF(B177="","",IF(OR(X177=0,X177="",AI177=""),"",ROUND((AI177+Y177)/(X177/60),2)))</f>
        <v>0</v>
      </c>
      <c r="AL177" s="43">
        <f>IF(B177="","",IF(N177="Not found","Check - no such product ID",IF(AF177="","Check - no price yet",IF(AI177&lt;0,"Loss - this version costs you money",IF(AND(AK177&lt;&gt;"",AK177&lt;MinimumWage),"Below - pays under minimum wage",IF(AND(G177&gt;0,AG177&lt;=0),"Check - extra work, no extra charge",IF(AJ177&lt;MarginWarning,"Low margin - re-price it","OK")))))))</f>
        <v>0</v>
      </c>
    </row>
    <row r="178" spans="1:38">
      <c r="A178" s="38">
        <f>IF(C178="","",VariationPrefix&amp;TEXT(ROW()-4,"0000"))</f>
        <v>0</v>
      </c>
      <c r="N178" s="13">
        <f>IF(B178="","",IFERROR(INDEX(Products!$B$5:$B$304,MATCH(B178,Products!$A$5:$A$304,0)),"Not found"))</f>
        <v>0</v>
      </c>
      <c r="O178" s="20">
        <f>IF(B178="","",IFERROR(INDEX(Products!$T$5:$T$304,MATCH(B178,Products!$A$5:$A$304,0)),""))</f>
        <v>0</v>
      </c>
      <c r="P178" s="20">
        <f>IF(B178="","",IFERROR(INDEX(Products!$Z$5:$Z$304,MATCH(B178,Products!$A$5:$A$304,0)),""))</f>
        <v>0</v>
      </c>
      <c r="Q178" s="20">
        <f>IF(B178="","",IFERROR(INDEX(Products!$AH$5:$AH$304,MATCH(B178,Products!$A$5:$A$304,0))-INDEX(Products!$T$5:$T$304,MATCH(B178,Products!$A$5:$A$304,0))-INDEX(Products!$Z$5:$Z$304,MATCH(B178,Products!$A$5:$A$304,0)),0))</f>
        <v>0</v>
      </c>
      <c r="R178" s="36">
        <f>IF(B178="","",IFERROR(INDEX(Products!$X$5:$X$304,MATCH(B178,Products!$A$5:$A$304,0)),""))</f>
        <v>0</v>
      </c>
      <c r="S178" s="20">
        <f>IF(B178="","",IFERROR(INDEX(Products!$AR$5:$AR$304,MATCH(B178,Products!$A$5:$A$304,0)),""))</f>
        <v>0</v>
      </c>
      <c r="T178" s="41">
        <f>IF(B178="","",IFERROR(INDEX(SizeMaterialFactors,MATCH(E178,SizeNames,0)),1))</f>
        <v>0</v>
      </c>
      <c r="U178" s="41">
        <f>IF(B178="","",IFERROR(INDEX(SizeTimeFactors,MATCH(E178,SizeNames,0)),1))</f>
        <v>0</v>
      </c>
      <c r="V178" s="33">
        <f>IF(B178="","",IFERROR(INDEX(RushFactors,MATCH(H178,RushNames,0)),0))</f>
        <v>0</v>
      </c>
      <c r="W178" s="20">
        <f>IF(B178="","",ROUND(IF(O178="",0,O178)*T178+IF(F178="",0,F178),2))</f>
        <v>0</v>
      </c>
      <c r="X178" s="36">
        <f>IF(B178="","",ROUND(IF(R178="",0,R178)*U178+IF(G178="",0,G178),1))</f>
        <v>0</v>
      </c>
      <c r="Y178" s="20">
        <f>IF(B178="","",ROUND(IF(P178="",0,P178)*U178+IF(G178="",0,G178)/60*LaborCostHour,2))</f>
        <v>0</v>
      </c>
      <c r="Z178" s="20">
        <f>IF(B178="","",ROUND(W178+Y178+IF(Q178="",0,Q178),2))</f>
        <v>0</v>
      </c>
      <c r="AA178" s="33">
        <f>IF(B178="","",IFERROR(INDEX(Channels!$S$5:$S$18,MATCH(IF(J178="",DefaultChannel,J178),Channels!$A$5:$A$18,0)),0))</f>
        <v>0</v>
      </c>
      <c r="AB178" s="20">
        <f>IF(B178="","",IFERROR(INDEX(Channels!$T$5:$T$18,MATCH(IF(J178="",DefaultChannel,J178),Channels!$A$5:$A$18,0)),0))</f>
        <v>0</v>
      </c>
      <c r="AC178" s="41">
        <f>IF(B178="","",1-TargetRetailMargin-AA178)</f>
        <v>0</v>
      </c>
      <c r="AD178" s="20">
        <f>IF(B178="","",IF(AC178&lt;=0,"",((Z178+AB178)/AC178)*(1+V178)+IF(I178="",0,I178)))</f>
        <v>0</v>
      </c>
      <c r="AE178" s="20">
        <f>IF(B178="","",IF(AD178="","Check the settings",ROUND(IF(RoundingRule="None",AD178,IF(RoundingRule="Nearest 0.99",MAX(0.99,CEILING(AD178,1)-0.01),IF(RoundingRule="Nearest 0.95",MAX(0.95,CEILING(AD178,1)-0.05),IF(RoundingRule="Nearest 0.50",CEILING(AD178,0.5),IF(RoundingRule="Nearest 1",CEILING(AD178,1),IF(RoundingRule="Nearest 5",CEILING(AD178,5),IF(RoundingRule="Up to whole 1",CEILING(AD178,1),IF(RoundingRule="Up to whole 5",CEILING(AD178,5),ROUND(AD178,2))))))))),2)))</f>
        <v>0</v>
      </c>
      <c r="AF178" s="20">
        <f>IF(B178="","",IF(K178&lt;&gt;"",K178,IF(ISNUMBER(AE178),AE178,"")))</f>
        <v>0</v>
      </c>
      <c r="AG178" s="20">
        <f>IF(B178="","",IF(OR(AF178="",S178=""),"",ROUND(AF178-S178,2)))</f>
        <v>0</v>
      </c>
      <c r="AH178" s="20">
        <f>IF(B178="","",IF(AF178="","",ROUND(AF178*AA178+AB178,2)))</f>
        <v>0</v>
      </c>
      <c r="AI178" s="20">
        <f>IF(B178="","",IF(AF178="","",ROUND(AF178-Z178-AH178,2)))</f>
        <v>0</v>
      </c>
      <c r="AJ178" s="33">
        <f>IF(B178="","",IF(OR(AF178="",AF178=0),"",AI178/AF178))</f>
        <v>0</v>
      </c>
      <c r="AK178" s="20">
        <f>IF(B178="","",IF(OR(X178=0,X178="",AI178=""),"",ROUND((AI178+Y178)/(X178/60),2)))</f>
        <v>0</v>
      </c>
      <c r="AL178" s="43">
        <f>IF(B178="","",IF(N178="Not found","Check - no such product ID",IF(AF178="","Check - no price yet",IF(AI178&lt;0,"Loss - this version costs you money",IF(AND(AK178&lt;&gt;"",AK178&lt;MinimumWage),"Below - pays under minimum wage",IF(AND(G178&gt;0,AG178&lt;=0),"Check - extra work, no extra charge",IF(AJ178&lt;MarginWarning,"Low margin - re-price it","OK")))))))</f>
        <v>0</v>
      </c>
    </row>
    <row r="179" spans="1:38">
      <c r="A179" s="38">
        <f>IF(C179="","",VariationPrefix&amp;TEXT(ROW()-4,"0000"))</f>
        <v>0</v>
      </c>
      <c r="N179" s="13">
        <f>IF(B179="","",IFERROR(INDEX(Products!$B$5:$B$304,MATCH(B179,Products!$A$5:$A$304,0)),"Not found"))</f>
        <v>0</v>
      </c>
      <c r="O179" s="20">
        <f>IF(B179="","",IFERROR(INDEX(Products!$T$5:$T$304,MATCH(B179,Products!$A$5:$A$304,0)),""))</f>
        <v>0</v>
      </c>
      <c r="P179" s="20">
        <f>IF(B179="","",IFERROR(INDEX(Products!$Z$5:$Z$304,MATCH(B179,Products!$A$5:$A$304,0)),""))</f>
        <v>0</v>
      </c>
      <c r="Q179" s="20">
        <f>IF(B179="","",IFERROR(INDEX(Products!$AH$5:$AH$304,MATCH(B179,Products!$A$5:$A$304,0))-INDEX(Products!$T$5:$T$304,MATCH(B179,Products!$A$5:$A$304,0))-INDEX(Products!$Z$5:$Z$304,MATCH(B179,Products!$A$5:$A$304,0)),0))</f>
        <v>0</v>
      </c>
      <c r="R179" s="36">
        <f>IF(B179="","",IFERROR(INDEX(Products!$X$5:$X$304,MATCH(B179,Products!$A$5:$A$304,0)),""))</f>
        <v>0</v>
      </c>
      <c r="S179" s="20">
        <f>IF(B179="","",IFERROR(INDEX(Products!$AR$5:$AR$304,MATCH(B179,Products!$A$5:$A$304,0)),""))</f>
        <v>0</v>
      </c>
      <c r="T179" s="41">
        <f>IF(B179="","",IFERROR(INDEX(SizeMaterialFactors,MATCH(E179,SizeNames,0)),1))</f>
        <v>0</v>
      </c>
      <c r="U179" s="41">
        <f>IF(B179="","",IFERROR(INDEX(SizeTimeFactors,MATCH(E179,SizeNames,0)),1))</f>
        <v>0</v>
      </c>
      <c r="V179" s="33">
        <f>IF(B179="","",IFERROR(INDEX(RushFactors,MATCH(H179,RushNames,0)),0))</f>
        <v>0</v>
      </c>
      <c r="W179" s="20">
        <f>IF(B179="","",ROUND(IF(O179="",0,O179)*T179+IF(F179="",0,F179),2))</f>
        <v>0</v>
      </c>
      <c r="X179" s="36">
        <f>IF(B179="","",ROUND(IF(R179="",0,R179)*U179+IF(G179="",0,G179),1))</f>
        <v>0</v>
      </c>
      <c r="Y179" s="20">
        <f>IF(B179="","",ROUND(IF(P179="",0,P179)*U179+IF(G179="",0,G179)/60*LaborCostHour,2))</f>
        <v>0</v>
      </c>
      <c r="Z179" s="20">
        <f>IF(B179="","",ROUND(W179+Y179+IF(Q179="",0,Q179),2))</f>
        <v>0</v>
      </c>
      <c r="AA179" s="33">
        <f>IF(B179="","",IFERROR(INDEX(Channels!$S$5:$S$18,MATCH(IF(J179="",DefaultChannel,J179),Channels!$A$5:$A$18,0)),0))</f>
        <v>0</v>
      </c>
      <c r="AB179" s="20">
        <f>IF(B179="","",IFERROR(INDEX(Channels!$T$5:$T$18,MATCH(IF(J179="",DefaultChannel,J179),Channels!$A$5:$A$18,0)),0))</f>
        <v>0</v>
      </c>
      <c r="AC179" s="41">
        <f>IF(B179="","",1-TargetRetailMargin-AA179)</f>
        <v>0</v>
      </c>
      <c r="AD179" s="20">
        <f>IF(B179="","",IF(AC179&lt;=0,"",((Z179+AB179)/AC179)*(1+V179)+IF(I179="",0,I179)))</f>
        <v>0</v>
      </c>
      <c r="AE179" s="20">
        <f>IF(B179="","",IF(AD179="","Check the settings",ROUND(IF(RoundingRule="None",AD179,IF(RoundingRule="Nearest 0.99",MAX(0.99,CEILING(AD179,1)-0.01),IF(RoundingRule="Nearest 0.95",MAX(0.95,CEILING(AD179,1)-0.05),IF(RoundingRule="Nearest 0.50",CEILING(AD179,0.5),IF(RoundingRule="Nearest 1",CEILING(AD179,1),IF(RoundingRule="Nearest 5",CEILING(AD179,5),IF(RoundingRule="Up to whole 1",CEILING(AD179,1),IF(RoundingRule="Up to whole 5",CEILING(AD179,5),ROUND(AD179,2))))))))),2)))</f>
        <v>0</v>
      </c>
      <c r="AF179" s="20">
        <f>IF(B179="","",IF(K179&lt;&gt;"",K179,IF(ISNUMBER(AE179),AE179,"")))</f>
        <v>0</v>
      </c>
      <c r="AG179" s="20">
        <f>IF(B179="","",IF(OR(AF179="",S179=""),"",ROUND(AF179-S179,2)))</f>
        <v>0</v>
      </c>
      <c r="AH179" s="20">
        <f>IF(B179="","",IF(AF179="","",ROUND(AF179*AA179+AB179,2)))</f>
        <v>0</v>
      </c>
      <c r="AI179" s="20">
        <f>IF(B179="","",IF(AF179="","",ROUND(AF179-Z179-AH179,2)))</f>
        <v>0</v>
      </c>
      <c r="AJ179" s="33">
        <f>IF(B179="","",IF(OR(AF179="",AF179=0),"",AI179/AF179))</f>
        <v>0</v>
      </c>
      <c r="AK179" s="20">
        <f>IF(B179="","",IF(OR(X179=0,X179="",AI179=""),"",ROUND((AI179+Y179)/(X179/60),2)))</f>
        <v>0</v>
      </c>
      <c r="AL179" s="43">
        <f>IF(B179="","",IF(N179="Not found","Check - no such product ID",IF(AF179="","Check - no price yet",IF(AI179&lt;0,"Loss - this version costs you money",IF(AND(AK179&lt;&gt;"",AK179&lt;MinimumWage),"Below - pays under minimum wage",IF(AND(G179&gt;0,AG179&lt;=0),"Check - extra work, no extra charge",IF(AJ179&lt;MarginWarning,"Low margin - re-price it","OK")))))))</f>
        <v>0</v>
      </c>
    </row>
    <row r="180" spans="1:38">
      <c r="A180" s="38">
        <f>IF(C180="","",VariationPrefix&amp;TEXT(ROW()-4,"0000"))</f>
        <v>0</v>
      </c>
      <c r="N180" s="13">
        <f>IF(B180="","",IFERROR(INDEX(Products!$B$5:$B$304,MATCH(B180,Products!$A$5:$A$304,0)),"Not found"))</f>
        <v>0</v>
      </c>
      <c r="O180" s="20">
        <f>IF(B180="","",IFERROR(INDEX(Products!$T$5:$T$304,MATCH(B180,Products!$A$5:$A$304,0)),""))</f>
        <v>0</v>
      </c>
      <c r="P180" s="20">
        <f>IF(B180="","",IFERROR(INDEX(Products!$Z$5:$Z$304,MATCH(B180,Products!$A$5:$A$304,0)),""))</f>
        <v>0</v>
      </c>
      <c r="Q180" s="20">
        <f>IF(B180="","",IFERROR(INDEX(Products!$AH$5:$AH$304,MATCH(B180,Products!$A$5:$A$304,0))-INDEX(Products!$T$5:$T$304,MATCH(B180,Products!$A$5:$A$304,0))-INDEX(Products!$Z$5:$Z$304,MATCH(B180,Products!$A$5:$A$304,0)),0))</f>
        <v>0</v>
      </c>
      <c r="R180" s="36">
        <f>IF(B180="","",IFERROR(INDEX(Products!$X$5:$X$304,MATCH(B180,Products!$A$5:$A$304,0)),""))</f>
        <v>0</v>
      </c>
      <c r="S180" s="20">
        <f>IF(B180="","",IFERROR(INDEX(Products!$AR$5:$AR$304,MATCH(B180,Products!$A$5:$A$304,0)),""))</f>
        <v>0</v>
      </c>
      <c r="T180" s="41">
        <f>IF(B180="","",IFERROR(INDEX(SizeMaterialFactors,MATCH(E180,SizeNames,0)),1))</f>
        <v>0</v>
      </c>
      <c r="U180" s="41">
        <f>IF(B180="","",IFERROR(INDEX(SizeTimeFactors,MATCH(E180,SizeNames,0)),1))</f>
        <v>0</v>
      </c>
      <c r="V180" s="33">
        <f>IF(B180="","",IFERROR(INDEX(RushFactors,MATCH(H180,RushNames,0)),0))</f>
        <v>0</v>
      </c>
      <c r="W180" s="20">
        <f>IF(B180="","",ROUND(IF(O180="",0,O180)*T180+IF(F180="",0,F180),2))</f>
        <v>0</v>
      </c>
      <c r="X180" s="36">
        <f>IF(B180="","",ROUND(IF(R180="",0,R180)*U180+IF(G180="",0,G180),1))</f>
        <v>0</v>
      </c>
      <c r="Y180" s="20">
        <f>IF(B180="","",ROUND(IF(P180="",0,P180)*U180+IF(G180="",0,G180)/60*LaborCostHour,2))</f>
        <v>0</v>
      </c>
      <c r="Z180" s="20">
        <f>IF(B180="","",ROUND(W180+Y180+IF(Q180="",0,Q180),2))</f>
        <v>0</v>
      </c>
      <c r="AA180" s="33">
        <f>IF(B180="","",IFERROR(INDEX(Channels!$S$5:$S$18,MATCH(IF(J180="",DefaultChannel,J180),Channels!$A$5:$A$18,0)),0))</f>
        <v>0</v>
      </c>
      <c r="AB180" s="20">
        <f>IF(B180="","",IFERROR(INDEX(Channels!$T$5:$T$18,MATCH(IF(J180="",DefaultChannel,J180),Channels!$A$5:$A$18,0)),0))</f>
        <v>0</v>
      </c>
      <c r="AC180" s="41">
        <f>IF(B180="","",1-TargetRetailMargin-AA180)</f>
        <v>0</v>
      </c>
      <c r="AD180" s="20">
        <f>IF(B180="","",IF(AC180&lt;=0,"",((Z180+AB180)/AC180)*(1+V180)+IF(I180="",0,I180)))</f>
        <v>0</v>
      </c>
      <c r="AE180" s="20">
        <f>IF(B180="","",IF(AD180="","Check the settings",ROUND(IF(RoundingRule="None",AD180,IF(RoundingRule="Nearest 0.99",MAX(0.99,CEILING(AD180,1)-0.01),IF(RoundingRule="Nearest 0.95",MAX(0.95,CEILING(AD180,1)-0.05),IF(RoundingRule="Nearest 0.50",CEILING(AD180,0.5),IF(RoundingRule="Nearest 1",CEILING(AD180,1),IF(RoundingRule="Nearest 5",CEILING(AD180,5),IF(RoundingRule="Up to whole 1",CEILING(AD180,1),IF(RoundingRule="Up to whole 5",CEILING(AD180,5),ROUND(AD180,2))))))))),2)))</f>
        <v>0</v>
      </c>
      <c r="AF180" s="20">
        <f>IF(B180="","",IF(K180&lt;&gt;"",K180,IF(ISNUMBER(AE180),AE180,"")))</f>
        <v>0</v>
      </c>
      <c r="AG180" s="20">
        <f>IF(B180="","",IF(OR(AF180="",S180=""),"",ROUND(AF180-S180,2)))</f>
        <v>0</v>
      </c>
      <c r="AH180" s="20">
        <f>IF(B180="","",IF(AF180="","",ROUND(AF180*AA180+AB180,2)))</f>
        <v>0</v>
      </c>
      <c r="AI180" s="20">
        <f>IF(B180="","",IF(AF180="","",ROUND(AF180-Z180-AH180,2)))</f>
        <v>0</v>
      </c>
      <c r="AJ180" s="33">
        <f>IF(B180="","",IF(OR(AF180="",AF180=0),"",AI180/AF180))</f>
        <v>0</v>
      </c>
      <c r="AK180" s="20">
        <f>IF(B180="","",IF(OR(X180=0,X180="",AI180=""),"",ROUND((AI180+Y180)/(X180/60),2)))</f>
        <v>0</v>
      </c>
      <c r="AL180" s="43">
        <f>IF(B180="","",IF(N180="Not found","Check - no such product ID",IF(AF180="","Check - no price yet",IF(AI180&lt;0,"Loss - this version costs you money",IF(AND(AK180&lt;&gt;"",AK180&lt;MinimumWage),"Below - pays under minimum wage",IF(AND(G180&gt;0,AG180&lt;=0),"Check - extra work, no extra charge",IF(AJ180&lt;MarginWarning,"Low margin - re-price it","OK")))))))</f>
        <v>0</v>
      </c>
    </row>
    <row r="181" spans="1:38">
      <c r="A181" s="38">
        <f>IF(C181="","",VariationPrefix&amp;TEXT(ROW()-4,"0000"))</f>
        <v>0</v>
      </c>
      <c r="N181" s="13">
        <f>IF(B181="","",IFERROR(INDEX(Products!$B$5:$B$304,MATCH(B181,Products!$A$5:$A$304,0)),"Not found"))</f>
        <v>0</v>
      </c>
      <c r="O181" s="20">
        <f>IF(B181="","",IFERROR(INDEX(Products!$T$5:$T$304,MATCH(B181,Products!$A$5:$A$304,0)),""))</f>
        <v>0</v>
      </c>
      <c r="P181" s="20">
        <f>IF(B181="","",IFERROR(INDEX(Products!$Z$5:$Z$304,MATCH(B181,Products!$A$5:$A$304,0)),""))</f>
        <v>0</v>
      </c>
      <c r="Q181" s="20">
        <f>IF(B181="","",IFERROR(INDEX(Products!$AH$5:$AH$304,MATCH(B181,Products!$A$5:$A$304,0))-INDEX(Products!$T$5:$T$304,MATCH(B181,Products!$A$5:$A$304,0))-INDEX(Products!$Z$5:$Z$304,MATCH(B181,Products!$A$5:$A$304,0)),0))</f>
        <v>0</v>
      </c>
      <c r="R181" s="36">
        <f>IF(B181="","",IFERROR(INDEX(Products!$X$5:$X$304,MATCH(B181,Products!$A$5:$A$304,0)),""))</f>
        <v>0</v>
      </c>
      <c r="S181" s="20">
        <f>IF(B181="","",IFERROR(INDEX(Products!$AR$5:$AR$304,MATCH(B181,Products!$A$5:$A$304,0)),""))</f>
        <v>0</v>
      </c>
      <c r="T181" s="41">
        <f>IF(B181="","",IFERROR(INDEX(SizeMaterialFactors,MATCH(E181,SizeNames,0)),1))</f>
        <v>0</v>
      </c>
      <c r="U181" s="41">
        <f>IF(B181="","",IFERROR(INDEX(SizeTimeFactors,MATCH(E181,SizeNames,0)),1))</f>
        <v>0</v>
      </c>
      <c r="V181" s="33">
        <f>IF(B181="","",IFERROR(INDEX(RushFactors,MATCH(H181,RushNames,0)),0))</f>
        <v>0</v>
      </c>
      <c r="W181" s="20">
        <f>IF(B181="","",ROUND(IF(O181="",0,O181)*T181+IF(F181="",0,F181),2))</f>
        <v>0</v>
      </c>
      <c r="X181" s="36">
        <f>IF(B181="","",ROUND(IF(R181="",0,R181)*U181+IF(G181="",0,G181),1))</f>
        <v>0</v>
      </c>
      <c r="Y181" s="20">
        <f>IF(B181="","",ROUND(IF(P181="",0,P181)*U181+IF(G181="",0,G181)/60*LaborCostHour,2))</f>
        <v>0</v>
      </c>
      <c r="Z181" s="20">
        <f>IF(B181="","",ROUND(W181+Y181+IF(Q181="",0,Q181),2))</f>
        <v>0</v>
      </c>
      <c r="AA181" s="33">
        <f>IF(B181="","",IFERROR(INDEX(Channels!$S$5:$S$18,MATCH(IF(J181="",DefaultChannel,J181),Channels!$A$5:$A$18,0)),0))</f>
        <v>0</v>
      </c>
      <c r="AB181" s="20">
        <f>IF(B181="","",IFERROR(INDEX(Channels!$T$5:$T$18,MATCH(IF(J181="",DefaultChannel,J181),Channels!$A$5:$A$18,0)),0))</f>
        <v>0</v>
      </c>
      <c r="AC181" s="41">
        <f>IF(B181="","",1-TargetRetailMargin-AA181)</f>
        <v>0</v>
      </c>
      <c r="AD181" s="20">
        <f>IF(B181="","",IF(AC181&lt;=0,"",((Z181+AB181)/AC181)*(1+V181)+IF(I181="",0,I181)))</f>
        <v>0</v>
      </c>
      <c r="AE181" s="20">
        <f>IF(B181="","",IF(AD181="","Check the settings",ROUND(IF(RoundingRule="None",AD181,IF(RoundingRule="Nearest 0.99",MAX(0.99,CEILING(AD181,1)-0.01),IF(RoundingRule="Nearest 0.95",MAX(0.95,CEILING(AD181,1)-0.05),IF(RoundingRule="Nearest 0.50",CEILING(AD181,0.5),IF(RoundingRule="Nearest 1",CEILING(AD181,1),IF(RoundingRule="Nearest 5",CEILING(AD181,5),IF(RoundingRule="Up to whole 1",CEILING(AD181,1),IF(RoundingRule="Up to whole 5",CEILING(AD181,5),ROUND(AD181,2))))))))),2)))</f>
        <v>0</v>
      </c>
      <c r="AF181" s="20">
        <f>IF(B181="","",IF(K181&lt;&gt;"",K181,IF(ISNUMBER(AE181),AE181,"")))</f>
        <v>0</v>
      </c>
      <c r="AG181" s="20">
        <f>IF(B181="","",IF(OR(AF181="",S181=""),"",ROUND(AF181-S181,2)))</f>
        <v>0</v>
      </c>
      <c r="AH181" s="20">
        <f>IF(B181="","",IF(AF181="","",ROUND(AF181*AA181+AB181,2)))</f>
        <v>0</v>
      </c>
      <c r="AI181" s="20">
        <f>IF(B181="","",IF(AF181="","",ROUND(AF181-Z181-AH181,2)))</f>
        <v>0</v>
      </c>
      <c r="AJ181" s="33">
        <f>IF(B181="","",IF(OR(AF181="",AF181=0),"",AI181/AF181))</f>
        <v>0</v>
      </c>
      <c r="AK181" s="20">
        <f>IF(B181="","",IF(OR(X181=0,X181="",AI181=""),"",ROUND((AI181+Y181)/(X181/60),2)))</f>
        <v>0</v>
      </c>
      <c r="AL181" s="43">
        <f>IF(B181="","",IF(N181="Not found","Check - no such product ID",IF(AF181="","Check - no price yet",IF(AI181&lt;0,"Loss - this version costs you money",IF(AND(AK181&lt;&gt;"",AK181&lt;MinimumWage),"Below - pays under minimum wage",IF(AND(G181&gt;0,AG181&lt;=0),"Check - extra work, no extra charge",IF(AJ181&lt;MarginWarning,"Low margin - re-price it","OK")))))))</f>
        <v>0</v>
      </c>
    </row>
    <row r="182" spans="1:38">
      <c r="A182" s="38">
        <f>IF(C182="","",VariationPrefix&amp;TEXT(ROW()-4,"0000"))</f>
        <v>0</v>
      </c>
      <c r="N182" s="13">
        <f>IF(B182="","",IFERROR(INDEX(Products!$B$5:$B$304,MATCH(B182,Products!$A$5:$A$304,0)),"Not found"))</f>
        <v>0</v>
      </c>
      <c r="O182" s="20">
        <f>IF(B182="","",IFERROR(INDEX(Products!$T$5:$T$304,MATCH(B182,Products!$A$5:$A$304,0)),""))</f>
        <v>0</v>
      </c>
      <c r="P182" s="20">
        <f>IF(B182="","",IFERROR(INDEX(Products!$Z$5:$Z$304,MATCH(B182,Products!$A$5:$A$304,0)),""))</f>
        <v>0</v>
      </c>
      <c r="Q182" s="20">
        <f>IF(B182="","",IFERROR(INDEX(Products!$AH$5:$AH$304,MATCH(B182,Products!$A$5:$A$304,0))-INDEX(Products!$T$5:$T$304,MATCH(B182,Products!$A$5:$A$304,0))-INDEX(Products!$Z$5:$Z$304,MATCH(B182,Products!$A$5:$A$304,0)),0))</f>
        <v>0</v>
      </c>
      <c r="R182" s="36">
        <f>IF(B182="","",IFERROR(INDEX(Products!$X$5:$X$304,MATCH(B182,Products!$A$5:$A$304,0)),""))</f>
        <v>0</v>
      </c>
      <c r="S182" s="20">
        <f>IF(B182="","",IFERROR(INDEX(Products!$AR$5:$AR$304,MATCH(B182,Products!$A$5:$A$304,0)),""))</f>
        <v>0</v>
      </c>
      <c r="T182" s="41">
        <f>IF(B182="","",IFERROR(INDEX(SizeMaterialFactors,MATCH(E182,SizeNames,0)),1))</f>
        <v>0</v>
      </c>
      <c r="U182" s="41">
        <f>IF(B182="","",IFERROR(INDEX(SizeTimeFactors,MATCH(E182,SizeNames,0)),1))</f>
        <v>0</v>
      </c>
      <c r="V182" s="33">
        <f>IF(B182="","",IFERROR(INDEX(RushFactors,MATCH(H182,RushNames,0)),0))</f>
        <v>0</v>
      </c>
      <c r="W182" s="20">
        <f>IF(B182="","",ROUND(IF(O182="",0,O182)*T182+IF(F182="",0,F182),2))</f>
        <v>0</v>
      </c>
      <c r="X182" s="36">
        <f>IF(B182="","",ROUND(IF(R182="",0,R182)*U182+IF(G182="",0,G182),1))</f>
        <v>0</v>
      </c>
      <c r="Y182" s="20">
        <f>IF(B182="","",ROUND(IF(P182="",0,P182)*U182+IF(G182="",0,G182)/60*LaborCostHour,2))</f>
        <v>0</v>
      </c>
      <c r="Z182" s="20">
        <f>IF(B182="","",ROUND(W182+Y182+IF(Q182="",0,Q182),2))</f>
        <v>0</v>
      </c>
      <c r="AA182" s="33">
        <f>IF(B182="","",IFERROR(INDEX(Channels!$S$5:$S$18,MATCH(IF(J182="",DefaultChannel,J182),Channels!$A$5:$A$18,0)),0))</f>
        <v>0</v>
      </c>
      <c r="AB182" s="20">
        <f>IF(B182="","",IFERROR(INDEX(Channels!$T$5:$T$18,MATCH(IF(J182="",DefaultChannel,J182),Channels!$A$5:$A$18,0)),0))</f>
        <v>0</v>
      </c>
      <c r="AC182" s="41">
        <f>IF(B182="","",1-TargetRetailMargin-AA182)</f>
        <v>0</v>
      </c>
      <c r="AD182" s="20">
        <f>IF(B182="","",IF(AC182&lt;=0,"",((Z182+AB182)/AC182)*(1+V182)+IF(I182="",0,I182)))</f>
        <v>0</v>
      </c>
      <c r="AE182" s="20">
        <f>IF(B182="","",IF(AD182="","Check the settings",ROUND(IF(RoundingRule="None",AD182,IF(RoundingRule="Nearest 0.99",MAX(0.99,CEILING(AD182,1)-0.01),IF(RoundingRule="Nearest 0.95",MAX(0.95,CEILING(AD182,1)-0.05),IF(RoundingRule="Nearest 0.50",CEILING(AD182,0.5),IF(RoundingRule="Nearest 1",CEILING(AD182,1),IF(RoundingRule="Nearest 5",CEILING(AD182,5),IF(RoundingRule="Up to whole 1",CEILING(AD182,1),IF(RoundingRule="Up to whole 5",CEILING(AD182,5),ROUND(AD182,2))))))))),2)))</f>
        <v>0</v>
      </c>
      <c r="AF182" s="20">
        <f>IF(B182="","",IF(K182&lt;&gt;"",K182,IF(ISNUMBER(AE182),AE182,"")))</f>
        <v>0</v>
      </c>
      <c r="AG182" s="20">
        <f>IF(B182="","",IF(OR(AF182="",S182=""),"",ROUND(AF182-S182,2)))</f>
        <v>0</v>
      </c>
      <c r="AH182" s="20">
        <f>IF(B182="","",IF(AF182="","",ROUND(AF182*AA182+AB182,2)))</f>
        <v>0</v>
      </c>
      <c r="AI182" s="20">
        <f>IF(B182="","",IF(AF182="","",ROUND(AF182-Z182-AH182,2)))</f>
        <v>0</v>
      </c>
      <c r="AJ182" s="33">
        <f>IF(B182="","",IF(OR(AF182="",AF182=0),"",AI182/AF182))</f>
        <v>0</v>
      </c>
      <c r="AK182" s="20">
        <f>IF(B182="","",IF(OR(X182=0,X182="",AI182=""),"",ROUND((AI182+Y182)/(X182/60),2)))</f>
        <v>0</v>
      </c>
      <c r="AL182" s="43">
        <f>IF(B182="","",IF(N182="Not found","Check - no such product ID",IF(AF182="","Check - no price yet",IF(AI182&lt;0,"Loss - this version costs you money",IF(AND(AK182&lt;&gt;"",AK182&lt;MinimumWage),"Below - pays under minimum wage",IF(AND(G182&gt;0,AG182&lt;=0),"Check - extra work, no extra charge",IF(AJ182&lt;MarginWarning,"Low margin - re-price it","OK")))))))</f>
        <v>0</v>
      </c>
    </row>
    <row r="183" spans="1:38">
      <c r="A183" s="38">
        <f>IF(C183="","",VariationPrefix&amp;TEXT(ROW()-4,"0000"))</f>
        <v>0</v>
      </c>
      <c r="N183" s="13">
        <f>IF(B183="","",IFERROR(INDEX(Products!$B$5:$B$304,MATCH(B183,Products!$A$5:$A$304,0)),"Not found"))</f>
        <v>0</v>
      </c>
      <c r="O183" s="20">
        <f>IF(B183="","",IFERROR(INDEX(Products!$T$5:$T$304,MATCH(B183,Products!$A$5:$A$304,0)),""))</f>
        <v>0</v>
      </c>
      <c r="P183" s="20">
        <f>IF(B183="","",IFERROR(INDEX(Products!$Z$5:$Z$304,MATCH(B183,Products!$A$5:$A$304,0)),""))</f>
        <v>0</v>
      </c>
      <c r="Q183" s="20">
        <f>IF(B183="","",IFERROR(INDEX(Products!$AH$5:$AH$304,MATCH(B183,Products!$A$5:$A$304,0))-INDEX(Products!$T$5:$T$304,MATCH(B183,Products!$A$5:$A$304,0))-INDEX(Products!$Z$5:$Z$304,MATCH(B183,Products!$A$5:$A$304,0)),0))</f>
        <v>0</v>
      </c>
      <c r="R183" s="36">
        <f>IF(B183="","",IFERROR(INDEX(Products!$X$5:$X$304,MATCH(B183,Products!$A$5:$A$304,0)),""))</f>
        <v>0</v>
      </c>
      <c r="S183" s="20">
        <f>IF(B183="","",IFERROR(INDEX(Products!$AR$5:$AR$304,MATCH(B183,Products!$A$5:$A$304,0)),""))</f>
        <v>0</v>
      </c>
      <c r="T183" s="41">
        <f>IF(B183="","",IFERROR(INDEX(SizeMaterialFactors,MATCH(E183,SizeNames,0)),1))</f>
        <v>0</v>
      </c>
      <c r="U183" s="41">
        <f>IF(B183="","",IFERROR(INDEX(SizeTimeFactors,MATCH(E183,SizeNames,0)),1))</f>
        <v>0</v>
      </c>
      <c r="V183" s="33">
        <f>IF(B183="","",IFERROR(INDEX(RushFactors,MATCH(H183,RushNames,0)),0))</f>
        <v>0</v>
      </c>
      <c r="W183" s="20">
        <f>IF(B183="","",ROUND(IF(O183="",0,O183)*T183+IF(F183="",0,F183),2))</f>
        <v>0</v>
      </c>
      <c r="X183" s="36">
        <f>IF(B183="","",ROUND(IF(R183="",0,R183)*U183+IF(G183="",0,G183),1))</f>
        <v>0</v>
      </c>
      <c r="Y183" s="20">
        <f>IF(B183="","",ROUND(IF(P183="",0,P183)*U183+IF(G183="",0,G183)/60*LaborCostHour,2))</f>
        <v>0</v>
      </c>
      <c r="Z183" s="20">
        <f>IF(B183="","",ROUND(W183+Y183+IF(Q183="",0,Q183),2))</f>
        <v>0</v>
      </c>
      <c r="AA183" s="33">
        <f>IF(B183="","",IFERROR(INDEX(Channels!$S$5:$S$18,MATCH(IF(J183="",DefaultChannel,J183),Channels!$A$5:$A$18,0)),0))</f>
        <v>0</v>
      </c>
      <c r="AB183" s="20">
        <f>IF(B183="","",IFERROR(INDEX(Channels!$T$5:$T$18,MATCH(IF(J183="",DefaultChannel,J183),Channels!$A$5:$A$18,0)),0))</f>
        <v>0</v>
      </c>
      <c r="AC183" s="41">
        <f>IF(B183="","",1-TargetRetailMargin-AA183)</f>
        <v>0</v>
      </c>
      <c r="AD183" s="20">
        <f>IF(B183="","",IF(AC183&lt;=0,"",((Z183+AB183)/AC183)*(1+V183)+IF(I183="",0,I183)))</f>
        <v>0</v>
      </c>
      <c r="AE183" s="20">
        <f>IF(B183="","",IF(AD183="","Check the settings",ROUND(IF(RoundingRule="None",AD183,IF(RoundingRule="Nearest 0.99",MAX(0.99,CEILING(AD183,1)-0.01),IF(RoundingRule="Nearest 0.95",MAX(0.95,CEILING(AD183,1)-0.05),IF(RoundingRule="Nearest 0.50",CEILING(AD183,0.5),IF(RoundingRule="Nearest 1",CEILING(AD183,1),IF(RoundingRule="Nearest 5",CEILING(AD183,5),IF(RoundingRule="Up to whole 1",CEILING(AD183,1),IF(RoundingRule="Up to whole 5",CEILING(AD183,5),ROUND(AD183,2))))))))),2)))</f>
        <v>0</v>
      </c>
      <c r="AF183" s="20">
        <f>IF(B183="","",IF(K183&lt;&gt;"",K183,IF(ISNUMBER(AE183),AE183,"")))</f>
        <v>0</v>
      </c>
      <c r="AG183" s="20">
        <f>IF(B183="","",IF(OR(AF183="",S183=""),"",ROUND(AF183-S183,2)))</f>
        <v>0</v>
      </c>
      <c r="AH183" s="20">
        <f>IF(B183="","",IF(AF183="","",ROUND(AF183*AA183+AB183,2)))</f>
        <v>0</v>
      </c>
      <c r="AI183" s="20">
        <f>IF(B183="","",IF(AF183="","",ROUND(AF183-Z183-AH183,2)))</f>
        <v>0</v>
      </c>
      <c r="AJ183" s="33">
        <f>IF(B183="","",IF(OR(AF183="",AF183=0),"",AI183/AF183))</f>
        <v>0</v>
      </c>
      <c r="AK183" s="20">
        <f>IF(B183="","",IF(OR(X183=0,X183="",AI183=""),"",ROUND((AI183+Y183)/(X183/60),2)))</f>
        <v>0</v>
      </c>
      <c r="AL183" s="43">
        <f>IF(B183="","",IF(N183="Not found","Check - no such product ID",IF(AF183="","Check - no price yet",IF(AI183&lt;0,"Loss - this version costs you money",IF(AND(AK183&lt;&gt;"",AK183&lt;MinimumWage),"Below - pays under minimum wage",IF(AND(G183&gt;0,AG183&lt;=0),"Check - extra work, no extra charge",IF(AJ183&lt;MarginWarning,"Low margin - re-price it","OK")))))))</f>
        <v>0</v>
      </c>
    </row>
    <row r="184" spans="1:38">
      <c r="A184" s="38">
        <f>IF(C184="","",VariationPrefix&amp;TEXT(ROW()-4,"0000"))</f>
        <v>0</v>
      </c>
      <c r="N184" s="13">
        <f>IF(B184="","",IFERROR(INDEX(Products!$B$5:$B$304,MATCH(B184,Products!$A$5:$A$304,0)),"Not found"))</f>
        <v>0</v>
      </c>
      <c r="O184" s="20">
        <f>IF(B184="","",IFERROR(INDEX(Products!$T$5:$T$304,MATCH(B184,Products!$A$5:$A$304,0)),""))</f>
        <v>0</v>
      </c>
      <c r="P184" s="20">
        <f>IF(B184="","",IFERROR(INDEX(Products!$Z$5:$Z$304,MATCH(B184,Products!$A$5:$A$304,0)),""))</f>
        <v>0</v>
      </c>
      <c r="Q184" s="20">
        <f>IF(B184="","",IFERROR(INDEX(Products!$AH$5:$AH$304,MATCH(B184,Products!$A$5:$A$304,0))-INDEX(Products!$T$5:$T$304,MATCH(B184,Products!$A$5:$A$304,0))-INDEX(Products!$Z$5:$Z$304,MATCH(B184,Products!$A$5:$A$304,0)),0))</f>
        <v>0</v>
      </c>
      <c r="R184" s="36">
        <f>IF(B184="","",IFERROR(INDEX(Products!$X$5:$X$304,MATCH(B184,Products!$A$5:$A$304,0)),""))</f>
        <v>0</v>
      </c>
      <c r="S184" s="20">
        <f>IF(B184="","",IFERROR(INDEX(Products!$AR$5:$AR$304,MATCH(B184,Products!$A$5:$A$304,0)),""))</f>
        <v>0</v>
      </c>
      <c r="T184" s="41">
        <f>IF(B184="","",IFERROR(INDEX(SizeMaterialFactors,MATCH(E184,SizeNames,0)),1))</f>
        <v>0</v>
      </c>
      <c r="U184" s="41">
        <f>IF(B184="","",IFERROR(INDEX(SizeTimeFactors,MATCH(E184,SizeNames,0)),1))</f>
        <v>0</v>
      </c>
      <c r="V184" s="33">
        <f>IF(B184="","",IFERROR(INDEX(RushFactors,MATCH(H184,RushNames,0)),0))</f>
        <v>0</v>
      </c>
      <c r="W184" s="20">
        <f>IF(B184="","",ROUND(IF(O184="",0,O184)*T184+IF(F184="",0,F184),2))</f>
        <v>0</v>
      </c>
      <c r="X184" s="36">
        <f>IF(B184="","",ROUND(IF(R184="",0,R184)*U184+IF(G184="",0,G184),1))</f>
        <v>0</v>
      </c>
      <c r="Y184" s="20">
        <f>IF(B184="","",ROUND(IF(P184="",0,P184)*U184+IF(G184="",0,G184)/60*LaborCostHour,2))</f>
        <v>0</v>
      </c>
      <c r="Z184" s="20">
        <f>IF(B184="","",ROUND(W184+Y184+IF(Q184="",0,Q184),2))</f>
        <v>0</v>
      </c>
      <c r="AA184" s="33">
        <f>IF(B184="","",IFERROR(INDEX(Channels!$S$5:$S$18,MATCH(IF(J184="",DefaultChannel,J184),Channels!$A$5:$A$18,0)),0))</f>
        <v>0</v>
      </c>
      <c r="AB184" s="20">
        <f>IF(B184="","",IFERROR(INDEX(Channels!$T$5:$T$18,MATCH(IF(J184="",DefaultChannel,J184),Channels!$A$5:$A$18,0)),0))</f>
        <v>0</v>
      </c>
      <c r="AC184" s="41">
        <f>IF(B184="","",1-TargetRetailMargin-AA184)</f>
        <v>0</v>
      </c>
      <c r="AD184" s="20">
        <f>IF(B184="","",IF(AC184&lt;=0,"",((Z184+AB184)/AC184)*(1+V184)+IF(I184="",0,I184)))</f>
        <v>0</v>
      </c>
      <c r="AE184" s="20">
        <f>IF(B184="","",IF(AD184="","Check the settings",ROUND(IF(RoundingRule="None",AD184,IF(RoundingRule="Nearest 0.99",MAX(0.99,CEILING(AD184,1)-0.01),IF(RoundingRule="Nearest 0.95",MAX(0.95,CEILING(AD184,1)-0.05),IF(RoundingRule="Nearest 0.50",CEILING(AD184,0.5),IF(RoundingRule="Nearest 1",CEILING(AD184,1),IF(RoundingRule="Nearest 5",CEILING(AD184,5),IF(RoundingRule="Up to whole 1",CEILING(AD184,1),IF(RoundingRule="Up to whole 5",CEILING(AD184,5),ROUND(AD184,2))))))))),2)))</f>
        <v>0</v>
      </c>
      <c r="AF184" s="20">
        <f>IF(B184="","",IF(K184&lt;&gt;"",K184,IF(ISNUMBER(AE184),AE184,"")))</f>
        <v>0</v>
      </c>
      <c r="AG184" s="20">
        <f>IF(B184="","",IF(OR(AF184="",S184=""),"",ROUND(AF184-S184,2)))</f>
        <v>0</v>
      </c>
      <c r="AH184" s="20">
        <f>IF(B184="","",IF(AF184="","",ROUND(AF184*AA184+AB184,2)))</f>
        <v>0</v>
      </c>
      <c r="AI184" s="20">
        <f>IF(B184="","",IF(AF184="","",ROUND(AF184-Z184-AH184,2)))</f>
        <v>0</v>
      </c>
      <c r="AJ184" s="33">
        <f>IF(B184="","",IF(OR(AF184="",AF184=0),"",AI184/AF184))</f>
        <v>0</v>
      </c>
      <c r="AK184" s="20">
        <f>IF(B184="","",IF(OR(X184=0,X184="",AI184=""),"",ROUND((AI184+Y184)/(X184/60),2)))</f>
        <v>0</v>
      </c>
      <c r="AL184" s="43">
        <f>IF(B184="","",IF(N184="Not found","Check - no such product ID",IF(AF184="","Check - no price yet",IF(AI184&lt;0,"Loss - this version costs you money",IF(AND(AK184&lt;&gt;"",AK184&lt;MinimumWage),"Below - pays under minimum wage",IF(AND(G184&gt;0,AG184&lt;=0),"Check - extra work, no extra charge",IF(AJ184&lt;MarginWarning,"Low margin - re-price it","OK")))))))</f>
        <v>0</v>
      </c>
    </row>
    <row r="185" spans="1:38">
      <c r="A185" s="38">
        <f>IF(C185="","",VariationPrefix&amp;TEXT(ROW()-4,"0000"))</f>
        <v>0</v>
      </c>
      <c r="N185" s="13">
        <f>IF(B185="","",IFERROR(INDEX(Products!$B$5:$B$304,MATCH(B185,Products!$A$5:$A$304,0)),"Not found"))</f>
        <v>0</v>
      </c>
      <c r="O185" s="20">
        <f>IF(B185="","",IFERROR(INDEX(Products!$T$5:$T$304,MATCH(B185,Products!$A$5:$A$304,0)),""))</f>
        <v>0</v>
      </c>
      <c r="P185" s="20">
        <f>IF(B185="","",IFERROR(INDEX(Products!$Z$5:$Z$304,MATCH(B185,Products!$A$5:$A$304,0)),""))</f>
        <v>0</v>
      </c>
      <c r="Q185" s="20">
        <f>IF(B185="","",IFERROR(INDEX(Products!$AH$5:$AH$304,MATCH(B185,Products!$A$5:$A$304,0))-INDEX(Products!$T$5:$T$304,MATCH(B185,Products!$A$5:$A$304,0))-INDEX(Products!$Z$5:$Z$304,MATCH(B185,Products!$A$5:$A$304,0)),0))</f>
        <v>0</v>
      </c>
      <c r="R185" s="36">
        <f>IF(B185="","",IFERROR(INDEX(Products!$X$5:$X$304,MATCH(B185,Products!$A$5:$A$304,0)),""))</f>
        <v>0</v>
      </c>
      <c r="S185" s="20">
        <f>IF(B185="","",IFERROR(INDEX(Products!$AR$5:$AR$304,MATCH(B185,Products!$A$5:$A$304,0)),""))</f>
        <v>0</v>
      </c>
      <c r="T185" s="41">
        <f>IF(B185="","",IFERROR(INDEX(SizeMaterialFactors,MATCH(E185,SizeNames,0)),1))</f>
        <v>0</v>
      </c>
      <c r="U185" s="41">
        <f>IF(B185="","",IFERROR(INDEX(SizeTimeFactors,MATCH(E185,SizeNames,0)),1))</f>
        <v>0</v>
      </c>
      <c r="V185" s="33">
        <f>IF(B185="","",IFERROR(INDEX(RushFactors,MATCH(H185,RushNames,0)),0))</f>
        <v>0</v>
      </c>
      <c r="W185" s="20">
        <f>IF(B185="","",ROUND(IF(O185="",0,O185)*T185+IF(F185="",0,F185),2))</f>
        <v>0</v>
      </c>
      <c r="X185" s="36">
        <f>IF(B185="","",ROUND(IF(R185="",0,R185)*U185+IF(G185="",0,G185),1))</f>
        <v>0</v>
      </c>
      <c r="Y185" s="20">
        <f>IF(B185="","",ROUND(IF(P185="",0,P185)*U185+IF(G185="",0,G185)/60*LaborCostHour,2))</f>
        <v>0</v>
      </c>
      <c r="Z185" s="20">
        <f>IF(B185="","",ROUND(W185+Y185+IF(Q185="",0,Q185),2))</f>
        <v>0</v>
      </c>
      <c r="AA185" s="33">
        <f>IF(B185="","",IFERROR(INDEX(Channels!$S$5:$S$18,MATCH(IF(J185="",DefaultChannel,J185),Channels!$A$5:$A$18,0)),0))</f>
        <v>0</v>
      </c>
      <c r="AB185" s="20">
        <f>IF(B185="","",IFERROR(INDEX(Channels!$T$5:$T$18,MATCH(IF(J185="",DefaultChannel,J185),Channels!$A$5:$A$18,0)),0))</f>
        <v>0</v>
      </c>
      <c r="AC185" s="41">
        <f>IF(B185="","",1-TargetRetailMargin-AA185)</f>
        <v>0</v>
      </c>
      <c r="AD185" s="20">
        <f>IF(B185="","",IF(AC185&lt;=0,"",((Z185+AB185)/AC185)*(1+V185)+IF(I185="",0,I185)))</f>
        <v>0</v>
      </c>
      <c r="AE185" s="20">
        <f>IF(B185="","",IF(AD185="","Check the settings",ROUND(IF(RoundingRule="None",AD185,IF(RoundingRule="Nearest 0.99",MAX(0.99,CEILING(AD185,1)-0.01),IF(RoundingRule="Nearest 0.95",MAX(0.95,CEILING(AD185,1)-0.05),IF(RoundingRule="Nearest 0.50",CEILING(AD185,0.5),IF(RoundingRule="Nearest 1",CEILING(AD185,1),IF(RoundingRule="Nearest 5",CEILING(AD185,5),IF(RoundingRule="Up to whole 1",CEILING(AD185,1),IF(RoundingRule="Up to whole 5",CEILING(AD185,5),ROUND(AD185,2))))))))),2)))</f>
        <v>0</v>
      </c>
      <c r="AF185" s="20">
        <f>IF(B185="","",IF(K185&lt;&gt;"",K185,IF(ISNUMBER(AE185),AE185,"")))</f>
        <v>0</v>
      </c>
      <c r="AG185" s="20">
        <f>IF(B185="","",IF(OR(AF185="",S185=""),"",ROUND(AF185-S185,2)))</f>
        <v>0</v>
      </c>
      <c r="AH185" s="20">
        <f>IF(B185="","",IF(AF185="","",ROUND(AF185*AA185+AB185,2)))</f>
        <v>0</v>
      </c>
      <c r="AI185" s="20">
        <f>IF(B185="","",IF(AF185="","",ROUND(AF185-Z185-AH185,2)))</f>
        <v>0</v>
      </c>
      <c r="AJ185" s="33">
        <f>IF(B185="","",IF(OR(AF185="",AF185=0),"",AI185/AF185))</f>
        <v>0</v>
      </c>
      <c r="AK185" s="20">
        <f>IF(B185="","",IF(OR(X185=0,X185="",AI185=""),"",ROUND((AI185+Y185)/(X185/60),2)))</f>
        <v>0</v>
      </c>
      <c r="AL185" s="43">
        <f>IF(B185="","",IF(N185="Not found","Check - no such product ID",IF(AF185="","Check - no price yet",IF(AI185&lt;0,"Loss - this version costs you money",IF(AND(AK185&lt;&gt;"",AK185&lt;MinimumWage),"Below - pays under minimum wage",IF(AND(G185&gt;0,AG185&lt;=0),"Check - extra work, no extra charge",IF(AJ185&lt;MarginWarning,"Low margin - re-price it","OK")))))))</f>
        <v>0</v>
      </c>
    </row>
    <row r="186" spans="1:38">
      <c r="A186" s="38">
        <f>IF(C186="","",VariationPrefix&amp;TEXT(ROW()-4,"0000"))</f>
        <v>0</v>
      </c>
      <c r="N186" s="13">
        <f>IF(B186="","",IFERROR(INDEX(Products!$B$5:$B$304,MATCH(B186,Products!$A$5:$A$304,0)),"Not found"))</f>
        <v>0</v>
      </c>
      <c r="O186" s="20">
        <f>IF(B186="","",IFERROR(INDEX(Products!$T$5:$T$304,MATCH(B186,Products!$A$5:$A$304,0)),""))</f>
        <v>0</v>
      </c>
      <c r="P186" s="20">
        <f>IF(B186="","",IFERROR(INDEX(Products!$Z$5:$Z$304,MATCH(B186,Products!$A$5:$A$304,0)),""))</f>
        <v>0</v>
      </c>
      <c r="Q186" s="20">
        <f>IF(B186="","",IFERROR(INDEX(Products!$AH$5:$AH$304,MATCH(B186,Products!$A$5:$A$304,0))-INDEX(Products!$T$5:$T$304,MATCH(B186,Products!$A$5:$A$304,0))-INDEX(Products!$Z$5:$Z$304,MATCH(B186,Products!$A$5:$A$304,0)),0))</f>
        <v>0</v>
      </c>
      <c r="R186" s="36">
        <f>IF(B186="","",IFERROR(INDEX(Products!$X$5:$X$304,MATCH(B186,Products!$A$5:$A$304,0)),""))</f>
        <v>0</v>
      </c>
      <c r="S186" s="20">
        <f>IF(B186="","",IFERROR(INDEX(Products!$AR$5:$AR$304,MATCH(B186,Products!$A$5:$A$304,0)),""))</f>
        <v>0</v>
      </c>
      <c r="T186" s="41">
        <f>IF(B186="","",IFERROR(INDEX(SizeMaterialFactors,MATCH(E186,SizeNames,0)),1))</f>
        <v>0</v>
      </c>
      <c r="U186" s="41">
        <f>IF(B186="","",IFERROR(INDEX(SizeTimeFactors,MATCH(E186,SizeNames,0)),1))</f>
        <v>0</v>
      </c>
      <c r="V186" s="33">
        <f>IF(B186="","",IFERROR(INDEX(RushFactors,MATCH(H186,RushNames,0)),0))</f>
        <v>0</v>
      </c>
      <c r="W186" s="20">
        <f>IF(B186="","",ROUND(IF(O186="",0,O186)*T186+IF(F186="",0,F186),2))</f>
        <v>0</v>
      </c>
      <c r="X186" s="36">
        <f>IF(B186="","",ROUND(IF(R186="",0,R186)*U186+IF(G186="",0,G186),1))</f>
        <v>0</v>
      </c>
      <c r="Y186" s="20">
        <f>IF(B186="","",ROUND(IF(P186="",0,P186)*U186+IF(G186="",0,G186)/60*LaborCostHour,2))</f>
        <v>0</v>
      </c>
      <c r="Z186" s="20">
        <f>IF(B186="","",ROUND(W186+Y186+IF(Q186="",0,Q186),2))</f>
        <v>0</v>
      </c>
      <c r="AA186" s="33">
        <f>IF(B186="","",IFERROR(INDEX(Channels!$S$5:$S$18,MATCH(IF(J186="",DefaultChannel,J186),Channels!$A$5:$A$18,0)),0))</f>
        <v>0</v>
      </c>
      <c r="AB186" s="20">
        <f>IF(B186="","",IFERROR(INDEX(Channels!$T$5:$T$18,MATCH(IF(J186="",DefaultChannel,J186),Channels!$A$5:$A$18,0)),0))</f>
        <v>0</v>
      </c>
      <c r="AC186" s="41">
        <f>IF(B186="","",1-TargetRetailMargin-AA186)</f>
        <v>0</v>
      </c>
      <c r="AD186" s="20">
        <f>IF(B186="","",IF(AC186&lt;=0,"",((Z186+AB186)/AC186)*(1+V186)+IF(I186="",0,I186)))</f>
        <v>0</v>
      </c>
      <c r="AE186" s="20">
        <f>IF(B186="","",IF(AD186="","Check the settings",ROUND(IF(RoundingRule="None",AD186,IF(RoundingRule="Nearest 0.99",MAX(0.99,CEILING(AD186,1)-0.01),IF(RoundingRule="Nearest 0.95",MAX(0.95,CEILING(AD186,1)-0.05),IF(RoundingRule="Nearest 0.50",CEILING(AD186,0.5),IF(RoundingRule="Nearest 1",CEILING(AD186,1),IF(RoundingRule="Nearest 5",CEILING(AD186,5),IF(RoundingRule="Up to whole 1",CEILING(AD186,1),IF(RoundingRule="Up to whole 5",CEILING(AD186,5),ROUND(AD186,2))))))))),2)))</f>
        <v>0</v>
      </c>
      <c r="AF186" s="20">
        <f>IF(B186="","",IF(K186&lt;&gt;"",K186,IF(ISNUMBER(AE186),AE186,"")))</f>
        <v>0</v>
      </c>
      <c r="AG186" s="20">
        <f>IF(B186="","",IF(OR(AF186="",S186=""),"",ROUND(AF186-S186,2)))</f>
        <v>0</v>
      </c>
      <c r="AH186" s="20">
        <f>IF(B186="","",IF(AF186="","",ROUND(AF186*AA186+AB186,2)))</f>
        <v>0</v>
      </c>
      <c r="AI186" s="20">
        <f>IF(B186="","",IF(AF186="","",ROUND(AF186-Z186-AH186,2)))</f>
        <v>0</v>
      </c>
      <c r="AJ186" s="33">
        <f>IF(B186="","",IF(OR(AF186="",AF186=0),"",AI186/AF186))</f>
        <v>0</v>
      </c>
      <c r="AK186" s="20">
        <f>IF(B186="","",IF(OR(X186=0,X186="",AI186=""),"",ROUND((AI186+Y186)/(X186/60),2)))</f>
        <v>0</v>
      </c>
      <c r="AL186" s="43">
        <f>IF(B186="","",IF(N186="Not found","Check - no such product ID",IF(AF186="","Check - no price yet",IF(AI186&lt;0,"Loss - this version costs you money",IF(AND(AK186&lt;&gt;"",AK186&lt;MinimumWage),"Below - pays under minimum wage",IF(AND(G186&gt;0,AG186&lt;=0),"Check - extra work, no extra charge",IF(AJ186&lt;MarginWarning,"Low margin - re-price it","OK")))))))</f>
        <v>0</v>
      </c>
    </row>
    <row r="187" spans="1:38">
      <c r="A187" s="38">
        <f>IF(C187="","",VariationPrefix&amp;TEXT(ROW()-4,"0000"))</f>
        <v>0</v>
      </c>
      <c r="N187" s="13">
        <f>IF(B187="","",IFERROR(INDEX(Products!$B$5:$B$304,MATCH(B187,Products!$A$5:$A$304,0)),"Not found"))</f>
        <v>0</v>
      </c>
      <c r="O187" s="20">
        <f>IF(B187="","",IFERROR(INDEX(Products!$T$5:$T$304,MATCH(B187,Products!$A$5:$A$304,0)),""))</f>
        <v>0</v>
      </c>
      <c r="P187" s="20">
        <f>IF(B187="","",IFERROR(INDEX(Products!$Z$5:$Z$304,MATCH(B187,Products!$A$5:$A$304,0)),""))</f>
        <v>0</v>
      </c>
      <c r="Q187" s="20">
        <f>IF(B187="","",IFERROR(INDEX(Products!$AH$5:$AH$304,MATCH(B187,Products!$A$5:$A$304,0))-INDEX(Products!$T$5:$T$304,MATCH(B187,Products!$A$5:$A$304,0))-INDEX(Products!$Z$5:$Z$304,MATCH(B187,Products!$A$5:$A$304,0)),0))</f>
        <v>0</v>
      </c>
      <c r="R187" s="36">
        <f>IF(B187="","",IFERROR(INDEX(Products!$X$5:$X$304,MATCH(B187,Products!$A$5:$A$304,0)),""))</f>
        <v>0</v>
      </c>
      <c r="S187" s="20">
        <f>IF(B187="","",IFERROR(INDEX(Products!$AR$5:$AR$304,MATCH(B187,Products!$A$5:$A$304,0)),""))</f>
        <v>0</v>
      </c>
      <c r="T187" s="41">
        <f>IF(B187="","",IFERROR(INDEX(SizeMaterialFactors,MATCH(E187,SizeNames,0)),1))</f>
        <v>0</v>
      </c>
      <c r="U187" s="41">
        <f>IF(B187="","",IFERROR(INDEX(SizeTimeFactors,MATCH(E187,SizeNames,0)),1))</f>
        <v>0</v>
      </c>
      <c r="V187" s="33">
        <f>IF(B187="","",IFERROR(INDEX(RushFactors,MATCH(H187,RushNames,0)),0))</f>
        <v>0</v>
      </c>
      <c r="W187" s="20">
        <f>IF(B187="","",ROUND(IF(O187="",0,O187)*T187+IF(F187="",0,F187),2))</f>
        <v>0</v>
      </c>
      <c r="X187" s="36">
        <f>IF(B187="","",ROUND(IF(R187="",0,R187)*U187+IF(G187="",0,G187),1))</f>
        <v>0</v>
      </c>
      <c r="Y187" s="20">
        <f>IF(B187="","",ROUND(IF(P187="",0,P187)*U187+IF(G187="",0,G187)/60*LaborCostHour,2))</f>
        <v>0</v>
      </c>
      <c r="Z187" s="20">
        <f>IF(B187="","",ROUND(W187+Y187+IF(Q187="",0,Q187),2))</f>
        <v>0</v>
      </c>
      <c r="AA187" s="33">
        <f>IF(B187="","",IFERROR(INDEX(Channels!$S$5:$S$18,MATCH(IF(J187="",DefaultChannel,J187),Channels!$A$5:$A$18,0)),0))</f>
        <v>0</v>
      </c>
      <c r="AB187" s="20">
        <f>IF(B187="","",IFERROR(INDEX(Channels!$T$5:$T$18,MATCH(IF(J187="",DefaultChannel,J187),Channels!$A$5:$A$18,0)),0))</f>
        <v>0</v>
      </c>
      <c r="AC187" s="41">
        <f>IF(B187="","",1-TargetRetailMargin-AA187)</f>
        <v>0</v>
      </c>
      <c r="AD187" s="20">
        <f>IF(B187="","",IF(AC187&lt;=0,"",((Z187+AB187)/AC187)*(1+V187)+IF(I187="",0,I187)))</f>
        <v>0</v>
      </c>
      <c r="AE187" s="20">
        <f>IF(B187="","",IF(AD187="","Check the settings",ROUND(IF(RoundingRule="None",AD187,IF(RoundingRule="Nearest 0.99",MAX(0.99,CEILING(AD187,1)-0.01),IF(RoundingRule="Nearest 0.95",MAX(0.95,CEILING(AD187,1)-0.05),IF(RoundingRule="Nearest 0.50",CEILING(AD187,0.5),IF(RoundingRule="Nearest 1",CEILING(AD187,1),IF(RoundingRule="Nearest 5",CEILING(AD187,5),IF(RoundingRule="Up to whole 1",CEILING(AD187,1),IF(RoundingRule="Up to whole 5",CEILING(AD187,5),ROUND(AD187,2))))))))),2)))</f>
        <v>0</v>
      </c>
      <c r="AF187" s="20">
        <f>IF(B187="","",IF(K187&lt;&gt;"",K187,IF(ISNUMBER(AE187),AE187,"")))</f>
        <v>0</v>
      </c>
      <c r="AG187" s="20">
        <f>IF(B187="","",IF(OR(AF187="",S187=""),"",ROUND(AF187-S187,2)))</f>
        <v>0</v>
      </c>
      <c r="AH187" s="20">
        <f>IF(B187="","",IF(AF187="","",ROUND(AF187*AA187+AB187,2)))</f>
        <v>0</v>
      </c>
      <c r="AI187" s="20">
        <f>IF(B187="","",IF(AF187="","",ROUND(AF187-Z187-AH187,2)))</f>
        <v>0</v>
      </c>
      <c r="AJ187" s="33">
        <f>IF(B187="","",IF(OR(AF187="",AF187=0),"",AI187/AF187))</f>
        <v>0</v>
      </c>
      <c r="AK187" s="20">
        <f>IF(B187="","",IF(OR(X187=0,X187="",AI187=""),"",ROUND((AI187+Y187)/(X187/60),2)))</f>
        <v>0</v>
      </c>
      <c r="AL187" s="43">
        <f>IF(B187="","",IF(N187="Not found","Check - no such product ID",IF(AF187="","Check - no price yet",IF(AI187&lt;0,"Loss - this version costs you money",IF(AND(AK187&lt;&gt;"",AK187&lt;MinimumWage),"Below - pays under minimum wage",IF(AND(G187&gt;0,AG187&lt;=0),"Check - extra work, no extra charge",IF(AJ187&lt;MarginWarning,"Low margin - re-price it","OK")))))))</f>
        <v>0</v>
      </c>
    </row>
    <row r="188" spans="1:38">
      <c r="A188" s="38">
        <f>IF(C188="","",VariationPrefix&amp;TEXT(ROW()-4,"0000"))</f>
        <v>0</v>
      </c>
      <c r="N188" s="13">
        <f>IF(B188="","",IFERROR(INDEX(Products!$B$5:$B$304,MATCH(B188,Products!$A$5:$A$304,0)),"Not found"))</f>
        <v>0</v>
      </c>
      <c r="O188" s="20">
        <f>IF(B188="","",IFERROR(INDEX(Products!$T$5:$T$304,MATCH(B188,Products!$A$5:$A$304,0)),""))</f>
        <v>0</v>
      </c>
      <c r="P188" s="20">
        <f>IF(B188="","",IFERROR(INDEX(Products!$Z$5:$Z$304,MATCH(B188,Products!$A$5:$A$304,0)),""))</f>
        <v>0</v>
      </c>
      <c r="Q188" s="20">
        <f>IF(B188="","",IFERROR(INDEX(Products!$AH$5:$AH$304,MATCH(B188,Products!$A$5:$A$304,0))-INDEX(Products!$T$5:$T$304,MATCH(B188,Products!$A$5:$A$304,0))-INDEX(Products!$Z$5:$Z$304,MATCH(B188,Products!$A$5:$A$304,0)),0))</f>
        <v>0</v>
      </c>
      <c r="R188" s="36">
        <f>IF(B188="","",IFERROR(INDEX(Products!$X$5:$X$304,MATCH(B188,Products!$A$5:$A$304,0)),""))</f>
        <v>0</v>
      </c>
      <c r="S188" s="20">
        <f>IF(B188="","",IFERROR(INDEX(Products!$AR$5:$AR$304,MATCH(B188,Products!$A$5:$A$304,0)),""))</f>
        <v>0</v>
      </c>
      <c r="T188" s="41">
        <f>IF(B188="","",IFERROR(INDEX(SizeMaterialFactors,MATCH(E188,SizeNames,0)),1))</f>
        <v>0</v>
      </c>
      <c r="U188" s="41">
        <f>IF(B188="","",IFERROR(INDEX(SizeTimeFactors,MATCH(E188,SizeNames,0)),1))</f>
        <v>0</v>
      </c>
      <c r="V188" s="33">
        <f>IF(B188="","",IFERROR(INDEX(RushFactors,MATCH(H188,RushNames,0)),0))</f>
        <v>0</v>
      </c>
      <c r="W188" s="20">
        <f>IF(B188="","",ROUND(IF(O188="",0,O188)*T188+IF(F188="",0,F188),2))</f>
        <v>0</v>
      </c>
      <c r="X188" s="36">
        <f>IF(B188="","",ROUND(IF(R188="",0,R188)*U188+IF(G188="",0,G188),1))</f>
        <v>0</v>
      </c>
      <c r="Y188" s="20">
        <f>IF(B188="","",ROUND(IF(P188="",0,P188)*U188+IF(G188="",0,G188)/60*LaborCostHour,2))</f>
        <v>0</v>
      </c>
      <c r="Z188" s="20">
        <f>IF(B188="","",ROUND(W188+Y188+IF(Q188="",0,Q188),2))</f>
        <v>0</v>
      </c>
      <c r="AA188" s="33">
        <f>IF(B188="","",IFERROR(INDEX(Channels!$S$5:$S$18,MATCH(IF(J188="",DefaultChannel,J188),Channels!$A$5:$A$18,0)),0))</f>
        <v>0</v>
      </c>
      <c r="AB188" s="20">
        <f>IF(B188="","",IFERROR(INDEX(Channels!$T$5:$T$18,MATCH(IF(J188="",DefaultChannel,J188),Channels!$A$5:$A$18,0)),0))</f>
        <v>0</v>
      </c>
      <c r="AC188" s="41">
        <f>IF(B188="","",1-TargetRetailMargin-AA188)</f>
        <v>0</v>
      </c>
      <c r="AD188" s="20">
        <f>IF(B188="","",IF(AC188&lt;=0,"",((Z188+AB188)/AC188)*(1+V188)+IF(I188="",0,I188)))</f>
        <v>0</v>
      </c>
      <c r="AE188" s="20">
        <f>IF(B188="","",IF(AD188="","Check the settings",ROUND(IF(RoundingRule="None",AD188,IF(RoundingRule="Nearest 0.99",MAX(0.99,CEILING(AD188,1)-0.01),IF(RoundingRule="Nearest 0.95",MAX(0.95,CEILING(AD188,1)-0.05),IF(RoundingRule="Nearest 0.50",CEILING(AD188,0.5),IF(RoundingRule="Nearest 1",CEILING(AD188,1),IF(RoundingRule="Nearest 5",CEILING(AD188,5),IF(RoundingRule="Up to whole 1",CEILING(AD188,1),IF(RoundingRule="Up to whole 5",CEILING(AD188,5),ROUND(AD188,2))))))))),2)))</f>
        <v>0</v>
      </c>
      <c r="AF188" s="20">
        <f>IF(B188="","",IF(K188&lt;&gt;"",K188,IF(ISNUMBER(AE188),AE188,"")))</f>
        <v>0</v>
      </c>
      <c r="AG188" s="20">
        <f>IF(B188="","",IF(OR(AF188="",S188=""),"",ROUND(AF188-S188,2)))</f>
        <v>0</v>
      </c>
      <c r="AH188" s="20">
        <f>IF(B188="","",IF(AF188="","",ROUND(AF188*AA188+AB188,2)))</f>
        <v>0</v>
      </c>
      <c r="AI188" s="20">
        <f>IF(B188="","",IF(AF188="","",ROUND(AF188-Z188-AH188,2)))</f>
        <v>0</v>
      </c>
      <c r="AJ188" s="33">
        <f>IF(B188="","",IF(OR(AF188="",AF188=0),"",AI188/AF188))</f>
        <v>0</v>
      </c>
      <c r="AK188" s="20">
        <f>IF(B188="","",IF(OR(X188=0,X188="",AI188=""),"",ROUND((AI188+Y188)/(X188/60),2)))</f>
        <v>0</v>
      </c>
      <c r="AL188" s="43">
        <f>IF(B188="","",IF(N188="Not found","Check - no such product ID",IF(AF188="","Check - no price yet",IF(AI188&lt;0,"Loss - this version costs you money",IF(AND(AK188&lt;&gt;"",AK188&lt;MinimumWage),"Below - pays under minimum wage",IF(AND(G188&gt;0,AG188&lt;=0),"Check - extra work, no extra charge",IF(AJ188&lt;MarginWarning,"Low margin - re-price it","OK")))))))</f>
        <v>0</v>
      </c>
    </row>
    <row r="189" spans="1:38">
      <c r="A189" s="38">
        <f>IF(C189="","",VariationPrefix&amp;TEXT(ROW()-4,"0000"))</f>
        <v>0</v>
      </c>
      <c r="N189" s="13">
        <f>IF(B189="","",IFERROR(INDEX(Products!$B$5:$B$304,MATCH(B189,Products!$A$5:$A$304,0)),"Not found"))</f>
        <v>0</v>
      </c>
      <c r="O189" s="20">
        <f>IF(B189="","",IFERROR(INDEX(Products!$T$5:$T$304,MATCH(B189,Products!$A$5:$A$304,0)),""))</f>
        <v>0</v>
      </c>
      <c r="P189" s="20">
        <f>IF(B189="","",IFERROR(INDEX(Products!$Z$5:$Z$304,MATCH(B189,Products!$A$5:$A$304,0)),""))</f>
        <v>0</v>
      </c>
      <c r="Q189" s="20">
        <f>IF(B189="","",IFERROR(INDEX(Products!$AH$5:$AH$304,MATCH(B189,Products!$A$5:$A$304,0))-INDEX(Products!$T$5:$T$304,MATCH(B189,Products!$A$5:$A$304,0))-INDEX(Products!$Z$5:$Z$304,MATCH(B189,Products!$A$5:$A$304,0)),0))</f>
        <v>0</v>
      </c>
      <c r="R189" s="36">
        <f>IF(B189="","",IFERROR(INDEX(Products!$X$5:$X$304,MATCH(B189,Products!$A$5:$A$304,0)),""))</f>
        <v>0</v>
      </c>
      <c r="S189" s="20">
        <f>IF(B189="","",IFERROR(INDEX(Products!$AR$5:$AR$304,MATCH(B189,Products!$A$5:$A$304,0)),""))</f>
        <v>0</v>
      </c>
      <c r="T189" s="41">
        <f>IF(B189="","",IFERROR(INDEX(SizeMaterialFactors,MATCH(E189,SizeNames,0)),1))</f>
        <v>0</v>
      </c>
      <c r="U189" s="41">
        <f>IF(B189="","",IFERROR(INDEX(SizeTimeFactors,MATCH(E189,SizeNames,0)),1))</f>
        <v>0</v>
      </c>
      <c r="V189" s="33">
        <f>IF(B189="","",IFERROR(INDEX(RushFactors,MATCH(H189,RushNames,0)),0))</f>
        <v>0</v>
      </c>
      <c r="W189" s="20">
        <f>IF(B189="","",ROUND(IF(O189="",0,O189)*T189+IF(F189="",0,F189),2))</f>
        <v>0</v>
      </c>
      <c r="X189" s="36">
        <f>IF(B189="","",ROUND(IF(R189="",0,R189)*U189+IF(G189="",0,G189),1))</f>
        <v>0</v>
      </c>
      <c r="Y189" s="20">
        <f>IF(B189="","",ROUND(IF(P189="",0,P189)*U189+IF(G189="",0,G189)/60*LaborCostHour,2))</f>
        <v>0</v>
      </c>
      <c r="Z189" s="20">
        <f>IF(B189="","",ROUND(W189+Y189+IF(Q189="",0,Q189),2))</f>
        <v>0</v>
      </c>
      <c r="AA189" s="33">
        <f>IF(B189="","",IFERROR(INDEX(Channels!$S$5:$S$18,MATCH(IF(J189="",DefaultChannel,J189),Channels!$A$5:$A$18,0)),0))</f>
        <v>0</v>
      </c>
      <c r="AB189" s="20">
        <f>IF(B189="","",IFERROR(INDEX(Channels!$T$5:$T$18,MATCH(IF(J189="",DefaultChannel,J189),Channels!$A$5:$A$18,0)),0))</f>
        <v>0</v>
      </c>
      <c r="AC189" s="41">
        <f>IF(B189="","",1-TargetRetailMargin-AA189)</f>
        <v>0</v>
      </c>
      <c r="AD189" s="20">
        <f>IF(B189="","",IF(AC189&lt;=0,"",((Z189+AB189)/AC189)*(1+V189)+IF(I189="",0,I189)))</f>
        <v>0</v>
      </c>
      <c r="AE189" s="20">
        <f>IF(B189="","",IF(AD189="","Check the settings",ROUND(IF(RoundingRule="None",AD189,IF(RoundingRule="Nearest 0.99",MAX(0.99,CEILING(AD189,1)-0.01),IF(RoundingRule="Nearest 0.95",MAX(0.95,CEILING(AD189,1)-0.05),IF(RoundingRule="Nearest 0.50",CEILING(AD189,0.5),IF(RoundingRule="Nearest 1",CEILING(AD189,1),IF(RoundingRule="Nearest 5",CEILING(AD189,5),IF(RoundingRule="Up to whole 1",CEILING(AD189,1),IF(RoundingRule="Up to whole 5",CEILING(AD189,5),ROUND(AD189,2))))))))),2)))</f>
        <v>0</v>
      </c>
      <c r="AF189" s="20">
        <f>IF(B189="","",IF(K189&lt;&gt;"",K189,IF(ISNUMBER(AE189),AE189,"")))</f>
        <v>0</v>
      </c>
      <c r="AG189" s="20">
        <f>IF(B189="","",IF(OR(AF189="",S189=""),"",ROUND(AF189-S189,2)))</f>
        <v>0</v>
      </c>
      <c r="AH189" s="20">
        <f>IF(B189="","",IF(AF189="","",ROUND(AF189*AA189+AB189,2)))</f>
        <v>0</v>
      </c>
      <c r="AI189" s="20">
        <f>IF(B189="","",IF(AF189="","",ROUND(AF189-Z189-AH189,2)))</f>
        <v>0</v>
      </c>
      <c r="AJ189" s="33">
        <f>IF(B189="","",IF(OR(AF189="",AF189=0),"",AI189/AF189))</f>
        <v>0</v>
      </c>
      <c r="AK189" s="20">
        <f>IF(B189="","",IF(OR(X189=0,X189="",AI189=""),"",ROUND((AI189+Y189)/(X189/60),2)))</f>
        <v>0</v>
      </c>
      <c r="AL189" s="43">
        <f>IF(B189="","",IF(N189="Not found","Check - no such product ID",IF(AF189="","Check - no price yet",IF(AI189&lt;0,"Loss - this version costs you money",IF(AND(AK189&lt;&gt;"",AK189&lt;MinimumWage),"Below - pays under minimum wage",IF(AND(G189&gt;0,AG189&lt;=0),"Check - extra work, no extra charge",IF(AJ189&lt;MarginWarning,"Low margin - re-price it","OK")))))))</f>
        <v>0</v>
      </c>
    </row>
    <row r="190" spans="1:38">
      <c r="A190" s="38">
        <f>IF(C190="","",VariationPrefix&amp;TEXT(ROW()-4,"0000"))</f>
        <v>0</v>
      </c>
      <c r="N190" s="13">
        <f>IF(B190="","",IFERROR(INDEX(Products!$B$5:$B$304,MATCH(B190,Products!$A$5:$A$304,0)),"Not found"))</f>
        <v>0</v>
      </c>
      <c r="O190" s="20">
        <f>IF(B190="","",IFERROR(INDEX(Products!$T$5:$T$304,MATCH(B190,Products!$A$5:$A$304,0)),""))</f>
        <v>0</v>
      </c>
      <c r="P190" s="20">
        <f>IF(B190="","",IFERROR(INDEX(Products!$Z$5:$Z$304,MATCH(B190,Products!$A$5:$A$304,0)),""))</f>
        <v>0</v>
      </c>
      <c r="Q190" s="20">
        <f>IF(B190="","",IFERROR(INDEX(Products!$AH$5:$AH$304,MATCH(B190,Products!$A$5:$A$304,0))-INDEX(Products!$T$5:$T$304,MATCH(B190,Products!$A$5:$A$304,0))-INDEX(Products!$Z$5:$Z$304,MATCH(B190,Products!$A$5:$A$304,0)),0))</f>
        <v>0</v>
      </c>
      <c r="R190" s="36">
        <f>IF(B190="","",IFERROR(INDEX(Products!$X$5:$X$304,MATCH(B190,Products!$A$5:$A$304,0)),""))</f>
        <v>0</v>
      </c>
      <c r="S190" s="20">
        <f>IF(B190="","",IFERROR(INDEX(Products!$AR$5:$AR$304,MATCH(B190,Products!$A$5:$A$304,0)),""))</f>
        <v>0</v>
      </c>
      <c r="T190" s="41">
        <f>IF(B190="","",IFERROR(INDEX(SizeMaterialFactors,MATCH(E190,SizeNames,0)),1))</f>
        <v>0</v>
      </c>
      <c r="U190" s="41">
        <f>IF(B190="","",IFERROR(INDEX(SizeTimeFactors,MATCH(E190,SizeNames,0)),1))</f>
        <v>0</v>
      </c>
      <c r="V190" s="33">
        <f>IF(B190="","",IFERROR(INDEX(RushFactors,MATCH(H190,RushNames,0)),0))</f>
        <v>0</v>
      </c>
      <c r="W190" s="20">
        <f>IF(B190="","",ROUND(IF(O190="",0,O190)*T190+IF(F190="",0,F190),2))</f>
        <v>0</v>
      </c>
      <c r="X190" s="36">
        <f>IF(B190="","",ROUND(IF(R190="",0,R190)*U190+IF(G190="",0,G190),1))</f>
        <v>0</v>
      </c>
      <c r="Y190" s="20">
        <f>IF(B190="","",ROUND(IF(P190="",0,P190)*U190+IF(G190="",0,G190)/60*LaborCostHour,2))</f>
        <v>0</v>
      </c>
      <c r="Z190" s="20">
        <f>IF(B190="","",ROUND(W190+Y190+IF(Q190="",0,Q190),2))</f>
        <v>0</v>
      </c>
      <c r="AA190" s="33">
        <f>IF(B190="","",IFERROR(INDEX(Channels!$S$5:$S$18,MATCH(IF(J190="",DefaultChannel,J190),Channels!$A$5:$A$18,0)),0))</f>
        <v>0</v>
      </c>
      <c r="AB190" s="20">
        <f>IF(B190="","",IFERROR(INDEX(Channels!$T$5:$T$18,MATCH(IF(J190="",DefaultChannel,J190),Channels!$A$5:$A$18,0)),0))</f>
        <v>0</v>
      </c>
      <c r="AC190" s="41">
        <f>IF(B190="","",1-TargetRetailMargin-AA190)</f>
        <v>0</v>
      </c>
      <c r="AD190" s="20">
        <f>IF(B190="","",IF(AC190&lt;=0,"",((Z190+AB190)/AC190)*(1+V190)+IF(I190="",0,I190)))</f>
        <v>0</v>
      </c>
      <c r="AE190" s="20">
        <f>IF(B190="","",IF(AD190="","Check the settings",ROUND(IF(RoundingRule="None",AD190,IF(RoundingRule="Nearest 0.99",MAX(0.99,CEILING(AD190,1)-0.01),IF(RoundingRule="Nearest 0.95",MAX(0.95,CEILING(AD190,1)-0.05),IF(RoundingRule="Nearest 0.50",CEILING(AD190,0.5),IF(RoundingRule="Nearest 1",CEILING(AD190,1),IF(RoundingRule="Nearest 5",CEILING(AD190,5),IF(RoundingRule="Up to whole 1",CEILING(AD190,1),IF(RoundingRule="Up to whole 5",CEILING(AD190,5),ROUND(AD190,2))))))))),2)))</f>
        <v>0</v>
      </c>
      <c r="AF190" s="20">
        <f>IF(B190="","",IF(K190&lt;&gt;"",K190,IF(ISNUMBER(AE190),AE190,"")))</f>
        <v>0</v>
      </c>
      <c r="AG190" s="20">
        <f>IF(B190="","",IF(OR(AF190="",S190=""),"",ROUND(AF190-S190,2)))</f>
        <v>0</v>
      </c>
      <c r="AH190" s="20">
        <f>IF(B190="","",IF(AF190="","",ROUND(AF190*AA190+AB190,2)))</f>
        <v>0</v>
      </c>
      <c r="AI190" s="20">
        <f>IF(B190="","",IF(AF190="","",ROUND(AF190-Z190-AH190,2)))</f>
        <v>0</v>
      </c>
      <c r="AJ190" s="33">
        <f>IF(B190="","",IF(OR(AF190="",AF190=0),"",AI190/AF190))</f>
        <v>0</v>
      </c>
      <c r="AK190" s="20">
        <f>IF(B190="","",IF(OR(X190=0,X190="",AI190=""),"",ROUND((AI190+Y190)/(X190/60),2)))</f>
        <v>0</v>
      </c>
      <c r="AL190" s="43">
        <f>IF(B190="","",IF(N190="Not found","Check - no such product ID",IF(AF190="","Check - no price yet",IF(AI190&lt;0,"Loss - this version costs you money",IF(AND(AK190&lt;&gt;"",AK190&lt;MinimumWage),"Below - pays under minimum wage",IF(AND(G190&gt;0,AG190&lt;=0),"Check - extra work, no extra charge",IF(AJ190&lt;MarginWarning,"Low margin - re-price it","OK")))))))</f>
        <v>0</v>
      </c>
    </row>
    <row r="191" spans="1:38">
      <c r="A191" s="38">
        <f>IF(C191="","",VariationPrefix&amp;TEXT(ROW()-4,"0000"))</f>
        <v>0</v>
      </c>
      <c r="N191" s="13">
        <f>IF(B191="","",IFERROR(INDEX(Products!$B$5:$B$304,MATCH(B191,Products!$A$5:$A$304,0)),"Not found"))</f>
        <v>0</v>
      </c>
      <c r="O191" s="20">
        <f>IF(B191="","",IFERROR(INDEX(Products!$T$5:$T$304,MATCH(B191,Products!$A$5:$A$304,0)),""))</f>
        <v>0</v>
      </c>
      <c r="P191" s="20">
        <f>IF(B191="","",IFERROR(INDEX(Products!$Z$5:$Z$304,MATCH(B191,Products!$A$5:$A$304,0)),""))</f>
        <v>0</v>
      </c>
      <c r="Q191" s="20">
        <f>IF(B191="","",IFERROR(INDEX(Products!$AH$5:$AH$304,MATCH(B191,Products!$A$5:$A$304,0))-INDEX(Products!$T$5:$T$304,MATCH(B191,Products!$A$5:$A$304,0))-INDEX(Products!$Z$5:$Z$304,MATCH(B191,Products!$A$5:$A$304,0)),0))</f>
        <v>0</v>
      </c>
      <c r="R191" s="36">
        <f>IF(B191="","",IFERROR(INDEX(Products!$X$5:$X$304,MATCH(B191,Products!$A$5:$A$304,0)),""))</f>
        <v>0</v>
      </c>
      <c r="S191" s="20">
        <f>IF(B191="","",IFERROR(INDEX(Products!$AR$5:$AR$304,MATCH(B191,Products!$A$5:$A$304,0)),""))</f>
        <v>0</v>
      </c>
      <c r="T191" s="41">
        <f>IF(B191="","",IFERROR(INDEX(SizeMaterialFactors,MATCH(E191,SizeNames,0)),1))</f>
        <v>0</v>
      </c>
      <c r="U191" s="41">
        <f>IF(B191="","",IFERROR(INDEX(SizeTimeFactors,MATCH(E191,SizeNames,0)),1))</f>
        <v>0</v>
      </c>
      <c r="V191" s="33">
        <f>IF(B191="","",IFERROR(INDEX(RushFactors,MATCH(H191,RushNames,0)),0))</f>
        <v>0</v>
      </c>
      <c r="W191" s="20">
        <f>IF(B191="","",ROUND(IF(O191="",0,O191)*T191+IF(F191="",0,F191),2))</f>
        <v>0</v>
      </c>
      <c r="X191" s="36">
        <f>IF(B191="","",ROUND(IF(R191="",0,R191)*U191+IF(G191="",0,G191),1))</f>
        <v>0</v>
      </c>
      <c r="Y191" s="20">
        <f>IF(B191="","",ROUND(IF(P191="",0,P191)*U191+IF(G191="",0,G191)/60*LaborCostHour,2))</f>
        <v>0</v>
      </c>
      <c r="Z191" s="20">
        <f>IF(B191="","",ROUND(W191+Y191+IF(Q191="",0,Q191),2))</f>
        <v>0</v>
      </c>
      <c r="AA191" s="33">
        <f>IF(B191="","",IFERROR(INDEX(Channels!$S$5:$S$18,MATCH(IF(J191="",DefaultChannel,J191),Channels!$A$5:$A$18,0)),0))</f>
        <v>0</v>
      </c>
      <c r="AB191" s="20">
        <f>IF(B191="","",IFERROR(INDEX(Channels!$T$5:$T$18,MATCH(IF(J191="",DefaultChannel,J191),Channels!$A$5:$A$18,0)),0))</f>
        <v>0</v>
      </c>
      <c r="AC191" s="41">
        <f>IF(B191="","",1-TargetRetailMargin-AA191)</f>
        <v>0</v>
      </c>
      <c r="AD191" s="20">
        <f>IF(B191="","",IF(AC191&lt;=0,"",((Z191+AB191)/AC191)*(1+V191)+IF(I191="",0,I191)))</f>
        <v>0</v>
      </c>
      <c r="AE191" s="20">
        <f>IF(B191="","",IF(AD191="","Check the settings",ROUND(IF(RoundingRule="None",AD191,IF(RoundingRule="Nearest 0.99",MAX(0.99,CEILING(AD191,1)-0.01),IF(RoundingRule="Nearest 0.95",MAX(0.95,CEILING(AD191,1)-0.05),IF(RoundingRule="Nearest 0.50",CEILING(AD191,0.5),IF(RoundingRule="Nearest 1",CEILING(AD191,1),IF(RoundingRule="Nearest 5",CEILING(AD191,5),IF(RoundingRule="Up to whole 1",CEILING(AD191,1),IF(RoundingRule="Up to whole 5",CEILING(AD191,5),ROUND(AD191,2))))))))),2)))</f>
        <v>0</v>
      </c>
      <c r="AF191" s="20">
        <f>IF(B191="","",IF(K191&lt;&gt;"",K191,IF(ISNUMBER(AE191),AE191,"")))</f>
        <v>0</v>
      </c>
      <c r="AG191" s="20">
        <f>IF(B191="","",IF(OR(AF191="",S191=""),"",ROUND(AF191-S191,2)))</f>
        <v>0</v>
      </c>
      <c r="AH191" s="20">
        <f>IF(B191="","",IF(AF191="","",ROUND(AF191*AA191+AB191,2)))</f>
        <v>0</v>
      </c>
      <c r="AI191" s="20">
        <f>IF(B191="","",IF(AF191="","",ROUND(AF191-Z191-AH191,2)))</f>
        <v>0</v>
      </c>
      <c r="AJ191" s="33">
        <f>IF(B191="","",IF(OR(AF191="",AF191=0),"",AI191/AF191))</f>
        <v>0</v>
      </c>
      <c r="AK191" s="20">
        <f>IF(B191="","",IF(OR(X191=0,X191="",AI191=""),"",ROUND((AI191+Y191)/(X191/60),2)))</f>
        <v>0</v>
      </c>
      <c r="AL191" s="43">
        <f>IF(B191="","",IF(N191="Not found","Check - no such product ID",IF(AF191="","Check - no price yet",IF(AI191&lt;0,"Loss - this version costs you money",IF(AND(AK191&lt;&gt;"",AK191&lt;MinimumWage),"Below - pays under minimum wage",IF(AND(G191&gt;0,AG191&lt;=0),"Check - extra work, no extra charge",IF(AJ191&lt;MarginWarning,"Low margin - re-price it","OK")))))))</f>
        <v>0</v>
      </c>
    </row>
    <row r="192" spans="1:38">
      <c r="A192" s="38">
        <f>IF(C192="","",VariationPrefix&amp;TEXT(ROW()-4,"0000"))</f>
        <v>0</v>
      </c>
      <c r="N192" s="13">
        <f>IF(B192="","",IFERROR(INDEX(Products!$B$5:$B$304,MATCH(B192,Products!$A$5:$A$304,0)),"Not found"))</f>
        <v>0</v>
      </c>
      <c r="O192" s="20">
        <f>IF(B192="","",IFERROR(INDEX(Products!$T$5:$T$304,MATCH(B192,Products!$A$5:$A$304,0)),""))</f>
        <v>0</v>
      </c>
      <c r="P192" s="20">
        <f>IF(B192="","",IFERROR(INDEX(Products!$Z$5:$Z$304,MATCH(B192,Products!$A$5:$A$304,0)),""))</f>
        <v>0</v>
      </c>
      <c r="Q192" s="20">
        <f>IF(B192="","",IFERROR(INDEX(Products!$AH$5:$AH$304,MATCH(B192,Products!$A$5:$A$304,0))-INDEX(Products!$T$5:$T$304,MATCH(B192,Products!$A$5:$A$304,0))-INDEX(Products!$Z$5:$Z$304,MATCH(B192,Products!$A$5:$A$304,0)),0))</f>
        <v>0</v>
      </c>
      <c r="R192" s="36">
        <f>IF(B192="","",IFERROR(INDEX(Products!$X$5:$X$304,MATCH(B192,Products!$A$5:$A$304,0)),""))</f>
        <v>0</v>
      </c>
      <c r="S192" s="20">
        <f>IF(B192="","",IFERROR(INDEX(Products!$AR$5:$AR$304,MATCH(B192,Products!$A$5:$A$304,0)),""))</f>
        <v>0</v>
      </c>
      <c r="T192" s="41">
        <f>IF(B192="","",IFERROR(INDEX(SizeMaterialFactors,MATCH(E192,SizeNames,0)),1))</f>
        <v>0</v>
      </c>
      <c r="U192" s="41">
        <f>IF(B192="","",IFERROR(INDEX(SizeTimeFactors,MATCH(E192,SizeNames,0)),1))</f>
        <v>0</v>
      </c>
      <c r="V192" s="33">
        <f>IF(B192="","",IFERROR(INDEX(RushFactors,MATCH(H192,RushNames,0)),0))</f>
        <v>0</v>
      </c>
      <c r="W192" s="20">
        <f>IF(B192="","",ROUND(IF(O192="",0,O192)*T192+IF(F192="",0,F192),2))</f>
        <v>0</v>
      </c>
      <c r="X192" s="36">
        <f>IF(B192="","",ROUND(IF(R192="",0,R192)*U192+IF(G192="",0,G192),1))</f>
        <v>0</v>
      </c>
      <c r="Y192" s="20">
        <f>IF(B192="","",ROUND(IF(P192="",0,P192)*U192+IF(G192="",0,G192)/60*LaborCostHour,2))</f>
        <v>0</v>
      </c>
      <c r="Z192" s="20">
        <f>IF(B192="","",ROUND(W192+Y192+IF(Q192="",0,Q192),2))</f>
        <v>0</v>
      </c>
      <c r="AA192" s="33">
        <f>IF(B192="","",IFERROR(INDEX(Channels!$S$5:$S$18,MATCH(IF(J192="",DefaultChannel,J192),Channels!$A$5:$A$18,0)),0))</f>
        <v>0</v>
      </c>
      <c r="AB192" s="20">
        <f>IF(B192="","",IFERROR(INDEX(Channels!$T$5:$T$18,MATCH(IF(J192="",DefaultChannel,J192),Channels!$A$5:$A$18,0)),0))</f>
        <v>0</v>
      </c>
      <c r="AC192" s="41">
        <f>IF(B192="","",1-TargetRetailMargin-AA192)</f>
        <v>0</v>
      </c>
      <c r="AD192" s="20">
        <f>IF(B192="","",IF(AC192&lt;=0,"",((Z192+AB192)/AC192)*(1+V192)+IF(I192="",0,I192)))</f>
        <v>0</v>
      </c>
      <c r="AE192" s="20">
        <f>IF(B192="","",IF(AD192="","Check the settings",ROUND(IF(RoundingRule="None",AD192,IF(RoundingRule="Nearest 0.99",MAX(0.99,CEILING(AD192,1)-0.01),IF(RoundingRule="Nearest 0.95",MAX(0.95,CEILING(AD192,1)-0.05),IF(RoundingRule="Nearest 0.50",CEILING(AD192,0.5),IF(RoundingRule="Nearest 1",CEILING(AD192,1),IF(RoundingRule="Nearest 5",CEILING(AD192,5),IF(RoundingRule="Up to whole 1",CEILING(AD192,1),IF(RoundingRule="Up to whole 5",CEILING(AD192,5),ROUND(AD192,2))))))))),2)))</f>
        <v>0</v>
      </c>
      <c r="AF192" s="20">
        <f>IF(B192="","",IF(K192&lt;&gt;"",K192,IF(ISNUMBER(AE192),AE192,"")))</f>
        <v>0</v>
      </c>
      <c r="AG192" s="20">
        <f>IF(B192="","",IF(OR(AF192="",S192=""),"",ROUND(AF192-S192,2)))</f>
        <v>0</v>
      </c>
      <c r="AH192" s="20">
        <f>IF(B192="","",IF(AF192="","",ROUND(AF192*AA192+AB192,2)))</f>
        <v>0</v>
      </c>
      <c r="AI192" s="20">
        <f>IF(B192="","",IF(AF192="","",ROUND(AF192-Z192-AH192,2)))</f>
        <v>0</v>
      </c>
      <c r="AJ192" s="33">
        <f>IF(B192="","",IF(OR(AF192="",AF192=0),"",AI192/AF192))</f>
        <v>0</v>
      </c>
      <c r="AK192" s="20">
        <f>IF(B192="","",IF(OR(X192=0,X192="",AI192=""),"",ROUND((AI192+Y192)/(X192/60),2)))</f>
        <v>0</v>
      </c>
      <c r="AL192" s="43">
        <f>IF(B192="","",IF(N192="Not found","Check - no such product ID",IF(AF192="","Check - no price yet",IF(AI192&lt;0,"Loss - this version costs you money",IF(AND(AK192&lt;&gt;"",AK192&lt;MinimumWage),"Below - pays under minimum wage",IF(AND(G192&gt;0,AG192&lt;=0),"Check - extra work, no extra charge",IF(AJ192&lt;MarginWarning,"Low margin - re-price it","OK")))))))</f>
        <v>0</v>
      </c>
    </row>
    <row r="193" spans="1:38">
      <c r="A193" s="38">
        <f>IF(C193="","",VariationPrefix&amp;TEXT(ROW()-4,"0000"))</f>
        <v>0</v>
      </c>
      <c r="N193" s="13">
        <f>IF(B193="","",IFERROR(INDEX(Products!$B$5:$B$304,MATCH(B193,Products!$A$5:$A$304,0)),"Not found"))</f>
        <v>0</v>
      </c>
      <c r="O193" s="20">
        <f>IF(B193="","",IFERROR(INDEX(Products!$T$5:$T$304,MATCH(B193,Products!$A$5:$A$304,0)),""))</f>
        <v>0</v>
      </c>
      <c r="P193" s="20">
        <f>IF(B193="","",IFERROR(INDEX(Products!$Z$5:$Z$304,MATCH(B193,Products!$A$5:$A$304,0)),""))</f>
        <v>0</v>
      </c>
      <c r="Q193" s="20">
        <f>IF(B193="","",IFERROR(INDEX(Products!$AH$5:$AH$304,MATCH(B193,Products!$A$5:$A$304,0))-INDEX(Products!$T$5:$T$304,MATCH(B193,Products!$A$5:$A$304,0))-INDEX(Products!$Z$5:$Z$304,MATCH(B193,Products!$A$5:$A$304,0)),0))</f>
        <v>0</v>
      </c>
      <c r="R193" s="36">
        <f>IF(B193="","",IFERROR(INDEX(Products!$X$5:$X$304,MATCH(B193,Products!$A$5:$A$304,0)),""))</f>
        <v>0</v>
      </c>
      <c r="S193" s="20">
        <f>IF(B193="","",IFERROR(INDEX(Products!$AR$5:$AR$304,MATCH(B193,Products!$A$5:$A$304,0)),""))</f>
        <v>0</v>
      </c>
      <c r="T193" s="41">
        <f>IF(B193="","",IFERROR(INDEX(SizeMaterialFactors,MATCH(E193,SizeNames,0)),1))</f>
        <v>0</v>
      </c>
      <c r="U193" s="41">
        <f>IF(B193="","",IFERROR(INDEX(SizeTimeFactors,MATCH(E193,SizeNames,0)),1))</f>
        <v>0</v>
      </c>
      <c r="V193" s="33">
        <f>IF(B193="","",IFERROR(INDEX(RushFactors,MATCH(H193,RushNames,0)),0))</f>
        <v>0</v>
      </c>
      <c r="W193" s="20">
        <f>IF(B193="","",ROUND(IF(O193="",0,O193)*T193+IF(F193="",0,F193),2))</f>
        <v>0</v>
      </c>
      <c r="X193" s="36">
        <f>IF(B193="","",ROUND(IF(R193="",0,R193)*U193+IF(G193="",0,G193),1))</f>
        <v>0</v>
      </c>
      <c r="Y193" s="20">
        <f>IF(B193="","",ROUND(IF(P193="",0,P193)*U193+IF(G193="",0,G193)/60*LaborCostHour,2))</f>
        <v>0</v>
      </c>
      <c r="Z193" s="20">
        <f>IF(B193="","",ROUND(W193+Y193+IF(Q193="",0,Q193),2))</f>
        <v>0</v>
      </c>
      <c r="AA193" s="33">
        <f>IF(B193="","",IFERROR(INDEX(Channels!$S$5:$S$18,MATCH(IF(J193="",DefaultChannel,J193),Channels!$A$5:$A$18,0)),0))</f>
        <v>0</v>
      </c>
      <c r="AB193" s="20">
        <f>IF(B193="","",IFERROR(INDEX(Channels!$T$5:$T$18,MATCH(IF(J193="",DefaultChannel,J193),Channels!$A$5:$A$18,0)),0))</f>
        <v>0</v>
      </c>
      <c r="AC193" s="41">
        <f>IF(B193="","",1-TargetRetailMargin-AA193)</f>
        <v>0</v>
      </c>
      <c r="AD193" s="20">
        <f>IF(B193="","",IF(AC193&lt;=0,"",((Z193+AB193)/AC193)*(1+V193)+IF(I193="",0,I193)))</f>
        <v>0</v>
      </c>
      <c r="AE193" s="20">
        <f>IF(B193="","",IF(AD193="","Check the settings",ROUND(IF(RoundingRule="None",AD193,IF(RoundingRule="Nearest 0.99",MAX(0.99,CEILING(AD193,1)-0.01),IF(RoundingRule="Nearest 0.95",MAX(0.95,CEILING(AD193,1)-0.05),IF(RoundingRule="Nearest 0.50",CEILING(AD193,0.5),IF(RoundingRule="Nearest 1",CEILING(AD193,1),IF(RoundingRule="Nearest 5",CEILING(AD193,5),IF(RoundingRule="Up to whole 1",CEILING(AD193,1),IF(RoundingRule="Up to whole 5",CEILING(AD193,5),ROUND(AD193,2))))))))),2)))</f>
        <v>0</v>
      </c>
      <c r="AF193" s="20">
        <f>IF(B193="","",IF(K193&lt;&gt;"",K193,IF(ISNUMBER(AE193),AE193,"")))</f>
        <v>0</v>
      </c>
      <c r="AG193" s="20">
        <f>IF(B193="","",IF(OR(AF193="",S193=""),"",ROUND(AF193-S193,2)))</f>
        <v>0</v>
      </c>
      <c r="AH193" s="20">
        <f>IF(B193="","",IF(AF193="","",ROUND(AF193*AA193+AB193,2)))</f>
        <v>0</v>
      </c>
      <c r="AI193" s="20">
        <f>IF(B193="","",IF(AF193="","",ROUND(AF193-Z193-AH193,2)))</f>
        <v>0</v>
      </c>
      <c r="AJ193" s="33">
        <f>IF(B193="","",IF(OR(AF193="",AF193=0),"",AI193/AF193))</f>
        <v>0</v>
      </c>
      <c r="AK193" s="20">
        <f>IF(B193="","",IF(OR(X193=0,X193="",AI193=""),"",ROUND((AI193+Y193)/(X193/60),2)))</f>
        <v>0</v>
      </c>
      <c r="AL193" s="43">
        <f>IF(B193="","",IF(N193="Not found","Check - no such product ID",IF(AF193="","Check - no price yet",IF(AI193&lt;0,"Loss - this version costs you money",IF(AND(AK193&lt;&gt;"",AK193&lt;MinimumWage),"Below - pays under minimum wage",IF(AND(G193&gt;0,AG193&lt;=0),"Check - extra work, no extra charge",IF(AJ193&lt;MarginWarning,"Low margin - re-price it","OK")))))))</f>
        <v>0</v>
      </c>
    </row>
    <row r="194" spans="1:38">
      <c r="A194" s="38">
        <f>IF(C194="","",VariationPrefix&amp;TEXT(ROW()-4,"0000"))</f>
        <v>0</v>
      </c>
      <c r="N194" s="13">
        <f>IF(B194="","",IFERROR(INDEX(Products!$B$5:$B$304,MATCH(B194,Products!$A$5:$A$304,0)),"Not found"))</f>
        <v>0</v>
      </c>
      <c r="O194" s="20">
        <f>IF(B194="","",IFERROR(INDEX(Products!$T$5:$T$304,MATCH(B194,Products!$A$5:$A$304,0)),""))</f>
        <v>0</v>
      </c>
      <c r="P194" s="20">
        <f>IF(B194="","",IFERROR(INDEX(Products!$Z$5:$Z$304,MATCH(B194,Products!$A$5:$A$304,0)),""))</f>
        <v>0</v>
      </c>
      <c r="Q194" s="20">
        <f>IF(B194="","",IFERROR(INDEX(Products!$AH$5:$AH$304,MATCH(B194,Products!$A$5:$A$304,0))-INDEX(Products!$T$5:$T$304,MATCH(B194,Products!$A$5:$A$304,0))-INDEX(Products!$Z$5:$Z$304,MATCH(B194,Products!$A$5:$A$304,0)),0))</f>
        <v>0</v>
      </c>
      <c r="R194" s="36">
        <f>IF(B194="","",IFERROR(INDEX(Products!$X$5:$X$304,MATCH(B194,Products!$A$5:$A$304,0)),""))</f>
        <v>0</v>
      </c>
      <c r="S194" s="20">
        <f>IF(B194="","",IFERROR(INDEX(Products!$AR$5:$AR$304,MATCH(B194,Products!$A$5:$A$304,0)),""))</f>
        <v>0</v>
      </c>
      <c r="T194" s="41">
        <f>IF(B194="","",IFERROR(INDEX(SizeMaterialFactors,MATCH(E194,SizeNames,0)),1))</f>
        <v>0</v>
      </c>
      <c r="U194" s="41">
        <f>IF(B194="","",IFERROR(INDEX(SizeTimeFactors,MATCH(E194,SizeNames,0)),1))</f>
        <v>0</v>
      </c>
      <c r="V194" s="33">
        <f>IF(B194="","",IFERROR(INDEX(RushFactors,MATCH(H194,RushNames,0)),0))</f>
        <v>0</v>
      </c>
      <c r="W194" s="20">
        <f>IF(B194="","",ROUND(IF(O194="",0,O194)*T194+IF(F194="",0,F194),2))</f>
        <v>0</v>
      </c>
      <c r="X194" s="36">
        <f>IF(B194="","",ROUND(IF(R194="",0,R194)*U194+IF(G194="",0,G194),1))</f>
        <v>0</v>
      </c>
      <c r="Y194" s="20">
        <f>IF(B194="","",ROUND(IF(P194="",0,P194)*U194+IF(G194="",0,G194)/60*LaborCostHour,2))</f>
        <v>0</v>
      </c>
      <c r="Z194" s="20">
        <f>IF(B194="","",ROUND(W194+Y194+IF(Q194="",0,Q194),2))</f>
        <v>0</v>
      </c>
      <c r="AA194" s="33">
        <f>IF(B194="","",IFERROR(INDEX(Channels!$S$5:$S$18,MATCH(IF(J194="",DefaultChannel,J194),Channels!$A$5:$A$18,0)),0))</f>
        <v>0</v>
      </c>
      <c r="AB194" s="20">
        <f>IF(B194="","",IFERROR(INDEX(Channels!$T$5:$T$18,MATCH(IF(J194="",DefaultChannel,J194),Channels!$A$5:$A$18,0)),0))</f>
        <v>0</v>
      </c>
      <c r="AC194" s="41">
        <f>IF(B194="","",1-TargetRetailMargin-AA194)</f>
        <v>0</v>
      </c>
      <c r="AD194" s="20">
        <f>IF(B194="","",IF(AC194&lt;=0,"",((Z194+AB194)/AC194)*(1+V194)+IF(I194="",0,I194)))</f>
        <v>0</v>
      </c>
      <c r="AE194" s="20">
        <f>IF(B194="","",IF(AD194="","Check the settings",ROUND(IF(RoundingRule="None",AD194,IF(RoundingRule="Nearest 0.99",MAX(0.99,CEILING(AD194,1)-0.01),IF(RoundingRule="Nearest 0.95",MAX(0.95,CEILING(AD194,1)-0.05),IF(RoundingRule="Nearest 0.50",CEILING(AD194,0.5),IF(RoundingRule="Nearest 1",CEILING(AD194,1),IF(RoundingRule="Nearest 5",CEILING(AD194,5),IF(RoundingRule="Up to whole 1",CEILING(AD194,1),IF(RoundingRule="Up to whole 5",CEILING(AD194,5),ROUND(AD194,2))))))))),2)))</f>
        <v>0</v>
      </c>
      <c r="AF194" s="20">
        <f>IF(B194="","",IF(K194&lt;&gt;"",K194,IF(ISNUMBER(AE194),AE194,"")))</f>
        <v>0</v>
      </c>
      <c r="AG194" s="20">
        <f>IF(B194="","",IF(OR(AF194="",S194=""),"",ROUND(AF194-S194,2)))</f>
        <v>0</v>
      </c>
      <c r="AH194" s="20">
        <f>IF(B194="","",IF(AF194="","",ROUND(AF194*AA194+AB194,2)))</f>
        <v>0</v>
      </c>
      <c r="AI194" s="20">
        <f>IF(B194="","",IF(AF194="","",ROUND(AF194-Z194-AH194,2)))</f>
        <v>0</v>
      </c>
      <c r="AJ194" s="33">
        <f>IF(B194="","",IF(OR(AF194="",AF194=0),"",AI194/AF194))</f>
        <v>0</v>
      </c>
      <c r="AK194" s="20">
        <f>IF(B194="","",IF(OR(X194=0,X194="",AI194=""),"",ROUND((AI194+Y194)/(X194/60),2)))</f>
        <v>0</v>
      </c>
      <c r="AL194" s="43">
        <f>IF(B194="","",IF(N194="Not found","Check - no such product ID",IF(AF194="","Check - no price yet",IF(AI194&lt;0,"Loss - this version costs you money",IF(AND(AK194&lt;&gt;"",AK194&lt;MinimumWage),"Below - pays under minimum wage",IF(AND(G194&gt;0,AG194&lt;=0),"Check - extra work, no extra charge",IF(AJ194&lt;MarginWarning,"Low margin - re-price it","OK")))))))</f>
        <v>0</v>
      </c>
    </row>
    <row r="195" spans="1:38">
      <c r="A195" s="38">
        <f>IF(C195="","",VariationPrefix&amp;TEXT(ROW()-4,"0000"))</f>
        <v>0</v>
      </c>
      <c r="N195" s="13">
        <f>IF(B195="","",IFERROR(INDEX(Products!$B$5:$B$304,MATCH(B195,Products!$A$5:$A$304,0)),"Not found"))</f>
        <v>0</v>
      </c>
      <c r="O195" s="20">
        <f>IF(B195="","",IFERROR(INDEX(Products!$T$5:$T$304,MATCH(B195,Products!$A$5:$A$304,0)),""))</f>
        <v>0</v>
      </c>
      <c r="P195" s="20">
        <f>IF(B195="","",IFERROR(INDEX(Products!$Z$5:$Z$304,MATCH(B195,Products!$A$5:$A$304,0)),""))</f>
        <v>0</v>
      </c>
      <c r="Q195" s="20">
        <f>IF(B195="","",IFERROR(INDEX(Products!$AH$5:$AH$304,MATCH(B195,Products!$A$5:$A$304,0))-INDEX(Products!$T$5:$T$304,MATCH(B195,Products!$A$5:$A$304,0))-INDEX(Products!$Z$5:$Z$304,MATCH(B195,Products!$A$5:$A$304,0)),0))</f>
        <v>0</v>
      </c>
      <c r="R195" s="36">
        <f>IF(B195="","",IFERROR(INDEX(Products!$X$5:$X$304,MATCH(B195,Products!$A$5:$A$304,0)),""))</f>
        <v>0</v>
      </c>
      <c r="S195" s="20">
        <f>IF(B195="","",IFERROR(INDEX(Products!$AR$5:$AR$304,MATCH(B195,Products!$A$5:$A$304,0)),""))</f>
        <v>0</v>
      </c>
      <c r="T195" s="41">
        <f>IF(B195="","",IFERROR(INDEX(SizeMaterialFactors,MATCH(E195,SizeNames,0)),1))</f>
        <v>0</v>
      </c>
      <c r="U195" s="41">
        <f>IF(B195="","",IFERROR(INDEX(SizeTimeFactors,MATCH(E195,SizeNames,0)),1))</f>
        <v>0</v>
      </c>
      <c r="V195" s="33">
        <f>IF(B195="","",IFERROR(INDEX(RushFactors,MATCH(H195,RushNames,0)),0))</f>
        <v>0</v>
      </c>
      <c r="W195" s="20">
        <f>IF(B195="","",ROUND(IF(O195="",0,O195)*T195+IF(F195="",0,F195),2))</f>
        <v>0</v>
      </c>
      <c r="X195" s="36">
        <f>IF(B195="","",ROUND(IF(R195="",0,R195)*U195+IF(G195="",0,G195),1))</f>
        <v>0</v>
      </c>
      <c r="Y195" s="20">
        <f>IF(B195="","",ROUND(IF(P195="",0,P195)*U195+IF(G195="",0,G195)/60*LaborCostHour,2))</f>
        <v>0</v>
      </c>
      <c r="Z195" s="20">
        <f>IF(B195="","",ROUND(W195+Y195+IF(Q195="",0,Q195),2))</f>
        <v>0</v>
      </c>
      <c r="AA195" s="33">
        <f>IF(B195="","",IFERROR(INDEX(Channels!$S$5:$S$18,MATCH(IF(J195="",DefaultChannel,J195),Channels!$A$5:$A$18,0)),0))</f>
        <v>0</v>
      </c>
      <c r="AB195" s="20">
        <f>IF(B195="","",IFERROR(INDEX(Channels!$T$5:$T$18,MATCH(IF(J195="",DefaultChannel,J195),Channels!$A$5:$A$18,0)),0))</f>
        <v>0</v>
      </c>
      <c r="AC195" s="41">
        <f>IF(B195="","",1-TargetRetailMargin-AA195)</f>
        <v>0</v>
      </c>
      <c r="AD195" s="20">
        <f>IF(B195="","",IF(AC195&lt;=0,"",((Z195+AB195)/AC195)*(1+V195)+IF(I195="",0,I195)))</f>
        <v>0</v>
      </c>
      <c r="AE195" s="20">
        <f>IF(B195="","",IF(AD195="","Check the settings",ROUND(IF(RoundingRule="None",AD195,IF(RoundingRule="Nearest 0.99",MAX(0.99,CEILING(AD195,1)-0.01),IF(RoundingRule="Nearest 0.95",MAX(0.95,CEILING(AD195,1)-0.05),IF(RoundingRule="Nearest 0.50",CEILING(AD195,0.5),IF(RoundingRule="Nearest 1",CEILING(AD195,1),IF(RoundingRule="Nearest 5",CEILING(AD195,5),IF(RoundingRule="Up to whole 1",CEILING(AD195,1),IF(RoundingRule="Up to whole 5",CEILING(AD195,5),ROUND(AD195,2))))))))),2)))</f>
        <v>0</v>
      </c>
      <c r="AF195" s="20">
        <f>IF(B195="","",IF(K195&lt;&gt;"",K195,IF(ISNUMBER(AE195),AE195,"")))</f>
        <v>0</v>
      </c>
      <c r="AG195" s="20">
        <f>IF(B195="","",IF(OR(AF195="",S195=""),"",ROUND(AF195-S195,2)))</f>
        <v>0</v>
      </c>
      <c r="AH195" s="20">
        <f>IF(B195="","",IF(AF195="","",ROUND(AF195*AA195+AB195,2)))</f>
        <v>0</v>
      </c>
      <c r="AI195" s="20">
        <f>IF(B195="","",IF(AF195="","",ROUND(AF195-Z195-AH195,2)))</f>
        <v>0</v>
      </c>
      <c r="AJ195" s="33">
        <f>IF(B195="","",IF(OR(AF195="",AF195=0),"",AI195/AF195))</f>
        <v>0</v>
      </c>
      <c r="AK195" s="20">
        <f>IF(B195="","",IF(OR(X195=0,X195="",AI195=""),"",ROUND((AI195+Y195)/(X195/60),2)))</f>
        <v>0</v>
      </c>
      <c r="AL195" s="43">
        <f>IF(B195="","",IF(N195="Not found","Check - no such product ID",IF(AF195="","Check - no price yet",IF(AI195&lt;0,"Loss - this version costs you money",IF(AND(AK195&lt;&gt;"",AK195&lt;MinimumWage),"Below - pays under minimum wage",IF(AND(G195&gt;0,AG195&lt;=0),"Check - extra work, no extra charge",IF(AJ195&lt;MarginWarning,"Low margin - re-price it","OK")))))))</f>
        <v>0</v>
      </c>
    </row>
    <row r="196" spans="1:38">
      <c r="A196" s="38">
        <f>IF(C196="","",VariationPrefix&amp;TEXT(ROW()-4,"0000"))</f>
        <v>0</v>
      </c>
      <c r="N196" s="13">
        <f>IF(B196="","",IFERROR(INDEX(Products!$B$5:$B$304,MATCH(B196,Products!$A$5:$A$304,0)),"Not found"))</f>
        <v>0</v>
      </c>
      <c r="O196" s="20">
        <f>IF(B196="","",IFERROR(INDEX(Products!$T$5:$T$304,MATCH(B196,Products!$A$5:$A$304,0)),""))</f>
        <v>0</v>
      </c>
      <c r="P196" s="20">
        <f>IF(B196="","",IFERROR(INDEX(Products!$Z$5:$Z$304,MATCH(B196,Products!$A$5:$A$304,0)),""))</f>
        <v>0</v>
      </c>
      <c r="Q196" s="20">
        <f>IF(B196="","",IFERROR(INDEX(Products!$AH$5:$AH$304,MATCH(B196,Products!$A$5:$A$304,0))-INDEX(Products!$T$5:$T$304,MATCH(B196,Products!$A$5:$A$304,0))-INDEX(Products!$Z$5:$Z$304,MATCH(B196,Products!$A$5:$A$304,0)),0))</f>
        <v>0</v>
      </c>
      <c r="R196" s="36">
        <f>IF(B196="","",IFERROR(INDEX(Products!$X$5:$X$304,MATCH(B196,Products!$A$5:$A$304,0)),""))</f>
        <v>0</v>
      </c>
      <c r="S196" s="20">
        <f>IF(B196="","",IFERROR(INDEX(Products!$AR$5:$AR$304,MATCH(B196,Products!$A$5:$A$304,0)),""))</f>
        <v>0</v>
      </c>
      <c r="T196" s="41">
        <f>IF(B196="","",IFERROR(INDEX(SizeMaterialFactors,MATCH(E196,SizeNames,0)),1))</f>
        <v>0</v>
      </c>
      <c r="U196" s="41">
        <f>IF(B196="","",IFERROR(INDEX(SizeTimeFactors,MATCH(E196,SizeNames,0)),1))</f>
        <v>0</v>
      </c>
      <c r="V196" s="33">
        <f>IF(B196="","",IFERROR(INDEX(RushFactors,MATCH(H196,RushNames,0)),0))</f>
        <v>0</v>
      </c>
      <c r="W196" s="20">
        <f>IF(B196="","",ROUND(IF(O196="",0,O196)*T196+IF(F196="",0,F196),2))</f>
        <v>0</v>
      </c>
      <c r="X196" s="36">
        <f>IF(B196="","",ROUND(IF(R196="",0,R196)*U196+IF(G196="",0,G196),1))</f>
        <v>0</v>
      </c>
      <c r="Y196" s="20">
        <f>IF(B196="","",ROUND(IF(P196="",0,P196)*U196+IF(G196="",0,G196)/60*LaborCostHour,2))</f>
        <v>0</v>
      </c>
      <c r="Z196" s="20">
        <f>IF(B196="","",ROUND(W196+Y196+IF(Q196="",0,Q196),2))</f>
        <v>0</v>
      </c>
      <c r="AA196" s="33">
        <f>IF(B196="","",IFERROR(INDEX(Channels!$S$5:$S$18,MATCH(IF(J196="",DefaultChannel,J196),Channels!$A$5:$A$18,0)),0))</f>
        <v>0</v>
      </c>
      <c r="AB196" s="20">
        <f>IF(B196="","",IFERROR(INDEX(Channels!$T$5:$T$18,MATCH(IF(J196="",DefaultChannel,J196),Channels!$A$5:$A$18,0)),0))</f>
        <v>0</v>
      </c>
      <c r="AC196" s="41">
        <f>IF(B196="","",1-TargetRetailMargin-AA196)</f>
        <v>0</v>
      </c>
      <c r="AD196" s="20">
        <f>IF(B196="","",IF(AC196&lt;=0,"",((Z196+AB196)/AC196)*(1+V196)+IF(I196="",0,I196)))</f>
        <v>0</v>
      </c>
      <c r="AE196" s="20">
        <f>IF(B196="","",IF(AD196="","Check the settings",ROUND(IF(RoundingRule="None",AD196,IF(RoundingRule="Nearest 0.99",MAX(0.99,CEILING(AD196,1)-0.01),IF(RoundingRule="Nearest 0.95",MAX(0.95,CEILING(AD196,1)-0.05),IF(RoundingRule="Nearest 0.50",CEILING(AD196,0.5),IF(RoundingRule="Nearest 1",CEILING(AD196,1),IF(RoundingRule="Nearest 5",CEILING(AD196,5),IF(RoundingRule="Up to whole 1",CEILING(AD196,1),IF(RoundingRule="Up to whole 5",CEILING(AD196,5),ROUND(AD196,2))))))))),2)))</f>
        <v>0</v>
      </c>
      <c r="AF196" s="20">
        <f>IF(B196="","",IF(K196&lt;&gt;"",K196,IF(ISNUMBER(AE196),AE196,"")))</f>
        <v>0</v>
      </c>
      <c r="AG196" s="20">
        <f>IF(B196="","",IF(OR(AF196="",S196=""),"",ROUND(AF196-S196,2)))</f>
        <v>0</v>
      </c>
      <c r="AH196" s="20">
        <f>IF(B196="","",IF(AF196="","",ROUND(AF196*AA196+AB196,2)))</f>
        <v>0</v>
      </c>
      <c r="AI196" s="20">
        <f>IF(B196="","",IF(AF196="","",ROUND(AF196-Z196-AH196,2)))</f>
        <v>0</v>
      </c>
      <c r="AJ196" s="33">
        <f>IF(B196="","",IF(OR(AF196="",AF196=0),"",AI196/AF196))</f>
        <v>0</v>
      </c>
      <c r="AK196" s="20">
        <f>IF(B196="","",IF(OR(X196=0,X196="",AI196=""),"",ROUND((AI196+Y196)/(X196/60),2)))</f>
        <v>0</v>
      </c>
      <c r="AL196" s="43">
        <f>IF(B196="","",IF(N196="Not found","Check - no such product ID",IF(AF196="","Check - no price yet",IF(AI196&lt;0,"Loss - this version costs you money",IF(AND(AK196&lt;&gt;"",AK196&lt;MinimumWage),"Below - pays under minimum wage",IF(AND(G196&gt;0,AG196&lt;=0),"Check - extra work, no extra charge",IF(AJ196&lt;MarginWarning,"Low margin - re-price it","OK")))))))</f>
        <v>0</v>
      </c>
    </row>
    <row r="197" spans="1:38">
      <c r="A197" s="38">
        <f>IF(C197="","",VariationPrefix&amp;TEXT(ROW()-4,"0000"))</f>
        <v>0</v>
      </c>
      <c r="N197" s="13">
        <f>IF(B197="","",IFERROR(INDEX(Products!$B$5:$B$304,MATCH(B197,Products!$A$5:$A$304,0)),"Not found"))</f>
        <v>0</v>
      </c>
      <c r="O197" s="20">
        <f>IF(B197="","",IFERROR(INDEX(Products!$T$5:$T$304,MATCH(B197,Products!$A$5:$A$304,0)),""))</f>
        <v>0</v>
      </c>
      <c r="P197" s="20">
        <f>IF(B197="","",IFERROR(INDEX(Products!$Z$5:$Z$304,MATCH(B197,Products!$A$5:$A$304,0)),""))</f>
        <v>0</v>
      </c>
      <c r="Q197" s="20">
        <f>IF(B197="","",IFERROR(INDEX(Products!$AH$5:$AH$304,MATCH(B197,Products!$A$5:$A$304,0))-INDEX(Products!$T$5:$T$304,MATCH(B197,Products!$A$5:$A$304,0))-INDEX(Products!$Z$5:$Z$304,MATCH(B197,Products!$A$5:$A$304,0)),0))</f>
        <v>0</v>
      </c>
      <c r="R197" s="36">
        <f>IF(B197="","",IFERROR(INDEX(Products!$X$5:$X$304,MATCH(B197,Products!$A$5:$A$304,0)),""))</f>
        <v>0</v>
      </c>
      <c r="S197" s="20">
        <f>IF(B197="","",IFERROR(INDEX(Products!$AR$5:$AR$304,MATCH(B197,Products!$A$5:$A$304,0)),""))</f>
        <v>0</v>
      </c>
      <c r="T197" s="41">
        <f>IF(B197="","",IFERROR(INDEX(SizeMaterialFactors,MATCH(E197,SizeNames,0)),1))</f>
        <v>0</v>
      </c>
      <c r="U197" s="41">
        <f>IF(B197="","",IFERROR(INDEX(SizeTimeFactors,MATCH(E197,SizeNames,0)),1))</f>
        <v>0</v>
      </c>
      <c r="V197" s="33">
        <f>IF(B197="","",IFERROR(INDEX(RushFactors,MATCH(H197,RushNames,0)),0))</f>
        <v>0</v>
      </c>
      <c r="W197" s="20">
        <f>IF(B197="","",ROUND(IF(O197="",0,O197)*T197+IF(F197="",0,F197),2))</f>
        <v>0</v>
      </c>
      <c r="X197" s="36">
        <f>IF(B197="","",ROUND(IF(R197="",0,R197)*U197+IF(G197="",0,G197),1))</f>
        <v>0</v>
      </c>
      <c r="Y197" s="20">
        <f>IF(B197="","",ROUND(IF(P197="",0,P197)*U197+IF(G197="",0,G197)/60*LaborCostHour,2))</f>
        <v>0</v>
      </c>
      <c r="Z197" s="20">
        <f>IF(B197="","",ROUND(W197+Y197+IF(Q197="",0,Q197),2))</f>
        <v>0</v>
      </c>
      <c r="AA197" s="33">
        <f>IF(B197="","",IFERROR(INDEX(Channels!$S$5:$S$18,MATCH(IF(J197="",DefaultChannel,J197),Channels!$A$5:$A$18,0)),0))</f>
        <v>0</v>
      </c>
      <c r="AB197" s="20">
        <f>IF(B197="","",IFERROR(INDEX(Channels!$T$5:$T$18,MATCH(IF(J197="",DefaultChannel,J197),Channels!$A$5:$A$18,0)),0))</f>
        <v>0</v>
      </c>
      <c r="AC197" s="41">
        <f>IF(B197="","",1-TargetRetailMargin-AA197)</f>
        <v>0</v>
      </c>
      <c r="AD197" s="20">
        <f>IF(B197="","",IF(AC197&lt;=0,"",((Z197+AB197)/AC197)*(1+V197)+IF(I197="",0,I197)))</f>
        <v>0</v>
      </c>
      <c r="AE197" s="20">
        <f>IF(B197="","",IF(AD197="","Check the settings",ROUND(IF(RoundingRule="None",AD197,IF(RoundingRule="Nearest 0.99",MAX(0.99,CEILING(AD197,1)-0.01),IF(RoundingRule="Nearest 0.95",MAX(0.95,CEILING(AD197,1)-0.05),IF(RoundingRule="Nearest 0.50",CEILING(AD197,0.5),IF(RoundingRule="Nearest 1",CEILING(AD197,1),IF(RoundingRule="Nearest 5",CEILING(AD197,5),IF(RoundingRule="Up to whole 1",CEILING(AD197,1),IF(RoundingRule="Up to whole 5",CEILING(AD197,5),ROUND(AD197,2))))))))),2)))</f>
        <v>0</v>
      </c>
      <c r="AF197" s="20">
        <f>IF(B197="","",IF(K197&lt;&gt;"",K197,IF(ISNUMBER(AE197),AE197,"")))</f>
        <v>0</v>
      </c>
      <c r="AG197" s="20">
        <f>IF(B197="","",IF(OR(AF197="",S197=""),"",ROUND(AF197-S197,2)))</f>
        <v>0</v>
      </c>
      <c r="AH197" s="20">
        <f>IF(B197="","",IF(AF197="","",ROUND(AF197*AA197+AB197,2)))</f>
        <v>0</v>
      </c>
      <c r="AI197" s="20">
        <f>IF(B197="","",IF(AF197="","",ROUND(AF197-Z197-AH197,2)))</f>
        <v>0</v>
      </c>
      <c r="AJ197" s="33">
        <f>IF(B197="","",IF(OR(AF197="",AF197=0),"",AI197/AF197))</f>
        <v>0</v>
      </c>
      <c r="AK197" s="20">
        <f>IF(B197="","",IF(OR(X197=0,X197="",AI197=""),"",ROUND((AI197+Y197)/(X197/60),2)))</f>
        <v>0</v>
      </c>
      <c r="AL197" s="43">
        <f>IF(B197="","",IF(N197="Not found","Check - no such product ID",IF(AF197="","Check - no price yet",IF(AI197&lt;0,"Loss - this version costs you money",IF(AND(AK197&lt;&gt;"",AK197&lt;MinimumWage),"Below - pays under minimum wage",IF(AND(G197&gt;0,AG197&lt;=0),"Check - extra work, no extra charge",IF(AJ197&lt;MarginWarning,"Low margin - re-price it","OK")))))))</f>
        <v>0</v>
      </c>
    </row>
    <row r="198" spans="1:38">
      <c r="A198" s="38">
        <f>IF(C198="","",VariationPrefix&amp;TEXT(ROW()-4,"0000"))</f>
        <v>0</v>
      </c>
      <c r="N198" s="13">
        <f>IF(B198="","",IFERROR(INDEX(Products!$B$5:$B$304,MATCH(B198,Products!$A$5:$A$304,0)),"Not found"))</f>
        <v>0</v>
      </c>
      <c r="O198" s="20">
        <f>IF(B198="","",IFERROR(INDEX(Products!$T$5:$T$304,MATCH(B198,Products!$A$5:$A$304,0)),""))</f>
        <v>0</v>
      </c>
      <c r="P198" s="20">
        <f>IF(B198="","",IFERROR(INDEX(Products!$Z$5:$Z$304,MATCH(B198,Products!$A$5:$A$304,0)),""))</f>
        <v>0</v>
      </c>
      <c r="Q198" s="20">
        <f>IF(B198="","",IFERROR(INDEX(Products!$AH$5:$AH$304,MATCH(B198,Products!$A$5:$A$304,0))-INDEX(Products!$T$5:$T$304,MATCH(B198,Products!$A$5:$A$304,0))-INDEX(Products!$Z$5:$Z$304,MATCH(B198,Products!$A$5:$A$304,0)),0))</f>
        <v>0</v>
      </c>
      <c r="R198" s="36">
        <f>IF(B198="","",IFERROR(INDEX(Products!$X$5:$X$304,MATCH(B198,Products!$A$5:$A$304,0)),""))</f>
        <v>0</v>
      </c>
      <c r="S198" s="20">
        <f>IF(B198="","",IFERROR(INDEX(Products!$AR$5:$AR$304,MATCH(B198,Products!$A$5:$A$304,0)),""))</f>
        <v>0</v>
      </c>
      <c r="T198" s="41">
        <f>IF(B198="","",IFERROR(INDEX(SizeMaterialFactors,MATCH(E198,SizeNames,0)),1))</f>
        <v>0</v>
      </c>
      <c r="U198" s="41">
        <f>IF(B198="","",IFERROR(INDEX(SizeTimeFactors,MATCH(E198,SizeNames,0)),1))</f>
        <v>0</v>
      </c>
      <c r="V198" s="33">
        <f>IF(B198="","",IFERROR(INDEX(RushFactors,MATCH(H198,RushNames,0)),0))</f>
        <v>0</v>
      </c>
      <c r="W198" s="20">
        <f>IF(B198="","",ROUND(IF(O198="",0,O198)*T198+IF(F198="",0,F198),2))</f>
        <v>0</v>
      </c>
      <c r="X198" s="36">
        <f>IF(B198="","",ROUND(IF(R198="",0,R198)*U198+IF(G198="",0,G198),1))</f>
        <v>0</v>
      </c>
      <c r="Y198" s="20">
        <f>IF(B198="","",ROUND(IF(P198="",0,P198)*U198+IF(G198="",0,G198)/60*LaborCostHour,2))</f>
        <v>0</v>
      </c>
      <c r="Z198" s="20">
        <f>IF(B198="","",ROUND(W198+Y198+IF(Q198="",0,Q198),2))</f>
        <v>0</v>
      </c>
      <c r="AA198" s="33">
        <f>IF(B198="","",IFERROR(INDEX(Channels!$S$5:$S$18,MATCH(IF(J198="",DefaultChannel,J198),Channels!$A$5:$A$18,0)),0))</f>
        <v>0</v>
      </c>
      <c r="AB198" s="20">
        <f>IF(B198="","",IFERROR(INDEX(Channels!$T$5:$T$18,MATCH(IF(J198="",DefaultChannel,J198),Channels!$A$5:$A$18,0)),0))</f>
        <v>0</v>
      </c>
      <c r="AC198" s="41">
        <f>IF(B198="","",1-TargetRetailMargin-AA198)</f>
        <v>0</v>
      </c>
      <c r="AD198" s="20">
        <f>IF(B198="","",IF(AC198&lt;=0,"",((Z198+AB198)/AC198)*(1+V198)+IF(I198="",0,I198)))</f>
        <v>0</v>
      </c>
      <c r="AE198" s="20">
        <f>IF(B198="","",IF(AD198="","Check the settings",ROUND(IF(RoundingRule="None",AD198,IF(RoundingRule="Nearest 0.99",MAX(0.99,CEILING(AD198,1)-0.01),IF(RoundingRule="Nearest 0.95",MAX(0.95,CEILING(AD198,1)-0.05),IF(RoundingRule="Nearest 0.50",CEILING(AD198,0.5),IF(RoundingRule="Nearest 1",CEILING(AD198,1),IF(RoundingRule="Nearest 5",CEILING(AD198,5),IF(RoundingRule="Up to whole 1",CEILING(AD198,1),IF(RoundingRule="Up to whole 5",CEILING(AD198,5),ROUND(AD198,2))))))))),2)))</f>
        <v>0</v>
      </c>
      <c r="AF198" s="20">
        <f>IF(B198="","",IF(K198&lt;&gt;"",K198,IF(ISNUMBER(AE198),AE198,"")))</f>
        <v>0</v>
      </c>
      <c r="AG198" s="20">
        <f>IF(B198="","",IF(OR(AF198="",S198=""),"",ROUND(AF198-S198,2)))</f>
        <v>0</v>
      </c>
      <c r="AH198" s="20">
        <f>IF(B198="","",IF(AF198="","",ROUND(AF198*AA198+AB198,2)))</f>
        <v>0</v>
      </c>
      <c r="AI198" s="20">
        <f>IF(B198="","",IF(AF198="","",ROUND(AF198-Z198-AH198,2)))</f>
        <v>0</v>
      </c>
      <c r="AJ198" s="33">
        <f>IF(B198="","",IF(OR(AF198="",AF198=0),"",AI198/AF198))</f>
        <v>0</v>
      </c>
      <c r="AK198" s="20">
        <f>IF(B198="","",IF(OR(X198=0,X198="",AI198=""),"",ROUND((AI198+Y198)/(X198/60),2)))</f>
        <v>0</v>
      </c>
      <c r="AL198" s="43">
        <f>IF(B198="","",IF(N198="Not found","Check - no such product ID",IF(AF198="","Check - no price yet",IF(AI198&lt;0,"Loss - this version costs you money",IF(AND(AK198&lt;&gt;"",AK198&lt;MinimumWage),"Below - pays under minimum wage",IF(AND(G198&gt;0,AG198&lt;=0),"Check - extra work, no extra charge",IF(AJ198&lt;MarginWarning,"Low margin - re-price it","OK")))))))</f>
        <v>0</v>
      </c>
    </row>
    <row r="199" spans="1:38">
      <c r="A199" s="38">
        <f>IF(C199="","",VariationPrefix&amp;TEXT(ROW()-4,"0000"))</f>
        <v>0</v>
      </c>
      <c r="N199" s="13">
        <f>IF(B199="","",IFERROR(INDEX(Products!$B$5:$B$304,MATCH(B199,Products!$A$5:$A$304,0)),"Not found"))</f>
        <v>0</v>
      </c>
      <c r="O199" s="20">
        <f>IF(B199="","",IFERROR(INDEX(Products!$T$5:$T$304,MATCH(B199,Products!$A$5:$A$304,0)),""))</f>
        <v>0</v>
      </c>
      <c r="P199" s="20">
        <f>IF(B199="","",IFERROR(INDEX(Products!$Z$5:$Z$304,MATCH(B199,Products!$A$5:$A$304,0)),""))</f>
        <v>0</v>
      </c>
      <c r="Q199" s="20">
        <f>IF(B199="","",IFERROR(INDEX(Products!$AH$5:$AH$304,MATCH(B199,Products!$A$5:$A$304,0))-INDEX(Products!$T$5:$T$304,MATCH(B199,Products!$A$5:$A$304,0))-INDEX(Products!$Z$5:$Z$304,MATCH(B199,Products!$A$5:$A$304,0)),0))</f>
        <v>0</v>
      </c>
      <c r="R199" s="36">
        <f>IF(B199="","",IFERROR(INDEX(Products!$X$5:$X$304,MATCH(B199,Products!$A$5:$A$304,0)),""))</f>
        <v>0</v>
      </c>
      <c r="S199" s="20">
        <f>IF(B199="","",IFERROR(INDEX(Products!$AR$5:$AR$304,MATCH(B199,Products!$A$5:$A$304,0)),""))</f>
        <v>0</v>
      </c>
      <c r="T199" s="41">
        <f>IF(B199="","",IFERROR(INDEX(SizeMaterialFactors,MATCH(E199,SizeNames,0)),1))</f>
        <v>0</v>
      </c>
      <c r="U199" s="41">
        <f>IF(B199="","",IFERROR(INDEX(SizeTimeFactors,MATCH(E199,SizeNames,0)),1))</f>
        <v>0</v>
      </c>
      <c r="V199" s="33">
        <f>IF(B199="","",IFERROR(INDEX(RushFactors,MATCH(H199,RushNames,0)),0))</f>
        <v>0</v>
      </c>
      <c r="W199" s="20">
        <f>IF(B199="","",ROUND(IF(O199="",0,O199)*T199+IF(F199="",0,F199),2))</f>
        <v>0</v>
      </c>
      <c r="X199" s="36">
        <f>IF(B199="","",ROUND(IF(R199="",0,R199)*U199+IF(G199="",0,G199),1))</f>
        <v>0</v>
      </c>
      <c r="Y199" s="20">
        <f>IF(B199="","",ROUND(IF(P199="",0,P199)*U199+IF(G199="",0,G199)/60*LaborCostHour,2))</f>
        <v>0</v>
      </c>
      <c r="Z199" s="20">
        <f>IF(B199="","",ROUND(W199+Y199+IF(Q199="",0,Q199),2))</f>
        <v>0</v>
      </c>
      <c r="AA199" s="33">
        <f>IF(B199="","",IFERROR(INDEX(Channels!$S$5:$S$18,MATCH(IF(J199="",DefaultChannel,J199),Channels!$A$5:$A$18,0)),0))</f>
        <v>0</v>
      </c>
      <c r="AB199" s="20">
        <f>IF(B199="","",IFERROR(INDEX(Channels!$T$5:$T$18,MATCH(IF(J199="",DefaultChannel,J199),Channels!$A$5:$A$18,0)),0))</f>
        <v>0</v>
      </c>
      <c r="AC199" s="41">
        <f>IF(B199="","",1-TargetRetailMargin-AA199)</f>
        <v>0</v>
      </c>
      <c r="AD199" s="20">
        <f>IF(B199="","",IF(AC199&lt;=0,"",((Z199+AB199)/AC199)*(1+V199)+IF(I199="",0,I199)))</f>
        <v>0</v>
      </c>
      <c r="AE199" s="20">
        <f>IF(B199="","",IF(AD199="","Check the settings",ROUND(IF(RoundingRule="None",AD199,IF(RoundingRule="Nearest 0.99",MAX(0.99,CEILING(AD199,1)-0.01),IF(RoundingRule="Nearest 0.95",MAX(0.95,CEILING(AD199,1)-0.05),IF(RoundingRule="Nearest 0.50",CEILING(AD199,0.5),IF(RoundingRule="Nearest 1",CEILING(AD199,1),IF(RoundingRule="Nearest 5",CEILING(AD199,5),IF(RoundingRule="Up to whole 1",CEILING(AD199,1),IF(RoundingRule="Up to whole 5",CEILING(AD199,5),ROUND(AD199,2))))))))),2)))</f>
        <v>0</v>
      </c>
      <c r="AF199" s="20">
        <f>IF(B199="","",IF(K199&lt;&gt;"",K199,IF(ISNUMBER(AE199),AE199,"")))</f>
        <v>0</v>
      </c>
      <c r="AG199" s="20">
        <f>IF(B199="","",IF(OR(AF199="",S199=""),"",ROUND(AF199-S199,2)))</f>
        <v>0</v>
      </c>
      <c r="AH199" s="20">
        <f>IF(B199="","",IF(AF199="","",ROUND(AF199*AA199+AB199,2)))</f>
        <v>0</v>
      </c>
      <c r="AI199" s="20">
        <f>IF(B199="","",IF(AF199="","",ROUND(AF199-Z199-AH199,2)))</f>
        <v>0</v>
      </c>
      <c r="AJ199" s="33">
        <f>IF(B199="","",IF(OR(AF199="",AF199=0),"",AI199/AF199))</f>
        <v>0</v>
      </c>
      <c r="AK199" s="20">
        <f>IF(B199="","",IF(OR(X199=0,X199="",AI199=""),"",ROUND((AI199+Y199)/(X199/60),2)))</f>
        <v>0</v>
      </c>
      <c r="AL199" s="43">
        <f>IF(B199="","",IF(N199="Not found","Check - no such product ID",IF(AF199="","Check - no price yet",IF(AI199&lt;0,"Loss - this version costs you money",IF(AND(AK199&lt;&gt;"",AK199&lt;MinimumWage),"Below - pays under minimum wage",IF(AND(G199&gt;0,AG199&lt;=0),"Check - extra work, no extra charge",IF(AJ199&lt;MarginWarning,"Low margin - re-price it","OK")))))))</f>
        <v>0</v>
      </c>
    </row>
    <row r="200" spans="1:38">
      <c r="A200" s="38">
        <f>IF(C200="","",VariationPrefix&amp;TEXT(ROW()-4,"0000"))</f>
        <v>0</v>
      </c>
      <c r="N200" s="13">
        <f>IF(B200="","",IFERROR(INDEX(Products!$B$5:$B$304,MATCH(B200,Products!$A$5:$A$304,0)),"Not found"))</f>
        <v>0</v>
      </c>
      <c r="O200" s="20">
        <f>IF(B200="","",IFERROR(INDEX(Products!$T$5:$T$304,MATCH(B200,Products!$A$5:$A$304,0)),""))</f>
        <v>0</v>
      </c>
      <c r="P200" s="20">
        <f>IF(B200="","",IFERROR(INDEX(Products!$Z$5:$Z$304,MATCH(B200,Products!$A$5:$A$304,0)),""))</f>
        <v>0</v>
      </c>
      <c r="Q200" s="20">
        <f>IF(B200="","",IFERROR(INDEX(Products!$AH$5:$AH$304,MATCH(B200,Products!$A$5:$A$304,0))-INDEX(Products!$T$5:$T$304,MATCH(B200,Products!$A$5:$A$304,0))-INDEX(Products!$Z$5:$Z$304,MATCH(B200,Products!$A$5:$A$304,0)),0))</f>
        <v>0</v>
      </c>
      <c r="R200" s="36">
        <f>IF(B200="","",IFERROR(INDEX(Products!$X$5:$X$304,MATCH(B200,Products!$A$5:$A$304,0)),""))</f>
        <v>0</v>
      </c>
      <c r="S200" s="20">
        <f>IF(B200="","",IFERROR(INDEX(Products!$AR$5:$AR$304,MATCH(B200,Products!$A$5:$A$304,0)),""))</f>
        <v>0</v>
      </c>
      <c r="T200" s="41">
        <f>IF(B200="","",IFERROR(INDEX(SizeMaterialFactors,MATCH(E200,SizeNames,0)),1))</f>
        <v>0</v>
      </c>
      <c r="U200" s="41">
        <f>IF(B200="","",IFERROR(INDEX(SizeTimeFactors,MATCH(E200,SizeNames,0)),1))</f>
        <v>0</v>
      </c>
      <c r="V200" s="33">
        <f>IF(B200="","",IFERROR(INDEX(RushFactors,MATCH(H200,RushNames,0)),0))</f>
        <v>0</v>
      </c>
      <c r="W200" s="20">
        <f>IF(B200="","",ROUND(IF(O200="",0,O200)*T200+IF(F200="",0,F200),2))</f>
        <v>0</v>
      </c>
      <c r="X200" s="36">
        <f>IF(B200="","",ROUND(IF(R200="",0,R200)*U200+IF(G200="",0,G200),1))</f>
        <v>0</v>
      </c>
      <c r="Y200" s="20">
        <f>IF(B200="","",ROUND(IF(P200="",0,P200)*U200+IF(G200="",0,G200)/60*LaborCostHour,2))</f>
        <v>0</v>
      </c>
      <c r="Z200" s="20">
        <f>IF(B200="","",ROUND(W200+Y200+IF(Q200="",0,Q200),2))</f>
        <v>0</v>
      </c>
      <c r="AA200" s="33">
        <f>IF(B200="","",IFERROR(INDEX(Channels!$S$5:$S$18,MATCH(IF(J200="",DefaultChannel,J200),Channels!$A$5:$A$18,0)),0))</f>
        <v>0</v>
      </c>
      <c r="AB200" s="20">
        <f>IF(B200="","",IFERROR(INDEX(Channels!$T$5:$T$18,MATCH(IF(J200="",DefaultChannel,J200),Channels!$A$5:$A$18,0)),0))</f>
        <v>0</v>
      </c>
      <c r="AC200" s="41">
        <f>IF(B200="","",1-TargetRetailMargin-AA200)</f>
        <v>0</v>
      </c>
      <c r="AD200" s="20">
        <f>IF(B200="","",IF(AC200&lt;=0,"",((Z200+AB200)/AC200)*(1+V200)+IF(I200="",0,I200)))</f>
        <v>0</v>
      </c>
      <c r="AE200" s="20">
        <f>IF(B200="","",IF(AD200="","Check the settings",ROUND(IF(RoundingRule="None",AD200,IF(RoundingRule="Nearest 0.99",MAX(0.99,CEILING(AD200,1)-0.01),IF(RoundingRule="Nearest 0.95",MAX(0.95,CEILING(AD200,1)-0.05),IF(RoundingRule="Nearest 0.50",CEILING(AD200,0.5),IF(RoundingRule="Nearest 1",CEILING(AD200,1),IF(RoundingRule="Nearest 5",CEILING(AD200,5),IF(RoundingRule="Up to whole 1",CEILING(AD200,1),IF(RoundingRule="Up to whole 5",CEILING(AD200,5),ROUND(AD200,2))))))))),2)))</f>
        <v>0</v>
      </c>
      <c r="AF200" s="20">
        <f>IF(B200="","",IF(K200&lt;&gt;"",K200,IF(ISNUMBER(AE200),AE200,"")))</f>
        <v>0</v>
      </c>
      <c r="AG200" s="20">
        <f>IF(B200="","",IF(OR(AF200="",S200=""),"",ROUND(AF200-S200,2)))</f>
        <v>0</v>
      </c>
      <c r="AH200" s="20">
        <f>IF(B200="","",IF(AF200="","",ROUND(AF200*AA200+AB200,2)))</f>
        <v>0</v>
      </c>
      <c r="AI200" s="20">
        <f>IF(B200="","",IF(AF200="","",ROUND(AF200-Z200-AH200,2)))</f>
        <v>0</v>
      </c>
      <c r="AJ200" s="33">
        <f>IF(B200="","",IF(OR(AF200="",AF200=0),"",AI200/AF200))</f>
        <v>0</v>
      </c>
      <c r="AK200" s="20">
        <f>IF(B200="","",IF(OR(X200=0,X200="",AI200=""),"",ROUND((AI200+Y200)/(X200/60),2)))</f>
        <v>0</v>
      </c>
      <c r="AL200" s="43">
        <f>IF(B200="","",IF(N200="Not found","Check - no such product ID",IF(AF200="","Check - no price yet",IF(AI200&lt;0,"Loss - this version costs you money",IF(AND(AK200&lt;&gt;"",AK200&lt;MinimumWage),"Below - pays under minimum wage",IF(AND(G200&gt;0,AG200&lt;=0),"Check - extra work, no extra charge",IF(AJ200&lt;MarginWarning,"Low margin - re-price it","OK")))))))</f>
        <v>0</v>
      </c>
    </row>
    <row r="201" spans="1:38">
      <c r="A201" s="38">
        <f>IF(C201="","",VariationPrefix&amp;TEXT(ROW()-4,"0000"))</f>
        <v>0</v>
      </c>
      <c r="N201" s="13">
        <f>IF(B201="","",IFERROR(INDEX(Products!$B$5:$B$304,MATCH(B201,Products!$A$5:$A$304,0)),"Not found"))</f>
        <v>0</v>
      </c>
      <c r="O201" s="20">
        <f>IF(B201="","",IFERROR(INDEX(Products!$T$5:$T$304,MATCH(B201,Products!$A$5:$A$304,0)),""))</f>
        <v>0</v>
      </c>
      <c r="P201" s="20">
        <f>IF(B201="","",IFERROR(INDEX(Products!$Z$5:$Z$304,MATCH(B201,Products!$A$5:$A$304,0)),""))</f>
        <v>0</v>
      </c>
      <c r="Q201" s="20">
        <f>IF(B201="","",IFERROR(INDEX(Products!$AH$5:$AH$304,MATCH(B201,Products!$A$5:$A$304,0))-INDEX(Products!$T$5:$T$304,MATCH(B201,Products!$A$5:$A$304,0))-INDEX(Products!$Z$5:$Z$304,MATCH(B201,Products!$A$5:$A$304,0)),0))</f>
        <v>0</v>
      </c>
      <c r="R201" s="36">
        <f>IF(B201="","",IFERROR(INDEX(Products!$X$5:$X$304,MATCH(B201,Products!$A$5:$A$304,0)),""))</f>
        <v>0</v>
      </c>
      <c r="S201" s="20">
        <f>IF(B201="","",IFERROR(INDEX(Products!$AR$5:$AR$304,MATCH(B201,Products!$A$5:$A$304,0)),""))</f>
        <v>0</v>
      </c>
      <c r="T201" s="41">
        <f>IF(B201="","",IFERROR(INDEX(SizeMaterialFactors,MATCH(E201,SizeNames,0)),1))</f>
        <v>0</v>
      </c>
      <c r="U201" s="41">
        <f>IF(B201="","",IFERROR(INDEX(SizeTimeFactors,MATCH(E201,SizeNames,0)),1))</f>
        <v>0</v>
      </c>
      <c r="V201" s="33">
        <f>IF(B201="","",IFERROR(INDEX(RushFactors,MATCH(H201,RushNames,0)),0))</f>
        <v>0</v>
      </c>
      <c r="W201" s="20">
        <f>IF(B201="","",ROUND(IF(O201="",0,O201)*T201+IF(F201="",0,F201),2))</f>
        <v>0</v>
      </c>
      <c r="X201" s="36">
        <f>IF(B201="","",ROUND(IF(R201="",0,R201)*U201+IF(G201="",0,G201),1))</f>
        <v>0</v>
      </c>
      <c r="Y201" s="20">
        <f>IF(B201="","",ROUND(IF(P201="",0,P201)*U201+IF(G201="",0,G201)/60*LaborCostHour,2))</f>
        <v>0</v>
      </c>
      <c r="Z201" s="20">
        <f>IF(B201="","",ROUND(W201+Y201+IF(Q201="",0,Q201),2))</f>
        <v>0</v>
      </c>
      <c r="AA201" s="33">
        <f>IF(B201="","",IFERROR(INDEX(Channels!$S$5:$S$18,MATCH(IF(J201="",DefaultChannel,J201),Channels!$A$5:$A$18,0)),0))</f>
        <v>0</v>
      </c>
      <c r="AB201" s="20">
        <f>IF(B201="","",IFERROR(INDEX(Channels!$T$5:$T$18,MATCH(IF(J201="",DefaultChannel,J201),Channels!$A$5:$A$18,0)),0))</f>
        <v>0</v>
      </c>
      <c r="AC201" s="41">
        <f>IF(B201="","",1-TargetRetailMargin-AA201)</f>
        <v>0</v>
      </c>
      <c r="AD201" s="20">
        <f>IF(B201="","",IF(AC201&lt;=0,"",((Z201+AB201)/AC201)*(1+V201)+IF(I201="",0,I201)))</f>
        <v>0</v>
      </c>
      <c r="AE201" s="20">
        <f>IF(B201="","",IF(AD201="","Check the settings",ROUND(IF(RoundingRule="None",AD201,IF(RoundingRule="Nearest 0.99",MAX(0.99,CEILING(AD201,1)-0.01),IF(RoundingRule="Nearest 0.95",MAX(0.95,CEILING(AD201,1)-0.05),IF(RoundingRule="Nearest 0.50",CEILING(AD201,0.5),IF(RoundingRule="Nearest 1",CEILING(AD201,1),IF(RoundingRule="Nearest 5",CEILING(AD201,5),IF(RoundingRule="Up to whole 1",CEILING(AD201,1),IF(RoundingRule="Up to whole 5",CEILING(AD201,5),ROUND(AD201,2))))))))),2)))</f>
        <v>0</v>
      </c>
      <c r="AF201" s="20">
        <f>IF(B201="","",IF(K201&lt;&gt;"",K201,IF(ISNUMBER(AE201),AE201,"")))</f>
        <v>0</v>
      </c>
      <c r="AG201" s="20">
        <f>IF(B201="","",IF(OR(AF201="",S201=""),"",ROUND(AF201-S201,2)))</f>
        <v>0</v>
      </c>
      <c r="AH201" s="20">
        <f>IF(B201="","",IF(AF201="","",ROUND(AF201*AA201+AB201,2)))</f>
        <v>0</v>
      </c>
      <c r="AI201" s="20">
        <f>IF(B201="","",IF(AF201="","",ROUND(AF201-Z201-AH201,2)))</f>
        <v>0</v>
      </c>
      <c r="AJ201" s="33">
        <f>IF(B201="","",IF(OR(AF201="",AF201=0),"",AI201/AF201))</f>
        <v>0</v>
      </c>
      <c r="AK201" s="20">
        <f>IF(B201="","",IF(OR(X201=0,X201="",AI201=""),"",ROUND((AI201+Y201)/(X201/60),2)))</f>
        <v>0</v>
      </c>
      <c r="AL201" s="43">
        <f>IF(B201="","",IF(N201="Not found","Check - no such product ID",IF(AF201="","Check - no price yet",IF(AI201&lt;0,"Loss - this version costs you money",IF(AND(AK201&lt;&gt;"",AK201&lt;MinimumWage),"Below - pays under minimum wage",IF(AND(G201&gt;0,AG201&lt;=0),"Check - extra work, no extra charge",IF(AJ201&lt;MarginWarning,"Low margin - re-price it","OK")))))))</f>
        <v>0</v>
      </c>
    </row>
    <row r="202" spans="1:38">
      <c r="A202" s="38">
        <f>IF(C202="","",VariationPrefix&amp;TEXT(ROW()-4,"0000"))</f>
        <v>0</v>
      </c>
      <c r="N202" s="13">
        <f>IF(B202="","",IFERROR(INDEX(Products!$B$5:$B$304,MATCH(B202,Products!$A$5:$A$304,0)),"Not found"))</f>
        <v>0</v>
      </c>
      <c r="O202" s="20">
        <f>IF(B202="","",IFERROR(INDEX(Products!$T$5:$T$304,MATCH(B202,Products!$A$5:$A$304,0)),""))</f>
        <v>0</v>
      </c>
      <c r="P202" s="20">
        <f>IF(B202="","",IFERROR(INDEX(Products!$Z$5:$Z$304,MATCH(B202,Products!$A$5:$A$304,0)),""))</f>
        <v>0</v>
      </c>
      <c r="Q202" s="20">
        <f>IF(B202="","",IFERROR(INDEX(Products!$AH$5:$AH$304,MATCH(B202,Products!$A$5:$A$304,0))-INDEX(Products!$T$5:$T$304,MATCH(B202,Products!$A$5:$A$304,0))-INDEX(Products!$Z$5:$Z$304,MATCH(B202,Products!$A$5:$A$304,0)),0))</f>
        <v>0</v>
      </c>
      <c r="R202" s="36">
        <f>IF(B202="","",IFERROR(INDEX(Products!$X$5:$X$304,MATCH(B202,Products!$A$5:$A$304,0)),""))</f>
        <v>0</v>
      </c>
      <c r="S202" s="20">
        <f>IF(B202="","",IFERROR(INDEX(Products!$AR$5:$AR$304,MATCH(B202,Products!$A$5:$A$304,0)),""))</f>
        <v>0</v>
      </c>
      <c r="T202" s="41">
        <f>IF(B202="","",IFERROR(INDEX(SizeMaterialFactors,MATCH(E202,SizeNames,0)),1))</f>
        <v>0</v>
      </c>
      <c r="U202" s="41">
        <f>IF(B202="","",IFERROR(INDEX(SizeTimeFactors,MATCH(E202,SizeNames,0)),1))</f>
        <v>0</v>
      </c>
      <c r="V202" s="33">
        <f>IF(B202="","",IFERROR(INDEX(RushFactors,MATCH(H202,RushNames,0)),0))</f>
        <v>0</v>
      </c>
      <c r="W202" s="20">
        <f>IF(B202="","",ROUND(IF(O202="",0,O202)*T202+IF(F202="",0,F202),2))</f>
        <v>0</v>
      </c>
      <c r="X202" s="36">
        <f>IF(B202="","",ROUND(IF(R202="",0,R202)*U202+IF(G202="",0,G202),1))</f>
        <v>0</v>
      </c>
      <c r="Y202" s="20">
        <f>IF(B202="","",ROUND(IF(P202="",0,P202)*U202+IF(G202="",0,G202)/60*LaborCostHour,2))</f>
        <v>0</v>
      </c>
      <c r="Z202" s="20">
        <f>IF(B202="","",ROUND(W202+Y202+IF(Q202="",0,Q202),2))</f>
        <v>0</v>
      </c>
      <c r="AA202" s="33">
        <f>IF(B202="","",IFERROR(INDEX(Channels!$S$5:$S$18,MATCH(IF(J202="",DefaultChannel,J202),Channels!$A$5:$A$18,0)),0))</f>
        <v>0</v>
      </c>
      <c r="AB202" s="20">
        <f>IF(B202="","",IFERROR(INDEX(Channels!$T$5:$T$18,MATCH(IF(J202="",DefaultChannel,J202),Channels!$A$5:$A$18,0)),0))</f>
        <v>0</v>
      </c>
      <c r="AC202" s="41">
        <f>IF(B202="","",1-TargetRetailMargin-AA202)</f>
        <v>0</v>
      </c>
      <c r="AD202" s="20">
        <f>IF(B202="","",IF(AC202&lt;=0,"",((Z202+AB202)/AC202)*(1+V202)+IF(I202="",0,I202)))</f>
        <v>0</v>
      </c>
      <c r="AE202" s="20">
        <f>IF(B202="","",IF(AD202="","Check the settings",ROUND(IF(RoundingRule="None",AD202,IF(RoundingRule="Nearest 0.99",MAX(0.99,CEILING(AD202,1)-0.01),IF(RoundingRule="Nearest 0.95",MAX(0.95,CEILING(AD202,1)-0.05),IF(RoundingRule="Nearest 0.50",CEILING(AD202,0.5),IF(RoundingRule="Nearest 1",CEILING(AD202,1),IF(RoundingRule="Nearest 5",CEILING(AD202,5),IF(RoundingRule="Up to whole 1",CEILING(AD202,1),IF(RoundingRule="Up to whole 5",CEILING(AD202,5),ROUND(AD202,2))))))))),2)))</f>
        <v>0</v>
      </c>
      <c r="AF202" s="20">
        <f>IF(B202="","",IF(K202&lt;&gt;"",K202,IF(ISNUMBER(AE202),AE202,"")))</f>
        <v>0</v>
      </c>
      <c r="AG202" s="20">
        <f>IF(B202="","",IF(OR(AF202="",S202=""),"",ROUND(AF202-S202,2)))</f>
        <v>0</v>
      </c>
      <c r="AH202" s="20">
        <f>IF(B202="","",IF(AF202="","",ROUND(AF202*AA202+AB202,2)))</f>
        <v>0</v>
      </c>
      <c r="AI202" s="20">
        <f>IF(B202="","",IF(AF202="","",ROUND(AF202-Z202-AH202,2)))</f>
        <v>0</v>
      </c>
      <c r="AJ202" s="33">
        <f>IF(B202="","",IF(OR(AF202="",AF202=0),"",AI202/AF202))</f>
        <v>0</v>
      </c>
      <c r="AK202" s="20">
        <f>IF(B202="","",IF(OR(X202=0,X202="",AI202=""),"",ROUND((AI202+Y202)/(X202/60),2)))</f>
        <v>0</v>
      </c>
      <c r="AL202" s="43">
        <f>IF(B202="","",IF(N202="Not found","Check - no such product ID",IF(AF202="","Check - no price yet",IF(AI202&lt;0,"Loss - this version costs you money",IF(AND(AK202&lt;&gt;"",AK202&lt;MinimumWage),"Below - pays under minimum wage",IF(AND(G202&gt;0,AG202&lt;=0),"Check - extra work, no extra charge",IF(AJ202&lt;MarginWarning,"Low margin - re-price it","OK")))))))</f>
        <v>0</v>
      </c>
    </row>
    <row r="203" spans="1:38">
      <c r="A203" s="38">
        <f>IF(C203="","",VariationPrefix&amp;TEXT(ROW()-4,"0000"))</f>
        <v>0</v>
      </c>
      <c r="N203" s="13">
        <f>IF(B203="","",IFERROR(INDEX(Products!$B$5:$B$304,MATCH(B203,Products!$A$5:$A$304,0)),"Not found"))</f>
        <v>0</v>
      </c>
      <c r="O203" s="20">
        <f>IF(B203="","",IFERROR(INDEX(Products!$T$5:$T$304,MATCH(B203,Products!$A$5:$A$304,0)),""))</f>
        <v>0</v>
      </c>
      <c r="P203" s="20">
        <f>IF(B203="","",IFERROR(INDEX(Products!$Z$5:$Z$304,MATCH(B203,Products!$A$5:$A$304,0)),""))</f>
        <v>0</v>
      </c>
      <c r="Q203" s="20">
        <f>IF(B203="","",IFERROR(INDEX(Products!$AH$5:$AH$304,MATCH(B203,Products!$A$5:$A$304,0))-INDEX(Products!$T$5:$T$304,MATCH(B203,Products!$A$5:$A$304,0))-INDEX(Products!$Z$5:$Z$304,MATCH(B203,Products!$A$5:$A$304,0)),0))</f>
        <v>0</v>
      </c>
      <c r="R203" s="36">
        <f>IF(B203="","",IFERROR(INDEX(Products!$X$5:$X$304,MATCH(B203,Products!$A$5:$A$304,0)),""))</f>
        <v>0</v>
      </c>
      <c r="S203" s="20">
        <f>IF(B203="","",IFERROR(INDEX(Products!$AR$5:$AR$304,MATCH(B203,Products!$A$5:$A$304,0)),""))</f>
        <v>0</v>
      </c>
      <c r="T203" s="41">
        <f>IF(B203="","",IFERROR(INDEX(SizeMaterialFactors,MATCH(E203,SizeNames,0)),1))</f>
        <v>0</v>
      </c>
      <c r="U203" s="41">
        <f>IF(B203="","",IFERROR(INDEX(SizeTimeFactors,MATCH(E203,SizeNames,0)),1))</f>
        <v>0</v>
      </c>
      <c r="V203" s="33">
        <f>IF(B203="","",IFERROR(INDEX(RushFactors,MATCH(H203,RushNames,0)),0))</f>
        <v>0</v>
      </c>
      <c r="W203" s="20">
        <f>IF(B203="","",ROUND(IF(O203="",0,O203)*T203+IF(F203="",0,F203),2))</f>
        <v>0</v>
      </c>
      <c r="X203" s="36">
        <f>IF(B203="","",ROUND(IF(R203="",0,R203)*U203+IF(G203="",0,G203),1))</f>
        <v>0</v>
      </c>
      <c r="Y203" s="20">
        <f>IF(B203="","",ROUND(IF(P203="",0,P203)*U203+IF(G203="",0,G203)/60*LaborCostHour,2))</f>
        <v>0</v>
      </c>
      <c r="Z203" s="20">
        <f>IF(B203="","",ROUND(W203+Y203+IF(Q203="",0,Q203),2))</f>
        <v>0</v>
      </c>
      <c r="AA203" s="33">
        <f>IF(B203="","",IFERROR(INDEX(Channels!$S$5:$S$18,MATCH(IF(J203="",DefaultChannel,J203),Channels!$A$5:$A$18,0)),0))</f>
        <v>0</v>
      </c>
      <c r="AB203" s="20">
        <f>IF(B203="","",IFERROR(INDEX(Channels!$T$5:$T$18,MATCH(IF(J203="",DefaultChannel,J203),Channels!$A$5:$A$18,0)),0))</f>
        <v>0</v>
      </c>
      <c r="AC203" s="41">
        <f>IF(B203="","",1-TargetRetailMargin-AA203)</f>
        <v>0</v>
      </c>
      <c r="AD203" s="20">
        <f>IF(B203="","",IF(AC203&lt;=0,"",((Z203+AB203)/AC203)*(1+V203)+IF(I203="",0,I203)))</f>
        <v>0</v>
      </c>
      <c r="AE203" s="20">
        <f>IF(B203="","",IF(AD203="","Check the settings",ROUND(IF(RoundingRule="None",AD203,IF(RoundingRule="Nearest 0.99",MAX(0.99,CEILING(AD203,1)-0.01),IF(RoundingRule="Nearest 0.95",MAX(0.95,CEILING(AD203,1)-0.05),IF(RoundingRule="Nearest 0.50",CEILING(AD203,0.5),IF(RoundingRule="Nearest 1",CEILING(AD203,1),IF(RoundingRule="Nearest 5",CEILING(AD203,5),IF(RoundingRule="Up to whole 1",CEILING(AD203,1),IF(RoundingRule="Up to whole 5",CEILING(AD203,5),ROUND(AD203,2))))))))),2)))</f>
        <v>0</v>
      </c>
      <c r="AF203" s="20">
        <f>IF(B203="","",IF(K203&lt;&gt;"",K203,IF(ISNUMBER(AE203),AE203,"")))</f>
        <v>0</v>
      </c>
      <c r="AG203" s="20">
        <f>IF(B203="","",IF(OR(AF203="",S203=""),"",ROUND(AF203-S203,2)))</f>
        <v>0</v>
      </c>
      <c r="AH203" s="20">
        <f>IF(B203="","",IF(AF203="","",ROUND(AF203*AA203+AB203,2)))</f>
        <v>0</v>
      </c>
      <c r="AI203" s="20">
        <f>IF(B203="","",IF(AF203="","",ROUND(AF203-Z203-AH203,2)))</f>
        <v>0</v>
      </c>
      <c r="AJ203" s="33">
        <f>IF(B203="","",IF(OR(AF203="",AF203=0),"",AI203/AF203))</f>
        <v>0</v>
      </c>
      <c r="AK203" s="20">
        <f>IF(B203="","",IF(OR(X203=0,X203="",AI203=""),"",ROUND((AI203+Y203)/(X203/60),2)))</f>
        <v>0</v>
      </c>
      <c r="AL203" s="43">
        <f>IF(B203="","",IF(N203="Not found","Check - no such product ID",IF(AF203="","Check - no price yet",IF(AI203&lt;0,"Loss - this version costs you money",IF(AND(AK203&lt;&gt;"",AK203&lt;MinimumWage),"Below - pays under minimum wage",IF(AND(G203&gt;0,AG203&lt;=0),"Check - extra work, no extra charge",IF(AJ203&lt;MarginWarning,"Low margin - re-price it","OK")))))))</f>
        <v>0</v>
      </c>
    </row>
    <row r="204" spans="1:38">
      <c r="A204" s="38">
        <f>IF(C204="","",VariationPrefix&amp;TEXT(ROW()-4,"0000"))</f>
        <v>0</v>
      </c>
      <c r="N204" s="13">
        <f>IF(B204="","",IFERROR(INDEX(Products!$B$5:$B$304,MATCH(B204,Products!$A$5:$A$304,0)),"Not found"))</f>
        <v>0</v>
      </c>
      <c r="O204" s="20">
        <f>IF(B204="","",IFERROR(INDEX(Products!$T$5:$T$304,MATCH(B204,Products!$A$5:$A$304,0)),""))</f>
        <v>0</v>
      </c>
      <c r="P204" s="20">
        <f>IF(B204="","",IFERROR(INDEX(Products!$Z$5:$Z$304,MATCH(B204,Products!$A$5:$A$304,0)),""))</f>
        <v>0</v>
      </c>
      <c r="Q204" s="20">
        <f>IF(B204="","",IFERROR(INDEX(Products!$AH$5:$AH$304,MATCH(B204,Products!$A$5:$A$304,0))-INDEX(Products!$T$5:$T$304,MATCH(B204,Products!$A$5:$A$304,0))-INDEX(Products!$Z$5:$Z$304,MATCH(B204,Products!$A$5:$A$304,0)),0))</f>
        <v>0</v>
      </c>
      <c r="R204" s="36">
        <f>IF(B204="","",IFERROR(INDEX(Products!$X$5:$X$304,MATCH(B204,Products!$A$5:$A$304,0)),""))</f>
        <v>0</v>
      </c>
      <c r="S204" s="20">
        <f>IF(B204="","",IFERROR(INDEX(Products!$AR$5:$AR$304,MATCH(B204,Products!$A$5:$A$304,0)),""))</f>
        <v>0</v>
      </c>
      <c r="T204" s="41">
        <f>IF(B204="","",IFERROR(INDEX(SizeMaterialFactors,MATCH(E204,SizeNames,0)),1))</f>
        <v>0</v>
      </c>
      <c r="U204" s="41">
        <f>IF(B204="","",IFERROR(INDEX(SizeTimeFactors,MATCH(E204,SizeNames,0)),1))</f>
        <v>0</v>
      </c>
      <c r="V204" s="33">
        <f>IF(B204="","",IFERROR(INDEX(RushFactors,MATCH(H204,RushNames,0)),0))</f>
        <v>0</v>
      </c>
      <c r="W204" s="20">
        <f>IF(B204="","",ROUND(IF(O204="",0,O204)*T204+IF(F204="",0,F204),2))</f>
        <v>0</v>
      </c>
      <c r="X204" s="36">
        <f>IF(B204="","",ROUND(IF(R204="",0,R204)*U204+IF(G204="",0,G204),1))</f>
        <v>0</v>
      </c>
      <c r="Y204" s="20">
        <f>IF(B204="","",ROUND(IF(P204="",0,P204)*U204+IF(G204="",0,G204)/60*LaborCostHour,2))</f>
        <v>0</v>
      </c>
      <c r="Z204" s="20">
        <f>IF(B204="","",ROUND(W204+Y204+IF(Q204="",0,Q204),2))</f>
        <v>0</v>
      </c>
      <c r="AA204" s="33">
        <f>IF(B204="","",IFERROR(INDEX(Channels!$S$5:$S$18,MATCH(IF(J204="",DefaultChannel,J204),Channels!$A$5:$A$18,0)),0))</f>
        <v>0</v>
      </c>
      <c r="AB204" s="20">
        <f>IF(B204="","",IFERROR(INDEX(Channels!$T$5:$T$18,MATCH(IF(J204="",DefaultChannel,J204),Channels!$A$5:$A$18,0)),0))</f>
        <v>0</v>
      </c>
      <c r="AC204" s="41">
        <f>IF(B204="","",1-TargetRetailMargin-AA204)</f>
        <v>0</v>
      </c>
      <c r="AD204" s="20">
        <f>IF(B204="","",IF(AC204&lt;=0,"",((Z204+AB204)/AC204)*(1+V204)+IF(I204="",0,I204)))</f>
        <v>0</v>
      </c>
      <c r="AE204" s="20">
        <f>IF(B204="","",IF(AD204="","Check the settings",ROUND(IF(RoundingRule="None",AD204,IF(RoundingRule="Nearest 0.99",MAX(0.99,CEILING(AD204,1)-0.01),IF(RoundingRule="Nearest 0.95",MAX(0.95,CEILING(AD204,1)-0.05),IF(RoundingRule="Nearest 0.50",CEILING(AD204,0.5),IF(RoundingRule="Nearest 1",CEILING(AD204,1),IF(RoundingRule="Nearest 5",CEILING(AD204,5),IF(RoundingRule="Up to whole 1",CEILING(AD204,1),IF(RoundingRule="Up to whole 5",CEILING(AD204,5),ROUND(AD204,2))))))))),2)))</f>
        <v>0</v>
      </c>
      <c r="AF204" s="20">
        <f>IF(B204="","",IF(K204&lt;&gt;"",K204,IF(ISNUMBER(AE204),AE204,"")))</f>
        <v>0</v>
      </c>
      <c r="AG204" s="20">
        <f>IF(B204="","",IF(OR(AF204="",S204=""),"",ROUND(AF204-S204,2)))</f>
        <v>0</v>
      </c>
      <c r="AH204" s="20">
        <f>IF(B204="","",IF(AF204="","",ROUND(AF204*AA204+AB204,2)))</f>
        <v>0</v>
      </c>
      <c r="AI204" s="20">
        <f>IF(B204="","",IF(AF204="","",ROUND(AF204-Z204-AH204,2)))</f>
        <v>0</v>
      </c>
      <c r="AJ204" s="33">
        <f>IF(B204="","",IF(OR(AF204="",AF204=0),"",AI204/AF204))</f>
        <v>0</v>
      </c>
      <c r="AK204" s="20">
        <f>IF(B204="","",IF(OR(X204=0,X204="",AI204=""),"",ROUND((AI204+Y204)/(X204/60),2)))</f>
        <v>0</v>
      </c>
      <c r="AL204" s="43">
        <f>IF(B204="","",IF(N204="Not found","Check - no such product ID",IF(AF204="","Check - no price yet",IF(AI204&lt;0,"Loss - this version costs you money",IF(AND(AK204&lt;&gt;"",AK204&lt;MinimumWage),"Below - pays under minimum wage",IF(AND(G204&gt;0,AG204&lt;=0),"Check - extra work, no extra charge",IF(AJ204&lt;MarginWarning,"Low margin - re-price it","OK")))))))</f>
        <v>0</v>
      </c>
    </row>
    <row r="205" spans="1:38">
      <c r="A205" s="38">
        <f>IF(C205="","",VariationPrefix&amp;TEXT(ROW()-4,"0000"))</f>
        <v>0</v>
      </c>
      <c r="N205" s="13">
        <f>IF(B205="","",IFERROR(INDEX(Products!$B$5:$B$304,MATCH(B205,Products!$A$5:$A$304,0)),"Not found"))</f>
        <v>0</v>
      </c>
      <c r="O205" s="20">
        <f>IF(B205="","",IFERROR(INDEX(Products!$T$5:$T$304,MATCH(B205,Products!$A$5:$A$304,0)),""))</f>
        <v>0</v>
      </c>
      <c r="P205" s="20">
        <f>IF(B205="","",IFERROR(INDEX(Products!$Z$5:$Z$304,MATCH(B205,Products!$A$5:$A$304,0)),""))</f>
        <v>0</v>
      </c>
      <c r="Q205" s="20">
        <f>IF(B205="","",IFERROR(INDEX(Products!$AH$5:$AH$304,MATCH(B205,Products!$A$5:$A$304,0))-INDEX(Products!$T$5:$T$304,MATCH(B205,Products!$A$5:$A$304,0))-INDEX(Products!$Z$5:$Z$304,MATCH(B205,Products!$A$5:$A$304,0)),0))</f>
        <v>0</v>
      </c>
      <c r="R205" s="36">
        <f>IF(B205="","",IFERROR(INDEX(Products!$X$5:$X$304,MATCH(B205,Products!$A$5:$A$304,0)),""))</f>
        <v>0</v>
      </c>
      <c r="S205" s="20">
        <f>IF(B205="","",IFERROR(INDEX(Products!$AR$5:$AR$304,MATCH(B205,Products!$A$5:$A$304,0)),""))</f>
        <v>0</v>
      </c>
      <c r="T205" s="41">
        <f>IF(B205="","",IFERROR(INDEX(SizeMaterialFactors,MATCH(E205,SizeNames,0)),1))</f>
        <v>0</v>
      </c>
      <c r="U205" s="41">
        <f>IF(B205="","",IFERROR(INDEX(SizeTimeFactors,MATCH(E205,SizeNames,0)),1))</f>
        <v>0</v>
      </c>
      <c r="V205" s="33">
        <f>IF(B205="","",IFERROR(INDEX(RushFactors,MATCH(H205,RushNames,0)),0))</f>
        <v>0</v>
      </c>
      <c r="W205" s="20">
        <f>IF(B205="","",ROUND(IF(O205="",0,O205)*T205+IF(F205="",0,F205),2))</f>
        <v>0</v>
      </c>
      <c r="X205" s="36">
        <f>IF(B205="","",ROUND(IF(R205="",0,R205)*U205+IF(G205="",0,G205),1))</f>
        <v>0</v>
      </c>
      <c r="Y205" s="20">
        <f>IF(B205="","",ROUND(IF(P205="",0,P205)*U205+IF(G205="",0,G205)/60*LaborCostHour,2))</f>
        <v>0</v>
      </c>
      <c r="Z205" s="20">
        <f>IF(B205="","",ROUND(W205+Y205+IF(Q205="",0,Q205),2))</f>
        <v>0</v>
      </c>
      <c r="AA205" s="33">
        <f>IF(B205="","",IFERROR(INDEX(Channels!$S$5:$S$18,MATCH(IF(J205="",DefaultChannel,J205),Channels!$A$5:$A$18,0)),0))</f>
        <v>0</v>
      </c>
      <c r="AB205" s="20">
        <f>IF(B205="","",IFERROR(INDEX(Channels!$T$5:$T$18,MATCH(IF(J205="",DefaultChannel,J205),Channels!$A$5:$A$18,0)),0))</f>
        <v>0</v>
      </c>
      <c r="AC205" s="41">
        <f>IF(B205="","",1-TargetRetailMargin-AA205)</f>
        <v>0</v>
      </c>
      <c r="AD205" s="20">
        <f>IF(B205="","",IF(AC205&lt;=0,"",((Z205+AB205)/AC205)*(1+V205)+IF(I205="",0,I205)))</f>
        <v>0</v>
      </c>
      <c r="AE205" s="20">
        <f>IF(B205="","",IF(AD205="","Check the settings",ROUND(IF(RoundingRule="None",AD205,IF(RoundingRule="Nearest 0.99",MAX(0.99,CEILING(AD205,1)-0.01),IF(RoundingRule="Nearest 0.95",MAX(0.95,CEILING(AD205,1)-0.05),IF(RoundingRule="Nearest 0.50",CEILING(AD205,0.5),IF(RoundingRule="Nearest 1",CEILING(AD205,1),IF(RoundingRule="Nearest 5",CEILING(AD205,5),IF(RoundingRule="Up to whole 1",CEILING(AD205,1),IF(RoundingRule="Up to whole 5",CEILING(AD205,5),ROUND(AD205,2))))))))),2)))</f>
        <v>0</v>
      </c>
      <c r="AF205" s="20">
        <f>IF(B205="","",IF(K205&lt;&gt;"",K205,IF(ISNUMBER(AE205),AE205,"")))</f>
        <v>0</v>
      </c>
      <c r="AG205" s="20">
        <f>IF(B205="","",IF(OR(AF205="",S205=""),"",ROUND(AF205-S205,2)))</f>
        <v>0</v>
      </c>
      <c r="AH205" s="20">
        <f>IF(B205="","",IF(AF205="","",ROUND(AF205*AA205+AB205,2)))</f>
        <v>0</v>
      </c>
      <c r="AI205" s="20">
        <f>IF(B205="","",IF(AF205="","",ROUND(AF205-Z205-AH205,2)))</f>
        <v>0</v>
      </c>
      <c r="AJ205" s="33">
        <f>IF(B205="","",IF(OR(AF205="",AF205=0),"",AI205/AF205))</f>
        <v>0</v>
      </c>
      <c r="AK205" s="20">
        <f>IF(B205="","",IF(OR(X205=0,X205="",AI205=""),"",ROUND((AI205+Y205)/(X205/60),2)))</f>
        <v>0</v>
      </c>
      <c r="AL205" s="43">
        <f>IF(B205="","",IF(N205="Not found","Check - no such product ID",IF(AF205="","Check - no price yet",IF(AI205&lt;0,"Loss - this version costs you money",IF(AND(AK205&lt;&gt;"",AK205&lt;MinimumWage),"Below - pays under minimum wage",IF(AND(G205&gt;0,AG205&lt;=0),"Check - extra work, no extra charge",IF(AJ205&lt;MarginWarning,"Low margin - re-price it","OK")))))))</f>
        <v>0</v>
      </c>
    </row>
    <row r="206" spans="1:38">
      <c r="A206" s="38">
        <f>IF(C206="","",VariationPrefix&amp;TEXT(ROW()-4,"0000"))</f>
        <v>0</v>
      </c>
      <c r="N206" s="13">
        <f>IF(B206="","",IFERROR(INDEX(Products!$B$5:$B$304,MATCH(B206,Products!$A$5:$A$304,0)),"Not found"))</f>
        <v>0</v>
      </c>
      <c r="O206" s="20">
        <f>IF(B206="","",IFERROR(INDEX(Products!$T$5:$T$304,MATCH(B206,Products!$A$5:$A$304,0)),""))</f>
        <v>0</v>
      </c>
      <c r="P206" s="20">
        <f>IF(B206="","",IFERROR(INDEX(Products!$Z$5:$Z$304,MATCH(B206,Products!$A$5:$A$304,0)),""))</f>
        <v>0</v>
      </c>
      <c r="Q206" s="20">
        <f>IF(B206="","",IFERROR(INDEX(Products!$AH$5:$AH$304,MATCH(B206,Products!$A$5:$A$304,0))-INDEX(Products!$T$5:$T$304,MATCH(B206,Products!$A$5:$A$304,0))-INDEX(Products!$Z$5:$Z$304,MATCH(B206,Products!$A$5:$A$304,0)),0))</f>
        <v>0</v>
      </c>
      <c r="R206" s="36">
        <f>IF(B206="","",IFERROR(INDEX(Products!$X$5:$X$304,MATCH(B206,Products!$A$5:$A$304,0)),""))</f>
        <v>0</v>
      </c>
      <c r="S206" s="20">
        <f>IF(B206="","",IFERROR(INDEX(Products!$AR$5:$AR$304,MATCH(B206,Products!$A$5:$A$304,0)),""))</f>
        <v>0</v>
      </c>
      <c r="T206" s="41">
        <f>IF(B206="","",IFERROR(INDEX(SizeMaterialFactors,MATCH(E206,SizeNames,0)),1))</f>
        <v>0</v>
      </c>
      <c r="U206" s="41">
        <f>IF(B206="","",IFERROR(INDEX(SizeTimeFactors,MATCH(E206,SizeNames,0)),1))</f>
        <v>0</v>
      </c>
      <c r="V206" s="33">
        <f>IF(B206="","",IFERROR(INDEX(RushFactors,MATCH(H206,RushNames,0)),0))</f>
        <v>0</v>
      </c>
      <c r="W206" s="20">
        <f>IF(B206="","",ROUND(IF(O206="",0,O206)*T206+IF(F206="",0,F206),2))</f>
        <v>0</v>
      </c>
      <c r="X206" s="36">
        <f>IF(B206="","",ROUND(IF(R206="",0,R206)*U206+IF(G206="",0,G206),1))</f>
        <v>0</v>
      </c>
      <c r="Y206" s="20">
        <f>IF(B206="","",ROUND(IF(P206="",0,P206)*U206+IF(G206="",0,G206)/60*LaborCostHour,2))</f>
        <v>0</v>
      </c>
      <c r="Z206" s="20">
        <f>IF(B206="","",ROUND(W206+Y206+IF(Q206="",0,Q206),2))</f>
        <v>0</v>
      </c>
      <c r="AA206" s="33">
        <f>IF(B206="","",IFERROR(INDEX(Channels!$S$5:$S$18,MATCH(IF(J206="",DefaultChannel,J206),Channels!$A$5:$A$18,0)),0))</f>
        <v>0</v>
      </c>
      <c r="AB206" s="20">
        <f>IF(B206="","",IFERROR(INDEX(Channels!$T$5:$T$18,MATCH(IF(J206="",DefaultChannel,J206),Channels!$A$5:$A$18,0)),0))</f>
        <v>0</v>
      </c>
      <c r="AC206" s="41">
        <f>IF(B206="","",1-TargetRetailMargin-AA206)</f>
        <v>0</v>
      </c>
      <c r="AD206" s="20">
        <f>IF(B206="","",IF(AC206&lt;=0,"",((Z206+AB206)/AC206)*(1+V206)+IF(I206="",0,I206)))</f>
        <v>0</v>
      </c>
      <c r="AE206" s="20">
        <f>IF(B206="","",IF(AD206="","Check the settings",ROUND(IF(RoundingRule="None",AD206,IF(RoundingRule="Nearest 0.99",MAX(0.99,CEILING(AD206,1)-0.01),IF(RoundingRule="Nearest 0.95",MAX(0.95,CEILING(AD206,1)-0.05),IF(RoundingRule="Nearest 0.50",CEILING(AD206,0.5),IF(RoundingRule="Nearest 1",CEILING(AD206,1),IF(RoundingRule="Nearest 5",CEILING(AD206,5),IF(RoundingRule="Up to whole 1",CEILING(AD206,1),IF(RoundingRule="Up to whole 5",CEILING(AD206,5),ROUND(AD206,2))))))))),2)))</f>
        <v>0</v>
      </c>
      <c r="AF206" s="20">
        <f>IF(B206="","",IF(K206&lt;&gt;"",K206,IF(ISNUMBER(AE206),AE206,"")))</f>
        <v>0</v>
      </c>
      <c r="AG206" s="20">
        <f>IF(B206="","",IF(OR(AF206="",S206=""),"",ROUND(AF206-S206,2)))</f>
        <v>0</v>
      </c>
      <c r="AH206" s="20">
        <f>IF(B206="","",IF(AF206="","",ROUND(AF206*AA206+AB206,2)))</f>
        <v>0</v>
      </c>
      <c r="AI206" s="20">
        <f>IF(B206="","",IF(AF206="","",ROUND(AF206-Z206-AH206,2)))</f>
        <v>0</v>
      </c>
      <c r="AJ206" s="33">
        <f>IF(B206="","",IF(OR(AF206="",AF206=0),"",AI206/AF206))</f>
        <v>0</v>
      </c>
      <c r="AK206" s="20">
        <f>IF(B206="","",IF(OR(X206=0,X206="",AI206=""),"",ROUND((AI206+Y206)/(X206/60),2)))</f>
        <v>0</v>
      </c>
      <c r="AL206" s="43">
        <f>IF(B206="","",IF(N206="Not found","Check - no such product ID",IF(AF206="","Check - no price yet",IF(AI206&lt;0,"Loss - this version costs you money",IF(AND(AK206&lt;&gt;"",AK206&lt;MinimumWage),"Below - pays under minimum wage",IF(AND(G206&gt;0,AG206&lt;=0),"Check - extra work, no extra charge",IF(AJ206&lt;MarginWarning,"Low margin - re-price it","OK")))))))</f>
        <v>0</v>
      </c>
    </row>
    <row r="207" spans="1:38">
      <c r="A207" s="38">
        <f>IF(C207="","",VariationPrefix&amp;TEXT(ROW()-4,"0000"))</f>
        <v>0</v>
      </c>
      <c r="N207" s="13">
        <f>IF(B207="","",IFERROR(INDEX(Products!$B$5:$B$304,MATCH(B207,Products!$A$5:$A$304,0)),"Not found"))</f>
        <v>0</v>
      </c>
      <c r="O207" s="20">
        <f>IF(B207="","",IFERROR(INDEX(Products!$T$5:$T$304,MATCH(B207,Products!$A$5:$A$304,0)),""))</f>
        <v>0</v>
      </c>
      <c r="P207" s="20">
        <f>IF(B207="","",IFERROR(INDEX(Products!$Z$5:$Z$304,MATCH(B207,Products!$A$5:$A$304,0)),""))</f>
        <v>0</v>
      </c>
      <c r="Q207" s="20">
        <f>IF(B207="","",IFERROR(INDEX(Products!$AH$5:$AH$304,MATCH(B207,Products!$A$5:$A$304,0))-INDEX(Products!$T$5:$T$304,MATCH(B207,Products!$A$5:$A$304,0))-INDEX(Products!$Z$5:$Z$304,MATCH(B207,Products!$A$5:$A$304,0)),0))</f>
        <v>0</v>
      </c>
      <c r="R207" s="36">
        <f>IF(B207="","",IFERROR(INDEX(Products!$X$5:$X$304,MATCH(B207,Products!$A$5:$A$304,0)),""))</f>
        <v>0</v>
      </c>
      <c r="S207" s="20">
        <f>IF(B207="","",IFERROR(INDEX(Products!$AR$5:$AR$304,MATCH(B207,Products!$A$5:$A$304,0)),""))</f>
        <v>0</v>
      </c>
      <c r="T207" s="41">
        <f>IF(B207="","",IFERROR(INDEX(SizeMaterialFactors,MATCH(E207,SizeNames,0)),1))</f>
        <v>0</v>
      </c>
      <c r="U207" s="41">
        <f>IF(B207="","",IFERROR(INDEX(SizeTimeFactors,MATCH(E207,SizeNames,0)),1))</f>
        <v>0</v>
      </c>
      <c r="V207" s="33">
        <f>IF(B207="","",IFERROR(INDEX(RushFactors,MATCH(H207,RushNames,0)),0))</f>
        <v>0</v>
      </c>
      <c r="W207" s="20">
        <f>IF(B207="","",ROUND(IF(O207="",0,O207)*T207+IF(F207="",0,F207),2))</f>
        <v>0</v>
      </c>
      <c r="X207" s="36">
        <f>IF(B207="","",ROUND(IF(R207="",0,R207)*U207+IF(G207="",0,G207),1))</f>
        <v>0</v>
      </c>
      <c r="Y207" s="20">
        <f>IF(B207="","",ROUND(IF(P207="",0,P207)*U207+IF(G207="",0,G207)/60*LaborCostHour,2))</f>
        <v>0</v>
      </c>
      <c r="Z207" s="20">
        <f>IF(B207="","",ROUND(W207+Y207+IF(Q207="",0,Q207),2))</f>
        <v>0</v>
      </c>
      <c r="AA207" s="33">
        <f>IF(B207="","",IFERROR(INDEX(Channels!$S$5:$S$18,MATCH(IF(J207="",DefaultChannel,J207),Channels!$A$5:$A$18,0)),0))</f>
        <v>0</v>
      </c>
      <c r="AB207" s="20">
        <f>IF(B207="","",IFERROR(INDEX(Channels!$T$5:$T$18,MATCH(IF(J207="",DefaultChannel,J207),Channels!$A$5:$A$18,0)),0))</f>
        <v>0</v>
      </c>
      <c r="AC207" s="41">
        <f>IF(B207="","",1-TargetRetailMargin-AA207)</f>
        <v>0</v>
      </c>
      <c r="AD207" s="20">
        <f>IF(B207="","",IF(AC207&lt;=0,"",((Z207+AB207)/AC207)*(1+V207)+IF(I207="",0,I207)))</f>
        <v>0</v>
      </c>
      <c r="AE207" s="20">
        <f>IF(B207="","",IF(AD207="","Check the settings",ROUND(IF(RoundingRule="None",AD207,IF(RoundingRule="Nearest 0.99",MAX(0.99,CEILING(AD207,1)-0.01),IF(RoundingRule="Nearest 0.95",MAX(0.95,CEILING(AD207,1)-0.05),IF(RoundingRule="Nearest 0.50",CEILING(AD207,0.5),IF(RoundingRule="Nearest 1",CEILING(AD207,1),IF(RoundingRule="Nearest 5",CEILING(AD207,5),IF(RoundingRule="Up to whole 1",CEILING(AD207,1),IF(RoundingRule="Up to whole 5",CEILING(AD207,5),ROUND(AD207,2))))))))),2)))</f>
        <v>0</v>
      </c>
      <c r="AF207" s="20">
        <f>IF(B207="","",IF(K207&lt;&gt;"",K207,IF(ISNUMBER(AE207),AE207,"")))</f>
        <v>0</v>
      </c>
      <c r="AG207" s="20">
        <f>IF(B207="","",IF(OR(AF207="",S207=""),"",ROUND(AF207-S207,2)))</f>
        <v>0</v>
      </c>
      <c r="AH207" s="20">
        <f>IF(B207="","",IF(AF207="","",ROUND(AF207*AA207+AB207,2)))</f>
        <v>0</v>
      </c>
      <c r="AI207" s="20">
        <f>IF(B207="","",IF(AF207="","",ROUND(AF207-Z207-AH207,2)))</f>
        <v>0</v>
      </c>
      <c r="AJ207" s="33">
        <f>IF(B207="","",IF(OR(AF207="",AF207=0),"",AI207/AF207))</f>
        <v>0</v>
      </c>
      <c r="AK207" s="20">
        <f>IF(B207="","",IF(OR(X207=0,X207="",AI207=""),"",ROUND((AI207+Y207)/(X207/60),2)))</f>
        <v>0</v>
      </c>
      <c r="AL207" s="43">
        <f>IF(B207="","",IF(N207="Not found","Check - no such product ID",IF(AF207="","Check - no price yet",IF(AI207&lt;0,"Loss - this version costs you money",IF(AND(AK207&lt;&gt;"",AK207&lt;MinimumWage),"Below - pays under minimum wage",IF(AND(G207&gt;0,AG207&lt;=0),"Check - extra work, no extra charge",IF(AJ207&lt;MarginWarning,"Low margin - re-price it","OK")))))))</f>
        <v>0</v>
      </c>
    </row>
    <row r="208" spans="1:38">
      <c r="A208" s="38">
        <f>IF(C208="","",VariationPrefix&amp;TEXT(ROW()-4,"0000"))</f>
        <v>0</v>
      </c>
      <c r="N208" s="13">
        <f>IF(B208="","",IFERROR(INDEX(Products!$B$5:$B$304,MATCH(B208,Products!$A$5:$A$304,0)),"Not found"))</f>
        <v>0</v>
      </c>
      <c r="O208" s="20">
        <f>IF(B208="","",IFERROR(INDEX(Products!$T$5:$T$304,MATCH(B208,Products!$A$5:$A$304,0)),""))</f>
        <v>0</v>
      </c>
      <c r="P208" s="20">
        <f>IF(B208="","",IFERROR(INDEX(Products!$Z$5:$Z$304,MATCH(B208,Products!$A$5:$A$304,0)),""))</f>
        <v>0</v>
      </c>
      <c r="Q208" s="20">
        <f>IF(B208="","",IFERROR(INDEX(Products!$AH$5:$AH$304,MATCH(B208,Products!$A$5:$A$304,0))-INDEX(Products!$T$5:$T$304,MATCH(B208,Products!$A$5:$A$304,0))-INDEX(Products!$Z$5:$Z$304,MATCH(B208,Products!$A$5:$A$304,0)),0))</f>
        <v>0</v>
      </c>
      <c r="R208" s="36">
        <f>IF(B208="","",IFERROR(INDEX(Products!$X$5:$X$304,MATCH(B208,Products!$A$5:$A$304,0)),""))</f>
        <v>0</v>
      </c>
      <c r="S208" s="20">
        <f>IF(B208="","",IFERROR(INDEX(Products!$AR$5:$AR$304,MATCH(B208,Products!$A$5:$A$304,0)),""))</f>
        <v>0</v>
      </c>
      <c r="T208" s="41">
        <f>IF(B208="","",IFERROR(INDEX(SizeMaterialFactors,MATCH(E208,SizeNames,0)),1))</f>
        <v>0</v>
      </c>
      <c r="U208" s="41">
        <f>IF(B208="","",IFERROR(INDEX(SizeTimeFactors,MATCH(E208,SizeNames,0)),1))</f>
        <v>0</v>
      </c>
      <c r="V208" s="33">
        <f>IF(B208="","",IFERROR(INDEX(RushFactors,MATCH(H208,RushNames,0)),0))</f>
        <v>0</v>
      </c>
      <c r="W208" s="20">
        <f>IF(B208="","",ROUND(IF(O208="",0,O208)*T208+IF(F208="",0,F208),2))</f>
        <v>0</v>
      </c>
      <c r="X208" s="36">
        <f>IF(B208="","",ROUND(IF(R208="",0,R208)*U208+IF(G208="",0,G208),1))</f>
        <v>0</v>
      </c>
      <c r="Y208" s="20">
        <f>IF(B208="","",ROUND(IF(P208="",0,P208)*U208+IF(G208="",0,G208)/60*LaborCostHour,2))</f>
        <v>0</v>
      </c>
      <c r="Z208" s="20">
        <f>IF(B208="","",ROUND(W208+Y208+IF(Q208="",0,Q208),2))</f>
        <v>0</v>
      </c>
      <c r="AA208" s="33">
        <f>IF(B208="","",IFERROR(INDEX(Channels!$S$5:$S$18,MATCH(IF(J208="",DefaultChannel,J208),Channels!$A$5:$A$18,0)),0))</f>
        <v>0</v>
      </c>
      <c r="AB208" s="20">
        <f>IF(B208="","",IFERROR(INDEX(Channels!$T$5:$T$18,MATCH(IF(J208="",DefaultChannel,J208),Channels!$A$5:$A$18,0)),0))</f>
        <v>0</v>
      </c>
      <c r="AC208" s="41">
        <f>IF(B208="","",1-TargetRetailMargin-AA208)</f>
        <v>0</v>
      </c>
      <c r="AD208" s="20">
        <f>IF(B208="","",IF(AC208&lt;=0,"",((Z208+AB208)/AC208)*(1+V208)+IF(I208="",0,I208)))</f>
        <v>0</v>
      </c>
      <c r="AE208" s="20">
        <f>IF(B208="","",IF(AD208="","Check the settings",ROUND(IF(RoundingRule="None",AD208,IF(RoundingRule="Nearest 0.99",MAX(0.99,CEILING(AD208,1)-0.01),IF(RoundingRule="Nearest 0.95",MAX(0.95,CEILING(AD208,1)-0.05),IF(RoundingRule="Nearest 0.50",CEILING(AD208,0.5),IF(RoundingRule="Nearest 1",CEILING(AD208,1),IF(RoundingRule="Nearest 5",CEILING(AD208,5),IF(RoundingRule="Up to whole 1",CEILING(AD208,1),IF(RoundingRule="Up to whole 5",CEILING(AD208,5),ROUND(AD208,2))))))))),2)))</f>
        <v>0</v>
      </c>
      <c r="AF208" s="20">
        <f>IF(B208="","",IF(K208&lt;&gt;"",K208,IF(ISNUMBER(AE208),AE208,"")))</f>
        <v>0</v>
      </c>
      <c r="AG208" s="20">
        <f>IF(B208="","",IF(OR(AF208="",S208=""),"",ROUND(AF208-S208,2)))</f>
        <v>0</v>
      </c>
      <c r="AH208" s="20">
        <f>IF(B208="","",IF(AF208="","",ROUND(AF208*AA208+AB208,2)))</f>
        <v>0</v>
      </c>
      <c r="AI208" s="20">
        <f>IF(B208="","",IF(AF208="","",ROUND(AF208-Z208-AH208,2)))</f>
        <v>0</v>
      </c>
      <c r="AJ208" s="33">
        <f>IF(B208="","",IF(OR(AF208="",AF208=0),"",AI208/AF208))</f>
        <v>0</v>
      </c>
      <c r="AK208" s="20">
        <f>IF(B208="","",IF(OR(X208=0,X208="",AI208=""),"",ROUND((AI208+Y208)/(X208/60),2)))</f>
        <v>0</v>
      </c>
      <c r="AL208" s="43">
        <f>IF(B208="","",IF(N208="Not found","Check - no such product ID",IF(AF208="","Check - no price yet",IF(AI208&lt;0,"Loss - this version costs you money",IF(AND(AK208&lt;&gt;"",AK208&lt;MinimumWage),"Below - pays under minimum wage",IF(AND(G208&gt;0,AG208&lt;=0),"Check - extra work, no extra charge",IF(AJ208&lt;MarginWarning,"Low margin - re-price it","OK")))))))</f>
        <v>0</v>
      </c>
    </row>
    <row r="209" spans="1:38">
      <c r="A209" s="38">
        <f>IF(C209="","",VariationPrefix&amp;TEXT(ROW()-4,"0000"))</f>
        <v>0</v>
      </c>
      <c r="N209" s="13">
        <f>IF(B209="","",IFERROR(INDEX(Products!$B$5:$B$304,MATCH(B209,Products!$A$5:$A$304,0)),"Not found"))</f>
        <v>0</v>
      </c>
      <c r="O209" s="20">
        <f>IF(B209="","",IFERROR(INDEX(Products!$T$5:$T$304,MATCH(B209,Products!$A$5:$A$304,0)),""))</f>
        <v>0</v>
      </c>
      <c r="P209" s="20">
        <f>IF(B209="","",IFERROR(INDEX(Products!$Z$5:$Z$304,MATCH(B209,Products!$A$5:$A$304,0)),""))</f>
        <v>0</v>
      </c>
      <c r="Q209" s="20">
        <f>IF(B209="","",IFERROR(INDEX(Products!$AH$5:$AH$304,MATCH(B209,Products!$A$5:$A$304,0))-INDEX(Products!$T$5:$T$304,MATCH(B209,Products!$A$5:$A$304,0))-INDEX(Products!$Z$5:$Z$304,MATCH(B209,Products!$A$5:$A$304,0)),0))</f>
        <v>0</v>
      </c>
      <c r="R209" s="36">
        <f>IF(B209="","",IFERROR(INDEX(Products!$X$5:$X$304,MATCH(B209,Products!$A$5:$A$304,0)),""))</f>
        <v>0</v>
      </c>
      <c r="S209" s="20">
        <f>IF(B209="","",IFERROR(INDEX(Products!$AR$5:$AR$304,MATCH(B209,Products!$A$5:$A$304,0)),""))</f>
        <v>0</v>
      </c>
      <c r="T209" s="41">
        <f>IF(B209="","",IFERROR(INDEX(SizeMaterialFactors,MATCH(E209,SizeNames,0)),1))</f>
        <v>0</v>
      </c>
      <c r="U209" s="41">
        <f>IF(B209="","",IFERROR(INDEX(SizeTimeFactors,MATCH(E209,SizeNames,0)),1))</f>
        <v>0</v>
      </c>
      <c r="V209" s="33">
        <f>IF(B209="","",IFERROR(INDEX(RushFactors,MATCH(H209,RushNames,0)),0))</f>
        <v>0</v>
      </c>
      <c r="W209" s="20">
        <f>IF(B209="","",ROUND(IF(O209="",0,O209)*T209+IF(F209="",0,F209),2))</f>
        <v>0</v>
      </c>
      <c r="X209" s="36">
        <f>IF(B209="","",ROUND(IF(R209="",0,R209)*U209+IF(G209="",0,G209),1))</f>
        <v>0</v>
      </c>
      <c r="Y209" s="20">
        <f>IF(B209="","",ROUND(IF(P209="",0,P209)*U209+IF(G209="",0,G209)/60*LaborCostHour,2))</f>
        <v>0</v>
      </c>
      <c r="Z209" s="20">
        <f>IF(B209="","",ROUND(W209+Y209+IF(Q209="",0,Q209),2))</f>
        <v>0</v>
      </c>
      <c r="AA209" s="33">
        <f>IF(B209="","",IFERROR(INDEX(Channels!$S$5:$S$18,MATCH(IF(J209="",DefaultChannel,J209),Channels!$A$5:$A$18,0)),0))</f>
        <v>0</v>
      </c>
      <c r="AB209" s="20">
        <f>IF(B209="","",IFERROR(INDEX(Channels!$T$5:$T$18,MATCH(IF(J209="",DefaultChannel,J209),Channels!$A$5:$A$18,0)),0))</f>
        <v>0</v>
      </c>
      <c r="AC209" s="41">
        <f>IF(B209="","",1-TargetRetailMargin-AA209)</f>
        <v>0</v>
      </c>
      <c r="AD209" s="20">
        <f>IF(B209="","",IF(AC209&lt;=0,"",((Z209+AB209)/AC209)*(1+V209)+IF(I209="",0,I209)))</f>
        <v>0</v>
      </c>
      <c r="AE209" s="20">
        <f>IF(B209="","",IF(AD209="","Check the settings",ROUND(IF(RoundingRule="None",AD209,IF(RoundingRule="Nearest 0.99",MAX(0.99,CEILING(AD209,1)-0.01),IF(RoundingRule="Nearest 0.95",MAX(0.95,CEILING(AD209,1)-0.05),IF(RoundingRule="Nearest 0.50",CEILING(AD209,0.5),IF(RoundingRule="Nearest 1",CEILING(AD209,1),IF(RoundingRule="Nearest 5",CEILING(AD209,5),IF(RoundingRule="Up to whole 1",CEILING(AD209,1),IF(RoundingRule="Up to whole 5",CEILING(AD209,5),ROUND(AD209,2))))))))),2)))</f>
        <v>0</v>
      </c>
      <c r="AF209" s="20">
        <f>IF(B209="","",IF(K209&lt;&gt;"",K209,IF(ISNUMBER(AE209),AE209,"")))</f>
        <v>0</v>
      </c>
      <c r="AG209" s="20">
        <f>IF(B209="","",IF(OR(AF209="",S209=""),"",ROUND(AF209-S209,2)))</f>
        <v>0</v>
      </c>
      <c r="AH209" s="20">
        <f>IF(B209="","",IF(AF209="","",ROUND(AF209*AA209+AB209,2)))</f>
        <v>0</v>
      </c>
      <c r="AI209" s="20">
        <f>IF(B209="","",IF(AF209="","",ROUND(AF209-Z209-AH209,2)))</f>
        <v>0</v>
      </c>
      <c r="AJ209" s="33">
        <f>IF(B209="","",IF(OR(AF209="",AF209=0),"",AI209/AF209))</f>
        <v>0</v>
      </c>
      <c r="AK209" s="20">
        <f>IF(B209="","",IF(OR(X209=0,X209="",AI209=""),"",ROUND((AI209+Y209)/(X209/60),2)))</f>
        <v>0</v>
      </c>
      <c r="AL209" s="43">
        <f>IF(B209="","",IF(N209="Not found","Check - no such product ID",IF(AF209="","Check - no price yet",IF(AI209&lt;0,"Loss - this version costs you money",IF(AND(AK209&lt;&gt;"",AK209&lt;MinimumWage),"Below - pays under minimum wage",IF(AND(G209&gt;0,AG209&lt;=0),"Check - extra work, no extra charge",IF(AJ209&lt;MarginWarning,"Low margin - re-price it","OK")))))))</f>
        <v>0</v>
      </c>
    </row>
    <row r="210" spans="1:38">
      <c r="A210" s="38">
        <f>IF(C210="","",VariationPrefix&amp;TEXT(ROW()-4,"0000"))</f>
        <v>0</v>
      </c>
      <c r="N210" s="13">
        <f>IF(B210="","",IFERROR(INDEX(Products!$B$5:$B$304,MATCH(B210,Products!$A$5:$A$304,0)),"Not found"))</f>
        <v>0</v>
      </c>
      <c r="O210" s="20">
        <f>IF(B210="","",IFERROR(INDEX(Products!$T$5:$T$304,MATCH(B210,Products!$A$5:$A$304,0)),""))</f>
        <v>0</v>
      </c>
      <c r="P210" s="20">
        <f>IF(B210="","",IFERROR(INDEX(Products!$Z$5:$Z$304,MATCH(B210,Products!$A$5:$A$304,0)),""))</f>
        <v>0</v>
      </c>
      <c r="Q210" s="20">
        <f>IF(B210="","",IFERROR(INDEX(Products!$AH$5:$AH$304,MATCH(B210,Products!$A$5:$A$304,0))-INDEX(Products!$T$5:$T$304,MATCH(B210,Products!$A$5:$A$304,0))-INDEX(Products!$Z$5:$Z$304,MATCH(B210,Products!$A$5:$A$304,0)),0))</f>
        <v>0</v>
      </c>
      <c r="R210" s="36">
        <f>IF(B210="","",IFERROR(INDEX(Products!$X$5:$X$304,MATCH(B210,Products!$A$5:$A$304,0)),""))</f>
        <v>0</v>
      </c>
      <c r="S210" s="20">
        <f>IF(B210="","",IFERROR(INDEX(Products!$AR$5:$AR$304,MATCH(B210,Products!$A$5:$A$304,0)),""))</f>
        <v>0</v>
      </c>
      <c r="T210" s="41">
        <f>IF(B210="","",IFERROR(INDEX(SizeMaterialFactors,MATCH(E210,SizeNames,0)),1))</f>
        <v>0</v>
      </c>
      <c r="U210" s="41">
        <f>IF(B210="","",IFERROR(INDEX(SizeTimeFactors,MATCH(E210,SizeNames,0)),1))</f>
        <v>0</v>
      </c>
      <c r="V210" s="33">
        <f>IF(B210="","",IFERROR(INDEX(RushFactors,MATCH(H210,RushNames,0)),0))</f>
        <v>0</v>
      </c>
      <c r="W210" s="20">
        <f>IF(B210="","",ROUND(IF(O210="",0,O210)*T210+IF(F210="",0,F210),2))</f>
        <v>0</v>
      </c>
      <c r="X210" s="36">
        <f>IF(B210="","",ROUND(IF(R210="",0,R210)*U210+IF(G210="",0,G210),1))</f>
        <v>0</v>
      </c>
      <c r="Y210" s="20">
        <f>IF(B210="","",ROUND(IF(P210="",0,P210)*U210+IF(G210="",0,G210)/60*LaborCostHour,2))</f>
        <v>0</v>
      </c>
      <c r="Z210" s="20">
        <f>IF(B210="","",ROUND(W210+Y210+IF(Q210="",0,Q210),2))</f>
        <v>0</v>
      </c>
      <c r="AA210" s="33">
        <f>IF(B210="","",IFERROR(INDEX(Channels!$S$5:$S$18,MATCH(IF(J210="",DefaultChannel,J210),Channels!$A$5:$A$18,0)),0))</f>
        <v>0</v>
      </c>
      <c r="AB210" s="20">
        <f>IF(B210="","",IFERROR(INDEX(Channels!$T$5:$T$18,MATCH(IF(J210="",DefaultChannel,J210),Channels!$A$5:$A$18,0)),0))</f>
        <v>0</v>
      </c>
      <c r="AC210" s="41">
        <f>IF(B210="","",1-TargetRetailMargin-AA210)</f>
        <v>0</v>
      </c>
      <c r="AD210" s="20">
        <f>IF(B210="","",IF(AC210&lt;=0,"",((Z210+AB210)/AC210)*(1+V210)+IF(I210="",0,I210)))</f>
        <v>0</v>
      </c>
      <c r="AE210" s="20">
        <f>IF(B210="","",IF(AD210="","Check the settings",ROUND(IF(RoundingRule="None",AD210,IF(RoundingRule="Nearest 0.99",MAX(0.99,CEILING(AD210,1)-0.01),IF(RoundingRule="Nearest 0.95",MAX(0.95,CEILING(AD210,1)-0.05),IF(RoundingRule="Nearest 0.50",CEILING(AD210,0.5),IF(RoundingRule="Nearest 1",CEILING(AD210,1),IF(RoundingRule="Nearest 5",CEILING(AD210,5),IF(RoundingRule="Up to whole 1",CEILING(AD210,1),IF(RoundingRule="Up to whole 5",CEILING(AD210,5),ROUND(AD210,2))))))))),2)))</f>
        <v>0</v>
      </c>
      <c r="AF210" s="20">
        <f>IF(B210="","",IF(K210&lt;&gt;"",K210,IF(ISNUMBER(AE210),AE210,"")))</f>
        <v>0</v>
      </c>
      <c r="AG210" s="20">
        <f>IF(B210="","",IF(OR(AF210="",S210=""),"",ROUND(AF210-S210,2)))</f>
        <v>0</v>
      </c>
      <c r="AH210" s="20">
        <f>IF(B210="","",IF(AF210="","",ROUND(AF210*AA210+AB210,2)))</f>
        <v>0</v>
      </c>
      <c r="AI210" s="20">
        <f>IF(B210="","",IF(AF210="","",ROUND(AF210-Z210-AH210,2)))</f>
        <v>0</v>
      </c>
      <c r="AJ210" s="33">
        <f>IF(B210="","",IF(OR(AF210="",AF210=0),"",AI210/AF210))</f>
        <v>0</v>
      </c>
      <c r="AK210" s="20">
        <f>IF(B210="","",IF(OR(X210=0,X210="",AI210=""),"",ROUND((AI210+Y210)/(X210/60),2)))</f>
        <v>0</v>
      </c>
      <c r="AL210" s="43">
        <f>IF(B210="","",IF(N210="Not found","Check - no such product ID",IF(AF210="","Check - no price yet",IF(AI210&lt;0,"Loss - this version costs you money",IF(AND(AK210&lt;&gt;"",AK210&lt;MinimumWage),"Below - pays under minimum wage",IF(AND(G210&gt;0,AG210&lt;=0),"Check - extra work, no extra charge",IF(AJ210&lt;MarginWarning,"Low margin - re-price it","OK")))))))</f>
        <v>0</v>
      </c>
    </row>
    <row r="211" spans="1:38">
      <c r="A211" s="38">
        <f>IF(C211="","",VariationPrefix&amp;TEXT(ROW()-4,"0000"))</f>
        <v>0</v>
      </c>
      <c r="N211" s="13">
        <f>IF(B211="","",IFERROR(INDEX(Products!$B$5:$B$304,MATCH(B211,Products!$A$5:$A$304,0)),"Not found"))</f>
        <v>0</v>
      </c>
      <c r="O211" s="20">
        <f>IF(B211="","",IFERROR(INDEX(Products!$T$5:$T$304,MATCH(B211,Products!$A$5:$A$304,0)),""))</f>
        <v>0</v>
      </c>
      <c r="P211" s="20">
        <f>IF(B211="","",IFERROR(INDEX(Products!$Z$5:$Z$304,MATCH(B211,Products!$A$5:$A$304,0)),""))</f>
        <v>0</v>
      </c>
      <c r="Q211" s="20">
        <f>IF(B211="","",IFERROR(INDEX(Products!$AH$5:$AH$304,MATCH(B211,Products!$A$5:$A$304,0))-INDEX(Products!$T$5:$T$304,MATCH(B211,Products!$A$5:$A$304,0))-INDEX(Products!$Z$5:$Z$304,MATCH(B211,Products!$A$5:$A$304,0)),0))</f>
        <v>0</v>
      </c>
      <c r="R211" s="36">
        <f>IF(B211="","",IFERROR(INDEX(Products!$X$5:$X$304,MATCH(B211,Products!$A$5:$A$304,0)),""))</f>
        <v>0</v>
      </c>
      <c r="S211" s="20">
        <f>IF(B211="","",IFERROR(INDEX(Products!$AR$5:$AR$304,MATCH(B211,Products!$A$5:$A$304,0)),""))</f>
        <v>0</v>
      </c>
      <c r="T211" s="41">
        <f>IF(B211="","",IFERROR(INDEX(SizeMaterialFactors,MATCH(E211,SizeNames,0)),1))</f>
        <v>0</v>
      </c>
      <c r="U211" s="41">
        <f>IF(B211="","",IFERROR(INDEX(SizeTimeFactors,MATCH(E211,SizeNames,0)),1))</f>
        <v>0</v>
      </c>
      <c r="V211" s="33">
        <f>IF(B211="","",IFERROR(INDEX(RushFactors,MATCH(H211,RushNames,0)),0))</f>
        <v>0</v>
      </c>
      <c r="W211" s="20">
        <f>IF(B211="","",ROUND(IF(O211="",0,O211)*T211+IF(F211="",0,F211),2))</f>
        <v>0</v>
      </c>
      <c r="X211" s="36">
        <f>IF(B211="","",ROUND(IF(R211="",0,R211)*U211+IF(G211="",0,G211),1))</f>
        <v>0</v>
      </c>
      <c r="Y211" s="20">
        <f>IF(B211="","",ROUND(IF(P211="",0,P211)*U211+IF(G211="",0,G211)/60*LaborCostHour,2))</f>
        <v>0</v>
      </c>
      <c r="Z211" s="20">
        <f>IF(B211="","",ROUND(W211+Y211+IF(Q211="",0,Q211),2))</f>
        <v>0</v>
      </c>
      <c r="AA211" s="33">
        <f>IF(B211="","",IFERROR(INDEX(Channels!$S$5:$S$18,MATCH(IF(J211="",DefaultChannel,J211),Channels!$A$5:$A$18,0)),0))</f>
        <v>0</v>
      </c>
      <c r="AB211" s="20">
        <f>IF(B211="","",IFERROR(INDEX(Channels!$T$5:$T$18,MATCH(IF(J211="",DefaultChannel,J211),Channels!$A$5:$A$18,0)),0))</f>
        <v>0</v>
      </c>
      <c r="AC211" s="41">
        <f>IF(B211="","",1-TargetRetailMargin-AA211)</f>
        <v>0</v>
      </c>
      <c r="AD211" s="20">
        <f>IF(B211="","",IF(AC211&lt;=0,"",((Z211+AB211)/AC211)*(1+V211)+IF(I211="",0,I211)))</f>
        <v>0</v>
      </c>
      <c r="AE211" s="20">
        <f>IF(B211="","",IF(AD211="","Check the settings",ROUND(IF(RoundingRule="None",AD211,IF(RoundingRule="Nearest 0.99",MAX(0.99,CEILING(AD211,1)-0.01),IF(RoundingRule="Nearest 0.95",MAX(0.95,CEILING(AD211,1)-0.05),IF(RoundingRule="Nearest 0.50",CEILING(AD211,0.5),IF(RoundingRule="Nearest 1",CEILING(AD211,1),IF(RoundingRule="Nearest 5",CEILING(AD211,5),IF(RoundingRule="Up to whole 1",CEILING(AD211,1),IF(RoundingRule="Up to whole 5",CEILING(AD211,5),ROUND(AD211,2))))))))),2)))</f>
        <v>0</v>
      </c>
      <c r="AF211" s="20">
        <f>IF(B211="","",IF(K211&lt;&gt;"",K211,IF(ISNUMBER(AE211),AE211,"")))</f>
        <v>0</v>
      </c>
      <c r="AG211" s="20">
        <f>IF(B211="","",IF(OR(AF211="",S211=""),"",ROUND(AF211-S211,2)))</f>
        <v>0</v>
      </c>
      <c r="AH211" s="20">
        <f>IF(B211="","",IF(AF211="","",ROUND(AF211*AA211+AB211,2)))</f>
        <v>0</v>
      </c>
      <c r="AI211" s="20">
        <f>IF(B211="","",IF(AF211="","",ROUND(AF211-Z211-AH211,2)))</f>
        <v>0</v>
      </c>
      <c r="AJ211" s="33">
        <f>IF(B211="","",IF(OR(AF211="",AF211=0),"",AI211/AF211))</f>
        <v>0</v>
      </c>
      <c r="AK211" s="20">
        <f>IF(B211="","",IF(OR(X211=0,X211="",AI211=""),"",ROUND((AI211+Y211)/(X211/60),2)))</f>
        <v>0</v>
      </c>
      <c r="AL211" s="43">
        <f>IF(B211="","",IF(N211="Not found","Check - no such product ID",IF(AF211="","Check - no price yet",IF(AI211&lt;0,"Loss - this version costs you money",IF(AND(AK211&lt;&gt;"",AK211&lt;MinimumWage),"Below - pays under minimum wage",IF(AND(G211&gt;0,AG211&lt;=0),"Check - extra work, no extra charge",IF(AJ211&lt;MarginWarning,"Low margin - re-price it","OK")))))))</f>
        <v>0</v>
      </c>
    </row>
    <row r="212" spans="1:38">
      <c r="A212" s="38">
        <f>IF(C212="","",VariationPrefix&amp;TEXT(ROW()-4,"0000"))</f>
        <v>0</v>
      </c>
      <c r="N212" s="13">
        <f>IF(B212="","",IFERROR(INDEX(Products!$B$5:$B$304,MATCH(B212,Products!$A$5:$A$304,0)),"Not found"))</f>
        <v>0</v>
      </c>
      <c r="O212" s="20">
        <f>IF(B212="","",IFERROR(INDEX(Products!$T$5:$T$304,MATCH(B212,Products!$A$5:$A$304,0)),""))</f>
        <v>0</v>
      </c>
      <c r="P212" s="20">
        <f>IF(B212="","",IFERROR(INDEX(Products!$Z$5:$Z$304,MATCH(B212,Products!$A$5:$A$304,0)),""))</f>
        <v>0</v>
      </c>
      <c r="Q212" s="20">
        <f>IF(B212="","",IFERROR(INDEX(Products!$AH$5:$AH$304,MATCH(B212,Products!$A$5:$A$304,0))-INDEX(Products!$T$5:$T$304,MATCH(B212,Products!$A$5:$A$304,0))-INDEX(Products!$Z$5:$Z$304,MATCH(B212,Products!$A$5:$A$304,0)),0))</f>
        <v>0</v>
      </c>
      <c r="R212" s="36">
        <f>IF(B212="","",IFERROR(INDEX(Products!$X$5:$X$304,MATCH(B212,Products!$A$5:$A$304,0)),""))</f>
        <v>0</v>
      </c>
      <c r="S212" s="20">
        <f>IF(B212="","",IFERROR(INDEX(Products!$AR$5:$AR$304,MATCH(B212,Products!$A$5:$A$304,0)),""))</f>
        <v>0</v>
      </c>
      <c r="T212" s="41">
        <f>IF(B212="","",IFERROR(INDEX(SizeMaterialFactors,MATCH(E212,SizeNames,0)),1))</f>
        <v>0</v>
      </c>
      <c r="U212" s="41">
        <f>IF(B212="","",IFERROR(INDEX(SizeTimeFactors,MATCH(E212,SizeNames,0)),1))</f>
        <v>0</v>
      </c>
      <c r="V212" s="33">
        <f>IF(B212="","",IFERROR(INDEX(RushFactors,MATCH(H212,RushNames,0)),0))</f>
        <v>0</v>
      </c>
      <c r="W212" s="20">
        <f>IF(B212="","",ROUND(IF(O212="",0,O212)*T212+IF(F212="",0,F212),2))</f>
        <v>0</v>
      </c>
      <c r="X212" s="36">
        <f>IF(B212="","",ROUND(IF(R212="",0,R212)*U212+IF(G212="",0,G212),1))</f>
        <v>0</v>
      </c>
      <c r="Y212" s="20">
        <f>IF(B212="","",ROUND(IF(P212="",0,P212)*U212+IF(G212="",0,G212)/60*LaborCostHour,2))</f>
        <v>0</v>
      </c>
      <c r="Z212" s="20">
        <f>IF(B212="","",ROUND(W212+Y212+IF(Q212="",0,Q212),2))</f>
        <v>0</v>
      </c>
      <c r="AA212" s="33">
        <f>IF(B212="","",IFERROR(INDEX(Channels!$S$5:$S$18,MATCH(IF(J212="",DefaultChannel,J212),Channels!$A$5:$A$18,0)),0))</f>
        <v>0</v>
      </c>
      <c r="AB212" s="20">
        <f>IF(B212="","",IFERROR(INDEX(Channels!$T$5:$T$18,MATCH(IF(J212="",DefaultChannel,J212),Channels!$A$5:$A$18,0)),0))</f>
        <v>0</v>
      </c>
      <c r="AC212" s="41">
        <f>IF(B212="","",1-TargetRetailMargin-AA212)</f>
        <v>0</v>
      </c>
      <c r="AD212" s="20">
        <f>IF(B212="","",IF(AC212&lt;=0,"",((Z212+AB212)/AC212)*(1+V212)+IF(I212="",0,I212)))</f>
        <v>0</v>
      </c>
      <c r="AE212" s="20">
        <f>IF(B212="","",IF(AD212="","Check the settings",ROUND(IF(RoundingRule="None",AD212,IF(RoundingRule="Nearest 0.99",MAX(0.99,CEILING(AD212,1)-0.01),IF(RoundingRule="Nearest 0.95",MAX(0.95,CEILING(AD212,1)-0.05),IF(RoundingRule="Nearest 0.50",CEILING(AD212,0.5),IF(RoundingRule="Nearest 1",CEILING(AD212,1),IF(RoundingRule="Nearest 5",CEILING(AD212,5),IF(RoundingRule="Up to whole 1",CEILING(AD212,1),IF(RoundingRule="Up to whole 5",CEILING(AD212,5),ROUND(AD212,2))))))))),2)))</f>
        <v>0</v>
      </c>
      <c r="AF212" s="20">
        <f>IF(B212="","",IF(K212&lt;&gt;"",K212,IF(ISNUMBER(AE212),AE212,"")))</f>
        <v>0</v>
      </c>
      <c r="AG212" s="20">
        <f>IF(B212="","",IF(OR(AF212="",S212=""),"",ROUND(AF212-S212,2)))</f>
        <v>0</v>
      </c>
      <c r="AH212" s="20">
        <f>IF(B212="","",IF(AF212="","",ROUND(AF212*AA212+AB212,2)))</f>
        <v>0</v>
      </c>
      <c r="AI212" s="20">
        <f>IF(B212="","",IF(AF212="","",ROUND(AF212-Z212-AH212,2)))</f>
        <v>0</v>
      </c>
      <c r="AJ212" s="33">
        <f>IF(B212="","",IF(OR(AF212="",AF212=0),"",AI212/AF212))</f>
        <v>0</v>
      </c>
      <c r="AK212" s="20">
        <f>IF(B212="","",IF(OR(X212=0,X212="",AI212=""),"",ROUND((AI212+Y212)/(X212/60),2)))</f>
        <v>0</v>
      </c>
      <c r="AL212" s="43">
        <f>IF(B212="","",IF(N212="Not found","Check - no such product ID",IF(AF212="","Check - no price yet",IF(AI212&lt;0,"Loss - this version costs you money",IF(AND(AK212&lt;&gt;"",AK212&lt;MinimumWage),"Below - pays under minimum wage",IF(AND(G212&gt;0,AG212&lt;=0),"Check - extra work, no extra charge",IF(AJ212&lt;MarginWarning,"Low margin - re-price it","OK")))))))</f>
        <v>0</v>
      </c>
    </row>
    <row r="213" spans="1:38">
      <c r="A213" s="38">
        <f>IF(C213="","",VariationPrefix&amp;TEXT(ROW()-4,"0000"))</f>
        <v>0</v>
      </c>
      <c r="N213" s="13">
        <f>IF(B213="","",IFERROR(INDEX(Products!$B$5:$B$304,MATCH(B213,Products!$A$5:$A$304,0)),"Not found"))</f>
        <v>0</v>
      </c>
      <c r="O213" s="20">
        <f>IF(B213="","",IFERROR(INDEX(Products!$T$5:$T$304,MATCH(B213,Products!$A$5:$A$304,0)),""))</f>
        <v>0</v>
      </c>
      <c r="P213" s="20">
        <f>IF(B213="","",IFERROR(INDEX(Products!$Z$5:$Z$304,MATCH(B213,Products!$A$5:$A$304,0)),""))</f>
        <v>0</v>
      </c>
      <c r="Q213" s="20">
        <f>IF(B213="","",IFERROR(INDEX(Products!$AH$5:$AH$304,MATCH(B213,Products!$A$5:$A$304,0))-INDEX(Products!$T$5:$T$304,MATCH(B213,Products!$A$5:$A$304,0))-INDEX(Products!$Z$5:$Z$304,MATCH(B213,Products!$A$5:$A$304,0)),0))</f>
        <v>0</v>
      </c>
      <c r="R213" s="36">
        <f>IF(B213="","",IFERROR(INDEX(Products!$X$5:$X$304,MATCH(B213,Products!$A$5:$A$304,0)),""))</f>
        <v>0</v>
      </c>
      <c r="S213" s="20">
        <f>IF(B213="","",IFERROR(INDEX(Products!$AR$5:$AR$304,MATCH(B213,Products!$A$5:$A$304,0)),""))</f>
        <v>0</v>
      </c>
      <c r="T213" s="41">
        <f>IF(B213="","",IFERROR(INDEX(SizeMaterialFactors,MATCH(E213,SizeNames,0)),1))</f>
        <v>0</v>
      </c>
      <c r="U213" s="41">
        <f>IF(B213="","",IFERROR(INDEX(SizeTimeFactors,MATCH(E213,SizeNames,0)),1))</f>
        <v>0</v>
      </c>
      <c r="V213" s="33">
        <f>IF(B213="","",IFERROR(INDEX(RushFactors,MATCH(H213,RushNames,0)),0))</f>
        <v>0</v>
      </c>
      <c r="W213" s="20">
        <f>IF(B213="","",ROUND(IF(O213="",0,O213)*T213+IF(F213="",0,F213),2))</f>
        <v>0</v>
      </c>
      <c r="X213" s="36">
        <f>IF(B213="","",ROUND(IF(R213="",0,R213)*U213+IF(G213="",0,G213),1))</f>
        <v>0</v>
      </c>
      <c r="Y213" s="20">
        <f>IF(B213="","",ROUND(IF(P213="",0,P213)*U213+IF(G213="",0,G213)/60*LaborCostHour,2))</f>
        <v>0</v>
      </c>
      <c r="Z213" s="20">
        <f>IF(B213="","",ROUND(W213+Y213+IF(Q213="",0,Q213),2))</f>
        <v>0</v>
      </c>
      <c r="AA213" s="33">
        <f>IF(B213="","",IFERROR(INDEX(Channels!$S$5:$S$18,MATCH(IF(J213="",DefaultChannel,J213),Channels!$A$5:$A$18,0)),0))</f>
        <v>0</v>
      </c>
      <c r="AB213" s="20">
        <f>IF(B213="","",IFERROR(INDEX(Channels!$T$5:$T$18,MATCH(IF(J213="",DefaultChannel,J213),Channels!$A$5:$A$18,0)),0))</f>
        <v>0</v>
      </c>
      <c r="AC213" s="41">
        <f>IF(B213="","",1-TargetRetailMargin-AA213)</f>
        <v>0</v>
      </c>
      <c r="AD213" s="20">
        <f>IF(B213="","",IF(AC213&lt;=0,"",((Z213+AB213)/AC213)*(1+V213)+IF(I213="",0,I213)))</f>
        <v>0</v>
      </c>
      <c r="AE213" s="20">
        <f>IF(B213="","",IF(AD213="","Check the settings",ROUND(IF(RoundingRule="None",AD213,IF(RoundingRule="Nearest 0.99",MAX(0.99,CEILING(AD213,1)-0.01),IF(RoundingRule="Nearest 0.95",MAX(0.95,CEILING(AD213,1)-0.05),IF(RoundingRule="Nearest 0.50",CEILING(AD213,0.5),IF(RoundingRule="Nearest 1",CEILING(AD213,1),IF(RoundingRule="Nearest 5",CEILING(AD213,5),IF(RoundingRule="Up to whole 1",CEILING(AD213,1),IF(RoundingRule="Up to whole 5",CEILING(AD213,5),ROUND(AD213,2))))))))),2)))</f>
        <v>0</v>
      </c>
      <c r="AF213" s="20">
        <f>IF(B213="","",IF(K213&lt;&gt;"",K213,IF(ISNUMBER(AE213),AE213,"")))</f>
        <v>0</v>
      </c>
      <c r="AG213" s="20">
        <f>IF(B213="","",IF(OR(AF213="",S213=""),"",ROUND(AF213-S213,2)))</f>
        <v>0</v>
      </c>
      <c r="AH213" s="20">
        <f>IF(B213="","",IF(AF213="","",ROUND(AF213*AA213+AB213,2)))</f>
        <v>0</v>
      </c>
      <c r="AI213" s="20">
        <f>IF(B213="","",IF(AF213="","",ROUND(AF213-Z213-AH213,2)))</f>
        <v>0</v>
      </c>
      <c r="AJ213" s="33">
        <f>IF(B213="","",IF(OR(AF213="",AF213=0),"",AI213/AF213))</f>
        <v>0</v>
      </c>
      <c r="AK213" s="20">
        <f>IF(B213="","",IF(OR(X213=0,X213="",AI213=""),"",ROUND((AI213+Y213)/(X213/60),2)))</f>
        <v>0</v>
      </c>
      <c r="AL213" s="43">
        <f>IF(B213="","",IF(N213="Not found","Check - no such product ID",IF(AF213="","Check - no price yet",IF(AI213&lt;0,"Loss - this version costs you money",IF(AND(AK213&lt;&gt;"",AK213&lt;MinimumWage),"Below - pays under minimum wage",IF(AND(G213&gt;0,AG213&lt;=0),"Check - extra work, no extra charge",IF(AJ213&lt;MarginWarning,"Low margin - re-price it","OK")))))))</f>
        <v>0</v>
      </c>
    </row>
    <row r="214" spans="1:38">
      <c r="A214" s="38">
        <f>IF(C214="","",VariationPrefix&amp;TEXT(ROW()-4,"0000"))</f>
        <v>0</v>
      </c>
      <c r="N214" s="13">
        <f>IF(B214="","",IFERROR(INDEX(Products!$B$5:$B$304,MATCH(B214,Products!$A$5:$A$304,0)),"Not found"))</f>
        <v>0</v>
      </c>
      <c r="O214" s="20">
        <f>IF(B214="","",IFERROR(INDEX(Products!$T$5:$T$304,MATCH(B214,Products!$A$5:$A$304,0)),""))</f>
        <v>0</v>
      </c>
      <c r="P214" s="20">
        <f>IF(B214="","",IFERROR(INDEX(Products!$Z$5:$Z$304,MATCH(B214,Products!$A$5:$A$304,0)),""))</f>
        <v>0</v>
      </c>
      <c r="Q214" s="20">
        <f>IF(B214="","",IFERROR(INDEX(Products!$AH$5:$AH$304,MATCH(B214,Products!$A$5:$A$304,0))-INDEX(Products!$T$5:$T$304,MATCH(B214,Products!$A$5:$A$304,0))-INDEX(Products!$Z$5:$Z$304,MATCH(B214,Products!$A$5:$A$304,0)),0))</f>
        <v>0</v>
      </c>
      <c r="R214" s="36">
        <f>IF(B214="","",IFERROR(INDEX(Products!$X$5:$X$304,MATCH(B214,Products!$A$5:$A$304,0)),""))</f>
        <v>0</v>
      </c>
      <c r="S214" s="20">
        <f>IF(B214="","",IFERROR(INDEX(Products!$AR$5:$AR$304,MATCH(B214,Products!$A$5:$A$304,0)),""))</f>
        <v>0</v>
      </c>
      <c r="T214" s="41">
        <f>IF(B214="","",IFERROR(INDEX(SizeMaterialFactors,MATCH(E214,SizeNames,0)),1))</f>
        <v>0</v>
      </c>
      <c r="U214" s="41">
        <f>IF(B214="","",IFERROR(INDEX(SizeTimeFactors,MATCH(E214,SizeNames,0)),1))</f>
        <v>0</v>
      </c>
      <c r="V214" s="33">
        <f>IF(B214="","",IFERROR(INDEX(RushFactors,MATCH(H214,RushNames,0)),0))</f>
        <v>0</v>
      </c>
      <c r="W214" s="20">
        <f>IF(B214="","",ROUND(IF(O214="",0,O214)*T214+IF(F214="",0,F214),2))</f>
        <v>0</v>
      </c>
      <c r="X214" s="36">
        <f>IF(B214="","",ROUND(IF(R214="",0,R214)*U214+IF(G214="",0,G214),1))</f>
        <v>0</v>
      </c>
      <c r="Y214" s="20">
        <f>IF(B214="","",ROUND(IF(P214="",0,P214)*U214+IF(G214="",0,G214)/60*LaborCostHour,2))</f>
        <v>0</v>
      </c>
      <c r="Z214" s="20">
        <f>IF(B214="","",ROUND(W214+Y214+IF(Q214="",0,Q214),2))</f>
        <v>0</v>
      </c>
      <c r="AA214" s="33">
        <f>IF(B214="","",IFERROR(INDEX(Channels!$S$5:$S$18,MATCH(IF(J214="",DefaultChannel,J214),Channels!$A$5:$A$18,0)),0))</f>
        <v>0</v>
      </c>
      <c r="AB214" s="20">
        <f>IF(B214="","",IFERROR(INDEX(Channels!$T$5:$T$18,MATCH(IF(J214="",DefaultChannel,J214),Channels!$A$5:$A$18,0)),0))</f>
        <v>0</v>
      </c>
      <c r="AC214" s="41">
        <f>IF(B214="","",1-TargetRetailMargin-AA214)</f>
        <v>0</v>
      </c>
      <c r="AD214" s="20">
        <f>IF(B214="","",IF(AC214&lt;=0,"",((Z214+AB214)/AC214)*(1+V214)+IF(I214="",0,I214)))</f>
        <v>0</v>
      </c>
      <c r="AE214" s="20">
        <f>IF(B214="","",IF(AD214="","Check the settings",ROUND(IF(RoundingRule="None",AD214,IF(RoundingRule="Nearest 0.99",MAX(0.99,CEILING(AD214,1)-0.01),IF(RoundingRule="Nearest 0.95",MAX(0.95,CEILING(AD214,1)-0.05),IF(RoundingRule="Nearest 0.50",CEILING(AD214,0.5),IF(RoundingRule="Nearest 1",CEILING(AD214,1),IF(RoundingRule="Nearest 5",CEILING(AD214,5),IF(RoundingRule="Up to whole 1",CEILING(AD214,1),IF(RoundingRule="Up to whole 5",CEILING(AD214,5),ROUND(AD214,2))))))))),2)))</f>
        <v>0</v>
      </c>
      <c r="AF214" s="20">
        <f>IF(B214="","",IF(K214&lt;&gt;"",K214,IF(ISNUMBER(AE214),AE214,"")))</f>
        <v>0</v>
      </c>
      <c r="AG214" s="20">
        <f>IF(B214="","",IF(OR(AF214="",S214=""),"",ROUND(AF214-S214,2)))</f>
        <v>0</v>
      </c>
      <c r="AH214" s="20">
        <f>IF(B214="","",IF(AF214="","",ROUND(AF214*AA214+AB214,2)))</f>
        <v>0</v>
      </c>
      <c r="AI214" s="20">
        <f>IF(B214="","",IF(AF214="","",ROUND(AF214-Z214-AH214,2)))</f>
        <v>0</v>
      </c>
      <c r="AJ214" s="33">
        <f>IF(B214="","",IF(OR(AF214="",AF214=0),"",AI214/AF214))</f>
        <v>0</v>
      </c>
      <c r="AK214" s="20">
        <f>IF(B214="","",IF(OR(X214=0,X214="",AI214=""),"",ROUND((AI214+Y214)/(X214/60),2)))</f>
        <v>0</v>
      </c>
      <c r="AL214" s="43">
        <f>IF(B214="","",IF(N214="Not found","Check - no such product ID",IF(AF214="","Check - no price yet",IF(AI214&lt;0,"Loss - this version costs you money",IF(AND(AK214&lt;&gt;"",AK214&lt;MinimumWage),"Below - pays under minimum wage",IF(AND(G214&gt;0,AG214&lt;=0),"Check - extra work, no extra charge",IF(AJ214&lt;MarginWarning,"Low margin - re-price it","OK")))))))</f>
        <v>0</v>
      </c>
    </row>
    <row r="215" spans="1:38">
      <c r="A215" s="38">
        <f>IF(C215="","",VariationPrefix&amp;TEXT(ROW()-4,"0000"))</f>
        <v>0</v>
      </c>
      <c r="N215" s="13">
        <f>IF(B215="","",IFERROR(INDEX(Products!$B$5:$B$304,MATCH(B215,Products!$A$5:$A$304,0)),"Not found"))</f>
        <v>0</v>
      </c>
      <c r="O215" s="20">
        <f>IF(B215="","",IFERROR(INDEX(Products!$T$5:$T$304,MATCH(B215,Products!$A$5:$A$304,0)),""))</f>
        <v>0</v>
      </c>
      <c r="P215" s="20">
        <f>IF(B215="","",IFERROR(INDEX(Products!$Z$5:$Z$304,MATCH(B215,Products!$A$5:$A$304,0)),""))</f>
        <v>0</v>
      </c>
      <c r="Q215" s="20">
        <f>IF(B215="","",IFERROR(INDEX(Products!$AH$5:$AH$304,MATCH(B215,Products!$A$5:$A$304,0))-INDEX(Products!$T$5:$T$304,MATCH(B215,Products!$A$5:$A$304,0))-INDEX(Products!$Z$5:$Z$304,MATCH(B215,Products!$A$5:$A$304,0)),0))</f>
        <v>0</v>
      </c>
      <c r="R215" s="36">
        <f>IF(B215="","",IFERROR(INDEX(Products!$X$5:$X$304,MATCH(B215,Products!$A$5:$A$304,0)),""))</f>
        <v>0</v>
      </c>
      <c r="S215" s="20">
        <f>IF(B215="","",IFERROR(INDEX(Products!$AR$5:$AR$304,MATCH(B215,Products!$A$5:$A$304,0)),""))</f>
        <v>0</v>
      </c>
      <c r="T215" s="41">
        <f>IF(B215="","",IFERROR(INDEX(SizeMaterialFactors,MATCH(E215,SizeNames,0)),1))</f>
        <v>0</v>
      </c>
      <c r="U215" s="41">
        <f>IF(B215="","",IFERROR(INDEX(SizeTimeFactors,MATCH(E215,SizeNames,0)),1))</f>
        <v>0</v>
      </c>
      <c r="V215" s="33">
        <f>IF(B215="","",IFERROR(INDEX(RushFactors,MATCH(H215,RushNames,0)),0))</f>
        <v>0</v>
      </c>
      <c r="W215" s="20">
        <f>IF(B215="","",ROUND(IF(O215="",0,O215)*T215+IF(F215="",0,F215),2))</f>
        <v>0</v>
      </c>
      <c r="X215" s="36">
        <f>IF(B215="","",ROUND(IF(R215="",0,R215)*U215+IF(G215="",0,G215),1))</f>
        <v>0</v>
      </c>
      <c r="Y215" s="20">
        <f>IF(B215="","",ROUND(IF(P215="",0,P215)*U215+IF(G215="",0,G215)/60*LaborCostHour,2))</f>
        <v>0</v>
      </c>
      <c r="Z215" s="20">
        <f>IF(B215="","",ROUND(W215+Y215+IF(Q215="",0,Q215),2))</f>
        <v>0</v>
      </c>
      <c r="AA215" s="33">
        <f>IF(B215="","",IFERROR(INDEX(Channels!$S$5:$S$18,MATCH(IF(J215="",DefaultChannel,J215),Channels!$A$5:$A$18,0)),0))</f>
        <v>0</v>
      </c>
      <c r="AB215" s="20">
        <f>IF(B215="","",IFERROR(INDEX(Channels!$T$5:$T$18,MATCH(IF(J215="",DefaultChannel,J215),Channels!$A$5:$A$18,0)),0))</f>
        <v>0</v>
      </c>
      <c r="AC215" s="41">
        <f>IF(B215="","",1-TargetRetailMargin-AA215)</f>
        <v>0</v>
      </c>
      <c r="AD215" s="20">
        <f>IF(B215="","",IF(AC215&lt;=0,"",((Z215+AB215)/AC215)*(1+V215)+IF(I215="",0,I215)))</f>
        <v>0</v>
      </c>
      <c r="AE215" s="20">
        <f>IF(B215="","",IF(AD215="","Check the settings",ROUND(IF(RoundingRule="None",AD215,IF(RoundingRule="Nearest 0.99",MAX(0.99,CEILING(AD215,1)-0.01),IF(RoundingRule="Nearest 0.95",MAX(0.95,CEILING(AD215,1)-0.05),IF(RoundingRule="Nearest 0.50",CEILING(AD215,0.5),IF(RoundingRule="Nearest 1",CEILING(AD215,1),IF(RoundingRule="Nearest 5",CEILING(AD215,5),IF(RoundingRule="Up to whole 1",CEILING(AD215,1),IF(RoundingRule="Up to whole 5",CEILING(AD215,5),ROUND(AD215,2))))))))),2)))</f>
        <v>0</v>
      </c>
      <c r="AF215" s="20">
        <f>IF(B215="","",IF(K215&lt;&gt;"",K215,IF(ISNUMBER(AE215),AE215,"")))</f>
        <v>0</v>
      </c>
      <c r="AG215" s="20">
        <f>IF(B215="","",IF(OR(AF215="",S215=""),"",ROUND(AF215-S215,2)))</f>
        <v>0</v>
      </c>
      <c r="AH215" s="20">
        <f>IF(B215="","",IF(AF215="","",ROUND(AF215*AA215+AB215,2)))</f>
        <v>0</v>
      </c>
      <c r="AI215" s="20">
        <f>IF(B215="","",IF(AF215="","",ROUND(AF215-Z215-AH215,2)))</f>
        <v>0</v>
      </c>
      <c r="AJ215" s="33">
        <f>IF(B215="","",IF(OR(AF215="",AF215=0),"",AI215/AF215))</f>
        <v>0</v>
      </c>
      <c r="AK215" s="20">
        <f>IF(B215="","",IF(OR(X215=0,X215="",AI215=""),"",ROUND((AI215+Y215)/(X215/60),2)))</f>
        <v>0</v>
      </c>
      <c r="AL215" s="43">
        <f>IF(B215="","",IF(N215="Not found","Check - no such product ID",IF(AF215="","Check - no price yet",IF(AI215&lt;0,"Loss - this version costs you money",IF(AND(AK215&lt;&gt;"",AK215&lt;MinimumWage),"Below - pays under minimum wage",IF(AND(G215&gt;0,AG215&lt;=0),"Check - extra work, no extra charge",IF(AJ215&lt;MarginWarning,"Low margin - re-price it","OK")))))))</f>
        <v>0</v>
      </c>
    </row>
    <row r="216" spans="1:38">
      <c r="A216" s="38">
        <f>IF(C216="","",VariationPrefix&amp;TEXT(ROW()-4,"0000"))</f>
        <v>0</v>
      </c>
      <c r="N216" s="13">
        <f>IF(B216="","",IFERROR(INDEX(Products!$B$5:$B$304,MATCH(B216,Products!$A$5:$A$304,0)),"Not found"))</f>
        <v>0</v>
      </c>
      <c r="O216" s="20">
        <f>IF(B216="","",IFERROR(INDEX(Products!$T$5:$T$304,MATCH(B216,Products!$A$5:$A$304,0)),""))</f>
        <v>0</v>
      </c>
      <c r="P216" s="20">
        <f>IF(B216="","",IFERROR(INDEX(Products!$Z$5:$Z$304,MATCH(B216,Products!$A$5:$A$304,0)),""))</f>
        <v>0</v>
      </c>
      <c r="Q216" s="20">
        <f>IF(B216="","",IFERROR(INDEX(Products!$AH$5:$AH$304,MATCH(B216,Products!$A$5:$A$304,0))-INDEX(Products!$T$5:$T$304,MATCH(B216,Products!$A$5:$A$304,0))-INDEX(Products!$Z$5:$Z$304,MATCH(B216,Products!$A$5:$A$304,0)),0))</f>
        <v>0</v>
      </c>
      <c r="R216" s="36">
        <f>IF(B216="","",IFERROR(INDEX(Products!$X$5:$X$304,MATCH(B216,Products!$A$5:$A$304,0)),""))</f>
        <v>0</v>
      </c>
      <c r="S216" s="20">
        <f>IF(B216="","",IFERROR(INDEX(Products!$AR$5:$AR$304,MATCH(B216,Products!$A$5:$A$304,0)),""))</f>
        <v>0</v>
      </c>
      <c r="T216" s="41">
        <f>IF(B216="","",IFERROR(INDEX(SizeMaterialFactors,MATCH(E216,SizeNames,0)),1))</f>
        <v>0</v>
      </c>
      <c r="U216" s="41">
        <f>IF(B216="","",IFERROR(INDEX(SizeTimeFactors,MATCH(E216,SizeNames,0)),1))</f>
        <v>0</v>
      </c>
      <c r="V216" s="33">
        <f>IF(B216="","",IFERROR(INDEX(RushFactors,MATCH(H216,RushNames,0)),0))</f>
        <v>0</v>
      </c>
      <c r="W216" s="20">
        <f>IF(B216="","",ROUND(IF(O216="",0,O216)*T216+IF(F216="",0,F216),2))</f>
        <v>0</v>
      </c>
      <c r="X216" s="36">
        <f>IF(B216="","",ROUND(IF(R216="",0,R216)*U216+IF(G216="",0,G216),1))</f>
        <v>0</v>
      </c>
      <c r="Y216" s="20">
        <f>IF(B216="","",ROUND(IF(P216="",0,P216)*U216+IF(G216="",0,G216)/60*LaborCostHour,2))</f>
        <v>0</v>
      </c>
      <c r="Z216" s="20">
        <f>IF(B216="","",ROUND(W216+Y216+IF(Q216="",0,Q216),2))</f>
        <v>0</v>
      </c>
      <c r="AA216" s="33">
        <f>IF(B216="","",IFERROR(INDEX(Channels!$S$5:$S$18,MATCH(IF(J216="",DefaultChannel,J216),Channels!$A$5:$A$18,0)),0))</f>
        <v>0</v>
      </c>
      <c r="AB216" s="20">
        <f>IF(B216="","",IFERROR(INDEX(Channels!$T$5:$T$18,MATCH(IF(J216="",DefaultChannel,J216),Channels!$A$5:$A$18,0)),0))</f>
        <v>0</v>
      </c>
      <c r="AC216" s="41">
        <f>IF(B216="","",1-TargetRetailMargin-AA216)</f>
        <v>0</v>
      </c>
      <c r="AD216" s="20">
        <f>IF(B216="","",IF(AC216&lt;=0,"",((Z216+AB216)/AC216)*(1+V216)+IF(I216="",0,I216)))</f>
        <v>0</v>
      </c>
      <c r="AE216" s="20">
        <f>IF(B216="","",IF(AD216="","Check the settings",ROUND(IF(RoundingRule="None",AD216,IF(RoundingRule="Nearest 0.99",MAX(0.99,CEILING(AD216,1)-0.01),IF(RoundingRule="Nearest 0.95",MAX(0.95,CEILING(AD216,1)-0.05),IF(RoundingRule="Nearest 0.50",CEILING(AD216,0.5),IF(RoundingRule="Nearest 1",CEILING(AD216,1),IF(RoundingRule="Nearest 5",CEILING(AD216,5),IF(RoundingRule="Up to whole 1",CEILING(AD216,1),IF(RoundingRule="Up to whole 5",CEILING(AD216,5),ROUND(AD216,2))))))))),2)))</f>
        <v>0</v>
      </c>
      <c r="AF216" s="20">
        <f>IF(B216="","",IF(K216&lt;&gt;"",K216,IF(ISNUMBER(AE216),AE216,"")))</f>
        <v>0</v>
      </c>
      <c r="AG216" s="20">
        <f>IF(B216="","",IF(OR(AF216="",S216=""),"",ROUND(AF216-S216,2)))</f>
        <v>0</v>
      </c>
      <c r="AH216" s="20">
        <f>IF(B216="","",IF(AF216="","",ROUND(AF216*AA216+AB216,2)))</f>
        <v>0</v>
      </c>
      <c r="AI216" s="20">
        <f>IF(B216="","",IF(AF216="","",ROUND(AF216-Z216-AH216,2)))</f>
        <v>0</v>
      </c>
      <c r="AJ216" s="33">
        <f>IF(B216="","",IF(OR(AF216="",AF216=0),"",AI216/AF216))</f>
        <v>0</v>
      </c>
      <c r="AK216" s="20">
        <f>IF(B216="","",IF(OR(X216=0,X216="",AI216=""),"",ROUND((AI216+Y216)/(X216/60),2)))</f>
        <v>0</v>
      </c>
      <c r="AL216" s="43">
        <f>IF(B216="","",IF(N216="Not found","Check - no such product ID",IF(AF216="","Check - no price yet",IF(AI216&lt;0,"Loss - this version costs you money",IF(AND(AK216&lt;&gt;"",AK216&lt;MinimumWage),"Below - pays under minimum wage",IF(AND(G216&gt;0,AG216&lt;=0),"Check - extra work, no extra charge",IF(AJ216&lt;MarginWarning,"Low margin - re-price it","OK")))))))</f>
        <v>0</v>
      </c>
    </row>
    <row r="217" spans="1:38">
      <c r="A217" s="38">
        <f>IF(C217="","",VariationPrefix&amp;TEXT(ROW()-4,"0000"))</f>
        <v>0</v>
      </c>
      <c r="N217" s="13">
        <f>IF(B217="","",IFERROR(INDEX(Products!$B$5:$B$304,MATCH(B217,Products!$A$5:$A$304,0)),"Not found"))</f>
        <v>0</v>
      </c>
      <c r="O217" s="20">
        <f>IF(B217="","",IFERROR(INDEX(Products!$T$5:$T$304,MATCH(B217,Products!$A$5:$A$304,0)),""))</f>
        <v>0</v>
      </c>
      <c r="P217" s="20">
        <f>IF(B217="","",IFERROR(INDEX(Products!$Z$5:$Z$304,MATCH(B217,Products!$A$5:$A$304,0)),""))</f>
        <v>0</v>
      </c>
      <c r="Q217" s="20">
        <f>IF(B217="","",IFERROR(INDEX(Products!$AH$5:$AH$304,MATCH(B217,Products!$A$5:$A$304,0))-INDEX(Products!$T$5:$T$304,MATCH(B217,Products!$A$5:$A$304,0))-INDEX(Products!$Z$5:$Z$304,MATCH(B217,Products!$A$5:$A$304,0)),0))</f>
        <v>0</v>
      </c>
      <c r="R217" s="36">
        <f>IF(B217="","",IFERROR(INDEX(Products!$X$5:$X$304,MATCH(B217,Products!$A$5:$A$304,0)),""))</f>
        <v>0</v>
      </c>
      <c r="S217" s="20">
        <f>IF(B217="","",IFERROR(INDEX(Products!$AR$5:$AR$304,MATCH(B217,Products!$A$5:$A$304,0)),""))</f>
        <v>0</v>
      </c>
      <c r="T217" s="41">
        <f>IF(B217="","",IFERROR(INDEX(SizeMaterialFactors,MATCH(E217,SizeNames,0)),1))</f>
        <v>0</v>
      </c>
      <c r="U217" s="41">
        <f>IF(B217="","",IFERROR(INDEX(SizeTimeFactors,MATCH(E217,SizeNames,0)),1))</f>
        <v>0</v>
      </c>
      <c r="V217" s="33">
        <f>IF(B217="","",IFERROR(INDEX(RushFactors,MATCH(H217,RushNames,0)),0))</f>
        <v>0</v>
      </c>
      <c r="W217" s="20">
        <f>IF(B217="","",ROUND(IF(O217="",0,O217)*T217+IF(F217="",0,F217),2))</f>
        <v>0</v>
      </c>
      <c r="X217" s="36">
        <f>IF(B217="","",ROUND(IF(R217="",0,R217)*U217+IF(G217="",0,G217),1))</f>
        <v>0</v>
      </c>
      <c r="Y217" s="20">
        <f>IF(B217="","",ROUND(IF(P217="",0,P217)*U217+IF(G217="",0,G217)/60*LaborCostHour,2))</f>
        <v>0</v>
      </c>
      <c r="Z217" s="20">
        <f>IF(B217="","",ROUND(W217+Y217+IF(Q217="",0,Q217),2))</f>
        <v>0</v>
      </c>
      <c r="AA217" s="33">
        <f>IF(B217="","",IFERROR(INDEX(Channels!$S$5:$S$18,MATCH(IF(J217="",DefaultChannel,J217),Channels!$A$5:$A$18,0)),0))</f>
        <v>0</v>
      </c>
      <c r="AB217" s="20">
        <f>IF(B217="","",IFERROR(INDEX(Channels!$T$5:$T$18,MATCH(IF(J217="",DefaultChannel,J217),Channels!$A$5:$A$18,0)),0))</f>
        <v>0</v>
      </c>
      <c r="AC217" s="41">
        <f>IF(B217="","",1-TargetRetailMargin-AA217)</f>
        <v>0</v>
      </c>
      <c r="AD217" s="20">
        <f>IF(B217="","",IF(AC217&lt;=0,"",((Z217+AB217)/AC217)*(1+V217)+IF(I217="",0,I217)))</f>
        <v>0</v>
      </c>
      <c r="AE217" s="20">
        <f>IF(B217="","",IF(AD217="","Check the settings",ROUND(IF(RoundingRule="None",AD217,IF(RoundingRule="Nearest 0.99",MAX(0.99,CEILING(AD217,1)-0.01),IF(RoundingRule="Nearest 0.95",MAX(0.95,CEILING(AD217,1)-0.05),IF(RoundingRule="Nearest 0.50",CEILING(AD217,0.5),IF(RoundingRule="Nearest 1",CEILING(AD217,1),IF(RoundingRule="Nearest 5",CEILING(AD217,5),IF(RoundingRule="Up to whole 1",CEILING(AD217,1),IF(RoundingRule="Up to whole 5",CEILING(AD217,5),ROUND(AD217,2))))))))),2)))</f>
        <v>0</v>
      </c>
      <c r="AF217" s="20">
        <f>IF(B217="","",IF(K217&lt;&gt;"",K217,IF(ISNUMBER(AE217),AE217,"")))</f>
        <v>0</v>
      </c>
      <c r="AG217" s="20">
        <f>IF(B217="","",IF(OR(AF217="",S217=""),"",ROUND(AF217-S217,2)))</f>
        <v>0</v>
      </c>
      <c r="AH217" s="20">
        <f>IF(B217="","",IF(AF217="","",ROUND(AF217*AA217+AB217,2)))</f>
        <v>0</v>
      </c>
      <c r="AI217" s="20">
        <f>IF(B217="","",IF(AF217="","",ROUND(AF217-Z217-AH217,2)))</f>
        <v>0</v>
      </c>
      <c r="AJ217" s="33">
        <f>IF(B217="","",IF(OR(AF217="",AF217=0),"",AI217/AF217))</f>
        <v>0</v>
      </c>
      <c r="AK217" s="20">
        <f>IF(B217="","",IF(OR(X217=0,X217="",AI217=""),"",ROUND((AI217+Y217)/(X217/60),2)))</f>
        <v>0</v>
      </c>
      <c r="AL217" s="43">
        <f>IF(B217="","",IF(N217="Not found","Check - no such product ID",IF(AF217="","Check - no price yet",IF(AI217&lt;0,"Loss - this version costs you money",IF(AND(AK217&lt;&gt;"",AK217&lt;MinimumWage),"Below - pays under minimum wage",IF(AND(G217&gt;0,AG217&lt;=0),"Check - extra work, no extra charge",IF(AJ217&lt;MarginWarning,"Low margin - re-price it","OK")))))))</f>
        <v>0</v>
      </c>
    </row>
    <row r="218" spans="1:38">
      <c r="A218" s="38">
        <f>IF(C218="","",VariationPrefix&amp;TEXT(ROW()-4,"0000"))</f>
        <v>0</v>
      </c>
      <c r="N218" s="13">
        <f>IF(B218="","",IFERROR(INDEX(Products!$B$5:$B$304,MATCH(B218,Products!$A$5:$A$304,0)),"Not found"))</f>
        <v>0</v>
      </c>
      <c r="O218" s="20">
        <f>IF(B218="","",IFERROR(INDEX(Products!$T$5:$T$304,MATCH(B218,Products!$A$5:$A$304,0)),""))</f>
        <v>0</v>
      </c>
      <c r="P218" s="20">
        <f>IF(B218="","",IFERROR(INDEX(Products!$Z$5:$Z$304,MATCH(B218,Products!$A$5:$A$304,0)),""))</f>
        <v>0</v>
      </c>
      <c r="Q218" s="20">
        <f>IF(B218="","",IFERROR(INDEX(Products!$AH$5:$AH$304,MATCH(B218,Products!$A$5:$A$304,0))-INDEX(Products!$T$5:$T$304,MATCH(B218,Products!$A$5:$A$304,0))-INDEX(Products!$Z$5:$Z$304,MATCH(B218,Products!$A$5:$A$304,0)),0))</f>
        <v>0</v>
      </c>
      <c r="R218" s="36">
        <f>IF(B218="","",IFERROR(INDEX(Products!$X$5:$X$304,MATCH(B218,Products!$A$5:$A$304,0)),""))</f>
        <v>0</v>
      </c>
      <c r="S218" s="20">
        <f>IF(B218="","",IFERROR(INDEX(Products!$AR$5:$AR$304,MATCH(B218,Products!$A$5:$A$304,0)),""))</f>
        <v>0</v>
      </c>
      <c r="T218" s="41">
        <f>IF(B218="","",IFERROR(INDEX(SizeMaterialFactors,MATCH(E218,SizeNames,0)),1))</f>
        <v>0</v>
      </c>
      <c r="U218" s="41">
        <f>IF(B218="","",IFERROR(INDEX(SizeTimeFactors,MATCH(E218,SizeNames,0)),1))</f>
        <v>0</v>
      </c>
      <c r="V218" s="33">
        <f>IF(B218="","",IFERROR(INDEX(RushFactors,MATCH(H218,RushNames,0)),0))</f>
        <v>0</v>
      </c>
      <c r="W218" s="20">
        <f>IF(B218="","",ROUND(IF(O218="",0,O218)*T218+IF(F218="",0,F218),2))</f>
        <v>0</v>
      </c>
      <c r="X218" s="36">
        <f>IF(B218="","",ROUND(IF(R218="",0,R218)*U218+IF(G218="",0,G218),1))</f>
        <v>0</v>
      </c>
      <c r="Y218" s="20">
        <f>IF(B218="","",ROUND(IF(P218="",0,P218)*U218+IF(G218="",0,G218)/60*LaborCostHour,2))</f>
        <v>0</v>
      </c>
      <c r="Z218" s="20">
        <f>IF(B218="","",ROUND(W218+Y218+IF(Q218="",0,Q218),2))</f>
        <v>0</v>
      </c>
      <c r="AA218" s="33">
        <f>IF(B218="","",IFERROR(INDEX(Channels!$S$5:$S$18,MATCH(IF(J218="",DefaultChannel,J218),Channels!$A$5:$A$18,0)),0))</f>
        <v>0</v>
      </c>
      <c r="AB218" s="20">
        <f>IF(B218="","",IFERROR(INDEX(Channels!$T$5:$T$18,MATCH(IF(J218="",DefaultChannel,J218),Channels!$A$5:$A$18,0)),0))</f>
        <v>0</v>
      </c>
      <c r="AC218" s="41">
        <f>IF(B218="","",1-TargetRetailMargin-AA218)</f>
        <v>0</v>
      </c>
      <c r="AD218" s="20">
        <f>IF(B218="","",IF(AC218&lt;=0,"",((Z218+AB218)/AC218)*(1+V218)+IF(I218="",0,I218)))</f>
        <v>0</v>
      </c>
      <c r="AE218" s="20">
        <f>IF(B218="","",IF(AD218="","Check the settings",ROUND(IF(RoundingRule="None",AD218,IF(RoundingRule="Nearest 0.99",MAX(0.99,CEILING(AD218,1)-0.01),IF(RoundingRule="Nearest 0.95",MAX(0.95,CEILING(AD218,1)-0.05),IF(RoundingRule="Nearest 0.50",CEILING(AD218,0.5),IF(RoundingRule="Nearest 1",CEILING(AD218,1),IF(RoundingRule="Nearest 5",CEILING(AD218,5),IF(RoundingRule="Up to whole 1",CEILING(AD218,1),IF(RoundingRule="Up to whole 5",CEILING(AD218,5),ROUND(AD218,2))))))))),2)))</f>
        <v>0</v>
      </c>
      <c r="AF218" s="20">
        <f>IF(B218="","",IF(K218&lt;&gt;"",K218,IF(ISNUMBER(AE218),AE218,"")))</f>
        <v>0</v>
      </c>
      <c r="AG218" s="20">
        <f>IF(B218="","",IF(OR(AF218="",S218=""),"",ROUND(AF218-S218,2)))</f>
        <v>0</v>
      </c>
      <c r="AH218" s="20">
        <f>IF(B218="","",IF(AF218="","",ROUND(AF218*AA218+AB218,2)))</f>
        <v>0</v>
      </c>
      <c r="AI218" s="20">
        <f>IF(B218="","",IF(AF218="","",ROUND(AF218-Z218-AH218,2)))</f>
        <v>0</v>
      </c>
      <c r="AJ218" s="33">
        <f>IF(B218="","",IF(OR(AF218="",AF218=0),"",AI218/AF218))</f>
        <v>0</v>
      </c>
      <c r="AK218" s="20">
        <f>IF(B218="","",IF(OR(X218=0,X218="",AI218=""),"",ROUND((AI218+Y218)/(X218/60),2)))</f>
        <v>0</v>
      </c>
      <c r="AL218" s="43">
        <f>IF(B218="","",IF(N218="Not found","Check - no such product ID",IF(AF218="","Check - no price yet",IF(AI218&lt;0,"Loss - this version costs you money",IF(AND(AK218&lt;&gt;"",AK218&lt;MinimumWage),"Below - pays under minimum wage",IF(AND(G218&gt;0,AG218&lt;=0),"Check - extra work, no extra charge",IF(AJ218&lt;MarginWarning,"Low margin - re-price it","OK")))))))</f>
        <v>0</v>
      </c>
    </row>
    <row r="219" spans="1:38">
      <c r="A219" s="38">
        <f>IF(C219="","",VariationPrefix&amp;TEXT(ROW()-4,"0000"))</f>
        <v>0</v>
      </c>
      <c r="N219" s="13">
        <f>IF(B219="","",IFERROR(INDEX(Products!$B$5:$B$304,MATCH(B219,Products!$A$5:$A$304,0)),"Not found"))</f>
        <v>0</v>
      </c>
      <c r="O219" s="20">
        <f>IF(B219="","",IFERROR(INDEX(Products!$T$5:$T$304,MATCH(B219,Products!$A$5:$A$304,0)),""))</f>
        <v>0</v>
      </c>
      <c r="P219" s="20">
        <f>IF(B219="","",IFERROR(INDEX(Products!$Z$5:$Z$304,MATCH(B219,Products!$A$5:$A$304,0)),""))</f>
        <v>0</v>
      </c>
      <c r="Q219" s="20">
        <f>IF(B219="","",IFERROR(INDEX(Products!$AH$5:$AH$304,MATCH(B219,Products!$A$5:$A$304,0))-INDEX(Products!$T$5:$T$304,MATCH(B219,Products!$A$5:$A$304,0))-INDEX(Products!$Z$5:$Z$304,MATCH(B219,Products!$A$5:$A$304,0)),0))</f>
        <v>0</v>
      </c>
      <c r="R219" s="36">
        <f>IF(B219="","",IFERROR(INDEX(Products!$X$5:$X$304,MATCH(B219,Products!$A$5:$A$304,0)),""))</f>
        <v>0</v>
      </c>
      <c r="S219" s="20">
        <f>IF(B219="","",IFERROR(INDEX(Products!$AR$5:$AR$304,MATCH(B219,Products!$A$5:$A$304,0)),""))</f>
        <v>0</v>
      </c>
      <c r="T219" s="41">
        <f>IF(B219="","",IFERROR(INDEX(SizeMaterialFactors,MATCH(E219,SizeNames,0)),1))</f>
        <v>0</v>
      </c>
      <c r="U219" s="41">
        <f>IF(B219="","",IFERROR(INDEX(SizeTimeFactors,MATCH(E219,SizeNames,0)),1))</f>
        <v>0</v>
      </c>
      <c r="V219" s="33">
        <f>IF(B219="","",IFERROR(INDEX(RushFactors,MATCH(H219,RushNames,0)),0))</f>
        <v>0</v>
      </c>
      <c r="W219" s="20">
        <f>IF(B219="","",ROUND(IF(O219="",0,O219)*T219+IF(F219="",0,F219),2))</f>
        <v>0</v>
      </c>
      <c r="X219" s="36">
        <f>IF(B219="","",ROUND(IF(R219="",0,R219)*U219+IF(G219="",0,G219),1))</f>
        <v>0</v>
      </c>
      <c r="Y219" s="20">
        <f>IF(B219="","",ROUND(IF(P219="",0,P219)*U219+IF(G219="",0,G219)/60*LaborCostHour,2))</f>
        <v>0</v>
      </c>
      <c r="Z219" s="20">
        <f>IF(B219="","",ROUND(W219+Y219+IF(Q219="",0,Q219),2))</f>
        <v>0</v>
      </c>
      <c r="AA219" s="33">
        <f>IF(B219="","",IFERROR(INDEX(Channels!$S$5:$S$18,MATCH(IF(J219="",DefaultChannel,J219),Channels!$A$5:$A$18,0)),0))</f>
        <v>0</v>
      </c>
      <c r="AB219" s="20">
        <f>IF(B219="","",IFERROR(INDEX(Channels!$T$5:$T$18,MATCH(IF(J219="",DefaultChannel,J219),Channels!$A$5:$A$18,0)),0))</f>
        <v>0</v>
      </c>
      <c r="AC219" s="41">
        <f>IF(B219="","",1-TargetRetailMargin-AA219)</f>
        <v>0</v>
      </c>
      <c r="AD219" s="20">
        <f>IF(B219="","",IF(AC219&lt;=0,"",((Z219+AB219)/AC219)*(1+V219)+IF(I219="",0,I219)))</f>
        <v>0</v>
      </c>
      <c r="AE219" s="20">
        <f>IF(B219="","",IF(AD219="","Check the settings",ROUND(IF(RoundingRule="None",AD219,IF(RoundingRule="Nearest 0.99",MAX(0.99,CEILING(AD219,1)-0.01),IF(RoundingRule="Nearest 0.95",MAX(0.95,CEILING(AD219,1)-0.05),IF(RoundingRule="Nearest 0.50",CEILING(AD219,0.5),IF(RoundingRule="Nearest 1",CEILING(AD219,1),IF(RoundingRule="Nearest 5",CEILING(AD219,5),IF(RoundingRule="Up to whole 1",CEILING(AD219,1),IF(RoundingRule="Up to whole 5",CEILING(AD219,5),ROUND(AD219,2))))))))),2)))</f>
        <v>0</v>
      </c>
      <c r="AF219" s="20">
        <f>IF(B219="","",IF(K219&lt;&gt;"",K219,IF(ISNUMBER(AE219),AE219,"")))</f>
        <v>0</v>
      </c>
      <c r="AG219" s="20">
        <f>IF(B219="","",IF(OR(AF219="",S219=""),"",ROUND(AF219-S219,2)))</f>
        <v>0</v>
      </c>
      <c r="AH219" s="20">
        <f>IF(B219="","",IF(AF219="","",ROUND(AF219*AA219+AB219,2)))</f>
        <v>0</v>
      </c>
      <c r="AI219" s="20">
        <f>IF(B219="","",IF(AF219="","",ROUND(AF219-Z219-AH219,2)))</f>
        <v>0</v>
      </c>
      <c r="AJ219" s="33">
        <f>IF(B219="","",IF(OR(AF219="",AF219=0),"",AI219/AF219))</f>
        <v>0</v>
      </c>
      <c r="AK219" s="20">
        <f>IF(B219="","",IF(OR(X219=0,X219="",AI219=""),"",ROUND((AI219+Y219)/(X219/60),2)))</f>
        <v>0</v>
      </c>
      <c r="AL219" s="43">
        <f>IF(B219="","",IF(N219="Not found","Check - no such product ID",IF(AF219="","Check - no price yet",IF(AI219&lt;0,"Loss - this version costs you money",IF(AND(AK219&lt;&gt;"",AK219&lt;MinimumWage),"Below - pays under minimum wage",IF(AND(G219&gt;0,AG219&lt;=0),"Check - extra work, no extra charge",IF(AJ219&lt;MarginWarning,"Low margin - re-price it","OK")))))))</f>
        <v>0</v>
      </c>
    </row>
    <row r="220" spans="1:38">
      <c r="A220" s="38">
        <f>IF(C220="","",VariationPrefix&amp;TEXT(ROW()-4,"0000"))</f>
        <v>0</v>
      </c>
      <c r="N220" s="13">
        <f>IF(B220="","",IFERROR(INDEX(Products!$B$5:$B$304,MATCH(B220,Products!$A$5:$A$304,0)),"Not found"))</f>
        <v>0</v>
      </c>
      <c r="O220" s="20">
        <f>IF(B220="","",IFERROR(INDEX(Products!$T$5:$T$304,MATCH(B220,Products!$A$5:$A$304,0)),""))</f>
        <v>0</v>
      </c>
      <c r="P220" s="20">
        <f>IF(B220="","",IFERROR(INDEX(Products!$Z$5:$Z$304,MATCH(B220,Products!$A$5:$A$304,0)),""))</f>
        <v>0</v>
      </c>
      <c r="Q220" s="20">
        <f>IF(B220="","",IFERROR(INDEX(Products!$AH$5:$AH$304,MATCH(B220,Products!$A$5:$A$304,0))-INDEX(Products!$T$5:$T$304,MATCH(B220,Products!$A$5:$A$304,0))-INDEX(Products!$Z$5:$Z$304,MATCH(B220,Products!$A$5:$A$304,0)),0))</f>
        <v>0</v>
      </c>
      <c r="R220" s="36">
        <f>IF(B220="","",IFERROR(INDEX(Products!$X$5:$X$304,MATCH(B220,Products!$A$5:$A$304,0)),""))</f>
        <v>0</v>
      </c>
      <c r="S220" s="20">
        <f>IF(B220="","",IFERROR(INDEX(Products!$AR$5:$AR$304,MATCH(B220,Products!$A$5:$A$304,0)),""))</f>
        <v>0</v>
      </c>
      <c r="T220" s="41">
        <f>IF(B220="","",IFERROR(INDEX(SizeMaterialFactors,MATCH(E220,SizeNames,0)),1))</f>
        <v>0</v>
      </c>
      <c r="U220" s="41">
        <f>IF(B220="","",IFERROR(INDEX(SizeTimeFactors,MATCH(E220,SizeNames,0)),1))</f>
        <v>0</v>
      </c>
      <c r="V220" s="33">
        <f>IF(B220="","",IFERROR(INDEX(RushFactors,MATCH(H220,RushNames,0)),0))</f>
        <v>0</v>
      </c>
      <c r="W220" s="20">
        <f>IF(B220="","",ROUND(IF(O220="",0,O220)*T220+IF(F220="",0,F220),2))</f>
        <v>0</v>
      </c>
      <c r="X220" s="36">
        <f>IF(B220="","",ROUND(IF(R220="",0,R220)*U220+IF(G220="",0,G220),1))</f>
        <v>0</v>
      </c>
      <c r="Y220" s="20">
        <f>IF(B220="","",ROUND(IF(P220="",0,P220)*U220+IF(G220="",0,G220)/60*LaborCostHour,2))</f>
        <v>0</v>
      </c>
      <c r="Z220" s="20">
        <f>IF(B220="","",ROUND(W220+Y220+IF(Q220="",0,Q220),2))</f>
        <v>0</v>
      </c>
      <c r="AA220" s="33">
        <f>IF(B220="","",IFERROR(INDEX(Channels!$S$5:$S$18,MATCH(IF(J220="",DefaultChannel,J220),Channels!$A$5:$A$18,0)),0))</f>
        <v>0</v>
      </c>
      <c r="AB220" s="20">
        <f>IF(B220="","",IFERROR(INDEX(Channels!$T$5:$T$18,MATCH(IF(J220="",DefaultChannel,J220),Channels!$A$5:$A$18,0)),0))</f>
        <v>0</v>
      </c>
      <c r="AC220" s="41">
        <f>IF(B220="","",1-TargetRetailMargin-AA220)</f>
        <v>0</v>
      </c>
      <c r="AD220" s="20">
        <f>IF(B220="","",IF(AC220&lt;=0,"",((Z220+AB220)/AC220)*(1+V220)+IF(I220="",0,I220)))</f>
        <v>0</v>
      </c>
      <c r="AE220" s="20">
        <f>IF(B220="","",IF(AD220="","Check the settings",ROUND(IF(RoundingRule="None",AD220,IF(RoundingRule="Nearest 0.99",MAX(0.99,CEILING(AD220,1)-0.01),IF(RoundingRule="Nearest 0.95",MAX(0.95,CEILING(AD220,1)-0.05),IF(RoundingRule="Nearest 0.50",CEILING(AD220,0.5),IF(RoundingRule="Nearest 1",CEILING(AD220,1),IF(RoundingRule="Nearest 5",CEILING(AD220,5),IF(RoundingRule="Up to whole 1",CEILING(AD220,1),IF(RoundingRule="Up to whole 5",CEILING(AD220,5),ROUND(AD220,2))))))))),2)))</f>
        <v>0</v>
      </c>
      <c r="AF220" s="20">
        <f>IF(B220="","",IF(K220&lt;&gt;"",K220,IF(ISNUMBER(AE220),AE220,"")))</f>
        <v>0</v>
      </c>
      <c r="AG220" s="20">
        <f>IF(B220="","",IF(OR(AF220="",S220=""),"",ROUND(AF220-S220,2)))</f>
        <v>0</v>
      </c>
      <c r="AH220" s="20">
        <f>IF(B220="","",IF(AF220="","",ROUND(AF220*AA220+AB220,2)))</f>
        <v>0</v>
      </c>
      <c r="AI220" s="20">
        <f>IF(B220="","",IF(AF220="","",ROUND(AF220-Z220-AH220,2)))</f>
        <v>0</v>
      </c>
      <c r="AJ220" s="33">
        <f>IF(B220="","",IF(OR(AF220="",AF220=0),"",AI220/AF220))</f>
        <v>0</v>
      </c>
      <c r="AK220" s="20">
        <f>IF(B220="","",IF(OR(X220=0,X220="",AI220=""),"",ROUND((AI220+Y220)/(X220/60),2)))</f>
        <v>0</v>
      </c>
      <c r="AL220" s="43">
        <f>IF(B220="","",IF(N220="Not found","Check - no such product ID",IF(AF220="","Check - no price yet",IF(AI220&lt;0,"Loss - this version costs you money",IF(AND(AK220&lt;&gt;"",AK220&lt;MinimumWage),"Below - pays under minimum wage",IF(AND(G220&gt;0,AG220&lt;=0),"Check - extra work, no extra charge",IF(AJ220&lt;MarginWarning,"Low margin - re-price it","OK")))))))</f>
        <v>0</v>
      </c>
    </row>
    <row r="221" spans="1:38">
      <c r="A221" s="38">
        <f>IF(C221="","",VariationPrefix&amp;TEXT(ROW()-4,"0000"))</f>
        <v>0</v>
      </c>
      <c r="N221" s="13">
        <f>IF(B221="","",IFERROR(INDEX(Products!$B$5:$B$304,MATCH(B221,Products!$A$5:$A$304,0)),"Not found"))</f>
        <v>0</v>
      </c>
      <c r="O221" s="20">
        <f>IF(B221="","",IFERROR(INDEX(Products!$T$5:$T$304,MATCH(B221,Products!$A$5:$A$304,0)),""))</f>
        <v>0</v>
      </c>
      <c r="P221" s="20">
        <f>IF(B221="","",IFERROR(INDEX(Products!$Z$5:$Z$304,MATCH(B221,Products!$A$5:$A$304,0)),""))</f>
        <v>0</v>
      </c>
      <c r="Q221" s="20">
        <f>IF(B221="","",IFERROR(INDEX(Products!$AH$5:$AH$304,MATCH(B221,Products!$A$5:$A$304,0))-INDEX(Products!$T$5:$T$304,MATCH(B221,Products!$A$5:$A$304,0))-INDEX(Products!$Z$5:$Z$304,MATCH(B221,Products!$A$5:$A$304,0)),0))</f>
        <v>0</v>
      </c>
      <c r="R221" s="36">
        <f>IF(B221="","",IFERROR(INDEX(Products!$X$5:$X$304,MATCH(B221,Products!$A$5:$A$304,0)),""))</f>
        <v>0</v>
      </c>
      <c r="S221" s="20">
        <f>IF(B221="","",IFERROR(INDEX(Products!$AR$5:$AR$304,MATCH(B221,Products!$A$5:$A$304,0)),""))</f>
        <v>0</v>
      </c>
      <c r="T221" s="41">
        <f>IF(B221="","",IFERROR(INDEX(SizeMaterialFactors,MATCH(E221,SizeNames,0)),1))</f>
        <v>0</v>
      </c>
      <c r="U221" s="41">
        <f>IF(B221="","",IFERROR(INDEX(SizeTimeFactors,MATCH(E221,SizeNames,0)),1))</f>
        <v>0</v>
      </c>
      <c r="V221" s="33">
        <f>IF(B221="","",IFERROR(INDEX(RushFactors,MATCH(H221,RushNames,0)),0))</f>
        <v>0</v>
      </c>
      <c r="W221" s="20">
        <f>IF(B221="","",ROUND(IF(O221="",0,O221)*T221+IF(F221="",0,F221),2))</f>
        <v>0</v>
      </c>
      <c r="X221" s="36">
        <f>IF(B221="","",ROUND(IF(R221="",0,R221)*U221+IF(G221="",0,G221),1))</f>
        <v>0</v>
      </c>
      <c r="Y221" s="20">
        <f>IF(B221="","",ROUND(IF(P221="",0,P221)*U221+IF(G221="",0,G221)/60*LaborCostHour,2))</f>
        <v>0</v>
      </c>
      <c r="Z221" s="20">
        <f>IF(B221="","",ROUND(W221+Y221+IF(Q221="",0,Q221),2))</f>
        <v>0</v>
      </c>
      <c r="AA221" s="33">
        <f>IF(B221="","",IFERROR(INDEX(Channels!$S$5:$S$18,MATCH(IF(J221="",DefaultChannel,J221),Channels!$A$5:$A$18,0)),0))</f>
        <v>0</v>
      </c>
      <c r="AB221" s="20">
        <f>IF(B221="","",IFERROR(INDEX(Channels!$T$5:$T$18,MATCH(IF(J221="",DefaultChannel,J221),Channels!$A$5:$A$18,0)),0))</f>
        <v>0</v>
      </c>
      <c r="AC221" s="41">
        <f>IF(B221="","",1-TargetRetailMargin-AA221)</f>
        <v>0</v>
      </c>
      <c r="AD221" s="20">
        <f>IF(B221="","",IF(AC221&lt;=0,"",((Z221+AB221)/AC221)*(1+V221)+IF(I221="",0,I221)))</f>
        <v>0</v>
      </c>
      <c r="AE221" s="20">
        <f>IF(B221="","",IF(AD221="","Check the settings",ROUND(IF(RoundingRule="None",AD221,IF(RoundingRule="Nearest 0.99",MAX(0.99,CEILING(AD221,1)-0.01),IF(RoundingRule="Nearest 0.95",MAX(0.95,CEILING(AD221,1)-0.05),IF(RoundingRule="Nearest 0.50",CEILING(AD221,0.5),IF(RoundingRule="Nearest 1",CEILING(AD221,1),IF(RoundingRule="Nearest 5",CEILING(AD221,5),IF(RoundingRule="Up to whole 1",CEILING(AD221,1),IF(RoundingRule="Up to whole 5",CEILING(AD221,5),ROUND(AD221,2))))))))),2)))</f>
        <v>0</v>
      </c>
      <c r="AF221" s="20">
        <f>IF(B221="","",IF(K221&lt;&gt;"",K221,IF(ISNUMBER(AE221),AE221,"")))</f>
        <v>0</v>
      </c>
      <c r="AG221" s="20">
        <f>IF(B221="","",IF(OR(AF221="",S221=""),"",ROUND(AF221-S221,2)))</f>
        <v>0</v>
      </c>
      <c r="AH221" s="20">
        <f>IF(B221="","",IF(AF221="","",ROUND(AF221*AA221+AB221,2)))</f>
        <v>0</v>
      </c>
      <c r="AI221" s="20">
        <f>IF(B221="","",IF(AF221="","",ROUND(AF221-Z221-AH221,2)))</f>
        <v>0</v>
      </c>
      <c r="AJ221" s="33">
        <f>IF(B221="","",IF(OR(AF221="",AF221=0),"",AI221/AF221))</f>
        <v>0</v>
      </c>
      <c r="AK221" s="20">
        <f>IF(B221="","",IF(OR(X221=0,X221="",AI221=""),"",ROUND((AI221+Y221)/(X221/60),2)))</f>
        <v>0</v>
      </c>
      <c r="AL221" s="43">
        <f>IF(B221="","",IF(N221="Not found","Check - no such product ID",IF(AF221="","Check - no price yet",IF(AI221&lt;0,"Loss - this version costs you money",IF(AND(AK221&lt;&gt;"",AK221&lt;MinimumWage),"Below - pays under minimum wage",IF(AND(G221&gt;0,AG221&lt;=0),"Check - extra work, no extra charge",IF(AJ221&lt;MarginWarning,"Low margin - re-price it","OK")))))))</f>
        <v>0</v>
      </c>
    </row>
    <row r="222" spans="1:38">
      <c r="A222" s="38">
        <f>IF(C222="","",VariationPrefix&amp;TEXT(ROW()-4,"0000"))</f>
        <v>0</v>
      </c>
      <c r="N222" s="13">
        <f>IF(B222="","",IFERROR(INDEX(Products!$B$5:$B$304,MATCH(B222,Products!$A$5:$A$304,0)),"Not found"))</f>
        <v>0</v>
      </c>
      <c r="O222" s="20">
        <f>IF(B222="","",IFERROR(INDEX(Products!$T$5:$T$304,MATCH(B222,Products!$A$5:$A$304,0)),""))</f>
        <v>0</v>
      </c>
      <c r="P222" s="20">
        <f>IF(B222="","",IFERROR(INDEX(Products!$Z$5:$Z$304,MATCH(B222,Products!$A$5:$A$304,0)),""))</f>
        <v>0</v>
      </c>
      <c r="Q222" s="20">
        <f>IF(B222="","",IFERROR(INDEX(Products!$AH$5:$AH$304,MATCH(B222,Products!$A$5:$A$304,0))-INDEX(Products!$T$5:$T$304,MATCH(B222,Products!$A$5:$A$304,0))-INDEX(Products!$Z$5:$Z$304,MATCH(B222,Products!$A$5:$A$304,0)),0))</f>
        <v>0</v>
      </c>
      <c r="R222" s="36">
        <f>IF(B222="","",IFERROR(INDEX(Products!$X$5:$X$304,MATCH(B222,Products!$A$5:$A$304,0)),""))</f>
        <v>0</v>
      </c>
      <c r="S222" s="20">
        <f>IF(B222="","",IFERROR(INDEX(Products!$AR$5:$AR$304,MATCH(B222,Products!$A$5:$A$304,0)),""))</f>
        <v>0</v>
      </c>
      <c r="T222" s="41">
        <f>IF(B222="","",IFERROR(INDEX(SizeMaterialFactors,MATCH(E222,SizeNames,0)),1))</f>
        <v>0</v>
      </c>
      <c r="U222" s="41">
        <f>IF(B222="","",IFERROR(INDEX(SizeTimeFactors,MATCH(E222,SizeNames,0)),1))</f>
        <v>0</v>
      </c>
      <c r="V222" s="33">
        <f>IF(B222="","",IFERROR(INDEX(RushFactors,MATCH(H222,RushNames,0)),0))</f>
        <v>0</v>
      </c>
      <c r="W222" s="20">
        <f>IF(B222="","",ROUND(IF(O222="",0,O222)*T222+IF(F222="",0,F222),2))</f>
        <v>0</v>
      </c>
      <c r="X222" s="36">
        <f>IF(B222="","",ROUND(IF(R222="",0,R222)*U222+IF(G222="",0,G222),1))</f>
        <v>0</v>
      </c>
      <c r="Y222" s="20">
        <f>IF(B222="","",ROUND(IF(P222="",0,P222)*U222+IF(G222="",0,G222)/60*LaborCostHour,2))</f>
        <v>0</v>
      </c>
      <c r="Z222" s="20">
        <f>IF(B222="","",ROUND(W222+Y222+IF(Q222="",0,Q222),2))</f>
        <v>0</v>
      </c>
      <c r="AA222" s="33">
        <f>IF(B222="","",IFERROR(INDEX(Channels!$S$5:$S$18,MATCH(IF(J222="",DefaultChannel,J222),Channels!$A$5:$A$18,0)),0))</f>
        <v>0</v>
      </c>
      <c r="AB222" s="20">
        <f>IF(B222="","",IFERROR(INDEX(Channels!$T$5:$T$18,MATCH(IF(J222="",DefaultChannel,J222),Channels!$A$5:$A$18,0)),0))</f>
        <v>0</v>
      </c>
      <c r="AC222" s="41">
        <f>IF(B222="","",1-TargetRetailMargin-AA222)</f>
        <v>0</v>
      </c>
      <c r="AD222" s="20">
        <f>IF(B222="","",IF(AC222&lt;=0,"",((Z222+AB222)/AC222)*(1+V222)+IF(I222="",0,I222)))</f>
        <v>0</v>
      </c>
      <c r="AE222" s="20">
        <f>IF(B222="","",IF(AD222="","Check the settings",ROUND(IF(RoundingRule="None",AD222,IF(RoundingRule="Nearest 0.99",MAX(0.99,CEILING(AD222,1)-0.01),IF(RoundingRule="Nearest 0.95",MAX(0.95,CEILING(AD222,1)-0.05),IF(RoundingRule="Nearest 0.50",CEILING(AD222,0.5),IF(RoundingRule="Nearest 1",CEILING(AD222,1),IF(RoundingRule="Nearest 5",CEILING(AD222,5),IF(RoundingRule="Up to whole 1",CEILING(AD222,1),IF(RoundingRule="Up to whole 5",CEILING(AD222,5),ROUND(AD222,2))))))))),2)))</f>
        <v>0</v>
      </c>
      <c r="AF222" s="20">
        <f>IF(B222="","",IF(K222&lt;&gt;"",K222,IF(ISNUMBER(AE222),AE222,"")))</f>
        <v>0</v>
      </c>
      <c r="AG222" s="20">
        <f>IF(B222="","",IF(OR(AF222="",S222=""),"",ROUND(AF222-S222,2)))</f>
        <v>0</v>
      </c>
      <c r="AH222" s="20">
        <f>IF(B222="","",IF(AF222="","",ROUND(AF222*AA222+AB222,2)))</f>
        <v>0</v>
      </c>
      <c r="AI222" s="20">
        <f>IF(B222="","",IF(AF222="","",ROUND(AF222-Z222-AH222,2)))</f>
        <v>0</v>
      </c>
      <c r="AJ222" s="33">
        <f>IF(B222="","",IF(OR(AF222="",AF222=0),"",AI222/AF222))</f>
        <v>0</v>
      </c>
      <c r="AK222" s="20">
        <f>IF(B222="","",IF(OR(X222=0,X222="",AI222=""),"",ROUND((AI222+Y222)/(X222/60),2)))</f>
        <v>0</v>
      </c>
      <c r="AL222" s="43">
        <f>IF(B222="","",IF(N222="Not found","Check - no such product ID",IF(AF222="","Check - no price yet",IF(AI222&lt;0,"Loss - this version costs you money",IF(AND(AK222&lt;&gt;"",AK222&lt;MinimumWage),"Below - pays under minimum wage",IF(AND(G222&gt;0,AG222&lt;=0),"Check - extra work, no extra charge",IF(AJ222&lt;MarginWarning,"Low margin - re-price it","OK")))))))</f>
        <v>0</v>
      </c>
    </row>
    <row r="223" spans="1:38">
      <c r="A223" s="38">
        <f>IF(C223="","",VariationPrefix&amp;TEXT(ROW()-4,"0000"))</f>
        <v>0</v>
      </c>
      <c r="N223" s="13">
        <f>IF(B223="","",IFERROR(INDEX(Products!$B$5:$B$304,MATCH(B223,Products!$A$5:$A$304,0)),"Not found"))</f>
        <v>0</v>
      </c>
      <c r="O223" s="20">
        <f>IF(B223="","",IFERROR(INDEX(Products!$T$5:$T$304,MATCH(B223,Products!$A$5:$A$304,0)),""))</f>
        <v>0</v>
      </c>
      <c r="P223" s="20">
        <f>IF(B223="","",IFERROR(INDEX(Products!$Z$5:$Z$304,MATCH(B223,Products!$A$5:$A$304,0)),""))</f>
        <v>0</v>
      </c>
      <c r="Q223" s="20">
        <f>IF(B223="","",IFERROR(INDEX(Products!$AH$5:$AH$304,MATCH(B223,Products!$A$5:$A$304,0))-INDEX(Products!$T$5:$T$304,MATCH(B223,Products!$A$5:$A$304,0))-INDEX(Products!$Z$5:$Z$304,MATCH(B223,Products!$A$5:$A$304,0)),0))</f>
        <v>0</v>
      </c>
      <c r="R223" s="36">
        <f>IF(B223="","",IFERROR(INDEX(Products!$X$5:$X$304,MATCH(B223,Products!$A$5:$A$304,0)),""))</f>
        <v>0</v>
      </c>
      <c r="S223" s="20">
        <f>IF(B223="","",IFERROR(INDEX(Products!$AR$5:$AR$304,MATCH(B223,Products!$A$5:$A$304,0)),""))</f>
        <v>0</v>
      </c>
      <c r="T223" s="41">
        <f>IF(B223="","",IFERROR(INDEX(SizeMaterialFactors,MATCH(E223,SizeNames,0)),1))</f>
        <v>0</v>
      </c>
      <c r="U223" s="41">
        <f>IF(B223="","",IFERROR(INDEX(SizeTimeFactors,MATCH(E223,SizeNames,0)),1))</f>
        <v>0</v>
      </c>
      <c r="V223" s="33">
        <f>IF(B223="","",IFERROR(INDEX(RushFactors,MATCH(H223,RushNames,0)),0))</f>
        <v>0</v>
      </c>
      <c r="W223" s="20">
        <f>IF(B223="","",ROUND(IF(O223="",0,O223)*T223+IF(F223="",0,F223),2))</f>
        <v>0</v>
      </c>
      <c r="X223" s="36">
        <f>IF(B223="","",ROUND(IF(R223="",0,R223)*U223+IF(G223="",0,G223),1))</f>
        <v>0</v>
      </c>
      <c r="Y223" s="20">
        <f>IF(B223="","",ROUND(IF(P223="",0,P223)*U223+IF(G223="",0,G223)/60*LaborCostHour,2))</f>
        <v>0</v>
      </c>
      <c r="Z223" s="20">
        <f>IF(B223="","",ROUND(W223+Y223+IF(Q223="",0,Q223),2))</f>
        <v>0</v>
      </c>
      <c r="AA223" s="33">
        <f>IF(B223="","",IFERROR(INDEX(Channels!$S$5:$S$18,MATCH(IF(J223="",DefaultChannel,J223),Channels!$A$5:$A$18,0)),0))</f>
        <v>0</v>
      </c>
      <c r="AB223" s="20">
        <f>IF(B223="","",IFERROR(INDEX(Channels!$T$5:$T$18,MATCH(IF(J223="",DefaultChannel,J223),Channels!$A$5:$A$18,0)),0))</f>
        <v>0</v>
      </c>
      <c r="AC223" s="41">
        <f>IF(B223="","",1-TargetRetailMargin-AA223)</f>
        <v>0</v>
      </c>
      <c r="AD223" s="20">
        <f>IF(B223="","",IF(AC223&lt;=0,"",((Z223+AB223)/AC223)*(1+V223)+IF(I223="",0,I223)))</f>
        <v>0</v>
      </c>
      <c r="AE223" s="20">
        <f>IF(B223="","",IF(AD223="","Check the settings",ROUND(IF(RoundingRule="None",AD223,IF(RoundingRule="Nearest 0.99",MAX(0.99,CEILING(AD223,1)-0.01),IF(RoundingRule="Nearest 0.95",MAX(0.95,CEILING(AD223,1)-0.05),IF(RoundingRule="Nearest 0.50",CEILING(AD223,0.5),IF(RoundingRule="Nearest 1",CEILING(AD223,1),IF(RoundingRule="Nearest 5",CEILING(AD223,5),IF(RoundingRule="Up to whole 1",CEILING(AD223,1),IF(RoundingRule="Up to whole 5",CEILING(AD223,5),ROUND(AD223,2))))))))),2)))</f>
        <v>0</v>
      </c>
      <c r="AF223" s="20">
        <f>IF(B223="","",IF(K223&lt;&gt;"",K223,IF(ISNUMBER(AE223),AE223,"")))</f>
        <v>0</v>
      </c>
      <c r="AG223" s="20">
        <f>IF(B223="","",IF(OR(AF223="",S223=""),"",ROUND(AF223-S223,2)))</f>
        <v>0</v>
      </c>
      <c r="AH223" s="20">
        <f>IF(B223="","",IF(AF223="","",ROUND(AF223*AA223+AB223,2)))</f>
        <v>0</v>
      </c>
      <c r="AI223" s="20">
        <f>IF(B223="","",IF(AF223="","",ROUND(AF223-Z223-AH223,2)))</f>
        <v>0</v>
      </c>
      <c r="AJ223" s="33">
        <f>IF(B223="","",IF(OR(AF223="",AF223=0),"",AI223/AF223))</f>
        <v>0</v>
      </c>
      <c r="AK223" s="20">
        <f>IF(B223="","",IF(OR(X223=0,X223="",AI223=""),"",ROUND((AI223+Y223)/(X223/60),2)))</f>
        <v>0</v>
      </c>
      <c r="AL223" s="43">
        <f>IF(B223="","",IF(N223="Not found","Check - no such product ID",IF(AF223="","Check - no price yet",IF(AI223&lt;0,"Loss - this version costs you money",IF(AND(AK223&lt;&gt;"",AK223&lt;MinimumWage),"Below - pays under minimum wage",IF(AND(G223&gt;0,AG223&lt;=0),"Check - extra work, no extra charge",IF(AJ223&lt;MarginWarning,"Low margin - re-price it","OK")))))))</f>
        <v>0</v>
      </c>
    </row>
    <row r="224" spans="1:38">
      <c r="A224" s="38">
        <f>IF(C224="","",VariationPrefix&amp;TEXT(ROW()-4,"0000"))</f>
        <v>0</v>
      </c>
      <c r="N224" s="13">
        <f>IF(B224="","",IFERROR(INDEX(Products!$B$5:$B$304,MATCH(B224,Products!$A$5:$A$304,0)),"Not found"))</f>
        <v>0</v>
      </c>
      <c r="O224" s="20">
        <f>IF(B224="","",IFERROR(INDEX(Products!$T$5:$T$304,MATCH(B224,Products!$A$5:$A$304,0)),""))</f>
        <v>0</v>
      </c>
      <c r="P224" s="20">
        <f>IF(B224="","",IFERROR(INDEX(Products!$Z$5:$Z$304,MATCH(B224,Products!$A$5:$A$304,0)),""))</f>
        <v>0</v>
      </c>
      <c r="Q224" s="20">
        <f>IF(B224="","",IFERROR(INDEX(Products!$AH$5:$AH$304,MATCH(B224,Products!$A$5:$A$304,0))-INDEX(Products!$T$5:$T$304,MATCH(B224,Products!$A$5:$A$304,0))-INDEX(Products!$Z$5:$Z$304,MATCH(B224,Products!$A$5:$A$304,0)),0))</f>
        <v>0</v>
      </c>
      <c r="R224" s="36">
        <f>IF(B224="","",IFERROR(INDEX(Products!$X$5:$X$304,MATCH(B224,Products!$A$5:$A$304,0)),""))</f>
        <v>0</v>
      </c>
      <c r="S224" s="20">
        <f>IF(B224="","",IFERROR(INDEX(Products!$AR$5:$AR$304,MATCH(B224,Products!$A$5:$A$304,0)),""))</f>
        <v>0</v>
      </c>
      <c r="T224" s="41">
        <f>IF(B224="","",IFERROR(INDEX(SizeMaterialFactors,MATCH(E224,SizeNames,0)),1))</f>
        <v>0</v>
      </c>
      <c r="U224" s="41">
        <f>IF(B224="","",IFERROR(INDEX(SizeTimeFactors,MATCH(E224,SizeNames,0)),1))</f>
        <v>0</v>
      </c>
      <c r="V224" s="33">
        <f>IF(B224="","",IFERROR(INDEX(RushFactors,MATCH(H224,RushNames,0)),0))</f>
        <v>0</v>
      </c>
      <c r="W224" s="20">
        <f>IF(B224="","",ROUND(IF(O224="",0,O224)*T224+IF(F224="",0,F224),2))</f>
        <v>0</v>
      </c>
      <c r="X224" s="36">
        <f>IF(B224="","",ROUND(IF(R224="",0,R224)*U224+IF(G224="",0,G224),1))</f>
        <v>0</v>
      </c>
      <c r="Y224" s="20">
        <f>IF(B224="","",ROUND(IF(P224="",0,P224)*U224+IF(G224="",0,G224)/60*LaborCostHour,2))</f>
        <v>0</v>
      </c>
      <c r="Z224" s="20">
        <f>IF(B224="","",ROUND(W224+Y224+IF(Q224="",0,Q224),2))</f>
        <v>0</v>
      </c>
      <c r="AA224" s="33">
        <f>IF(B224="","",IFERROR(INDEX(Channels!$S$5:$S$18,MATCH(IF(J224="",DefaultChannel,J224),Channels!$A$5:$A$18,0)),0))</f>
        <v>0</v>
      </c>
      <c r="AB224" s="20">
        <f>IF(B224="","",IFERROR(INDEX(Channels!$T$5:$T$18,MATCH(IF(J224="",DefaultChannel,J224),Channels!$A$5:$A$18,0)),0))</f>
        <v>0</v>
      </c>
      <c r="AC224" s="41">
        <f>IF(B224="","",1-TargetRetailMargin-AA224)</f>
        <v>0</v>
      </c>
      <c r="AD224" s="20">
        <f>IF(B224="","",IF(AC224&lt;=0,"",((Z224+AB224)/AC224)*(1+V224)+IF(I224="",0,I224)))</f>
        <v>0</v>
      </c>
      <c r="AE224" s="20">
        <f>IF(B224="","",IF(AD224="","Check the settings",ROUND(IF(RoundingRule="None",AD224,IF(RoundingRule="Nearest 0.99",MAX(0.99,CEILING(AD224,1)-0.01),IF(RoundingRule="Nearest 0.95",MAX(0.95,CEILING(AD224,1)-0.05),IF(RoundingRule="Nearest 0.50",CEILING(AD224,0.5),IF(RoundingRule="Nearest 1",CEILING(AD224,1),IF(RoundingRule="Nearest 5",CEILING(AD224,5),IF(RoundingRule="Up to whole 1",CEILING(AD224,1),IF(RoundingRule="Up to whole 5",CEILING(AD224,5),ROUND(AD224,2))))))))),2)))</f>
        <v>0</v>
      </c>
      <c r="AF224" s="20">
        <f>IF(B224="","",IF(K224&lt;&gt;"",K224,IF(ISNUMBER(AE224),AE224,"")))</f>
        <v>0</v>
      </c>
      <c r="AG224" s="20">
        <f>IF(B224="","",IF(OR(AF224="",S224=""),"",ROUND(AF224-S224,2)))</f>
        <v>0</v>
      </c>
      <c r="AH224" s="20">
        <f>IF(B224="","",IF(AF224="","",ROUND(AF224*AA224+AB224,2)))</f>
        <v>0</v>
      </c>
      <c r="AI224" s="20">
        <f>IF(B224="","",IF(AF224="","",ROUND(AF224-Z224-AH224,2)))</f>
        <v>0</v>
      </c>
      <c r="AJ224" s="33">
        <f>IF(B224="","",IF(OR(AF224="",AF224=0),"",AI224/AF224))</f>
        <v>0</v>
      </c>
      <c r="AK224" s="20">
        <f>IF(B224="","",IF(OR(X224=0,X224="",AI224=""),"",ROUND((AI224+Y224)/(X224/60),2)))</f>
        <v>0</v>
      </c>
      <c r="AL224" s="43">
        <f>IF(B224="","",IF(N224="Not found","Check - no such product ID",IF(AF224="","Check - no price yet",IF(AI224&lt;0,"Loss - this version costs you money",IF(AND(AK224&lt;&gt;"",AK224&lt;MinimumWage),"Below - pays under minimum wage",IF(AND(G224&gt;0,AG224&lt;=0),"Check - extra work, no extra charge",IF(AJ224&lt;MarginWarning,"Low margin - re-price it","OK")))))))</f>
        <v>0</v>
      </c>
    </row>
    <row r="225" spans="1:38">
      <c r="A225" s="38">
        <f>IF(C225="","",VariationPrefix&amp;TEXT(ROW()-4,"0000"))</f>
        <v>0</v>
      </c>
      <c r="N225" s="13">
        <f>IF(B225="","",IFERROR(INDEX(Products!$B$5:$B$304,MATCH(B225,Products!$A$5:$A$304,0)),"Not found"))</f>
        <v>0</v>
      </c>
      <c r="O225" s="20">
        <f>IF(B225="","",IFERROR(INDEX(Products!$T$5:$T$304,MATCH(B225,Products!$A$5:$A$304,0)),""))</f>
        <v>0</v>
      </c>
      <c r="P225" s="20">
        <f>IF(B225="","",IFERROR(INDEX(Products!$Z$5:$Z$304,MATCH(B225,Products!$A$5:$A$304,0)),""))</f>
        <v>0</v>
      </c>
      <c r="Q225" s="20">
        <f>IF(B225="","",IFERROR(INDEX(Products!$AH$5:$AH$304,MATCH(B225,Products!$A$5:$A$304,0))-INDEX(Products!$T$5:$T$304,MATCH(B225,Products!$A$5:$A$304,0))-INDEX(Products!$Z$5:$Z$304,MATCH(B225,Products!$A$5:$A$304,0)),0))</f>
        <v>0</v>
      </c>
      <c r="R225" s="36">
        <f>IF(B225="","",IFERROR(INDEX(Products!$X$5:$X$304,MATCH(B225,Products!$A$5:$A$304,0)),""))</f>
        <v>0</v>
      </c>
      <c r="S225" s="20">
        <f>IF(B225="","",IFERROR(INDEX(Products!$AR$5:$AR$304,MATCH(B225,Products!$A$5:$A$304,0)),""))</f>
        <v>0</v>
      </c>
      <c r="T225" s="41">
        <f>IF(B225="","",IFERROR(INDEX(SizeMaterialFactors,MATCH(E225,SizeNames,0)),1))</f>
        <v>0</v>
      </c>
      <c r="U225" s="41">
        <f>IF(B225="","",IFERROR(INDEX(SizeTimeFactors,MATCH(E225,SizeNames,0)),1))</f>
        <v>0</v>
      </c>
      <c r="V225" s="33">
        <f>IF(B225="","",IFERROR(INDEX(RushFactors,MATCH(H225,RushNames,0)),0))</f>
        <v>0</v>
      </c>
      <c r="W225" s="20">
        <f>IF(B225="","",ROUND(IF(O225="",0,O225)*T225+IF(F225="",0,F225),2))</f>
        <v>0</v>
      </c>
      <c r="X225" s="36">
        <f>IF(B225="","",ROUND(IF(R225="",0,R225)*U225+IF(G225="",0,G225),1))</f>
        <v>0</v>
      </c>
      <c r="Y225" s="20">
        <f>IF(B225="","",ROUND(IF(P225="",0,P225)*U225+IF(G225="",0,G225)/60*LaborCostHour,2))</f>
        <v>0</v>
      </c>
      <c r="Z225" s="20">
        <f>IF(B225="","",ROUND(W225+Y225+IF(Q225="",0,Q225),2))</f>
        <v>0</v>
      </c>
      <c r="AA225" s="33">
        <f>IF(B225="","",IFERROR(INDEX(Channels!$S$5:$S$18,MATCH(IF(J225="",DefaultChannel,J225),Channels!$A$5:$A$18,0)),0))</f>
        <v>0</v>
      </c>
      <c r="AB225" s="20">
        <f>IF(B225="","",IFERROR(INDEX(Channels!$T$5:$T$18,MATCH(IF(J225="",DefaultChannel,J225),Channels!$A$5:$A$18,0)),0))</f>
        <v>0</v>
      </c>
      <c r="AC225" s="41">
        <f>IF(B225="","",1-TargetRetailMargin-AA225)</f>
        <v>0</v>
      </c>
      <c r="AD225" s="20">
        <f>IF(B225="","",IF(AC225&lt;=0,"",((Z225+AB225)/AC225)*(1+V225)+IF(I225="",0,I225)))</f>
        <v>0</v>
      </c>
      <c r="AE225" s="20">
        <f>IF(B225="","",IF(AD225="","Check the settings",ROUND(IF(RoundingRule="None",AD225,IF(RoundingRule="Nearest 0.99",MAX(0.99,CEILING(AD225,1)-0.01),IF(RoundingRule="Nearest 0.95",MAX(0.95,CEILING(AD225,1)-0.05),IF(RoundingRule="Nearest 0.50",CEILING(AD225,0.5),IF(RoundingRule="Nearest 1",CEILING(AD225,1),IF(RoundingRule="Nearest 5",CEILING(AD225,5),IF(RoundingRule="Up to whole 1",CEILING(AD225,1),IF(RoundingRule="Up to whole 5",CEILING(AD225,5),ROUND(AD225,2))))))))),2)))</f>
        <v>0</v>
      </c>
      <c r="AF225" s="20">
        <f>IF(B225="","",IF(K225&lt;&gt;"",K225,IF(ISNUMBER(AE225),AE225,"")))</f>
        <v>0</v>
      </c>
      <c r="AG225" s="20">
        <f>IF(B225="","",IF(OR(AF225="",S225=""),"",ROUND(AF225-S225,2)))</f>
        <v>0</v>
      </c>
      <c r="AH225" s="20">
        <f>IF(B225="","",IF(AF225="","",ROUND(AF225*AA225+AB225,2)))</f>
        <v>0</v>
      </c>
      <c r="AI225" s="20">
        <f>IF(B225="","",IF(AF225="","",ROUND(AF225-Z225-AH225,2)))</f>
        <v>0</v>
      </c>
      <c r="AJ225" s="33">
        <f>IF(B225="","",IF(OR(AF225="",AF225=0),"",AI225/AF225))</f>
        <v>0</v>
      </c>
      <c r="AK225" s="20">
        <f>IF(B225="","",IF(OR(X225=0,X225="",AI225=""),"",ROUND((AI225+Y225)/(X225/60),2)))</f>
        <v>0</v>
      </c>
      <c r="AL225" s="43">
        <f>IF(B225="","",IF(N225="Not found","Check - no such product ID",IF(AF225="","Check - no price yet",IF(AI225&lt;0,"Loss - this version costs you money",IF(AND(AK225&lt;&gt;"",AK225&lt;MinimumWage),"Below - pays under minimum wage",IF(AND(G225&gt;0,AG225&lt;=0),"Check - extra work, no extra charge",IF(AJ225&lt;MarginWarning,"Low margin - re-price it","OK")))))))</f>
        <v>0</v>
      </c>
    </row>
    <row r="226" spans="1:38">
      <c r="A226" s="38">
        <f>IF(C226="","",VariationPrefix&amp;TEXT(ROW()-4,"0000"))</f>
        <v>0</v>
      </c>
      <c r="N226" s="13">
        <f>IF(B226="","",IFERROR(INDEX(Products!$B$5:$B$304,MATCH(B226,Products!$A$5:$A$304,0)),"Not found"))</f>
        <v>0</v>
      </c>
      <c r="O226" s="20">
        <f>IF(B226="","",IFERROR(INDEX(Products!$T$5:$T$304,MATCH(B226,Products!$A$5:$A$304,0)),""))</f>
        <v>0</v>
      </c>
      <c r="P226" s="20">
        <f>IF(B226="","",IFERROR(INDEX(Products!$Z$5:$Z$304,MATCH(B226,Products!$A$5:$A$304,0)),""))</f>
        <v>0</v>
      </c>
      <c r="Q226" s="20">
        <f>IF(B226="","",IFERROR(INDEX(Products!$AH$5:$AH$304,MATCH(B226,Products!$A$5:$A$304,0))-INDEX(Products!$T$5:$T$304,MATCH(B226,Products!$A$5:$A$304,0))-INDEX(Products!$Z$5:$Z$304,MATCH(B226,Products!$A$5:$A$304,0)),0))</f>
        <v>0</v>
      </c>
      <c r="R226" s="36">
        <f>IF(B226="","",IFERROR(INDEX(Products!$X$5:$X$304,MATCH(B226,Products!$A$5:$A$304,0)),""))</f>
        <v>0</v>
      </c>
      <c r="S226" s="20">
        <f>IF(B226="","",IFERROR(INDEX(Products!$AR$5:$AR$304,MATCH(B226,Products!$A$5:$A$304,0)),""))</f>
        <v>0</v>
      </c>
      <c r="T226" s="41">
        <f>IF(B226="","",IFERROR(INDEX(SizeMaterialFactors,MATCH(E226,SizeNames,0)),1))</f>
        <v>0</v>
      </c>
      <c r="U226" s="41">
        <f>IF(B226="","",IFERROR(INDEX(SizeTimeFactors,MATCH(E226,SizeNames,0)),1))</f>
        <v>0</v>
      </c>
      <c r="V226" s="33">
        <f>IF(B226="","",IFERROR(INDEX(RushFactors,MATCH(H226,RushNames,0)),0))</f>
        <v>0</v>
      </c>
      <c r="W226" s="20">
        <f>IF(B226="","",ROUND(IF(O226="",0,O226)*T226+IF(F226="",0,F226),2))</f>
        <v>0</v>
      </c>
      <c r="X226" s="36">
        <f>IF(B226="","",ROUND(IF(R226="",0,R226)*U226+IF(G226="",0,G226),1))</f>
        <v>0</v>
      </c>
      <c r="Y226" s="20">
        <f>IF(B226="","",ROUND(IF(P226="",0,P226)*U226+IF(G226="",0,G226)/60*LaborCostHour,2))</f>
        <v>0</v>
      </c>
      <c r="Z226" s="20">
        <f>IF(B226="","",ROUND(W226+Y226+IF(Q226="",0,Q226),2))</f>
        <v>0</v>
      </c>
      <c r="AA226" s="33">
        <f>IF(B226="","",IFERROR(INDEX(Channels!$S$5:$S$18,MATCH(IF(J226="",DefaultChannel,J226),Channels!$A$5:$A$18,0)),0))</f>
        <v>0</v>
      </c>
      <c r="AB226" s="20">
        <f>IF(B226="","",IFERROR(INDEX(Channels!$T$5:$T$18,MATCH(IF(J226="",DefaultChannel,J226),Channels!$A$5:$A$18,0)),0))</f>
        <v>0</v>
      </c>
      <c r="AC226" s="41">
        <f>IF(B226="","",1-TargetRetailMargin-AA226)</f>
        <v>0</v>
      </c>
      <c r="AD226" s="20">
        <f>IF(B226="","",IF(AC226&lt;=0,"",((Z226+AB226)/AC226)*(1+V226)+IF(I226="",0,I226)))</f>
        <v>0</v>
      </c>
      <c r="AE226" s="20">
        <f>IF(B226="","",IF(AD226="","Check the settings",ROUND(IF(RoundingRule="None",AD226,IF(RoundingRule="Nearest 0.99",MAX(0.99,CEILING(AD226,1)-0.01),IF(RoundingRule="Nearest 0.95",MAX(0.95,CEILING(AD226,1)-0.05),IF(RoundingRule="Nearest 0.50",CEILING(AD226,0.5),IF(RoundingRule="Nearest 1",CEILING(AD226,1),IF(RoundingRule="Nearest 5",CEILING(AD226,5),IF(RoundingRule="Up to whole 1",CEILING(AD226,1),IF(RoundingRule="Up to whole 5",CEILING(AD226,5),ROUND(AD226,2))))))))),2)))</f>
        <v>0</v>
      </c>
      <c r="AF226" s="20">
        <f>IF(B226="","",IF(K226&lt;&gt;"",K226,IF(ISNUMBER(AE226),AE226,"")))</f>
        <v>0</v>
      </c>
      <c r="AG226" s="20">
        <f>IF(B226="","",IF(OR(AF226="",S226=""),"",ROUND(AF226-S226,2)))</f>
        <v>0</v>
      </c>
      <c r="AH226" s="20">
        <f>IF(B226="","",IF(AF226="","",ROUND(AF226*AA226+AB226,2)))</f>
        <v>0</v>
      </c>
      <c r="AI226" s="20">
        <f>IF(B226="","",IF(AF226="","",ROUND(AF226-Z226-AH226,2)))</f>
        <v>0</v>
      </c>
      <c r="AJ226" s="33">
        <f>IF(B226="","",IF(OR(AF226="",AF226=0),"",AI226/AF226))</f>
        <v>0</v>
      </c>
      <c r="AK226" s="20">
        <f>IF(B226="","",IF(OR(X226=0,X226="",AI226=""),"",ROUND((AI226+Y226)/(X226/60),2)))</f>
        <v>0</v>
      </c>
      <c r="AL226" s="43">
        <f>IF(B226="","",IF(N226="Not found","Check - no such product ID",IF(AF226="","Check - no price yet",IF(AI226&lt;0,"Loss - this version costs you money",IF(AND(AK226&lt;&gt;"",AK226&lt;MinimumWage),"Below - pays under minimum wage",IF(AND(G226&gt;0,AG226&lt;=0),"Check - extra work, no extra charge",IF(AJ226&lt;MarginWarning,"Low margin - re-price it","OK")))))))</f>
        <v>0</v>
      </c>
    </row>
    <row r="227" spans="1:38">
      <c r="A227" s="38">
        <f>IF(C227="","",VariationPrefix&amp;TEXT(ROW()-4,"0000"))</f>
        <v>0</v>
      </c>
      <c r="N227" s="13">
        <f>IF(B227="","",IFERROR(INDEX(Products!$B$5:$B$304,MATCH(B227,Products!$A$5:$A$304,0)),"Not found"))</f>
        <v>0</v>
      </c>
      <c r="O227" s="20">
        <f>IF(B227="","",IFERROR(INDEX(Products!$T$5:$T$304,MATCH(B227,Products!$A$5:$A$304,0)),""))</f>
        <v>0</v>
      </c>
      <c r="P227" s="20">
        <f>IF(B227="","",IFERROR(INDEX(Products!$Z$5:$Z$304,MATCH(B227,Products!$A$5:$A$304,0)),""))</f>
        <v>0</v>
      </c>
      <c r="Q227" s="20">
        <f>IF(B227="","",IFERROR(INDEX(Products!$AH$5:$AH$304,MATCH(B227,Products!$A$5:$A$304,0))-INDEX(Products!$T$5:$T$304,MATCH(B227,Products!$A$5:$A$304,0))-INDEX(Products!$Z$5:$Z$304,MATCH(B227,Products!$A$5:$A$304,0)),0))</f>
        <v>0</v>
      </c>
      <c r="R227" s="36">
        <f>IF(B227="","",IFERROR(INDEX(Products!$X$5:$X$304,MATCH(B227,Products!$A$5:$A$304,0)),""))</f>
        <v>0</v>
      </c>
      <c r="S227" s="20">
        <f>IF(B227="","",IFERROR(INDEX(Products!$AR$5:$AR$304,MATCH(B227,Products!$A$5:$A$304,0)),""))</f>
        <v>0</v>
      </c>
      <c r="T227" s="41">
        <f>IF(B227="","",IFERROR(INDEX(SizeMaterialFactors,MATCH(E227,SizeNames,0)),1))</f>
        <v>0</v>
      </c>
      <c r="U227" s="41">
        <f>IF(B227="","",IFERROR(INDEX(SizeTimeFactors,MATCH(E227,SizeNames,0)),1))</f>
        <v>0</v>
      </c>
      <c r="V227" s="33">
        <f>IF(B227="","",IFERROR(INDEX(RushFactors,MATCH(H227,RushNames,0)),0))</f>
        <v>0</v>
      </c>
      <c r="W227" s="20">
        <f>IF(B227="","",ROUND(IF(O227="",0,O227)*T227+IF(F227="",0,F227),2))</f>
        <v>0</v>
      </c>
      <c r="X227" s="36">
        <f>IF(B227="","",ROUND(IF(R227="",0,R227)*U227+IF(G227="",0,G227),1))</f>
        <v>0</v>
      </c>
      <c r="Y227" s="20">
        <f>IF(B227="","",ROUND(IF(P227="",0,P227)*U227+IF(G227="",0,G227)/60*LaborCostHour,2))</f>
        <v>0</v>
      </c>
      <c r="Z227" s="20">
        <f>IF(B227="","",ROUND(W227+Y227+IF(Q227="",0,Q227),2))</f>
        <v>0</v>
      </c>
      <c r="AA227" s="33">
        <f>IF(B227="","",IFERROR(INDEX(Channels!$S$5:$S$18,MATCH(IF(J227="",DefaultChannel,J227),Channels!$A$5:$A$18,0)),0))</f>
        <v>0</v>
      </c>
      <c r="AB227" s="20">
        <f>IF(B227="","",IFERROR(INDEX(Channels!$T$5:$T$18,MATCH(IF(J227="",DefaultChannel,J227),Channels!$A$5:$A$18,0)),0))</f>
        <v>0</v>
      </c>
      <c r="AC227" s="41">
        <f>IF(B227="","",1-TargetRetailMargin-AA227)</f>
        <v>0</v>
      </c>
      <c r="AD227" s="20">
        <f>IF(B227="","",IF(AC227&lt;=0,"",((Z227+AB227)/AC227)*(1+V227)+IF(I227="",0,I227)))</f>
        <v>0</v>
      </c>
      <c r="AE227" s="20">
        <f>IF(B227="","",IF(AD227="","Check the settings",ROUND(IF(RoundingRule="None",AD227,IF(RoundingRule="Nearest 0.99",MAX(0.99,CEILING(AD227,1)-0.01),IF(RoundingRule="Nearest 0.95",MAX(0.95,CEILING(AD227,1)-0.05),IF(RoundingRule="Nearest 0.50",CEILING(AD227,0.5),IF(RoundingRule="Nearest 1",CEILING(AD227,1),IF(RoundingRule="Nearest 5",CEILING(AD227,5),IF(RoundingRule="Up to whole 1",CEILING(AD227,1),IF(RoundingRule="Up to whole 5",CEILING(AD227,5),ROUND(AD227,2))))))))),2)))</f>
        <v>0</v>
      </c>
      <c r="AF227" s="20">
        <f>IF(B227="","",IF(K227&lt;&gt;"",K227,IF(ISNUMBER(AE227),AE227,"")))</f>
        <v>0</v>
      </c>
      <c r="AG227" s="20">
        <f>IF(B227="","",IF(OR(AF227="",S227=""),"",ROUND(AF227-S227,2)))</f>
        <v>0</v>
      </c>
      <c r="AH227" s="20">
        <f>IF(B227="","",IF(AF227="","",ROUND(AF227*AA227+AB227,2)))</f>
        <v>0</v>
      </c>
      <c r="AI227" s="20">
        <f>IF(B227="","",IF(AF227="","",ROUND(AF227-Z227-AH227,2)))</f>
        <v>0</v>
      </c>
      <c r="AJ227" s="33">
        <f>IF(B227="","",IF(OR(AF227="",AF227=0),"",AI227/AF227))</f>
        <v>0</v>
      </c>
      <c r="AK227" s="20">
        <f>IF(B227="","",IF(OR(X227=0,X227="",AI227=""),"",ROUND((AI227+Y227)/(X227/60),2)))</f>
        <v>0</v>
      </c>
      <c r="AL227" s="43">
        <f>IF(B227="","",IF(N227="Not found","Check - no such product ID",IF(AF227="","Check - no price yet",IF(AI227&lt;0,"Loss - this version costs you money",IF(AND(AK227&lt;&gt;"",AK227&lt;MinimumWage),"Below - pays under minimum wage",IF(AND(G227&gt;0,AG227&lt;=0),"Check - extra work, no extra charge",IF(AJ227&lt;MarginWarning,"Low margin - re-price it","OK")))))))</f>
        <v>0</v>
      </c>
    </row>
    <row r="228" spans="1:38">
      <c r="A228" s="38">
        <f>IF(C228="","",VariationPrefix&amp;TEXT(ROW()-4,"0000"))</f>
        <v>0</v>
      </c>
      <c r="N228" s="13">
        <f>IF(B228="","",IFERROR(INDEX(Products!$B$5:$B$304,MATCH(B228,Products!$A$5:$A$304,0)),"Not found"))</f>
        <v>0</v>
      </c>
      <c r="O228" s="20">
        <f>IF(B228="","",IFERROR(INDEX(Products!$T$5:$T$304,MATCH(B228,Products!$A$5:$A$304,0)),""))</f>
        <v>0</v>
      </c>
      <c r="P228" s="20">
        <f>IF(B228="","",IFERROR(INDEX(Products!$Z$5:$Z$304,MATCH(B228,Products!$A$5:$A$304,0)),""))</f>
        <v>0</v>
      </c>
      <c r="Q228" s="20">
        <f>IF(B228="","",IFERROR(INDEX(Products!$AH$5:$AH$304,MATCH(B228,Products!$A$5:$A$304,0))-INDEX(Products!$T$5:$T$304,MATCH(B228,Products!$A$5:$A$304,0))-INDEX(Products!$Z$5:$Z$304,MATCH(B228,Products!$A$5:$A$304,0)),0))</f>
        <v>0</v>
      </c>
      <c r="R228" s="36">
        <f>IF(B228="","",IFERROR(INDEX(Products!$X$5:$X$304,MATCH(B228,Products!$A$5:$A$304,0)),""))</f>
        <v>0</v>
      </c>
      <c r="S228" s="20">
        <f>IF(B228="","",IFERROR(INDEX(Products!$AR$5:$AR$304,MATCH(B228,Products!$A$5:$A$304,0)),""))</f>
        <v>0</v>
      </c>
      <c r="T228" s="41">
        <f>IF(B228="","",IFERROR(INDEX(SizeMaterialFactors,MATCH(E228,SizeNames,0)),1))</f>
        <v>0</v>
      </c>
      <c r="U228" s="41">
        <f>IF(B228="","",IFERROR(INDEX(SizeTimeFactors,MATCH(E228,SizeNames,0)),1))</f>
        <v>0</v>
      </c>
      <c r="V228" s="33">
        <f>IF(B228="","",IFERROR(INDEX(RushFactors,MATCH(H228,RushNames,0)),0))</f>
        <v>0</v>
      </c>
      <c r="W228" s="20">
        <f>IF(B228="","",ROUND(IF(O228="",0,O228)*T228+IF(F228="",0,F228),2))</f>
        <v>0</v>
      </c>
      <c r="X228" s="36">
        <f>IF(B228="","",ROUND(IF(R228="",0,R228)*U228+IF(G228="",0,G228),1))</f>
        <v>0</v>
      </c>
      <c r="Y228" s="20">
        <f>IF(B228="","",ROUND(IF(P228="",0,P228)*U228+IF(G228="",0,G228)/60*LaborCostHour,2))</f>
        <v>0</v>
      </c>
      <c r="Z228" s="20">
        <f>IF(B228="","",ROUND(W228+Y228+IF(Q228="",0,Q228),2))</f>
        <v>0</v>
      </c>
      <c r="AA228" s="33">
        <f>IF(B228="","",IFERROR(INDEX(Channels!$S$5:$S$18,MATCH(IF(J228="",DefaultChannel,J228),Channels!$A$5:$A$18,0)),0))</f>
        <v>0</v>
      </c>
      <c r="AB228" s="20">
        <f>IF(B228="","",IFERROR(INDEX(Channels!$T$5:$T$18,MATCH(IF(J228="",DefaultChannel,J228),Channels!$A$5:$A$18,0)),0))</f>
        <v>0</v>
      </c>
      <c r="AC228" s="41">
        <f>IF(B228="","",1-TargetRetailMargin-AA228)</f>
        <v>0</v>
      </c>
      <c r="AD228" s="20">
        <f>IF(B228="","",IF(AC228&lt;=0,"",((Z228+AB228)/AC228)*(1+V228)+IF(I228="",0,I228)))</f>
        <v>0</v>
      </c>
      <c r="AE228" s="20">
        <f>IF(B228="","",IF(AD228="","Check the settings",ROUND(IF(RoundingRule="None",AD228,IF(RoundingRule="Nearest 0.99",MAX(0.99,CEILING(AD228,1)-0.01),IF(RoundingRule="Nearest 0.95",MAX(0.95,CEILING(AD228,1)-0.05),IF(RoundingRule="Nearest 0.50",CEILING(AD228,0.5),IF(RoundingRule="Nearest 1",CEILING(AD228,1),IF(RoundingRule="Nearest 5",CEILING(AD228,5),IF(RoundingRule="Up to whole 1",CEILING(AD228,1),IF(RoundingRule="Up to whole 5",CEILING(AD228,5),ROUND(AD228,2))))))))),2)))</f>
        <v>0</v>
      </c>
      <c r="AF228" s="20">
        <f>IF(B228="","",IF(K228&lt;&gt;"",K228,IF(ISNUMBER(AE228),AE228,"")))</f>
        <v>0</v>
      </c>
      <c r="AG228" s="20">
        <f>IF(B228="","",IF(OR(AF228="",S228=""),"",ROUND(AF228-S228,2)))</f>
        <v>0</v>
      </c>
      <c r="AH228" s="20">
        <f>IF(B228="","",IF(AF228="","",ROUND(AF228*AA228+AB228,2)))</f>
        <v>0</v>
      </c>
      <c r="AI228" s="20">
        <f>IF(B228="","",IF(AF228="","",ROUND(AF228-Z228-AH228,2)))</f>
        <v>0</v>
      </c>
      <c r="AJ228" s="33">
        <f>IF(B228="","",IF(OR(AF228="",AF228=0),"",AI228/AF228))</f>
        <v>0</v>
      </c>
      <c r="AK228" s="20">
        <f>IF(B228="","",IF(OR(X228=0,X228="",AI228=""),"",ROUND((AI228+Y228)/(X228/60),2)))</f>
        <v>0</v>
      </c>
      <c r="AL228" s="43">
        <f>IF(B228="","",IF(N228="Not found","Check - no such product ID",IF(AF228="","Check - no price yet",IF(AI228&lt;0,"Loss - this version costs you money",IF(AND(AK228&lt;&gt;"",AK228&lt;MinimumWage),"Below - pays under minimum wage",IF(AND(G228&gt;0,AG228&lt;=0),"Check - extra work, no extra charge",IF(AJ228&lt;MarginWarning,"Low margin - re-price it","OK")))))))</f>
        <v>0</v>
      </c>
    </row>
    <row r="229" spans="1:38">
      <c r="A229" s="38">
        <f>IF(C229="","",VariationPrefix&amp;TEXT(ROW()-4,"0000"))</f>
        <v>0</v>
      </c>
      <c r="N229" s="13">
        <f>IF(B229="","",IFERROR(INDEX(Products!$B$5:$B$304,MATCH(B229,Products!$A$5:$A$304,0)),"Not found"))</f>
        <v>0</v>
      </c>
      <c r="O229" s="20">
        <f>IF(B229="","",IFERROR(INDEX(Products!$T$5:$T$304,MATCH(B229,Products!$A$5:$A$304,0)),""))</f>
        <v>0</v>
      </c>
      <c r="P229" s="20">
        <f>IF(B229="","",IFERROR(INDEX(Products!$Z$5:$Z$304,MATCH(B229,Products!$A$5:$A$304,0)),""))</f>
        <v>0</v>
      </c>
      <c r="Q229" s="20">
        <f>IF(B229="","",IFERROR(INDEX(Products!$AH$5:$AH$304,MATCH(B229,Products!$A$5:$A$304,0))-INDEX(Products!$T$5:$T$304,MATCH(B229,Products!$A$5:$A$304,0))-INDEX(Products!$Z$5:$Z$304,MATCH(B229,Products!$A$5:$A$304,0)),0))</f>
        <v>0</v>
      </c>
      <c r="R229" s="36">
        <f>IF(B229="","",IFERROR(INDEX(Products!$X$5:$X$304,MATCH(B229,Products!$A$5:$A$304,0)),""))</f>
        <v>0</v>
      </c>
      <c r="S229" s="20">
        <f>IF(B229="","",IFERROR(INDEX(Products!$AR$5:$AR$304,MATCH(B229,Products!$A$5:$A$304,0)),""))</f>
        <v>0</v>
      </c>
      <c r="T229" s="41">
        <f>IF(B229="","",IFERROR(INDEX(SizeMaterialFactors,MATCH(E229,SizeNames,0)),1))</f>
        <v>0</v>
      </c>
      <c r="U229" s="41">
        <f>IF(B229="","",IFERROR(INDEX(SizeTimeFactors,MATCH(E229,SizeNames,0)),1))</f>
        <v>0</v>
      </c>
      <c r="V229" s="33">
        <f>IF(B229="","",IFERROR(INDEX(RushFactors,MATCH(H229,RushNames,0)),0))</f>
        <v>0</v>
      </c>
      <c r="W229" s="20">
        <f>IF(B229="","",ROUND(IF(O229="",0,O229)*T229+IF(F229="",0,F229),2))</f>
        <v>0</v>
      </c>
      <c r="X229" s="36">
        <f>IF(B229="","",ROUND(IF(R229="",0,R229)*U229+IF(G229="",0,G229),1))</f>
        <v>0</v>
      </c>
      <c r="Y229" s="20">
        <f>IF(B229="","",ROUND(IF(P229="",0,P229)*U229+IF(G229="",0,G229)/60*LaborCostHour,2))</f>
        <v>0</v>
      </c>
      <c r="Z229" s="20">
        <f>IF(B229="","",ROUND(W229+Y229+IF(Q229="",0,Q229),2))</f>
        <v>0</v>
      </c>
      <c r="AA229" s="33">
        <f>IF(B229="","",IFERROR(INDEX(Channels!$S$5:$S$18,MATCH(IF(J229="",DefaultChannel,J229),Channels!$A$5:$A$18,0)),0))</f>
        <v>0</v>
      </c>
      <c r="AB229" s="20">
        <f>IF(B229="","",IFERROR(INDEX(Channels!$T$5:$T$18,MATCH(IF(J229="",DefaultChannel,J229),Channels!$A$5:$A$18,0)),0))</f>
        <v>0</v>
      </c>
      <c r="AC229" s="41">
        <f>IF(B229="","",1-TargetRetailMargin-AA229)</f>
        <v>0</v>
      </c>
      <c r="AD229" s="20">
        <f>IF(B229="","",IF(AC229&lt;=0,"",((Z229+AB229)/AC229)*(1+V229)+IF(I229="",0,I229)))</f>
        <v>0</v>
      </c>
      <c r="AE229" s="20">
        <f>IF(B229="","",IF(AD229="","Check the settings",ROUND(IF(RoundingRule="None",AD229,IF(RoundingRule="Nearest 0.99",MAX(0.99,CEILING(AD229,1)-0.01),IF(RoundingRule="Nearest 0.95",MAX(0.95,CEILING(AD229,1)-0.05),IF(RoundingRule="Nearest 0.50",CEILING(AD229,0.5),IF(RoundingRule="Nearest 1",CEILING(AD229,1),IF(RoundingRule="Nearest 5",CEILING(AD229,5),IF(RoundingRule="Up to whole 1",CEILING(AD229,1),IF(RoundingRule="Up to whole 5",CEILING(AD229,5),ROUND(AD229,2))))))))),2)))</f>
        <v>0</v>
      </c>
      <c r="AF229" s="20">
        <f>IF(B229="","",IF(K229&lt;&gt;"",K229,IF(ISNUMBER(AE229),AE229,"")))</f>
        <v>0</v>
      </c>
      <c r="AG229" s="20">
        <f>IF(B229="","",IF(OR(AF229="",S229=""),"",ROUND(AF229-S229,2)))</f>
        <v>0</v>
      </c>
      <c r="AH229" s="20">
        <f>IF(B229="","",IF(AF229="","",ROUND(AF229*AA229+AB229,2)))</f>
        <v>0</v>
      </c>
      <c r="AI229" s="20">
        <f>IF(B229="","",IF(AF229="","",ROUND(AF229-Z229-AH229,2)))</f>
        <v>0</v>
      </c>
      <c r="AJ229" s="33">
        <f>IF(B229="","",IF(OR(AF229="",AF229=0),"",AI229/AF229))</f>
        <v>0</v>
      </c>
      <c r="AK229" s="20">
        <f>IF(B229="","",IF(OR(X229=0,X229="",AI229=""),"",ROUND((AI229+Y229)/(X229/60),2)))</f>
        <v>0</v>
      </c>
      <c r="AL229" s="43">
        <f>IF(B229="","",IF(N229="Not found","Check - no such product ID",IF(AF229="","Check - no price yet",IF(AI229&lt;0,"Loss - this version costs you money",IF(AND(AK229&lt;&gt;"",AK229&lt;MinimumWage),"Below - pays under minimum wage",IF(AND(G229&gt;0,AG229&lt;=0),"Check - extra work, no extra charge",IF(AJ229&lt;MarginWarning,"Low margin - re-price it","OK")))))))</f>
        <v>0</v>
      </c>
    </row>
    <row r="230" spans="1:38">
      <c r="A230" s="38">
        <f>IF(C230="","",VariationPrefix&amp;TEXT(ROW()-4,"0000"))</f>
        <v>0</v>
      </c>
      <c r="N230" s="13">
        <f>IF(B230="","",IFERROR(INDEX(Products!$B$5:$B$304,MATCH(B230,Products!$A$5:$A$304,0)),"Not found"))</f>
        <v>0</v>
      </c>
      <c r="O230" s="20">
        <f>IF(B230="","",IFERROR(INDEX(Products!$T$5:$T$304,MATCH(B230,Products!$A$5:$A$304,0)),""))</f>
        <v>0</v>
      </c>
      <c r="P230" s="20">
        <f>IF(B230="","",IFERROR(INDEX(Products!$Z$5:$Z$304,MATCH(B230,Products!$A$5:$A$304,0)),""))</f>
        <v>0</v>
      </c>
      <c r="Q230" s="20">
        <f>IF(B230="","",IFERROR(INDEX(Products!$AH$5:$AH$304,MATCH(B230,Products!$A$5:$A$304,0))-INDEX(Products!$T$5:$T$304,MATCH(B230,Products!$A$5:$A$304,0))-INDEX(Products!$Z$5:$Z$304,MATCH(B230,Products!$A$5:$A$304,0)),0))</f>
        <v>0</v>
      </c>
      <c r="R230" s="36">
        <f>IF(B230="","",IFERROR(INDEX(Products!$X$5:$X$304,MATCH(B230,Products!$A$5:$A$304,0)),""))</f>
        <v>0</v>
      </c>
      <c r="S230" s="20">
        <f>IF(B230="","",IFERROR(INDEX(Products!$AR$5:$AR$304,MATCH(B230,Products!$A$5:$A$304,0)),""))</f>
        <v>0</v>
      </c>
      <c r="T230" s="41">
        <f>IF(B230="","",IFERROR(INDEX(SizeMaterialFactors,MATCH(E230,SizeNames,0)),1))</f>
        <v>0</v>
      </c>
      <c r="U230" s="41">
        <f>IF(B230="","",IFERROR(INDEX(SizeTimeFactors,MATCH(E230,SizeNames,0)),1))</f>
        <v>0</v>
      </c>
      <c r="V230" s="33">
        <f>IF(B230="","",IFERROR(INDEX(RushFactors,MATCH(H230,RushNames,0)),0))</f>
        <v>0</v>
      </c>
      <c r="W230" s="20">
        <f>IF(B230="","",ROUND(IF(O230="",0,O230)*T230+IF(F230="",0,F230),2))</f>
        <v>0</v>
      </c>
      <c r="X230" s="36">
        <f>IF(B230="","",ROUND(IF(R230="",0,R230)*U230+IF(G230="",0,G230),1))</f>
        <v>0</v>
      </c>
      <c r="Y230" s="20">
        <f>IF(B230="","",ROUND(IF(P230="",0,P230)*U230+IF(G230="",0,G230)/60*LaborCostHour,2))</f>
        <v>0</v>
      </c>
      <c r="Z230" s="20">
        <f>IF(B230="","",ROUND(W230+Y230+IF(Q230="",0,Q230),2))</f>
        <v>0</v>
      </c>
      <c r="AA230" s="33">
        <f>IF(B230="","",IFERROR(INDEX(Channels!$S$5:$S$18,MATCH(IF(J230="",DefaultChannel,J230),Channels!$A$5:$A$18,0)),0))</f>
        <v>0</v>
      </c>
      <c r="AB230" s="20">
        <f>IF(B230="","",IFERROR(INDEX(Channels!$T$5:$T$18,MATCH(IF(J230="",DefaultChannel,J230),Channels!$A$5:$A$18,0)),0))</f>
        <v>0</v>
      </c>
      <c r="AC230" s="41">
        <f>IF(B230="","",1-TargetRetailMargin-AA230)</f>
        <v>0</v>
      </c>
      <c r="AD230" s="20">
        <f>IF(B230="","",IF(AC230&lt;=0,"",((Z230+AB230)/AC230)*(1+V230)+IF(I230="",0,I230)))</f>
        <v>0</v>
      </c>
      <c r="AE230" s="20">
        <f>IF(B230="","",IF(AD230="","Check the settings",ROUND(IF(RoundingRule="None",AD230,IF(RoundingRule="Nearest 0.99",MAX(0.99,CEILING(AD230,1)-0.01),IF(RoundingRule="Nearest 0.95",MAX(0.95,CEILING(AD230,1)-0.05),IF(RoundingRule="Nearest 0.50",CEILING(AD230,0.5),IF(RoundingRule="Nearest 1",CEILING(AD230,1),IF(RoundingRule="Nearest 5",CEILING(AD230,5),IF(RoundingRule="Up to whole 1",CEILING(AD230,1),IF(RoundingRule="Up to whole 5",CEILING(AD230,5),ROUND(AD230,2))))))))),2)))</f>
        <v>0</v>
      </c>
      <c r="AF230" s="20">
        <f>IF(B230="","",IF(K230&lt;&gt;"",K230,IF(ISNUMBER(AE230),AE230,"")))</f>
        <v>0</v>
      </c>
      <c r="AG230" s="20">
        <f>IF(B230="","",IF(OR(AF230="",S230=""),"",ROUND(AF230-S230,2)))</f>
        <v>0</v>
      </c>
      <c r="AH230" s="20">
        <f>IF(B230="","",IF(AF230="","",ROUND(AF230*AA230+AB230,2)))</f>
        <v>0</v>
      </c>
      <c r="AI230" s="20">
        <f>IF(B230="","",IF(AF230="","",ROUND(AF230-Z230-AH230,2)))</f>
        <v>0</v>
      </c>
      <c r="AJ230" s="33">
        <f>IF(B230="","",IF(OR(AF230="",AF230=0),"",AI230/AF230))</f>
        <v>0</v>
      </c>
      <c r="AK230" s="20">
        <f>IF(B230="","",IF(OR(X230=0,X230="",AI230=""),"",ROUND((AI230+Y230)/(X230/60),2)))</f>
        <v>0</v>
      </c>
      <c r="AL230" s="43">
        <f>IF(B230="","",IF(N230="Not found","Check - no such product ID",IF(AF230="","Check - no price yet",IF(AI230&lt;0,"Loss - this version costs you money",IF(AND(AK230&lt;&gt;"",AK230&lt;MinimumWage),"Below - pays under minimum wage",IF(AND(G230&gt;0,AG230&lt;=0),"Check - extra work, no extra charge",IF(AJ230&lt;MarginWarning,"Low margin - re-price it","OK")))))))</f>
        <v>0</v>
      </c>
    </row>
    <row r="231" spans="1:38">
      <c r="A231" s="38">
        <f>IF(C231="","",VariationPrefix&amp;TEXT(ROW()-4,"0000"))</f>
        <v>0</v>
      </c>
      <c r="N231" s="13">
        <f>IF(B231="","",IFERROR(INDEX(Products!$B$5:$B$304,MATCH(B231,Products!$A$5:$A$304,0)),"Not found"))</f>
        <v>0</v>
      </c>
      <c r="O231" s="20">
        <f>IF(B231="","",IFERROR(INDEX(Products!$T$5:$T$304,MATCH(B231,Products!$A$5:$A$304,0)),""))</f>
        <v>0</v>
      </c>
      <c r="P231" s="20">
        <f>IF(B231="","",IFERROR(INDEX(Products!$Z$5:$Z$304,MATCH(B231,Products!$A$5:$A$304,0)),""))</f>
        <v>0</v>
      </c>
      <c r="Q231" s="20">
        <f>IF(B231="","",IFERROR(INDEX(Products!$AH$5:$AH$304,MATCH(B231,Products!$A$5:$A$304,0))-INDEX(Products!$T$5:$T$304,MATCH(B231,Products!$A$5:$A$304,0))-INDEX(Products!$Z$5:$Z$304,MATCH(B231,Products!$A$5:$A$304,0)),0))</f>
        <v>0</v>
      </c>
      <c r="R231" s="36">
        <f>IF(B231="","",IFERROR(INDEX(Products!$X$5:$X$304,MATCH(B231,Products!$A$5:$A$304,0)),""))</f>
        <v>0</v>
      </c>
      <c r="S231" s="20">
        <f>IF(B231="","",IFERROR(INDEX(Products!$AR$5:$AR$304,MATCH(B231,Products!$A$5:$A$304,0)),""))</f>
        <v>0</v>
      </c>
      <c r="T231" s="41">
        <f>IF(B231="","",IFERROR(INDEX(SizeMaterialFactors,MATCH(E231,SizeNames,0)),1))</f>
        <v>0</v>
      </c>
      <c r="U231" s="41">
        <f>IF(B231="","",IFERROR(INDEX(SizeTimeFactors,MATCH(E231,SizeNames,0)),1))</f>
        <v>0</v>
      </c>
      <c r="V231" s="33">
        <f>IF(B231="","",IFERROR(INDEX(RushFactors,MATCH(H231,RushNames,0)),0))</f>
        <v>0</v>
      </c>
      <c r="W231" s="20">
        <f>IF(B231="","",ROUND(IF(O231="",0,O231)*T231+IF(F231="",0,F231),2))</f>
        <v>0</v>
      </c>
      <c r="X231" s="36">
        <f>IF(B231="","",ROUND(IF(R231="",0,R231)*U231+IF(G231="",0,G231),1))</f>
        <v>0</v>
      </c>
      <c r="Y231" s="20">
        <f>IF(B231="","",ROUND(IF(P231="",0,P231)*U231+IF(G231="",0,G231)/60*LaborCostHour,2))</f>
        <v>0</v>
      </c>
      <c r="Z231" s="20">
        <f>IF(B231="","",ROUND(W231+Y231+IF(Q231="",0,Q231),2))</f>
        <v>0</v>
      </c>
      <c r="AA231" s="33">
        <f>IF(B231="","",IFERROR(INDEX(Channels!$S$5:$S$18,MATCH(IF(J231="",DefaultChannel,J231),Channels!$A$5:$A$18,0)),0))</f>
        <v>0</v>
      </c>
      <c r="AB231" s="20">
        <f>IF(B231="","",IFERROR(INDEX(Channels!$T$5:$T$18,MATCH(IF(J231="",DefaultChannel,J231),Channels!$A$5:$A$18,0)),0))</f>
        <v>0</v>
      </c>
      <c r="AC231" s="41">
        <f>IF(B231="","",1-TargetRetailMargin-AA231)</f>
        <v>0</v>
      </c>
      <c r="AD231" s="20">
        <f>IF(B231="","",IF(AC231&lt;=0,"",((Z231+AB231)/AC231)*(1+V231)+IF(I231="",0,I231)))</f>
        <v>0</v>
      </c>
      <c r="AE231" s="20">
        <f>IF(B231="","",IF(AD231="","Check the settings",ROUND(IF(RoundingRule="None",AD231,IF(RoundingRule="Nearest 0.99",MAX(0.99,CEILING(AD231,1)-0.01),IF(RoundingRule="Nearest 0.95",MAX(0.95,CEILING(AD231,1)-0.05),IF(RoundingRule="Nearest 0.50",CEILING(AD231,0.5),IF(RoundingRule="Nearest 1",CEILING(AD231,1),IF(RoundingRule="Nearest 5",CEILING(AD231,5),IF(RoundingRule="Up to whole 1",CEILING(AD231,1),IF(RoundingRule="Up to whole 5",CEILING(AD231,5),ROUND(AD231,2))))))))),2)))</f>
        <v>0</v>
      </c>
      <c r="AF231" s="20">
        <f>IF(B231="","",IF(K231&lt;&gt;"",K231,IF(ISNUMBER(AE231),AE231,"")))</f>
        <v>0</v>
      </c>
      <c r="AG231" s="20">
        <f>IF(B231="","",IF(OR(AF231="",S231=""),"",ROUND(AF231-S231,2)))</f>
        <v>0</v>
      </c>
      <c r="AH231" s="20">
        <f>IF(B231="","",IF(AF231="","",ROUND(AF231*AA231+AB231,2)))</f>
        <v>0</v>
      </c>
      <c r="AI231" s="20">
        <f>IF(B231="","",IF(AF231="","",ROUND(AF231-Z231-AH231,2)))</f>
        <v>0</v>
      </c>
      <c r="AJ231" s="33">
        <f>IF(B231="","",IF(OR(AF231="",AF231=0),"",AI231/AF231))</f>
        <v>0</v>
      </c>
      <c r="AK231" s="20">
        <f>IF(B231="","",IF(OR(X231=0,X231="",AI231=""),"",ROUND((AI231+Y231)/(X231/60),2)))</f>
        <v>0</v>
      </c>
      <c r="AL231" s="43">
        <f>IF(B231="","",IF(N231="Not found","Check - no such product ID",IF(AF231="","Check - no price yet",IF(AI231&lt;0,"Loss - this version costs you money",IF(AND(AK231&lt;&gt;"",AK231&lt;MinimumWage),"Below - pays under minimum wage",IF(AND(G231&gt;0,AG231&lt;=0),"Check - extra work, no extra charge",IF(AJ231&lt;MarginWarning,"Low margin - re-price it","OK")))))))</f>
        <v>0</v>
      </c>
    </row>
    <row r="232" spans="1:38">
      <c r="A232" s="38">
        <f>IF(C232="","",VariationPrefix&amp;TEXT(ROW()-4,"0000"))</f>
        <v>0</v>
      </c>
      <c r="N232" s="13">
        <f>IF(B232="","",IFERROR(INDEX(Products!$B$5:$B$304,MATCH(B232,Products!$A$5:$A$304,0)),"Not found"))</f>
        <v>0</v>
      </c>
      <c r="O232" s="20">
        <f>IF(B232="","",IFERROR(INDEX(Products!$T$5:$T$304,MATCH(B232,Products!$A$5:$A$304,0)),""))</f>
        <v>0</v>
      </c>
      <c r="P232" s="20">
        <f>IF(B232="","",IFERROR(INDEX(Products!$Z$5:$Z$304,MATCH(B232,Products!$A$5:$A$304,0)),""))</f>
        <v>0</v>
      </c>
      <c r="Q232" s="20">
        <f>IF(B232="","",IFERROR(INDEX(Products!$AH$5:$AH$304,MATCH(B232,Products!$A$5:$A$304,0))-INDEX(Products!$T$5:$T$304,MATCH(B232,Products!$A$5:$A$304,0))-INDEX(Products!$Z$5:$Z$304,MATCH(B232,Products!$A$5:$A$304,0)),0))</f>
        <v>0</v>
      </c>
      <c r="R232" s="36">
        <f>IF(B232="","",IFERROR(INDEX(Products!$X$5:$X$304,MATCH(B232,Products!$A$5:$A$304,0)),""))</f>
        <v>0</v>
      </c>
      <c r="S232" s="20">
        <f>IF(B232="","",IFERROR(INDEX(Products!$AR$5:$AR$304,MATCH(B232,Products!$A$5:$A$304,0)),""))</f>
        <v>0</v>
      </c>
      <c r="T232" s="41">
        <f>IF(B232="","",IFERROR(INDEX(SizeMaterialFactors,MATCH(E232,SizeNames,0)),1))</f>
        <v>0</v>
      </c>
      <c r="U232" s="41">
        <f>IF(B232="","",IFERROR(INDEX(SizeTimeFactors,MATCH(E232,SizeNames,0)),1))</f>
        <v>0</v>
      </c>
      <c r="V232" s="33">
        <f>IF(B232="","",IFERROR(INDEX(RushFactors,MATCH(H232,RushNames,0)),0))</f>
        <v>0</v>
      </c>
      <c r="W232" s="20">
        <f>IF(B232="","",ROUND(IF(O232="",0,O232)*T232+IF(F232="",0,F232),2))</f>
        <v>0</v>
      </c>
      <c r="X232" s="36">
        <f>IF(B232="","",ROUND(IF(R232="",0,R232)*U232+IF(G232="",0,G232),1))</f>
        <v>0</v>
      </c>
      <c r="Y232" s="20">
        <f>IF(B232="","",ROUND(IF(P232="",0,P232)*U232+IF(G232="",0,G232)/60*LaborCostHour,2))</f>
        <v>0</v>
      </c>
      <c r="Z232" s="20">
        <f>IF(B232="","",ROUND(W232+Y232+IF(Q232="",0,Q232),2))</f>
        <v>0</v>
      </c>
      <c r="AA232" s="33">
        <f>IF(B232="","",IFERROR(INDEX(Channels!$S$5:$S$18,MATCH(IF(J232="",DefaultChannel,J232),Channels!$A$5:$A$18,0)),0))</f>
        <v>0</v>
      </c>
      <c r="AB232" s="20">
        <f>IF(B232="","",IFERROR(INDEX(Channels!$T$5:$T$18,MATCH(IF(J232="",DefaultChannel,J232),Channels!$A$5:$A$18,0)),0))</f>
        <v>0</v>
      </c>
      <c r="AC232" s="41">
        <f>IF(B232="","",1-TargetRetailMargin-AA232)</f>
        <v>0</v>
      </c>
      <c r="AD232" s="20">
        <f>IF(B232="","",IF(AC232&lt;=0,"",((Z232+AB232)/AC232)*(1+V232)+IF(I232="",0,I232)))</f>
        <v>0</v>
      </c>
      <c r="AE232" s="20">
        <f>IF(B232="","",IF(AD232="","Check the settings",ROUND(IF(RoundingRule="None",AD232,IF(RoundingRule="Nearest 0.99",MAX(0.99,CEILING(AD232,1)-0.01),IF(RoundingRule="Nearest 0.95",MAX(0.95,CEILING(AD232,1)-0.05),IF(RoundingRule="Nearest 0.50",CEILING(AD232,0.5),IF(RoundingRule="Nearest 1",CEILING(AD232,1),IF(RoundingRule="Nearest 5",CEILING(AD232,5),IF(RoundingRule="Up to whole 1",CEILING(AD232,1),IF(RoundingRule="Up to whole 5",CEILING(AD232,5),ROUND(AD232,2))))))))),2)))</f>
        <v>0</v>
      </c>
      <c r="AF232" s="20">
        <f>IF(B232="","",IF(K232&lt;&gt;"",K232,IF(ISNUMBER(AE232),AE232,"")))</f>
        <v>0</v>
      </c>
      <c r="AG232" s="20">
        <f>IF(B232="","",IF(OR(AF232="",S232=""),"",ROUND(AF232-S232,2)))</f>
        <v>0</v>
      </c>
      <c r="AH232" s="20">
        <f>IF(B232="","",IF(AF232="","",ROUND(AF232*AA232+AB232,2)))</f>
        <v>0</v>
      </c>
      <c r="AI232" s="20">
        <f>IF(B232="","",IF(AF232="","",ROUND(AF232-Z232-AH232,2)))</f>
        <v>0</v>
      </c>
      <c r="AJ232" s="33">
        <f>IF(B232="","",IF(OR(AF232="",AF232=0),"",AI232/AF232))</f>
        <v>0</v>
      </c>
      <c r="AK232" s="20">
        <f>IF(B232="","",IF(OR(X232=0,X232="",AI232=""),"",ROUND((AI232+Y232)/(X232/60),2)))</f>
        <v>0</v>
      </c>
      <c r="AL232" s="43">
        <f>IF(B232="","",IF(N232="Not found","Check - no such product ID",IF(AF232="","Check - no price yet",IF(AI232&lt;0,"Loss - this version costs you money",IF(AND(AK232&lt;&gt;"",AK232&lt;MinimumWage),"Below - pays under minimum wage",IF(AND(G232&gt;0,AG232&lt;=0),"Check - extra work, no extra charge",IF(AJ232&lt;MarginWarning,"Low margin - re-price it","OK")))))))</f>
        <v>0</v>
      </c>
    </row>
    <row r="233" spans="1:38">
      <c r="A233" s="38">
        <f>IF(C233="","",VariationPrefix&amp;TEXT(ROW()-4,"0000"))</f>
        <v>0</v>
      </c>
      <c r="N233" s="13">
        <f>IF(B233="","",IFERROR(INDEX(Products!$B$5:$B$304,MATCH(B233,Products!$A$5:$A$304,0)),"Not found"))</f>
        <v>0</v>
      </c>
      <c r="O233" s="20">
        <f>IF(B233="","",IFERROR(INDEX(Products!$T$5:$T$304,MATCH(B233,Products!$A$5:$A$304,0)),""))</f>
        <v>0</v>
      </c>
      <c r="P233" s="20">
        <f>IF(B233="","",IFERROR(INDEX(Products!$Z$5:$Z$304,MATCH(B233,Products!$A$5:$A$304,0)),""))</f>
        <v>0</v>
      </c>
      <c r="Q233" s="20">
        <f>IF(B233="","",IFERROR(INDEX(Products!$AH$5:$AH$304,MATCH(B233,Products!$A$5:$A$304,0))-INDEX(Products!$T$5:$T$304,MATCH(B233,Products!$A$5:$A$304,0))-INDEX(Products!$Z$5:$Z$304,MATCH(B233,Products!$A$5:$A$304,0)),0))</f>
        <v>0</v>
      </c>
      <c r="R233" s="36">
        <f>IF(B233="","",IFERROR(INDEX(Products!$X$5:$X$304,MATCH(B233,Products!$A$5:$A$304,0)),""))</f>
        <v>0</v>
      </c>
      <c r="S233" s="20">
        <f>IF(B233="","",IFERROR(INDEX(Products!$AR$5:$AR$304,MATCH(B233,Products!$A$5:$A$304,0)),""))</f>
        <v>0</v>
      </c>
      <c r="T233" s="41">
        <f>IF(B233="","",IFERROR(INDEX(SizeMaterialFactors,MATCH(E233,SizeNames,0)),1))</f>
        <v>0</v>
      </c>
      <c r="U233" s="41">
        <f>IF(B233="","",IFERROR(INDEX(SizeTimeFactors,MATCH(E233,SizeNames,0)),1))</f>
        <v>0</v>
      </c>
      <c r="V233" s="33">
        <f>IF(B233="","",IFERROR(INDEX(RushFactors,MATCH(H233,RushNames,0)),0))</f>
        <v>0</v>
      </c>
      <c r="W233" s="20">
        <f>IF(B233="","",ROUND(IF(O233="",0,O233)*T233+IF(F233="",0,F233),2))</f>
        <v>0</v>
      </c>
      <c r="X233" s="36">
        <f>IF(B233="","",ROUND(IF(R233="",0,R233)*U233+IF(G233="",0,G233),1))</f>
        <v>0</v>
      </c>
      <c r="Y233" s="20">
        <f>IF(B233="","",ROUND(IF(P233="",0,P233)*U233+IF(G233="",0,G233)/60*LaborCostHour,2))</f>
        <v>0</v>
      </c>
      <c r="Z233" s="20">
        <f>IF(B233="","",ROUND(W233+Y233+IF(Q233="",0,Q233),2))</f>
        <v>0</v>
      </c>
      <c r="AA233" s="33">
        <f>IF(B233="","",IFERROR(INDEX(Channels!$S$5:$S$18,MATCH(IF(J233="",DefaultChannel,J233),Channels!$A$5:$A$18,0)),0))</f>
        <v>0</v>
      </c>
      <c r="AB233" s="20">
        <f>IF(B233="","",IFERROR(INDEX(Channels!$T$5:$T$18,MATCH(IF(J233="",DefaultChannel,J233),Channels!$A$5:$A$18,0)),0))</f>
        <v>0</v>
      </c>
      <c r="AC233" s="41">
        <f>IF(B233="","",1-TargetRetailMargin-AA233)</f>
        <v>0</v>
      </c>
      <c r="AD233" s="20">
        <f>IF(B233="","",IF(AC233&lt;=0,"",((Z233+AB233)/AC233)*(1+V233)+IF(I233="",0,I233)))</f>
        <v>0</v>
      </c>
      <c r="AE233" s="20">
        <f>IF(B233="","",IF(AD233="","Check the settings",ROUND(IF(RoundingRule="None",AD233,IF(RoundingRule="Nearest 0.99",MAX(0.99,CEILING(AD233,1)-0.01),IF(RoundingRule="Nearest 0.95",MAX(0.95,CEILING(AD233,1)-0.05),IF(RoundingRule="Nearest 0.50",CEILING(AD233,0.5),IF(RoundingRule="Nearest 1",CEILING(AD233,1),IF(RoundingRule="Nearest 5",CEILING(AD233,5),IF(RoundingRule="Up to whole 1",CEILING(AD233,1),IF(RoundingRule="Up to whole 5",CEILING(AD233,5),ROUND(AD233,2))))))))),2)))</f>
        <v>0</v>
      </c>
      <c r="AF233" s="20">
        <f>IF(B233="","",IF(K233&lt;&gt;"",K233,IF(ISNUMBER(AE233),AE233,"")))</f>
        <v>0</v>
      </c>
      <c r="AG233" s="20">
        <f>IF(B233="","",IF(OR(AF233="",S233=""),"",ROUND(AF233-S233,2)))</f>
        <v>0</v>
      </c>
      <c r="AH233" s="20">
        <f>IF(B233="","",IF(AF233="","",ROUND(AF233*AA233+AB233,2)))</f>
        <v>0</v>
      </c>
      <c r="AI233" s="20">
        <f>IF(B233="","",IF(AF233="","",ROUND(AF233-Z233-AH233,2)))</f>
        <v>0</v>
      </c>
      <c r="AJ233" s="33">
        <f>IF(B233="","",IF(OR(AF233="",AF233=0),"",AI233/AF233))</f>
        <v>0</v>
      </c>
      <c r="AK233" s="20">
        <f>IF(B233="","",IF(OR(X233=0,X233="",AI233=""),"",ROUND((AI233+Y233)/(X233/60),2)))</f>
        <v>0</v>
      </c>
      <c r="AL233" s="43">
        <f>IF(B233="","",IF(N233="Not found","Check - no such product ID",IF(AF233="","Check - no price yet",IF(AI233&lt;0,"Loss - this version costs you money",IF(AND(AK233&lt;&gt;"",AK233&lt;MinimumWage),"Below - pays under minimum wage",IF(AND(G233&gt;0,AG233&lt;=0),"Check - extra work, no extra charge",IF(AJ233&lt;MarginWarning,"Low margin - re-price it","OK")))))))</f>
        <v>0</v>
      </c>
    </row>
    <row r="234" spans="1:38">
      <c r="A234" s="38">
        <f>IF(C234="","",VariationPrefix&amp;TEXT(ROW()-4,"0000"))</f>
        <v>0</v>
      </c>
      <c r="N234" s="13">
        <f>IF(B234="","",IFERROR(INDEX(Products!$B$5:$B$304,MATCH(B234,Products!$A$5:$A$304,0)),"Not found"))</f>
        <v>0</v>
      </c>
      <c r="O234" s="20">
        <f>IF(B234="","",IFERROR(INDEX(Products!$T$5:$T$304,MATCH(B234,Products!$A$5:$A$304,0)),""))</f>
        <v>0</v>
      </c>
      <c r="P234" s="20">
        <f>IF(B234="","",IFERROR(INDEX(Products!$Z$5:$Z$304,MATCH(B234,Products!$A$5:$A$304,0)),""))</f>
        <v>0</v>
      </c>
      <c r="Q234" s="20">
        <f>IF(B234="","",IFERROR(INDEX(Products!$AH$5:$AH$304,MATCH(B234,Products!$A$5:$A$304,0))-INDEX(Products!$T$5:$T$304,MATCH(B234,Products!$A$5:$A$304,0))-INDEX(Products!$Z$5:$Z$304,MATCH(B234,Products!$A$5:$A$304,0)),0))</f>
        <v>0</v>
      </c>
      <c r="R234" s="36">
        <f>IF(B234="","",IFERROR(INDEX(Products!$X$5:$X$304,MATCH(B234,Products!$A$5:$A$304,0)),""))</f>
        <v>0</v>
      </c>
      <c r="S234" s="20">
        <f>IF(B234="","",IFERROR(INDEX(Products!$AR$5:$AR$304,MATCH(B234,Products!$A$5:$A$304,0)),""))</f>
        <v>0</v>
      </c>
      <c r="T234" s="41">
        <f>IF(B234="","",IFERROR(INDEX(SizeMaterialFactors,MATCH(E234,SizeNames,0)),1))</f>
        <v>0</v>
      </c>
      <c r="U234" s="41">
        <f>IF(B234="","",IFERROR(INDEX(SizeTimeFactors,MATCH(E234,SizeNames,0)),1))</f>
        <v>0</v>
      </c>
      <c r="V234" s="33">
        <f>IF(B234="","",IFERROR(INDEX(RushFactors,MATCH(H234,RushNames,0)),0))</f>
        <v>0</v>
      </c>
      <c r="W234" s="20">
        <f>IF(B234="","",ROUND(IF(O234="",0,O234)*T234+IF(F234="",0,F234),2))</f>
        <v>0</v>
      </c>
      <c r="X234" s="36">
        <f>IF(B234="","",ROUND(IF(R234="",0,R234)*U234+IF(G234="",0,G234),1))</f>
        <v>0</v>
      </c>
      <c r="Y234" s="20">
        <f>IF(B234="","",ROUND(IF(P234="",0,P234)*U234+IF(G234="",0,G234)/60*LaborCostHour,2))</f>
        <v>0</v>
      </c>
      <c r="Z234" s="20">
        <f>IF(B234="","",ROUND(W234+Y234+IF(Q234="",0,Q234),2))</f>
        <v>0</v>
      </c>
      <c r="AA234" s="33">
        <f>IF(B234="","",IFERROR(INDEX(Channels!$S$5:$S$18,MATCH(IF(J234="",DefaultChannel,J234),Channels!$A$5:$A$18,0)),0))</f>
        <v>0</v>
      </c>
      <c r="AB234" s="20">
        <f>IF(B234="","",IFERROR(INDEX(Channels!$T$5:$T$18,MATCH(IF(J234="",DefaultChannel,J234),Channels!$A$5:$A$18,0)),0))</f>
        <v>0</v>
      </c>
      <c r="AC234" s="41">
        <f>IF(B234="","",1-TargetRetailMargin-AA234)</f>
        <v>0</v>
      </c>
      <c r="AD234" s="20">
        <f>IF(B234="","",IF(AC234&lt;=0,"",((Z234+AB234)/AC234)*(1+V234)+IF(I234="",0,I234)))</f>
        <v>0</v>
      </c>
      <c r="AE234" s="20">
        <f>IF(B234="","",IF(AD234="","Check the settings",ROUND(IF(RoundingRule="None",AD234,IF(RoundingRule="Nearest 0.99",MAX(0.99,CEILING(AD234,1)-0.01),IF(RoundingRule="Nearest 0.95",MAX(0.95,CEILING(AD234,1)-0.05),IF(RoundingRule="Nearest 0.50",CEILING(AD234,0.5),IF(RoundingRule="Nearest 1",CEILING(AD234,1),IF(RoundingRule="Nearest 5",CEILING(AD234,5),IF(RoundingRule="Up to whole 1",CEILING(AD234,1),IF(RoundingRule="Up to whole 5",CEILING(AD234,5),ROUND(AD234,2))))))))),2)))</f>
        <v>0</v>
      </c>
      <c r="AF234" s="20">
        <f>IF(B234="","",IF(K234&lt;&gt;"",K234,IF(ISNUMBER(AE234),AE234,"")))</f>
        <v>0</v>
      </c>
      <c r="AG234" s="20">
        <f>IF(B234="","",IF(OR(AF234="",S234=""),"",ROUND(AF234-S234,2)))</f>
        <v>0</v>
      </c>
      <c r="AH234" s="20">
        <f>IF(B234="","",IF(AF234="","",ROUND(AF234*AA234+AB234,2)))</f>
        <v>0</v>
      </c>
      <c r="AI234" s="20">
        <f>IF(B234="","",IF(AF234="","",ROUND(AF234-Z234-AH234,2)))</f>
        <v>0</v>
      </c>
      <c r="AJ234" s="33">
        <f>IF(B234="","",IF(OR(AF234="",AF234=0),"",AI234/AF234))</f>
        <v>0</v>
      </c>
      <c r="AK234" s="20">
        <f>IF(B234="","",IF(OR(X234=0,X234="",AI234=""),"",ROUND((AI234+Y234)/(X234/60),2)))</f>
        <v>0</v>
      </c>
      <c r="AL234" s="43">
        <f>IF(B234="","",IF(N234="Not found","Check - no such product ID",IF(AF234="","Check - no price yet",IF(AI234&lt;0,"Loss - this version costs you money",IF(AND(AK234&lt;&gt;"",AK234&lt;MinimumWage),"Below - pays under minimum wage",IF(AND(G234&gt;0,AG234&lt;=0),"Check - extra work, no extra charge",IF(AJ234&lt;MarginWarning,"Low margin - re-price it","OK")))))))</f>
        <v>0</v>
      </c>
    </row>
    <row r="235" spans="1:38">
      <c r="A235" s="38">
        <f>IF(C235="","",VariationPrefix&amp;TEXT(ROW()-4,"0000"))</f>
        <v>0</v>
      </c>
      <c r="N235" s="13">
        <f>IF(B235="","",IFERROR(INDEX(Products!$B$5:$B$304,MATCH(B235,Products!$A$5:$A$304,0)),"Not found"))</f>
        <v>0</v>
      </c>
      <c r="O235" s="20">
        <f>IF(B235="","",IFERROR(INDEX(Products!$T$5:$T$304,MATCH(B235,Products!$A$5:$A$304,0)),""))</f>
        <v>0</v>
      </c>
      <c r="P235" s="20">
        <f>IF(B235="","",IFERROR(INDEX(Products!$Z$5:$Z$304,MATCH(B235,Products!$A$5:$A$304,0)),""))</f>
        <v>0</v>
      </c>
      <c r="Q235" s="20">
        <f>IF(B235="","",IFERROR(INDEX(Products!$AH$5:$AH$304,MATCH(B235,Products!$A$5:$A$304,0))-INDEX(Products!$T$5:$T$304,MATCH(B235,Products!$A$5:$A$304,0))-INDEX(Products!$Z$5:$Z$304,MATCH(B235,Products!$A$5:$A$304,0)),0))</f>
        <v>0</v>
      </c>
      <c r="R235" s="36">
        <f>IF(B235="","",IFERROR(INDEX(Products!$X$5:$X$304,MATCH(B235,Products!$A$5:$A$304,0)),""))</f>
        <v>0</v>
      </c>
      <c r="S235" s="20">
        <f>IF(B235="","",IFERROR(INDEX(Products!$AR$5:$AR$304,MATCH(B235,Products!$A$5:$A$304,0)),""))</f>
        <v>0</v>
      </c>
      <c r="T235" s="41">
        <f>IF(B235="","",IFERROR(INDEX(SizeMaterialFactors,MATCH(E235,SizeNames,0)),1))</f>
        <v>0</v>
      </c>
      <c r="U235" s="41">
        <f>IF(B235="","",IFERROR(INDEX(SizeTimeFactors,MATCH(E235,SizeNames,0)),1))</f>
        <v>0</v>
      </c>
      <c r="V235" s="33">
        <f>IF(B235="","",IFERROR(INDEX(RushFactors,MATCH(H235,RushNames,0)),0))</f>
        <v>0</v>
      </c>
      <c r="W235" s="20">
        <f>IF(B235="","",ROUND(IF(O235="",0,O235)*T235+IF(F235="",0,F235),2))</f>
        <v>0</v>
      </c>
      <c r="X235" s="36">
        <f>IF(B235="","",ROUND(IF(R235="",0,R235)*U235+IF(G235="",0,G235),1))</f>
        <v>0</v>
      </c>
      <c r="Y235" s="20">
        <f>IF(B235="","",ROUND(IF(P235="",0,P235)*U235+IF(G235="",0,G235)/60*LaborCostHour,2))</f>
        <v>0</v>
      </c>
      <c r="Z235" s="20">
        <f>IF(B235="","",ROUND(W235+Y235+IF(Q235="",0,Q235),2))</f>
        <v>0</v>
      </c>
      <c r="AA235" s="33">
        <f>IF(B235="","",IFERROR(INDEX(Channels!$S$5:$S$18,MATCH(IF(J235="",DefaultChannel,J235),Channels!$A$5:$A$18,0)),0))</f>
        <v>0</v>
      </c>
      <c r="AB235" s="20">
        <f>IF(B235="","",IFERROR(INDEX(Channels!$T$5:$T$18,MATCH(IF(J235="",DefaultChannel,J235),Channels!$A$5:$A$18,0)),0))</f>
        <v>0</v>
      </c>
      <c r="AC235" s="41">
        <f>IF(B235="","",1-TargetRetailMargin-AA235)</f>
        <v>0</v>
      </c>
      <c r="AD235" s="20">
        <f>IF(B235="","",IF(AC235&lt;=0,"",((Z235+AB235)/AC235)*(1+V235)+IF(I235="",0,I235)))</f>
        <v>0</v>
      </c>
      <c r="AE235" s="20">
        <f>IF(B235="","",IF(AD235="","Check the settings",ROUND(IF(RoundingRule="None",AD235,IF(RoundingRule="Nearest 0.99",MAX(0.99,CEILING(AD235,1)-0.01),IF(RoundingRule="Nearest 0.95",MAX(0.95,CEILING(AD235,1)-0.05),IF(RoundingRule="Nearest 0.50",CEILING(AD235,0.5),IF(RoundingRule="Nearest 1",CEILING(AD235,1),IF(RoundingRule="Nearest 5",CEILING(AD235,5),IF(RoundingRule="Up to whole 1",CEILING(AD235,1),IF(RoundingRule="Up to whole 5",CEILING(AD235,5),ROUND(AD235,2))))))))),2)))</f>
        <v>0</v>
      </c>
      <c r="AF235" s="20">
        <f>IF(B235="","",IF(K235&lt;&gt;"",K235,IF(ISNUMBER(AE235),AE235,"")))</f>
        <v>0</v>
      </c>
      <c r="AG235" s="20">
        <f>IF(B235="","",IF(OR(AF235="",S235=""),"",ROUND(AF235-S235,2)))</f>
        <v>0</v>
      </c>
      <c r="AH235" s="20">
        <f>IF(B235="","",IF(AF235="","",ROUND(AF235*AA235+AB235,2)))</f>
        <v>0</v>
      </c>
      <c r="AI235" s="20">
        <f>IF(B235="","",IF(AF235="","",ROUND(AF235-Z235-AH235,2)))</f>
        <v>0</v>
      </c>
      <c r="AJ235" s="33">
        <f>IF(B235="","",IF(OR(AF235="",AF235=0),"",AI235/AF235))</f>
        <v>0</v>
      </c>
      <c r="AK235" s="20">
        <f>IF(B235="","",IF(OR(X235=0,X235="",AI235=""),"",ROUND((AI235+Y235)/(X235/60),2)))</f>
        <v>0</v>
      </c>
      <c r="AL235" s="43">
        <f>IF(B235="","",IF(N235="Not found","Check - no such product ID",IF(AF235="","Check - no price yet",IF(AI235&lt;0,"Loss - this version costs you money",IF(AND(AK235&lt;&gt;"",AK235&lt;MinimumWage),"Below - pays under minimum wage",IF(AND(G235&gt;0,AG235&lt;=0),"Check - extra work, no extra charge",IF(AJ235&lt;MarginWarning,"Low margin - re-price it","OK")))))))</f>
        <v>0</v>
      </c>
    </row>
    <row r="236" spans="1:38">
      <c r="A236" s="38">
        <f>IF(C236="","",VariationPrefix&amp;TEXT(ROW()-4,"0000"))</f>
        <v>0</v>
      </c>
      <c r="N236" s="13">
        <f>IF(B236="","",IFERROR(INDEX(Products!$B$5:$B$304,MATCH(B236,Products!$A$5:$A$304,0)),"Not found"))</f>
        <v>0</v>
      </c>
      <c r="O236" s="20">
        <f>IF(B236="","",IFERROR(INDEX(Products!$T$5:$T$304,MATCH(B236,Products!$A$5:$A$304,0)),""))</f>
        <v>0</v>
      </c>
      <c r="P236" s="20">
        <f>IF(B236="","",IFERROR(INDEX(Products!$Z$5:$Z$304,MATCH(B236,Products!$A$5:$A$304,0)),""))</f>
        <v>0</v>
      </c>
      <c r="Q236" s="20">
        <f>IF(B236="","",IFERROR(INDEX(Products!$AH$5:$AH$304,MATCH(B236,Products!$A$5:$A$304,0))-INDEX(Products!$T$5:$T$304,MATCH(B236,Products!$A$5:$A$304,0))-INDEX(Products!$Z$5:$Z$304,MATCH(B236,Products!$A$5:$A$304,0)),0))</f>
        <v>0</v>
      </c>
      <c r="R236" s="36">
        <f>IF(B236="","",IFERROR(INDEX(Products!$X$5:$X$304,MATCH(B236,Products!$A$5:$A$304,0)),""))</f>
        <v>0</v>
      </c>
      <c r="S236" s="20">
        <f>IF(B236="","",IFERROR(INDEX(Products!$AR$5:$AR$304,MATCH(B236,Products!$A$5:$A$304,0)),""))</f>
        <v>0</v>
      </c>
      <c r="T236" s="41">
        <f>IF(B236="","",IFERROR(INDEX(SizeMaterialFactors,MATCH(E236,SizeNames,0)),1))</f>
        <v>0</v>
      </c>
      <c r="U236" s="41">
        <f>IF(B236="","",IFERROR(INDEX(SizeTimeFactors,MATCH(E236,SizeNames,0)),1))</f>
        <v>0</v>
      </c>
      <c r="V236" s="33">
        <f>IF(B236="","",IFERROR(INDEX(RushFactors,MATCH(H236,RushNames,0)),0))</f>
        <v>0</v>
      </c>
      <c r="W236" s="20">
        <f>IF(B236="","",ROUND(IF(O236="",0,O236)*T236+IF(F236="",0,F236),2))</f>
        <v>0</v>
      </c>
      <c r="X236" s="36">
        <f>IF(B236="","",ROUND(IF(R236="",0,R236)*U236+IF(G236="",0,G236),1))</f>
        <v>0</v>
      </c>
      <c r="Y236" s="20">
        <f>IF(B236="","",ROUND(IF(P236="",0,P236)*U236+IF(G236="",0,G236)/60*LaborCostHour,2))</f>
        <v>0</v>
      </c>
      <c r="Z236" s="20">
        <f>IF(B236="","",ROUND(W236+Y236+IF(Q236="",0,Q236),2))</f>
        <v>0</v>
      </c>
      <c r="AA236" s="33">
        <f>IF(B236="","",IFERROR(INDEX(Channels!$S$5:$S$18,MATCH(IF(J236="",DefaultChannel,J236),Channels!$A$5:$A$18,0)),0))</f>
        <v>0</v>
      </c>
      <c r="AB236" s="20">
        <f>IF(B236="","",IFERROR(INDEX(Channels!$T$5:$T$18,MATCH(IF(J236="",DefaultChannel,J236),Channels!$A$5:$A$18,0)),0))</f>
        <v>0</v>
      </c>
      <c r="AC236" s="41">
        <f>IF(B236="","",1-TargetRetailMargin-AA236)</f>
        <v>0</v>
      </c>
      <c r="AD236" s="20">
        <f>IF(B236="","",IF(AC236&lt;=0,"",((Z236+AB236)/AC236)*(1+V236)+IF(I236="",0,I236)))</f>
        <v>0</v>
      </c>
      <c r="AE236" s="20">
        <f>IF(B236="","",IF(AD236="","Check the settings",ROUND(IF(RoundingRule="None",AD236,IF(RoundingRule="Nearest 0.99",MAX(0.99,CEILING(AD236,1)-0.01),IF(RoundingRule="Nearest 0.95",MAX(0.95,CEILING(AD236,1)-0.05),IF(RoundingRule="Nearest 0.50",CEILING(AD236,0.5),IF(RoundingRule="Nearest 1",CEILING(AD236,1),IF(RoundingRule="Nearest 5",CEILING(AD236,5),IF(RoundingRule="Up to whole 1",CEILING(AD236,1),IF(RoundingRule="Up to whole 5",CEILING(AD236,5),ROUND(AD236,2))))))))),2)))</f>
        <v>0</v>
      </c>
      <c r="AF236" s="20">
        <f>IF(B236="","",IF(K236&lt;&gt;"",K236,IF(ISNUMBER(AE236),AE236,"")))</f>
        <v>0</v>
      </c>
      <c r="AG236" s="20">
        <f>IF(B236="","",IF(OR(AF236="",S236=""),"",ROUND(AF236-S236,2)))</f>
        <v>0</v>
      </c>
      <c r="AH236" s="20">
        <f>IF(B236="","",IF(AF236="","",ROUND(AF236*AA236+AB236,2)))</f>
        <v>0</v>
      </c>
      <c r="AI236" s="20">
        <f>IF(B236="","",IF(AF236="","",ROUND(AF236-Z236-AH236,2)))</f>
        <v>0</v>
      </c>
      <c r="AJ236" s="33">
        <f>IF(B236="","",IF(OR(AF236="",AF236=0),"",AI236/AF236))</f>
        <v>0</v>
      </c>
      <c r="AK236" s="20">
        <f>IF(B236="","",IF(OR(X236=0,X236="",AI236=""),"",ROUND((AI236+Y236)/(X236/60),2)))</f>
        <v>0</v>
      </c>
      <c r="AL236" s="43">
        <f>IF(B236="","",IF(N236="Not found","Check - no such product ID",IF(AF236="","Check - no price yet",IF(AI236&lt;0,"Loss - this version costs you money",IF(AND(AK236&lt;&gt;"",AK236&lt;MinimumWage),"Below - pays under minimum wage",IF(AND(G236&gt;0,AG236&lt;=0),"Check - extra work, no extra charge",IF(AJ236&lt;MarginWarning,"Low margin - re-price it","OK")))))))</f>
        <v>0</v>
      </c>
    </row>
    <row r="237" spans="1:38">
      <c r="A237" s="38">
        <f>IF(C237="","",VariationPrefix&amp;TEXT(ROW()-4,"0000"))</f>
        <v>0</v>
      </c>
      <c r="N237" s="13">
        <f>IF(B237="","",IFERROR(INDEX(Products!$B$5:$B$304,MATCH(B237,Products!$A$5:$A$304,0)),"Not found"))</f>
        <v>0</v>
      </c>
      <c r="O237" s="20">
        <f>IF(B237="","",IFERROR(INDEX(Products!$T$5:$T$304,MATCH(B237,Products!$A$5:$A$304,0)),""))</f>
        <v>0</v>
      </c>
      <c r="P237" s="20">
        <f>IF(B237="","",IFERROR(INDEX(Products!$Z$5:$Z$304,MATCH(B237,Products!$A$5:$A$304,0)),""))</f>
        <v>0</v>
      </c>
      <c r="Q237" s="20">
        <f>IF(B237="","",IFERROR(INDEX(Products!$AH$5:$AH$304,MATCH(B237,Products!$A$5:$A$304,0))-INDEX(Products!$T$5:$T$304,MATCH(B237,Products!$A$5:$A$304,0))-INDEX(Products!$Z$5:$Z$304,MATCH(B237,Products!$A$5:$A$304,0)),0))</f>
        <v>0</v>
      </c>
      <c r="R237" s="36">
        <f>IF(B237="","",IFERROR(INDEX(Products!$X$5:$X$304,MATCH(B237,Products!$A$5:$A$304,0)),""))</f>
        <v>0</v>
      </c>
      <c r="S237" s="20">
        <f>IF(B237="","",IFERROR(INDEX(Products!$AR$5:$AR$304,MATCH(B237,Products!$A$5:$A$304,0)),""))</f>
        <v>0</v>
      </c>
      <c r="T237" s="41">
        <f>IF(B237="","",IFERROR(INDEX(SizeMaterialFactors,MATCH(E237,SizeNames,0)),1))</f>
        <v>0</v>
      </c>
      <c r="U237" s="41">
        <f>IF(B237="","",IFERROR(INDEX(SizeTimeFactors,MATCH(E237,SizeNames,0)),1))</f>
        <v>0</v>
      </c>
      <c r="V237" s="33">
        <f>IF(B237="","",IFERROR(INDEX(RushFactors,MATCH(H237,RushNames,0)),0))</f>
        <v>0</v>
      </c>
      <c r="W237" s="20">
        <f>IF(B237="","",ROUND(IF(O237="",0,O237)*T237+IF(F237="",0,F237),2))</f>
        <v>0</v>
      </c>
      <c r="X237" s="36">
        <f>IF(B237="","",ROUND(IF(R237="",0,R237)*U237+IF(G237="",0,G237),1))</f>
        <v>0</v>
      </c>
      <c r="Y237" s="20">
        <f>IF(B237="","",ROUND(IF(P237="",0,P237)*U237+IF(G237="",0,G237)/60*LaborCostHour,2))</f>
        <v>0</v>
      </c>
      <c r="Z237" s="20">
        <f>IF(B237="","",ROUND(W237+Y237+IF(Q237="",0,Q237),2))</f>
        <v>0</v>
      </c>
      <c r="AA237" s="33">
        <f>IF(B237="","",IFERROR(INDEX(Channels!$S$5:$S$18,MATCH(IF(J237="",DefaultChannel,J237),Channels!$A$5:$A$18,0)),0))</f>
        <v>0</v>
      </c>
      <c r="AB237" s="20">
        <f>IF(B237="","",IFERROR(INDEX(Channels!$T$5:$T$18,MATCH(IF(J237="",DefaultChannel,J237),Channels!$A$5:$A$18,0)),0))</f>
        <v>0</v>
      </c>
      <c r="AC237" s="41">
        <f>IF(B237="","",1-TargetRetailMargin-AA237)</f>
        <v>0</v>
      </c>
      <c r="AD237" s="20">
        <f>IF(B237="","",IF(AC237&lt;=0,"",((Z237+AB237)/AC237)*(1+V237)+IF(I237="",0,I237)))</f>
        <v>0</v>
      </c>
      <c r="AE237" s="20">
        <f>IF(B237="","",IF(AD237="","Check the settings",ROUND(IF(RoundingRule="None",AD237,IF(RoundingRule="Nearest 0.99",MAX(0.99,CEILING(AD237,1)-0.01),IF(RoundingRule="Nearest 0.95",MAX(0.95,CEILING(AD237,1)-0.05),IF(RoundingRule="Nearest 0.50",CEILING(AD237,0.5),IF(RoundingRule="Nearest 1",CEILING(AD237,1),IF(RoundingRule="Nearest 5",CEILING(AD237,5),IF(RoundingRule="Up to whole 1",CEILING(AD237,1),IF(RoundingRule="Up to whole 5",CEILING(AD237,5),ROUND(AD237,2))))))))),2)))</f>
        <v>0</v>
      </c>
      <c r="AF237" s="20">
        <f>IF(B237="","",IF(K237&lt;&gt;"",K237,IF(ISNUMBER(AE237),AE237,"")))</f>
        <v>0</v>
      </c>
      <c r="AG237" s="20">
        <f>IF(B237="","",IF(OR(AF237="",S237=""),"",ROUND(AF237-S237,2)))</f>
        <v>0</v>
      </c>
      <c r="AH237" s="20">
        <f>IF(B237="","",IF(AF237="","",ROUND(AF237*AA237+AB237,2)))</f>
        <v>0</v>
      </c>
      <c r="AI237" s="20">
        <f>IF(B237="","",IF(AF237="","",ROUND(AF237-Z237-AH237,2)))</f>
        <v>0</v>
      </c>
      <c r="AJ237" s="33">
        <f>IF(B237="","",IF(OR(AF237="",AF237=0),"",AI237/AF237))</f>
        <v>0</v>
      </c>
      <c r="AK237" s="20">
        <f>IF(B237="","",IF(OR(X237=0,X237="",AI237=""),"",ROUND((AI237+Y237)/(X237/60),2)))</f>
        <v>0</v>
      </c>
      <c r="AL237" s="43">
        <f>IF(B237="","",IF(N237="Not found","Check - no such product ID",IF(AF237="","Check - no price yet",IF(AI237&lt;0,"Loss - this version costs you money",IF(AND(AK237&lt;&gt;"",AK237&lt;MinimumWage),"Below - pays under minimum wage",IF(AND(G237&gt;0,AG237&lt;=0),"Check - extra work, no extra charge",IF(AJ237&lt;MarginWarning,"Low margin - re-price it","OK")))))))</f>
        <v>0</v>
      </c>
    </row>
    <row r="238" spans="1:38">
      <c r="A238" s="38">
        <f>IF(C238="","",VariationPrefix&amp;TEXT(ROW()-4,"0000"))</f>
        <v>0</v>
      </c>
      <c r="N238" s="13">
        <f>IF(B238="","",IFERROR(INDEX(Products!$B$5:$B$304,MATCH(B238,Products!$A$5:$A$304,0)),"Not found"))</f>
        <v>0</v>
      </c>
      <c r="O238" s="20">
        <f>IF(B238="","",IFERROR(INDEX(Products!$T$5:$T$304,MATCH(B238,Products!$A$5:$A$304,0)),""))</f>
        <v>0</v>
      </c>
      <c r="P238" s="20">
        <f>IF(B238="","",IFERROR(INDEX(Products!$Z$5:$Z$304,MATCH(B238,Products!$A$5:$A$304,0)),""))</f>
        <v>0</v>
      </c>
      <c r="Q238" s="20">
        <f>IF(B238="","",IFERROR(INDEX(Products!$AH$5:$AH$304,MATCH(B238,Products!$A$5:$A$304,0))-INDEX(Products!$T$5:$T$304,MATCH(B238,Products!$A$5:$A$304,0))-INDEX(Products!$Z$5:$Z$304,MATCH(B238,Products!$A$5:$A$304,0)),0))</f>
        <v>0</v>
      </c>
      <c r="R238" s="36">
        <f>IF(B238="","",IFERROR(INDEX(Products!$X$5:$X$304,MATCH(B238,Products!$A$5:$A$304,0)),""))</f>
        <v>0</v>
      </c>
      <c r="S238" s="20">
        <f>IF(B238="","",IFERROR(INDEX(Products!$AR$5:$AR$304,MATCH(B238,Products!$A$5:$A$304,0)),""))</f>
        <v>0</v>
      </c>
      <c r="T238" s="41">
        <f>IF(B238="","",IFERROR(INDEX(SizeMaterialFactors,MATCH(E238,SizeNames,0)),1))</f>
        <v>0</v>
      </c>
      <c r="U238" s="41">
        <f>IF(B238="","",IFERROR(INDEX(SizeTimeFactors,MATCH(E238,SizeNames,0)),1))</f>
        <v>0</v>
      </c>
      <c r="V238" s="33">
        <f>IF(B238="","",IFERROR(INDEX(RushFactors,MATCH(H238,RushNames,0)),0))</f>
        <v>0</v>
      </c>
      <c r="W238" s="20">
        <f>IF(B238="","",ROUND(IF(O238="",0,O238)*T238+IF(F238="",0,F238),2))</f>
        <v>0</v>
      </c>
      <c r="X238" s="36">
        <f>IF(B238="","",ROUND(IF(R238="",0,R238)*U238+IF(G238="",0,G238),1))</f>
        <v>0</v>
      </c>
      <c r="Y238" s="20">
        <f>IF(B238="","",ROUND(IF(P238="",0,P238)*U238+IF(G238="",0,G238)/60*LaborCostHour,2))</f>
        <v>0</v>
      </c>
      <c r="Z238" s="20">
        <f>IF(B238="","",ROUND(W238+Y238+IF(Q238="",0,Q238),2))</f>
        <v>0</v>
      </c>
      <c r="AA238" s="33">
        <f>IF(B238="","",IFERROR(INDEX(Channels!$S$5:$S$18,MATCH(IF(J238="",DefaultChannel,J238),Channels!$A$5:$A$18,0)),0))</f>
        <v>0</v>
      </c>
      <c r="AB238" s="20">
        <f>IF(B238="","",IFERROR(INDEX(Channels!$T$5:$T$18,MATCH(IF(J238="",DefaultChannel,J238),Channels!$A$5:$A$18,0)),0))</f>
        <v>0</v>
      </c>
      <c r="AC238" s="41">
        <f>IF(B238="","",1-TargetRetailMargin-AA238)</f>
        <v>0</v>
      </c>
      <c r="AD238" s="20">
        <f>IF(B238="","",IF(AC238&lt;=0,"",((Z238+AB238)/AC238)*(1+V238)+IF(I238="",0,I238)))</f>
        <v>0</v>
      </c>
      <c r="AE238" s="20">
        <f>IF(B238="","",IF(AD238="","Check the settings",ROUND(IF(RoundingRule="None",AD238,IF(RoundingRule="Nearest 0.99",MAX(0.99,CEILING(AD238,1)-0.01),IF(RoundingRule="Nearest 0.95",MAX(0.95,CEILING(AD238,1)-0.05),IF(RoundingRule="Nearest 0.50",CEILING(AD238,0.5),IF(RoundingRule="Nearest 1",CEILING(AD238,1),IF(RoundingRule="Nearest 5",CEILING(AD238,5),IF(RoundingRule="Up to whole 1",CEILING(AD238,1),IF(RoundingRule="Up to whole 5",CEILING(AD238,5),ROUND(AD238,2))))))))),2)))</f>
        <v>0</v>
      </c>
      <c r="AF238" s="20">
        <f>IF(B238="","",IF(K238&lt;&gt;"",K238,IF(ISNUMBER(AE238),AE238,"")))</f>
        <v>0</v>
      </c>
      <c r="AG238" s="20">
        <f>IF(B238="","",IF(OR(AF238="",S238=""),"",ROUND(AF238-S238,2)))</f>
        <v>0</v>
      </c>
      <c r="AH238" s="20">
        <f>IF(B238="","",IF(AF238="","",ROUND(AF238*AA238+AB238,2)))</f>
        <v>0</v>
      </c>
      <c r="AI238" s="20">
        <f>IF(B238="","",IF(AF238="","",ROUND(AF238-Z238-AH238,2)))</f>
        <v>0</v>
      </c>
      <c r="AJ238" s="33">
        <f>IF(B238="","",IF(OR(AF238="",AF238=0),"",AI238/AF238))</f>
        <v>0</v>
      </c>
      <c r="AK238" s="20">
        <f>IF(B238="","",IF(OR(X238=0,X238="",AI238=""),"",ROUND((AI238+Y238)/(X238/60),2)))</f>
        <v>0</v>
      </c>
      <c r="AL238" s="43">
        <f>IF(B238="","",IF(N238="Not found","Check - no such product ID",IF(AF238="","Check - no price yet",IF(AI238&lt;0,"Loss - this version costs you money",IF(AND(AK238&lt;&gt;"",AK238&lt;MinimumWage),"Below - pays under minimum wage",IF(AND(G238&gt;0,AG238&lt;=0),"Check - extra work, no extra charge",IF(AJ238&lt;MarginWarning,"Low margin - re-price it","OK")))))))</f>
        <v>0</v>
      </c>
    </row>
    <row r="239" spans="1:38">
      <c r="A239" s="38">
        <f>IF(C239="","",VariationPrefix&amp;TEXT(ROW()-4,"0000"))</f>
        <v>0</v>
      </c>
      <c r="N239" s="13">
        <f>IF(B239="","",IFERROR(INDEX(Products!$B$5:$B$304,MATCH(B239,Products!$A$5:$A$304,0)),"Not found"))</f>
        <v>0</v>
      </c>
      <c r="O239" s="20">
        <f>IF(B239="","",IFERROR(INDEX(Products!$T$5:$T$304,MATCH(B239,Products!$A$5:$A$304,0)),""))</f>
        <v>0</v>
      </c>
      <c r="P239" s="20">
        <f>IF(B239="","",IFERROR(INDEX(Products!$Z$5:$Z$304,MATCH(B239,Products!$A$5:$A$304,0)),""))</f>
        <v>0</v>
      </c>
      <c r="Q239" s="20">
        <f>IF(B239="","",IFERROR(INDEX(Products!$AH$5:$AH$304,MATCH(B239,Products!$A$5:$A$304,0))-INDEX(Products!$T$5:$T$304,MATCH(B239,Products!$A$5:$A$304,0))-INDEX(Products!$Z$5:$Z$304,MATCH(B239,Products!$A$5:$A$304,0)),0))</f>
        <v>0</v>
      </c>
      <c r="R239" s="36">
        <f>IF(B239="","",IFERROR(INDEX(Products!$X$5:$X$304,MATCH(B239,Products!$A$5:$A$304,0)),""))</f>
        <v>0</v>
      </c>
      <c r="S239" s="20">
        <f>IF(B239="","",IFERROR(INDEX(Products!$AR$5:$AR$304,MATCH(B239,Products!$A$5:$A$304,0)),""))</f>
        <v>0</v>
      </c>
      <c r="T239" s="41">
        <f>IF(B239="","",IFERROR(INDEX(SizeMaterialFactors,MATCH(E239,SizeNames,0)),1))</f>
        <v>0</v>
      </c>
      <c r="U239" s="41">
        <f>IF(B239="","",IFERROR(INDEX(SizeTimeFactors,MATCH(E239,SizeNames,0)),1))</f>
        <v>0</v>
      </c>
      <c r="V239" s="33">
        <f>IF(B239="","",IFERROR(INDEX(RushFactors,MATCH(H239,RushNames,0)),0))</f>
        <v>0</v>
      </c>
      <c r="W239" s="20">
        <f>IF(B239="","",ROUND(IF(O239="",0,O239)*T239+IF(F239="",0,F239),2))</f>
        <v>0</v>
      </c>
      <c r="X239" s="36">
        <f>IF(B239="","",ROUND(IF(R239="",0,R239)*U239+IF(G239="",0,G239),1))</f>
        <v>0</v>
      </c>
      <c r="Y239" s="20">
        <f>IF(B239="","",ROUND(IF(P239="",0,P239)*U239+IF(G239="",0,G239)/60*LaborCostHour,2))</f>
        <v>0</v>
      </c>
      <c r="Z239" s="20">
        <f>IF(B239="","",ROUND(W239+Y239+IF(Q239="",0,Q239),2))</f>
        <v>0</v>
      </c>
      <c r="AA239" s="33">
        <f>IF(B239="","",IFERROR(INDEX(Channels!$S$5:$S$18,MATCH(IF(J239="",DefaultChannel,J239),Channels!$A$5:$A$18,0)),0))</f>
        <v>0</v>
      </c>
      <c r="AB239" s="20">
        <f>IF(B239="","",IFERROR(INDEX(Channels!$T$5:$T$18,MATCH(IF(J239="",DefaultChannel,J239),Channels!$A$5:$A$18,0)),0))</f>
        <v>0</v>
      </c>
      <c r="AC239" s="41">
        <f>IF(B239="","",1-TargetRetailMargin-AA239)</f>
        <v>0</v>
      </c>
      <c r="AD239" s="20">
        <f>IF(B239="","",IF(AC239&lt;=0,"",((Z239+AB239)/AC239)*(1+V239)+IF(I239="",0,I239)))</f>
        <v>0</v>
      </c>
      <c r="AE239" s="20">
        <f>IF(B239="","",IF(AD239="","Check the settings",ROUND(IF(RoundingRule="None",AD239,IF(RoundingRule="Nearest 0.99",MAX(0.99,CEILING(AD239,1)-0.01),IF(RoundingRule="Nearest 0.95",MAX(0.95,CEILING(AD239,1)-0.05),IF(RoundingRule="Nearest 0.50",CEILING(AD239,0.5),IF(RoundingRule="Nearest 1",CEILING(AD239,1),IF(RoundingRule="Nearest 5",CEILING(AD239,5),IF(RoundingRule="Up to whole 1",CEILING(AD239,1),IF(RoundingRule="Up to whole 5",CEILING(AD239,5),ROUND(AD239,2))))))))),2)))</f>
        <v>0</v>
      </c>
      <c r="AF239" s="20">
        <f>IF(B239="","",IF(K239&lt;&gt;"",K239,IF(ISNUMBER(AE239),AE239,"")))</f>
        <v>0</v>
      </c>
      <c r="AG239" s="20">
        <f>IF(B239="","",IF(OR(AF239="",S239=""),"",ROUND(AF239-S239,2)))</f>
        <v>0</v>
      </c>
      <c r="AH239" s="20">
        <f>IF(B239="","",IF(AF239="","",ROUND(AF239*AA239+AB239,2)))</f>
        <v>0</v>
      </c>
      <c r="AI239" s="20">
        <f>IF(B239="","",IF(AF239="","",ROUND(AF239-Z239-AH239,2)))</f>
        <v>0</v>
      </c>
      <c r="AJ239" s="33">
        <f>IF(B239="","",IF(OR(AF239="",AF239=0),"",AI239/AF239))</f>
        <v>0</v>
      </c>
      <c r="AK239" s="20">
        <f>IF(B239="","",IF(OR(X239=0,X239="",AI239=""),"",ROUND((AI239+Y239)/(X239/60),2)))</f>
        <v>0</v>
      </c>
      <c r="AL239" s="43">
        <f>IF(B239="","",IF(N239="Not found","Check - no such product ID",IF(AF239="","Check - no price yet",IF(AI239&lt;0,"Loss - this version costs you money",IF(AND(AK239&lt;&gt;"",AK239&lt;MinimumWage),"Below - pays under minimum wage",IF(AND(G239&gt;0,AG239&lt;=0),"Check - extra work, no extra charge",IF(AJ239&lt;MarginWarning,"Low margin - re-price it","OK")))))))</f>
        <v>0</v>
      </c>
    </row>
    <row r="240" spans="1:38">
      <c r="A240" s="38">
        <f>IF(C240="","",VariationPrefix&amp;TEXT(ROW()-4,"0000"))</f>
        <v>0</v>
      </c>
      <c r="N240" s="13">
        <f>IF(B240="","",IFERROR(INDEX(Products!$B$5:$B$304,MATCH(B240,Products!$A$5:$A$304,0)),"Not found"))</f>
        <v>0</v>
      </c>
      <c r="O240" s="20">
        <f>IF(B240="","",IFERROR(INDEX(Products!$T$5:$T$304,MATCH(B240,Products!$A$5:$A$304,0)),""))</f>
        <v>0</v>
      </c>
      <c r="P240" s="20">
        <f>IF(B240="","",IFERROR(INDEX(Products!$Z$5:$Z$304,MATCH(B240,Products!$A$5:$A$304,0)),""))</f>
        <v>0</v>
      </c>
      <c r="Q240" s="20">
        <f>IF(B240="","",IFERROR(INDEX(Products!$AH$5:$AH$304,MATCH(B240,Products!$A$5:$A$304,0))-INDEX(Products!$T$5:$T$304,MATCH(B240,Products!$A$5:$A$304,0))-INDEX(Products!$Z$5:$Z$304,MATCH(B240,Products!$A$5:$A$304,0)),0))</f>
        <v>0</v>
      </c>
      <c r="R240" s="36">
        <f>IF(B240="","",IFERROR(INDEX(Products!$X$5:$X$304,MATCH(B240,Products!$A$5:$A$304,0)),""))</f>
        <v>0</v>
      </c>
      <c r="S240" s="20">
        <f>IF(B240="","",IFERROR(INDEX(Products!$AR$5:$AR$304,MATCH(B240,Products!$A$5:$A$304,0)),""))</f>
        <v>0</v>
      </c>
      <c r="T240" s="41">
        <f>IF(B240="","",IFERROR(INDEX(SizeMaterialFactors,MATCH(E240,SizeNames,0)),1))</f>
        <v>0</v>
      </c>
      <c r="U240" s="41">
        <f>IF(B240="","",IFERROR(INDEX(SizeTimeFactors,MATCH(E240,SizeNames,0)),1))</f>
        <v>0</v>
      </c>
      <c r="V240" s="33">
        <f>IF(B240="","",IFERROR(INDEX(RushFactors,MATCH(H240,RushNames,0)),0))</f>
        <v>0</v>
      </c>
      <c r="W240" s="20">
        <f>IF(B240="","",ROUND(IF(O240="",0,O240)*T240+IF(F240="",0,F240),2))</f>
        <v>0</v>
      </c>
      <c r="X240" s="36">
        <f>IF(B240="","",ROUND(IF(R240="",0,R240)*U240+IF(G240="",0,G240),1))</f>
        <v>0</v>
      </c>
      <c r="Y240" s="20">
        <f>IF(B240="","",ROUND(IF(P240="",0,P240)*U240+IF(G240="",0,G240)/60*LaborCostHour,2))</f>
        <v>0</v>
      </c>
      <c r="Z240" s="20">
        <f>IF(B240="","",ROUND(W240+Y240+IF(Q240="",0,Q240),2))</f>
        <v>0</v>
      </c>
      <c r="AA240" s="33">
        <f>IF(B240="","",IFERROR(INDEX(Channels!$S$5:$S$18,MATCH(IF(J240="",DefaultChannel,J240),Channels!$A$5:$A$18,0)),0))</f>
        <v>0</v>
      </c>
      <c r="AB240" s="20">
        <f>IF(B240="","",IFERROR(INDEX(Channels!$T$5:$T$18,MATCH(IF(J240="",DefaultChannel,J240),Channels!$A$5:$A$18,0)),0))</f>
        <v>0</v>
      </c>
      <c r="AC240" s="41">
        <f>IF(B240="","",1-TargetRetailMargin-AA240)</f>
        <v>0</v>
      </c>
      <c r="AD240" s="20">
        <f>IF(B240="","",IF(AC240&lt;=0,"",((Z240+AB240)/AC240)*(1+V240)+IF(I240="",0,I240)))</f>
        <v>0</v>
      </c>
      <c r="AE240" s="20">
        <f>IF(B240="","",IF(AD240="","Check the settings",ROUND(IF(RoundingRule="None",AD240,IF(RoundingRule="Nearest 0.99",MAX(0.99,CEILING(AD240,1)-0.01),IF(RoundingRule="Nearest 0.95",MAX(0.95,CEILING(AD240,1)-0.05),IF(RoundingRule="Nearest 0.50",CEILING(AD240,0.5),IF(RoundingRule="Nearest 1",CEILING(AD240,1),IF(RoundingRule="Nearest 5",CEILING(AD240,5),IF(RoundingRule="Up to whole 1",CEILING(AD240,1),IF(RoundingRule="Up to whole 5",CEILING(AD240,5),ROUND(AD240,2))))))))),2)))</f>
        <v>0</v>
      </c>
      <c r="AF240" s="20">
        <f>IF(B240="","",IF(K240&lt;&gt;"",K240,IF(ISNUMBER(AE240),AE240,"")))</f>
        <v>0</v>
      </c>
      <c r="AG240" s="20">
        <f>IF(B240="","",IF(OR(AF240="",S240=""),"",ROUND(AF240-S240,2)))</f>
        <v>0</v>
      </c>
      <c r="AH240" s="20">
        <f>IF(B240="","",IF(AF240="","",ROUND(AF240*AA240+AB240,2)))</f>
        <v>0</v>
      </c>
      <c r="AI240" s="20">
        <f>IF(B240="","",IF(AF240="","",ROUND(AF240-Z240-AH240,2)))</f>
        <v>0</v>
      </c>
      <c r="AJ240" s="33">
        <f>IF(B240="","",IF(OR(AF240="",AF240=0),"",AI240/AF240))</f>
        <v>0</v>
      </c>
      <c r="AK240" s="20">
        <f>IF(B240="","",IF(OR(X240=0,X240="",AI240=""),"",ROUND((AI240+Y240)/(X240/60),2)))</f>
        <v>0</v>
      </c>
      <c r="AL240" s="43">
        <f>IF(B240="","",IF(N240="Not found","Check - no such product ID",IF(AF240="","Check - no price yet",IF(AI240&lt;0,"Loss - this version costs you money",IF(AND(AK240&lt;&gt;"",AK240&lt;MinimumWage),"Below - pays under minimum wage",IF(AND(G240&gt;0,AG240&lt;=0),"Check - extra work, no extra charge",IF(AJ240&lt;MarginWarning,"Low margin - re-price it","OK")))))))</f>
        <v>0</v>
      </c>
    </row>
    <row r="241" spans="1:38">
      <c r="A241" s="38">
        <f>IF(C241="","",VariationPrefix&amp;TEXT(ROW()-4,"0000"))</f>
        <v>0</v>
      </c>
      <c r="N241" s="13">
        <f>IF(B241="","",IFERROR(INDEX(Products!$B$5:$B$304,MATCH(B241,Products!$A$5:$A$304,0)),"Not found"))</f>
        <v>0</v>
      </c>
      <c r="O241" s="20">
        <f>IF(B241="","",IFERROR(INDEX(Products!$T$5:$T$304,MATCH(B241,Products!$A$5:$A$304,0)),""))</f>
        <v>0</v>
      </c>
      <c r="P241" s="20">
        <f>IF(B241="","",IFERROR(INDEX(Products!$Z$5:$Z$304,MATCH(B241,Products!$A$5:$A$304,0)),""))</f>
        <v>0</v>
      </c>
      <c r="Q241" s="20">
        <f>IF(B241="","",IFERROR(INDEX(Products!$AH$5:$AH$304,MATCH(B241,Products!$A$5:$A$304,0))-INDEX(Products!$T$5:$T$304,MATCH(B241,Products!$A$5:$A$304,0))-INDEX(Products!$Z$5:$Z$304,MATCH(B241,Products!$A$5:$A$304,0)),0))</f>
        <v>0</v>
      </c>
      <c r="R241" s="36">
        <f>IF(B241="","",IFERROR(INDEX(Products!$X$5:$X$304,MATCH(B241,Products!$A$5:$A$304,0)),""))</f>
        <v>0</v>
      </c>
      <c r="S241" s="20">
        <f>IF(B241="","",IFERROR(INDEX(Products!$AR$5:$AR$304,MATCH(B241,Products!$A$5:$A$304,0)),""))</f>
        <v>0</v>
      </c>
      <c r="T241" s="41">
        <f>IF(B241="","",IFERROR(INDEX(SizeMaterialFactors,MATCH(E241,SizeNames,0)),1))</f>
        <v>0</v>
      </c>
      <c r="U241" s="41">
        <f>IF(B241="","",IFERROR(INDEX(SizeTimeFactors,MATCH(E241,SizeNames,0)),1))</f>
        <v>0</v>
      </c>
      <c r="V241" s="33">
        <f>IF(B241="","",IFERROR(INDEX(RushFactors,MATCH(H241,RushNames,0)),0))</f>
        <v>0</v>
      </c>
      <c r="W241" s="20">
        <f>IF(B241="","",ROUND(IF(O241="",0,O241)*T241+IF(F241="",0,F241),2))</f>
        <v>0</v>
      </c>
      <c r="X241" s="36">
        <f>IF(B241="","",ROUND(IF(R241="",0,R241)*U241+IF(G241="",0,G241),1))</f>
        <v>0</v>
      </c>
      <c r="Y241" s="20">
        <f>IF(B241="","",ROUND(IF(P241="",0,P241)*U241+IF(G241="",0,G241)/60*LaborCostHour,2))</f>
        <v>0</v>
      </c>
      <c r="Z241" s="20">
        <f>IF(B241="","",ROUND(W241+Y241+IF(Q241="",0,Q241),2))</f>
        <v>0</v>
      </c>
      <c r="AA241" s="33">
        <f>IF(B241="","",IFERROR(INDEX(Channels!$S$5:$S$18,MATCH(IF(J241="",DefaultChannel,J241),Channels!$A$5:$A$18,0)),0))</f>
        <v>0</v>
      </c>
      <c r="AB241" s="20">
        <f>IF(B241="","",IFERROR(INDEX(Channels!$T$5:$T$18,MATCH(IF(J241="",DefaultChannel,J241),Channels!$A$5:$A$18,0)),0))</f>
        <v>0</v>
      </c>
      <c r="AC241" s="41">
        <f>IF(B241="","",1-TargetRetailMargin-AA241)</f>
        <v>0</v>
      </c>
      <c r="AD241" s="20">
        <f>IF(B241="","",IF(AC241&lt;=0,"",((Z241+AB241)/AC241)*(1+V241)+IF(I241="",0,I241)))</f>
        <v>0</v>
      </c>
      <c r="AE241" s="20">
        <f>IF(B241="","",IF(AD241="","Check the settings",ROUND(IF(RoundingRule="None",AD241,IF(RoundingRule="Nearest 0.99",MAX(0.99,CEILING(AD241,1)-0.01),IF(RoundingRule="Nearest 0.95",MAX(0.95,CEILING(AD241,1)-0.05),IF(RoundingRule="Nearest 0.50",CEILING(AD241,0.5),IF(RoundingRule="Nearest 1",CEILING(AD241,1),IF(RoundingRule="Nearest 5",CEILING(AD241,5),IF(RoundingRule="Up to whole 1",CEILING(AD241,1),IF(RoundingRule="Up to whole 5",CEILING(AD241,5),ROUND(AD241,2))))))))),2)))</f>
        <v>0</v>
      </c>
      <c r="AF241" s="20">
        <f>IF(B241="","",IF(K241&lt;&gt;"",K241,IF(ISNUMBER(AE241),AE241,"")))</f>
        <v>0</v>
      </c>
      <c r="AG241" s="20">
        <f>IF(B241="","",IF(OR(AF241="",S241=""),"",ROUND(AF241-S241,2)))</f>
        <v>0</v>
      </c>
      <c r="AH241" s="20">
        <f>IF(B241="","",IF(AF241="","",ROUND(AF241*AA241+AB241,2)))</f>
        <v>0</v>
      </c>
      <c r="AI241" s="20">
        <f>IF(B241="","",IF(AF241="","",ROUND(AF241-Z241-AH241,2)))</f>
        <v>0</v>
      </c>
      <c r="AJ241" s="33">
        <f>IF(B241="","",IF(OR(AF241="",AF241=0),"",AI241/AF241))</f>
        <v>0</v>
      </c>
      <c r="AK241" s="20">
        <f>IF(B241="","",IF(OR(X241=0,X241="",AI241=""),"",ROUND((AI241+Y241)/(X241/60),2)))</f>
        <v>0</v>
      </c>
      <c r="AL241" s="43">
        <f>IF(B241="","",IF(N241="Not found","Check - no such product ID",IF(AF241="","Check - no price yet",IF(AI241&lt;0,"Loss - this version costs you money",IF(AND(AK241&lt;&gt;"",AK241&lt;MinimumWage),"Below - pays under minimum wage",IF(AND(G241&gt;0,AG241&lt;=0),"Check - extra work, no extra charge",IF(AJ241&lt;MarginWarning,"Low margin - re-price it","OK")))))))</f>
        <v>0</v>
      </c>
    </row>
    <row r="242" spans="1:38">
      <c r="A242" s="38">
        <f>IF(C242="","",VariationPrefix&amp;TEXT(ROW()-4,"0000"))</f>
        <v>0</v>
      </c>
      <c r="N242" s="13">
        <f>IF(B242="","",IFERROR(INDEX(Products!$B$5:$B$304,MATCH(B242,Products!$A$5:$A$304,0)),"Not found"))</f>
        <v>0</v>
      </c>
      <c r="O242" s="20">
        <f>IF(B242="","",IFERROR(INDEX(Products!$T$5:$T$304,MATCH(B242,Products!$A$5:$A$304,0)),""))</f>
        <v>0</v>
      </c>
      <c r="P242" s="20">
        <f>IF(B242="","",IFERROR(INDEX(Products!$Z$5:$Z$304,MATCH(B242,Products!$A$5:$A$304,0)),""))</f>
        <v>0</v>
      </c>
      <c r="Q242" s="20">
        <f>IF(B242="","",IFERROR(INDEX(Products!$AH$5:$AH$304,MATCH(B242,Products!$A$5:$A$304,0))-INDEX(Products!$T$5:$T$304,MATCH(B242,Products!$A$5:$A$304,0))-INDEX(Products!$Z$5:$Z$304,MATCH(B242,Products!$A$5:$A$304,0)),0))</f>
        <v>0</v>
      </c>
      <c r="R242" s="36">
        <f>IF(B242="","",IFERROR(INDEX(Products!$X$5:$X$304,MATCH(B242,Products!$A$5:$A$304,0)),""))</f>
        <v>0</v>
      </c>
      <c r="S242" s="20">
        <f>IF(B242="","",IFERROR(INDEX(Products!$AR$5:$AR$304,MATCH(B242,Products!$A$5:$A$304,0)),""))</f>
        <v>0</v>
      </c>
      <c r="T242" s="41">
        <f>IF(B242="","",IFERROR(INDEX(SizeMaterialFactors,MATCH(E242,SizeNames,0)),1))</f>
        <v>0</v>
      </c>
      <c r="U242" s="41">
        <f>IF(B242="","",IFERROR(INDEX(SizeTimeFactors,MATCH(E242,SizeNames,0)),1))</f>
        <v>0</v>
      </c>
      <c r="V242" s="33">
        <f>IF(B242="","",IFERROR(INDEX(RushFactors,MATCH(H242,RushNames,0)),0))</f>
        <v>0</v>
      </c>
      <c r="W242" s="20">
        <f>IF(B242="","",ROUND(IF(O242="",0,O242)*T242+IF(F242="",0,F242),2))</f>
        <v>0</v>
      </c>
      <c r="X242" s="36">
        <f>IF(B242="","",ROUND(IF(R242="",0,R242)*U242+IF(G242="",0,G242),1))</f>
        <v>0</v>
      </c>
      <c r="Y242" s="20">
        <f>IF(B242="","",ROUND(IF(P242="",0,P242)*U242+IF(G242="",0,G242)/60*LaborCostHour,2))</f>
        <v>0</v>
      </c>
      <c r="Z242" s="20">
        <f>IF(B242="","",ROUND(W242+Y242+IF(Q242="",0,Q242),2))</f>
        <v>0</v>
      </c>
      <c r="AA242" s="33">
        <f>IF(B242="","",IFERROR(INDEX(Channels!$S$5:$S$18,MATCH(IF(J242="",DefaultChannel,J242),Channels!$A$5:$A$18,0)),0))</f>
        <v>0</v>
      </c>
      <c r="AB242" s="20">
        <f>IF(B242="","",IFERROR(INDEX(Channels!$T$5:$T$18,MATCH(IF(J242="",DefaultChannel,J242),Channels!$A$5:$A$18,0)),0))</f>
        <v>0</v>
      </c>
      <c r="AC242" s="41">
        <f>IF(B242="","",1-TargetRetailMargin-AA242)</f>
        <v>0</v>
      </c>
      <c r="AD242" s="20">
        <f>IF(B242="","",IF(AC242&lt;=0,"",((Z242+AB242)/AC242)*(1+V242)+IF(I242="",0,I242)))</f>
        <v>0</v>
      </c>
      <c r="AE242" s="20">
        <f>IF(B242="","",IF(AD242="","Check the settings",ROUND(IF(RoundingRule="None",AD242,IF(RoundingRule="Nearest 0.99",MAX(0.99,CEILING(AD242,1)-0.01),IF(RoundingRule="Nearest 0.95",MAX(0.95,CEILING(AD242,1)-0.05),IF(RoundingRule="Nearest 0.50",CEILING(AD242,0.5),IF(RoundingRule="Nearest 1",CEILING(AD242,1),IF(RoundingRule="Nearest 5",CEILING(AD242,5),IF(RoundingRule="Up to whole 1",CEILING(AD242,1),IF(RoundingRule="Up to whole 5",CEILING(AD242,5),ROUND(AD242,2))))))))),2)))</f>
        <v>0</v>
      </c>
      <c r="AF242" s="20">
        <f>IF(B242="","",IF(K242&lt;&gt;"",K242,IF(ISNUMBER(AE242),AE242,"")))</f>
        <v>0</v>
      </c>
      <c r="AG242" s="20">
        <f>IF(B242="","",IF(OR(AF242="",S242=""),"",ROUND(AF242-S242,2)))</f>
        <v>0</v>
      </c>
      <c r="AH242" s="20">
        <f>IF(B242="","",IF(AF242="","",ROUND(AF242*AA242+AB242,2)))</f>
        <v>0</v>
      </c>
      <c r="AI242" s="20">
        <f>IF(B242="","",IF(AF242="","",ROUND(AF242-Z242-AH242,2)))</f>
        <v>0</v>
      </c>
      <c r="AJ242" s="33">
        <f>IF(B242="","",IF(OR(AF242="",AF242=0),"",AI242/AF242))</f>
        <v>0</v>
      </c>
      <c r="AK242" s="20">
        <f>IF(B242="","",IF(OR(X242=0,X242="",AI242=""),"",ROUND((AI242+Y242)/(X242/60),2)))</f>
        <v>0</v>
      </c>
      <c r="AL242" s="43">
        <f>IF(B242="","",IF(N242="Not found","Check - no such product ID",IF(AF242="","Check - no price yet",IF(AI242&lt;0,"Loss - this version costs you money",IF(AND(AK242&lt;&gt;"",AK242&lt;MinimumWage),"Below - pays under minimum wage",IF(AND(G242&gt;0,AG242&lt;=0),"Check - extra work, no extra charge",IF(AJ242&lt;MarginWarning,"Low margin - re-price it","OK")))))))</f>
        <v>0</v>
      </c>
    </row>
    <row r="243" spans="1:38">
      <c r="A243" s="38">
        <f>IF(C243="","",VariationPrefix&amp;TEXT(ROW()-4,"0000"))</f>
        <v>0</v>
      </c>
      <c r="N243" s="13">
        <f>IF(B243="","",IFERROR(INDEX(Products!$B$5:$B$304,MATCH(B243,Products!$A$5:$A$304,0)),"Not found"))</f>
        <v>0</v>
      </c>
      <c r="O243" s="20">
        <f>IF(B243="","",IFERROR(INDEX(Products!$T$5:$T$304,MATCH(B243,Products!$A$5:$A$304,0)),""))</f>
        <v>0</v>
      </c>
      <c r="P243" s="20">
        <f>IF(B243="","",IFERROR(INDEX(Products!$Z$5:$Z$304,MATCH(B243,Products!$A$5:$A$304,0)),""))</f>
        <v>0</v>
      </c>
      <c r="Q243" s="20">
        <f>IF(B243="","",IFERROR(INDEX(Products!$AH$5:$AH$304,MATCH(B243,Products!$A$5:$A$304,0))-INDEX(Products!$T$5:$T$304,MATCH(B243,Products!$A$5:$A$304,0))-INDEX(Products!$Z$5:$Z$304,MATCH(B243,Products!$A$5:$A$304,0)),0))</f>
        <v>0</v>
      </c>
      <c r="R243" s="36">
        <f>IF(B243="","",IFERROR(INDEX(Products!$X$5:$X$304,MATCH(B243,Products!$A$5:$A$304,0)),""))</f>
        <v>0</v>
      </c>
      <c r="S243" s="20">
        <f>IF(B243="","",IFERROR(INDEX(Products!$AR$5:$AR$304,MATCH(B243,Products!$A$5:$A$304,0)),""))</f>
        <v>0</v>
      </c>
      <c r="T243" s="41">
        <f>IF(B243="","",IFERROR(INDEX(SizeMaterialFactors,MATCH(E243,SizeNames,0)),1))</f>
        <v>0</v>
      </c>
      <c r="U243" s="41">
        <f>IF(B243="","",IFERROR(INDEX(SizeTimeFactors,MATCH(E243,SizeNames,0)),1))</f>
        <v>0</v>
      </c>
      <c r="V243" s="33">
        <f>IF(B243="","",IFERROR(INDEX(RushFactors,MATCH(H243,RushNames,0)),0))</f>
        <v>0</v>
      </c>
      <c r="W243" s="20">
        <f>IF(B243="","",ROUND(IF(O243="",0,O243)*T243+IF(F243="",0,F243),2))</f>
        <v>0</v>
      </c>
      <c r="X243" s="36">
        <f>IF(B243="","",ROUND(IF(R243="",0,R243)*U243+IF(G243="",0,G243),1))</f>
        <v>0</v>
      </c>
      <c r="Y243" s="20">
        <f>IF(B243="","",ROUND(IF(P243="",0,P243)*U243+IF(G243="",0,G243)/60*LaborCostHour,2))</f>
        <v>0</v>
      </c>
      <c r="Z243" s="20">
        <f>IF(B243="","",ROUND(W243+Y243+IF(Q243="",0,Q243),2))</f>
        <v>0</v>
      </c>
      <c r="AA243" s="33">
        <f>IF(B243="","",IFERROR(INDEX(Channels!$S$5:$S$18,MATCH(IF(J243="",DefaultChannel,J243),Channels!$A$5:$A$18,0)),0))</f>
        <v>0</v>
      </c>
      <c r="AB243" s="20">
        <f>IF(B243="","",IFERROR(INDEX(Channels!$T$5:$T$18,MATCH(IF(J243="",DefaultChannel,J243),Channels!$A$5:$A$18,0)),0))</f>
        <v>0</v>
      </c>
      <c r="AC243" s="41">
        <f>IF(B243="","",1-TargetRetailMargin-AA243)</f>
        <v>0</v>
      </c>
      <c r="AD243" s="20">
        <f>IF(B243="","",IF(AC243&lt;=0,"",((Z243+AB243)/AC243)*(1+V243)+IF(I243="",0,I243)))</f>
        <v>0</v>
      </c>
      <c r="AE243" s="20">
        <f>IF(B243="","",IF(AD243="","Check the settings",ROUND(IF(RoundingRule="None",AD243,IF(RoundingRule="Nearest 0.99",MAX(0.99,CEILING(AD243,1)-0.01),IF(RoundingRule="Nearest 0.95",MAX(0.95,CEILING(AD243,1)-0.05),IF(RoundingRule="Nearest 0.50",CEILING(AD243,0.5),IF(RoundingRule="Nearest 1",CEILING(AD243,1),IF(RoundingRule="Nearest 5",CEILING(AD243,5),IF(RoundingRule="Up to whole 1",CEILING(AD243,1),IF(RoundingRule="Up to whole 5",CEILING(AD243,5),ROUND(AD243,2))))))))),2)))</f>
        <v>0</v>
      </c>
      <c r="AF243" s="20">
        <f>IF(B243="","",IF(K243&lt;&gt;"",K243,IF(ISNUMBER(AE243),AE243,"")))</f>
        <v>0</v>
      </c>
      <c r="AG243" s="20">
        <f>IF(B243="","",IF(OR(AF243="",S243=""),"",ROUND(AF243-S243,2)))</f>
        <v>0</v>
      </c>
      <c r="AH243" s="20">
        <f>IF(B243="","",IF(AF243="","",ROUND(AF243*AA243+AB243,2)))</f>
        <v>0</v>
      </c>
      <c r="AI243" s="20">
        <f>IF(B243="","",IF(AF243="","",ROUND(AF243-Z243-AH243,2)))</f>
        <v>0</v>
      </c>
      <c r="AJ243" s="33">
        <f>IF(B243="","",IF(OR(AF243="",AF243=0),"",AI243/AF243))</f>
        <v>0</v>
      </c>
      <c r="AK243" s="20">
        <f>IF(B243="","",IF(OR(X243=0,X243="",AI243=""),"",ROUND((AI243+Y243)/(X243/60),2)))</f>
        <v>0</v>
      </c>
      <c r="AL243" s="43">
        <f>IF(B243="","",IF(N243="Not found","Check - no such product ID",IF(AF243="","Check - no price yet",IF(AI243&lt;0,"Loss - this version costs you money",IF(AND(AK243&lt;&gt;"",AK243&lt;MinimumWage),"Below - pays under minimum wage",IF(AND(G243&gt;0,AG243&lt;=0),"Check - extra work, no extra charge",IF(AJ243&lt;MarginWarning,"Low margin - re-price it","OK")))))))</f>
        <v>0</v>
      </c>
    </row>
    <row r="244" spans="1:38">
      <c r="A244" s="38">
        <f>IF(C244="","",VariationPrefix&amp;TEXT(ROW()-4,"0000"))</f>
        <v>0</v>
      </c>
      <c r="N244" s="13">
        <f>IF(B244="","",IFERROR(INDEX(Products!$B$5:$B$304,MATCH(B244,Products!$A$5:$A$304,0)),"Not found"))</f>
        <v>0</v>
      </c>
      <c r="O244" s="20">
        <f>IF(B244="","",IFERROR(INDEX(Products!$T$5:$T$304,MATCH(B244,Products!$A$5:$A$304,0)),""))</f>
        <v>0</v>
      </c>
      <c r="P244" s="20">
        <f>IF(B244="","",IFERROR(INDEX(Products!$Z$5:$Z$304,MATCH(B244,Products!$A$5:$A$304,0)),""))</f>
        <v>0</v>
      </c>
      <c r="Q244" s="20">
        <f>IF(B244="","",IFERROR(INDEX(Products!$AH$5:$AH$304,MATCH(B244,Products!$A$5:$A$304,0))-INDEX(Products!$T$5:$T$304,MATCH(B244,Products!$A$5:$A$304,0))-INDEX(Products!$Z$5:$Z$304,MATCH(B244,Products!$A$5:$A$304,0)),0))</f>
        <v>0</v>
      </c>
      <c r="R244" s="36">
        <f>IF(B244="","",IFERROR(INDEX(Products!$X$5:$X$304,MATCH(B244,Products!$A$5:$A$304,0)),""))</f>
        <v>0</v>
      </c>
      <c r="S244" s="20">
        <f>IF(B244="","",IFERROR(INDEX(Products!$AR$5:$AR$304,MATCH(B244,Products!$A$5:$A$304,0)),""))</f>
        <v>0</v>
      </c>
      <c r="T244" s="41">
        <f>IF(B244="","",IFERROR(INDEX(SizeMaterialFactors,MATCH(E244,SizeNames,0)),1))</f>
        <v>0</v>
      </c>
      <c r="U244" s="41">
        <f>IF(B244="","",IFERROR(INDEX(SizeTimeFactors,MATCH(E244,SizeNames,0)),1))</f>
        <v>0</v>
      </c>
      <c r="V244" s="33">
        <f>IF(B244="","",IFERROR(INDEX(RushFactors,MATCH(H244,RushNames,0)),0))</f>
        <v>0</v>
      </c>
      <c r="W244" s="20">
        <f>IF(B244="","",ROUND(IF(O244="",0,O244)*T244+IF(F244="",0,F244),2))</f>
        <v>0</v>
      </c>
      <c r="X244" s="36">
        <f>IF(B244="","",ROUND(IF(R244="",0,R244)*U244+IF(G244="",0,G244),1))</f>
        <v>0</v>
      </c>
      <c r="Y244" s="20">
        <f>IF(B244="","",ROUND(IF(P244="",0,P244)*U244+IF(G244="",0,G244)/60*LaborCostHour,2))</f>
        <v>0</v>
      </c>
      <c r="Z244" s="20">
        <f>IF(B244="","",ROUND(W244+Y244+IF(Q244="",0,Q244),2))</f>
        <v>0</v>
      </c>
      <c r="AA244" s="33">
        <f>IF(B244="","",IFERROR(INDEX(Channels!$S$5:$S$18,MATCH(IF(J244="",DefaultChannel,J244),Channels!$A$5:$A$18,0)),0))</f>
        <v>0</v>
      </c>
      <c r="AB244" s="20">
        <f>IF(B244="","",IFERROR(INDEX(Channels!$T$5:$T$18,MATCH(IF(J244="",DefaultChannel,J244),Channels!$A$5:$A$18,0)),0))</f>
        <v>0</v>
      </c>
      <c r="AC244" s="41">
        <f>IF(B244="","",1-TargetRetailMargin-AA244)</f>
        <v>0</v>
      </c>
      <c r="AD244" s="20">
        <f>IF(B244="","",IF(AC244&lt;=0,"",((Z244+AB244)/AC244)*(1+V244)+IF(I244="",0,I244)))</f>
        <v>0</v>
      </c>
      <c r="AE244" s="20">
        <f>IF(B244="","",IF(AD244="","Check the settings",ROUND(IF(RoundingRule="None",AD244,IF(RoundingRule="Nearest 0.99",MAX(0.99,CEILING(AD244,1)-0.01),IF(RoundingRule="Nearest 0.95",MAX(0.95,CEILING(AD244,1)-0.05),IF(RoundingRule="Nearest 0.50",CEILING(AD244,0.5),IF(RoundingRule="Nearest 1",CEILING(AD244,1),IF(RoundingRule="Nearest 5",CEILING(AD244,5),IF(RoundingRule="Up to whole 1",CEILING(AD244,1),IF(RoundingRule="Up to whole 5",CEILING(AD244,5),ROUND(AD244,2))))))))),2)))</f>
        <v>0</v>
      </c>
      <c r="AF244" s="20">
        <f>IF(B244="","",IF(K244&lt;&gt;"",K244,IF(ISNUMBER(AE244),AE244,"")))</f>
        <v>0</v>
      </c>
      <c r="AG244" s="20">
        <f>IF(B244="","",IF(OR(AF244="",S244=""),"",ROUND(AF244-S244,2)))</f>
        <v>0</v>
      </c>
      <c r="AH244" s="20">
        <f>IF(B244="","",IF(AF244="","",ROUND(AF244*AA244+AB244,2)))</f>
        <v>0</v>
      </c>
      <c r="AI244" s="20">
        <f>IF(B244="","",IF(AF244="","",ROUND(AF244-Z244-AH244,2)))</f>
        <v>0</v>
      </c>
      <c r="AJ244" s="33">
        <f>IF(B244="","",IF(OR(AF244="",AF244=0),"",AI244/AF244))</f>
        <v>0</v>
      </c>
      <c r="AK244" s="20">
        <f>IF(B244="","",IF(OR(X244=0,X244="",AI244=""),"",ROUND((AI244+Y244)/(X244/60),2)))</f>
        <v>0</v>
      </c>
      <c r="AL244" s="43">
        <f>IF(B244="","",IF(N244="Not found","Check - no such product ID",IF(AF244="","Check - no price yet",IF(AI244&lt;0,"Loss - this version costs you money",IF(AND(AK244&lt;&gt;"",AK244&lt;MinimumWage),"Below - pays under minimum wage",IF(AND(G244&gt;0,AG244&lt;=0),"Check - extra work, no extra charge",IF(AJ244&lt;MarginWarning,"Low margin - re-price it","OK")))))))</f>
        <v>0</v>
      </c>
    </row>
    <row r="245" spans="1:38">
      <c r="A245" s="38">
        <f>IF(C245="","",VariationPrefix&amp;TEXT(ROW()-4,"0000"))</f>
        <v>0</v>
      </c>
      <c r="N245" s="13">
        <f>IF(B245="","",IFERROR(INDEX(Products!$B$5:$B$304,MATCH(B245,Products!$A$5:$A$304,0)),"Not found"))</f>
        <v>0</v>
      </c>
      <c r="O245" s="20">
        <f>IF(B245="","",IFERROR(INDEX(Products!$T$5:$T$304,MATCH(B245,Products!$A$5:$A$304,0)),""))</f>
        <v>0</v>
      </c>
      <c r="P245" s="20">
        <f>IF(B245="","",IFERROR(INDEX(Products!$Z$5:$Z$304,MATCH(B245,Products!$A$5:$A$304,0)),""))</f>
        <v>0</v>
      </c>
      <c r="Q245" s="20">
        <f>IF(B245="","",IFERROR(INDEX(Products!$AH$5:$AH$304,MATCH(B245,Products!$A$5:$A$304,0))-INDEX(Products!$T$5:$T$304,MATCH(B245,Products!$A$5:$A$304,0))-INDEX(Products!$Z$5:$Z$304,MATCH(B245,Products!$A$5:$A$304,0)),0))</f>
        <v>0</v>
      </c>
      <c r="R245" s="36">
        <f>IF(B245="","",IFERROR(INDEX(Products!$X$5:$X$304,MATCH(B245,Products!$A$5:$A$304,0)),""))</f>
        <v>0</v>
      </c>
      <c r="S245" s="20">
        <f>IF(B245="","",IFERROR(INDEX(Products!$AR$5:$AR$304,MATCH(B245,Products!$A$5:$A$304,0)),""))</f>
        <v>0</v>
      </c>
      <c r="T245" s="41">
        <f>IF(B245="","",IFERROR(INDEX(SizeMaterialFactors,MATCH(E245,SizeNames,0)),1))</f>
        <v>0</v>
      </c>
      <c r="U245" s="41">
        <f>IF(B245="","",IFERROR(INDEX(SizeTimeFactors,MATCH(E245,SizeNames,0)),1))</f>
        <v>0</v>
      </c>
      <c r="V245" s="33">
        <f>IF(B245="","",IFERROR(INDEX(RushFactors,MATCH(H245,RushNames,0)),0))</f>
        <v>0</v>
      </c>
      <c r="W245" s="20">
        <f>IF(B245="","",ROUND(IF(O245="",0,O245)*T245+IF(F245="",0,F245),2))</f>
        <v>0</v>
      </c>
      <c r="X245" s="36">
        <f>IF(B245="","",ROUND(IF(R245="",0,R245)*U245+IF(G245="",0,G245),1))</f>
        <v>0</v>
      </c>
      <c r="Y245" s="20">
        <f>IF(B245="","",ROUND(IF(P245="",0,P245)*U245+IF(G245="",0,G245)/60*LaborCostHour,2))</f>
        <v>0</v>
      </c>
      <c r="Z245" s="20">
        <f>IF(B245="","",ROUND(W245+Y245+IF(Q245="",0,Q245),2))</f>
        <v>0</v>
      </c>
      <c r="AA245" s="33">
        <f>IF(B245="","",IFERROR(INDEX(Channels!$S$5:$S$18,MATCH(IF(J245="",DefaultChannel,J245),Channels!$A$5:$A$18,0)),0))</f>
        <v>0</v>
      </c>
      <c r="AB245" s="20">
        <f>IF(B245="","",IFERROR(INDEX(Channels!$T$5:$T$18,MATCH(IF(J245="",DefaultChannel,J245),Channels!$A$5:$A$18,0)),0))</f>
        <v>0</v>
      </c>
      <c r="AC245" s="41">
        <f>IF(B245="","",1-TargetRetailMargin-AA245)</f>
        <v>0</v>
      </c>
      <c r="AD245" s="20">
        <f>IF(B245="","",IF(AC245&lt;=0,"",((Z245+AB245)/AC245)*(1+V245)+IF(I245="",0,I245)))</f>
        <v>0</v>
      </c>
      <c r="AE245" s="20">
        <f>IF(B245="","",IF(AD245="","Check the settings",ROUND(IF(RoundingRule="None",AD245,IF(RoundingRule="Nearest 0.99",MAX(0.99,CEILING(AD245,1)-0.01),IF(RoundingRule="Nearest 0.95",MAX(0.95,CEILING(AD245,1)-0.05),IF(RoundingRule="Nearest 0.50",CEILING(AD245,0.5),IF(RoundingRule="Nearest 1",CEILING(AD245,1),IF(RoundingRule="Nearest 5",CEILING(AD245,5),IF(RoundingRule="Up to whole 1",CEILING(AD245,1),IF(RoundingRule="Up to whole 5",CEILING(AD245,5),ROUND(AD245,2))))))))),2)))</f>
        <v>0</v>
      </c>
      <c r="AF245" s="20">
        <f>IF(B245="","",IF(K245&lt;&gt;"",K245,IF(ISNUMBER(AE245),AE245,"")))</f>
        <v>0</v>
      </c>
      <c r="AG245" s="20">
        <f>IF(B245="","",IF(OR(AF245="",S245=""),"",ROUND(AF245-S245,2)))</f>
        <v>0</v>
      </c>
      <c r="AH245" s="20">
        <f>IF(B245="","",IF(AF245="","",ROUND(AF245*AA245+AB245,2)))</f>
        <v>0</v>
      </c>
      <c r="AI245" s="20">
        <f>IF(B245="","",IF(AF245="","",ROUND(AF245-Z245-AH245,2)))</f>
        <v>0</v>
      </c>
      <c r="AJ245" s="33">
        <f>IF(B245="","",IF(OR(AF245="",AF245=0),"",AI245/AF245))</f>
        <v>0</v>
      </c>
      <c r="AK245" s="20">
        <f>IF(B245="","",IF(OR(X245=0,X245="",AI245=""),"",ROUND((AI245+Y245)/(X245/60),2)))</f>
        <v>0</v>
      </c>
      <c r="AL245" s="43">
        <f>IF(B245="","",IF(N245="Not found","Check - no such product ID",IF(AF245="","Check - no price yet",IF(AI245&lt;0,"Loss - this version costs you money",IF(AND(AK245&lt;&gt;"",AK245&lt;MinimumWage),"Below - pays under minimum wage",IF(AND(G245&gt;0,AG245&lt;=0),"Check - extra work, no extra charge",IF(AJ245&lt;MarginWarning,"Low margin - re-price it","OK")))))))</f>
        <v>0</v>
      </c>
    </row>
    <row r="246" spans="1:38">
      <c r="A246" s="38">
        <f>IF(C246="","",VariationPrefix&amp;TEXT(ROW()-4,"0000"))</f>
        <v>0</v>
      </c>
      <c r="N246" s="13">
        <f>IF(B246="","",IFERROR(INDEX(Products!$B$5:$B$304,MATCH(B246,Products!$A$5:$A$304,0)),"Not found"))</f>
        <v>0</v>
      </c>
      <c r="O246" s="20">
        <f>IF(B246="","",IFERROR(INDEX(Products!$T$5:$T$304,MATCH(B246,Products!$A$5:$A$304,0)),""))</f>
        <v>0</v>
      </c>
      <c r="P246" s="20">
        <f>IF(B246="","",IFERROR(INDEX(Products!$Z$5:$Z$304,MATCH(B246,Products!$A$5:$A$304,0)),""))</f>
        <v>0</v>
      </c>
      <c r="Q246" s="20">
        <f>IF(B246="","",IFERROR(INDEX(Products!$AH$5:$AH$304,MATCH(B246,Products!$A$5:$A$304,0))-INDEX(Products!$T$5:$T$304,MATCH(B246,Products!$A$5:$A$304,0))-INDEX(Products!$Z$5:$Z$304,MATCH(B246,Products!$A$5:$A$304,0)),0))</f>
        <v>0</v>
      </c>
      <c r="R246" s="36">
        <f>IF(B246="","",IFERROR(INDEX(Products!$X$5:$X$304,MATCH(B246,Products!$A$5:$A$304,0)),""))</f>
        <v>0</v>
      </c>
      <c r="S246" s="20">
        <f>IF(B246="","",IFERROR(INDEX(Products!$AR$5:$AR$304,MATCH(B246,Products!$A$5:$A$304,0)),""))</f>
        <v>0</v>
      </c>
      <c r="T246" s="41">
        <f>IF(B246="","",IFERROR(INDEX(SizeMaterialFactors,MATCH(E246,SizeNames,0)),1))</f>
        <v>0</v>
      </c>
      <c r="U246" s="41">
        <f>IF(B246="","",IFERROR(INDEX(SizeTimeFactors,MATCH(E246,SizeNames,0)),1))</f>
        <v>0</v>
      </c>
      <c r="V246" s="33">
        <f>IF(B246="","",IFERROR(INDEX(RushFactors,MATCH(H246,RushNames,0)),0))</f>
        <v>0</v>
      </c>
      <c r="W246" s="20">
        <f>IF(B246="","",ROUND(IF(O246="",0,O246)*T246+IF(F246="",0,F246),2))</f>
        <v>0</v>
      </c>
      <c r="X246" s="36">
        <f>IF(B246="","",ROUND(IF(R246="",0,R246)*U246+IF(G246="",0,G246),1))</f>
        <v>0</v>
      </c>
      <c r="Y246" s="20">
        <f>IF(B246="","",ROUND(IF(P246="",0,P246)*U246+IF(G246="",0,G246)/60*LaborCostHour,2))</f>
        <v>0</v>
      </c>
      <c r="Z246" s="20">
        <f>IF(B246="","",ROUND(W246+Y246+IF(Q246="",0,Q246),2))</f>
        <v>0</v>
      </c>
      <c r="AA246" s="33">
        <f>IF(B246="","",IFERROR(INDEX(Channels!$S$5:$S$18,MATCH(IF(J246="",DefaultChannel,J246),Channels!$A$5:$A$18,0)),0))</f>
        <v>0</v>
      </c>
      <c r="AB246" s="20">
        <f>IF(B246="","",IFERROR(INDEX(Channels!$T$5:$T$18,MATCH(IF(J246="",DefaultChannel,J246),Channels!$A$5:$A$18,0)),0))</f>
        <v>0</v>
      </c>
      <c r="AC246" s="41">
        <f>IF(B246="","",1-TargetRetailMargin-AA246)</f>
        <v>0</v>
      </c>
      <c r="AD246" s="20">
        <f>IF(B246="","",IF(AC246&lt;=0,"",((Z246+AB246)/AC246)*(1+V246)+IF(I246="",0,I246)))</f>
        <v>0</v>
      </c>
      <c r="AE246" s="20">
        <f>IF(B246="","",IF(AD246="","Check the settings",ROUND(IF(RoundingRule="None",AD246,IF(RoundingRule="Nearest 0.99",MAX(0.99,CEILING(AD246,1)-0.01),IF(RoundingRule="Nearest 0.95",MAX(0.95,CEILING(AD246,1)-0.05),IF(RoundingRule="Nearest 0.50",CEILING(AD246,0.5),IF(RoundingRule="Nearest 1",CEILING(AD246,1),IF(RoundingRule="Nearest 5",CEILING(AD246,5),IF(RoundingRule="Up to whole 1",CEILING(AD246,1),IF(RoundingRule="Up to whole 5",CEILING(AD246,5),ROUND(AD246,2))))))))),2)))</f>
        <v>0</v>
      </c>
      <c r="AF246" s="20">
        <f>IF(B246="","",IF(K246&lt;&gt;"",K246,IF(ISNUMBER(AE246),AE246,"")))</f>
        <v>0</v>
      </c>
      <c r="AG246" s="20">
        <f>IF(B246="","",IF(OR(AF246="",S246=""),"",ROUND(AF246-S246,2)))</f>
        <v>0</v>
      </c>
      <c r="AH246" s="20">
        <f>IF(B246="","",IF(AF246="","",ROUND(AF246*AA246+AB246,2)))</f>
        <v>0</v>
      </c>
      <c r="AI246" s="20">
        <f>IF(B246="","",IF(AF246="","",ROUND(AF246-Z246-AH246,2)))</f>
        <v>0</v>
      </c>
      <c r="AJ246" s="33">
        <f>IF(B246="","",IF(OR(AF246="",AF246=0),"",AI246/AF246))</f>
        <v>0</v>
      </c>
      <c r="AK246" s="20">
        <f>IF(B246="","",IF(OR(X246=0,X246="",AI246=""),"",ROUND((AI246+Y246)/(X246/60),2)))</f>
        <v>0</v>
      </c>
      <c r="AL246" s="43">
        <f>IF(B246="","",IF(N246="Not found","Check - no such product ID",IF(AF246="","Check - no price yet",IF(AI246&lt;0,"Loss - this version costs you money",IF(AND(AK246&lt;&gt;"",AK246&lt;MinimumWage),"Below - pays under minimum wage",IF(AND(G246&gt;0,AG246&lt;=0),"Check - extra work, no extra charge",IF(AJ246&lt;MarginWarning,"Low margin - re-price it","OK")))))))</f>
        <v>0</v>
      </c>
    </row>
    <row r="247" spans="1:38">
      <c r="A247" s="38">
        <f>IF(C247="","",VariationPrefix&amp;TEXT(ROW()-4,"0000"))</f>
        <v>0</v>
      </c>
      <c r="N247" s="13">
        <f>IF(B247="","",IFERROR(INDEX(Products!$B$5:$B$304,MATCH(B247,Products!$A$5:$A$304,0)),"Not found"))</f>
        <v>0</v>
      </c>
      <c r="O247" s="20">
        <f>IF(B247="","",IFERROR(INDEX(Products!$T$5:$T$304,MATCH(B247,Products!$A$5:$A$304,0)),""))</f>
        <v>0</v>
      </c>
      <c r="P247" s="20">
        <f>IF(B247="","",IFERROR(INDEX(Products!$Z$5:$Z$304,MATCH(B247,Products!$A$5:$A$304,0)),""))</f>
        <v>0</v>
      </c>
      <c r="Q247" s="20">
        <f>IF(B247="","",IFERROR(INDEX(Products!$AH$5:$AH$304,MATCH(B247,Products!$A$5:$A$304,0))-INDEX(Products!$T$5:$T$304,MATCH(B247,Products!$A$5:$A$304,0))-INDEX(Products!$Z$5:$Z$304,MATCH(B247,Products!$A$5:$A$304,0)),0))</f>
        <v>0</v>
      </c>
      <c r="R247" s="36">
        <f>IF(B247="","",IFERROR(INDEX(Products!$X$5:$X$304,MATCH(B247,Products!$A$5:$A$304,0)),""))</f>
        <v>0</v>
      </c>
      <c r="S247" s="20">
        <f>IF(B247="","",IFERROR(INDEX(Products!$AR$5:$AR$304,MATCH(B247,Products!$A$5:$A$304,0)),""))</f>
        <v>0</v>
      </c>
      <c r="T247" s="41">
        <f>IF(B247="","",IFERROR(INDEX(SizeMaterialFactors,MATCH(E247,SizeNames,0)),1))</f>
        <v>0</v>
      </c>
      <c r="U247" s="41">
        <f>IF(B247="","",IFERROR(INDEX(SizeTimeFactors,MATCH(E247,SizeNames,0)),1))</f>
        <v>0</v>
      </c>
      <c r="V247" s="33">
        <f>IF(B247="","",IFERROR(INDEX(RushFactors,MATCH(H247,RushNames,0)),0))</f>
        <v>0</v>
      </c>
      <c r="W247" s="20">
        <f>IF(B247="","",ROUND(IF(O247="",0,O247)*T247+IF(F247="",0,F247),2))</f>
        <v>0</v>
      </c>
      <c r="X247" s="36">
        <f>IF(B247="","",ROUND(IF(R247="",0,R247)*U247+IF(G247="",0,G247),1))</f>
        <v>0</v>
      </c>
      <c r="Y247" s="20">
        <f>IF(B247="","",ROUND(IF(P247="",0,P247)*U247+IF(G247="",0,G247)/60*LaborCostHour,2))</f>
        <v>0</v>
      </c>
      <c r="Z247" s="20">
        <f>IF(B247="","",ROUND(W247+Y247+IF(Q247="",0,Q247),2))</f>
        <v>0</v>
      </c>
      <c r="AA247" s="33">
        <f>IF(B247="","",IFERROR(INDEX(Channels!$S$5:$S$18,MATCH(IF(J247="",DefaultChannel,J247),Channels!$A$5:$A$18,0)),0))</f>
        <v>0</v>
      </c>
      <c r="AB247" s="20">
        <f>IF(B247="","",IFERROR(INDEX(Channels!$T$5:$T$18,MATCH(IF(J247="",DefaultChannel,J247),Channels!$A$5:$A$18,0)),0))</f>
        <v>0</v>
      </c>
      <c r="AC247" s="41">
        <f>IF(B247="","",1-TargetRetailMargin-AA247)</f>
        <v>0</v>
      </c>
      <c r="AD247" s="20">
        <f>IF(B247="","",IF(AC247&lt;=0,"",((Z247+AB247)/AC247)*(1+V247)+IF(I247="",0,I247)))</f>
        <v>0</v>
      </c>
      <c r="AE247" s="20">
        <f>IF(B247="","",IF(AD247="","Check the settings",ROUND(IF(RoundingRule="None",AD247,IF(RoundingRule="Nearest 0.99",MAX(0.99,CEILING(AD247,1)-0.01),IF(RoundingRule="Nearest 0.95",MAX(0.95,CEILING(AD247,1)-0.05),IF(RoundingRule="Nearest 0.50",CEILING(AD247,0.5),IF(RoundingRule="Nearest 1",CEILING(AD247,1),IF(RoundingRule="Nearest 5",CEILING(AD247,5),IF(RoundingRule="Up to whole 1",CEILING(AD247,1),IF(RoundingRule="Up to whole 5",CEILING(AD247,5),ROUND(AD247,2))))))))),2)))</f>
        <v>0</v>
      </c>
      <c r="AF247" s="20">
        <f>IF(B247="","",IF(K247&lt;&gt;"",K247,IF(ISNUMBER(AE247),AE247,"")))</f>
        <v>0</v>
      </c>
      <c r="AG247" s="20">
        <f>IF(B247="","",IF(OR(AF247="",S247=""),"",ROUND(AF247-S247,2)))</f>
        <v>0</v>
      </c>
      <c r="AH247" s="20">
        <f>IF(B247="","",IF(AF247="","",ROUND(AF247*AA247+AB247,2)))</f>
        <v>0</v>
      </c>
      <c r="AI247" s="20">
        <f>IF(B247="","",IF(AF247="","",ROUND(AF247-Z247-AH247,2)))</f>
        <v>0</v>
      </c>
      <c r="AJ247" s="33">
        <f>IF(B247="","",IF(OR(AF247="",AF247=0),"",AI247/AF247))</f>
        <v>0</v>
      </c>
      <c r="AK247" s="20">
        <f>IF(B247="","",IF(OR(X247=0,X247="",AI247=""),"",ROUND((AI247+Y247)/(X247/60),2)))</f>
        <v>0</v>
      </c>
      <c r="AL247" s="43">
        <f>IF(B247="","",IF(N247="Not found","Check - no such product ID",IF(AF247="","Check - no price yet",IF(AI247&lt;0,"Loss - this version costs you money",IF(AND(AK247&lt;&gt;"",AK247&lt;MinimumWage),"Below - pays under minimum wage",IF(AND(G247&gt;0,AG247&lt;=0),"Check - extra work, no extra charge",IF(AJ247&lt;MarginWarning,"Low margin - re-price it","OK")))))))</f>
        <v>0</v>
      </c>
    </row>
    <row r="248" spans="1:38">
      <c r="A248" s="38">
        <f>IF(C248="","",VariationPrefix&amp;TEXT(ROW()-4,"0000"))</f>
        <v>0</v>
      </c>
      <c r="N248" s="13">
        <f>IF(B248="","",IFERROR(INDEX(Products!$B$5:$B$304,MATCH(B248,Products!$A$5:$A$304,0)),"Not found"))</f>
        <v>0</v>
      </c>
      <c r="O248" s="20">
        <f>IF(B248="","",IFERROR(INDEX(Products!$T$5:$T$304,MATCH(B248,Products!$A$5:$A$304,0)),""))</f>
        <v>0</v>
      </c>
      <c r="P248" s="20">
        <f>IF(B248="","",IFERROR(INDEX(Products!$Z$5:$Z$304,MATCH(B248,Products!$A$5:$A$304,0)),""))</f>
        <v>0</v>
      </c>
      <c r="Q248" s="20">
        <f>IF(B248="","",IFERROR(INDEX(Products!$AH$5:$AH$304,MATCH(B248,Products!$A$5:$A$304,0))-INDEX(Products!$T$5:$T$304,MATCH(B248,Products!$A$5:$A$304,0))-INDEX(Products!$Z$5:$Z$304,MATCH(B248,Products!$A$5:$A$304,0)),0))</f>
        <v>0</v>
      </c>
      <c r="R248" s="36">
        <f>IF(B248="","",IFERROR(INDEX(Products!$X$5:$X$304,MATCH(B248,Products!$A$5:$A$304,0)),""))</f>
        <v>0</v>
      </c>
      <c r="S248" s="20">
        <f>IF(B248="","",IFERROR(INDEX(Products!$AR$5:$AR$304,MATCH(B248,Products!$A$5:$A$304,0)),""))</f>
        <v>0</v>
      </c>
      <c r="T248" s="41">
        <f>IF(B248="","",IFERROR(INDEX(SizeMaterialFactors,MATCH(E248,SizeNames,0)),1))</f>
        <v>0</v>
      </c>
      <c r="U248" s="41">
        <f>IF(B248="","",IFERROR(INDEX(SizeTimeFactors,MATCH(E248,SizeNames,0)),1))</f>
        <v>0</v>
      </c>
      <c r="V248" s="33">
        <f>IF(B248="","",IFERROR(INDEX(RushFactors,MATCH(H248,RushNames,0)),0))</f>
        <v>0</v>
      </c>
      <c r="W248" s="20">
        <f>IF(B248="","",ROUND(IF(O248="",0,O248)*T248+IF(F248="",0,F248),2))</f>
        <v>0</v>
      </c>
      <c r="X248" s="36">
        <f>IF(B248="","",ROUND(IF(R248="",0,R248)*U248+IF(G248="",0,G248),1))</f>
        <v>0</v>
      </c>
      <c r="Y248" s="20">
        <f>IF(B248="","",ROUND(IF(P248="",0,P248)*U248+IF(G248="",0,G248)/60*LaborCostHour,2))</f>
        <v>0</v>
      </c>
      <c r="Z248" s="20">
        <f>IF(B248="","",ROUND(W248+Y248+IF(Q248="",0,Q248),2))</f>
        <v>0</v>
      </c>
      <c r="AA248" s="33">
        <f>IF(B248="","",IFERROR(INDEX(Channels!$S$5:$S$18,MATCH(IF(J248="",DefaultChannel,J248),Channels!$A$5:$A$18,0)),0))</f>
        <v>0</v>
      </c>
      <c r="AB248" s="20">
        <f>IF(B248="","",IFERROR(INDEX(Channels!$T$5:$T$18,MATCH(IF(J248="",DefaultChannel,J248),Channels!$A$5:$A$18,0)),0))</f>
        <v>0</v>
      </c>
      <c r="AC248" s="41">
        <f>IF(B248="","",1-TargetRetailMargin-AA248)</f>
        <v>0</v>
      </c>
      <c r="AD248" s="20">
        <f>IF(B248="","",IF(AC248&lt;=0,"",((Z248+AB248)/AC248)*(1+V248)+IF(I248="",0,I248)))</f>
        <v>0</v>
      </c>
      <c r="AE248" s="20">
        <f>IF(B248="","",IF(AD248="","Check the settings",ROUND(IF(RoundingRule="None",AD248,IF(RoundingRule="Nearest 0.99",MAX(0.99,CEILING(AD248,1)-0.01),IF(RoundingRule="Nearest 0.95",MAX(0.95,CEILING(AD248,1)-0.05),IF(RoundingRule="Nearest 0.50",CEILING(AD248,0.5),IF(RoundingRule="Nearest 1",CEILING(AD248,1),IF(RoundingRule="Nearest 5",CEILING(AD248,5),IF(RoundingRule="Up to whole 1",CEILING(AD248,1),IF(RoundingRule="Up to whole 5",CEILING(AD248,5),ROUND(AD248,2))))))))),2)))</f>
        <v>0</v>
      </c>
      <c r="AF248" s="20">
        <f>IF(B248="","",IF(K248&lt;&gt;"",K248,IF(ISNUMBER(AE248),AE248,"")))</f>
        <v>0</v>
      </c>
      <c r="AG248" s="20">
        <f>IF(B248="","",IF(OR(AF248="",S248=""),"",ROUND(AF248-S248,2)))</f>
        <v>0</v>
      </c>
      <c r="AH248" s="20">
        <f>IF(B248="","",IF(AF248="","",ROUND(AF248*AA248+AB248,2)))</f>
        <v>0</v>
      </c>
      <c r="AI248" s="20">
        <f>IF(B248="","",IF(AF248="","",ROUND(AF248-Z248-AH248,2)))</f>
        <v>0</v>
      </c>
      <c r="AJ248" s="33">
        <f>IF(B248="","",IF(OR(AF248="",AF248=0),"",AI248/AF248))</f>
        <v>0</v>
      </c>
      <c r="AK248" s="20">
        <f>IF(B248="","",IF(OR(X248=0,X248="",AI248=""),"",ROUND((AI248+Y248)/(X248/60),2)))</f>
        <v>0</v>
      </c>
      <c r="AL248" s="43">
        <f>IF(B248="","",IF(N248="Not found","Check - no such product ID",IF(AF248="","Check - no price yet",IF(AI248&lt;0,"Loss - this version costs you money",IF(AND(AK248&lt;&gt;"",AK248&lt;MinimumWage),"Below - pays under minimum wage",IF(AND(G248&gt;0,AG248&lt;=0),"Check - extra work, no extra charge",IF(AJ248&lt;MarginWarning,"Low margin - re-price it","OK")))))))</f>
        <v>0</v>
      </c>
    </row>
    <row r="249" spans="1:38">
      <c r="A249" s="38">
        <f>IF(C249="","",VariationPrefix&amp;TEXT(ROW()-4,"0000"))</f>
        <v>0</v>
      </c>
      <c r="N249" s="13">
        <f>IF(B249="","",IFERROR(INDEX(Products!$B$5:$B$304,MATCH(B249,Products!$A$5:$A$304,0)),"Not found"))</f>
        <v>0</v>
      </c>
      <c r="O249" s="20">
        <f>IF(B249="","",IFERROR(INDEX(Products!$T$5:$T$304,MATCH(B249,Products!$A$5:$A$304,0)),""))</f>
        <v>0</v>
      </c>
      <c r="P249" s="20">
        <f>IF(B249="","",IFERROR(INDEX(Products!$Z$5:$Z$304,MATCH(B249,Products!$A$5:$A$304,0)),""))</f>
        <v>0</v>
      </c>
      <c r="Q249" s="20">
        <f>IF(B249="","",IFERROR(INDEX(Products!$AH$5:$AH$304,MATCH(B249,Products!$A$5:$A$304,0))-INDEX(Products!$T$5:$T$304,MATCH(B249,Products!$A$5:$A$304,0))-INDEX(Products!$Z$5:$Z$304,MATCH(B249,Products!$A$5:$A$304,0)),0))</f>
        <v>0</v>
      </c>
      <c r="R249" s="36">
        <f>IF(B249="","",IFERROR(INDEX(Products!$X$5:$X$304,MATCH(B249,Products!$A$5:$A$304,0)),""))</f>
        <v>0</v>
      </c>
      <c r="S249" s="20">
        <f>IF(B249="","",IFERROR(INDEX(Products!$AR$5:$AR$304,MATCH(B249,Products!$A$5:$A$304,0)),""))</f>
        <v>0</v>
      </c>
      <c r="T249" s="41">
        <f>IF(B249="","",IFERROR(INDEX(SizeMaterialFactors,MATCH(E249,SizeNames,0)),1))</f>
        <v>0</v>
      </c>
      <c r="U249" s="41">
        <f>IF(B249="","",IFERROR(INDEX(SizeTimeFactors,MATCH(E249,SizeNames,0)),1))</f>
        <v>0</v>
      </c>
      <c r="V249" s="33">
        <f>IF(B249="","",IFERROR(INDEX(RushFactors,MATCH(H249,RushNames,0)),0))</f>
        <v>0</v>
      </c>
      <c r="W249" s="20">
        <f>IF(B249="","",ROUND(IF(O249="",0,O249)*T249+IF(F249="",0,F249),2))</f>
        <v>0</v>
      </c>
      <c r="X249" s="36">
        <f>IF(B249="","",ROUND(IF(R249="",0,R249)*U249+IF(G249="",0,G249),1))</f>
        <v>0</v>
      </c>
      <c r="Y249" s="20">
        <f>IF(B249="","",ROUND(IF(P249="",0,P249)*U249+IF(G249="",0,G249)/60*LaborCostHour,2))</f>
        <v>0</v>
      </c>
      <c r="Z249" s="20">
        <f>IF(B249="","",ROUND(W249+Y249+IF(Q249="",0,Q249),2))</f>
        <v>0</v>
      </c>
      <c r="AA249" s="33">
        <f>IF(B249="","",IFERROR(INDEX(Channels!$S$5:$S$18,MATCH(IF(J249="",DefaultChannel,J249),Channels!$A$5:$A$18,0)),0))</f>
        <v>0</v>
      </c>
      <c r="AB249" s="20">
        <f>IF(B249="","",IFERROR(INDEX(Channels!$T$5:$T$18,MATCH(IF(J249="",DefaultChannel,J249),Channels!$A$5:$A$18,0)),0))</f>
        <v>0</v>
      </c>
      <c r="AC249" s="41">
        <f>IF(B249="","",1-TargetRetailMargin-AA249)</f>
        <v>0</v>
      </c>
      <c r="AD249" s="20">
        <f>IF(B249="","",IF(AC249&lt;=0,"",((Z249+AB249)/AC249)*(1+V249)+IF(I249="",0,I249)))</f>
        <v>0</v>
      </c>
      <c r="AE249" s="20">
        <f>IF(B249="","",IF(AD249="","Check the settings",ROUND(IF(RoundingRule="None",AD249,IF(RoundingRule="Nearest 0.99",MAX(0.99,CEILING(AD249,1)-0.01),IF(RoundingRule="Nearest 0.95",MAX(0.95,CEILING(AD249,1)-0.05),IF(RoundingRule="Nearest 0.50",CEILING(AD249,0.5),IF(RoundingRule="Nearest 1",CEILING(AD249,1),IF(RoundingRule="Nearest 5",CEILING(AD249,5),IF(RoundingRule="Up to whole 1",CEILING(AD249,1),IF(RoundingRule="Up to whole 5",CEILING(AD249,5),ROUND(AD249,2))))))))),2)))</f>
        <v>0</v>
      </c>
      <c r="AF249" s="20">
        <f>IF(B249="","",IF(K249&lt;&gt;"",K249,IF(ISNUMBER(AE249),AE249,"")))</f>
        <v>0</v>
      </c>
      <c r="AG249" s="20">
        <f>IF(B249="","",IF(OR(AF249="",S249=""),"",ROUND(AF249-S249,2)))</f>
        <v>0</v>
      </c>
      <c r="AH249" s="20">
        <f>IF(B249="","",IF(AF249="","",ROUND(AF249*AA249+AB249,2)))</f>
        <v>0</v>
      </c>
      <c r="AI249" s="20">
        <f>IF(B249="","",IF(AF249="","",ROUND(AF249-Z249-AH249,2)))</f>
        <v>0</v>
      </c>
      <c r="AJ249" s="33">
        <f>IF(B249="","",IF(OR(AF249="",AF249=0),"",AI249/AF249))</f>
        <v>0</v>
      </c>
      <c r="AK249" s="20">
        <f>IF(B249="","",IF(OR(X249=0,X249="",AI249=""),"",ROUND((AI249+Y249)/(X249/60),2)))</f>
        <v>0</v>
      </c>
      <c r="AL249" s="43">
        <f>IF(B249="","",IF(N249="Not found","Check - no such product ID",IF(AF249="","Check - no price yet",IF(AI249&lt;0,"Loss - this version costs you money",IF(AND(AK249&lt;&gt;"",AK249&lt;MinimumWage),"Below - pays under minimum wage",IF(AND(G249&gt;0,AG249&lt;=0),"Check - extra work, no extra charge",IF(AJ249&lt;MarginWarning,"Low margin - re-price it","OK")))))))</f>
        <v>0</v>
      </c>
    </row>
    <row r="250" spans="1:38">
      <c r="A250" s="38">
        <f>IF(C250="","",VariationPrefix&amp;TEXT(ROW()-4,"0000"))</f>
        <v>0</v>
      </c>
      <c r="N250" s="13">
        <f>IF(B250="","",IFERROR(INDEX(Products!$B$5:$B$304,MATCH(B250,Products!$A$5:$A$304,0)),"Not found"))</f>
        <v>0</v>
      </c>
      <c r="O250" s="20">
        <f>IF(B250="","",IFERROR(INDEX(Products!$T$5:$T$304,MATCH(B250,Products!$A$5:$A$304,0)),""))</f>
        <v>0</v>
      </c>
      <c r="P250" s="20">
        <f>IF(B250="","",IFERROR(INDEX(Products!$Z$5:$Z$304,MATCH(B250,Products!$A$5:$A$304,0)),""))</f>
        <v>0</v>
      </c>
      <c r="Q250" s="20">
        <f>IF(B250="","",IFERROR(INDEX(Products!$AH$5:$AH$304,MATCH(B250,Products!$A$5:$A$304,0))-INDEX(Products!$T$5:$T$304,MATCH(B250,Products!$A$5:$A$304,0))-INDEX(Products!$Z$5:$Z$304,MATCH(B250,Products!$A$5:$A$304,0)),0))</f>
        <v>0</v>
      </c>
      <c r="R250" s="36">
        <f>IF(B250="","",IFERROR(INDEX(Products!$X$5:$X$304,MATCH(B250,Products!$A$5:$A$304,0)),""))</f>
        <v>0</v>
      </c>
      <c r="S250" s="20">
        <f>IF(B250="","",IFERROR(INDEX(Products!$AR$5:$AR$304,MATCH(B250,Products!$A$5:$A$304,0)),""))</f>
        <v>0</v>
      </c>
      <c r="T250" s="41">
        <f>IF(B250="","",IFERROR(INDEX(SizeMaterialFactors,MATCH(E250,SizeNames,0)),1))</f>
        <v>0</v>
      </c>
      <c r="U250" s="41">
        <f>IF(B250="","",IFERROR(INDEX(SizeTimeFactors,MATCH(E250,SizeNames,0)),1))</f>
        <v>0</v>
      </c>
      <c r="V250" s="33">
        <f>IF(B250="","",IFERROR(INDEX(RushFactors,MATCH(H250,RushNames,0)),0))</f>
        <v>0</v>
      </c>
      <c r="W250" s="20">
        <f>IF(B250="","",ROUND(IF(O250="",0,O250)*T250+IF(F250="",0,F250),2))</f>
        <v>0</v>
      </c>
      <c r="X250" s="36">
        <f>IF(B250="","",ROUND(IF(R250="",0,R250)*U250+IF(G250="",0,G250),1))</f>
        <v>0</v>
      </c>
      <c r="Y250" s="20">
        <f>IF(B250="","",ROUND(IF(P250="",0,P250)*U250+IF(G250="",0,G250)/60*LaborCostHour,2))</f>
        <v>0</v>
      </c>
      <c r="Z250" s="20">
        <f>IF(B250="","",ROUND(W250+Y250+IF(Q250="",0,Q250),2))</f>
        <v>0</v>
      </c>
      <c r="AA250" s="33">
        <f>IF(B250="","",IFERROR(INDEX(Channels!$S$5:$S$18,MATCH(IF(J250="",DefaultChannel,J250),Channels!$A$5:$A$18,0)),0))</f>
        <v>0</v>
      </c>
      <c r="AB250" s="20">
        <f>IF(B250="","",IFERROR(INDEX(Channels!$T$5:$T$18,MATCH(IF(J250="",DefaultChannel,J250),Channels!$A$5:$A$18,0)),0))</f>
        <v>0</v>
      </c>
      <c r="AC250" s="41">
        <f>IF(B250="","",1-TargetRetailMargin-AA250)</f>
        <v>0</v>
      </c>
      <c r="AD250" s="20">
        <f>IF(B250="","",IF(AC250&lt;=0,"",((Z250+AB250)/AC250)*(1+V250)+IF(I250="",0,I250)))</f>
        <v>0</v>
      </c>
      <c r="AE250" s="20">
        <f>IF(B250="","",IF(AD250="","Check the settings",ROUND(IF(RoundingRule="None",AD250,IF(RoundingRule="Nearest 0.99",MAX(0.99,CEILING(AD250,1)-0.01),IF(RoundingRule="Nearest 0.95",MAX(0.95,CEILING(AD250,1)-0.05),IF(RoundingRule="Nearest 0.50",CEILING(AD250,0.5),IF(RoundingRule="Nearest 1",CEILING(AD250,1),IF(RoundingRule="Nearest 5",CEILING(AD250,5),IF(RoundingRule="Up to whole 1",CEILING(AD250,1),IF(RoundingRule="Up to whole 5",CEILING(AD250,5),ROUND(AD250,2))))))))),2)))</f>
        <v>0</v>
      </c>
      <c r="AF250" s="20">
        <f>IF(B250="","",IF(K250&lt;&gt;"",K250,IF(ISNUMBER(AE250),AE250,"")))</f>
        <v>0</v>
      </c>
      <c r="AG250" s="20">
        <f>IF(B250="","",IF(OR(AF250="",S250=""),"",ROUND(AF250-S250,2)))</f>
        <v>0</v>
      </c>
      <c r="AH250" s="20">
        <f>IF(B250="","",IF(AF250="","",ROUND(AF250*AA250+AB250,2)))</f>
        <v>0</v>
      </c>
      <c r="AI250" s="20">
        <f>IF(B250="","",IF(AF250="","",ROUND(AF250-Z250-AH250,2)))</f>
        <v>0</v>
      </c>
      <c r="AJ250" s="33">
        <f>IF(B250="","",IF(OR(AF250="",AF250=0),"",AI250/AF250))</f>
        <v>0</v>
      </c>
      <c r="AK250" s="20">
        <f>IF(B250="","",IF(OR(X250=0,X250="",AI250=""),"",ROUND((AI250+Y250)/(X250/60),2)))</f>
        <v>0</v>
      </c>
      <c r="AL250" s="43">
        <f>IF(B250="","",IF(N250="Not found","Check - no such product ID",IF(AF250="","Check - no price yet",IF(AI250&lt;0,"Loss - this version costs you money",IF(AND(AK250&lt;&gt;"",AK250&lt;MinimumWage),"Below - pays under minimum wage",IF(AND(G250&gt;0,AG250&lt;=0),"Check - extra work, no extra charge",IF(AJ250&lt;MarginWarning,"Low margin - re-price it","OK")))))))</f>
        <v>0</v>
      </c>
    </row>
    <row r="251" spans="1:38">
      <c r="A251" s="38">
        <f>IF(C251="","",VariationPrefix&amp;TEXT(ROW()-4,"0000"))</f>
        <v>0</v>
      </c>
      <c r="N251" s="13">
        <f>IF(B251="","",IFERROR(INDEX(Products!$B$5:$B$304,MATCH(B251,Products!$A$5:$A$304,0)),"Not found"))</f>
        <v>0</v>
      </c>
      <c r="O251" s="20">
        <f>IF(B251="","",IFERROR(INDEX(Products!$T$5:$T$304,MATCH(B251,Products!$A$5:$A$304,0)),""))</f>
        <v>0</v>
      </c>
      <c r="P251" s="20">
        <f>IF(B251="","",IFERROR(INDEX(Products!$Z$5:$Z$304,MATCH(B251,Products!$A$5:$A$304,0)),""))</f>
        <v>0</v>
      </c>
      <c r="Q251" s="20">
        <f>IF(B251="","",IFERROR(INDEX(Products!$AH$5:$AH$304,MATCH(B251,Products!$A$5:$A$304,0))-INDEX(Products!$T$5:$T$304,MATCH(B251,Products!$A$5:$A$304,0))-INDEX(Products!$Z$5:$Z$304,MATCH(B251,Products!$A$5:$A$304,0)),0))</f>
        <v>0</v>
      </c>
      <c r="R251" s="36">
        <f>IF(B251="","",IFERROR(INDEX(Products!$X$5:$X$304,MATCH(B251,Products!$A$5:$A$304,0)),""))</f>
        <v>0</v>
      </c>
      <c r="S251" s="20">
        <f>IF(B251="","",IFERROR(INDEX(Products!$AR$5:$AR$304,MATCH(B251,Products!$A$5:$A$304,0)),""))</f>
        <v>0</v>
      </c>
      <c r="T251" s="41">
        <f>IF(B251="","",IFERROR(INDEX(SizeMaterialFactors,MATCH(E251,SizeNames,0)),1))</f>
        <v>0</v>
      </c>
      <c r="U251" s="41">
        <f>IF(B251="","",IFERROR(INDEX(SizeTimeFactors,MATCH(E251,SizeNames,0)),1))</f>
        <v>0</v>
      </c>
      <c r="V251" s="33">
        <f>IF(B251="","",IFERROR(INDEX(RushFactors,MATCH(H251,RushNames,0)),0))</f>
        <v>0</v>
      </c>
      <c r="W251" s="20">
        <f>IF(B251="","",ROUND(IF(O251="",0,O251)*T251+IF(F251="",0,F251),2))</f>
        <v>0</v>
      </c>
      <c r="X251" s="36">
        <f>IF(B251="","",ROUND(IF(R251="",0,R251)*U251+IF(G251="",0,G251),1))</f>
        <v>0</v>
      </c>
      <c r="Y251" s="20">
        <f>IF(B251="","",ROUND(IF(P251="",0,P251)*U251+IF(G251="",0,G251)/60*LaborCostHour,2))</f>
        <v>0</v>
      </c>
      <c r="Z251" s="20">
        <f>IF(B251="","",ROUND(W251+Y251+IF(Q251="",0,Q251),2))</f>
        <v>0</v>
      </c>
      <c r="AA251" s="33">
        <f>IF(B251="","",IFERROR(INDEX(Channels!$S$5:$S$18,MATCH(IF(J251="",DefaultChannel,J251),Channels!$A$5:$A$18,0)),0))</f>
        <v>0</v>
      </c>
      <c r="AB251" s="20">
        <f>IF(B251="","",IFERROR(INDEX(Channels!$T$5:$T$18,MATCH(IF(J251="",DefaultChannel,J251),Channels!$A$5:$A$18,0)),0))</f>
        <v>0</v>
      </c>
      <c r="AC251" s="41">
        <f>IF(B251="","",1-TargetRetailMargin-AA251)</f>
        <v>0</v>
      </c>
      <c r="AD251" s="20">
        <f>IF(B251="","",IF(AC251&lt;=0,"",((Z251+AB251)/AC251)*(1+V251)+IF(I251="",0,I251)))</f>
        <v>0</v>
      </c>
      <c r="AE251" s="20">
        <f>IF(B251="","",IF(AD251="","Check the settings",ROUND(IF(RoundingRule="None",AD251,IF(RoundingRule="Nearest 0.99",MAX(0.99,CEILING(AD251,1)-0.01),IF(RoundingRule="Nearest 0.95",MAX(0.95,CEILING(AD251,1)-0.05),IF(RoundingRule="Nearest 0.50",CEILING(AD251,0.5),IF(RoundingRule="Nearest 1",CEILING(AD251,1),IF(RoundingRule="Nearest 5",CEILING(AD251,5),IF(RoundingRule="Up to whole 1",CEILING(AD251,1),IF(RoundingRule="Up to whole 5",CEILING(AD251,5),ROUND(AD251,2))))))))),2)))</f>
        <v>0</v>
      </c>
      <c r="AF251" s="20">
        <f>IF(B251="","",IF(K251&lt;&gt;"",K251,IF(ISNUMBER(AE251),AE251,"")))</f>
        <v>0</v>
      </c>
      <c r="AG251" s="20">
        <f>IF(B251="","",IF(OR(AF251="",S251=""),"",ROUND(AF251-S251,2)))</f>
        <v>0</v>
      </c>
      <c r="AH251" s="20">
        <f>IF(B251="","",IF(AF251="","",ROUND(AF251*AA251+AB251,2)))</f>
        <v>0</v>
      </c>
      <c r="AI251" s="20">
        <f>IF(B251="","",IF(AF251="","",ROUND(AF251-Z251-AH251,2)))</f>
        <v>0</v>
      </c>
      <c r="AJ251" s="33">
        <f>IF(B251="","",IF(OR(AF251="",AF251=0),"",AI251/AF251))</f>
        <v>0</v>
      </c>
      <c r="AK251" s="20">
        <f>IF(B251="","",IF(OR(X251=0,X251="",AI251=""),"",ROUND((AI251+Y251)/(X251/60),2)))</f>
        <v>0</v>
      </c>
      <c r="AL251" s="43">
        <f>IF(B251="","",IF(N251="Not found","Check - no such product ID",IF(AF251="","Check - no price yet",IF(AI251&lt;0,"Loss - this version costs you money",IF(AND(AK251&lt;&gt;"",AK251&lt;MinimumWage),"Below - pays under minimum wage",IF(AND(G251&gt;0,AG251&lt;=0),"Check - extra work, no extra charge",IF(AJ251&lt;MarginWarning,"Low margin - re-price it","OK")))))))</f>
        <v>0</v>
      </c>
    </row>
    <row r="252" spans="1:38">
      <c r="A252" s="38">
        <f>IF(C252="","",VariationPrefix&amp;TEXT(ROW()-4,"0000"))</f>
        <v>0</v>
      </c>
      <c r="N252" s="13">
        <f>IF(B252="","",IFERROR(INDEX(Products!$B$5:$B$304,MATCH(B252,Products!$A$5:$A$304,0)),"Not found"))</f>
        <v>0</v>
      </c>
      <c r="O252" s="20">
        <f>IF(B252="","",IFERROR(INDEX(Products!$T$5:$T$304,MATCH(B252,Products!$A$5:$A$304,0)),""))</f>
        <v>0</v>
      </c>
      <c r="P252" s="20">
        <f>IF(B252="","",IFERROR(INDEX(Products!$Z$5:$Z$304,MATCH(B252,Products!$A$5:$A$304,0)),""))</f>
        <v>0</v>
      </c>
      <c r="Q252" s="20">
        <f>IF(B252="","",IFERROR(INDEX(Products!$AH$5:$AH$304,MATCH(B252,Products!$A$5:$A$304,0))-INDEX(Products!$T$5:$T$304,MATCH(B252,Products!$A$5:$A$304,0))-INDEX(Products!$Z$5:$Z$304,MATCH(B252,Products!$A$5:$A$304,0)),0))</f>
        <v>0</v>
      </c>
      <c r="R252" s="36">
        <f>IF(B252="","",IFERROR(INDEX(Products!$X$5:$X$304,MATCH(B252,Products!$A$5:$A$304,0)),""))</f>
        <v>0</v>
      </c>
      <c r="S252" s="20">
        <f>IF(B252="","",IFERROR(INDEX(Products!$AR$5:$AR$304,MATCH(B252,Products!$A$5:$A$304,0)),""))</f>
        <v>0</v>
      </c>
      <c r="T252" s="41">
        <f>IF(B252="","",IFERROR(INDEX(SizeMaterialFactors,MATCH(E252,SizeNames,0)),1))</f>
        <v>0</v>
      </c>
      <c r="U252" s="41">
        <f>IF(B252="","",IFERROR(INDEX(SizeTimeFactors,MATCH(E252,SizeNames,0)),1))</f>
        <v>0</v>
      </c>
      <c r="V252" s="33">
        <f>IF(B252="","",IFERROR(INDEX(RushFactors,MATCH(H252,RushNames,0)),0))</f>
        <v>0</v>
      </c>
      <c r="W252" s="20">
        <f>IF(B252="","",ROUND(IF(O252="",0,O252)*T252+IF(F252="",0,F252),2))</f>
        <v>0</v>
      </c>
      <c r="X252" s="36">
        <f>IF(B252="","",ROUND(IF(R252="",0,R252)*U252+IF(G252="",0,G252),1))</f>
        <v>0</v>
      </c>
      <c r="Y252" s="20">
        <f>IF(B252="","",ROUND(IF(P252="",0,P252)*U252+IF(G252="",0,G252)/60*LaborCostHour,2))</f>
        <v>0</v>
      </c>
      <c r="Z252" s="20">
        <f>IF(B252="","",ROUND(W252+Y252+IF(Q252="",0,Q252),2))</f>
        <v>0</v>
      </c>
      <c r="AA252" s="33">
        <f>IF(B252="","",IFERROR(INDEX(Channels!$S$5:$S$18,MATCH(IF(J252="",DefaultChannel,J252),Channels!$A$5:$A$18,0)),0))</f>
        <v>0</v>
      </c>
      <c r="AB252" s="20">
        <f>IF(B252="","",IFERROR(INDEX(Channels!$T$5:$T$18,MATCH(IF(J252="",DefaultChannel,J252),Channels!$A$5:$A$18,0)),0))</f>
        <v>0</v>
      </c>
      <c r="AC252" s="41">
        <f>IF(B252="","",1-TargetRetailMargin-AA252)</f>
        <v>0</v>
      </c>
      <c r="AD252" s="20">
        <f>IF(B252="","",IF(AC252&lt;=0,"",((Z252+AB252)/AC252)*(1+V252)+IF(I252="",0,I252)))</f>
        <v>0</v>
      </c>
      <c r="AE252" s="20">
        <f>IF(B252="","",IF(AD252="","Check the settings",ROUND(IF(RoundingRule="None",AD252,IF(RoundingRule="Nearest 0.99",MAX(0.99,CEILING(AD252,1)-0.01),IF(RoundingRule="Nearest 0.95",MAX(0.95,CEILING(AD252,1)-0.05),IF(RoundingRule="Nearest 0.50",CEILING(AD252,0.5),IF(RoundingRule="Nearest 1",CEILING(AD252,1),IF(RoundingRule="Nearest 5",CEILING(AD252,5),IF(RoundingRule="Up to whole 1",CEILING(AD252,1),IF(RoundingRule="Up to whole 5",CEILING(AD252,5),ROUND(AD252,2))))))))),2)))</f>
        <v>0</v>
      </c>
      <c r="AF252" s="20">
        <f>IF(B252="","",IF(K252&lt;&gt;"",K252,IF(ISNUMBER(AE252),AE252,"")))</f>
        <v>0</v>
      </c>
      <c r="AG252" s="20">
        <f>IF(B252="","",IF(OR(AF252="",S252=""),"",ROUND(AF252-S252,2)))</f>
        <v>0</v>
      </c>
      <c r="AH252" s="20">
        <f>IF(B252="","",IF(AF252="","",ROUND(AF252*AA252+AB252,2)))</f>
        <v>0</v>
      </c>
      <c r="AI252" s="20">
        <f>IF(B252="","",IF(AF252="","",ROUND(AF252-Z252-AH252,2)))</f>
        <v>0</v>
      </c>
      <c r="AJ252" s="33">
        <f>IF(B252="","",IF(OR(AF252="",AF252=0),"",AI252/AF252))</f>
        <v>0</v>
      </c>
      <c r="AK252" s="20">
        <f>IF(B252="","",IF(OR(X252=0,X252="",AI252=""),"",ROUND((AI252+Y252)/(X252/60),2)))</f>
        <v>0</v>
      </c>
      <c r="AL252" s="43">
        <f>IF(B252="","",IF(N252="Not found","Check - no such product ID",IF(AF252="","Check - no price yet",IF(AI252&lt;0,"Loss - this version costs you money",IF(AND(AK252&lt;&gt;"",AK252&lt;MinimumWage),"Below - pays under minimum wage",IF(AND(G252&gt;0,AG252&lt;=0),"Check - extra work, no extra charge",IF(AJ252&lt;MarginWarning,"Low margin - re-price it","OK")))))))</f>
        <v>0</v>
      </c>
    </row>
    <row r="253" spans="1:38">
      <c r="A253" s="38">
        <f>IF(C253="","",VariationPrefix&amp;TEXT(ROW()-4,"0000"))</f>
        <v>0</v>
      </c>
      <c r="N253" s="13">
        <f>IF(B253="","",IFERROR(INDEX(Products!$B$5:$B$304,MATCH(B253,Products!$A$5:$A$304,0)),"Not found"))</f>
        <v>0</v>
      </c>
      <c r="O253" s="20">
        <f>IF(B253="","",IFERROR(INDEX(Products!$T$5:$T$304,MATCH(B253,Products!$A$5:$A$304,0)),""))</f>
        <v>0</v>
      </c>
      <c r="P253" s="20">
        <f>IF(B253="","",IFERROR(INDEX(Products!$Z$5:$Z$304,MATCH(B253,Products!$A$5:$A$304,0)),""))</f>
        <v>0</v>
      </c>
      <c r="Q253" s="20">
        <f>IF(B253="","",IFERROR(INDEX(Products!$AH$5:$AH$304,MATCH(B253,Products!$A$5:$A$304,0))-INDEX(Products!$T$5:$T$304,MATCH(B253,Products!$A$5:$A$304,0))-INDEX(Products!$Z$5:$Z$304,MATCH(B253,Products!$A$5:$A$304,0)),0))</f>
        <v>0</v>
      </c>
      <c r="R253" s="36">
        <f>IF(B253="","",IFERROR(INDEX(Products!$X$5:$X$304,MATCH(B253,Products!$A$5:$A$304,0)),""))</f>
        <v>0</v>
      </c>
      <c r="S253" s="20">
        <f>IF(B253="","",IFERROR(INDEX(Products!$AR$5:$AR$304,MATCH(B253,Products!$A$5:$A$304,0)),""))</f>
        <v>0</v>
      </c>
      <c r="T253" s="41">
        <f>IF(B253="","",IFERROR(INDEX(SizeMaterialFactors,MATCH(E253,SizeNames,0)),1))</f>
        <v>0</v>
      </c>
      <c r="U253" s="41">
        <f>IF(B253="","",IFERROR(INDEX(SizeTimeFactors,MATCH(E253,SizeNames,0)),1))</f>
        <v>0</v>
      </c>
      <c r="V253" s="33">
        <f>IF(B253="","",IFERROR(INDEX(RushFactors,MATCH(H253,RushNames,0)),0))</f>
        <v>0</v>
      </c>
      <c r="W253" s="20">
        <f>IF(B253="","",ROUND(IF(O253="",0,O253)*T253+IF(F253="",0,F253),2))</f>
        <v>0</v>
      </c>
      <c r="X253" s="36">
        <f>IF(B253="","",ROUND(IF(R253="",0,R253)*U253+IF(G253="",0,G253),1))</f>
        <v>0</v>
      </c>
      <c r="Y253" s="20">
        <f>IF(B253="","",ROUND(IF(P253="",0,P253)*U253+IF(G253="",0,G253)/60*LaborCostHour,2))</f>
        <v>0</v>
      </c>
      <c r="Z253" s="20">
        <f>IF(B253="","",ROUND(W253+Y253+IF(Q253="",0,Q253),2))</f>
        <v>0</v>
      </c>
      <c r="AA253" s="33">
        <f>IF(B253="","",IFERROR(INDEX(Channels!$S$5:$S$18,MATCH(IF(J253="",DefaultChannel,J253),Channels!$A$5:$A$18,0)),0))</f>
        <v>0</v>
      </c>
      <c r="AB253" s="20">
        <f>IF(B253="","",IFERROR(INDEX(Channels!$T$5:$T$18,MATCH(IF(J253="",DefaultChannel,J253),Channels!$A$5:$A$18,0)),0))</f>
        <v>0</v>
      </c>
      <c r="AC253" s="41">
        <f>IF(B253="","",1-TargetRetailMargin-AA253)</f>
        <v>0</v>
      </c>
      <c r="AD253" s="20">
        <f>IF(B253="","",IF(AC253&lt;=0,"",((Z253+AB253)/AC253)*(1+V253)+IF(I253="",0,I253)))</f>
        <v>0</v>
      </c>
      <c r="AE253" s="20">
        <f>IF(B253="","",IF(AD253="","Check the settings",ROUND(IF(RoundingRule="None",AD253,IF(RoundingRule="Nearest 0.99",MAX(0.99,CEILING(AD253,1)-0.01),IF(RoundingRule="Nearest 0.95",MAX(0.95,CEILING(AD253,1)-0.05),IF(RoundingRule="Nearest 0.50",CEILING(AD253,0.5),IF(RoundingRule="Nearest 1",CEILING(AD253,1),IF(RoundingRule="Nearest 5",CEILING(AD253,5),IF(RoundingRule="Up to whole 1",CEILING(AD253,1),IF(RoundingRule="Up to whole 5",CEILING(AD253,5),ROUND(AD253,2))))))))),2)))</f>
        <v>0</v>
      </c>
      <c r="AF253" s="20">
        <f>IF(B253="","",IF(K253&lt;&gt;"",K253,IF(ISNUMBER(AE253),AE253,"")))</f>
        <v>0</v>
      </c>
      <c r="AG253" s="20">
        <f>IF(B253="","",IF(OR(AF253="",S253=""),"",ROUND(AF253-S253,2)))</f>
        <v>0</v>
      </c>
      <c r="AH253" s="20">
        <f>IF(B253="","",IF(AF253="","",ROUND(AF253*AA253+AB253,2)))</f>
        <v>0</v>
      </c>
      <c r="AI253" s="20">
        <f>IF(B253="","",IF(AF253="","",ROUND(AF253-Z253-AH253,2)))</f>
        <v>0</v>
      </c>
      <c r="AJ253" s="33">
        <f>IF(B253="","",IF(OR(AF253="",AF253=0),"",AI253/AF253))</f>
        <v>0</v>
      </c>
      <c r="AK253" s="20">
        <f>IF(B253="","",IF(OR(X253=0,X253="",AI253=""),"",ROUND((AI253+Y253)/(X253/60),2)))</f>
        <v>0</v>
      </c>
      <c r="AL253" s="43">
        <f>IF(B253="","",IF(N253="Not found","Check - no such product ID",IF(AF253="","Check - no price yet",IF(AI253&lt;0,"Loss - this version costs you money",IF(AND(AK253&lt;&gt;"",AK253&lt;MinimumWage),"Below - pays under minimum wage",IF(AND(G253&gt;0,AG253&lt;=0),"Check - extra work, no extra charge",IF(AJ253&lt;MarginWarning,"Low margin - re-price it","OK")))))))</f>
        <v>0</v>
      </c>
    </row>
    <row r="254" spans="1:38">
      <c r="A254" s="38">
        <f>IF(C254="","",VariationPrefix&amp;TEXT(ROW()-4,"0000"))</f>
        <v>0</v>
      </c>
      <c r="N254" s="13">
        <f>IF(B254="","",IFERROR(INDEX(Products!$B$5:$B$304,MATCH(B254,Products!$A$5:$A$304,0)),"Not found"))</f>
        <v>0</v>
      </c>
      <c r="O254" s="20">
        <f>IF(B254="","",IFERROR(INDEX(Products!$T$5:$T$304,MATCH(B254,Products!$A$5:$A$304,0)),""))</f>
        <v>0</v>
      </c>
      <c r="P254" s="20">
        <f>IF(B254="","",IFERROR(INDEX(Products!$Z$5:$Z$304,MATCH(B254,Products!$A$5:$A$304,0)),""))</f>
        <v>0</v>
      </c>
      <c r="Q254" s="20">
        <f>IF(B254="","",IFERROR(INDEX(Products!$AH$5:$AH$304,MATCH(B254,Products!$A$5:$A$304,0))-INDEX(Products!$T$5:$T$304,MATCH(B254,Products!$A$5:$A$304,0))-INDEX(Products!$Z$5:$Z$304,MATCH(B254,Products!$A$5:$A$304,0)),0))</f>
        <v>0</v>
      </c>
      <c r="R254" s="36">
        <f>IF(B254="","",IFERROR(INDEX(Products!$X$5:$X$304,MATCH(B254,Products!$A$5:$A$304,0)),""))</f>
        <v>0</v>
      </c>
      <c r="S254" s="20">
        <f>IF(B254="","",IFERROR(INDEX(Products!$AR$5:$AR$304,MATCH(B254,Products!$A$5:$A$304,0)),""))</f>
        <v>0</v>
      </c>
      <c r="T254" s="41">
        <f>IF(B254="","",IFERROR(INDEX(SizeMaterialFactors,MATCH(E254,SizeNames,0)),1))</f>
        <v>0</v>
      </c>
      <c r="U254" s="41">
        <f>IF(B254="","",IFERROR(INDEX(SizeTimeFactors,MATCH(E254,SizeNames,0)),1))</f>
        <v>0</v>
      </c>
      <c r="V254" s="33">
        <f>IF(B254="","",IFERROR(INDEX(RushFactors,MATCH(H254,RushNames,0)),0))</f>
        <v>0</v>
      </c>
      <c r="W254" s="20">
        <f>IF(B254="","",ROUND(IF(O254="",0,O254)*T254+IF(F254="",0,F254),2))</f>
        <v>0</v>
      </c>
      <c r="X254" s="36">
        <f>IF(B254="","",ROUND(IF(R254="",0,R254)*U254+IF(G254="",0,G254),1))</f>
        <v>0</v>
      </c>
      <c r="Y254" s="20">
        <f>IF(B254="","",ROUND(IF(P254="",0,P254)*U254+IF(G254="",0,G254)/60*LaborCostHour,2))</f>
        <v>0</v>
      </c>
      <c r="Z254" s="20">
        <f>IF(B254="","",ROUND(W254+Y254+IF(Q254="",0,Q254),2))</f>
        <v>0</v>
      </c>
      <c r="AA254" s="33">
        <f>IF(B254="","",IFERROR(INDEX(Channels!$S$5:$S$18,MATCH(IF(J254="",DefaultChannel,J254),Channels!$A$5:$A$18,0)),0))</f>
        <v>0</v>
      </c>
      <c r="AB254" s="20">
        <f>IF(B254="","",IFERROR(INDEX(Channels!$T$5:$T$18,MATCH(IF(J254="",DefaultChannel,J254),Channels!$A$5:$A$18,0)),0))</f>
        <v>0</v>
      </c>
      <c r="AC254" s="41">
        <f>IF(B254="","",1-TargetRetailMargin-AA254)</f>
        <v>0</v>
      </c>
      <c r="AD254" s="20">
        <f>IF(B254="","",IF(AC254&lt;=0,"",((Z254+AB254)/AC254)*(1+V254)+IF(I254="",0,I254)))</f>
        <v>0</v>
      </c>
      <c r="AE254" s="20">
        <f>IF(B254="","",IF(AD254="","Check the settings",ROUND(IF(RoundingRule="None",AD254,IF(RoundingRule="Nearest 0.99",MAX(0.99,CEILING(AD254,1)-0.01),IF(RoundingRule="Nearest 0.95",MAX(0.95,CEILING(AD254,1)-0.05),IF(RoundingRule="Nearest 0.50",CEILING(AD254,0.5),IF(RoundingRule="Nearest 1",CEILING(AD254,1),IF(RoundingRule="Nearest 5",CEILING(AD254,5),IF(RoundingRule="Up to whole 1",CEILING(AD254,1),IF(RoundingRule="Up to whole 5",CEILING(AD254,5),ROUND(AD254,2))))))))),2)))</f>
        <v>0</v>
      </c>
      <c r="AF254" s="20">
        <f>IF(B254="","",IF(K254&lt;&gt;"",K254,IF(ISNUMBER(AE254),AE254,"")))</f>
        <v>0</v>
      </c>
      <c r="AG254" s="20">
        <f>IF(B254="","",IF(OR(AF254="",S254=""),"",ROUND(AF254-S254,2)))</f>
        <v>0</v>
      </c>
      <c r="AH254" s="20">
        <f>IF(B254="","",IF(AF254="","",ROUND(AF254*AA254+AB254,2)))</f>
        <v>0</v>
      </c>
      <c r="AI254" s="20">
        <f>IF(B254="","",IF(AF254="","",ROUND(AF254-Z254-AH254,2)))</f>
        <v>0</v>
      </c>
      <c r="AJ254" s="33">
        <f>IF(B254="","",IF(OR(AF254="",AF254=0),"",AI254/AF254))</f>
        <v>0</v>
      </c>
      <c r="AK254" s="20">
        <f>IF(B254="","",IF(OR(X254=0,X254="",AI254=""),"",ROUND((AI254+Y254)/(X254/60),2)))</f>
        <v>0</v>
      </c>
      <c r="AL254" s="43">
        <f>IF(B254="","",IF(N254="Not found","Check - no such product ID",IF(AF254="","Check - no price yet",IF(AI254&lt;0,"Loss - this version costs you money",IF(AND(AK254&lt;&gt;"",AK254&lt;MinimumWage),"Below - pays under minimum wage",IF(AND(G254&gt;0,AG254&lt;=0),"Check - extra work, no extra charge",IF(AJ254&lt;MarginWarning,"Low margin - re-price it","OK")))))))</f>
        <v>0</v>
      </c>
    </row>
    <row r="255" spans="1:38">
      <c r="A255" s="38">
        <f>IF(C255="","",VariationPrefix&amp;TEXT(ROW()-4,"0000"))</f>
        <v>0</v>
      </c>
      <c r="N255" s="13">
        <f>IF(B255="","",IFERROR(INDEX(Products!$B$5:$B$304,MATCH(B255,Products!$A$5:$A$304,0)),"Not found"))</f>
        <v>0</v>
      </c>
      <c r="O255" s="20">
        <f>IF(B255="","",IFERROR(INDEX(Products!$T$5:$T$304,MATCH(B255,Products!$A$5:$A$304,0)),""))</f>
        <v>0</v>
      </c>
      <c r="P255" s="20">
        <f>IF(B255="","",IFERROR(INDEX(Products!$Z$5:$Z$304,MATCH(B255,Products!$A$5:$A$304,0)),""))</f>
        <v>0</v>
      </c>
      <c r="Q255" s="20">
        <f>IF(B255="","",IFERROR(INDEX(Products!$AH$5:$AH$304,MATCH(B255,Products!$A$5:$A$304,0))-INDEX(Products!$T$5:$T$304,MATCH(B255,Products!$A$5:$A$304,0))-INDEX(Products!$Z$5:$Z$304,MATCH(B255,Products!$A$5:$A$304,0)),0))</f>
        <v>0</v>
      </c>
      <c r="R255" s="36">
        <f>IF(B255="","",IFERROR(INDEX(Products!$X$5:$X$304,MATCH(B255,Products!$A$5:$A$304,0)),""))</f>
        <v>0</v>
      </c>
      <c r="S255" s="20">
        <f>IF(B255="","",IFERROR(INDEX(Products!$AR$5:$AR$304,MATCH(B255,Products!$A$5:$A$304,0)),""))</f>
        <v>0</v>
      </c>
      <c r="T255" s="41">
        <f>IF(B255="","",IFERROR(INDEX(SizeMaterialFactors,MATCH(E255,SizeNames,0)),1))</f>
        <v>0</v>
      </c>
      <c r="U255" s="41">
        <f>IF(B255="","",IFERROR(INDEX(SizeTimeFactors,MATCH(E255,SizeNames,0)),1))</f>
        <v>0</v>
      </c>
      <c r="V255" s="33">
        <f>IF(B255="","",IFERROR(INDEX(RushFactors,MATCH(H255,RushNames,0)),0))</f>
        <v>0</v>
      </c>
      <c r="W255" s="20">
        <f>IF(B255="","",ROUND(IF(O255="",0,O255)*T255+IF(F255="",0,F255),2))</f>
        <v>0</v>
      </c>
      <c r="X255" s="36">
        <f>IF(B255="","",ROUND(IF(R255="",0,R255)*U255+IF(G255="",0,G255),1))</f>
        <v>0</v>
      </c>
      <c r="Y255" s="20">
        <f>IF(B255="","",ROUND(IF(P255="",0,P255)*U255+IF(G255="",0,G255)/60*LaborCostHour,2))</f>
        <v>0</v>
      </c>
      <c r="Z255" s="20">
        <f>IF(B255="","",ROUND(W255+Y255+IF(Q255="",0,Q255),2))</f>
        <v>0</v>
      </c>
      <c r="AA255" s="33">
        <f>IF(B255="","",IFERROR(INDEX(Channels!$S$5:$S$18,MATCH(IF(J255="",DefaultChannel,J255),Channels!$A$5:$A$18,0)),0))</f>
        <v>0</v>
      </c>
      <c r="AB255" s="20">
        <f>IF(B255="","",IFERROR(INDEX(Channels!$T$5:$T$18,MATCH(IF(J255="",DefaultChannel,J255),Channels!$A$5:$A$18,0)),0))</f>
        <v>0</v>
      </c>
      <c r="AC255" s="41">
        <f>IF(B255="","",1-TargetRetailMargin-AA255)</f>
        <v>0</v>
      </c>
      <c r="AD255" s="20">
        <f>IF(B255="","",IF(AC255&lt;=0,"",((Z255+AB255)/AC255)*(1+V255)+IF(I255="",0,I255)))</f>
        <v>0</v>
      </c>
      <c r="AE255" s="20">
        <f>IF(B255="","",IF(AD255="","Check the settings",ROUND(IF(RoundingRule="None",AD255,IF(RoundingRule="Nearest 0.99",MAX(0.99,CEILING(AD255,1)-0.01),IF(RoundingRule="Nearest 0.95",MAX(0.95,CEILING(AD255,1)-0.05),IF(RoundingRule="Nearest 0.50",CEILING(AD255,0.5),IF(RoundingRule="Nearest 1",CEILING(AD255,1),IF(RoundingRule="Nearest 5",CEILING(AD255,5),IF(RoundingRule="Up to whole 1",CEILING(AD255,1),IF(RoundingRule="Up to whole 5",CEILING(AD255,5),ROUND(AD255,2))))))))),2)))</f>
        <v>0</v>
      </c>
      <c r="AF255" s="20">
        <f>IF(B255="","",IF(K255&lt;&gt;"",K255,IF(ISNUMBER(AE255),AE255,"")))</f>
        <v>0</v>
      </c>
      <c r="AG255" s="20">
        <f>IF(B255="","",IF(OR(AF255="",S255=""),"",ROUND(AF255-S255,2)))</f>
        <v>0</v>
      </c>
      <c r="AH255" s="20">
        <f>IF(B255="","",IF(AF255="","",ROUND(AF255*AA255+AB255,2)))</f>
        <v>0</v>
      </c>
      <c r="AI255" s="20">
        <f>IF(B255="","",IF(AF255="","",ROUND(AF255-Z255-AH255,2)))</f>
        <v>0</v>
      </c>
      <c r="AJ255" s="33">
        <f>IF(B255="","",IF(OR(AF255="",AF255=0),"",AI255/AF255))</f>
        <v>0</v>
      </c>
      <c r="AK255" s="20">
        <f>IF(B255="","",IF(OR(X255=0,X255="",AI255=""),"",ROUND((AI255+Y255)/(X255/60),2)))</f>
        <v>0</v>
      </c>
      <c r="AL255" s="43">
        <f>IF(B255="","",IF(N255="Not found","Check - no such product ID",IF(AF255="","Check - no price yet",IF(AI255&lt;0,"Loss - this version costs you money",IF(AND(AK255&lt;&gt;"",AK255&lt;MinimumWage),"Below - pays under minimum wage",IF(AND(G255&gt;0,AG255&lt;=0),"Check - extra work, no extra charge",IF(AJ255&lt;MarginWarning,"Low margin - re-price it","OK")))))))</f>
        <v>0</v>
      </c>
    </row>
    <row r="256" spans="1:38">
      <c r="A256" s="38">
        <f>IF(C256="","",VariationPrefix&amp;TEXT(ROW()-4,"0000"))</f>
        <v>0</v>
      </c>
      <c r="N256" s="13">
        <f>IF(B256="","",IFERROR(INDEX(Products!$B$5:$B$304,MATCH(B256,Products!$A$5:$A$304,0)),"Not found"))</f>
        <v>0</v>
      </c>
      <c r="O256" s="20">
        <f>IF(B256="","",IFERROR(INDEX(Products!$T$5:$T$304,MATCH(B256,Products!$A$5:$A$304,0)),""))</f>
        <v>0</v>
      </c>
      <c r="P256" s="20">
        <f>IF(B256="","",IFERROR(INDEX(Products!$Z$5:$Z$304,MATCH(B256,Products!$A$5:$A$304,0)),""))</f>
        <v>0</v>
      </c>
      <c r="Q256" s="20">
        <f>IF(B256="","",IFERROR(INDEX(Products!$AH$5:$AH$304,MATCH(B256,Products!$A$5:$A$304,0))-INDEX(Products!$T$5:$T$304,MATCH(B256,Products!$A$5:$A$304,0))-INDEX(Products!$Z$5:$Z$304,MATCH(B256,Products!$A$5:$A$304,0)),0))</f>
        <v>0</v>
      </c>
      <c r="R256" s="36">
        <f>IF(B256="","",IFERROR(INDEX(Products!$X$5:$X$304,MATCH(B256,Products!$A$5:$A$304,0)),""))</f>
        <v>0</v>
      </c>
      <c r="S256" s="20">
        <f>IF(B256="","",IFERROR(INDEX(Products!$AR$5:$AR$304,MATCH(B256,Products!$A$5:$A$304,0)),""))</f>
        <v>0</v>
      </c>
      <c r="T256" s="41">
        <f>IF(B256="","",IFERROR(INDEX(SizeMaterialFactors,MATCH(E256,SizeNames,0)),1))</f>
        <v>0</v>
      </c>
      <c r="U256" s="41">
        <f>IF(B256="","",IFERROR(INDEX(SizeTimeFactors,MATCH(E256,SizeNames,0)),1))</f>
        <v>0</v>
      </c>
      <c r="V256" s="33">
        <f>IF(B256="","",IFERROR(INDEX(RushFactors,MATCH(H256,RushNames,0)),0))</f>
        <v>0</v>
      </c>
      <c r="W256" s="20">
        <f>IF(B256="","",ROUND(IF(O256="",0,O256)*T256+IF(F256="",0,F256),2))</f>
        <v>0</v>
      </c>
      <c r="X256" s="36">
        <f>IF(B256="","",ROUND(IF(R256="",0,R256)*U256+IF(G256="",0,G256),1))</f>
        <v>0</v>
      </c>
      <c r="Y256" s="20">
        <f>IF(B256="","",ROUND(IF(P256="",0,P256)*U256+IF(G256="",0,G256)/60*LaborCostHour,2))</f>
        <v>0</v>
      </c>
      <c r="Z256" s="20">
        <f>IF(B256="","",ROUND(W256+Y256+IF(Q256="",0,Q256),2))</f>
        <v>0</v>
      </c>
      <c r="AA256" s="33">
        <f>IF(B256="","",IFERROR(INDEX(Channels!$S$5:$S$18,MATCH(IF(J256="",DefaultChannel,J256),Channels!$A$5:$A$18,0)),0))</f>
        <v>0</v>
      </c>
      <c r="AB256" s="20">
        <f>IF(B256="","",IFERROR(INDEX(Channels!$T$5:$T$18,MATCH(IF(J256="",DefaultChannel,J256),Channels!$A$5:$A$18,0)),0))</f>
        <v>0</v>
      </c>
      <c r="AC256" s="41">
        <f>IF(B256="","",1-TargetRetailMargin-AA256)</f>
        <v>0</v>
      </c>
      <c r="AD256" s="20">
        <f>IF(B256="","",IF(AC256&lt;=0,"",((Z256+AB256)/AC256)*(1+V256)+IF(I256="",0,I256)))</f>
        <v>0</v>
      </c>
      <c r="AE256" s="20">
        <f>IF(B256="","",IF(AD256="","Check the settings",ROUND(IF(RoundingRule="None",AD256,IF(RoundingRule="Nearest 0.99",MAX(0.99,CEILING(AD256,1)-0.01),IF(RoundingRule="Nearest 0.95",MAX(0.95,CEILING(AD256,1)-0.05),IF(RoundingRule="Nearest 0.50",CEILING(AD256,0.5),IF(RoundingRule="Nearest 1",CEILING(AD256,1),IF(RoundingRule="Nearest 5",CEILING(AD256,5),IF(RoundingRule="Up to whole 1",CEILING(AD256,1),IF(RoundingRule="Up to whole 5",CEILING(AD256,5),ROUND(AD256,2))))))))),2)))</f>
        <v>0</v>
      </c>
      <c r="AF256" s="20">
        <f>IF(B256="","",IF(K256&lt;&gt;"",K256,IF(ISNUMBER(AE256),AE256,"")))</f>
        <v>0</v>
      </c>
      <c r="AG256" s="20">
        <f>IF(B256="","",IF(OR(AF256="",S256=""),"",ROUND(AF256-S256,2)))</f>
        <v>0</v>
      </c>
      <c r="AH256" s="20">
        <f>IF(B256="","",IF(AF256="","",ROUND(AF256*AA256+AB256,2)))</f>
        <v>0</v>
      </c>
      <c r="AI256" s="20">
        <f>IF(B256="","",IF(AF256="","",ROUND(AF256-Z256-AH256,2)))</f>
        <v>0</v>
      </c>
      <c r="AJ256" s="33">
        <f>IF(B256="","",IF(OR(AF256="",AF256=0),"",AI256/AF256))</f>
        <v>0</v>
      </c>
      <c r="AK256" s="20">
        <f>IF(B256="","",IF(OR(X256=0,X256="",AI256=""),"",ROUND((AI256+Y256)/(X256/60),2)))</f>
        <v>0</v>
      </c>
      <c r="AL256" s="43">
        <f>IF(B256="","",IF(N256="Not found","Check - no such product ID",IF(AF256="","Check - no price yet",IF(AI256&lt;0,"Loss - this version costs you money",IF(AND(AK256&lt;&gt;"",AK256&lt;MinimumWage),"Below - pays under minimum wage",IF(AND(G256&gt;0,AG256&lt;=0),"Check - extra work, no extra charge",IF(AJ256&lt;MarginWarning,"Low margin - re-price it","OK")))))))</f>
        <v>0</v>
      </c>
    </row>
    <row r="257" spans="1:38">
      <c r="A257" s="38">
        <f>IF(C257="","",VariationPrefix&amp;TEXT(ROW()-4,"0000"))</f>
        <v>0</v>
      </c>
      <c r="N257" s="13">
        <f>IF(B257="","",IFERROR(INDEX(Products!$B$5:$B$304,MATCH(B257,Products!$A$5:$A$304,0)),"Not found"))</f>
        <v>0</v>
      </c>
      <c r="O257" s="20">
        <f>IF(B257="","",IFERROR(INDEX(Products!$T$5:$T$304,MATCH(B257,Products!$A$5:$A$304,0)),""))</f>
        <v>0</v>
      </c>
      <c r="P257" s="20">
        <f>IF(B257="","",IFERROR(INDEX(Products!$Z$5:$Z$304,MATCH(B257,Products!$A$5:$A$304,0)),""))</f>
        <v>0</v>
      </c>
      <c r="Q257" s="20">
        <f>IF(B257="","",IFERROR(INDEX(Products!$AH$5:$AH$304,MATCH(B257,Products!$A$5:$A$304,0))-INDEX(Products!$T$5:$T$304,MATCH(B257,Products!$A$5:$A$304,0))-INDEX(Products!$Z$5:$Z$304,MATCH(B257,Products!$A$5:$A$304,0)),0))</f>
        <v>0</v>
      </c>
      <c r="R257" s="36">
        <f>IF(B257="","",IFERROR(INDEX(Products!$X$5:$X$304,MATCH(B257,Products!$A$5:$A$304,0)),""))</f>
        <v>0</v>
      </c>
      <c r="S257" s="20">
        <f>IF(B257="","",IFERROR(INDEX(Products!$AR$5:$AR$304,MATCH(B257,Products!$A$5:$A$304,0)),""))</f>
        <v>0</v>
      </c>
      <c r="T257" s="41">
        <f>IF(B257="","",IFERROR(INDEX(SizeMaterialFactors,MATCH(E257,SizeNames,0)),1))</f>
        <v>0</v>
      </c>
      <c r="U257" s="41">
        <f>IF(B257="","",IFERROR(INDEX(SizeTimeFactors,MATCH(E257,SizeNames,0)),1))</f>
        <v>0</v>
      </c>
      <c r="V257" s="33">
        <f>IF(B257="","",IFERROR(INDEX(RushFactors,MATCH(H257,RushNames,0)),0))</f>
        <v>0</v>
      </c>
      <c r="W257" s="20">
        <f>IF(B257="","",ROUND(IF(O257="",0,O257)*T257+IF(F257="",0,F257),2))</f>
        <v>0</v>
      </c>
      <c r="X257" s="36">
        <f>IF(B257="","",ROUND(IF(R257="",0,R257)*U257+IF(G257="",0,G257),1))</f>
        <v>0</v>
      </c>
      <c r="Y257" s="20">
        <f>IF(B257="","",ROUND(IF(P257="",0,P257)*U257+IF(G257="",0,G257)/60*LaborCostHour,2))</f>
        <v>0</v>
      </c>
      <c r="Z257" s="20">
        <f>IF(B257="","",ROUND(W257+Y257+IF(Q257="",0,Q257),2))</f>
        <v>0</v>
      </c>
      <c r="AA257" s="33">
        <f>IF(B257="","",IFERROR(INDEX(Channels!$S$5:$S$18,MATCH(IF(J257="",DefaultChannel,J257),Channels!$A$5:$A$18,0)),0))</f>
        <v>0</v>
      </c>
      <c r="AB257" s="20">
        <f>IF(B257="","",IFERROR(INDEX(Channels!$T$5:$T$18,MATCH(IF(J257="",DefaultChannel,J257),Channels!$A$5:$A$18,0)),0))</f>
        <v>0</v>
      </c>
      <c r="AC257" s="41">
        <f>IF(B257="","",1-TargetRetailMargin-AA257)</f>
        <v>0</v>
      </c>
      <c r="AD257" s="20">
        <f>IF(B257="","",IF(AC257&lt;=0,"",((Z257+AB257)/AC257)*(1+V257)+IF(I257="",0,I257)))</f>
        <v>0</v>
      </c>
      <c r="AE257" s="20">
        <f>IF(B257="","",IF(AD257="","Check the settings",ROUND(IF(RoundingRule="None",AD257,IF(RoundingRule="Nearest 0.99",MAX(0.99,CEILING(AD257,1)-0.01),IF(RoundingRule="Nearest 0.95",MAX(0.95,CEILING(AD257,1)-0.05),IF(RoundingRule="Nearest 0.50",CEILING(AD257,0.5),IF(RoundingRule="Nearest 1",CEILING(AD257,1),IF(RoundingRule="Nearest 5",CEILING(AD257,5),IF(RoundingRule="Up to whole 1",CEILING(AD257,1),IF(RoundingRule="Up to whole 5",CEILING(AD257,5),ROUND(AD257,2))))))))),2)))</f>
        <v>0</v>
      </c>
      <c r="AF257" s="20">
        <f>IF(B257="","",IF(K257&lt;&gt;"",K257,IF(ISNUMBER(AE257),AE257,"")))</f>
        <v>0</v>
      </c>
      <c r="AG257" s="20">
        <f>IF(B257="","",IF(OR(AF257="",S257=""),"",ROUND(AF257-S257,2)))</f>
        <v>0</v>
      </c>
      <c r="AH257" s="20">
        <f>IF(B257="","",IF(AF257="","",ROUND(AF257*AA257+AB257,2)))</f>
        <v>0</v>
      </c>
      <c r="AI257" s="20">
        <f>IF(B257="","",IF(AF257="","",ROUND(AF257-Z257-AH257,2)))</f>
        <v>0</v>
      </c>
      <c r="AJ257" s="33">
        <f>IF(B257="","",IF(OR(AF257="",AF257=0),"",AI257/AF257))</f>
        <v>0</v>
      </c>
      <c r="AK257" s="20">
        <f>IF(B257="","",IF(OR(X257=0,X257="",AI257=""),"",ROUND((AI257+Y257)/(X257/60),2)))</f>
        <v>0</v>
      </c>
      <c r="AL257" s="43">
        <f>IF(B257="","",IF(N257="Not found","Check - no such product ID",IF(AF257="","Check - no price yet",IF(AI257&lt;0,"Loss - this version costs you money",IF(AND(AK257&lt;&gt;"",AK257&lt;MinimumWage),"Below - pays under minimum wage",IF(AND(G257&gt;0,AG257&lt;=0),"Check - extra work, no extra charge",IF(AJ257&lt;MarginWarning,"Low margin - re-price it","OK")))))))</f>
        <v>0</v>
      </c>
    </row>
    <row r="258" spans="1:38">
      <c r="A258" s="38">
        <f>IF(C258="","",VariationPrefix&amp;TEXT(ROW()-4,"0000"))</f>
        <v>0</v>
      </c>
      <c r="N258" s="13">
        <f>IF(B258="","",IFERROR(INDEX(Products!$B$5:$B$304,MATCH(B258,Products!$A$5:$A$304,0)),"Not found"))</f>
        <v>0</v>
      </c>
      <c r="O258" s="20">
        <f>IF(B258="","",IFERROR(INDEX(Products!$T$5:$T$304,MATCH(B258,Products!$A$5:$A$304,0)),""))</f>
        <v>0</v>
      </c>
      <c r="P258" s="20">
        <f>IF(B258="","",IFERROR(INDEX(Products!$Z$5:$Z$304,MATCH(B258,Products!$A$5:$A$304,0)),""))</f>
        <v>0</v>
      </c>
      <c r="Q258" s="20">
        <f>IF(B258="","",IFERROR(INDEX(Products!$AH$5:$AH$304,MATCH(B258,Products!$A$5:$A$304,0))-INDEX(Products!$T$5:$T$304,MATCH(B258,Products!$A$5:$A$304,0))-INDEX(Products!$Z$5:$Z$304,MATCH(B258,Products!$A$5:$A$304,0)),0))</f>
        <v>0</v>
      </c>
      <c r="R258" s="36">
        <f>IF(B258="","",IFERROR(INDEX(Products!$X$5:$X$304,MATCH(B258,Products!$A$5:$A$304,0)),""))</f>
        <v>0</v>
      </c>
      <c r="S258" s="20">
        <f>IF(B258="","",IFERROR(INDEX(Products!$AR$5:$AR$304,MATCH(B258,Products!$A$5:$A$304,0)),""))</f>
        <v>0</v>
      </c>
      <c r="T258" s="41">
        <f>IF(B258="","",IFERROR(INDEX(SizeMaterialFactors,MATCH(E258,SizeNames,0)),1))</f>
        <v>0</v>
      </c>
      <c r="U258" s="41">
        <f>IF(B258="","",IFERROR(INDEX(SizeTimeFactors,MATCH(E258,SizeNames,0)),1))</f>
        <v>0</v>
      </c>
      <c r="V258" s="33">
        <f>IF(B258="","",IFERROR(INDEX(RushFactors,MATCH(H258,RushNames,0)),0))</f>
        <v>0</v>
      </c>
      <c r="W258" s="20">
        <f>IF(B258="","",ROUND(IF(O258="",0,O258)*T258+IF(F258="",0,F258),2))</f>
        <v>0</v>
      </c>
      <c r="X258" s="36">
        <f>IF(B258="","",ROUND(IF(R258="",0,R258)*U258+IF(G258="",0,G258),1))</f>
        <v>0</v>
      </c>
      <c r="Y258" s="20">
        <f>IF(B258="","",ROUND(IF(P258="",0,P258)*U258+IF(G258="",0,G258)/60*LaborCostHour,2))</f>
        <v>0</v>
      </c>
      <c r="Z258" s="20">
        <f>IF(B258="","",ROUND(W258+Y258+IF(Q258="",0,Q258),2))</f>
        <v>0</v>
      </c>
      <c r="AA258" s="33">
        <f>IF(B258="","",IFERROR(INDEX(Channels!$S$5:$S$18,MATCH(IF(J258="",DefaultChannel,J258),Channels!$A$5:$A$18,0)),0))</f>
        <v>0</v>
      </c>
      <c r="AB258" s="20">
        <f>IF(B258="","",IFERROR(INDEX(Channels!$T$5:$T$18,MATCH(IF(J258="",DefaultChannel,J258),Channels!$A$5:$A$18,0)),0))</f>
        <v>0</v>
      </c>
      <c r="AC258" s="41">
        <f>IF(B258="","",1-TargetRetailMargin-AA258)</f>
        <v>0</v>
      </c>
      <c r="AD258" s="20">
        <f>IF(B258="","",IF(AC258&lt;=0,"",((Z258+AB258)/AC258)*(1+V258)+IF(I258="",0,I258)))</f>
        <v>0</v>
      </c>
      <c r="AE258" s="20">
        <f>IF(B258="","",IF(AD258="","Check the settings",ROUND(IF(RoundingRule="None",AD258,IF(RoundingRule="Nearest 0.99",MAX(0.99,CEILING(AD258,1)-0.01),IF(RoundingRule="Nearest 0.95",MAX(0.95,CEILING(AD258,1)-0.05),IF(RoundingRule="Nearest 0.50",CEILING(AD258,0.5),IF(RoundingRule="Nearest 1",CEILING(AD258,1),IF(RoundingRule="Nearest 5",CEILING(AD258,5),IF(RoundingRule="Up to whole 1",CEILING(AD258,1),IF(RoundingRule="Up to whole 5",CEILING(AD258,5),ROUND(AD258,2))))))))),2)))</f>
        <v>0</v>
      </c>
      <c r="AF258" s="20">
        <f>IF(B258="","",IF(K258&lt;&gt;"",K258,IF(ISNUMBER(AE258),AE258,"")))</f>
        <v>0</v>
      </c>
      <c r="AG258" s="20">
        <f>IF(B258="","",IF(OR(AF258="",S258=""),"",ROUND(AF258-S258,2)))</f>
        <v>0</v>
      </c>
      <c r="AH258" s="20">
        <f>IF(B258="","",IF(AF258="","",ROUND(AF258*AA258+AB258,2)))</f>
        <v>0</v>
      </c>
      <c r="AI258" s="20">
        <f>IF(B258="","",IF(AF258="","",ROUND(AF258-Z258-AH258,2)))</f>
        <v>0</v>
      </c>
      <c r="AJ258" s="33">
        <f>IF(B258="","",IF(OR(AF258="",AF258=0),"",AI258/AF258))</f>
        <v>0</v>
      </c>
      <c r="AK258" s="20">
        <f>IF(B258="","",IF(OR(X258=0,X258="",AI258=""),"",ROUND((AI258+Y258)/(X258/60),2)))</f>
        <v>0</v>
      </c>
      <c r="AL258" s="43">
        <f>IF(B258="","",IF(N258="Not found","Check - no such product ID",IF(AF258="","Check - no price yet",IF(AI258&lt;0,"Loss - this version costs you money",IF(AND(AK258&lt;&gt;"",AK258&lt;MinimumWage),"Below - pays under minimum wage",IF(AND(G258&gt;0,AG258&lt;=0),"Check - extra work, no extra charge",IF(AJ258&lt;MarginWarning,"Low margin - re-price it","OK")))))))</f>
        <v>0</v>
      </c>
    </row>
    <row r="259" spans="1:38">
      <c r="A259" s="38">
        <f>IF(C259="","",VariationPrefix&amp;TEXT(ROW()-4,"0000"))</f>
        <v>0</v>
      </c>
      <c r="N259" s="13">
        <f>IF(B259="","",IFERROR(INDEX(Products!$B$5:$B$304,MATCH(B259,Products!$A$5:$A$304,0)),"Not found"))</f>
        <v>0</v>
      </c>
      <c r="O259" s="20">
        <f>IF(B259="","",IFERROR(INDEX(Products!$T$5:$T$304,MATCH(B259,Products!$A$5:$A$304,0)),""))</f>
        <v>0</v>
      </c>
      <c r="P259" s="20">
        <f>IF(B259="","",IFERROR(INDEX(Products!$Z$5:$Z$304,MATCH(B259,Products!$A$5:$A$304,0)),""))</f>
        <v>0</v>
      </c>
      <c r="Q259" s="20">
        <f>IF(B259="","",IFERROR(INDEX(Products!$AH$5:$AH$304,MATCH(B259,Products!$A$5:$A$304,0))-INDEX(Products!$T$5:$T$304,MATCH(B259,Products!$A$5:$A$304,0))-INDEX(Products!$Z$5:$Z$304,MATCH(B259,Products!$A$5:$A$304,0)),0))</f>
        <v>0</v>
      </c>
      <c r="R259" s="36">
        <f>IF(B259="","",IFERROR(INDEX(Products!$X$5:$X$304,MATCH(B259,Products!$A$5:$A$304,0)),""))</f>
        <v>0</v>
      </c>
      <c r="S259" s="20">
        <f>IF(B259="","",IFERROR(INDEX(Products!$AR$5:$AR$304,MATCH(B259,Products!$A$5:$A$304,0)),""))</f>
        <v>0</v>
      </c>
      <c r="T259" s="41">
        <f>IF(B259="","",IFERROR(INDEX(SizeMaterialFactors,MATCH(E259,SizeNames,0)),1))</f>
        <v>0</v>
      </c>
      <c r="U259" s="41">
        <f>IF(B259="","",IFERROR(INDEX(SizeTimeFactors,MATCH(E259,SizeNames,0)),1))</f>
        <v>0</v>
      </c>
      <c r="V259" s="33">
        <f>IF(B259="","",IFERROR(INDEX(RushFactors,MATCH(H259,RushNames,0)),0))</f>
        <v>0</v>
      </c>
      <c r="W259" s="20">
        <f>IF(B259="","",ROUND(IF(O259="",0,O259)*T259+IF(F259="",0,F259),2))</f>
        <v>0</v>
      </c>
      <c r="X259" s="36">
        <f>IF(B259="","",ROUND(IF(R259="",0,R259)*U259+IF(G259="",0,G259),1))</f>
        <v>0</v>
      </c>
      <c r="Y259" s="20">
        <f>IF(B259="","",ROUND(IF(P259="",0,P259)*U259+IF(G259="",0,G259)/60*LaborCostHour,2))</f>
        <v>0</v>
      </c>
      <c r="Z259" s="20">
        <f>IF(B259="","",ROUND(W259+Y259+IF(Q259="",0,Q259),2))</f>
        <v>0</v>
      </c>
      <c r="AA259" s="33">
        <f>IF(B259="","",IFERROR(INDEX(Channels!$S$5:$S$18,MATCH(IF(J259="",DefaultChannel,J259),Channels!$A$5:$A$18,0)),0))</f>
        <v>0</v>
      </c>
      <c r="AB259" s="20">
        <f>IF(B259="","",IFERROR(INDEX(Channels!$T$5:$T$18,MATCH(IF(J259="",DefaultChannel,J259),Channels!$A$5:$A$18,0)),0))</f>
        <v>0</v>
      </c>
      <c r="AC259" s="41">
        <f>IF(B259="","",1-TargetRetailMargin-AA259)</f>
        <v>0</v>
      </c>
      <c r="AD259" s="20">
        <f>IF(B259="","",IF(AC259&lt;=0,"",((Z259+AB259)/AC259)*(1+V259)+IF(I259="",0,I259)))</f>
        <v>0</v>
      </c>
      <c r="AE259" s="20">
        <f>IF(B259="","",IF(AD259="","Check the settings",ROUND(IF(RoundingRule="None",AD259,IF(RoundingRule="Nearest 0.99",MAX(0.99,CEILING(AD259,1)-0.01),IF(RoundingRule="Nearest 0.95",MAX(0.95,CEILING(AD259,1)-0.05),IF(RoundingRule="Nearest 0.50",CEILING(AD259,0.5),IF(RoundingRule="Nearest 1",CEILING(AD259,1),IF(RoundingRule="Nearest 5",CEILING(AD259,5),IF(RoundingRule="Up to whole 1",CEILING(AD259,1),IF(RoundingRule="Up to whole 5",CEILING(AD259,5),ROUND(AD259,2))))))))),2)))</f>
        <v>0</v>
      </c>
      <c r="AF259" s="20">
        <f>IF(B259="","",IF(K259&lt;&gt;"",K259,IF(ISNUMBER(AE259),AE259,"")))</f>
        <v>0</v>
      </c>
      <c r="AG259" s="20">
        <f>IF(B259="","",IF(OR(AF259="",S259=""),"",ROUND(AF259-S259,2)))</f>
        <v>0</v>
      </c>
      <c r="AH259" s="20">
        <f>IF(B259="","",IF(AF259="","",ROUND(AF259*AA259+AB259,2)))</f>
        <v>0</v>
      </c>
      <c r="AI259" s="20">
        <f>IF(B259="","",IF(AF259="","",ROUND(AF259-Z259-AH259,2)))</f>
        <v>0</v>
      </c>
      <c r="AJ259" s="33">
        <f>IF(B259="","",IF(OR(AF259="",AF259=0),"",AI259/AF259))</f>
        <v>0</v>
      </c>
      <c r="AK259" s="20">
        <f>IF(B259="","",IF(OR(X259=0,X259="",AI259=""),"",ROUND((AI259+Y259)/(X259/60),2)))</f>
        <v>0</v>
      </c>
      <c r="AL259" s="43">
        <f>IF(B259="","",IF(N259="Not found","Check - no such product ID",IF(AF259="","Check - no price yet",IF(AI259&lt;0,"Loss - this version costs you money",IF(AND(AK259&lt;&gt;"",AK259&lt;MinimumWage),"Below - pays under minimum wage",IF(AND(G259&gt;0,AG259&lt;=0),"Check - extra work, no extra charge",IF(AJ259&lt;MarginWarning,"Low margin - re-price it","OK")))))))</f>
        <v>0</v>
      </c>
    </row>
    <row r="260" spans="1:38">
      <c r="A260" s="38">
        <f>IF(C260="","",VariationPrefix&amp;TEXT(ROW()-4,"0000"))</f>
        <v>0</v>
      </c>
      <c r="N260" s="13">
        <f>IF(B260="","",IFERROR(INDEX(Products!$B$5:$B$304,MATCH(B260,Products!$A$5:$A$304,0)),"Not found"))</f>
        <v>0</v>
      </c>
      <c r="O260" s="20">
        <f>IF(B260="","",IFERROR(INDEX(Products!$T$5:$T$304,MATCH(B260,Products!$A$5:$A$304,0)),""))</f>
        <v>0</v>
      </c>
      <c r="P260" s="20">
        <f>IF(B260="","",IFERROR(INDEX(Products!$Z$5:$Z$304,MATCH(B260,Products!$A$5:$A$304,0)),""))</f>
        <v>0</v>
      </c>
      <c r="Q260" s="20">
        <f>IF(B260="","",IFERROR(INDEX(Products!$AH$5:$AH$304,MATCH(B260,Products!$A$5:$A$304,0))-INDEX(Products!$T$5:$T$304,MATCH(B260,Products!$A$5:$A$304,0))-INDEX(Products!$Z$5:$Z$304,MATCH(B260,Products!$A$5:$A$304,0)),0))</f>
        <v>0</v>
      </c>
      <c r="R260" s="36">
        <f>IF(B260="","",IFERROR(INDEX(Products!$X$5:$X$304,MATCH(B260,Products!$A$5:$A$304,0)),""))</f>
        <v>0</v>
      </c>
      <c r="S260" s="20">
        <f>IF(B260="","",IFERROR(INDEX(Products!$AR$5:$AR$304,MATCH(B260,Products!$A$5:$A$304,0)),""))</f>
        <v>0</v>
      </c>
      <c r="T260" s="41">
        <f>IF(B260="","",IFERROR(INDEX(SizeMaterialFactors,MATCH(E260,SizeNames,0)),1))</f>
        <v>0</v>
      </c>
      <c r="U260" s="41">
        <f>IF(B260="","",IFERROR(INDEX(SizeTimeFactors,MATCH(E260,SizeNames,0)),1))</f>
        <v>0</v>
      </c>
      <c r="V260" s="33">
        <f>IF(B260="","",IFERROR(INDEX(RushFactors,MATCH(H260,RushNames,0)),0))</f>
        <v>0</v>
      </c>
      <c r="W260" s="20">
        <f>IF(B260="","",ROUND(IF(O260="",0,O260)*T260+IF(F260="",0,F260),2))</f>
        <v>0</v>
      </c>
      <c r="X260" s="36">
        <f>IF(B260="","",ROUND(IF(R260="",0,R260)*U260+IF(G260="",0,G260),1))</f>
        <v>0</v>
      </c>
      <c r="Y260" s="20">
        <f>IF(B260="","",ROUND(IF(P260="",0,P260)*U260+IF(G260="",0,G260)/60*LaborCostHour,2))</f>
        <v>0</v>
      </c>
      <c r="Z260" s="20">
        <f>IF(B260="","",ROUND(W260+Y260+IF(Q260="",0,Q260),2))</f>
        <v>0</v>
      </c>
      <c r="AA260" s="33">
        <f>IF(B260="","",IFERROR(INDEX(Channels!$S$5:$S$18,MATCH(IF(J260="",DefaultChannel,J260),Channels!$A$5:$A$18,0)),0))</f>
        <v>0</v>
      </c>
      <c r="AB260" s="20">
        <f>IF(B260="","",IFERROR(INDEX(Channels!$T$5:$T$18,MATCH(IF(J260="",DefaultChannel,J260),Channels!$A$5:$A$18,0)),0))</f>
        <v>0</v>
      </c>
      <c r="AC260" s="41">
        <f>IF(B260="","",1-TargetRetailMargin-AA260)</f>
        <v>0</v>
      </c>
      <c r="AD260" s="20">
        <f>IF(B260="","",IF(AC260&lt;=0,"",((Z260+AB260)/AC260)*(1+V260)+IF(I260="",0,I260)))</f>
        <v>0</v>
      </c>
      <c r="AE260" s="20">
        <f>IF(B260="","",IF(AD260="","Check the settings",ROUND(IF(RoundingRule="None",AD260,IF(RoundingRule="Nearest 0.99",MAX(0.99,CEILING(AD260,1)-0.01),IF(RoundingRule="Nearest 0.95",MAX(0.95,CEILING(AD260,1)-0.05),IF(RoundingRule="Nearest 0.50",CEILING(AD260,0.5),IF(RoundingRule="Nearest 1",CEILING(AD260,1),IF(RoundingRule="Nearest 5",CEILING(AD260,5),IF(RoundingRule="Up to whole 1",CEILING(AD260,1),IF(RoundingRule="Up to whole 5",CEILING(AD260,5),ROUND(AD260,2))))))))),2)))</f>
        <v>0</v>
      </c>
      <c r="AF260" s="20">
        <f>IF(B260="","",IF(K260&lt;&gt;"",K260,IF(ISNUMBER(AE260),AE260,"")))</f>
        <v>0</v>
      </c>
      <c r="AG260" s="20">
        <f>IF(B260="","",IF(OR(AF260="",S260=""),"",ROUND(AF260-S260,2)))</f>
        <v>0</v>
      </c>
      <c r="AH260" s="20">
        <f>IF(B260="","",IF(AF260="","",ROUND(AF260*AA260+AB260,2)))</f>
        <v>0</v>
      </c>
      <c r="AI260" s="20">
        <f>IF(B260="","",IF(AF260="","",ROUND(AF260-Z260-AH260,2)))</f>
        <v>0</v>
      </c>
      <c r="AJ260" s="33">
        <f>IF(B260="","",IF(OR(AF260="",AF260=0),"",AI260/AF260))</f>
        <v>0</v>
      </c>
      <c r="AK260" s="20">
        <f>IF(B260="","",IF(OR(X260=0,X260="",AI260=""),"",ROUND((AI260+Y260)/(X260/60),2)))</f>
        <v>0</v>
      </c>
      <c r="AL260" s="43">
        <f>IF(B260="","",IF(N260="Not found","Check - no such product ID",IF(AF260="","Check - no price yet",IF(AI260&lt;0,"Loss - this version costs you money",IF(AND(AK260&lt;&gt;"",AK260&lt;MinimumWage),"Below - pays under minimum wage",IF(AND(G260&gt;0,AG260&lt;=0),"Check - extra work, no extra charge",IF(AJ260&lt;MarginWarning,"Low margin - re-price it","OK")))))))</f>
        <v>0</v>
      </c>
    </row>
    <row r="261" spans="1:38">
      <c r="A261" s="38">
        <f>IF(C261="","",VariationPrefix&amp;TEXT(ROW()-4,"0000"))</f>
        <v>0</v>
      </c>
      <c r="N261" s="13">
        <f>IF(B261="","",IFERROR(INDEX(Products!$B$5:$B$304,MATCH(B261,Products!$A$5:$A$304,0)),"Not found"))</f>
        <v>0</v>
      </c>
      <c r="O261" s="20">
        <f>IF(B261="","",IFERROR(INDEX(Products!$T$5:$T$304,MATCH(B261,Products!$A$5:$A$304,0)),""))</f>
        <v>0</v>
      </c>
      <c r="P261" s="20">
        <f>IF(B261="","",IFERROR(INDEX(Products!$Z$5:$Z$304,MATCH(B261,Products!$A$5:$A$304,0)),""))</f>
        <v>0</v>
      </c>
      <c r="Q261" s="20">
        <f>IF(B261="","",IFERROR(INDEX(Products!$AH$5:$AH$304,MATCH(B261,Products!$A$5:$A$304,0))-INDEX(Products!$T$5:$T$304,MATCH(B261,Products!$A$5:$A$304,0))-INDEX(Products!$Z$5:$Z$304,MATCH(B261,Products!$A$5:$A$304,0)),0))</f>
        <v>0</v>
      </c>
      <c r="R261" s="36">
        <f>IF(B261="","",IFERROR(INDEX(Products!$X$5:$X$304,MATCH(B261,Products!$A$5:$A$304,0)),""))</f>
        <v>0</v>
      </c>
      <c r="S261" s="20">
        <f>IF(B261="","",IFERROR(INDEX(Products!$AR$5:$AR$304,MATCH(B261,Products!$A$5:$A$304,0)),""))</f>
        <v>0</v>
      </c>
      <c r="T261" s="41">
        <f>IF(B261="","",IFERROR(INDEX(SizeMaterialFactors,MATCH(E261,SizeNames,0)),1))</f>
        <v>0</v>
      </c>
      <c r="U261" s="41">
        <f>IF(B261="","",IFERROR(INDEX(SizeTimeFactors,MATCH(E261,SizeNames,0)),1))</f>
        <v>0</v>
      </c>
      <c r="V261" s="33">
        <f>IF(B261="","",IFERROR(INDEX(RushFactors,MATCH(H261,RushNames,0)),0))</f>
        <v>0</v>
      </c>
      <c r="W261" s="20">
        <f>IF(B261="","",ROUND(IF(O261="",0,O261)*T261+IF(F261="",0,F261),2))</f>
        <v>0</v>
      </c>
      <c r="X261" s="36">
        <f>IF(B261="","",ROUND(IF(R261="",0,R261)*U261+IF(G261="",0,G261),1))</f>
        <v>0</v>
      </c>
      <c r="Y261" s="20">
        <f>IF(B261="","",ROUND(IF(P261="",0,P261)*U261+IF(G261="",0,G261)/60*LaborCostHour,2))</f>
        <v>0</v>
      </c>
      <c r="Z261" s="20">
        <f>IF(B261="","",ROUND(W261+Y261+IF(Q261="",0,Q261),2))</f>
        <v>0</v>
      </c>
      <c r="AA261" s="33">
        <f>IF(B261="","",IFERROR(INDEX(Channels!$S$5:$S$18,MATCH(IF(J261="",DefaultChannel,J261),Channels!$A$5:$A$18,0)),0))</f>
        <v>0</v>
      </c>
      <c r="AB261" s="20">
        <f>IF(B261="","",IFERROR(INDEX(Channels!$T$5:$T$18,MATCH(IF(J261="",DefaultChannel,J261),Channels!$A$5:$A$18,0)),0))</f>
        <v>0</v>
      </c>
      <c r="AC261" s="41">
        <f>IF(B261="","",1-TargetRetailMargin-AA261)</f>
        <v>0</v>
      </c>
      <c r="AD261" s="20">
        <f>IF(B261="","",IF(AC261&lt;=0,"",((Z261+AB261)/AC261)*(1+V261)+IF(I261="",0,I261)))</f>
        <v>0</v>
      </c>
      <c r="AE261" s="20">
        <f>IF(B261="","",IF(AD261="","Check the settings",ROUND(IF(RoundingRule="None",AD261,IF(RoundingRule="Nearest 0.99",MAX(0.99,CEILING(AD261,1)-0.01),IF(RoundingRule="Nearest 0.95",MAX(0.95,CEILING(AD261,1)-0.05),IF(RoundingRule="Nearest 0.50",CEILING(AD261,0.5),IF(RoundingRule="Nearest 1",CEILING(AD261,1),IF(RoundingRule="Nearest 5",CEILING(AD261,5),IF(RoundingRule="Up to whole 1",CEILING(AD261,1),IF(RoundingRule="Up to whole 5",CEILING(AD261,5),ROUND(AD261,2))))))))),2)))</f>
        <v>0</v>
      </c>
      <c r="AF261" s="20">
        <f>IF(B261="","",IF(K261&lt;&gt;"",K261,IF(ISNUMBER(AE261),AE261,"")))</f>
        <v>0</v>
      </c>
      <c r="AG261" s="20">
        <f>IF(B261="","",IF(OR(AF261="",S261=""),"",ROUND(AF261-S261,2)))</f>
        <v>0</v>
      </c>
      <c r="AH261" s="20">
        <f>IF(B261="","",IF(AF261="","",ROUND(AF261*AA261+AB261,2)))</f>
        <v>0</v>
      </c>
      <c r="AI261" s="20">
        <f>IF(B261="","",IF(AF261="","",ROUND(AF261-Z261-AH261,2)))</f>
        <v>0</v>
      </c>
      <c r="AJ261" s="33">
        <f>IF(B261="","",IF(OR(AF261="",AF261=0),"",AI261/AF261))</f>
        <v>0</v>
      </c>
      <c r="AK261" s="20">
        <f>IF(B261="","",IF(OR(X261=0,X261="",AI261=""),"",ROUND((AI261+Y261)/(X261/60),2)))</f>
        <v>0</v>
      </c>
      <c r="AL261" s="43">
        <f>IF(B261="","",IF(N261="Not found","Check - no such product ID",IF(AF261="","Check - no price yet",IF(AI261&lt;0,"Loss - this version costs you money",IF(AND(AK261&lt;&gt;"",AK261&lt;MinimumWage),"Below - pays under minimum wage",IF(AND(G261&gt;0,AG261&lt;=0),"Check - extra work, no extra charge",IF(AJ261&lt;MarginWarning,"Low margin - re-price it","OK")))))))</f>
        <v>0</v>
      </c>
    </row>
    <row r="262" spans="1:38">
      <c r="A262" s="38">
        <f>IF(C262="","",VariationPrefix&amp;TEXT(ROW()-4,"0000"))</f>
        <v>0</v>
      </c>
      <c r="N262" s="13">
        <f>IF(B262="","",IFERROR(INDEX(Products!$B$5:$B$304,MATCH(B262,Products!$A$5:$A$304,0)),"Not found"))</f>
        <v>0</v>
      </c>
      <c r="O262" s="20">
        <f>IF(B262="","",IFERROR(INDEX(Products!$T$5:$T$304,MATCH(B262,Products!$A$5:$A$304,0)),""))</f>
        <v>0</v>
      </c>
      <c r="P262" s="20">
        <f>IF(B262="","",IFERROR(INDEX(Products!$Z$5:$Z$304,MATCH(B262,Products!$A$5:$A$304,0)),""))</f>
        <v>0</v>
      </c>
      <c r="Q262" s="20">
        <f>IF(B262="","",IFERROR(INDEX(Products!$AH$5:$AH$304,MATCH(B262,Products!$A$5:$A$304,0))-INDEX(Products!$T$5:$T$304,MATCH(B262,Products!$A$5:$A$304,0))-INDEX(Products!$Z$5:$Z$304,MATCH(B262,Products!$A$5:$A$304,0)),0))</f>
        <v>0</v>
      </c>
      <c r="R262" s="36">
        <f>IF(B262="","",IFERROR(INDEX(Products!$X$5:$X$304,MATCH(B262,Products!$A$5:$A$304,0)),""))</f>
        <v>0</v>
      </c>
      <c r="S262" s="20">
        <f>IF(B262="","",IFERROR(INDEX(Products!$AR$5:$AR$304,MATCH(B262,Products!$A$5:$A$304,0)),""))</f>
        <v>0</v>
      </c>
      <c r="T262" s="41">
        <f>IF(B262="","",IFERROR(INDEX(SizeMaterialFactors,MATCH(E262,SizeNames,0)),1))</f>
        <v>0</v>
      </c>
      <c r="U262" s="41">
        <f>IF(B262="","",IFERROR(INDEX(SizeTimeFactors,MATCH(E262,SizeNames,0)),1))</f>
        <v>0</v>
      </c>
      <c r="V262" s="33">
        <f>IF(B262="","",IFERROR(INDEX(RushFactors,MATCH(H262,RushNames,0)),0))</f>
        <v>0</v>
      </c>
      <c r="W262" s="20">
        <f>IF(B262="","",ROUND(IF(O262="",0,O262)*T262+IF(F262="",0,F262),2))</f>
        <v>0</v>
      </c>
      <c r="X262" s="36">
        <f>IF(B262="","",ROUND(IF(R262="",0,R262)*U262+IF(G262="",0,G262),1))</f>
        <v>0</v>
      </c>
      <c r="Y262" s="20">
        <f>IF(B262="","",ROUND(IF(P262="",0,P262)*U262+IF(G262="",0,G262)/60*LaborCostHour,2))</f>
        <v>0</v>
      </c>
      <c r="Z262" s="20">
        <f>IF(B262="","",ROUND(W262+Y262+IF(Q262="",0,Q262),2))</f>
        <v>0</v>
      </c>
      <c r="AA262" s="33">
        <f>IF(B262="","",IFERROR(INDEX(Channels!$S$5:$S$18,MATCH(IF(J262="",DefaultChannel,J262),Channels!$A$5:$A$18,0)),0))</f>
        <v>0</v>
      </c>
      <c r="AB262" s="20">
        <f>IF(B262="","",IFERROR(INDEX(Channels!$T$5:$T$18,MATCH(IF(J262="",DefaultChannel,J262),Channels!$A$5:$A$18,0)),0))</f>
        <v>0</v>
      </c>
      <c r="AC262" s="41">
        <f>IF(B262="","",1-TargetRetailMargin-AA262)</f>
        <v>0</v>
      </c>
      <c r="AD262" s="20">
        <f>IF(B262="","",IF(AC262&lt;=0,"",((Z262+AB262)/AC262)*(1+V262)+IF(I262="",0,I262)))</f>
        <v>0</v>
      </c>
      <c r="AE262" s="20">
        <f>IF(B262="","",IF(AD262="","Check the settings",ROUND(IF(RoundingRule="None",AD262,IF(RoundingRule="Nearest 0.99",MAX(0.99,CEILING(AD262,1)-0.01),IF(RoundingRule="Nearest 0.95",MAX(0.95,CEILING(AD262,1)-0.05),IF(RoundingRule="Nearest 0.50",CEILING(AD262,0.5),IF(RoundingRule="Nearest 1",CEILING(AD262,1),IF(RoundingRule="Nearest 5",CEILING(AD262,5),IF(RoundingRule="Up to whole 1",CEILING(AD262,1),IF(RoundingRule="Up to whole 5",CEILING(AD262,5),ROUND(AD262,2))))))))),2)))</f>
        <v>0</v>
      </c>
      <c r="AF262" s="20">
        <f>IF(B262="","",IF(K262&lt;&gt;"",K262,IF(ISNUMBER(AE262),AE262,"")))</f>
        <v>0</v>
      </c>
      <c r="AG262" s="20">
        <f>IF(B262="","",IF(OR(AF262="",S262=""),"",ROUND(AF262-S262,2)))</f>
        <v>0</v>
      </c>
      <c r="AH262" s="20">
        <f>IF(B262="","",IF(AF262="","",ROUND(AF262*AA262+AB262,2)))</f>
        <v>0</v>
      </c>
      <c r="AI262" s="20">
        <f>IF(B262="","",IF(AF262="","",ROUND(AF262-Z262-AH262,2)))</f>
        <v>0</v>
      </c>
      <c r="AJ262" s="33">
        <f>IF(B262="","",IF(OR(AF262="",AF262=0),"",AI262/AF262))</f>
        <v>0</v>
      </c>
      <c r="AK262" s="20">
        <f>IF(B262="","",IF(OR(X262=0,X262="",AI262=""),"",ROUND((AI262+Y262)/(X262/60),2)))</f>
        <v>0</v>
      </c>
      <c r="AL262" s="43">
        <f>IF(B262="","",IF(N262="Not found","Check - no such product ID",IF(AF262="","Check - no price yet",IF(AI262&lt;0,"Loss - this version costs you money",IF(AND(AK262&lt;&gt;"",AK262&lt;MinimumWage),"Below - pays under minimum wage",IF(AND(G262&gt;0,AG262&lt;=0),"Check - extra work, no extra charge",IF(AJ262&lt;MarginWarning,"Low margin - re-price it","OK")))))))</f>
        <v>0</v>
      </c>
    </row>
    <row r="263" spans="1:38">
      <c r="A263" s="38">
        <f>IF(C263="","",VariationPrefix&amp;TEXT(ROW()-4,"0000"))</f>
        <v>0</v>
      </c>
      <c r="N263" s="13">
        <f>IF(B263="","",IFERROR(INDEX(Products!$B$5:$B$304,MATCH(B263,Products!$A$5:$A$304,0)),"Not found"))</f>
        <v>0</v>
      </c>
      <c r="O263" s="20">
        <f>IF(B263="","",IFERROR(INDEX(Products!$T$5:$T$304,MATCH(B263,Products!$A$5:$A$304,0)),""))</f>
        <v>0</v>
      </c>
      <c r="P263" s="20">
        <f>IF(B263="","",IFERROR(INDEX(Products!$Z$5:$Z$304,MATCH(B263,Products!$A$5:$A$304,0)),""))</f>
        <v>0</v>
      </c>
      <c r="Q263" s="20">
        <f>IF(B263="","",IFERROR(INDEX(Products!$AH$5:$AH$304,MATCH(B263,Products!$A$5:$A$304,0))-INDEX(Products!$T$5:$T$304,MATCH(B263,Products!$A$5:$A$304,0))-INDEX(Products!$Z$5:$Z$304,MATCH(B263,Products!$A$5:$A$304,0)),0))</f>
        <v>0</v>
      </c>
      <c r="R263" s="36">
        <f>IF(B263="","",IFERROR(INDEX(Products!$X$5:$X$304,MATCH(B263,Products!$A$5:$A$304,0)),""))</f>
        <v>0</v>
      </c>
      <c r="S263" s="20">
        <f>IF(B263="","",IFERROR(INDEX(Products!$AR$5:$AR$304,MATCH(B263,Products!$A$5:$A$304,0)),""))</f>
        <v>0</v>
      </c>
      <c r="T263" s="41">
        <f>IF(B263="","",IFERROR(INDEX(SizeMaterialFactors,MATCH(E263,SizeNames,0)),1))</f>
        <v>0</v>
      </c>
      <c r="U263" s="41">
        <f>IF(B263="","",IFERROR(INDEX(SizeTimeFactors,MATCH(E263,SizeNames,0)),1))</f>
        <v>0</v>
      </c>
      <c r="V263" s="33">
        <f>IF(B263="","",IFERROR(INDEX(RushFactors,MATCH(H263,RushNames,0)),0))</f>
        <v>0</v>
      </c>
      <c r="W263" s="20">
        <f>IF(B263="","",ROUND(IF(O263="",0,O263)*T263+IF(F263="",0,F263),2))</f>
        <v>0</v>
      </c>
      <c r="X263" s="36">
        <f>IF(B263="","",ROUND(IF(R263="",0,R263)*U263+IF(G263="",0,G263),1))</f>
        <v>0</v>
      </c>
      <c r="Y263" s="20">
        <f>IF(B263="","",ROUND(IF(P263="",0,P263)*U263+IF(G263="",0,G263)/60*LaborCostHour,2))</f>
        <v>0</v>
      </c>
      <c r="Z263" s="20">
        <f>IF(B263="","",ROUND(W263+Y263+IF(Q263="",0,Q263),2))</f>
        <v>0</v>
      </c>
      <c r="AA263" s="33">
        <f>IF(B263="","",IFERROR(INDEX(Channels!$S$5:$S$18,MATCH(IF(J263="",DefaultChannel,J263),Channels!$A$5:$A$18,0)),0))</f>
        <v>0</v>
      </c>
      <c r="AB263" s="20">
        <f>IF(B263="","",IFERROR(INDEX(Channels!$T$5:$T$18,MATCH(IF(J263="",DefaultChannel,J263),Channels!$A$5:$A$18,0)),0))</f>
        <v>0</v>
      </c>
      <c r="AC263" s="41">
        <f>IF(B263="","",1-TargetRetailMargin-AA263)</f>
        <v>0</v>
      </c>
      <c r="AD263" s="20">
        <f>IF(B263="","",IF(AC263&lt;=0,"",((Z263+AB263)/AC263)*(1+V263)+IF(I263="",0,I263)))</f>
        <v>0</v>
      </c>
      <c r="AE263" s="20">
        <f>IF(B263="","",IF(AD263="","Check the settings",ROUND(IF(RoundingRule="None",AD263,IF(RoundingRule="Nearest 0.99",MAX(0.99,CEILING(AD263,1)-0.01),IF(RoundingRule="Nearest 0.95",MAX(0.95,CEILING(AD263,1)-0.05),IF(RoundingRule="Nearest 0.50",CEILING(AD263,0.5),IF(RoundingRule="Nearest 1",CEILING(AD263,1),IF(RoundingRule="Nearest 5",CEILING(AD263,5),IF(RoundingRule="Up to whole 1",CEILING(AD263,1),IF(RoundingRule="Up to whole 5",CEILING(AD263,5),ROUND(AD263,2))))))))),2)))</f>
        <v>0</v>
      </c>
      <c r="AF263" s="20">
        <f>IF(B263="","",IF(K263&lt;&gt;"",K263,IF(ISNUMBER(AE263),AE263,"")))</f>
        <v>0</v>
      </c>
      <c r="AG263" s="20">
        <f>IF(B263="","",IF(OR(AF263="",S263=""),"",ROUND(AF263-S263,2)))</f>
        <v>0</v>
      </c>
      <c r="AH263" s="20">
        <f>IF(B263="","",IF(AF263="","",ROUND(AF263*AA263+AB263,2)))</f>
        <v>0</v>
      </c>
      <c r="AI263" s="20">
        <f>IF(B263="","",IF(AF263="","",ROUND(AF263-Z263-AH263,2)))</f>
        <v>0</v>
      </c>
      <c r="AJ263" s="33">
        <f>IF(B263="","",IF(OR(AF263="",AF263=0),"",AI263/AF263))</f>
        <v>0</v>
      </c>
      <c r="AK263" s="20">
        <f>IF(B263="","",IF(OR(X263=0,X263="",AI263=""),"",ROUND((AI263+Y263)/(X263/60),2)))</f>
        <v>0</v>
      </c>
      <c r="AL263" s="43">
        <f>IF(B263="","",IF(N263="Not found","Check - no such product ID",IF(AF263="","Check - no price yet",IF(AI263&lt;0,"Loss - this version costs you money",IF(AND(AK263&lt;&gt;"",AK263&lt;MinimumWage),"Below - pays under minimum wage",IF(AND(G263&gt;0,AG263&lt;=0),"Check - extra work, no extra charge",IF(AJ263&lt;MarginWarning,"Low margin - re-price it","OK")))))))</f>
        <v>0</v>
      </c>
    </row>
    <row r="264" spans="1:38">
      <c r="A264" s="38">
        <f>IF(C264="","",VariationPrefix&amp;TEXT(ROW()-4,"0000"))</f>
        <v>0</v>
      </c>
      <c r="N264" s="13">
        <f>IF(B264="","",IFERROR(INDEX(Products!$B$5:$B$304,MATCH(B264,Products!$A$5:$A$304,0)),"Not found"))</f>
        <v>0</v>
      </c>
      <c r="O264" s="20">
        <f>IF(B264="","",IFERROR(INDEX(Products!$T$5:$T$304,MATCH(B264,Products!$A$5:$A$304,0)),""))</f>
        <v>0</v>
      </c>
      <c r="P264" s="20">
        <f>IF(B264="","",IFERROR(INDEX(Products!$Z$5:$Z$304,MATCH(B264,Products!$A$5:$A$304,0)),""))</f>
        <v>0</v>
      </c>
      <c r="Q264" s="20">
        <f>IF(B264="","",IFERROR(INDEX(Products!$AH$5:$AH$304,MATCH(B264,Products!$A$5:$A$304,0))-INDEX(Products!$T$5:$T$304,MATCH(B264,Products!$A$5:$A$304,0))-INDEX(Products!$Z$5:$Z$304,MATCH(B264,Products!$A$5:$A$304,0)),0))</f>
        <v>0</v>
      </c>
      <c r="R264" s="36">
        <f>IF(B264="","",IFERROR(INDEX(Products!$X$5:$X$304,MATCH(B264,Products!$A$5:$A$304,0)),""))</f>
        <v>0</v>
      </c>
      <c r="S264" s="20">
        <f>IF(B264="","",IFERROR(INDEX(Products!$AR$5:$AR$304,MATCH(B264,Products!$A$5:$A$304,0)),""))</f>
        <v>0</v>
      </c>
      <c r="T264" s="41">
        <f>IF(B264="","",IFERROR(INDEX(SizeMaterialFactors,MATCH(E264,SizeNames,0)),1))</f>
        <v>0</v>
      </c>
      <c r="U264" s="41">
        <f>IF(B264="","",IFERROR(INDEX(SizeTimeFactors,MATCH(E264,SizeNames,0)),1))</f>
        <v>0</v>
      </c>
      <c r="V264" s="33">
        <f>IF(B264="","",IFERROR(INDEX(RushFactors,MATCH(H264,RushNames,0)),0))</f>
        <v>0</v>
      </c>
      <c r="W264" s="20">
        <f>IF(B264="","",ROUND(IF(O264="",0,O264)*T264+IF(F264="",0,F264),2))</f>
        <v>0</v>
      </c>
      <c r="X264" s="36">
        <f>IF(B264="","",ROUND(IF(R264="",0,R264)*U264+IF(G264="",0,G264),1))</f>
        <v>0</v>
      </c>
      <c r="Y264" s="20">
        <f>IF(B264="","",ROUND(IF(P264="",0,P264)*U264+IF(G264="",0,G264)/60*LaborCostHour,2))</f>
        <v>0</v>
      </c>
      <c r="Z264" s="20">
        <f>IF(B264="","",ROUND(W264+Y264+IF(Q264="",0,Q264),2))</f>
        <v>0</v>
      </c>
      <c r="AA264" s="33">
        <f>IF(B264="","",IFERROR(INDEX(Channels!$S$5:$S$18,MATCH(IF(J264="",DefaultChannel,J264),Channels!$A$5:$A$18,0)),0))</f>
        <v>0</v>
      </c>
      <c r="AB264" s="20">
        <f>IF(B264="","",IFERROR(INDEX(Channels!$T$5:$T$18,MATCH(IF(J264="",DefaultChannel,J264),Channels!$A$5:$A$18,0)),0))</f>
        <v>0</v>
      </c>
      <c r="AC264" s="41">
        <f>IF(B264="","",1-TargetRetailMargin-AA264)</f>
        <v>0</v>
      </c>
      <c r="AD264" s="20">
        <f>IF(B264="","",IF(AC264&lt;=0,"",((Z264+AB264)/AC264)*(1+V264)+IF(I264="",0,I264)))</f>
        <v>0</v>
      </c>
      <c r="AE264" s="20">
        <f>IF(B264="","",IF(AD264="","Check the settings",ROUND(IF(RoundingRule="None",AD264,IF(RoundingRule="Nearest 0.99",MAX(0.99,CEILING(AD264,1)-0.01),IF(RoundingRule="Nearest 0.95",MAX(0.95,CEILING(AD264,1)-0.05),IF(RoundingRule="Nearest 0.50",CEILING(AD264,0.5),IF(RoundingRule="Nearest 1",CEILING(AD264,1),IF(RoundingRule="Nearest 5",CEILING(AD264,5),IF(RoundingRule="Up to whole 1",CEILING(AD264,1),IF(RoundingRule="Up to whole 5",CEILING(AD264,5),ROUND(AD264,2))))))))),2)))</f>
        <v>0</v>
      </c>
      <c r="AF264" s="20">
        <f>IF(B264="","",IF(K264&lt;&gt;"",K264,IF(ISNUMBER(AE264),AE264,"")))</f>
        <v>0</v>
      </c>
      <c r="AG264" s="20">
        <f>IF(B264="","",IF(OR(AF264="",S264=""),"",ROUND(AF264-S264,2)))</f>
        <v>0</v>
      </c>
      <c r="AH264" s="20">
        <f>IF(B264="","",IF(AF264="","",ROUND(AF264*AA264+AB264,2)))</f>
        <v>0</v>
      </c>
      <c r="AI264" s="20">
        <f>IF(B264="","",IF(AF264="","",ROUND(AF264-Z264-AH264,2)))</f>
        <v>0</v>
      </c>
      <c r="AJ264" s="33">
        <f>IF(B264="","",IF(OR(AF264="",AF264=0),"",AI264/AF264))</f>
        <v>0</v>
      </c>
      <c r="AK264" s="20">
        <f>IF(B264="","",IF(OR(X264=0,X264="",AI264=""),"",ROUND((AI264+Y264)/(X264/60),2)))</f>
        <v>0</v>
      </c>
      <c r="AL264" s="43">
        <f>IF(B264="","",IF(N264="Not found","Check - no such product ID",IF(AF264="","Check - no price yet",IF(AI264&lt;0,"Loss - this version costs you money",IF(AND(AK264&lt;&gt;"",AK264&lt;MinimumWage),"Below - pays under minimum wage",IF(AND(G264&gt;0,AG264&lt;=0),"Check - extra work, no extra charge",IF(AJ264&lt;MarginWarning,"Low margin - re-price it","OK")))))))</f>
        <v>0</v>
      </c>
    </row>
    <row r="265" spans="1:38">
      <c r="A265" s="38">
        <f>IF(C265="","",VariationPrefix&amp;TEXT(ROW()-4,"0000"))</f>
        <v>0</v>
      </c>
      <c r="N265" s="13">
        <f>IF(B265="","",IFERROR(INDEX(Products!$B$5:$B$304,MATCH(B265,Products!$A$5:$A$304,0)),"Not found"))</f>
        <v>0</v>
      </c>
      <c r="O265" s="20">
        <f>IF(B265="","",IFERROR(INDEX(Products!$T$5:$T$304,MATCH(B265,Products!$A$5:$A$304,0)),""))</f>
        <v>0</v>
      </c>
      <c r="P265" s="20">
        <f>IF(B265="","",IFERROR(INDEX(Products!$Z$5:$Z$304,MATCH(B265,Products!$A$5:$A$304,0)),""))</f>
        <v>0</v>
      </c>
      <c r="Q265" s="20">
        <f>IF(B265="","",IFERROR(INDEX(Products!$AH$5:$AH$304,MATCH(B265,Products!$A$5:$A$304,0))-INDEX(Products!$T$5:$T$304,MATCH(B265,Products!$A$5:$A$304,0))-INDEX(Products!$Z$5:$Z$304,MATCH(B265,Products!$A$5:$A$304,0)),0))</f>
        <v>0</v>
      </c>
      <c r="R265" s="36">
        <f>IF(B265="","",IFERROR(INDEX(Products!$X$5:$X$304,MATCH(B265,Products!$A$5:$A$304,0)),""))</f>
        <v>0</v>
      </c>
      <c r="S265" s="20">
        <f>IF(B265="","",IFERROR(INDEX(Products!$AR$5:$AR$304,MATCH(B265,Products!$A$5:$A$304,0)),""))</f>
        <v>0</v>
      </c>
      <c r="T265" s="41">
        <f>IF(B265="","",IFERROR(INDEX(SizeMaterialFactors,MATCH(E265,SizeNames,0)),1))</f>
        <v>0</v>
      </c>
      <c r="U265" s="41">
        <f>IF(B265="","",IFERROR(INDEX(SizeTimeFactors,MATCH(E265,SizeNames,0)),1))</f>
        <v>0</v>
      </c>
      <c r="V265" s="33">
        <f>IF(B265="","",IFERROR(INDEX(RushFactors,MATCH(H265,RushNames,0)),0))</f>
        <v>0</v>
      </c>
      <c r="W265" s="20">
        <f>IF(B265="","",ROUND(IF(O265="",0,O265)*T265+IF(F265="",0,F265),2))</f>
        <v>0</v>
      </c>
      <c r="X265" s="36">
        <f>IF(B265="","",ROUND(IF(R265="",0,R265)*U265+IF(G265="",0,G265),1))</f>
        <v>0</v>
      </c>
      <c r="Y265" s="20">
        <f>IF(B265="","",ROUND(IF(P265="",0,P265)*U265+IF(G265="",0,G265)/60*LaborCostHour,2))</f>
        <v>0</v>
      </c>
      <c r="Z265" s="20">
        <f>IF(B265="","",ROUND(W265+Y265+IF(Q265="",0,Q265),2))</f>
        <v>0</v>
      </c>
      <c r="AA265" s="33">
        <f>IF(B265="","",IFERROR(INDEX(Channels!$S$5:$S$18,MATCH(IF(J265="",DefaultChannel,J265),Channels!$A$5:$A$18,0)),0))</f>
        <v>0</v>
      </c>
      <c r="AB265" s="20">
        <f>IF(B265="","",IFERROR(INDEX(Channels!$T$5:$T$18,MATCH(IF(J265="",DefaultChannel,J265),Channels!$A$5:$A$18,0)),0))</f>
        <v>0</v>
      </c>
      <c r="AC265" s="41">
        <f>IF(B265="","",1-TargetRetailMargin-AA265)</f>
        <v>0</v>
      </c>
      <c r="AD265" s="20">
        <f>IF(B265="","",IF(AC265&lt;=0,"",((Z265+AB265)/AC265)*(1+V265)+IF(I265="",0,I265)))</f>
        <v>0</v>
      </c>
      <c r="AE265" s="20">
        <f>IF(B265="","",IF(AD265="","Check the settings",ROUND(IF(RoundingRule="None",AD265,IF(RoundingRule="Nearest 0.99",MAX(0.99,CEILING(AD265,1)-0.01),IF(RoundingRule="Nearest 0.95",MAX(0.95,CEILING(AD265,1)-0.05),IF(RoundingRule="Nearest 0.50",CEILING(AD265,0.5),IF(RoundingRule="Nearest 1",CEILING(AD265,1),IF(RoundingRule="Nearest 5",CEILING(AD265,5),IF(RoundingRule="Up to whole 1",CEILING(AD265,1),IF(RoundingRule="Up to whole 5",CEILING(AD265,5),ROUND(AD265,2))))))))),2)))</f>
        <v>0</v>
      </c>
      <c r="AF265" s="20">
        <f>IF(B265="","",IF(K265&lt;&gt;"",K265,IF(ISNUMBER(AE265),AE265,"")))</f>
        <v>0</v>
      </c>
      <c r="AG265" s="20">
        <f>IF(B265="","",IF(OR(AF265="",S265=""),"",ROUND(AF265-S265,2)))</f>
        <v>0</v>
      </c>
      <c r="AH265" s="20">
        <f>IF(B265="","",IF(AF265="","",ROUND(AF265*AA265+AB265,2)))</f>
        <v>0</v>
      </c>
      <c r="AI265" s="20">
        <f>IF(B265="","",IF(AF265="","",ROUND(AF265-Z265-AH265,2)))</f>
        <v>0</v>
      </c>
      <c r="AJ265" s="33">
        <f>IF(B265="","",IF(OR(AF265="",AF265=0),"",AI265/AF265))</f>
        <v>0</v>
      </c>
      <c r="AK265" s="20">
        <f>IF(B265="","",IF(OR(X265=0,X265="",AI265=""),"",ROUND((AI265+Y265)/(X265/60),2)))</f>
        <v>0</v>
      </c>
      <c r="AL265" s="43">
        <f>IF(B265="","",IF(N265="Not found","Check - no such product ID",IF(AF265="","Check - no price yet",IF(AI265&lt;0,"Loss - this version costs you money",IF(AND(AK265&lt;&gt;"",AK265&lt;MinimumWage),"Below - pays under minimum wage",IF(AND(G265&gt;0,AG265&lt;=0),"Check - extra work, no extra charge",IF(AJ265&lt;MarginWarning,"Low margin - re-price it","OK")))))))</f>
        <v>0</v>
      </c>
    </row>
    <row r="266" spans="1:38">
      <c r="A266" s="38">
        <f>IF(C266="","",VariationPrefix&amp;TEXT(ROW()-4,"0000"))</f>
        <v>0</v>
      </c>
      <c r="N266" s="13">
        <f>IF(B266="","",IFERROR(INDEX(Products!$B$5:$B$304,MATCH(B266,Products!$A$5:$A$304,0)),"Not found"))</f>
        <v>0</v>
      </c>
      <c r="O266" s="20">
        <f>IF(B266="","",IFERROR(INDEX(Products!$T$5:$T$304,MATCH(B266,Products!$A$5:$A$304,0)),""))</f>
        <v>0</v>
      </c>
      <c r="P266" s="20">
        <f>IF(B266="","",IFERROR(INDEX(Products!$Z$5:$Z$304,MATCH(B266,Products!$A$5:$A$304,0)),""))</f>
        <v>0</v>
      </c>
      <c r="Q266" s="20">
        <f>IF(B266="","",IFERROR(INDEX(Products!$AH$5:$AH$304,MATCH(B266,Products!$A$5:$A$304,0))-INDEX(Products!$T$5:$T$304,MATCH(B266,Products!$A$5:$A$304,0))-INDEX(Products!$Z$5:$Z$304,MATCH(B266,Products!$A$5:$A$304,0)),0))</f>
        <v>0</v>
      </c>
      <c r="R266" s="36">
        <f>IF(B266="","",IFERROR(INDEX(Products!$X$5:$X$304,MATCH(B266,Products!$A$5:$A$304,0)),""))</f>
        <v>0</v>
      </c>
      <c r="S266" s="20">
        <f>IF(B266="","",IFERROR(INDEX(Products!$AR$5:$AR$304,MATCH(B266,Products!$A$5:$A$304,0)),""))</f>
        <v>0</v>
      </c>
      <c r="T266" s="41">
        <f>IF(B266="","",IFERROR(INDEX(SizeMaterialFactors,MATCH(E266,SizeNames,0)),1))</f>
        <v>0</v>
      </c>
      <c r="U266" s="41">
        <f>IF(B266="","",IFERROR(INDEX(SizeTimeFactors,MATCH(E266,SizeNames,0)),1))</f>
        <v>0</v>
      </c>
      <c r="V266" s="33">
        <f>IF(B266="","",IFERROR(INDEX(RushFactors,MATCH(H266,RushNames,0)),0))</f>
        <v>0</v>
      </c>
      <c r="W266" s="20">
        <f>IF(B266="","",ROUND(IF(O266="",0,O266)*T266+IF(F266="",0,F266),2))</f>
        <v>0</v>
      </c>
      <c r="X266" s="36">
        <f>IF(B266="","",ROUND(IF(R266="",0,R266)*U266+IF(G266="",0,G266),1))</f>
        <v>0</v>
      </c>
      <c r="Y266" s="20">
        <f>IF(B266="","",ROUND(IF(P266="",0,P266)*U266+IF(G266="",0,G266)/60*LaborCostHour,2))</f>
        <v>0</v>
      </c>
      <c r="Z266" s="20">
        <f>IF(B266="","",ROUND(W266+Y266+IF(Q266="",0,Q266),2))</f>
        <v>0</v>
      </c>
      <c r="AA266" s="33">
        <f>IF(B266="","",IFERROR(INDEX(Channels!$S$5:$S$18,MATCH(IF(J266="",DefaultChannel,J266),Channels!$A$5:$A$18,0)),0))</f>
        <v>0</v>
      </c>
      <c r="AB266" s="20">
        <f>IF(B266="","",IFERROR(INDEX(Channels!$T$5:$T$18,MATCH(IF(J266="",DefaultChannel,J266),Channels!$A$5:$A$18,0)),0))</f>
        <v>0</v>
      </c>
      <c r="AC266" s="41">
        <f>IF(B266="","",1-TargetRetailMargin-AA266)</f>
        <v>0</v>
      </c>
      <c r="AD266" s="20">
        <f>IF(B266="","",IF(AC266&lt;=0,"",((Z266+AB266)/AC266)*(1+V266)+IF(I266="",0,I266)))</f>
        <v>0</v>
      </c>
      <c r="AE266" s="20">
        <f>IF(B266="","",IF(AD266="","Check the settings",ROUND(IF(RoundingRule="None",AD266,IF(RoundingRule="Nearest 0.99",MAX(0.99,CEILING(AD266,1)-0.01),IF(RoundingRule="Nearest 0.95",MAX(0.95,CEILING(AD266,1)-0.05),IF(RoundingRule="Nearest 0.50",CEILING(AD266,0.5),IF(RoundingRule="Nearest 1",CEILING(AD266,1),IF(RoundingRule="Nearest 5",CEILING(AD266,5),IF(RoundingRule="Up to whole 1",CEILING(AD266,1),IF(RoundingRule="Up to whole 5",CEILING(AD266,5),ROUND(AD266,2))))))))),2)))</f>
        <v>0</v>
      </c>
      <c r="AF266" s="20">
        <f>IF(B266="","",IF(K266&lt;&gt;"",K266,IF(ISNUMBER(AE266),AE266,"")))</f>
        <v>0</v>
      </c>
      <c r="AG266" s="20">
        <f>IF(B266="","",IF(OR(AF266="",S266=""),"",ROUND(AF266-S266,2)))</f>
        <v>0</v>
      </c>
      <c r="AH266" s="20">
        <f>IF(B266="","",IF(AF266="","",ROUND(AF266*AA266+AB266,2)))</f>
        <v>0</v>
      </c>
      <c r="AI266" s="20">
        <f>IF(B266="","",IF(AF266="","",ROUND(AF266-Z266-AH266,2)))</f>
        <v>0</v>
      </c>
      <c r="AJ266" s="33">
        <f>IF(B266="","",IF(OR(AF266="",AF266=0),"",AI266/AF266))</f>
        <v>0</v>
      </c>
      <c r="AK266" s="20">
        <f>IF(B266="","",IF(OR(X266=0,X266="",AI266=""),"",ROUND((AI266+Y266)/(X266/60),2)))</f>
        <v>0</v>
      </c>
      <c r="AL266" s="43">
        <f>IF(B266="","",IF(N266="Not found","Check - no such product ID",IF(AF266="","Check - no price yet",IF(AI266&lt;0,"Loss - this version costs you money",IF(AND(AK266&lt;&gt;"",AK266&lt;MinimumWage),"Below - pays under minimum wage",IF(AND(G266&gt;0,AG266&lt;=0),"Check - extra work, no extra charge",IF(AJ266&lt;MarginWarning,"Low margin - re-price it","OK")))))))</f>
        <v>0</v>
      </c>
    </row>
    <row r="267" spans="1:38">
      <c r="A267" s="38">
        <f>IF(C267="","",VariationPrefix&amp;TEXT(ROW()-4,"0000"))</f>
        <v>0</v>
      </c>
      <c r="N267" s="13">
        <f>IF(B267="","",IFERROR(INDEX(Products!$B$5:$B$304,MATCH(B267,Products!$A$5:$A$304,0)),"Not found"))</f>
        <v>0</v>
      </c>
      <c r="O267" s="20">
        <f>IF(B267="","",IFERROR(INDEX(Products!$T$5:$T$304,MATCH(B267,Products!$A$5:$A$304,0)),""))</f>
        <v>0</v>
      </c>
      <c r="P267" s="20">
        <f>IF(B267="","",IFERROR(INDEX(Products!$Z$5:$Z$304,MATCH(B267,Products!$A$5:$A$304,0)),""))</f>
        <v>0</v>
      </c>
      <c r="Q267" s="20">
        <f>IF(B267="","",IFERROR(INDEX(Products!$AH$5:$AH$304,MATCH(B267,Products!$A$5:$A$304,0))-INDEX(Products!$T$5:$T$304,MATCH(B267,Products!$A$5:$A$304,0))-INDEX(Products!$Z$5:$Z$304,MATCH(B267,Products!$A$5:$A$304,0)),0))</f>
        <v>0</v>
      </c>
      <c r="R267" s="36">
        <f>IF(B267="","",IFERROR(INDEX(Products!$X$5:$X$304,MATCH(B267,Products!$A$5:$A$304,0)),""))</f>
        <v>0</v>
      </c>
      <c r="S267" s="20">
        <f>IF(B267="","",IFERROR(INDEX(Products!$AR$5:$AR$304,MATCH(B267,Products!$A$5:$A$304,0)),""))</f>
        <v>0</v>
      </c>
      <c r="T267" s="41">
        <f>IF(B267="","",IFERROR(INDEX(SizeMaterialFactors,MATCH(E267,SizeNames,0)),1))</f>
        <v>0</v>
      </c>
      <c r="U267" s="41">
        <f>IF(B267="","",IFERROR(INDEX(SizeTimeFactors,MATCH(E267,SizeNames,0)),1))</f>
        <v>0</v>
      </c>
      <c r="V267" s="33">
        <f>IF(B267="","",IFERROR(INDEX(RushFactors,MATCH(H267,RushNames,0)),0))</f>
        <v>0</v>
      </c>
      <c r="W267" s="20">
        <f>IF(B267="","",ROUND(IF(O267="",0,O267)*T267+IF(F267="",0,F267),2))</f>
        <v>0</v>
      </c>
      <c r="X267" s="36">
        <f>IF(B267="","",ROUND(IF(R267="",0,R267)*U267+IF(G267="",0,G267),1))</f>
        <v>0</v>
      </c>
      <c r="Y267" s="20">
        <f>IF(B267="","",ROUND(IF(P267="",0,P267)*U267+IF(G267="",0,G267)/60*LaborCostHour,2))</f>
        <v>0</v>
      </c>
      <c r="Z267" s="20">
        <f>IF(B267="","",ROUND(W267+Y267+IF(Q267="",0,Q267),2))</f>
        <v>0</v>
      </c>
      <c r="AA267" s="33">
        <f>IF(B267="","",IFERROR(INDEX(Channels!$S$5:$S$18,MATCH(IF(J267="",DefaultChannel,J267),Channels!$A$5:$A$18,0)),0))</f>
        <v>0</v>
      </c>
      <c r="AB267" s="20">
        <f>IF(B267="","",IFERROR(INDEX(Channels!$T$5:$T$18,MATCH(IF(J267="",DefaultChannel,J267),Channels!$A$5:$A$18,0)),0))</f>
        <v>0</v>
      </c>
      <c r="AC267" s="41">
        <f>IF(B267="","",1-TargetRetailMargin-AA267)</f>
        <v>0</v>
      </c>
      <c r="AD267" s="20">
        <f>IF(B267="","",IF(AC267&lt;=0,"",((Z267+AB267)/AC267)*(1+V267)+IF(I267="",0,I267)))</f>
        <v>0</v>
      </c>
      <c r="AE267" s="20">
        <f>IF(B267="","",IF(AD267="","Check the settings",ROUND(IF(RoundingRule="None",AD267,IF(RoundingRule="Nearest 0.99",MAX(0.99,CEILING(AD267,1)-0.01),IF(RoundingRule="Nearest 0.95",MAX(0.95,CEILING(AD267,1)-0.05),IF(RoundingRule="Nearest 0.50",CEILING(AD267,0.5),IF(RoundingRule="Nearest 1",CEILING(AD267,1),IF(RoundingRule="Nearest 5",CEILING(AD267,5),IF(RoundingRule="Up to whole 1",CEILING(AD267,1),IF(RoundingRule="Up to whole 5",CEILING(AD267,5),ROUND(AD267,2))))))))),2)))</f>
        <v>0</v>
      </c>
      <c r="AF267" s="20">
        <f>IF(B267="","",IF(K267&lt;&gt;"",K267,IF(ISNUMBER(AE267),AE267,"")))</f>
        <v>0</v>
      </c>
      <c r="AG267" s="20">
        <f>IF(B267="","",IF(OR(AF267="",S267=""),"",ROUND(AF267-S267,2)))</f>
        <v>0</v>
      </c>
      <c r="AH267" s="20">
        <f>IF(B267="","",IF(AF267="","",ROUND(AF267*AA267+AB267,2)))</f>
        <v>0</v>
      </c>
      <c r="AI267" s="20">
        <f>IF(B267="","",IF(AF267="","",ROUND(AF267-Z267-AH267,2)))</f>
        <v>0</v>
      </c>
      <c r="AJ267" s="33">
        <f>IF(B267="","",IF(OR(AF267="",AF267=0),"",AI267/AF267))</f>
        <v>0</v>
      </c>
      <c r="AK267" s="20">
        <f>IF(B267="","",IF(OR(X267=0,X267="",AI267=""),"",ROUND((AI267+Y267)/(X267/60),2)))</f>
        <v>0</v>
      </c>
      <c r="AL267" s="43">
        <f>IF(B267="","",IF(N267="Not found","Check - no such product ID",IF(AF267="","Check - no price yet",IF(AI267&lt;0,"Loss - this version costs you money",IF(AND(AK267&lt;&gt;"",AK267&lt;MinimumWage),"Below - pays under minimum wage",IF(AND(G267&gt;0,AG267&lt;=0),"Check - extra work, no extra charge",IF(AJ267&lt;MarginWarning,"Low margin - re-price it","OK")))))))</f>
        <v>0</v>
      </c>
    </row>
    <row r="268" spans="1:38">
      <c r="A268" s="38">
        <f>IF(C268="","",VariationPrefix&amp;TEXT(ROW()-4,"0000"))</f>
        <v>0</v>
      </c>
      <c r="N268" s="13">
        <f>IF(B268="","",IFERROR(INDEX(Products!$B$5:$B$304,MATCH(B268,Products!$A$5:$A$304,0)),"Not found"))</f>
        <v>0</v>
      </c>
      <c r="O268" s="20">
        <f>IF(B268="","",IFERROR(INDEX(Products!$T$5:$T$304,MATCH(B268,Products!$A$5:$A$304,0)),""))</f>
        <v>0</v>
      </c>
      <c r="P268" s="20">
        <f>IF(B268="","",IFERROR(INDEX(Products!$Z$5:$Z$304,MATCH(B268,Products!$A$5:$A$304,0)),""))</f>
        <v>0</v>
      </c>
      <c r="Q268" s="20">
        <f>IF(B268="","",IFERROR(INDEX(Products!$AH$5:$AH$304,MATCH(B268,Products!$A$5:$A$304,0))-INDEX(Products!$T$5:$T$304,MATCH(B268,Products!$A$5:$A$304,0))-INDEX(Products!$Z$5:$Z$304,MATCH(B268,Products!$A$5:$A$304,0)),0))</f>
        <v>0</v>
      </c>
      <c r="R268" s="36">
        <f>IF(B268="","",IFERROR(INDEX(Products!$X$5:$X$304,MATCH(B268,Products!$A$5:$A$304,0)),""))</f>
        <v>0</v>
      </c>
      <c r="S268" s="20">
        <f>IF(B268="","",IFERROR(INDEX(Products!$AR$5:$AR$304,MATCH(B268,Products!$A$5:$A$304,0)),""))</f>
        <v>0</v>
      </c>
      <c r="T268" s="41">
        <f>IF(B268="","",IFERROR(INDEX(SizeMaterialFactors,MATCH(E268,SizeNames,0)),1))</f>
        <v>0</v>
      </c>
      <c r="U268" s="41">
        <f>IF(B268="","",IFERROR(INDEX(SizeTimeFactors,MATCH(E268,SizeNames,0)),1))</f>
        <v>0</v>
      </c>
      <c r="V268" s="33">
        <f>IF(B268="","",IFERROR(INDEX(RushFactors,MATCH(H268,RushNames,0)),0))</f>
        <v>0</v>
      </c>
      <c r="W268" s="20">
        <f>IF(B268="","",ROUND(IF(O268="",0,O268)*T268+IF(F268="",0,F268),2))</f>
        <v>0</v>
      </c>
      <c r="X268" s="36">
        <f>IF(B268="","",ROUND(IF(R268="",0,R268)*U268+IF(G268="",0,G268),1))</f>
        <v>0</v>
      </c>
      <c r="Y268" s="20">
        <f>IF(B268="","",ROUND(IF(P268="",0,P268)*U268+IF(G268="",0,G268)/60*LaborCostHour,2))</f>
        <v>0</v>
      </c>
      <c r="Z268" s="20">
        <f>IF(B268="","",ROUND(W268+Y268+IF(Q268="",0,Q268),2))</f>
        <v>0</v>
      </c>
      <c r="AA268" s="33">
        <f>IF(B268="","",IFERROR(INDEX(Channels!$S$5:$S$18,MATCH(IF(J268="",DefaultChannel,J268),Channels!$A$5:$A$18,0)),0))</f>
        <v>0</v>
      </c>
      <c r="AB268" s="20">
        <f>IF(B268="","",IFERROR(INDEX(Channels!$T$5:$T$18,MATCH(IF(J268="",DefaultChannel,J268),Channels!$A$5:$A$18,0)),0))</f>
        <v>0</v>
      </c>
      <c r="AC268" s="41">
        <f>IF(B268="","",1-TargetRetailMargin-AA268)</f>
        <v>0</v>
      </c>
      <c r="AD268" s="20">
        <f>IF(B268="","",IF(AC268&lt;=0,"",((Z268+AB268)/AC268)*(1+V268)+IF(I268="",0,I268)))</f>
        <v>0</v>
      </c>
      <c r="AE268" s="20">
        <f>IF(B268="","",IF(AD268="","Check the settings",ROUND(IF(RoundingRule="None",AD268,IF(RoundingRule="Nearest 0.99",MAX(0.99,CEILING(AD268,1)-0.01),IF(RoundingRule="Nearest 0.95",MAX(0.95,CEILING(AD268,1)-0.05),IF(RoundingRule="Nearest 0.50",CEILING(AD268,0.5),IF(RoundingRule="Nearest 1",CEILING(AD268,1),IF(RoundingRule="Nearest 5",CEILING(AD268,5),IF(RoundingRule="Up to whole 1",CEILING(AD268,1),IF(RoundingRule="Up to whole 5",CEILING(AD268,5),ROUND(AD268,2))))))))),2)))</f>
        <v>0</v>
      </c>
      <c r="AF268" s="20">
        <f>IF(B268="","",IF(K268&lt;&gt;"",K268,IF(ISNUMBER(AE268),AE268,"")))</f>
        <v>0</v>
      </c>
      <c r="AG268" s="20">
        <f>IF(B268="","",IF(OR(AF268="",S268=""),"",ROUND(AF268-S268,2)))</f>
        <v>0</v>
      </c>
      <c r="AH268" s="20">
        <f>IF(B268="","",IF(AF268="","",ROUND(AF268*AA268+AB268,2)))</f>
        <v>0</v>
      </c>
      <c r="AI268" s="20">
        <f>IF(B268="","",IF(AF268="","",ROUND(AF268-Z268-AH268,2)))</f>
        <v>0</v>
      </c>
      <c r="AJ268" s="33">
        <f>IF(B268="","",IF(OR(AF268="",AF268=0),"",AI268/AF268))</f>
        <v>0</v>
      </c>
      <c r="AK268" s="20">
        <f>IF(B268="","",IF(OR(X268=0,X268="",AI268=""),"",ROUND((AI268+Y268)/(X268/60),2)))</f>
        <v>0</v>
      </c>
      <c r="AL268" s="43">
        <f>IF(B268="","",IF(N268="Not found","Check - no such product ID",IF(AF268="","Check - no price yet",IF(AI268&lt;0,"Loss - this version costs you money",IF(AND(AK268&lt;&gt;"",AK268&lt;MinimumWage),"Below - pays under minimum wage",IF(AND(G268&gt;0,AG268&lt;=0),"Check - extra work, no extra charge",IF(AJ268&lt;MarginWarning,"Low margin - re-price it","OK")))))))</f>
        <v>0</v>
      </c>
    </row>
    <row r="269" spans="1:38">
      <c r="A269" s="38">
        <f>IF(C269="","",VariationPrefix&amp;TEXT(ROW()-4,"0000"))</f>
        <v>0</v>
      </c>
      <c r="N269" s="13">
        <f>IF(B269="","",IFERROR(INDEX(Products!$B$5:$B$304,MATCH(B269,Products!$A$5:$A$304,0)),"Not found"))</f>
        <v>0</v>
      </c>
      <c r="O269" s="20">
        <f>IF(B269="","",IFERROR(INDEX(Products!$T$5:$T$304,MATCH(B269,Products!$A$5:$A$304,0)),""))</f>
        <v>0</v>
      </c>
      <c r="P269" s="20">
        <f>IF(B269="","",IFERROR(INDEX(Products!$Z$5:$Z$304,MATCH(B269,Products!$A$5:$A$304,0)),""))</f>
        <v>0</v>
      </c>
      <c r="Q269" s="20">
        <f>IF(B269="","",IFERROR(INDEX(Products!$AH$5:$AH$304,MATCH(B269,Products!$A$5:$A$304,0))-INDEX(Products!$T$5:$T$304,MATCH(B269,Products!$A$5:$A$304,0))-INDEX(Products!$Z$5:$Z$304,MATCH(B269,Products!$A$5:$A$304,0)),0))</f>
        <v>0</v>
      </c>
      <c r="R269" s="36">
        <f>IF(B269="","",IFERROR(INDEX(Products!$X$5:$X$304,MATCH(B269,Products!$A$5:$A$304,0)),""))</f>
        <v>0</v>
      </c>
      <c r="S269" s="20">
        <f>IF(B269="","",IFERROR(INDEX(Products!$AR$5:$AR$304,MATCH(B269,Products!$A$5:$A$304,0)),""))</f>
        <v>0</v>
      </c>
      <c r="T269" s="41">
        <f>IF(B269="","",IFERROR(INDEX(SizeMaterialFactors,MATCH(E269,SizeNames,0)),1))</f>
        <v>0</v>
      </c>
      <c r="U269" s="41">
        <f>IF(B269="","",IFERROR(INDEX(SizeTimeFactors,MATCH(E269,SizeNames,0)),1))</f>
        <v>0</v>
      </c>
      <c r="V269" s="33">
        <f>IF(B269="","",IFERROR(INDEX(RushFactors,MATCH(H269,RushNames,0)),0))</f>
        <v>0</v>
      </c>
      <c r="W269" s="20">
        <f>IF(B269="","",ROUND(IF(O269="",0,O269)*T269+IF(F269="",0,F269),2))</f>
        <v>0</v>
      </c>
      <c r="X269" s="36">
        <f>IF(B269="","",ROUND(IF(R269="",0,R269)*U269+IF(G269="",0,G269),1))</f>
        <v>0</v>
      </c>
      <c r="Y269" s="20">
        <f>IF(B269="","",ROUND(IF(P269="",0,P269)*U269+IF(G269="",0,G269)/60*LaborCostHour,2))</f>
        <v>0</v>
      </c>
      <c r="Z269" s="20">
        <f>IF(B269="","",ROUND(W269+Y269+IF(Q269="",0,Q269),2))</f>
        <v>0</v>
      </c>
      <c r="AA269" s="33">
        <f>IF(B269="","",IFERROR(INDEX(Channels!$S$5:$S$18,MATCH(IF(J269="",DefaultChannel,J269),Channels!$A$5:$A$18,0)),0))</f>
        <v>0</v>
      </c>
      <c r="AB269" s="20">
        <f>IF(B269="","",IFERROR(INDEX(Channels!$T$5:$T$18,MATCH(IF(J269="",DefaultChannel,J269),Channels!$A$5:$A$18,0)),0))</f>
        <v>0</v>
      </c>
      <c r="AC269" s="41">
        <f>IF(B269="","",1-TargetRetailMargin-AA269)</f>
        <v>0</v>
      </c>
      <c r="AD269" s="20">
        <f>IF(B269="","",IF(AC269&lt;=0,"",((Z269+AB269)/AC269)*(1+V269)+IF(I269="",0,I269)))</f>
        <v>0</v>
      </c>
      <c r="AE269" s="20">
        <f>IF(B269="","",IF(AD269="","Check the settings",ROUND(IF(RoundingRule="None",AD269,IF(RoundingRule="Nearest 0.99",MAX(0.99,CEILING(AD269,1)-0.01),IF(RoundingRule="Nearest 0.95",MAX(0.95,CEILING(AD269,1)-0.05),IF(RoundingRule="Nearest 0.50",CEILING(AD269,0.5),IF(RoundingRule="Nearest 1",CEILING(AD269,1),IF(RoundingRule="Nearest 5",CEILING(AD269,5),IF(RoundingRule="Up to whole 1",CEILING(AD269,1),IF(RoundingRule="Up to whole 5",CEILING(AD269,5),ROUND(AD269,2))))))))),2)))</f>
        <v>0</v>
      </c>
      <c r="AF269" s="20">
        <f>IF(B269="","",IF(K269&lt;&gt;"",K269,IF(ISNUMBER(AE269),AE269,"")))</f>
        <v>0</v>
      </c>
      <c r="AG269" s="20">
        <f>IF(B269="","",IF(OR(AF269="",S269=""),"",ROUND(AF269-S269,2)))</f>
        <v>0</v>
      </c>
      <c r="AH269" s="20">
        <f>IF(B269="","",IF(AF269="","",ROUND(AF269*AA269+AB269,2)))</f>
        <v>0</v>
      </c>
      <c r="AI269" s="20">
        <f>IF(B269="","",IF(AF269="","",ROUND(AF269-Z269-AH269,2)))</f>
        <v>0</v>
      </c>
      <c r="AJ269" s="33">
        <f>IF(B269="","",IF(OR(AF269="",AF269=0),"",AI269/AF269))</f>
        <v>0</v>
      </c>
      <c r="AK269" s="20">
        <f>IF(B269="","",IF(OR(X269=0,X269="",AI269=""),"",ROUND((AI269+Y269)/(X269/60),2)))</f>
        <v>0</v>
      </c>
      <c r="AL269" s="43">
        <f>IF(B269="","",IF(N269="Not found","Check - no such product ID",IF(AF269="","Check - no price yet",IF(AI269&lt;0,"Loss - this version costs you money",IF(AND(AK269&lt;&gt;"",AK269&lt;MinimumWage),"Below - pays under minimum wage",IF(AND(G269&gt;0,AG269&lt;=0),"Check - extra work, no extra charge",IF(AJ269&lt;MarginWarning,"Low margin - re-price it","OK")))))))</f>
        <v>0</v>
      </c>
    </row>
    <row r="270" spans="1:38">
      <c r="A270" s="38">
        <f>IF(C270="","",VariationPrefix&amp;TEXT(ROW()-4,"0000"))</f>
        <v>0</v>
      </c>
      <c r="N270" s="13">
        <f>IF(B270="","",IFERROR(INDEX(Products!$B$5:$B$304,MATCH(B270,Products!$A$5:$A$304,0)),"Not found"))</f>
        <v>0</v>
      </c>
      <c r="O270" s="20">
        <f>IF(B270="","",IFERROR(INDEX(Products!$T$5:$T$304,MATCH(B270,Products!$A$5:$A$304,0)),""))</f>
        <v>0</v>
      </c>
      <c r="P270" s="20">
        <f>IF(B270="","",IFERROR(INDEX(Products!$Z$5:$Z$304,MATCH(B270,Products!$A$5:$A$304,0)),""))</f>
        <v>0</v>
      </c>
      <c r="Q270" s="20">
        <f>IF(B270="","",IFERROR(INDEX(Products!$AH$5:$AH$304,MATCH(B270,Products!$A$5:$A$304,0))-INDEX(Products!$T$5:$T$304,MATCH(B270,Products!$A$5:$A$304,0))-INDEX(Products!$Z$5:$Z$304,MATCH(B270,Products!$A$5:$A$304,0)),0))</f>
        <v>0</v>
      </c>
      <c r="R270" s="36">
        <f>IF(B270="","",IFERROR(INDEX(Products!$X$5:$X$304,MATCH(B270,Products!$A$5:$A$304,0)),""))</f>
        <v>0</v>
      </c>
      <c r="S270" s="20">
        <f>IF(B270="","",IFERROR(INDEX(Products!$AR$5:$AR$304,MATCH(B270,Products!$A$5:$A$304,0)),""))</f>
        <v>0</v>
      </c>
      <c r="T270" s="41">
        <f>IF(B270="","",IFERROR(INDEX(SizeMaterialFactors,MATCH(E270,SizeNames,0)),1))</f>
        <v>0</v>
      </c>
      <c r="U270" s="41">
        <f>IF(B270="","",IFERROR(INDEX(SizeTimeFactors,MATCH(E270,SizeNames,0)),1))</f>
        <v>0</v>
      </c>
      <c r="V270" s="33">
        <f>IF(B270="","",IFERROR(INDEX(RushFactors,MATCH(H270,RushNames,0)),0))</f>
        <v>0</v>
      </c>
      <c r="W270" s="20">
        <f>IF(B270="","",ROUND(IF(O270="",0,O270)*T270+IF(F270="",0,F270),2))</f>
        <v>0</v>
      </c>
      <c r="X270" s="36">
        <f>IF(B270="","",ROUND(IF(R270="",0,R270)*U270+IF(G270="",0,G270),1))</f>
        <v>0</v>
      </c>
      <c r="Y270" s="20">
        <f>IF(B270="","",ROUND(IF(P270="",0,P270)*U270+IF(G270="",0,G270)/60*LaborCostHour,2))</f>
        <v>0</v>
      </c>
      <c r="Z270" s="20">
        <f>IF(B270="","",ROUND(W270+Y270+IF(Q270="",0,Q270),2))</f>
        <v>0</v>
      </c>
      <c r="AA270" s="33">
        <f>IF(B270="","",IFERROR(INDEX(Channels!$S$5:$S$18,MATCH(IF(J270="",DefaultChannel,J270),Channels!$A$5:$A$18,0)),0))</f>
        <v>0</v>
      </c>
      <c r="AB270" s="20">
        <f>IF(B270="","",IFERROR(INDEX(Channels!$T$5:$T$18,MATCH(IF(J270="",DefaultChannel,J270),Channels!$A$5:$A$18,0)),0))</f>
        <v>0</v>
      </c>
      <c r="AC270" s="41">
        <f>IF(B270="","",1-TargetRetailMargin-AA270)</f>
        <v>0</v>
      </c>
      <c r="AD270" s="20">
        <f>IF(B270="","",IF(AC270&lt;=0,"",((Z270+AB270)/AC270)*(1+V270)+IF(I270="",0,I270)))</f>
        <v>0</v>
      </c>
      <c r="AE270" s="20">
        <f>IF(B270="","",IF(AD270="","Check the settings",ROUND(IF(RoundingRule="None",AD270,IF(RoundingRule="Nearest 0.99",MAX(0.99,CEILING(AD270,1)-0.01),IF(RoundingRule="Nearest 0.95",MAX(0.95,CEILING(AD270,1)-0.05),IF(RoundingRule="Nearest 0.50",CEILING(AD270,0.5),IF(RoundingRule="Nearest 1",CEILING(AD270,1),IF(RoundingRule="Nearest 5",CEILING(AD270,5),IF(RoundingRule="Up to whole 1",CEILING(AD270,1),IF(RoundingRule="Up to whole 5",CEILING(AD270,5),ROUND(AD270,2))))))))),2)))</f>
        <v>0</v>
      </c>
      <c r="AF270" s="20">
        <f>IF(B270="","",IF(K270&lt;&gt;"",K270,IF(ISNUMBER(AE270),AE270,"")))</f>
        <v>0</v>
      </c>
      <c r="AG270" s="20">
        <f>IF(B270="","",IF(OR(AF270="",S270=""),"",ROUND(AF270-S270,2)))</f>
        <v>0</v>
      </c>
      <c r="AH270" s="20">
        <f>IF(B270="","",IF(AF270="","",ROUND(AF270*AA270+AB270,2)))</f>
        <v>0</v>
      </c>
      <c r="AI270" s="20">
        <f>IF(B270="","",IF(AF270="","",ROUND(AF270-Z270-AH270,2)))</f>
        <v>0</v>
      </c>
      <c r="AJ270" s="33">
        <f>IF(B270="","",IF(OR(AF270="",AF270=0),"",AI270/AF270))</f>
        <v>0</v>
      </c>
      <c r="AK270" s="20">
        <f>IF(B270="","",IF(OR(X270=0,X270="",AI270=""),"",ROUND((AI270+Y270)/(X270/60),2)))</f>
        <v>0</v>
      </c>
      <c r="AL270" s="43">
        <f>IF(B270="","",IF(N270="Not found","Check - no such product ID",IF(AF270="","Check - no price yet",IF(AI270&lt;0,"Loss - this version costs you money",IF(AND(AK270&lt;&gt;"",AK270&lt;MinimumWage),"Below - pays under minimum wage",IF(AND(G270&gt;0,AG270&lt;=0),"Check - extra work, no extra charge",IF(AJ270&lt;MarginWarning,"Low margin - re-price it","OK")))))))</f>
        <v>0</v>
      </c>
    </row>
    <row r="271" spans="1:38">
      <c r="A271" s="38">
        <f>IF(C271="","",VariationPrefix&amp;TEXT(ROW()-4,"0000"))</f>
        <v>0</v>
      </c>
      <c r="N271" s="13">
        <f>IF(B271="","",IFERROR(INDEX(Products!$B$5:$B$304,MATCH(B271,Products!$A$5:$A$304,0)),"Not found"))</f>
        <v>0</v>
      </c>
      <c r="O271" s="20">
        <f>IF(B271="","",IFERROR(INDEX(Products!$T$5:$T$304,MATCH(B271,Products!$A$5:$A$304,0)),""))</f>
        <v>0</v>
      </c>
      <c r="P271" s="20">
        <f>IF(B271="","",IFERROR(INDEX(Products!$Z$5:$Z$304,MATCH(B271,Products!$A$5:$A$304,0)),""))</f>
        <v>0</v>
      </c>
      <c r="Q271" s="20">
        <f>IF(B271="","",IFERROR(INDEX(Products!$AH$5:$AH$304,MATCH(B271,Products!$A$5:$A$304,0))-INDEX(Products!$T$5:$T$304,MATCH(B271,Products!$A$5:$A$304,0))-INDEX(Products!$Z$5:$Z$304,MATCH(B271,Products!$A$5:$A$304,0)),0))</f>
        <v>0</v>
      </c>
      <c r="R271" s="36">
        <f>IF(B271="","",IFERROR(INDEX(Products!$X$5:$X$304,MATCH(B271,Products!$A$5:$A$304,0)),""))</f>
        <v>0</v>
      </c>
      <c r="S271" s="20">
        <f>IF(B271="","",IFERROR(INDEX(Products!$AR$5:$AR$304,MATCH(B271,Products!$A$5:$A$304,0)),""))</f>
        <v>0</v>
      </c>
      <c r="T271" s="41">
        <f>IF(B271="","",IFERROR(INDEX(SizeMaterialFactors,MATCH(E271,SizeNames,0)),1))</f>
        <v>0</v>
      </c>
      <c r="U271" s="41">
        <f>IF(B271="","",IFERROR(INDEX(SizeTimeFactors,MATCH(E271,SizeNames,0)),1))</f>
        <v>0</v>
      </c>
      <c r="V271" s="33">
        <f>IF(B271="","",IFERROR(INDEX(RushFactors,MATCH(H271,RushNames,0)),0))</f>
        <v>0</v>
      </c>
      <c r="W271" s="20">
        <f>IF(B271="","",ROUND(IF(O271="",0,O271)*T271+IF(F271="",0,F271),2))</f>
        <v>0</v>
      </c>
      <c r="X271" s="36">
        <f>IF(B271="","",ROUND(IF(R271="",0,R271)*U271+IF(G271="",0,G271),1))</f>
        <v>0</v>
      </c>
      <c r="Y271" s="20">
        <f>IF(B271="","",ROUND(IF(P271="",0,P271)*U271+IF(G271="",0,G271)/60*LaborCostHour,2))</f>
        <v>0</v>
      </c>
      <c r="Z271" s="20">
        <f>IF(B271="","",ROUND(W271+Y271+IF(Q271="",0,Q271),2))</f>
        <v>0</v>
      </c>
      <c r="AA271" s="33">
        <f>IF(B271="","",IFERROR(INDEX(Channels!$S$5:$S$18,MATCH(IF(J271="",DefaultChannel,J271),Channels!$A$5:$A$18,0)),0))</f>
        <v>0</v>
      </c>
      <c r="AB271" s="20">
        <f>IF(B271="","",IFERROR(INDEX(Channels!$T$5:$T$18,MATCH(IF(J271="",DefaultChannel,J271),Channels!$A$5:$A$18,0)),0))</f>
        <v>0</v>
      </c>
      <c r="AC271" s="41">
        <f>IF(B271="","",1-TargetRetailMargin-AA271)</f>
        <v>0</v>
      </c>
      <c r="AD271" s="20">
        <f>IF(B271="","",IF(AC271&lt;=0,"",((Z271+AB271)/AC271)*(1+V271)+IF(I271="",0,I271)))</f>
        <v>0</v>
      </c>
      <c r="AE271" s="20">
        <f>IF(B271="","",IF(AD271="","Check the settings",ROUND(IF(RoundingRule="None",AD271,IF(RoundingRule="Nearest 0.99",MAX(0.99,CEILING(AD271,1)-0.01),IF(RoundingRule="Nearest 0.95",MAX(0.95,CEILING(AD271,1)-0.05),IF(RoundingRule="Nearest 0.50",CEILING(AD271,0.5),IF(RoundingRule="Nearest 1",CEILING(AD271,1),IF(RoundingRule="Nearest 5",CEILING(AD271,5),IF(RoundingRule="Up to whole 1",CEILING(AD271,1),IF(RoundingRule="Up to whole 5",CEILING(AD271,5),ROUND(AD271,2))))))))),2)))</f>
        <v>0</v>
      </c>
      <c r="AF271" s="20">
        <f>IF(B271="","",IF(K271&lt;&gt;"",K271,IF(ISNUMBER(AE271),AE271,"")))</f>
        <v>0</v>
      </c>
      <c r="AG271" s="20">
        <f>IF(B271="","",IF(OR(AF271="",S271=""),"",ROUND(AF271-S271,2)))</f>
        <v>0</v>
      </c>
      <c r="AH271" s="20">
        <f>IF(B271="","",IF(AF271="","",ROUND(AF271*AA271+AB271,2)))</f>
        <v>0</v>
      </c>
      <c r="AI271" s="20">
        <f>IF(B271="","",IF(AF271="","",ROUND(AF271-Z271-AH271,2)))</f>
        <v>0</v>
      </c>
      <c r="AJ271" s="33">
        <f>IF(B271="","",IF(OR(AF271="",AF271=0),"",AI271/AF271))</f>
        <v>0</v>
      </c>
      <c r="AK271" s="20">
        <f>IF(B271="","",IF(OR(X271=0,X271="",AI271=""),"",ROUND((AI271+Y271)/(X271/60),2)))</f>
        <v>0</v>
      </c>
      <c r="AL271" s="43">
        <f>IF(B271="","",IF(N271="Not found","Check - no such product ID",IF(AF271="","Check - no price yet",IF(AI271&lt;0,"Loss - this version costs you money",IF(AND(AK271&lt;&gt;"",AK271&lt;MinimumWage),"Below - pays under minimum wage",IF(AND(G271&gt;0,AG271&lt;=0),"Check - extra work, no extra charge",IF(AJ271&lt;MarginWarning,"Low margin - re-price it","OK")))))))</f>
        <v>0</v>
      </c>
    </row>
    <row r="272" spans="1:38">
      <c r="A272" s="38">
        <f>IF(C272="","",VariationPrefix&amp;TEXT(ROW()-4,"0000"))</f>
        <v>0</v>
      </c>
      <c r="N272" s="13">
        <f>IF(B272="","",IFERROR(INDEX(Products!$B$5:$B$304,MATCH(B272,Products!$A$5:$A$304,0)),"Not found"))</f>
        <v>0</v>
      </c>
      <c r="O272" s="20">
        <f>IF(B272="","",IFERROR(INDEX(Products!$T$5:$T$304,MATCH(B272,Products!$A$5:$A$304,0)),""))</f>
        <v>0</v>
      </c>
      <c r="P272" s="20">
        <f>IF(B272="","",IFERROR(INDEX(Products!$Z$5:$Z$304,MATCH(B272,Products!$A$5:$A$304,0)),""))</f>
        <v>0</v>
      </c>
      <c r="Q272" s="20">
        <f>IF(B272="","",IFERROR(INDEX(Products!$AH$5:$AH$304,MATCH(B272,Products!$A$5:$A$304,0))-INDEX(Products!$T$5:$T$304,MATCH(B272,Products!$A$5:$A$304,0))-INDEX(Products!$Z$5:$Z$304,MATCH(B272,Products!$A$5:$A$304,0)),0))</f>
        <v>0</v>
      </c>
      <c r="R272" s="36">
        <f>IF(B272="","",IFERROR(INDEX(Products!$X$5:$X$304,MATCH(B272,Products!$A$5:$A$304,0)),""))</f>
        <v>0</v>
      </c>
      <c r="S272" s="20">
        <f>IF(B272="","",IFERROR(INDEX(Products!$AR$5:$AR$304,MATCH(B272,Products!$A$5:$A$304,0)),""))</f>
        <v>0</v>
      </c>
      <c r="T272" s="41">
        <f>IF(B272="","",IFERROR(INDEX(SizeMaterialFactors,MATCH(E272,SizeNames,0)),1))</f>
        <v>0</v>
      </c>
      <c r="U272" s="41">
        <f>IF(B272="","",IFERROR(INDEX(SizeTimeFactors,MATCH(E272,SizeNames,0)),1))</f>
        <v>0</v>
      </c>
      <c r="V272" s="33">
        <f>IF(B272="","",IFERROR(INDEX(RushFactors,MATCH(H272,RushNames,0)),0))</f>
        <v>0</v>
      </c>
      <c r="W272" s="20">
        <f>IF(B272="","",ROUND(IF(O272="",0,O272)*T272+IF(F272="",0,F272),2))</f>
        <v>0</v>
      </c>
      <c r="X272" s="36">
        <f>IF(B272="","",ROUND(IF(R272="",0,R272)*U272+IF(G272="",0,G272),1))</f>
        <v>0</v>
      </c>
      <c r="Y272" s="20">
        <f>IF(B272="","",ROUND(IF(P272="",0,P272)*U272+IF(G272="",0,G272)/60*LaborCostHour,2))</f>
        <v>0</v>
      </c>
      <c r="Z272" s="20">
        <f>IF(B272="","",ROUND(W272+Y272+IF(Q272="",0,Q272),2))</f>
        <v>0</v>
      </c>
      <c r="AA272" s="33">
        <f>IF(B272="","",IFERROR(INDEX(Channels!$S$5:$S$18,MATCH(IF(J272="",DefaultChannel,J272),Channels!$A$5:$A$18,0)),0))</f>
        <v>0</v>
      </c>
      <c r="AB272" s="20">
        <f>IF(B272="","",IFERROR(INDEX(Channels!$T$5:$T$18,MATCH(IF(J272="",DefaultChannel,J272),Channels!$A$5:$A$18,0)),0))</f>
        <v>0</v>
      </c>
      <c r="AC272" s="41">
        <f>IF(B272="","",1-TargetRetailMargin-AA272)</f>
        <v>0</v>
      </c>
      <c r="AD272" s="20">
        <f>IF(B272="","",IF(AC272&lt;=0,"",((Z272+AB272)/AC272)*(1+V272)+IF(I272="",0,I272)))</f>
        <v>0</v>
      </c>
      <c r="AE272" s="20">
        <f>IF(B272="","",IF(AD272="","Check the settings",ROUND(IF(RoundingRule="None",AD272,IF(RoundingRule="Nearest 0.99",MAX(0.99,CEILING(AD272,1)-0.01),IF(RoundingRule="Nearest 0.95",MAX(0.95,CEILING(AD272,1)-0.05),IF(RoundingRule="Nearest 0.50",CEILING(AD272,0.5),IF(RoundingRule="Nearest 1",CEILING(AD272,1),IF(RoundingRule="Nearest 5",CEILING(AD272,5),IF(RoundingRule="Up to whole 1",CEILING(AD272,1),IF(RoundingRule="Up to whole 5",CEILING(AD272,5),ROUND(AD272,2))))))))),2)))</f>
        <v>0</v>
      </c>
      <c r="AF272" s="20">
        <f>IF(B272="","",IF(K272&lt;&gt;"",K272,IF(ISNUMBER(AE272),AE272,"")))</f>
        <v>0</v>
      </c>
      <c r="AG272" s="20">
        <f>IF(B272="","",IF(OR(AF272="",S272=""),"",ROUND(AF272-S272,2)))</f>
        <v>0</v>
      </c>
      <c r="AH272" s="20">
        <f>IF(B272="","",IF(AF272="","",ROUND(AF272*AA272+AB272,2)))</f>
        <v>0</v>
      </c>
      <c r="AI272" s="20">
        <f>IF(B272="","",IF(AF272="","",ROUND(AF272-Z272-AH272,2)))</f>
        <v>0</v>
      </c>
      <c r="AJ272" s="33">
        <f>IF(B272="","",IF(OR(AF272="",AF272=0),"",AI272/AF272))</f>
        <v>0</v>
      </c>
      <c r="AK272" s="20">
        <f>IF(B272="","",IF(OR(X272=0,X272="",AI272=""),"",ROUND((AI272+Y272)/(X272/60),2)))</f>
        <v>0</v>
      </c>
      <c r="AL272" s="43">
        <f>IF(B272="","",IF(N272="Not found","Check - no such product ID",IF(AF272="","Check - no price yet",IF(AI272&lt;0,"Loss - this version costs you money",IF(AND(AK272&lt;&gt;"",AK272&lt;MinimumWage),"Below - pays under minimum wage",IF(AND(G272&gt;0,AG272&lt;=0),"Check - extra work, no extra charge",IF(AJ272&lt;MarginWarning,"Low margin - re-price it","OK")))))))</f>
        <v>0</v>
      </c>
    </row>
    <row r="273" spans="1:38">
      <c r="A273" s="38">
        <f>IF(C273="","",VariationPrefix&amp;TEXT(ROW()-4,"0000"))</f>
        <v>0</v>
      </c>
      <c r="N273" s="13">
        <f>IF(B273="","",IFERROR(INDEX(Products!$B$5:$B$304,MATCH(B273,Products!$A$5:$A$304,0)),"Not found"))</f>
        <v>0</v>
      </c>
      <c r="O273" s="20">
        <f>IF(B273="","",IFERROR(INDEX(Products!$T$5:$T$304,MATCH(B273,Products!$A$5:$A$304,0)),""))</f>
        <v>0</v>
      </c>
      <c r="P273" s="20">
        <f>IF(B273="","",IFERROR(INDEX(Products!$Z$5:$Z$304,MATCH(B273,Products!$A$5:$A$304,0)),""))</f>
        <v>0</v>
      </c>
      <c r="Q273" s="20">
        <f>IF(B273="","",IFERROR(INDEX(Products!$AH$5:$AH$304,MATCH(B273,Products!$A$5:$A$304,0))-INDEX(Products!$T$5:$T$304,MATCH(B273,Products!$A$5:$A$304,0))-INDEX(Products!$Z$5:$Z$304,MATCH(B273,Products!$A$5:$A$304,0)),0))</f>
        <v>0</v>
      </c>
      <c r="R273" s="36">
        <f>IF(B273="","",IFERROR(INDEX(Products!$X$5:$X$304,MATCH(B273,Products!$A$5:$A$304,0)),""))</f>
        <v>0</v>
      </c>
      <c r="S273" s="20">
        <f>IF(B273="","",IFERROR(INDEX(Products!$AR$5:$AR$304,MATCH(B273,Products!$A$5:$A$304,0)),""))</f>
        <v>0</v>
      </c>
      <c r="T273" s="41">
        <f>IF(B273="","",IFERROR(INDEX(SizeMaterialFactors,MATCH(E273,SizeNames,0)),1))</f>
        <v>0</v>
      </c>
      <c r="U273" s="41">
        <f>IF(B273="","",IFERROR(INDEX(SizeTimeFactors,MATCH(E273,SizeNames,0)),1))</f>
        <v>0</v>
      </c>
      <c r="V273" s="33">
        <f>IF(B273="","",IFERROR(INDEX(RushFactors,MATCH(H273,RushNames,0)),0))</f>
        <v>0</v>
      </c>
      <c r="W273" s="20">
        <f>IF(B273="","",ROUND(IF(O273="",0,O273)*T273+IF(F273="",0,F273),2))</f>
        <v>0</v>
      </c>
      <c r="X273" s="36">
        <f>IF(B273="","",ROUND(IF(R273="",0,R273)*U273+IF(G273="",0,G273),1))</f>
        <v>0</v>
      </c>
      <c r="Y273" s="20">
        <f>IF(B273="","",ROUND(IF(P273="",0,P273)*U273+IF(G273="",0,G273)/60*LaborCostHour,2))</f>
        <v>0</v>
      </c>
      <c r="Z273" s="20">
        <f>IF(B273="","",ROUND(W273+Y273+IF(Q273="",0,Q273),2))</f>
        <v>0</v>
      </c>
      <c r="AA273" s="33">
        <f>IF(B273="","",IFERROR(INDEX(Channels!$S$5:$S$18,MATCH(IF(J273="",DefaultChannel,J273),Channels!$A$5:$A$18,0)),0))</f>
        <v>0</v>
      </c>
      <c r="AB273" s="20">
        <f>IF(B273="","",IFERROR(INDEX(Channels!$T$5:$T$18,MATCH(IF(J273="",DefaultChannel,J273),Channels!$A$5:$A$18,0)),0))</f>
        <v>0</v>
      </c>
      <c r="AC273" s="41">
        <f>IF(B273="","",1-TargetRetailMargin-AA273)</f>
        <v>0</v>
      </c>
      <c r="AD273" s="20">
        <f>IF(B273="","",IF(AC273&lt;=0,"",((Z273+AB273)/AC273)*(1+V273)+IF(I273="",0,I273)))</f>
        <v>0</v>
      </c>
      <c r="AE273" s="20">
        <f>IF(B273="","",IF(AD273="","Check the settings",ROUND(IF(RoundingRule="None",AD273,IF(RoundingRule="Nearest 0.99",MAX(0.99,CEILING(AD273,1)-0.01),IF(RoundingRule="Nearest 0.95",MAX(0.95,CEILING(AD273,1)-0.05),IF(RoundingRule="Nearest 0.50",CEILING(AD273,0.5),IF(RoundingRule="Nearest 1",CEILING(AD273,1),IF(RoundingRule="Nearest 5",CEILING(AD273,5),IF(RoundingRule="Up to whole 1",CEILING(AD273,1),IF(RoundingRule="Up to whole 5",CEILING(AD273,5),ROUND(AD273,2))))))))),2)))</f>
        <v>0</v>
      </c>
      <c r="AF273" s="20">
        <f>IF(B273="","",IF(K273&lt;&gt;"",K273,IF(ISNUMBER(AE273),AE273,"")))</f>
        <v>0</v>
      </c>
      <c r="AG273" s="20">
        <f>IF(B273="","",IF(OR(AF273="",S273=""),"",ROUND(AF273-S273,2)))</f>
        <v>0</v>
      </c>
      <c r="AH273" s="20">
        <f>IF(B273="","",IF(AF273="","",ROUND(AF273*AA273+AB273,2)))</f>
        <v>0</v>
      </c>
      <c r="AI273" s="20">
        <f>IF(B273="","",IF(AF273="","",ROUND(AF273-Z273-AH273,2)))</f>
        <v>0</v>
      </c>
      <c r="AJ273" s="33">
        <f>IF(B273="","",IF(OR(AF273="",AF273=0),"",AI273/AF273))</f>
        <v>0</v>
      </c>
      <c r="AK273" s="20">
        <f>IF(B273="","",IF(OR(X273=0,X273="",AI273=""),"",ROUND((AI273+Y273)/(X273/60),2)))</f>
        <v>0</v>
      </c>
      <c r="AL273" s="43">
        <f>IF(B273="","",IF(N273="Not found","Check - no such product ID",IF(AF273="","Check - no price yet",IF(AI273&lt;0,"Loss - this version costs you money",IF(AND(AK273&lt;&gt;"",AK273&lt;MinimumWage),"Below - pays under minimum wage",IF(AND(G273&gt;0,AG273&lt;=0),"Check - extra work, no extra charge",IF(AJ273&lt;MarginWarning,"Low margin - re-price it","OK")))))))</f>
        <v>0</v>
      </c>
    </row>
    <row r="274" spans="1:38">
      <c r="A274" s="38">
        <f>IF(C274="","",VariationPrefix&amp;TEXT(ROW()-4,"0000"))</f>
        <v>0</v>
      </c>
      <c r="N274" s="13">
        <f>IF(B274="","",IFERROR(INDEX(Products!$B$5:$B$304,MATCH(B274,Products!$A$5:$A$304,0)),"Not found"))</f>
        <v>0</v>
      </c>
      <c r="O274" s="20">
        <f>IF(B274="","",IFERROR(INDEX(Products!$T$5:$T$304,MATCH(B274,Products!$A$5:$A$304,0)),""))</f>
        <v>0</v>
      </c>
      <c r="P274" s="20">
        <f>IF(B274="","",IFERROR(INDEX(Products!$Z$5:$Z$304,MATCH(B274,Products!$A$5:$A$304,0)),""))</f>
        <v>0</v>
      </c>
      <c r="Q274" s="20">
        <f>IF(B274="","",IFERROR(INDEX(Products!$AH$5:$AH$304,MATCH(B274,Products!$A$5:$A$304,0))-INDEX(Products!$T$5:$T$304,MATCH(B274,Products!$A$5:$A$304,0))-INDEX(Products!$Z$5:$Z$304,MATCH(B274,Products!$A$5:$A$304,0)),0))</f>
        <v>0</v>
      </c>
      <c r="R274" s="36">
        <f>IF(B274="","",IFERROR(INDEX(Products!$X$5:$X$304,MATCH(B274,Products!$A$5:$A$304,0)),""))</f>
        <v>0</v>
      </c>
      <c r="S274" s="20">
        <f>IF(B274="","",IFERROR(INDEX(Products!$AR$5:$AR$304,MATCH(B274,Products!$A$5:$A$304,0)),""))</f>
        <v>0</v>
      </c>
      <c r="T274" s="41">
        <f>IF(B274="","",IFERROR(INDEX(SizeMaterialFactors,MATCH(E274,SizeNames,0)),1))</f>
        <v>0</v>
      </c>
      <c r="U274" s="41">
        <f>IF(B274="","",IFERROR(INDEX(SizeTimeFactors,MATCH(E274,SizeNames,0)),1))</f>
        <v>0</v>
      </c>
      <c r="V274" s="33">
        <f>IF(B274="","",IFERROR(INDEX(RushFactors,MATCH(H274,RushNames,0)),0))</f>
        <v>0</v>
      </c>
      <c r="W274" s="20">
        <f>IF(B274="","",ROUND(IF(O274="",0,O274)*T274+IF(F274="",0,F274),2))</f>
        <v>0</v>
      </c>
      <c r="X274" s="36">
        <f>IF(B274="","",ROUND(IF(R274="",0,R274)*U274+IF(G274="",0,G274),1))</f>
        <v>0</v>
      </c>
      <c r="Y274" s="20">
        <f>IF(B274="","",ROUND(IF(P274="",0,P274)*U274+IF(G274="",0,G274)/60*LaborCostHour,2))</f>
        <v>0</v>
      </c>
      <c r="Z274" s="20">
        <f>IF(B274="","",ROUND(W274+Y274+IF(Q274="",0,Q274),2))</f>
        <v>0</v>
      </c>
      <c r="AA274" s="33">
        <f>IF(B274="","",IFERROR(INDEX(Channels!$S$5:$S$18,MATCH(IF(J274="",DefaultChannel,J274),Channels!$A$5:$A$18,0)),0))</f>
        <v>0</v>
      </c>
      <c r="AB274" s="20">
        <f>IF(B274="","",IFERROR(INDEX(Channels!$T$5:$T$18,MATCH(IF(J274="",DefaultChannel,J274),Channels!$A$5:$A$18,0)),0))</f>
        <v>0</v>
      </c>
      <c r="AC274" s="41">
        <f>IF(B274="","",1-TargetRetailMargin-AA274)</f>
        <v>0</v>
      </c>
      <c r="AD274" s="20">
        <f>IF(B274="","",IF(AC274&lt;=0,"",((Z274+AB274)/AC274)*(1+V274)+IF(I274="",0,I274)))</f>
        <v>0</v>
      </c>
      <c r="AE274" s="20">
        <f>IF(B274="","",IF(AD274="","Check the settings",ROUND(IF(RoundingRule="None",AD274,IF(RoundingRule="Nearest 0.99",MAX(0.99,CEILING(AD274,1)-0.01),IF(RoundingRule="Nearest 0.95",MAX(0.95,CEILING(AD274,1)-0.05),IF(RoundingRule="Nearest 0.50",CEILING(AD274,0.5),IF(RoundingRule="Nearest 1",CEILING(AD274,1),IF(RoundingRule="Nearest 5",CEILING(AD274,5),IF(RoundingRule="Up to whole 1",CEILING(AD274,1),IF(RoundingRule="Up to whole 5",CEILING(AD274,5),ROUND(AD274,2))))))))),2)))</f>
        <v>0</v>
      </c>
      <c r="AF274" s="20">
        <f>IF(B274="","",IF(K274&lt;&gt;"",K274,IF(ISNUMBER(AE274),AE274,"")))</f>
        <v>0</v>
      </c>
      <c r="AG274" s="20">
        <f>IF(B274="","",IF(OR(AF274="",S274=""),"",ROUND(AF274-S274,2)))</f>
        <v>0</v>
      </c>
      <c r="AH274" s="20">
        <f>IF(B274="","",IF(AF274="","",ROUND(AF274*AA274+AB274,2)))</f>
        <v>0</v>
      </c>
      <c r="AI274" s="20">
        <f>IF(B274="","",IF(AF274="","",ROUND(AF274-Z274-AH274,2)))</f>
        <v>0</v>
      </c>
      <c r="AJ274" s="33">
        <f>IF(B274="","",IF(OR(AF274="",AF274=0),"",AI274/AF274))</f>
        <v>0</v>
      </c>
      <c r="AK274" s="20">
        <f>IF(B274="","",IF(OR(X274=0,X274="",AI274=""),"",ROUND((AI274+Y274)/(X274/60),2)))</f>
        <v>0</v>
      </c>
      <c r="AL274" s="43">
        <f>IF(B274="","",IF(N274="Not found","Check - no such product ID",IF(AF274="","Check - no price yet",IF(AI274&lt;0,"Loss - this version costs you money",IF(AND(AK274&lt;&gt;"",AK274&lt;MinimumWage),"Below - pays under minimum wage",IF(AND(G274&gt;0,AG274&lt;=0),"Check - extra work, no extra charge",IF(AJ274&lt;MarginWarning,"Low margin - re-price it","OK")))))))</f>
        <v>0</v>
      </c>
    </row>
    <row r="275" spans="1:38">
      <c r="A275" s="38">
        <f>IF(C275="","",VariationPrefix&amp;TEXT(ROW()-4,"0000"))</f>
        <v>0</v>
      </c>
      <c r="N275" s="13">
        <f>IF(B275="","",IFERROR(INDEX(Products!$B$5:$B$304,MATCH(B275,Products!$A$5:$A$304,0)),"Not found"))</f>
        <v>0</v>
      </c>
      <c r="O275" s="20">
        <f>IF(B275="","",IFERROR(INDEX(Products!$T$5:$T$304,MATCH(B275,Products!$A$5:$A$304,0)),""))</f>
        <v>0</v>
      </c>
      <c r="P275" s="20">
        <f>IF(B275="","",IFERROR(INDEX(Products!$Z$5:$Z$304,MATCH(B275,Products!$A$5:$A$304,0)),""))</f>
        <v>0</v>
      </c>
      <c r="Q275" s="20">
        <f>IF(B275="","",IFERROR(INDEX(Products!$AH$5:$AH$304,MATCH(B275,Products!$A$5:$A$304,0))-INDEX(Products!$T$5:$T$304,MATCH(B275,Products!$A$5:$A$304,0))-INDEX(Products!$Z$5:$Z$304,MATCH(B275,Products!$A$5:$A$304,0)),0))</f>
        <v>0</v>
      </c>
      <c r="R275" s="36">
        <f>IF(B275="","",IFERROR(INDEX(Products!$X$5:$X$304,MATCH(B275,Products!$A$5:$A$304,0)),""))</f>
        <v>0</v>
      </c>
      <c r="S275" s="20">
        <f>IF(B275="","",IFERROR(INDEX(Products!$AR$5:$AR$304,MATCH(B275,Products!$A$5:$A$304,0)),""))</f>
        <v>0</v>
      </c>
      <c r="T275" s="41">
        <f>IF(B275="","",IFERROR(INDEX(SizeMaterialFactors,MATCH(E275,SizeNames,0)),1))</f>
        <v>0</v>
      </c>
      <c r="U275" s="41">
        <f>IF(B275="","",IFERROR(INDEX(SizeTimeFactors,MATCH(E275,SizeNames,0)),1))</f>
        <v>0</v>
      </c>
      <c r="V275" s="33">
        <f>IF(B275="","",IFERROR(INDEX(RushFactors,MATCH(H275,RushNames,0)),0))</f>
        <v>0</v>
      </c>
      <c r="W275" s="20">
        <f>IF(B275="","",ROUND(IF(O275="",0,O275)*T275+IF(F275="",0,F275),2))</f>
        <v>0</v>
      </c>
      <c r="X275" s="36">
        <f>IF(B275="","",ROUND(IF(R275="",0,R275)*U275+IF(G275="",0,G275),1))</f>
        <v>0</v>
      </c>
      <c r="Y275" s="20">
        <f>IF(B275="","",ROUND(IF(P275="",0,P275)*U275+IF(G275="",0,G275)/60*LaborCostHour,2))</f>
        <v>0</v>
      </c>
      <c r="Z275" s="20">
        <f>IF(B275="","",ROUND(W275+Y275+IF(Q275="",0,Q275),2))</f>
        <v>0</v>
      </c>
      <c r="AA275" s="33">
        <f>IF(B275="","",IFERROR(INDEX(Channels!$S$5:$S$18,MATCH(IF(J275="",DefaultChannel,J275),Channels!$A$5:$A$18,0)),0))</f>
        <v>0</v>
      </c>
      <c r="AB275" s="20">
        <f>IF(B275="","",IFERROR(INDEX(Channels!$T$5:$T$18,MATCH(IF(J275="",DefaultChannel,J275),Channels!$A$5:$A$18,0)),0))</f>
        <v>0</v>
      </c>
      <c r="AC275" s="41">
        <f>IF(B275="","",1-TargetRetailMargin-AA275)</f>
        <v>0</v>
      </c>
      <c r="AD275" s="20">
        <f>IF(B275="","",IF(AC275&lt;=0,"",((Z275+AB275)/AC275)*(1+V275)+IF(I275="",0,I275)))</f>
        <v>0</v>
      </c>
      <c r="AE275" s="20">
        <f>IF(B275="","",IF(AD275="","Check the settings",ROUND(IF(RoundingRule="None",AD275,IF(RoundingRule="Nearest 0.99",MAX(0.99,CEILING(AD275,1)-0.01),IF(RoundingRule="Nearest 0.95",MAX(0.95,CEILING(AD275,1)-0.05),IF(RoundingRule="Nearest 0.50",CEILING(AD275,0.5),IF(RoundingRule="Nearest 1",CEILING(AD275,1),IF(RoundingRule="Nearest 5",CEILING(AD275,5),IF(RoundingRule="Up to whole 1",CEILING(AD275,1),IF(RoundingRule="Up to whole 5",CEILING(AD275,5),ROUND(AD275,2))))))))),2)))</f>
        <v>0</v>
      </c>
      <c r="AF275" s="20">
        <f>IF(B275="","",IF(K275&lt;&gt;"",K275,IF(ISNUMBER(AE275),AE275,"")))</f>
        <v>0</v>
      </c>
      <c r="AG275" s="20">
        <f>IF(B275="","",IF(OR(AF275="",S275=""),"",ROUND(AF275-S275,2)))</f>
        <v>0</v>
      </c>
      <c r="AH275" s="20">
        <f>IF(B275="","",IF(AF275="","",ROUND(AF275*AA275+AB275,2)))</f>
        <v>0</v>
      </c>
      <c r="AI275" s="20">
        <f>IF(B275="","",IF(AF275="","",ROUND(AF275-Z275-AH275,2)))</f>
        <v>0</v>
      </c>
      <c r="AJ275" s="33">
        <f>IF(B275="","",IF(OR(AF275="",AF275=0),"",AI275/AF275))</f>
        <v>0</v>
      </c>
      <c r="AK275" s="20">
        <f>IF(B275="","",IF(OR(X275=0,X275="",AI275=""),"",ROUND((AI275+Y275)/(X275/60),2)))</f>
        <v>0</v>
      </c>
      <c r="AL275" s="43">
        <f>IF(B275="","",IF(N275="Not found","Check - no such product ID",IF(AF275="","Check - no price yet",IF(AI275&lt;0,"Loss - this version costs you money",IF(AND(AK275&lt;&gt;"",AK275&lt;MinimumWage),"Below - pays under minimum wage",IF(AND(G275&gt;0,AG275&lt;=0),"Check - extra work, no extra charge",IF(AJ275&lt;MarginWarning,"Low margin - re-price it","OK")))))))</f>
        <v>0</v>
      </c>
    </row>
    <row r="276" spans="1:38">
      <c r="A276" s="38">
        <f>IF(C276="","",VariationPrefix&amp;TEXT(ROW()-4,"0000"))</f>
        <v>0</v>
      </c>
      <c r="N276" s="13">
        <f>IF(B276="","",IFERROR(INDEX(Products!$B$5:$B$304,MATCH(B276,Products!$A$5:$A$304,0)),"Not found"))</f>
        <v>0</v>
      </c>
      <c r="O276" s="20">
        <f>IF(B276="","",IFERROR(INDEX(Products!$T$5:$T$304,MATCH(B276,Products!$A$5:$A$304,0)),""))</f>
        <v>0</v>
      </c>
      <c r="P276" s="20">
        <f>IF(B276="","",IFERROR(INDEX(Products!$Z$5:$Z$304,MATCH(B276,Products!$A$5:$A$304,0)),""))</f>
        <v>0</v>
      </c>
      <c r="Q276" s="20">
        <f>IF(B276="","",IFERROR(INDEX(Products!$AH$5:$AH$304,MATCH(B276,Products!$A$5:$A$304,0))-INDEX(Products!$T$5:$T$304,MATCH(B276,Products!$A$5:$A$304,0))-INDEX(Products!$Z$5:$Z$304,MATCH(B276,Products!$A$5:$A$304,0)),0))</f>
        <v>0</v>
      </c>
      <c r="R276" s="36">
        <f>IF(B276="","",IFERROR(INDEX(Products!$X$5:$X$304,MATCH(B276,Products!$A$5:$A$304,0)),""))</f>
        <v>0</v>
      </c>
      <c r="S276" s="20">
        <f>IF(B276="","",IFERROR(INDEX(Products!$AR$5:$AR$304,MATCH(B276,Products!$A$5:$A$304,0)),""))</f>
        <v>0</v>
      </c>
      <c r="T276" s="41">
        <f>IF(B276="","",IFERROR(INDEX(SizeMaterialFactors,MATCH(E276,SizeNames,0)),1))</f>
        <v>0</v>
      </c>
      <c r="U276" s="41">
        <f>IF(B276="","",IFERROR(INDEX(SizeTimeFactors,MATCH(E276,SizeNames,0)),1))</f>
        <v>0</v>
      </c>
      <c r="V276" s="33">
        <f>IF(B276="","",IFERROR(INDEX(RushFactors,MATCH(H276,RushNames,0)),0))</f>
        <v>0</v>
      </c>
      <c r="W276" s="20">
        <f>IF(B276="","",ROUND(IF(O276="",0,O276)*T276+IF(F276="",0,F276),2))</f>
        <v>0</v>
      </c>
      <c r="X276" s="36">
        <f>IF(B276="","",ROUND(IF(R276="",0,R276)*U276+IF(G276="",0,G276),1))</f>
        <v>0</v>
      </c>
      <c r="Y276" s="20">
        <f>IF(B276="","",ROUND(IF(P276="",0,P276)*U276+IF(G276="",0,G276)/60*LaborCostHour,2))</f>
        <v>0</v>
      </c>
      <c r="Z276" s="20">
        <f>IF(B276="","",ROUND(W276+Y276+IF(Q276="",0,Q276),2))</f>
        <v>0</v>
      </c>
      <c r="AA276" s="33">
        <f>IF(B276="","",IFERROR(INDEX(Channels!$S$5:$S$18,MATCH(IF(J276="",DefaultChannel,J276),Channels!$A$5:$A$18,0)),0))</f>
        <v>0</v>
      </c>
      <c r="AB276" s="20">
        <f>IF(B276="","",IFERROR(INDEX(Channels!$T$5:$T$18,MATCH(IF(J276="",DefaultChannel,J276),Channels!$A$5:$A$18,0)),0))</f>
        <v>0</v>
      </c>
      <c r="AC276" s="41">
        <f>IF(B276="","",1-TargetRetailMargin-AA276)</f>
        <v>0</v>
      </c>
      <c r="AD276" s="20">
        <f>IF(B276="","",IF(AC276&lt;=0,"",((Z276+AB276)/AC276)*(1+V276)+IF(I276="",0,I276)))</f>
        <v>0</v>
      </c>
      <c r="AE276" s="20">
        <f>IF(B276="","",IF(AD276="","Check the settings",ROUND(IF(RoundingRule="None",AD276,IF(RoundingRule="Nearest 0.99",MAX(0.99,CEILING(AD276,1)-0.01),IF(RoundingRule="Nearest 0.95",MAX(0.95,CEILING(AD276,1)-0.05),IF(RoundingRule="Nearest 0.50",CEILING(AD276,0.5),IF(RoundingRule="Nearest 1",CEILING(AD276,1),IF(RoundingRule="Nearest 5",CEILING(AD276,5),IF(RoundingRule="Up to whole 1",CEILING(AD276,1),IF(RoundingRule="Up to whole 5",CEILING(AD276,5),ROUND(AD276,2))))))))),2)))</f>
        <v>0</v>
      </c>
      <c r="AF276" s="20">
        <f>IF(B276="","",IF(K276&lt;&gt;"",K276,IF(ISNUMBER(AE276),AE276,"")))</f>
        <v>0</v>
      </c>
      <c r="AG276" s="20">
        <f>IF(B276="","",IF(OR(AF276="",S276=""),"",ROUND(AF276-S276,2)))</f>
        <v>0</v>
      </c>
      <c r="AH276" s="20">
        <f>IF(B276="","",IF(AF276="","",ROUND(AF276*AA276+AB276,2)))</f>
        <v>0</v>
      </c>
      <c r="AI276" s="20">
        <f>IF(B276="","",IF(AF276="","",ROUND(AF276-Z276-AH276,2)))</f>
        <v>0</v>
      </c>
      <c r="AJ276" s="33">
        <f>IF(B276="","",IF(OR(AF276="",AF276=0),"",AI276/AF276))</f>
        <v>0</v>
      </c>
      <c r="AK276" s="20">
        <f>IF(B276="","",IF(OR(X276=0,X276="",AI276=""),"",ROUND((AI276+Y276)/(X276/60),2)))</f>
        <v>0</v>
      </c>
      <c r="AL276" s="43">
        <f>IF(B276="","",IF(N276="Not found","Check - no such product ID",IF(AF276="","Check - no price yet",IF(AI276&lt;0,"Loss - this version costs you money",IF(AND(AK276&lt;&gt;"",AK276&lt;MinimumWage),"Below - pays under minimum wage",IF(AND(G276&gt;0,AG276&lt;=0),"Check - extra work, no extra charge",IF(AJ276&lt;MarginWarning,"Low margin - re-price it","OK")))))))</f>
        <v>0</v>
      </c>
    </row>
    <row r="277" spans="1:38">
      <c r="A277" s="38">
        <f>IF(C277="","",VariationPrefix&amp;TEXT(ROW()-4,"0000"))</f>
        <v>0</v>
      </c>
      <c r="N277" s="13">
        <f>IF(B277="","",IFERROR(INDEX(Products!$B$5:$B$304,MATCH(B277,Products!$A$5:$A$304,0)),"Not found"))</f>
        <v>0</v>
      </c>
      <c r="O277" s="20">
        <f>IF(B277="","",IFERROR(INDEX(Products!$T$5:$T$304,MATCH(B277,Products!$A$5:$A$304,0)),""))</f>
        <v>0</v>
      </c>
      <c r="P277" s="20">
        <f>IF(B277="","",IFERROR(INDEX(Products!$Z$5:$Z$304,MATCH(B277,Products!$A$5:$A$304,0)),""))</f>
        <v>0</v>
      </c>
      <c r="Q277" s="20">
        <f>IF(B277="","",IFERROR(INDEX(Products!$AH$5:$AH$304,MATCH(B277,Products!$A$5:$A$304,0))-INDEX(Products!$T$5:$T$304,MATCH(B277,Products!$A$5:$A$304,0))-INDEX(Products!$Z$5:$Z$304,MATCH(B277,Products!$A$5:$A$304,0)),0))</f>
        <v>0</v>
      </c>
      <c r="R277" s="36">
        <f>IF(B277="","",IFERROR(INDEX(Products!$X$5:$X$304,MATCH(B277,Products!$A$5:$A$304,0)),""))</f>
        <v>0</v>
      </c>
      <c r="S277" s="20">
        <f>IF(B277="","",IFERROR(INDEX(Products!$AR$5:$AR$304,MATCH(B277,Products!$A$5:$A$304,0)),""))</f>
        <v>0</v>
      </c>
      <c r="T277" s="41">
        <f>IF(B277="","",IFERROR(INDEX(SizeMaterialFactors,MATCH(E277,SizeNames,0)),1))</f>
        <v>0</v>
      </c>
      <c r="U277" s="41">
        <f>IF(B277="","",IFERROR(INDEX(SizeTimeFactors,MATCH(E277,SizeNames,0)),1))</f>
        <v>0</v>
      </c>
      <c r="V277" s="33">
        <f>IF(B277="","",IFERROR(INDEX(RushFactors,MATCH(H277,RushNames,0)),0))</f>
        <v>0</v>
      </c>
      <c r="W277" s="20">
        <f>IF(B277="","",ROUND(IF(O277="",0,O277)*T277+IF(F277="",0,F277),2))</f>
        <v>0</v>
      </c>
      <c r="X277" s="36">
        <f>IF(B277="","",ROUND(IF(R277="",0,R277)*U277+IF(G277="",0,G277),1))</f>
        <v>0</v>
      </c>
      <c r="Y277" s="20">
        <f>IF(B277="","",ROUND(IF(P277="",0,P277)*U277+IF(G277="",0,G277)/60*LaborCostHour,2))</f>
        <v>0</v>
      </c>
      <c r="Z277" s="20">
        <f>IF(B277="","",ROUND(W277+Y277+IF(Q277="",0,Q277),2))</f>
        <v>0</v>
      </c>
      <c r="AA277" s="33">
        <f>IF(B277="","",IFERROR(INDEX(Channels!$S$5:$S$18,MATCH(IF(J277="",DefaultChannel,J277),Channels!$A$5:$A$18,0)),0))</f>
        <v>0</v>
      </c>
      <c r="AB277" s="20">
        <f>IF(B277="","",IFERROR(INDEX(Channels!$T$5:$T$18,MATCH(IF(J277="",DefaultChannel,J277),Channels!$A$5:$A$18,0)),0))</f>
        <v>0</v>
      </c>
      <c r="AC277" s="41">
        <f>IF(B277="","",1-TargetRetailMargin-AA277)</f>
        <v>0</v>
      </c>
      <c r="AD277" s="20">
        <f>IF(B277="","",IF(AC277&lt;=0,"",((Z277+AB277)/AC277)*(1+V277)+IF(I277="",0,I277)))</f>
        <v>0</v>
      </c>
      <c r="AE277" s="20">
        <f>IF(B277="","",IF(AD277="","Check the settings",ROUND(IF(RoundingRule="None",AD277,IF(RoundingRule="Nearest 0.99",MAX(0.99,CEILING(AD277,1)-0.01),IF(RoundingRule="Nearest 0.95",MAX(0.95,CEILING(AD277,1)-0.05),IF(RoundingRule="Nearest 0.50",CEILING(AD277,0.5),IF(RoundingRule="Nearest 1",CEILING(AD277,1),IF(RoundingRule="Nearest 5",CEILING(AD277,5),IF(RoundingRule="Up to whole 1",CEILING(AD277,1),IF(RoundingRule="Up to whole 5",CEILING(AD277,5),ROUND(AD277,2))))))))),2)))</f>
        <v>0</v>
      </c>
      <c r="AF277" s="20">
        <f>IF(B277="","",IF(K277&lt;&gt;"",K277,IF(ISNUMBER(AE277),AE277,"")))</f>
        <v>0</v>
      </c>
      <c r="AG277" s="20">
        <f>IF(B277="","",IF(OR(AF277="",S277=""),"",ROUND(AF277-S277,2)))</f>
        <v>0</v>
      </c>
      <c r="AH277" s="20">
        <f>IF(B277="","",IF(AF277="","",ROUND(AF277*AA277+AB277,2)))</f>
        <v>0</v>
      </c>
      <c r="AI277" s="20">
        <f>IF(B277="","",IF(AF277="","",ROUND(AF277-Z277-AH277,2)))</f>
        <v>0</v>
      </c>
      <c r="AJ277" s="33">
        <f>IF(B277="","",IF(OR(AF277="",AF277=0),"",AI277/AF277))</f>
        <v>0</v>
      </c>
      <c r="AK277" s="20">
        <f>IF(B277="","",IF(OR(X277=0,X277="",AI277=""),"",ROUND((AI277+Y277)/(X277/60),2)))</f>
        <v>0</v>
      </c>
      <c r="AL277" s="43">
        <f>IF(B277="","",IF(N277="Not found","Check - no such product ID",IF(AF277="","Check - no price yet",IF(AI277&lt;0,"Loss - this version costs you money",IF(AND(AK277&lt;&gt;"",AK277&lt;MinimumWage),"Below - pays under minimum wage",IF(AND(G277&gt;0,AG277&lt;=0),"Check - extra work, no extra charge",IF(AJ277&lt;MarginWarning,"Low margin - re-price it","OK")))))))</f>
        <v>0</v>
      </c>
    </row>
    <row r="278" spans="1:38">
      <c r="A278" s="38">
        <f>IF(C278="","",VariationPrefix&amp;TEXT(ROW()-4,"0000"))</f>
        <v>0</v>
      </c>
      <c r="N278" s="13">
        <f>IF(B278="","",IFERROR(INDEX(Products!$B$5:$B$304,MATCH(B278,Products!$A$5:$A$304,0)),"Not found"))</f>
        <v>0</v>
      </c>
      <c r="O278" s="20">
        <f>IF(B278="","",IFERROR(INDEX(Products!$T$5:$T$304,MATCH(B278,Products!$A$5:$A$304,0)),""))</f>
        <v>0</v>
      </c>
      <c r="P278" s="20">
        <f>IF(B278="","",IFERROR(INDEX(Products!$Z$5:$Z$304,MATCH(B278,Products!$A$5:$A$304,0)),""))</f>
        <v>0</v>
      </c>
      <c r="Q278" s="20">
        <f>IF(B278="","",IFERROR(INDEX(Products!$AH$5:$AH$304,MATCH(B278,Products!$A$5:$A$304,0))-INDEX(Products!$T$5:$T$304,MATCH(B278,Products!$A$5:$A$304,0))-INDEX(Products!$Z$5:$Z$304,MATCH(B278,Products!$A$5:$A$304,0)),0))</f>
        <v>0</v>
      </c>
      <c r="R278" s="36">
        <f>IF(B278="","",IFERROR(INDEX(Products!$X$5:$X$304,MATCH(B278,Products!$A$5:$A$304,0)),""))</f>
        <v>0</v>
      </c>
      <c r="S278" s="20">
        <f>IF(B278="","",IFERROR(INDEX(Products!$AR$5:$AR$304,MATCH(B278,Products!$A$5:$A$304,0)),""))</f>
        <v>0</v>
      </c>
      <c r="T278" s="41">
        <f>IF(B278="","",IFERROR(INDEX(SizeMaterialFactors,MATCH(E278,SizeNames,0)),1))</f>
        <v>0</v>
      </c>
      <c r="U278" s="41">
        <f>IF(B278="","",IFERROR(INDEX(SizeTimeFactors,MATCH(E278,SizeNames,0)),1))</f>
        <v>0</v>
      </c>
      <c r="V278" s="33">
        <f>IF(B278="","",IFERROR(INDEX(RushFactors,MATCH(H278,RushNames,0)),0))</f>
        <v>0</v>
      </c>
      <c r="W278" s="20">
        <f>IF(B278="","",ROUND(IF(O278="",0,O278)*T278+IF(F278="",0,F278),2))</f>
        <v>0</v>
      </c>
      <c r="X278" s="36">
        <f>IF(B278="","",ROUND(IF(R278="",0,R278)*U278+IF(G278="",0,G278),1))</f>
        <v>0</v>
      </c>
      <c r="Y278" s="20">
        <f>IF(B278="","",ROUND(IF(P278="",0,P278)*U278+IF(G278="",0,G278)/60*LaborCostHour,2))</f>
        <v>0</v>
      </c>
      <c r="Z278" s="20">
        <f>IF(B278="","",ROUND(W278+Y278+IF(Q278="",0,Q278),2))</f>
        <v>0</v>
      </c>
      <c r="AA278" s="33">
        <f>IF(B278="","",IFERROR(INDEX(Channels!$S$5:$S$18,MATCH(IF(J278="",DefaultChannel,J278),Channels!$A$5:$A$18,0)),0))</f>
        <v>0</v>
      </c>
      <c r="AB278" s="20">
        <f>IF(B278="","",IFERROR(INDEX(Channels!$T$5:$T$18,MATCH(IF(J278="",DefaultChannel,J278),Channels!$A$5:$A$18,0)),0))</f>
        <v>0</v>
      </c>
      <c r="AC278" s="41">
        <f>IF(B278="","",1-TargetRetailMargin-AA278)</f>
        <v>0</v>
      </c>
      <c r="AD278" s="20">
        <f>IF(B278="","",IF(AC278&lt;=0,"",((Z278+AB278)/AC278)*(1+V278)+IF(I278="",0,I278)))</f>
        <v>0</v>
      </c>
      <c r="AE278" s="20">
        <f>IF(B278="","",IF(AD278="","Check the settings",ROUND(IF(RoundingRule="None",AD278,IF(RoundingRule="Nearest 0.99",MAX(0.99,CEILING(AD278,1)-0.01),IF(RoundingRule="Nearest 0.95",MAX(0.95,CEILING(AD278,1)-0.05),IF(RoundingRule="Nearest 0.50",CEILING(AD278,0.5),IF(RoundingRule="Nearest 1",CEILING(AD278,1),IF(RoundingRule="Nearest 5",CEILING(AD278,5),IF(RoundingRule="Up to whole 1",CEILING(AD278,1),IF(RoundingRule="Up to whole 5",CEILING(AD278,5),ROUND(AD278,2))))))))),2)))</f>
        <v>0</v>
      </c>
      <c r="AF278" s="20">
        <f>IF(B278="","",IF(K278&lt;&gt;"",K278,IF(ISNUMBER(AE278),AE278,"")))</f>
        <v>0</v>
      </c>
      <c r="AG278" s="20">
        <f>IF(B278="","",IF(OR(AF278="",S278=""),"",ROUND(AF278-S278,2)))</f>
        <v>0</v>
      </c>
      <c r="AH278" s="20">
        <f>IF(B278="","",IF(AF278="","",ROUND(AF278*AA278+AB278,2)))</f>
        <v>0</v>
      </c>
      <c r="AI278" s="20">
        <f>IF(B278="","",IF(AF278="","",ROUND(AF278-Z278-AH278,2)))</f>
        <v>0</v>
      </c>
      <c r="AJ278" s="33">
        <f>IF(B278="","",IF(OR(AF278="",AF278=0),"",AI278/AF278))</f>
        <v>0</v>
      </c>
      <c r="AK278" s="20">
        <f>IF(B278="","",IF(OR(X278=0,X278="",AI278=""),"",ROUND((AI278+Y278)/(X278/60),2)))</f>
        <v>0</v>
      </c>
      <c r="AL278" s="43">
        <f>IF(B278="","",IF(N278="Not found","Check - no such product ID",IF(AF278="","Check - no price yet",IF(AI278&lt;0,"Loss - this version costs you money",IF(AND(AK278&lt;&gt;"",AK278&lt;MinimumWage),"Below - pays under minimum wage",IF(AND(G278&gt;0,AG278&lt;=0),"Check - extra work, no extra charge",IF(AJ278&lt;MarginWarning,"Low margin - re-price it","OK")))))))</f>
        <v>0</v>
      </c>
    </row>
    <row r="279" spans="1:38">
      <c r="A279" s="38">
        <f>IF(C279="","",VariationPrefix&amp;TEXT(ROW()-4,"0000"))</f>
        <v>0</v>
      </c>
      <c r="N279" s="13">
        <f>IF(B279="","",IFERROR(INDEX(Products!$B$5:$B$304,MATCH(B279,Products!$A$5:$A$304,0)),"Not found"))</f>
        <v>0</v>
      </c>
      <c r="O279" s="20">
        <f>IF(B279="","",IFERROR(INDEX(Products!$T$5:$T$304,MATCH(B279,Products!$A$5:$A$304,0)),""))</f>
        <v>0</v>
      </c>
      <c r="P279" s="20">
        <f>IF(B279="","",IFERROR(INDEX(Products!$Z$5:$Z$304,MATCH(B279,Products!$A$5:$A$304,0)),""))</f>
        <v>0</v>
      </c>
      <c r="Q279" s="20">
        <f>IF(B279="","",IFERROR(INDEX(Products!$AH$5:$AH$304,MATCH(B279,Products!$A$5:$A$304,0))-INDEX(Products!$T$5:$T$304,MATCH(B279,Products!$A$5:$A$304,0))-INDEX(Products!$Z$5:$Z$304,MATCH(B279,Products!$A$5:$A$304,0)),0))</f>
        <v>0</v>
      </c>
      <c r="R279" s="36">
        <f>IF(B279="","",IFERROR(INDEX(Products!$X$5:$X$304,MATCH(B279,Products!$A$5:$A$304,0)),""))</f>
        <v>0</v>
      </c>
      <c r="S279" s="20">
        <f>IF(B279="","",IFERROR(INDEX(Products!$AR$5:$AR$304,MATCH(B279,Products!$A$5:$A$304,0)),""))</f>
        <v>0</v>
      </c>
      <c r="T279" s="41">
        <f>IF(B279="","",IFERROR(INDEX(SizeMaterialFactors,MATCH(E279,SizeNames,0)),1))</f>
        <v>0</v>
      </c>
      <c r="U279" s="41">
        <f>IF(B279="","",IFERROR(INDEX(SizeTimeFactors,MATCH(E279,SizeNames,0)),1))</f>
        <v>0</v>
      </c>
      <c r="V279" s="33">
        <f>IF(B279="","",IFERROR(INDEX(RushFactors,MATCH(H279,RushNames,0)),0))</f>
        <v>0</v>
      </c>
      <c r="W279" s="20">
        <f>IF(B279="","",ROUND(IF(O279="",0,O279)*T279+IF(F279="",0,F279),2))</f>
        <v>0</v>
      </c>
      <c r="X279" s="36">
        <f>IF(B279="","",ROUND(IF(R279="",0,R279)*U279+IF(G279="",0,G279),1))</f>
        <v>0</v>
      </c>
      <c r="Y279" s="20">
        <f>IF(B279="","",ROUND(IF(P279="",0,P279)*U279+IF(G279="",0,G279)/60*LaborCostHour,2))</f>
        <v>0</v>
      </c>
      <c r="Z279" s="20">
        <f>IF(B279="","",ROUND(W279+Y279+IF(Q279="",0,Q279),2))</f>
        <v>0</v>
      </c>
      <c r="AA279" s="33">
        <f>IF(B279="","",IFERROR(INDEX(Channels!$S$5:$S$18,MATCH(IF(J279="",DefaultChannel,J279),Channels!$A$5:$A$18,0)),0))</f>
        <v>0</v>
      </c>
      <c r="AB279" s="20">
        <f>IF(B279="","",IFERROR(INDEX(Channels!$T$5:$T$18,MATCH(IF(J279="",DefaultChannel,J279),Channels!$A$5:$A$18,0)),0))</f>
        <v>0</v>
      </c>
      <c r="AC279" s="41">
        <f>IF(B279="","",1-TargetRetailMargin-AA279)</f>
        <v>0</v>
      </c>
      <c r="AD279" s="20">
        <f>IF(B279="","",IF(AC279&lt;=0,"",((Z279+AB279)/AC279)*(1+V279)+IF(I279="",0,I279)))</f>
        <v>0</v>
      </c>
      <c r="AE279" s="20">
        <f>IF(B279="","",IF(AD279="","Check the settings",ROUND(IF(RoundingRule="None",AD279,IF(RoundingRule="Nearest 0.99",MAX(0.99,CEILING(AD279,1)-0.01),IF(RoundingRule="Nearest 0.95",MAX(0.95,CEILING(AD279,1)-0.05),IF(RoundingRule="Nearest 0.50",CEILING(AD279,0.5),IF(RoundingRule="Nearest 1",CEILING(AD279,1),IF(RoundingRule="Nearest 5",CEILING(AD279,5),IF(RoundingRule="Up to whole 1",CEILING(AD279,1),IF(RoundingRule="Up to whole 5",CEILING(AD279,5),ROUND(AD279,2))))))))),2)))</f>
        <v>0</v>
      </c>
      <c r="AF279" s="20">
        <f>IF(B279="","",IF(K279&lt;&gt;"",K279,IF(ISNUMBER(AE279),AE279,"")))</f>
        <v>0</v>
      </c>
      <c r="AG279" s="20">
        <f>IF(B279="","",IF(OR(AF279="",S279=""),"",ROUND(AF279-S279,2)))</f>
        <v>0</v>
      </c>
      <c r="AH279" s="20">
        <f>IF(B279="","",IF(AF279="","",ROUND(AF279*AA279+AB279,2)))</f>
        <v>0</v>
      </c>
      <c r="AI279" s="20">
        <f>IF(B279="","",IF(AF279="","",ROUND(AF279-Z279-AH279,2)))</f>
        <v>0</v>
      </c>
      <c r="AJ279" s="33">
        <f>IF(B279="","",IF(OR(AF279="",AF279=0),"",AI279/AF279))</f>
        <v>0</v>
      </c>
      <c r="AK279" s="20">
        <f>IF(B279="","",IF(OR(X279=0,X279="",AI279=""),"",ROUND((AI279+Y279)/(X279/60),2)))</f>
        <v>0</v>
      </c>
      <c r="AL279" s="43">
        <f>IF(B279="","",IF(N279="Not found","Check - no such product ID",IF(AF279="","Check - no price yet",IF(AI279&lt;0,"Loss - this version costs you money",IF(AND(AK279&lt;&gt;"",AK279&lt;MinimumWage),"Below - pays under minimum wage",IF(AND(G279&gt;0,AG279&lt;=0),"Check - extra work, no extra charge",IF(AJ279&lt;MarginWarning,"Low margin - re-price it","OK")))))))</f>
        <v>0</v>
      </c>
    </row>
    <row r="280" spans="1:38">
      <c r="A280" s="38">
        <f>IF(C280="","",VariationPrefix&amp;TEXT(ROW()-4,"0000"))</f>
        <v>0</v>
      </c>
      <c r="N280" s="13">
        <f>IF(B280="","",IFERROR(INDEX(Products!$B$5:$B$304,MATCH(B280,Products!$A$5:$A$304,0)),"Not found"))</f>
        <v>0</v>
      </c>
      <c r="O280" s="20">
        <f>IF(B280="","",IFERROR(INDEX(Products!$T$5:$T$304,MATCH(B280,Products!$A$5:$A$304,0)),""))</f>
        <v>0</v>
      </c>
      <c r="P280" s="20">
        <f>IF(B280="","",IFERROR(INDEX(Products!$Z$5:$Z$304,MATCH(B280,Products!$A$5:$A$304,0)),""))</f>
        <v>0</v>
      </c>
      <c r="Q280" s="20">
        <f>IF(B280="","",IFERROR(INDEX(Products!$AH$5:$AH$304,MATCH(B280,Products!$A$5:$A$304,0))-INDEX(Products!$T$5:$T$304,MATCH(B280,Products!$A$5:$A$304,0))-INDEX(Products!$Z$5:$Z$304,MATCH(B280,Products!$A$5:$A$304,0)),0))</f>
        <v>0</v>
      </c>
      <c r="R280" s="36">
        <f>IF(B280="","",IFERROR(INDEX(Products!$X$5:$X$304,MATCH(B280,Products!$A$5:$A$304,0)),""))</f>
        <v>0</v>
      </c>
      <c r="S280" s="20">
        <f>IF(B280="","",IFERROR(INDEX(Products!$AR$5:$AR$304,MATCH(B280,Products!$A$5:$A$304,0)),""))</f>
        <v>0</v>
      </c>
      <c r="T280" s="41">
        <f>IF(B280="","",IFERROR(INDEX(SizeMaterialFactors,MATCH(E280,SizeNames,0)),1))</f>
        <v>0</v>
      </c>
      <c r="U280" s="41">
        <f>IF(B280="","",IFERROR(INDEX(SizeTimeFactors,MATCH(E280,SizeNames,0)),1))</f>
        <v>0</v>
      </c>
      <c r="V280" s="33">
        <f>IF(B280="","",IFERROR(INDEX(RushFactors,MATCH(H280,RushNames,0)),0))</f>
        <v>0</v>
      </c>
      <c r="W280" s="20">
        <f>IF(B280="","",ROUND(IF(O280="",0,O280)*T280+IF(F280="",0,F280),2))</f>
        <v>0</v>
      </c>
      <c r="X280" s="36">
        <f>IF(B280="","",ROUND(IF(R280="",0,R280)*U280+IF(G280="",0,G280),1))</f>
        <v>0</v>
      </c>
      <c r="Y280" s="20">
        <f>IF(B280="","",ROUND(IF(P280="",0,P280)*U280+IF(G280="",0,G280)/60*LaborCostHour,2))</f>
        <v>0</v>
      </c>
      <c r="Z280" s="20">
        <f>IF(B280="","",ROUND(W280+Y280+IF(Q280="",0,Q280),2))</f>
        <v>0</v>
      </c>
      <c r="AA280" s="33">
        <f>IF(B280="","",IFERROR(INDEX(Channels!$S$5:$S$18,MATCH(IF(J280="",DefaultChannel,J280),Channels!$A$5:$A$18,0)),0))</f>
        <v>0</v>
      </c>
      <c r="AB280" s="20">
        <f>IF(B280="","",IFERROR(INDEX(Channels!$T$5:$T$18,MATCH(IF(J280="",DefaultChannel,J280),Channels!$A$5:$A$18,0)),0))</f>
        <v>0</v>
      </c>
      <c r="AC280" s="41">
        <f>IF(B280="","",1-TargetRetailMargin-AA280)</f>
        <v>0</v>
      </c>
      <c r="AD280" s="20">
        <f>IF(B280="","",IF(AC280&lt;=0,"",((Z280+AB280)/AC280)*(1+V280)+IF(I280="",0,I280)))</f>
        <v>0</v>
      </c>
      <c r="AE280" s="20">
        <f>IF(B280="","",IF(AD280="","Check the settings",ROUND(IF(RoundingRule="None",AD280,IF(RoundingRule="Nearest 0.99",MAX(0.99,CEILING(AD280,1)-0.01),IF(RoundingRule="Nearest 0.95",MAX(0.95,CEILING(AD280,1)-0.05),IF(RoundingRule="Nearest 0.50",CEILING(AD280,0.5),IF(RoundingRule="Nearest 1",CEILING(AD280,1),IF(RoundingRule="Nearest 5",CEILING(AD280,5),IF(RoundingRule="Up to whole 1",CEILING(AD280,1),IF(RoundingRule="Up to whole 5",CEILING(AD280,5),ROUND(AD280,2))))))))),2)))</f>
        <v>0</v>
      </c>
      <c r="AF280" s="20">
        <f>IF(B280="","",IF(K280&lt;&gt;"",K280,IF(ISNUMBER(AE280),AE280,"")))</f>
        <v>0</v>
      </c>
      <c r="AG280" s="20">
        <f>IF(B280="","",IF(OR(AF280="",S280=""),"",ROUND(AF280-S280,2)))</f>
        <v>0</v>
      </c>
      <c r="AH280" s="20">
        <f>IF(B280="","",IF(AF280="","",ROUND(AF280*AA280+AB280,2)))</f>
        <v>0</v>
      </c>
      <c r="AI280" s="20">
        <f>IF(B280="","",IF(AF280="","",ROUND(AF280-Z280-AH280,2)))</f>
        <v>0</v>
      </c>
      <c r="AJ280" s="33">
        <f>IF(B280="","",IF(OR(AF280="",AF280=0),"",AI280/AF280))</f>
        <v>0</v>
      </c>
      <c r="AK280" s="20">
        <f>IF(B280="","",IF(OR(X280=0,X280="",AI280=""),"",ROUND((AI280+Y280)/(X280/60),2)))</f>
        <v>0</v>
      </c>
      <c r="AL280" s="43">
        <f>IF(B280="","",IF(N280="Not found","Check - no such product ID",IF(AF280="","Check - no price yet",IF(AI280&lt;0,"Loss - this version costs you money",IF(AND(AK280&lt;&gt;"",AK280&lt;MinimumWage),"Below - pays under minimum wage",IF(AND(G280&gt;0,AG280&lt;=0),"Check - extra work, no extra charge",IF(AJ280&lt;MarginWarning,"Low margin - re-price it","OK")))))))</f>
        <v>0</v>
      </c>
    </row>
    <row r="281" spans="1:38">
      <c r="A281" s="38">
        <f>IF(C281="","",VariationPrefix&amp;TEXT(ROW()-4,"0000"))</f>
        <v>0</v>
      </c>
      <c r="N281" s="13">
        <f>IF(B281="","",IFERROR(INDEX(Products!$B$5:$B$304,MATCH(B281,Products!$A$5:$A$304,0)),"Not found"))</f>
        <v>0</v>
      </c>
      <c r="O281" s="20">
        <f>IF(B281="","",IFERROR(INDEX(Products!$T$5:$T$304,MATCH(B281,Products!$A$5:$A$304,0)),""))</f>
        <v>0</v>
      </c>
      <c r="P281" s="20">
        <f>IF(B281="","",IFERROR(INDEX(Products!$Z$5:$Z$304,MATCH(B281,Products!$A$5:$A$304,0)),""))</f>
        <v>0</v>
      </c>
      <c r="Q281" s="20">
        <f>IF(B281="","",IFERROR(INDEX(Products!$AH$5:$AH$304,MATCH(B281,Products!$A$5:$A$304,0))-INDEX(Products!$T$5:$T$304,MATCH(B281,Products!$A$5:$A$304,0))-INDEX(Products!$Z$5:$Z$304,MATCH(B281,Products!$A$5:$A$304,0)),0))</f>
        <v>0</v>
      </c>
      <c r="R281" s="36">
        <f>IF(B281="","",IFERROR(INDEX(Products!$X$5:$X$304,MATCH(B281,Products!$A$5:$A$304,0)),""))</f>
        <v>0</v>
      </c>
      <c r="S281" s="20">
        <f>IF(B281="","",IFERROR(INDEX(Products!$AR$5:$AR$304,MATCH(B281,Products!$A$5:$A$304,0)),""))</f>
        <v>0</v>
      </c>
      <c r="T281" s="41">
        <f>IF(B281="","",IFERROR(INDEX(SizeMaterialFactors,MATCH(E281,SizeNames,0)),1))</f>
        <v>0</v>
      </c>
      <c r="U281" s="41">
        <f>IF(B281="","",IFERROR(INDEX(SizeTimeFactors,MATCH(E281,SizeNames,0)),1))</f>
        <v>0</v>
      </c>
      <c r="V281" s="33">
        <f>IF(B281="","",IFERROR(INDEX(RushFactors,MATCH(H281,RushNames,0)),0))</f>
        <v>0</v>
      </c>
      <c r="W281" s="20">
        <f>IF(B281="","",ROUND(IF(O281="",0,O281)*T281+IF(F281="",0,F281),2))</f>
        <v>0</v>
      </c>
      <c r="X281" s="36">
        <f>IF(B281="","",ROUND(IF(R281="",0,R281)*U281+IF(G281="",0,G281),1))</f>
        <v>0</v>
      </c>
      <c r="Y281" s="20">
        <f>IF(B281="","",ROUND(IF(P281="",0,P281)*U281+IF(G281="",0,G281)/60*LaborCostHour,2))</f>
        <v>0</v>
      </c>
      <c r="Z281" s="20">
        <f>IF(B281="","",ROUND(W281+Y281+IF(Q281="",0,Q281),2))</f>
        <v>0</v>
      </c>
      <c r="AA281" s="33">
        <f>IF(B281="","",IFERROR(INDEX(Channels!$S$5:$S$18,MATCH(IF(J281="",DefaultChannel,J281),Channels!$A$5:$A$18,0)),0))</f>
        <v>0</v>
      </c>
      <c r="AB281" s="20">
        <f>IF(B281="","",IFERROR(INDEX(Channels!$T$5:$T$18,MATCH(IF(J281="",DefaultChannel,J281),Channels!$A$5:$A$18,0)),0))</f>
        <v>0</v>
      </c>
      <c r="AC281" s="41">
        <f>IF(B281="","",1-TargetRetailMargin-AA281)</f>
        <v>0</v>
      </c>
      <c r="AD281" s="20">
        <f>IF(B281="","",IF(AC281&lt;=0,"",((Z281+AB281)/AC281)*(1+V281)+IF(I281="",0,I281)))</f>
        <v>0</v>
      </c>
      <c r="AE281" s="20">
        <f>IF(B281="","",IF(AD281="","Check the settings",ROUND(IF(RoundingRule="None",AD281,IF(RoundingRule="Nearest 0.99",MAX(0.99,CEILING(AD281,1)-0.01),IF(RoundingRule="Nearest 0.95",MAX(0.95,CEILING(AD281,1)-0.05),IF(RoundingRule="Nearest 0.50",CEILING(AD281,0.5),IF(RoundingRule="Nearest 1",CEILING(AD281,1),IF(RoundingRule="Nearest 5",CEILING(AD281,5),IF(RoundingRule="Up to whole 1",CEILING(AD281,1),IF(RoundingRule="Up to whole 5",CEILING(AD281,5),ROUND(AD281,2))))))))),2)))</f>
        <v>0</v>
      </c>
      <c r="AF281" s="20">
        <f>IF(B281="","",IF(K281&lt;&gt;"",K281,IF(ISNUMBER(AE281),AE281,"")))</f>
        <v>0</v>
      </c>
      <c r="AG281" s="20">
        <f>IF(B281="","",IF(OR(AF281="",S281=""),"",ROUND(AF281-S281,2)))</f>
        <v>0</v>
      </c>
      <c r="AH281" s="20">
        <f>IF(B281="","",IF(AF281="","",ROUND(AF281*AA281+AB281,2)))</f>
        <v>0</v>
      </c>
      <c r="AI281" s="20">
        <f>IF(B281="","",IF(AF281="","",ROUND(AF281-Z281-AH281,2)))</f>
        <v>0</v>
      </c>
      <c r="AJ281" s="33">
        <f>IF(B281="","",IF(OR(AF281="",AF281=0),"",AI281/AF281))</f>
        <v>0</v>
      </c>
      <c r="AK281" s="20">
        <f>IF(B281="","",IF(OR(X281=0,X281="",AI281=""),"",ROUND((AI281+Y281)/(X281/60),2)))</f>
        <v>0</v>
      </c>
      <c r="AL281" s="43">
        <f>IF(B281="","",IF(N281="Not found","Check - no such product ID",IF(AF281="","Check - no price yet",IF(AI281&lt;0,"Loss - this version costs you money",IF(AND(AK281&lt;&gt;"",AK281&lt;MinimumWage),"Below - pays under minimum wage",IF(AND(G281&gt;0,AG281&lt;=0),"Check - extra work, no extra charge",IF(AJ281&lt;MarginWarning,"Low margin - re-price it","OK")))))))</f>
        <v>0</v>
      </c>
    </row>
    <row r="282" spans="1:38">
      <c r="A282" s="38">
        <f>IF(C282="","",VariationPrefix&amp;TEXT(ROW()-4,"0000"))</f>
        <v>0</v>
      </c>
      <c r="N282" s="13">
        <f>IF(B282="","",IFERROR(INDEX(Products!$B$5:$B$304,MATCH(B282,Products!$A$5:$A$304,0)),"Not found"))</f>
        <v>0</v>
      </c>
      <c r="O282" s="20">
        <f>IF(B282="","",IFERROR(INDEX(Products!$T$5:$T$304,MATCH(B282,Products!$A$5:$A$304,0)),""))</f>
        <v>0</v>
      </c>
      <c r="P282" s="20">
        <f>IF(B282="","",IFERROR(INDEX(Products!$Z$5:$Z$304,MATCH(B282,Products!$A$5:$A$304,0)),""))</f>
        <v>0</v>
      </c>
      <c r="Q282" s="20">
        <f>IF(B282="","",IFERROR(INDEX(Products!$AH$5:$AH$304,MATCH(B282,Products!$A$5:$A$304,0))-INDEX(Products!$T$5:$T$304,MATCH(B282,Products!$A$5:$A$304,0))-INDEX(Products!$Z$5:$Z$304,MATCH(B282,Products!$A$5:$A$304,0)),0))</f>
        <v>0</v>
      </c>
      <c r="R282" s="36">
        <f>IF(B282="","",IFERROR(INDEX(Products!$X$5:$X$304,MATCH(B282,Products!$A$5:$A$304,0)),""))</f>
        <v>0</v>
      </c>
      <c r="S282" s="20">
        <f>IF(B282="","",IFERROR(INDEX(Products!$AR$5:$AR$304,MATCH(B282,Products!$A$5:$A$304,0)),""))</f>
        <v>0</v>
      </c>
      <c r="T282" s="41">
        <f>IF(B282="","",IFERROR(INDEX(SizeMaterialFactors,MATCH(E282,SizeNames,0)),1))</f>
        <v>0</v>
      </c>
      <c r="U282" s="41">
        <f>IF(B282="","",IFERROR(INDEX(SizeTimeFactors,MATCH(E282,SizeNames,0)),1))</f>
        <v>0</v>
      </c>
      <c r="V282" s="33">
        <f>IF(B282="","",IFERROR(INDEX(RushFactors,MATCH(H282,RushNames,0)),0))</f>
        <v>0</v>
      </c>
      <c r="W282" s="20">
        <f>IF(B282="","",ROUND(IF(O282="",0,O282)*T282+IF(F282="",0,F282),2))</f>
        <v>0</v>
      </c>
      <c r="X282" s="36">
        <f>IF(B282="","",ROUND(IF(R282="",0,R282)*U282+IF(G282="",0,G282),1))</f>
        <v>0</v>
      </c>
      <c r="Y282" s="20">
        <f>IF(B282="","",ROUND(IF(P282="",0,P282)*U282+IF(G282="",0,G282)/60*LaborCostHour,2))</f>
        <v>0</v>
      </c>
      <c r="Z282" s="20">
        <f>IF(B282="","",ROUND(W282+Y282+IF(Q282="",0,Q282),2))</f>
        <v>0</v>
      </c>
      <c r="AA282" s="33">
        <f>IF(B282="","",IFERROR(INDEX(Channels!$S$5:$S$18,MATCH(IF(J282="",DefaultChannel,J282),Channels!$A$5:$A$18,0)),0))</f>
        <v>0</v>
      </c>
      <c r="AB282" s="20">
        <f>IF(B282="","",IFERROR(INDEX(Channels!$T$5:$T$18,MATCH(IF(J282="",DefaultChannel,J282),Channels!$A$5:$A$18,0)),0))</f>
        <v>0</v>
      </c>
      <c r="AC282" s="41">
        <f>IF(B282="","",1-TargetRetailMargin-AA282)</f>
        <v>0</v>
      </c>
      <c r="AD282" s="20">
        <f>IF(B282="","",IF(AC282&lt;=0,"",((Z282+AB282)/AC282)*(1+V282)+IF(I282="",0,I282)))</f>
        <v>0</v>
      </c>
      <c r="AE282" s="20">
        <f>IF(B282="","",IF(AD282="","Check the settings",ROUND(IF(RoundingRule="None",AD282,IF(RoundingRule="Nearest 0.99",MAX(0.99,CEILING(AD282,1)-0.01),IF(RoundingRule="Nearest 0.95",MAX(0.95,CEILING(AD282,1)-0.05),IF(RoundingRule="Nearest 0.50",CEILING(AD282,0.5),IF(RoundingRule="Nearest 1",CEILING(AD282,1),IF(RoundingRule="Nearest 5",CEILING(AD282,5),IF(RoundingRule="Up to whole 1",CEILING(AD282,1),IF(RoundingRule="Up to whole 5",CEILING(AD282,5),ROUND(AD282,2))))))))),2)))</f>
        <v>0</v>
      </c>
      <c r="AF282" s="20">
        <f>IF(B282="","",IF(K282&lt;&gt;"",K282,IF(ISNUMBER(AE282),AE282,"")))</f>
        <v>0</v>
      </c>
      <c r="AG282" s="20">
        <f>IF(B282="","",IF(OR(AF282="",S282=""),"",ROUND(AF282-S282,2)))</f>
        <v>0</v>
      </c>
      <c r="AH282" s="20">
        <f>IF(B282="","",IF(AF282="","",ROUND(AF282*AA282+AB282,2)))</f>
        <v>0</v>
      </c>
      <c r="AI282" s="20">
        <f>IF(B282="","",IF(AF282="","",ROUND(AF282-Z282-AH282,2)))</f>
        <v>0</v>
      </c>
      <c r="AJ282" s="33">
        <f>IF(B282="","",IF(OR(AF282="",AF282=0),"",AI282/AF282))</f>
        <v>0</v>
      </c>
      <c r="AK282" s="20">
        <f>IF(B282="","",IF(OR(X282=0,X282="",AI282=""),"",ROUND((AI282+Y282)/(X282/60),2)))</f>
        <v>0</v>
      </c>
      <c r="AL282" s="43">
        <f>IF(B282="","",IF(N282="Not found","Check - no such product ID",IF(AF282="","Check - no price yet",IF(AI282&lt;0,"Loss - this version costs you money",IF(AND(AK282&lt;&gt;"",AK282&lt;MinimumWage),"Below - pays under minimum wage",IF(AND(G282&gt;0,AG282&lt;=0),"Check - extra work, no extra charge",IF(AJ282&lt;MarginWarning,"Low margin - re-price it","OK")))))))</f>
        <v>0</v>
      </c>
    </row>
    <row r="283" spans="1:38">
      <c r="A283" s="38">
        <f>IF(C283="","",VariationPrefix&amp;TEXT(ROW()-4,"0000"))</f>
        <v>0</v>
      </c>
      <c r="N283" s="13">
        <f>IF(B283="","",IFERROR(INDEX(Products!$B$5:$B$304,MATCH(B283,Products!$A$5:$A$304,0)),"Not found"))</f>
        <v>0</v>
      </c>
      <c r="O283" s="20">
        <f>IF(B283="","",IFERROR(INDEX(Products!$T$5:$T$304,MATCH(B283,Products!$A$5:$A$304,0)),""))</f>
        <v>0</v>
      </c>
      <c r="P283" s="20">
        <f>IF(B283="","",IFERROR(INDEX(Products!$Z$5:$Z$304,MATCH(B283,Products!$A$5:$A$304,0)),""))</f>
        <v>0</v>
      </c>
      <c r="Q283" s="20">
        <f>IF(B283="","",IFERROR(INDEX(Products!$AH$5:$AH$304,MATCH(B283,Products!$A$5:$A$304,0))-INDEX(Products!$T$5:$T$304,MATCH(B283,Products!$A$5:$A$304,0))-INDEX(Products!$Z$5:$Z$304,MATCH(B283,Products!$A$5:$A$304,0)),0))</f>
        <v>0</v>
      </c>
      <c r="R283" s="36">
        <f>IF(B283="","",IFERROR(INDEX(Products!$X$5:$X$304,MATCH(B283,Products!$A$5:$A$304,0)),""))</f>
        <v>0</v>
      </c>
      <c r="S283" s="20">
        <f>IF(B283="","",IFERROR(INDEX(Products!$AR$5:$AR$304,MATCH(B283,Products!$A$5:$A$304,0)),""))</f>
        <v>0</v>
      </c>
      <c r="T283" s="41">
        <f>IF(B283="","",IFERROR(INDEX(SizeMaterialFactors,MATCH(E283,SizeNames,0)),1))</f>
        <v>0</v>
      </c>
      <c r="U283" s="41">
        <f>IF(B283="","",IFERROR(INDEX(SizeTimeFactors,MATCH(E283,SizeNames,0)),1))</f>
        <v>0</v>
      </c>
      <c r="V283" s="33">
        <f>IF(B283="","",IFERROR(INDEX(RushFactors,MATCH(H283,RushNames,0)),0))</f>
        <v>0</v>
      </c>
      <c r="W283" s="20">
        <f>IF(B283="","",ROUND(IF(O283="",0,O283)*T283+IF(F283="",0,F283),2))</f>
        <v>0</v>
      </c>
      <c r="X283" s="36">
        <f>IF(B283="","",ROUND(IF(R283="",0,R283)*U283+IF(G283="",0,G283),1))</f>
        <v>0</v>
      </c>
      <c r="Y283" s="20">
        <f>IF(B283="","",ROUND(IF(P283="",0,P283)*U283+IF(G283="",0,G283)/60*LaborCostHour,2))</f>
        <v>0</v>
      </c>
      <c r="Z283" s="20">
        <f>IF(B283="","",ROUND(W283+Y283+IF(Q283="",0,Q283),2))</f>
        <v>0</v>
      </c>
      <c r="AA283" s="33">
        <f>IF(B283="","",IFERROR(INDEX(Channels!$S$5:$S$18,MATCH(IF(J283="",DefaultChannel,J283),Channels!$A$5:$A$18,0)),0))</f>
        <v>0</v>
      </c>
      <c r="AB283" s="20">
        <f>IF(B283="","",IFERROR(INDEX(Channels!$T$5:$T$18,MATCH(IF(J283="",DefaultChannel,J283),Channels!$A$5:$A$18,0)),0))</f>
        <v>0</v>
      </c>
      <c r="AC283" s="41">
        <f>IF(B283="","",1-TargetRetailMargin-AA283)</f>
        <v>0</v>
      </c>
      <c r="AD283" s="20">
        <f>IF(B283="","",IF(AC283&lt;=0,"",((Z283+AB283)/AC283)*(1+V283)+IF(I283="",0,I283)))</f>
        <v>0</v>
      </c>
      <c r="AE283" s="20">
        <f>IF(B283="","",IF(AD283="","Check the settings",ROUND(IF(RoundingRule="None",AD283,IF(RoundingRule="Nearest 0.99",MAX(0.99,CEILING(AD283,1)-0.01),IF(RoundingRule="Nearest 0.95",MAX(0.95,CEILING(AD283,1)-0.05),IF(RoundingRule="Nearest 0.50",CEILING(AD283,0.5),IF(RoundingRule="Nearest 1",CEILING(AD283,1),IF(RoundingRule="Nearest 5",CEILING(AD283,5),IF(RoundingRule="Up to whole 1",CEILING(AD283,1),IF(RoundingRule="Up to whole 5",CEILING(AD283,5),ROUND(AD283,2))))))))),2)))</f>
        <v>0</v>
      </c>
      <c r="AF283" s="20">
        <f>IF(B283="","",IF(K283&lt;&gt;"",K283,IF(ISNUMBER(AE283),AE283,"")))</f>
        <v>0</v>
      </c>
      <c r="AG283" s="20">
        <f>IF(B283="","",IF(OR(AF283="",S283=""),"",ROUND(AF283-S283,2)))</f>
        <v>0</v>
      </c>
      <c r="AH283" s="20">
        <f>IF(B283="","",IF(AF283="","",ROUND(AF283*AA283+AB283,2)))</f>
        <v>0</v>
      </c>
      <c r="AI283" s="20">
        <f>IF(B283="","",IF(AF283="","",ROUND(AF283-Z283-AH283,2)))</f>
        <v>0</v>
      </c>
      <c r="AJ283" s="33">
        <f>IF(B283="","",IF(OR(AF283="",AF283=0),"",AI283/AF283))</f>
        <v>0</v>
      </c>
      <c r="AK283" s="20">
        <f>IF(B283="","",IF(OR(X283=0,X283="",AI283=""),"",ROUND((AI283+Y283)/(X283/60),2)))</f>
        <v>0</v>
      </c>
      <c r="AL283" s="43">
        <f>IF(B283="","",IF(N283="Not found","Check - no such product ID",IF(AF283="","Check - no price yet",IF(AI283&lt;0,"Loss - this version costs you money",IF(AND(AK283&lt;&gt;"",AK283&lt;MinimumWage),"Below - pays under minimum wage",IF(AND(G283&gt;0,AG283&lt;=0),"Check - extra work, no extra charge",IF(AJ283&lt;MarginWarning,"Low margin - re-price it","OK")))))))</f>
        <v>0</v>
      </c>
    </row>
    <row r="284" spans="1:38">
      <c r="A284" s="38">
        <f>IF(C284="","",VariationPrefix&amp;TEXT(ROW()-4,"0000"))</f>
        <v>0</v>
      </c>
      <c r="N284" s="13">
        <f>IF(B284="","",IFERROR(INDEX(Products!$B$5:$B$304,MATCH(B284,Products!$A$5:$A$304,0)),"Not found"))</f>
        <v>0</v>
      </c>
      <c r="O284" s="20">
        <f>IF(B284="","",IFERROR(INDEX(Products!$T$5:$T$304,MATCH(B284,Products!$A$5:$A$304,0)),""))</f>
        <v>0</v>
      </c>
      <c r="P284" s="20">
        <f>IF(B284="","",IFERROR(INDEX(Products!$Z$5:$Z$304,MATCH(B284,Products!$A$5:$A$304,0)),""))</f>
        <v>0</v>
      </c>
      <c r="Q284" s="20">
        <f>IF(B284="","",IFERROR(INDEX(Products!$AH$5:$AH$304,MATCH(B284,Products!$A$5:$A$304,0))-INDEX(Products!$T$5:$T$304,MATCH(B284,Products!$A$5:$A$304,0))-INDEX(Products!$Z$5:$Z$304,MATCH(B284,Products!$A$5:$A$304,0)),0))</f>
        <v>0</v>
      </c>
      <c r="R284" s="36">
        <f>IF(B284="","",IFERROR(INDEX(Products!$X$5:$X$304,MATCH(B284,Products!$A$5:$A$304,0)),""))</f>
        <v>0</v>
      </c>
      <c r="S284" s="20">
        <f>IF(B284="","",IFERROR(INDEX(Products!$AR$5:$AR$304,MATCH(B284,Products!$A$5:$A$304,0)),""))</f>
        <v>0</v>
      </c>
      <c r="T284" s="41">
        <f>IF(B284="","",IFERROR(INDEX(SizeMaterialFactors,MATCH(E284,SizeNames,0)),1))</f>
        <v>0</v>
      </c>
      <c r="U284" s="41">
        <f>IF(B284="","",IFERROR(INDEX(SizeTimeFactors,MATCH(E284,SizeNames,0)),1))</f>
        <v>0</v>
      </c>
      <c r="V284" s="33">
        <f>IF(B284="","",IFERROR(INDEX(RushFactors,MATCH(H284,RushNames,0)),0))</f>
        <v>0</v>
      </c>
      <c r="W284" s="20">
        <f>IF(B284="","",ROUND(IF(O284="",0,O284)*T284+IF(F284="",0,F284),2))</f>
        <v>0</v>
      </c>
      <c r="X284" s="36">
        <f>IF(B284="","",ROUND(IF(R284="",0,R284)*U284+IF(G284="",0,G284),1))</f>
        <v>0</v>
      </c>
      <c r="Y284" s="20">
        <f>IF(B284="","",ROUND(IF(P284="",0,P284)*U284+IF(G284="",0,G284)/60*LaborCostHour,2))</f>
        <v>0</v>
      </c>
      <c r="Z284" s="20">
        <f>IF(B284="","",ROUND(W284+Y284+IF(Q284="",0,Q284),2))</f>
        <v>0</v>
      </c>
      <c r="AA284" s="33">
        <f>IF(B284="","",IFERROR(INDEX(Channels!$S$5:$S$18,MATCH(IF(J284="",DefaultChannel,J284),Channels!$A$5:$A$18,0)),0))</f>
        <v>0</v>
      </c>
      <c r="AB284" s="20">
        <f>IF(B284="","",IFERROR(INDEX(Channels!$T$5:$T$18,MATCH(IF(J284="",DefaultChannel,J284),Channels!$A$5:$A$18,0)),0))</f>
        <v>0</v>
      </c>
      <c r="AC284" s="41">
        <f>IF(B284="","",1-TargetRetailMargin-AA284)</f>
        <v>0</v>
      </c>
      <c r="AD284" s="20">
        <f>IF(B284="","",IF(AC284&lt;=0,"",((Z284+AB284)/AC284)*(1+V284)+IF(I284="",0,I284)))</f>
        <v>0</v>
      </c>
      <c r="AE284" s="20">
        <f>IF(B284="","",IF(AD284="","Check the settings",ROUND(IF(RoundingRule="None",AD284,IF(RoundingRule="Nearest 0.99",MAX(0.99,CEILING(AD284,1)-0.01),IF(RoundingRule="Nearest 0.95",MAX(0.95,CEILING(AD284,1)-0.05),IF(RoundingRule="Nearest 0.50",CEILING(AD284,0.5),IF(RoundingRule="Nearest 1",CEILING(AD284,1),IF(RoundingRule="Nearest 5",CEILING(AD284,5),IF(RoundingRule="Up to whole 1",CEILING(AD284,1),IF(RoundingRule="Up to whole 5",CEILING(AD284,5),ROUND(AD284,2))))))))),2)))</f>
        <v>0</v>
      </c>
      <c r="AF284" s="20">
        <f>IF(B284="","",IF(K284&lt;&gt;"",K284,IF(ISNUMBER(AE284),AE284,"")))</f>
        <v>0</v>
      </c>
      <c r="AG284" s="20">
        <f>IF(B284="","",IF(OR(AF284="",S284=""),"",ROUND(AF284-S284,2)))</f>
        <v>0</v>
      </c>
      <c r="AH284" s="20">
        <f>IF(B284="","",IF(AF284="","",ROUND(AF284*AA284+AB284,2)))</f>
        <v>0</v>
      </c>
      <c r="AI284" s="20">
        <f>IF(B284="","",IF(AF284="","",ROUND(AF284-Z284-AH284,2)))</f>
        <v>0</v>
      </c>
      <c r="AJ284" s="33">
        <f>IF(B284="","",IF(OR(AF284="",AF284=0),"",AI284/AF284))</f>
        <v>0</v>
      </c>
      <c r="AK284" s="20">
        <f>IF(B284="","",IF(OR(X284=0,X284="",AI284=""),"",ROUND((AI284+Y284)/(X284/60),2)))</f>
        <v>0</v>
      </c>
      <c r="AL284" s="43">
        <f>IF(B284="","",IF(N284="Not found","Check - no such product ID",IF(AF284="","Check - no price yet",IF(AI284&lt;0,"Loss - this version costs you money",IF(AND(AK284&lt;&gt;"",AK284&lt;MinimumWage),"Below - pays under minimum wage",IF(AND(G284&gt;0,AG284&lt;=0),"Check - extra work, no extra charge",IF(AJ284&lt;MarginWarning,"Low margin - re-price it","OK")))))))</f>
        <v>0</v>
      </c>
    </row>
    <row r="285" spans="1:38">
      <c r="A285" s="38">
        <f>IF(C285="","",VariationPrefix&amp;TEXT(ROW()-4,"0000"))</f>
        <v>0</v>
      </c>
      <c r="N285" s="13">
        <f>IF(B285="","",IFERROR(INDEX(Products!$B$5:$B$304,MATCH(B285,Products!$A$5:$A$304,0)),"Not found"))</f>
        <v>0</v>
      </c>
      <c r="O285" s="20">
        <f>IF(B285="","",IFERROR(INDEX(Products!$T$5:$T$304,MATCH(B285,Products!$A$5:$A$304,0)),""))</f>
        <v>0</v>
      </c>
      <c r="P285" s="20">
        <f>IF(B285="","",IFERROR(INDEX(Products!$Z$5:$Z$304,MATCH(B285,Products!$A$5:$A$304,0)),""))</f>
        <v>0</v>
      </c>
      <c r="Q285" s="20">
        <f>IF(B285="","",IFERROR(INDEX(Products!$AH$5:$AH$304,MATCH(B285,Products!$A$5:$A$304,0))-INDEX(Products!$T$5:$T$304,MATCH(B285,Products!$A$5:$A$304,0))-INDEX(Products!$Z$5:$Z$304,MATCH(B285,Products!$A$5:$A$304,0)),0))</f>
        <v>0</v>
      </c>
      <c r="R285" s="36">
        <f>IF(B285="","",IFERROR(INDEX(Products!$X$5:$X$304,MATCH(B285,Products!$A$5:$A$304,0)),""))</f>
        <v>0</v>
      </c>
      <c r="S285" s="20">
        <f>IF(B285="","",IFERROR(INDEX(Products!$AR$5:$AR$304,MATCH(B285,Products!$A$5:$A$304,0)),""))</f>
        <v>0</v>
      </c>
      <c r="T285" s="41">
        <f>IF(B285="","",IFERROR(INDEX(SizeMaterialFactors,MATCH(E285,SizeNames,0)),1))</f>
        <v>0</v>
      </c>
      <c r="U285" s="41">
        <f>IF(B285="","",IFERROR(INDEX(SizeTimeFactors,MATCH(E285,SizeNames,0)),1))</f>
        <v>0</v>
      </c>
      <c r="V285" s="33">
        <f>IF(B285="","",IFERROR(INDEX(RushFactors,MATCH(H285,RushNames,0)),0))</f>
        <v>0</v>
      </c>
      <c r="W285" s="20">
        <f>IF(B285="","",ROUND(IF(O285="",0,O285)*T285+IF(F285="",0,F285),2))</f>
        <v>0</v>
      </c>
      <c r="X285" s="36">
        <f>IF(B285="","",ROUND(IF(R285="",0,R285)*U285+IF(G285="",0,G285),1))</f>
        <v>0</v>
      </c>
      <c r="Y285" s="20">
        <f>IF(B285="","",ROUND(IF(P285="",0,P285)*U285+IF(G285="",0,G285)/60*LaborCostHour,2))</f>
        <v>0</v>
      </c>
      <c r="Z285" s="20">
        <f>IF(B285="","",ROUND(W285+Y285+IF(Q285="",0,Q285),2))</f>
        <v>0</v>
      </c>
      <c r="AA285" s="33">
        <f>IF(B285="","",IFERROR(INDEX(Channels!$S$5:$S$18,MATCH(IF(J285="",DefaultChannel,J285),Channels!$A$5:$A$18,0)),0))</f>
        <v>0</v>
      </c>
      <c r="AB285" s="20">
        <f>IF(B285="","",IFERROR(INDEX(Channels!$T$5:$T$18,MATCH(IF(J285="",DefaultChannel,J285),Channels!$A$5:$A$18,0)),0))</f>
        <v>0</v>
      </c>
      <c r="AC285" s="41">
        <f>IF(B285="","",1-TargetRetailMargin-AA285)</f>
        <v>0</v>
      </c>
      <c r="AD285" s="20">
        <f>IF(B285="","",IF(AC285&lt;=0,"",((Z285+AB285)/AC285)*(1+V285)+IF(I285="",0,I285)))</f>
        <v>0</v>
      </c>
      <c r="AE285" s="20">
        <f>IF(B285="","",IF(AD285="","Check the settings",ROUND(IF(RoundingRule="None",AD285,IF(RoundingRule="Nearest 0.99",MAX(0.99,CEILING(AD285,1)-0.01),IF(RoundingRule="Nearest 0.95",MAX(0.95,CEILING(AD285,1)-0.05),IF(RoundingRule="Nearest 0.50",CEILING(AD285,0.5),IF(RoundingRule="Nearest 1",CEILING(AD285,1),IF(RoundingRule="Nearest 5",CEILING(AD285,5),IF(RoundingRule="Up to whole 1",CEILING(AD285,1),IF(RoundingRule="Up to whole 5",CEILING(AD285,5),ROUND(AD285,2))))))))),2)))</f>
        <v>0</v>
      </c>
      <c r="AF285" s="20">
        <f>IF(B285="","",IF(K285&lt;&gt;"",K285,IF(ISNUMBER(AE285),AE285,"")))</f>
        <v>0</v>
      </c>
      <c r="AG285" s="20">
        <f>IF(B285="","",IF(OR(AF285="",S285=""),"",ROUND(AF285-S285,2)))</f>
        <v>0</v>
      </c>
      <c r="AH285" s="20">
        <f>IF(B285="","",IF(AF285="","",ROUND(AF285*AA285+AB285,2)))</f>
        <v>0</v>
      </c>
      <c r="AI285" s="20">
        <f>IF(B285="","",IF(AF285="","",ROUND(AF285-Z285-AH285,2)))</f>
        <v>0</v>
      </c>
      <c r="AJ285" s="33">
        <f>IF(B285="","",IF(OR(AF285="",AF285=0),"",AI285/AF285))</f>
        <v>0</v>
      </c>
      <c r="AK285" s="20">
        <f>IF(B285="","",IF(OR(X285=0,X285="",AI285=""),"",ROUND((AI285+Y285)/(X285/60),2)))</f>
        <v>0</v>
      </c>
      <c r="AL285" s="43">
        <f>IF(B285="","",IF(N285="Not found","Check - no such product ID",IF(AF285="","Check - no price yet",IF(AI285&lt;0,"Loss - this version costs you money",IF(AND(AK285&lt;&gt;"",AK285&lt;MinimumWage),"Below - pays under minimum wage",IF(AND(G285&gt;0,AG285&lt;=0),"Check - extra work, no extra charge",IF(AJ285&lt;MarginWarning,"Low margin - re-price it","OK")))))))</f>
        <v>0</v>
      </c>
    </row>
    <row r="286" spans="1:38">
      <c r="A286" s="38">
        <f>IF(C286="","",VariationPrefix&amp;TEXT(ROW()-4,"0000"))</f>
        <v>0</v>
      </c>
      <c r="N286" s="13">
        <f>IF(B286="","",IFERROR(INDEX(Products!$B$5:$B$304,MATCH(B286,Products!$A$5:$A$304,0)),"Not found"))</f>
        <v>0</v>
      </c>
      <c r="O286" s="20">
        <f>IF(B286="","",IFERROR(INDEX(Products!$T$5:$T$304,MATCH(B286,Products!$A$5:$A$304,0)),""))</f>
        <v>0</v>
      </c>
      <c r="P286" s="20">
        <f>IF(B286="","",IFERROR(INDEX(Products!$Z$5:$Z$304,MATCH(B286,Products!$A$5:$A$304,0)),""))</f>
        <v>0</v>
      </c>
      <c r="Q286" s="20">
        <f>IF(B286="","",IFERROR(INDEX(Products!$AH$5:$AH$304,MATCH(B286,Products!$A$5:$A$304,0))-INDEX(Products!$T$5:$T$304,MATCH(B286,Products!$A$5:$A$304,0))-INDEX(Products!$Z$5:$Z$304,MATCH(B286,Products!$A$5:$A$304,0)),0))</f>
        <v>0</v>
      </c>
      <c r="R286" s="36">
        <f>IF(B286="","",IFERROR(INDEX(Products!$X$5:$X$304,MATCH(B286,Products!$A$5:$A$304,0)),""))</f>
        <v>0</v>
      </c>
      <c r="S286" s="20">
        <f>IF(B286="","",IFERROR(INDEX(Products!$AR$5:$AR$304,MATCH(B286,Products!$A$5:$A$304,0)),""))</f>
        <v>0</v>
      </c>
      <c r="T286" s="41">
        <f>IF(B286="","",IFERROR(INDEX(SizeMaterialFactors,MATCH(E286,SizeNames,0)),1))</f>
        <v>0</v>
      </c>
      <c r="U286" s="41">
        <f>IF(B286="","",IFERROR(INDEX(SizeTimeFactors,MATCH(E286,SizeNames,0)),1))</f>
        <v>0</v>
      </c>
      <c r="V286" s="33">
        <f>IF(B286="","",IFERROR(INDEX(RushFactors,MATCH(H286,RushNames,0)),0))</f>
        <v>0</v>
      </c>
      <c r="W286" s="20">
        <f>IF(B286="","",ROUND(IF(O286="",0,O286)*T286+IF(F286="",0,F286),2))</f>
        <v>0</v>
      </c>
      <c r="X286" s="36">
        <f>IF(B286="","",ROUND(IF(R286="",0,R286)*U286+IF(G286="",0,G286),1))</f>
        <v>0</v>
      </c>
      <c r="Y286" s="20">
        <f>IF(B286="","",ROUND(IF(P286="",0,P286)*U286+IF(G286="",0,G286)/60*LaborCostHour,2))</f>
        <v>0</v>
      </c>
      <c r="Z286" s="20">
        <f>IF(B286="","",ROUND(W286+Y286+IF(Q286="",0,Q286),2))</f>
        <v>0</v>
      </c>
      <c r="AA286" s="33">
        <f>IF(B286="","",IFERROR(INDEX(Channels!$S$5:$S$18,MATCH(IF(J286="",DefaultChannel,J286),Channels!$A$5:$A$18,0)),0))</f>
        <v>0</v>
      </c>
      <c r="AB286" s="20">
        <f>IF(B286="","",IFERROR(INDEX(Channels!$T$5:$T$18,MATCH(IF(J286="",DefaultChannel,J286),Channels!$A$5:$A$18,0)),0))</f>
        <v>0</v>
      </c>
      <c r="AC286" s="41">
        <f>IF(B286="","",1-TargetRetailMargin-AA286)</f>
        <v>0</v>
      </c>
      <c r="AD286" s="20">
        <f>IF(B286="","",IF(AC286&lt;=0,"",((Z286+AB286)/AC286)*(1+V286)+IF(I286="",0,I286)))</f>
        <v>0</v>
      </c>
      <c r="AE286" s="20">
        <f>IF(B286="","",IF(AD286="","Check the settings",ROUND(IF(RoundingRule="None",AD286,IF(RoundingRule="Nearest 0.99",MAX(0.99,CEILING(AD286,1)-0.01),IF(RoundingRule="Nearest 0.95",MAX(0.95,CEILING(AD286,1)-0.05),IF(RoundingRule="Nearest 0.50",CEILING(AD286,0.5),IF(RoundingRule="Nearest 1",CEILING(AD286,1),IF(RoundingRule="Nearest 5",CEILING(AD286,5),IF(RoundingRule="Up to whole 1",CEILING(AD286,1),IF(RoundingRule="Up to whole 5",CEILING(AD286,5),ROUND(AD286,2))))))))),2)))</f>
        <v>0</v>
      </c>
      <c r="AF286" s="20">
        <f>IF(B286="","",IF(K286&lt;&gt;"",K286,IF(ISNUMBER(AE286),AE286,"")))</f>
        <v>0</v>
      </c>
      <c r="AG286" s="20">
        <f>IF(B286="","",IF(OR(AF286="",S286=""),"",ROUND(AF286-S286,2)))</f>
        <v>0</v>
      </c>
      <c r="AH286" s="20">
        <f>IF(B286="","",IF(AF286="","",ROUND(AF286*AA286+AB286,2)))</f>
        <v>0</v>
      </c>
      <c r="AI286" s="20">
        <f>IF(B286="","",IF(AF286="","",ROUND(AF286-Z286-AH286,2)))</f>
        <v>0</v>
      </c>
      <c r="AJ286" s="33">
        <f>IF(B286="","",IF(OR(AF286="",AF286=0),"",AI286/AF286))</f>
        <v>0</v>
      </c>
      <c r="AK286" s="20">
        <f>IF(B286="","",IF(OR(X286=0,X286="",AI286=""),"",ROUND((AI286+Y286)/(X286/60),2)))</f>
        <v>0</v>
      </c>
      <c r="AL286" s="43">
        <f>IF(B286="","",IF(N286="Not found","Check - no such product ID",IF(AF286="","Check - no price yet",IF(AI286&lt;0,"Loss - this version costs you money",IF(AND(AK286&lt;&gt;"",AK286&lt;MinimumWage),"Below - pays under minimum wage",IF(AND(G286&gt;0,AG286&lt;=0),"Check - extra work, no extra charge",IF(AJ286&lt;MarginWarning,"Low margin - re-price it","OK")))))))</f>
        <v>0</v>
      </c>
    </row>
    <row r="287" spans="1:38">
      <c r="A287" s="38">
        <f>IF(C287="","",VariationPrefix&amp;TEXT(ROW()-4,"0000"))</f>
        <v>0</v>
      </c>
      <c r="N287" s="13">
        <f>IF(B287="","",IFERROR(INDEX(Products!$B$5:$B$304,MATCH(B287,Products!$A$5:$A$304,0)),"Not found"))</f>
        <v>0</v>
      </c>
      <c r="O287" s="20">
        <f>IF(B287="","",IFERROR(INDEX(Products!$T$5:$T$304,MATCH(B287,Products!$A$5:$A$304,0)),""))</f>
        <v>0</v>
      </c>
      <c r="P287" s="20">
        <f>IF(B287="","",IFERROR(INDEX(Products!$Z$5:$Z$304,MATCH(B287,Products!$A$5:$A$304,0)),""))</f>
        <v>0</v>
      </c>
      <c r="Q287" s="20">
        <f>IF(B287="","",IFERROR(INDEX(Products!$AH$5:$AH$304,MATCH(B287,Products!$A$5:$A$304,0))-INDEX(Products!$T$5:$T$304,MATCH(B287,Products!$A$5:$A$304,0))-INDEX(Products!$Z$5:$Z$304,MATCH(B287,Products!$A$5:$A$304,0)),0))</f>
        <v>0</v>
      </c>
      <c r="R287" s="36">
        <f>IF(B287="","",IFERROR(INDEX(Products!$X$5:$X$304,MATCH(B287,Products!$A$5:$A$304,0)),""))</f>
        <v>0</v>
      </c>
      <c r="S287" s="20">
        <f>IF(B287="","",IFERROR(INDEX(Products!$AR$5:$AR$304,MATCH(B287,Products!$A$5:$A$304,0)),""))</f>
        <v>0</v>
      </c>
      <c r="T287" s="41">
        <f>IF(B287="","",IFERROR(INDEX(SizeMaterialFactors,MATCH(E287,SizeNames,0)),1))</f>
        <v>0</v>
      </c>
      <c r="U287" s="41">
        <f>IF(B287="","",IFERROR(INDEX(SizeTimeFactors,MATCH(E287,SizeNames,0)),1))</f>
        <v>0</v>
      </c>
      <c r="V287" s="33">
        <f>IF(B287="","",IFERROR(INDEX(RushFactors,MATCH(H287,RushNames,0)),0))</f>
        <v>0</v>
      </c>
      <c r="W287" s="20">
        <f>IF(B287="","",ROUND(IF(O287="",0,O287)*T287+IF(F287="",0,F287),2))</f>
        <v>0</v>
      </c>
      <c r="X287" s="36">
        <f>IF(B287="","",ROUND(IF(R287="",0,R287)*U287+IF(G287="",0,G287),1))</f>
        <v>0</v>
      </c>
      <c r="Y287" s="20">
        <f>IF(B287="","",ROUND(IF(P287="",0,P287)*U287+IF(G287="",0,G287)/60*LaborCostHour,2))</f>
        <v>0</v>
      </c>
      <c r="Z287" s="20">
        <f>IF(B287="","",ROUND(W287+Y287+IF(Q287="",0,Q287),2))</f>
        <v>0</v>
      </c>
      <c r="AA287" s="33">
        <f>IF(B287="","",IFERROR(INDEX(Channels!$S$5:$S$18,MATCH(IF(J287="",DefaultChannel,J287),Channels!$A$5:$A$18,0)),0))</f>
        <v>0</v>
      </c>
      <c r="AB287" s="20">
        <f>IF(B287="","",IFERROR(INDEX(Channels!$T$5:$T$18,MATCH(IF(J287="",DefaultChannel,J287),Channels!$A$5:$A$18,0)),0))</f>
        <v>0</v>
      </c>
      <c r="AC287" s="41">
        <f>IF(B287="","",1-TargetRetailMargin-AA287)</f>
        <v>0</v>
      </c>
      <c r="AD287" s="20">
        <f>IF(B287="","",IF(AC287&lt;=0,"",((Z287+AB287)/AC287)*(1+V287)+IF(I287="",0,I287)))</f>
        <v>0</v>
      </c>
      <c r="AE287" s="20">
        <f>IF(B287="","",IF(AD287="","Check the settings",ROUND(IF(RoundingRule="None",AD287,IF(RoundingRule="Nearest 0.99",MAX(0.99,CEILING(AD287,1)-0.01),IF(RoundingRule="Nearest 0.95",MAX(0.95,CEILING(AD287,1)-0.05),IF(RoundingRule="Nearest 0.50",CEILING(AD287,0.5),IF(RoundingRule="Nearest 1",CEILING(AD287,1),IF(RoundingRule="Nearest 5",CEILING(AD287,5),IF(RoundingRule="Up to whole 1",CEILING(AD287,1),IF(RoundingRule="Up to whole 5",CEILING(AD287,5),ROUND(AD287,2))))))))),2)))</f>
        <v>0</v>
      </c>
      <c r="AF287" s="20">
        <f>IF(B287="","",IF(K287&lt;&gt;"",K287,IF(ISNUMBER(AE287),AE287,"")))</f>
        <v>0</v>
      </c>
      <c r="AG287" s="20">
        <f>IF(B287="","",IF(OR(AF287="",S287=""),"",ROUND(AF287-S287,2)))</f>
        <v>0</v>
      </c>
      <c r="AH287" s="20">
        <f>IF(B287="","",IF(AF287="","",ROUND(AF287*AA287+AB287,2)))</f>
        <v>0</v>
      </c>
      <c r="AI287" s="20">
        <f>IF(B287="","",IF(AF287="","",ROUND(AF287-Z287-AH287,2)))</f>
        <v>0</v>
      </c>
      <c r="AJ287" s="33">
        <f>IF(B287="","",IF(OR(AF287="",AF287=0),"",AI287/AF287))</f>
        <v>0</v>
      </c>
      <c r="AK287" s="20">
        <f>IF(B287="","",IF(OR(X287=0,X287="",AI287=""),"",ROUND((AI287+Y287)/(X287/60),2)))</f>
        <v>0</v>
      </c>
      <c r="AL287" s="43">
        <f>IF(B287="","",IF(N287="Not found","Check - no such product ID",IF(AF287="","Check - no price yet",IF(AI287&lt;0,"Loss - this version costs you money",IF(AND(AK287&lt;&gt;"",AK287&lt;MinimumWage),"Below - pays under minimum wage",IF(AND(G287&gt;0,AG287&lt;=0),"Check - extra work, no extra charge",IF(AJ287&lt;MarginWarning,"Low margin - re-price it","OK")))))))</f>
        <v>0</v>
      </c>
    </row>
    <row r="288" spans="1:38">
      <c r="A288" s="38">
        <f>IF(C288="","",VariationPrefix&amp;TEXT(ROW()-4,"0000"))</f>
        <v>0</v>
      </c>
      <c r="N288" s="13">
        <f>IF(B288="","",IFERROR(INDEX(Products!$B$5:$B$304,MATCH(B288,Products!$A$5:$A$304,0)),"Not found"))</f>
        <v>0</v>
      </c>
      <c r="O288" s="20">
        <f>IF(B288="","",IFERROR(INDEX(Products!$T$5:$T$304,MATCH(B288,Products!$A$5:$A$304,0)),""))</f>
        <v>0</v>
      </c>
      <c r="P288" s="20">
        <f>IF(B288="","",IFERROR(INDEX(Products!$Z$5:$Z$304,MATCH(B288,Products!$A$5:$A$304,0)),""))</f>
        <v>0</v>
      </c>
      <c r="Q288" s="20">
        <f>IF(B288="","",IFERROR(INDEX(Products!$AH$5:$AH$304,MATCH(B288,Products!$A$5:$A$304,0))-INDEX(Products!$T$5:$T$304,MATCH(B288,Products!$A$5:$A$304,0))-INDEX(Products!$Z$5:$Z$304,MATCH(B288,Products!$A$5:$A$304,0)),0))</f>
        <v>0</v>
      </c>
      <c r="R288" s="36">
        <f>IF(B288="","",IFERROR(INDEX(Products!$X$5:$X$304,MATCH(B288,Products!$A$5:$A$304,0)),""))</f>
        <v>0</v>
      </c>
      <c r="S288" s="20">
        <f>IF(B288="","",IFERROR(INDEX(Products!$AR$5:$AR$304,MATCH(B288,Products!$A$5:$A$304,0)),""))</f>
        <v>0</v>
      </c>
      <c r="T288" s="41">
        <f>IF(B288="","",IFERROR(INDEX(SizeMaterialFactors,MATCH(E288,SizeNames,0)),1))</f>
        <v>0</v>
      </c>
      <c r="U288" s="41">
        <f>IF(B288="","",IFERROR(INDEX(SizeTimeFactors,MATCH(E288,SizeNames,0)),1))</f>
        <v>0</v>
      </c>
      <c r="V288" s="33">
        <f>IF(B288="","",IFERROR(INDEX(RushFactors,MATCH(H288,RushNames,0)),0))</f>
        <v>0</v>
      </c>
      <c r="W288" s="20">
        <f>IF(B288="","",ROUND(IF(O288="",0,O288)*T288+IF(F288="",0,F288),2))</f>
        <v>0</v>
      </c>
      <c r="X288" s="36">
        <f>IF(B288="","",ROUND(IF(R288="",0,R288)*U288+IF(G288="",0,G288),1))</f>
        <v>0</v>
      </c>
      <c r="Y288" s="20">
        <f>IF(B288="","",ROUND(IF(P288="",0,P288)*U288+IF(G288="",0,G288)/60*LaborCostHour,2))</f>
        <v>0</v>
      </c>
      <c r="Z288" s="20">
        <f>IF(B288="","",ROUND(W288+Y288+IF(Q288="",0,Q288),2))</f>
        <v>0</v>
      </c>
      <c r="AA288" s="33">
        <f>IF(B288="","",IFERROR(INDEX(Channels!$S$5:$S$18,MATCH(IF(J288="",DefaultChannel,J288),Channels!$A$5:$A$18,0)),0))</f>
        <v>0</v>
      </c>
      <c r="AB288" s="20">
        <f>IF(B288="","",IFERROR(INDEX(Channels!$T$5:$T$18,MATCH(IF(J288="",DefaultChannel,J288),Channels!$A$5:$A$18,0)),0))</f>
        <v>0</v>
      </c>
      <c r="AC288" s="41">
        <f>IF(B288="","",1-TargetRetailMargin-AA288)</f>
        <v>0</v>
      </c>
      <c r="AD288" s="20">
        <f>IF(B288="","",IF(AC288&lt;=0,"",((Z288+AB288)/AC288)*(1+V288)+IF(I288="",0,I288)))</f>
        <v>0</v>
      </c>
      <c r="AE288" s="20">
        <f>IF(B288="","",IF(AD288="","Check the settings",ROUND(IF(RoundingRule="None",AD288,IF(RoundingRule="Nearest 0.99",MAX(0.99,CEILING(AD288,1)-0.01),IF(RoundingRule="Nearest 0.95",MAX(0.95,CEILING(AD288,1)-0.05),IF(RoundingRule="Nearest 0.50",CEILING(AD288,0.5),IF(RoundingRule="Nearest 1",CEILING(AD288,1),IF(RoundingRule="Nearest 5",CEILING(AD288,5),IF(RoundingRule="Up to whole 1",CEILING(AD288,1),IF(RoundingRule="Up to whole 5",CEILING(AD288,5),ROUND(AD288,2))))))))),2)))</f>
        <v>0</v>
      </c>
      <c r="AF288" s="20">
        <f>IF(B288="","",IF(K288&lt;&gt;"",K288,IF(ISNUMBER(AE288),AE288,"")))</f>
        <v>0</v>
      </c>
      <c r="AG288" s="20">
        <f>IF(B288="","",IF(OR(AF288="",S288=""),"",ROUND(AF288-S288,2)))</f>
        <v>0</v>
      </c>
      <c r="AH288" s="20">
        <f>IF(B288="","",IF(AF288="","",ROUND(AF288*AA288+AB288,2)))</f>
        <v>0</v>
      </c>
      <c r="AI288" s="20">
        <f>IF(B288="","",IF(AF288="","",ROUND(AF288-Z288-AH288,2)))</f>
        <v>0</v>
      </c>
      <c r="AJ288" s="33">
        <f>IF(B288="","",IF(OR(AF288="",AF288=0),"",AI288/AF288))</f>
        <v>0</v>
      </c>
      <c r="AK288" s="20">
        <f>IF(B288="","",IF(OR(X288=0,X288="",AI288=""),"",ROUND((AI288+Y288)/(X288/60),2)))</f>
        <v>0</v>
      </c>
      <c r="AL288" s="43">
        <f>IF(B288="","",IF(N288="Not found","Check - no such product ID",IF(AF288="","Check - no price yet",IF(AI288&lt;0,"Loss - this version costs you money",IF(AND(AK288&lt;&gt;"",AK288&lt;MinimumWage),"Below - pays under minimum wage",IF(AND(G288&gt;0,AG288&lt;=0),"Check - extra work, no extra charge",IF(AJ288&lt;MarginWarning,"Low margin - re-price it","OK")))))))</f>
        <v>0</v>
      </c>
    </row>
    <row r="289" spans="1:38">
      <c r="A289" s="38">
        <f>IF(C289="","",VariationPrefix&amp;TEXT(ROW()-4,"0000"))</f>
        <v>0</v>
      </c>
      <c r="N289" s="13">
        <f>IF(B289="","",IFERROR(INDEX(Products!$B$5:$B$304,MATCH(B289,Products!$A$5:$A$304,0)),"Not found"))</f>
        <v>0</v>
      </c>
      <c r="O289" s="20">
        <f>IF(B289="","",IFERROR(INDEX(Products!$T$5:$T$304,MATCH(B289,Products!$A$5:$A$304,0)),""))</f>
        <v>0</v>
      </c>
      <c r="P289" s="20">
        <f>IF(B289="","",IFERROR(INDEX(Products!$Z$5:$Z$304,MATCH(B289,Products!$A$5:$A$304,0)),""))</f>
        <v>0</v>
      </c>
      <c r="Q289" s="20">
        <f>IF(B289="","",IFERROR(INDEX(Products!$AH$5:$AH$304,MATCH(B289,Products!$A$5:$A$304,0))-INDEX(Products!$T$5:$T$304,MATCH(B289,Products!$A$5:$A$304,0))-INDEX(Products!$Z$5:$Z$304,MATCH(B289,Products!$A$5:$A$304,0)),0))</f>
        <v>0</v>
      </c>
      <c r="R289" s="36">
        <f>IF(B289="","",IFERROR(INDEX(Products!$X$5:$X$304,MATCH(B289,Products!$A$5:$A$304,0)),""))</f>
        <v>0</v>
      </c>
      <c r="S289" s="20">
        <f>IF(B289="","",IFERROR(INDEX(Products!$AR$5:$AR$304,MATCH(B289,Products!$A$5:$A$304,0)),""))</f>
        <v>0</v>
      </c>
      <c r="T289" s="41">
        <f>IF(B289="","",IFERROR(INDEX(SizeMaterialFactors,MATCH(E289,SizeNames,0)),1))</f>
        <v>0</v>
      </c>
      <c r="U289" s="41">
        <f>IF(B289="","",IFERROR(INDEX(SizeTimeFactors,MATCH(E289,SizeNames,0)),1))</f>
        <v>0</v>
      </c>
      <c r="V289" s="33">
        <f>IF(B289="","",IFERROR(INDEX(RushFactors,MATCH(H289,RushNames,0)),0))</f>
        <v>0</v>
      </c>
      <c r="W289" s="20">
        <f>IF(B289="","",ROUND(IF(O289="",0,O289)*T289+IF(F289="",0,F289),2))</f>
        <v>0</v>
      </c>
      <c r="X289" s="36">
        <f>IF(B289="","",ROUND(IF(R289="",0,R289)*U289+IF(G289="",0,G289),1))</f>
        <v>0</v>
      </c>
      <c r="Y289" s="20">
        <f>IF(B289="","",ROUND(IF(P289="",0,P289)*U289+IF(G289="",0,G289)/60*LaborCostHour,2))</f>
        <v>0</v>
      </c>
      <c r="Z289" s="20">
        <f>IF(B289="","",ROUND(W289+Y289+IF(Q289="",0,Q289),2))</f>
        <v>0</v>
      </c>
      <c r="AA289" s="33">
        <f>IF(B289="","",IFERROR(INDEX(Channels!$S$5:$S$18,MATCH(IF(J289="",DefaultChannel,J289),Channels!$A$5:$A$18,0)),0))</f>
        <v>0</v>
      </c>
      <c r="AB289" s="20">
        <f>IF(B289="","",IFERROR(INDEX(Channels!$T$5:$T$18,MATCH(IF(J289="",DefaultChannel,J289),Channels!$A$5:$A$18,0)),0))</f>
        <v>0</v>
      </c>
      <c r="AC289" s="41">
        <f>IF(B289="","",1-TargetRetailMargin-AA289)</f>
        <v>0</v>
      </c>
      <c r="AD289" s="20">
        <f>IF(B289="","",IF(AC289&lt;=0,"",((Z289+AB289)/AC289)*(1+V289)+IF(I289="",0,I289)))</f>
        <v>0</v>
      </c>
      <c r="AE289" s="20">
        <f>IF(B289="","",IF(AD289="","Check the settings",ROUND(IF(RoundingRule="None",AD289,IF(RoundingRule="Nearest 0.99",MAX(0.99,CEILING(AD289,1)-0.01),IF(RoundingRule="Nearest 0.95",MAX(0.95,CEILING(AD289,1)-0.05),IF(RoundingRule="Nearest 0.50",CEILING(AD289,0.5),IF(RoundingRule="Nearest 1",CEILING(AD289,1),IF(RoundingRule="Nearest 5",CEILING(AD289,5),IF(RoundingRule="Up to whole 1",CEILING(AD289,1),IF(RoundingRule="Up to whole 5",CEILING(AD289,5),ROUND(AD289,2))))))))),2)))</f>
        <v>0</v>
      </c>
      <c r="AF289" s="20">
        <f>IF(B289="","",IF(K289&lt;&gt;"",K289,IF(ISNUMBER(AE289),AE289,"")))</f>
        <v>0</v>
      </c>
      <c r="AG289" s="20">
        <f>IF(B289="","",IF(OR(AF289="",S289=""),"",ROUND(AF289-S289,2)))</f>
        <v>0</v>
      </c>
      <c r="AH289" s="20">
        <f>IF(B289="","",IF(AF289="","",ROUND(AF289*AA289+AB289,2)))</f>
        <v>0</v>
      </c>
      <c r="AI289" s="20">
        <f>IF(B289="","",IF(AF289="","",ROUND(AF289-Z289-AH289,2)))</f>
        <v>0</v>
      </c>
      <c r="AJ289" s="33">
        <f>IF(B289="","",IF(OR(AF289="",AF289=0),"",AI289/AF289))</f>
        <v>0</v>
      </c>
      <c r="AK289" s="20">
        <f>IF(B289="","",IF(OR(X289=0,X289="",AI289=""),"",ROUND((AI289+Y289)/(X289/60),2)))</f>
        <v>0</v>
      </c>
      <c r="AL289" s="43">
        <f>IF(B289="","",IF(N289="Not found","Check - no such product ID",IF(AF289="","Check - no price yet",IF(AI289&lt;0,"Loss - this version costs you money",IF(AND(AK289&lt;&gt;"",AK289&lt;MinimumWage),"Below - pays under minimum wage",IF(AND(G289&gt;0,AG289&lt;=0),"Check - extra work, no extra charge",IF(AJ289&lt;MarginWarning,"Low margin - re-price it","OK")))))))</f>
        <v>0</v>
      </c>
    </row>
    <row r="290" spans="1:38">
      <c r="A290" s="38">
        <f>IF(C290="","",VariationPrefix&amp;TEXT(ROW()-4,"0000"))</f>
        <v>0</v>
      </c>
      <c r="N290" s="13">
        <f>IF(B290="","",IFERROR(INDEX(Products!$B$5:$B$304,MATCH(B290,Products!$A$5:$A$304,0)),"Not found"))</f>
        <v>0</v>
      </c>
      <c r="O290" s="20">
        <f>IF(B290="","",IFERROR(INDEX(Products!$T$5:$T$304,MATCH(B290,Products!$A$5:$A$304,0)),""))</f>
        <v>0</v>
      </c>
      <c r="P290" s="20">
        <f>IF(B290="","",IFERROR(INDEX(Products!$Z$5:$Z$304,MATCH(B290,Products!$A$5:$A$304,0)),""))</f>
        <v>0</v>
      </c>
      <c r="Q290" s="20">
        <f>IF(B290="","",IFERROR(INDEX(Products!$AH$5:$AH$304,MATCH(B290,Products!$A$5:$A$304,0))-INDEX(Products!$T$5:$T$304,MATCH(B290,Products!$A$5:$A$304,0))-INDEX(Products!$Z$5:$Z$304,MATCH(B290,Products!$A$5:$A$304,0)),0))</f>
        <v>0</v>
      </c>
      <c r="R290" s="36">
        <f>IF(B290="","",IFERROR(INDEX(Products!$X$5:$X$304,MATCH(B290,Products!$A$5:$A$304,0)),""))</f>
        <v>0</v>
      </c>
      <c r="S290" s="20">
        <f>IF(B290="","",IFERROR(INDEX(Products!$AR$5:$AR$304,MATCH(B290,Products!$A$5:$A$304,0)),""))</f>
        <v>0</v>
      </c>
      <c r="T290" s="41">
        <f>IF(B290="","",IFERROR(INDEX(SizeMaterialFactors,MATCH(E290,SizeNames,0)),1))</f>
        <v>0</v>
      </c>
      <c r="U290" s="41">
        <f>IF(B290="","",IFERROR(INDEX(SizeTimeFactors,MATCH(E290,SizeNames,0)),1))</f>
        <v>0</v>
      </c>
      <c r="V290" s="33">
        <f>IF(B290="","",IFERROR(INDEX(RushFactors,MATCH(H290,RushNames,0)),0))</f>
        <v>0</v>
      </c>
      <c r="W290" s="20">
        <f>IF(B290="","",ROUND(IF(O290="",0,O290)*T290+IF(F290="",0,F290),2))</f>
        <v>0</v>
      </c>
      <c r="X290" s="36">
        <f>IF(B290="","",ROUND(IF(R290="",0,R290)*U290+IF(G290="",0,G290),1))</f>
        <v>0</v>
      </c>
      <c r="Y290" s="20">
        <f>IF(B290="","",ROUND(IF(P290="",0,P290)*U290+IF(G290="",0,G290)/60*LaborCostHour,2))</f>
        <v>0</v>
      </c>
      <c r="Z290" s="20">
        <f>IF(B290="","",ROUND(W290+Y290+IF(Q290="",0,Q290),2))</f>
        <v>0</v>
      </c>
      <c r="AA290" s="33">
        <f>IF(B290="","",IFERROR(INDEX(Channels!$S$5:$S$18,MATCH(IF(J290="",DefaultChannel,J290),Channels!$A$5:$A$18,0)),0))</f>
        <v>0</v>
      </c>
      <c r="AB290" s="20">
        <f>IF(B290="","",IFERROR(INDEX(Channels!$T$5:$T$18,MATCH(IF(J290="",DefaultChannel,J290),Channels!$A$5:$A$18,0)),0))</f>
        <v>0</v>
      </c>
      <c r="AC290" s="41">
        <f>IF(B290="","",1-TargetRetailMargin-AA290)</f>
        <v>0</v>
      </c>
      <c r="AD290" s="20">
        <f>IF(B290="","",IF(AC290&lt;=0,"",((Z290+AB290)/AC290)*(1+V290)+IF(I290="",0,I290)))</f>
        <v>0</v>
      </c>
      <c r="AE290" s="20">
        <f>IF(B290="","",IF(AD290="","Check the settings",ROUND(IF(RoundingRule="None",AD290,IF(RoundingRule="Nearest 0.99",MAX(0.99,CEILING(AD290,1)-0.01),IF(RoundingRule="Nearest 0.95",MAX(0.95,CEILING(AD290,1)-0.05),IF(RoundingRule="Nearest 0.50",CEILING(AD290,0.5),IF(RoundingRule="Nearest 1",CEILING(AD290,1),IF(RoundingRule="Nearest 5",CEILING(AD290,5),IF(RoundingRule="Up to whole 1",CEILING(AD290,1),IF(RoundingRule="Up to whole 5",CEILING(AD290,5),ROUND(AD290,2))))))))),2)))</f>
        <v>0</v>
      </c>
      <c r="AF290" s="20">
        <f>IF(B290="","",IF(K290&lt;&gt;"",K290,IF(ISNUMBER(AE290),AE290,"")))</f>
        <v>0</v>
      </c>
      <c r="AG290" s="20">
        <f>IF(B290="","",IF(OR(AF290="",S290=""),"",ROUND(AF290-S290,2)))</f>
        <v>0</v>
      </c>
      <c r="AH290" s="20">
        <f>IF(B290="","",IF(AF290="","",ROUND(AF290*AA290+AB290,2)))</f>
        <v>0</v>
      </c>
      <c r="AI290" s="20">
        <f>IF(B290="","",IF(AF290="","",ROUND(AF290-Z290-AH290,2)))</f>
        <v>0</v>
      </c>
      <c r="AJ290" s="33">
        <f>IF(B290="","",IF(OR(AF290="",AF290=0),"",AI290/AF290))</f>
        <v>0</v>
      </c>
      <c r="AK290" s="20">
        <f>IF(B290="","",IF(OR(X290=0,X290="",AI290=""),"",ROUND((AI290+Y290)/(X290/60),2)))</f>
        <v>0</v>
      </c>
      <c r="AL290" s="43">
        <f>IF(B290="","",IF(N290="Not found","Check - no such product ID",IF(AF290="","Check - no price yet",IF(AI290&lt;0,"Loss - this version costs you money",IF(AND(AK290&lt;&gt;"",AK290&lt;MinimumWage),"Below - pays under minimum wage",IF(AND(G290&gt;0,AG290&lt;=0),"Check - extra work, no extra charge",IF(AJ290&lt;MarginWarning,"Low margin - re-price it","OK")))))))</f>
        <v>0</v>
      </c>
    </row>
    <row r="291" spans="1:38">
      <c r="A291" s="38">
        <f>IF(C291="","",VariationPrefix&amp;TEXT(ROW()-4,"0000"))</f>
        <v>0</v>
      </c>
      <c r="N291" s="13">
        <f>IF(B291="","",IFERROR(INDEX(Products!$B$5:$B$304,MATCH(B291,Products!$A$5:$A$304,0)),"Not found"))</f>
        <v>0</v>
      </c>
      <c r="O291" s="20">
        <f>IF(B291="","",IFERROR(INDEX(Products!$T$5:$T$304,MATCH(B291,Products!$A$5:$A$304,0)),""))</f>
        <v>0</v>
      </c>
      <c r="P291" s="20">
        <f>IF(B291="","",IFERROR(INDEX(Products!$Z$5:$Z$304,MATCH(B291,Products!$A$5:$A$304,0)),""))</f>
        <v>0</v>
      </c>
      <c r="Q291" s="20">
        <f>IF(B291="","",IFERROR(INDEX(Products!$AH$5:$AH$304,MATCH(B291,Products!$A$5:$A$304,0))-INDEX(Products!$T$5:$T$304,MATCH(B291,Products!$A$5:$A$304,0))-INDEX(Products!$Z$5:$Z$304,MATCH(B291,Products!$A$5:$A$304,0)),0))</f>
        <v>0</v>
      </c>
      <c r="R291" s="36">
        <f>IF(B291="","",IFERROR(INDEX(Products!$X$5:$X$304,MATCH(B291,Products!$A$5:$A$304,0)),""))</f>
        <v>0</v>
      </c>
      <c r="S291" s="20">
        <f>IF(B291="","",IFERROR(INDEX(Products!$AR$5:$AR$304,MATCH(B291,Products!$A$5:$A$304,0)),""))</f>
        <v>0</v>
      </c>
      <c r="T291" s="41">
        <f>IF(B291="","",IFERROR(INDEX(SizeMaterialFactors,MATCH(E291,SizeNames,0)),1))</f>
        <v>0</v>
      </c>
      <c r="U291" s="41">
        <f>IF(B291="","",IFERROR(INDEX(SizeTimeFactors,MATCH(E291,SizeNames,0)),1))</f>
        <v>0</v>
      </c>
      <c r="V291" s="33">
        <f>IF(B291="","",IFERROR(INDEX(RushFactors,MATCH(H291,RushNames,0)),0))</f>
        <v>0</v>
      </c>
      <c r="W291" s="20">
        <f>IF(B291="","",ROUND(IF(O291="",0,O291)*T291+IF(F291="",0,F291),2))</f>
        <v>0</v>
      </c>
      <c r="X291" s="36">
        <f>IF(B291="","",ROUND(IF(R291="",0,R291)*U291+IF(G291="",0,G291),1))</f>
        <v>0</v>
      </c>
      <c r="Y291" s="20">
        <f>IF(B291="","",ROUND(IF(P291="",0,P291)*U291+IF(G291="",0,G291)/60*LaborCostHour,2))</f>
        <v>0</v>
      </c>
      <c r="Z291" s="20">
        <f>IF(B291="","",ROUND(W291+Y291+IF(Q291="",0,Q291),2))</f>
        <v>0</v>
      </c>
      <c r="AA291" s="33">
        <f>IF(B291="","",IFERROR(INDEX(Channels!$S$5:$S$18,MATCH(IF(J291="",DefaultChannel,J291),Channels!$A$5:$A$18,0)),0))</f>
        <v>0</v>
      </c>
      <c r="AB291" s="20">
        <f>IF(B291="","",IFERROR(INDEX(Channels!$T$5:$T$18,MATCH(IF(J291="",DefaultChannel,J291),Channels!$A$5:$A$18,0)),0))</f>
        <v>0</v>
      </c>
      <c r="AC291" s="41">
        <f>IF(B291="","",1-TargetRetailMargin-AA291)</f>
        <v>0</v>
      </c>
      <c r="AD291" s="20">
        <f>IF(B291="","",IF(AC291&lt;=0,"",((Z291+AB291)/AC291)*(1+V291)+IF(I291="",0,I291)))</f>
        <v>0</v>
      </c>
      <c r="AE291" s="20">
        <f>IF(B291="","",IF(AD291="","Check the settings",ROUND(IF(RoundingRule="None",AD291,IF(RoundingRule="Nearest 0.99",MAX(0.99,CEILING(AD291,1)-0.01),IF(RoundingRule="Nearest 0.95",MAX(0.95,CEILING(AD291,1)-0.05),IF(RoundingRule="Nearest 0.50",CEILING(AD291,0.5),IF(RoundingRule="Nearest 1",CEILING(AD291,1),IF(RoundingRule="Nearest 5",CEILING(AD291,5),IF(RoundingRule="Up to whole 1",CEILING(AD291,1),IF(RoundingRule="Up to whole 5",CEILING(AD291,5),ROUND(AD291,2))))))))),2)))</f>
        <v>0</v>
      </c>
      <c r="AF291" s="20">
        <f>IF(B291="","",IF(K291&lt;&gt;"",K291,IF(ISNUMBER(AE291),AE291,"")))</f>
        <v>0</v>
      </c>
      <c r="AG291" s="20">
        <f>IF(B291="","",IF(OR(AF291="",S291=""),"",ROUND(AF291-S291,2)))</f>
        <v>0</v>
      </c>
      <c r="AH291" s="20">
        <f>IF(B291="","",IF(AF291="","",ROUND(AF291*AA291+AB291,2)))</f>
        <v>0</v>
      </c>
      <c r="AI291" s="20">
        <f>IF(B291="","",IF(AF291="","",ROUND(AF291-Z291-AH291,2)))</f>
        <v>0</v>
      </c>
      <c r="AJ291" s="33">
        <f>IF(B291="","",IF(OR(AF291="",AF291=0),"",AI291/AF291))</f>
        <v>0</v>
      </c>
      <c r="AK291" s="20">
        <f>IF(B291="","",IF(OR(X291=0,X291="",AI291=""),"",ROUND((AI291+Y291)/(X291/60),2)))</f>
        <v>0</v>
      </c>
      <c r="AL291" s="43">
        <f>IF(B291="","",IF(N291="Not found","Check - no such product ID",IF(AF291="","Check - no price yet",IF(AI291&lt;0,"Loss - this version costs you money",IF(AND(AK291&lt;&gt;"",AK291&lt;MinimumWage),"Below - pays under minimum wage",IF(AND(G291&gt;0,AG291&lt;=0),"Check - extra work, no extra charge",IF(AJ291&lt;MarginWarning,"Low margin - re-price it","OK")))))))</f>
        <v>0</v>
      </c>
    </row>
    <row r="292" spans="1:38">
      <c r="A292" s="38">
        <f>IF(C292="","",VariationPrefix&amp;TEXT(ROW()-4,"0000"))</f>
        <v>0</v>
      </c>
      <c r="N292" s="13">
        <f>IF(B292="","",IFERROR(INDEX(Products!$B$5:$B$304,MATCH(B292,Products!$A$5:$A$304,0)),"Not found"))</f>
        <v>0</v>
      </c>
      <c r="O292" s="20">
        <f>IF(B292="","",IFERROR(INDEX(Products!$T$5:$T$304,MATCH(B292,Products!$A$5:$A$304,0)),""))</f>
        <v>0</v>
      </c>
      <c r="P292" s="20">
        <f>IF(B292="","",IFERROR(INDEX(Products!$Z$5:$Z$304,MATCH(B292,Products!$A$5:$A$304,0)),""))</f>
        <v>0</v>
      </c>
      <c r="Q292" s="20">
        <f>IF(B292="","",IFERROR(INDEX(Products!$AH$5:$AH$304,MATCH(B292,Products!$A$5:$A$304,0))-INDEX(Products!$T$5:$T$304,MATCH(B292,Products!$A$5:$A$304,0))-INDEX(Products!$Z$5:$Z$304,MATCH(B292,Products!$A$5:$A$304,0)),0))</f>
        <v>0</v>
      </c>
      <c r="R292" s="36">
        <f>IF(B292="","",IFERROR(INDEX(Products!$X$5:$X$304,MATCH(B292,Products!$A$5:$A$304,0)),""))</f>
        <v>0</v>
      </c>
      <c r="S292" s="20">
        <f>IF(B292="","",IFERROR(INDEX(Products!$AR$5:$AR$304,MATCH(B292,Products!$A$5:$A$304,0)),""))</f>
        <v>0</v>
      </c>
      <c r="T292" s="41">
        <f>IF(B292="","",IFERROR(INDEX(SizeMaterialFactors,MATCH(E292,SizeNames,0)),1))</f>
        <v>0</v>
      </c>
      <c r="U292" s="41">
        <f>IF(B292="","",IFERROR(INDEX(SizeTimeFactors,MATCH(E292,SizeNames,0)),1))</f>
        <v>0</v>
      </c>
      <c r="V292" s="33">
        <f>IF(B292="","",IFERROR(INDEX(RushFactors,MATCH(H292,RushNames,0)),0))</f>
        <v>0</v>
      </c>
      <c r="W292" s="20">
        <f>IF(B292="","",ROUND(IF(O292="",0,O292)*T292+IF(F292="",0,F292),2))</f>
        <v>0</v>
      </c>
      <c r="X292" s="36">
        <f>IF(B292="","",ROUND(IF(R292="",0,R292)*U292+IF(G292="",0,G292),1))</f>
        <v>0</v>
      </c>
      <c r="Y292" s="20">
        <f>IF(B292="","",ROUND(IF(P292="",0,P292)*U292+IF(G292="",0,G292)/60*LaborCostHour,2))</f>
        <v>0</v>
      </c>
      <c r="Z292" s="20">
        <f>IF(B292="","",ROUND(W292+Y292+IF(Q292="",0,Q292),2))</f>
        <v>0</v>
      </c>
      <c r="AA292" s="33">
        <f>IF(B292="","",IFERROR(INDEX(Channels!$S$5:$S$18,MATCH(IF(J292="",DefaultChannel,J292),Channels!$A$5:$A$18,0)),0))</f>
        <v>0</v>
      </c>
      <c r="AB292" s="20">
        <f>IF(B292="","",IFERROR(INDEX(Channels!$T$5:$T$18,MATCH(IF(J292="",DefaultChannel,J292),Channels!$A$5:$A$18,0)),0))</f>
        <v>0</v>
      </c>
      <c r="AC292" s="41">
        <f>IF(B292="","",1-TargetRetailMargin-AA292)</f>
        <v>0</v>
      </c>
      <c r="AD292" s="20">
        <f>IF(B292="","",IF(AC292&lt;=0,"",((Z292+AB292)/AC292)*(1+V292)+IF(I292="",0,I292)))</f>
        <v>0</v>
      </c>
      <c r="AE292" s="20">
        <f>IF(B292="","",IF(AD292="","Check the settings",ROUND(IF(RoundingRule="None",AD292,IF(RoundingRule="Nearest 0.99",MAX(0.99,CEILING(AD292,1)-0.01),IF(RoundingRule="Nearest 0.95",MAX(0.95,CEILING(AD292,1)-0.05),IF(RoundingRule="Nearest 0.50",CEILING(AD292,0.5),IF(RoundingRule="Nearest 1",CEILING(AD292,1),IF(RoundingRule="Nearest 5",CEILING(AD292,5),IF(RoundingRule="Up to whole 1",CEILING(AD292,1),IF(RoundingRule="Up to whole 5",CEILING(AD292,5),ROUND(AD292,2))))))))),2)))</f>
        <v>0</v>
      </c>
      <c r="AF292" s="20">
        <f>IF(B292="","",IF(K292&lt;&gt;"",K292,IF(ISNUMBER(AE292),AE292,"")))</f>
        <v>0</v>
      </c>
      <c r="AG292" s="20">
        <f>IF(B292="","",IF(OR(AF292="",S292=""),"",ROUND(AF292-S292,2)))</f>
        <v>0</v>
      </c>
      <c r="AH292" s="20">
        <f>IF(B292="","",IF(AF292="","",ROUND(AF292*AA292+AB292,2)))</f>
        <v>0</v>
      </c>
      <c r="AI292" s="20">
        <f>IF(B292="","",IF(AF292="","",ROUND(AF292-Z292-AH292,2)))</f>
        <v>0</v>
      </c>
      <c r="AJ292" s="33">
        <f>IF(B292="","",IF(OR(AF292="",AF292=0),"",AI292/AF292))</f>
        <v>0</v>
      </c>
      <c r="AK292" s="20">
        <f>IF(B292="","",IF(OR(X292=0,X292="",AI292=""),"",ROUND((AI292+Y292)/(X292/60),2)))</f>
        <v>0</v>
      </c>
      <c r="AL292" s="43">
        <f>IF(B292="","",IF(N292="Not found","Check - no such product ID",IF(AF292="","Check - no price yet",IF(AI292&lt;0,"Loss - this version costs you money",IF(AND(AK292&lt;&gt;"",AK292&lt;MinimumWage),"Below - pays under minimum wage",IF(AND(G292&gt;0,AG292&lt;=0),"Check - extra work, no extra charge",IF(AJ292&lt;MarginWarning,"Low margin - re-price it","OK")))))))</f>
        <v>0</v>
      </c>
    </row>
    <row r="293" spans="1:38">
      <c r="A293" s="38">
        <f>IF(C293="","",VariationPrefix&amp;TEXT(ROW()-4,"0000"))</f>
        <v>0</v>
      </c>
      <c r="N293" s="13">
        <f>IF(B293="","",IFERROR(INDEX(Products!$B$5:$B$304,MATCH(B293,Products!$A$5:$A$304,0)),"Not found"))</f>
        <v>0</v>
      </c>
      <c r="O293" s="20">
        <f>IF(B293="","",IFERROR(INDEX(Products!$T$5:$T$304,MATCH(B293,Products!$A$5:$A$304,0)),""))</f>
        <v>0</v>
      </c>
      <c r="P293" s="20">
        <f>IF(B293="","",IFERROR(INDEX(Products!$Z$5:$Z$304,MATCH(B293,Products!$A$5:$A$304,0)),""))</f>
        <v>0</v>
      </c>
      <c r="Q293" s="20">
        <f>IF(B293="","",IFERROR(INDEX(Products!$AH$5:$AH$304,MATCH(B293,Products!$A$5:$A$304,0))-INDEX(Products!$T$5:$T$304,MATCH(B293,Products!$A$5:$A$304,0))-INDEX(Products!$Z$5:$Z$304,MATCH(B293,Products!$A$5:$A$304,0)),0))</f>
        <v>0</v>
      </c>
      <c r="R293" s="36">
        <f>IF(B293="","",IFERROR(INDEX(Products!$X$5:$X$304,MATCH(B293,Products!$A$5:$A$304,0)),""))</f>
        <v>0</v>
      </c>
      <c r="S293" s="20">
        <f>IF(B293="","",IFERROR(INDEX(Products!$AR$5:$AR$304,MATCH(B293,Products!$A$5:$A$304,0)),""))</f>
        <v>0</v>
      </c>
      <c r="T293" s="41">
        <f>IF(B293="","",IFERROR(INDEX(SizeMaterialFactors,MATCH(E293,SizeNames,0)),1))</f>
        <v>0</v>
      </c>
      <c r="U293" s="41">
        <f>IF(B293="","",IFERROR(INDEX(SizeTimeFactors,MATCH(E293,SizeNames,0)),1))</f>
        <v>0</v>
      </c>
      <c r="V293" s="33">
        <f>IF(B293="","",IFERROR(INDEX(RushFactors,MATCH(H293,RushNames,0)),0))</f>
        <v>0</v>
      </c>
      <c r="W293" s="20">
        <f>IF(B293="","",ROUND(IF(O293="",0,O293)*T293+IF(F293="",0,F293),2))</f>
        <v>0</v>
      </c>
      <c r="X293" s="36">
        <f>IF(B293="","",ROUND(IF(R293="",0,R293)*U293+IF(G293="",0,G293),1))</f>
        <v>0</v>
      </c>
      <c r="Y293" s="20">
        <f>IF(B293="","",ROUND(IF(P293="",0,P293)*U293+IF(G293="",0,G293)/60*LaborCostHour,2))</f>
        <v>0</v>
      </c>
      <c r="Z293" s="20">
        <f>IF(B293="","",ROUND(W293+Y293+IF(Q293="",0,Q293),2))</f>
        <v>0</v>
      </c>
      <c r="AA293" s="33">
        <f>IF(B293="","",IFERROR(INDEX(Channels!$S$5:$S$18,MATCH(IF(J293="",DefaultChannel,J293),Channels!$A$5:$A$18,0)),0))</f>
        <v>0</v>
      </c>
      <c r="AB293" s="20">
        <f>IF(B293="","",IFERROR(INDEX(Channels!$T$5:$T$18,MATCH(IF(J293="",DefaultChannel,J293),Channels!$A$5:$A$18,0)),0))</f>
        <v>0</v>
      </c>
      <c r="AC293" s="41">
        <f>IF(B293="","",1-TargetRetailMargin-AA293)</f>
        <v>0</v>
      </c>
      <c r="AD293" s="20">
        <f>IF(B293="","",IF(AC293&lt;=0,"",((Z293+AB293)/AC293)*(1+V293)+IF(I293="",0,I293)))</f>
        <v>0</v>
      </c>
      <c r="AE293" s="20">
        <f>IF(B293="","",IF(AD293="","Check the settings",ROUND(IF(RoundingRule="None",AD293,IF(RoundingRule="Nearest 0.99",MAX(0.99,CEILING(AD293,1)-0.01),IF(RoundingRule="Nearest 0.95",MAX(0.95,CEILING(AD293,1)-0.05),IF(RoundingRule="Nearest 0.50",CEILING(AD293,0.5),IF(RoundingRule="Nearest 1",CEILING(AD293,1),IF(RoundingRule="Nearest 5",CEILING(AD293,5),IF(RoundingRule="Up to whole 1",CEILING(AD293,1),IF(RoundingRule="Up to whole 5",CEILING(AD293,5),ROUND(AD293,2))))))))),2)))</f>
        <v>0</v>
      </c>
      <c r="AF293" s="20">
        <f>IF(B293="","",IF(K293&lt;&gt;"",K293,IF(ISNUMBER(AE293),AE293,"")))</f>
        <v>0</v>
      </c>
      <c r="AG293" s="20">
        <f>IF(B293="","",IF(OR(AF293="",S293=""),"",ROUND(AF293-S293,2)))</f>
        <v>0</v>
      </c>
      <c r="AH293" s="20">
        <f>IF(B293="","",IF(AF293="","",ROUND(AF293*AA293+AB293,2)))</f>
        <v>0</v>
      </c>
      <c r="AI293" s="20">
        <f>IF(B293="","",IF(AF293="","",ROUND(AF293-Z293-AH293,2)))</f>
        <v>0</v>
      </c>
      <c r="AJ293" s="33">
        <f>IF(B293="","",IF(OR(AF293="",AF293=0),"",AI293/AF293))</f>
        <v>0</v>
      </c>
      <c r="AK293" s="20">
        <f>IF(B293="","",IF(OR(X293=0,X293="",AI293=""),"",ROUND((AI293+Y293)/(X293/60),2)))</f>
        <v>0</v>
      </c>
      <c r="AL293" s="43">
        <f>IF(B293="","",IF(N293="Not found","Check - no such product ID",IF(AF293="","Check - no price yet",IF(AI293&lt;0,"Loss - this version costs you money",IF(AND(AK293&lt;&gt;"",AK293&lt;MinimumWage),"Below - pays under minimum wage",IF(AND(G293&gt;0,AG293&lt;=0),"Check - extra work, no extra charge",IF(AJ293&lt;MarginWarning,"Low margin - re-price it","OK")))))))</f>
        <v>0</v>
      </c>
    </row>
    <row r="294" spans="1:38">
      <c r="A294" s="38">
        <f>IF(C294="","",VariationPrefix&amp;TEXT(ROW()-4,"0000"))</f>
        <v>0</v>
      </c>
      <c r="N294" s="13">
        <f>IF(B294="","",IFERROR(INDEX(Products!$B$5:$B$304,MATCH(B294,Products!$A$5:$A$304,0)),"Not found"))</f>
        <v>0</v>
      </c>
      <c r="O294" s="20">
        <f>IF(B294="","",IFERROR(INDEX(Products!$T$5:$T$304,MATCH(B294,Products!$A$5:$A$304,0)),""))</f>
        <v>0</v>
      </c>
      <c r="P294" s="20">
        <f>IF(B294="","",IFERROR(INDEX(Products!$Z$5:$Z$304,MATCH(B294,Products!$A$5:$A$304,0)),""))</f>
        <v>0</v>
      </c>
      <c r="Q294" s="20">
        <f>IF(B294="","",IFERROR(INDEX(Products!$AH$5:$AH$304,MATCH(B294,Products!$A$5:$A$304,0))-INDEX(Products!$T$5:$T$304,MATCH(B294,Products!$A$5:$A$304,0))-INDEX(Products!$Z$5:$Z$304,MATCH(B294,Products!$A$5:$A$304,0)),0))</f>
        <v>0</v>
      </c>
      <c r="R294" s="36">
        <f>IF(B294="","",IFERROR(INDEX(Products!$X$5:$X$304,MATCH(B294,Products!$A$5:$A$304,0)),""))</f>
        <v>0</v>
      </c>
      <c r="S294" s="20">
        <f>IF(B294="","",IFERROR(INDEX(Products!$AR$5:$AR$304,MATCH(B294,Products!$A$5:$A$304,0)),""))</f>
        <v>0</v>
      </c>
      <c r="T294" s="41">
        <f>IF(B294="","",IFERROR(INDEX(SizeMaterialFactors,MATCH(E294,SizeNames,0)),1))</f>
        <v>0</v>
      </c>
      <c r="U294" s="41">
        <f>IF(B294="","",IFERROR(INDEX(SizeTimeFactors,MATCH(E294,SizeNames,0)),1))</f>
        <v>0</v>
      </c>
      <c r="V294" s="33">
        <f>IF(B294="","",IFERROR(INDEX(RushFactors,MATCH(H294,RushNames,0)),0))</f>
        <v>0</v>
      </c>
      <c r="W294" s="20">
        <f>IF(B294="","",ROUND(IF(O294="",0,O294)*T294+IF(F294="",0,F294),2))</f>
        <v>0</v>
      </c>
      <c r="X294" s="36">
        <f>IF(B294="","",ROUND(IF(R294="",0,R294)*U294+IF(G294="",0,G294),1))</f>
        <v>0</v>
      </c>
      <c r="Y294" s="20">
        <f>IF(B294="","",ROUND(IF(P294="",0,P294)*U294+IF(G294="",0,G294)/60*LaborCostHour,2))</f>
        <v>0</v>
      </c>
      <c r="Z294" s="20">
        <f>IF(B294="","",ROUND(W294+Y294+IF(Q294="",0,Q294),2))</f>
        <v>0</v>
      </c>
      <c r="AA294" s="33">
        <f>IF(B294="","",IFERROR(INDEX(Channels!$S$5:$S$18,MATCH(IF(J294="",DefaultChannel,J294),Channels!$A$5:$A$18,0)),0))</f>
        <v>0</v>
      </c>
      <c r="AB294" s="20">
        <f>IF(B294="","",IFERROR(INDEX(Channels!$T$5:$T$18,MATCH(IF(J294="",DefaultChannel,J294),Channels!$A$5:$A$18,0)),0))</f>
        <v>0</v>
      </c>
      <c r="AC294" s="41">
        <f>IF(B294="","",1-TargetRetailMargin-AA294)</f>
        <v>0</v>
      </c>
      <c r="AD294" s="20">
        <f>IF(B294="","",IF(AC294&lt;=0,"",((Z294+AB294)/AC294)*(1+V294)+IF(I294="",0,I294)))</f>
        <v>0</v>
      </c>
      <c r="AE294" s="20">
        <f>IF(B294="","",IF(AD294="","Check the settings",ROUND(IF(RoundingRule="None",AD294,IF(RoundingRule="Nearest 0.99",MAX(0.99,CEILING(AD294,1)-0.01),IF(RoundingRule="Nearest 0.95",MAX(0.95,CEILING(AD294,1)-0.05),IF(RoundingRule="Nearest 0.50",CEILING(AD294,0.5),IF(RoundingRule="Nearest 1",CEILING(AD294,1),IF(RoundingRule="Nearest 5",CEILING(AD294,5),IF(RoundingRule="Up to whole 1",CEILING(AD294,1),IF(RoundingRule="Up to whole 5",CEILING(AD294,5),ROUND(AD294,2))))))))),2)))</f>
        <v>0</v>
      </c>
      <c r="AF294" s="20">
        <f>IF(B294="","",IF(K294&lt;&gt;"",K294,IF(ISNUMBER(AE294),AE294,"")))</f>
        <v>0</v>
      </c>
      <c r="AG294" s="20">
        <f>IF(B294="","",IF(OR(AF294="",S294=""),"",ROUND(AF294-S294,2)))</f>
        <v>0</v>
      </c>
      <c r="AH294" s="20">
        <f>IF(B294="","",IF(AF294="","",ROUND(AF294*AA294+AB294,2)))</f>
        <v>0</v>
      </c>
      <c r="AI294" s="20">
        <f>IF(B294="","",IF(AF294="","",ROUND(AF294-Z294-AH294,2)))</f>
        <v>0</v>
      </c>
      <c r="AJ294" s="33">
        <f>IF(B294="","",IF(OR(AF294="",AF294=0),"",AI294/AF294))</f>
        <v>0</v>
      </c>
      <c r="AK294" s="20">
        <f>IF(B294="","",IF(OR(X294=0,X294="",AI294=""),"",ROUND((AI294+Y294)/(X294/60),2)))</f>
        <v>0</v>
      </c>
      <c r="AL294" s="43">
        <f>IF(B294="","",IF(N294="Not found","Check - no such product ID",IF(AF294="","Check - no price yet",IF(AI294&lt;0,"Loss - this version costs you money",IF(AND(AK294&lt;&gt;"",AK294&lt;MinimumWage),"Below - pays under minimum wage",IF(AND(G294&gt;0,AG294&lt;=0),"Check - extra work, no extra charge",IF(AJ294&lt;MarginWarning,"Low margin - re-price it","OK")))))))</f>
        <v>0</v>
      </c>
    </row>
    <row r="295" spans="1:38">
      <c r="A295" s="38">
        <f>IF(C295="","",VariationPrefix&amp;TEXT(ROW()-4,"0000"))</f>
        <v>0</v>
      </c>
      <c r="N295" s="13">
        <f>IF(B295="","",IFERROR(INDEX(Products!$B$5:$B$304,MATCH(B295,Products!$A$5:$A$304,0)),"Not found"))</f>
        <v>0</v>
      </c>
      <c r="O295" s="20">
        <f>IF(B295="","",IFERROR(INDEX(Products!$T$5:$T$304,MATCH(B295,Products!$A$5:$A$304,0)),""))</f>
        <v>0</v>
      </c>
      <c r="P295" s="20">
        <f>IF(B295="","",IFERROR(INDEX(Products!$Z$5:$Z$304,MATCH(B295,Products!$A$5:$A$304,0)),""))</f>
        <v>0</v>
      </c>
      <c r="Q295" s="20">
        <f>IF(B295="","",IFERROR(INDEX(Products!$AH$5:$AH$304,MATCH(B295,Products!$A$5:$A$304,0))-INDEX(Products!$T$5:$T$304,MATCH(B295,Products!$A$5:$A$304,0))-INDEX(Products!$Z$5:$Z$304,MATCH(B295,Products!$A$5:$A$304,0)),0))</f>
        <v>0</v>
      </c>
      <c r="R295" s="36">
        <f>IF(B295="","",IFERROR(INDEX(Products!$X$5:$X$304,MATCH(B295,Products!$A$5:$A$304,0)),""))</f>
        <v>0</v>
      </c>
      <c r="S295" s="20">
        <f>IF(B295="","",IFERROR(INDEX(Products!$AR$5:$AR$304,MATCH(B295,Products!$A$5:$A$304,0)),""))</f>
        <v>0</v>
      </c>
      <c r="T295" s="41">
        <f>IF(B295="","",IFERROR(INDEX(SizeMaterialFactors,MATCH(E295,SizeNames,0)),1))</f>
        <v>0</v>
      </c>
      <c r="U295" s="41">
        <f>IF(B295="","",IFERROR(INDEX(SizeTimeFactors,MATCH(E295,SizeNames,0)),1))</f>
        <v>0</v>
      </c>
      <c r="V295" s="33">
        <f>IF(B295="","",IFERROR(INDEX(RushFactors,MATCH(H295,RushNames,0)),0))</f>
        <v>0</v>
      </c>
      <c r="W295" s="20">
        <f>IF(B295="","",ROUND(IF(O295="",0,O295)*T295+IF(F295="",0,F295),2))</f>
        <v>0</v>
      </c>
      <c r="X295" s="36">
        <f>IF(B295="","",ROUND(IF(R295="",0,R295)*U295+IF(G295="",0,G295),1))</f>
        <v>0</v>
      </c>
      <c r="Y295" s="20">
        <f>IF(B295="","",ROUND(IF(P295="",0,P295)*U295+IF(G295="",0,G295)/60*LaborCostHour,2))</f>
        <v>0</v>
      </c>
      <c r="Z295" s="20">
        <f>IF(B295="","",ROUND(W295+Y295+IF(Q295="",0,Q295),2))</f>
        <v>0</v>
      </c>
      <c r="AA295" s="33">
        <f>IF(B295="","",IFERROR(INDEX(Channels!$S$5:$S$18,MATCH(IF(J295="",DefaultChannel,J295),Channels!$A$5:$A$18,0)),0))</f>
        <v>0</v>
      </c>
      <c r="AB295" s="20">
        <f>IF(B295="","",IFERROR(INDEX(Channels!$T$5:$T$18,MATCH(IF(J295="",DefaultChannel,J295),Channels!$A$5:$A$18,0)),0))</f>
        <v>0</v>
      </c>
      <c r="AC295" s="41">
        <f>IF(B295="","",1-TargetRetailMargin-AA295)</f>
        <v>0</v>
      </c>
      <c r="AD295" s="20">
        <f>IF(B295="","",IF(AC295&lt;=0,"",((Z295+AB295)/AC295)*(1+V295)+IF(I295="",0,I295)))</f>
        <v>0</v>
      </c>
      <c r="AE295" s="20">
        <f>IF(B295="","",IF(AD295="","Check the settings",ROUND(IF(RoundingRule="None",AD295,IF(RoundingRule="Nearest 0.99",MAX(0.99,CEILING(AD295,1)-0.01),IF(RoundingRule="Nearest 0.95",MAX(0.95,CEILING(AD295,1)-0.05),IF(RoundingRule="Nearest 0.50",CEILING(AD295,0.5),IF(RoundingRule="Nearest 1",CEILING(AD295,1),IF(RoundingRule="Nearest 5",CEILING(AD295,5),IF(RoundingRule="Up to whole 1",CEILING(AD295,1),IF(RoundingRule="Up to whole 5",CEILING(AD295,5),ROUND(AD295,2))))))))),2)))</f>
        <v>0</v>
      </c>
      <c r="AF295" s="20">
        <f>IF(B295="","",IF(K295&lt;&gt;"",K295,IF(ISNUMBER(AE295),AE295,"")))</f>
        <v>0</v>
      </c>
      <c r="AG295" s="20">
        <f>IF(B295="","",IF(OR(AF295="",S295=""),"",ROUND(AF295-S295,2)))</f>
        <v>0</v>
      </c>
      <c r="AH295" s="20">
        <f>IF(B295="","",IF(AF295="","",ROUND(AF295*AA295+AB295,2)))</f>
        <v>0</v>
      </c>
      <c r="AI295" s="20">
        <f>IF(B295="","",IF(AF295="","",ROUND(AF295-Z295-AH295,2)))</f>
        <v>0</v>
      </c>
      <c r="AJ295" s="33">
        <f>IF(B295="","",IF(OR(AF295="",AF295=0),"",AI295/AF295))</f>
        <v>0</v>
      </c>
      <c r="AK295" s="20">
        <f>IF(B295="","",IF(OR(X295=0,X295="",AI295=""),"",ROUND((AI295+Y295)/(X295/60),2)))</f>
        <v>0</v>
      </c>
      <c r="AL295" s="43">
        <f>IF(B295="","",IF(N295="Not found","Check - no such product ID",IF(AF295="","Check - no price yet",IF(AI295&lt;0,"Loss - this version costs you money",IF(AND(AK295&lt;&gt;"",AK295&lt;MinimumWage),"Below - pays under minimum wage",IF(AND(G295&gt;0,AG295&lt;=0),"Check - extra work, no extra charge",IF(AJ295&lt;MarginWarning,"Low margin - re-price it","OK")))))))</f>
        <v>0</v>
      </c>
    </row>
    <row r="296" spans="1:38">
      <c r="A296" s="38">
        <f>IF(C296="","",VariationPrefix&amp;TEXT(ROW()-4,"0000"))</f>
        <v>0</v>
      </c>
      <c r="N296" s="13">
        <f>IF(B296="","",IFERROR(INDEX(Products!$B$5:$B$304,MATCH(B296,Products!$A$5:$A$304,0)),"Not found"))</f>
        <v>0</v>
      </c>
      <c r="O296" s="20">
        <f>IF(B296="","",IFERROR(INDEX(Products!$T$5:$T$304,MATCH(B296,Products!$A$5:$A$304,0)),""))</f>
        <v>0</v>
      </c>
      <c r="P296" s="20">
        <f>IF(B296="","",IFERROR(INDEX(Products!$Z$5:$Z$304,MATCH(B296,Products!$A$5:$A$304,0)),""))</f>
        <v>0</v>
      </c>
      <c r="Q296" s="20">
        <f>IF(B296="","",IFERROR(INDEX(Products!$AH$5:$AH$304,MATCH(B296,Products!$A$5:$A$304,0))-INDEX(Products!$T$5:$T$304,MATCH(B296,Products!$A$5:$A$304,0))-INDEX(Products!$Z$5:$Z$304,MATCH(B296,Products!$A$5:$A$304,0)),0))</f>
        <v>0</v>
      </c>
      <c r="R296" s="36">
        <f>IF(B296="","",IFERROR(INDEX(Products!$X$5:$X$304,MATCH(B296,Products!$A$5:$A$304,0)),""))</f>
        <v>0</v>
      </c>
      <c r="S296" s="20">
        <f>IF(B296="","",IFERROR(INDEX(Products!$AR$5:$AR$304,MATCH(B296,Products!$A$5:$A$304,0)),""))</f>
        <v>0</v>
      </c>
      <c r="T296" s="41">
        <f>IF(B296="","",IFERROR(INDEX(SizeMaterialFactors,MATCH(E296,SizeNames,0)),1))</f>
        <v>0</v>
      </c>
      <c r="U296" s="41">
        <f>IF(B296="","",IFERROR(INDEX(SizeTimeFactors,MATCH(E296,SizeNames,0)),1))</f>
        <v>0</v>
      </c>
      <c r="V296" s="33">
        <f>IF(B296="","",IFERROR(INDEX(RushFactors,MATCH(H296,RushNames,0)),0))</f>
        <v>0</v>
      </c>
      <c r="W296" s="20">
        <f>IF(B296="","",ROUND(IF(O296="",0,O296)*T296+IF(F296="",0,F296),2))</f>
        <v>0</v>
      </c>
      <c r="X296" s="36">
        <f>IF(B296="","",ROUND(IF(R296="",0,R296)*U296+IF(G296="",0,G296),1))</f>
        <v>0</v>
      </c>
      <c r="Y296" s="20">
        <f>IF(B296="","",ROUND(IF(P296="",0,P296)*U296+IF(G296="",0,G296)/60*LaborCostHour,2))</f>
        <v>0</v>
      </c>
      <c r="Z296" s="20">
        <f>IF(B296="","",ROUND(W296+Y296+IF(Q296="",0,Q296),2))</f>
        <v>0</v>
      </c>
      <c r="AA296" s="33">
        <f>IF(B296="","",IFERROR(INDEX(Channels!$S$5:$S$18,MATCH(IF(J296="",DefaultChannel,J296),Channels!$A$5:$A$18,0)),0))</f>
        <v>0</v>
      </c>
      <c r="AB296" s="20">
        <f>IF(B296="","",IFERROR(INDEX(Channels!$T$5:$T$18,MATCH(IF(J296="",DefaultChannel,J296),Channels!$A$5:$A$18,0)),0))</f>
        <v>0</v>
      </c>
      <c r="AC296" s="41">
        <f>IF(B296="","",1-TargetRetailMargin-AA296)</f>
        <v>0</v>
      </c>
      <c r="AD296" s="20">
        <f>IF(B296="","",IF(AC296&lt;=0,"",((Z296+AB296)/AC296)*(1+V296)+IF(I296="",0,I296)))</f>
        <v>0</v>
      </c>
      <c r="AE296" s="20">
        <f>IF(B296="","",IF(AD296="","Check the settings",ROUND(IF(RoundingRule="None",AD296,IF(RoundingRule="Nearest 0.99",MAX(0.99,CEILING(AD296,1)-0.01),IF(RoundingRule="Nearest 0.95",MAX(0.95,CEILING(AD296,1)-0.05),IF(RoundingRule="Nearest 0.50",CEILING(AD296,0.5),IF(RoundingRule="Nearest 1",CEILING(AD296,1),IF(RoundingRule="Nearest 5",CEILING(AD296,5),IF(RoundingRule="Up to whole 1",CEILING(AD296,1),IF(RoundingRule="Up to whole 5",CEILING(AD296,5),ROUND(AD296,2))))))))),2)))</f>
        <v>0</v>
      </c>
      <c r="AF296" s="20">
        <f>IF(B296="","",IF(K296&lt;&gt;"",K296,IF(ISNUMBER(AE296),AE296,"")))</f>
        <v>0</v>
      </c>
      <c r="AG296" s="20">
        <f>IF(B296="","",IF(OR(AF296="",S296=""),"",ROUND(AF296-S296,2)))</f>
        <v>0</v>
      </c>
      <c r="AH296" s="20">
        <f>IF(B296="","",IF(AF296="","",ROUND(AF296*AA296+AB296,2)))</f>
        <v>0</v>
      </c>
      <c r="AI296" s="20">
        <f>IF(B296="","",IF(AF296="","",ROUND(AF296-Z296-AH296,2)))</f>
        <v>0</v>
      </c>
      <c r="AJ296" s="33">
        <f>IF(B296="","",IF(OR(AF296="",AF296=0),"",AI296/AF296))</f>
        <v>0</v>
      </c>
      <c r="AK296" s="20">
        <f>IF(B296="","",IF(OR(X296=0,X296="",AI296=""),"",ROUND((AI296+Y296)/(X296/60),2)))</f>
        <v>0</v>
      </c>
      <c r="AL296" s="43">
        <f>IF(B296="","",IF(N296="Not found","Check - no such product ID",IF(AF296="","Check - no price yet",IF(AI296&lt;0,"Loss - this version costs you money",IF(AND(AK296&lt;&gt;"",AK296&lt;MinimumWage),"Below - pays under minimum wage",IF(AND(G296&gt;0,AG296&lt;=0),"Check - extra work, no extra charge",IF(AJ296&lt;MarginWarning,"Low margin - re-price it","OK")))))))</f>
        <v>0</v>
      </c>
    </row>
    <row r="297" spans="1:38">
      <c r="A297" s="38">
        <f>IF(C297="","",VariationPrefix&amp;TEXT(ROW()-4,"0000"))</f>
        <v>0</v>
      </c>
      <c r="N297" s="13">
        <f>IF(B297="","",IFERROR(INDEX(Products!$B$5:$B$304,MATCH(B297,Products!$A$5:$A$304,0)),"Not found"))</f>
        <v>0</v>
      </c>
      <c r="O297" s="20">
        <f>IF(B297="","",IFERROR(INDEX(Products!$T$5:$T$304,MATCH(B297,Products!$A$5:$A$304,0)),""))</f>
        <v>0</v>
      </c>
      <c r="P297" s="20">
        <f>IF(B297="","",IFERROR(INDEX(Products!$Z$5:$Z$304,MATCH(B297,Products!$A$5:$A$304,0)),""))</f>
        <v>0</v>
      </c>
      <c r="Q297" s="20">
        <f>IF(B297="","",IFERROR(INDEX(Products!$AH$5:$AH$304,MATCH(B297,Products!$A$5:$A$304,0))-INDEX(Products!$T$5:$T$304,MATCH(B297,Products!$A$5:$A$304,0))-INDEX(Products!$Z$5:$Z$304,MATCH(B297,Products!$A$5:$A$304,0)),0))</f>
        <v>0</v>
      </c>
      <c r="R297" s="36">
        <f>IF(B297="","",IFERROR(INDEX(Products!$X$5:$X$304,MATCH(B297,Products!$A$5:$A$304,0)),""))</f>
        <v>0</v>
      </c>
      <c r="S297" s="20">
        <f>IF(B297="","",IFERROR(INDEX(Products!$AR$5:$AR$304,MATCH(B297,Products!$A$5:$A$304,0)),""))</f>
        <v>0</v>
      </c>
      <c r="T297" s="41">
        <f>IF(B297="","",IFERROR(INDEX(SizeMaterialFactors,MATCH(E297,SizeNames,0)),1))</f>
        <v>0</v>
      </c>
      <c r="U297" s="41">
        <f>IF(B297="","",IFERROR(INDEX(SizeTimeFactors,MATCH(E297,SizeNames,0)),1))</f>
        <v>0</v>
      </c>
      <c r="V297" s="33">
        <f>IF(B297="","",IFERROR(INDEX(RushFactors,MATCH(H297,RushNames,0)),0))</f>
        <v>0</v>
      </c>
      <c r="W297" s="20">
        <f>IF(B297="","",ROUND(IF(O297="",0,O297)*T297+IF(F297="",0,F297),2))</f>
        <v>0</v>
      </c>
      <c r="X297" s="36">
        <f>IF(B297="","",ROUND(IF(R297="",0,R297)*U297+IF(G297="",0,G297),1))</f>
        <v>0</v>
      </c>
      <c r="Y297" s="20">
        <f>IF(B297="","",ROUND(IF(P297="",0,P297)*U297+IF(G297="",0,G297)/60*LaborCostHour,2))</f>
        <v>0</v>
      </c>
      <c r="Z297" s="20">
        <f>IF(B297="","",ROUND(W297+Y297+IF(Q297="",0,Q297),2))</f>
        <v>0</v>
      </c>
      <c r="AA297" s="33">
        <f>IF(B297="","",IFERROR(INDEX(Channels!$S$5:$S$18,MATCH(IF(J297="",DefaultChannel,J297),Channels!$A$5:$A$18,0)),0))</f>
        <v>0</v>
      </c>
      <c r="AB297" s="20">
        <f>IF(B297="","",IFERROR(INDEX(Channels!$T$5:$T$18,MATCH(IF(J297="",DefaultChannel,J297),Channels!$A$5:$A$18,0)),0))</f>
        <v>0</v>
      </c>
      <c r="AC297" s="41">
        <f>IF(B297="","",1-TargetRetailMargin-AA297)</f>
        <v>0</v>
      </c>
      <c r="AD297" s="20">
        <f>IF(B297="","",IF(AC297&lt;=0,"",((Z297+AB297)/AC297)*(1+V297)+IF(I297="",0,I297)))</f>
        <v>0</v>
      </c>
      <c r="AE297" s="20">
        <f>IF(B297="","",IF(AD297="","Check the settings",ROUND(IF(RoundingRule="None",AD297,IF(RoundingRule="Nearest 0.99",MAX(0.99,CEILING(AD297,1)-0.01),IF(RoundingRule="Nearest 0.95",MAX(0.95,CEILING(AD297,1)-0.05),IF(RoundingRule="Nearest 0.50",CEILING(AD297,0.5),IF(RoundingRule="Nearest 1",CEILING(AD297,1),IF(RoundingRule="Nearest 5",CEILING(AD297,5),IF(RoundingRule="Up to whole 1",CEILING(AD297,1),IF(RoundingRule="Up to whole 5",CEILING(AD297,5),ROUND(AD297,2))))))))),2)))</f>
        <v>0</v>
      </c>
      <c r="AF297" s="20">
        <f>IF(B297="","",IF(K297&lt;&gt;"",K297,IF(ISNUMBER(AE297),AE297,"")))</f>
        <v>0</v>
      </c>
      <c r="AG297" s="20">
        <f>IF(B297="","",IF(OR(AF297="",S297=""),"",ROUND(AF297-S297,2)))</f>
        <v>0</v>
      </c>
      <c r="AH297" s="20">
        <f>IF(B297="","",IF(AF297="","",ROUND(AF297*AA297+AB297,2)))</f>
        <v>0</v>
      </c>
      <c r="AI297" s="20">
        <f>IF(B297="","",IF(AF297="","",ROUND(AF297-Z297-AH297,2)))</f>
        <v>0</v>
      </c>
      <c r="AJ297" s="33">
        <f>IF(B297="","",IF(OR(AF297="",AF297=0),"",AI297/AF297))</f>
        <v>0</v>
      </c>
      <c r="AK297" s="20">
        <f>IF(B297="","",IF(OR(X297=0,X297="",AI297=""),"",ROUND((AI297+Y297)/(X297/60),2)))</f>
        <v>0</v>
      </c>
      <c r="AL297" s="43">
        <f>IF(B297="","",IF(N297="Not found","Check - no such product ID",IF(AF297="","Check - no price yet",IF(AI297&lt;0,"Loss - this version costs you money",IF(AND(AK297&lt;&gt;"",AK297&lt;MinimumWage),"Below - pays under minimum wage",IF(AND(G297&gt;0,AG297&lt;=0),"Check - extra work, no extra charge",IF(AJ297&lt;MarginWarning,"Low margin - re-price it","OK")))))))</f>
        <v>0</v>
      </c>
    </row>
    <row r="298" spans="1:38">
      <c r="A298" s="38">
        <f>IF(C298="","",VariationPrefix&amp;TEXT(ROW()-4,"0000"))</f>
        <v>0</v>
      </c>
      <c r="N298" s="13">
        <f>IF(B298="","",IFERROR(INDEX(Products!$B$5:$B$304,MATCH(B298,Products!$A$5:$A$304,0)),"Not found"))</f>
        <v>0</v>
      </c>
      <c r="O298" s="20">
        <f>IF(B298="","",IFERROR(INDEX(Products!$T$5:$T$304,MATCH(B298,Products!$A$5:$A$304,0)),""))</f>
        <v>0</v>
      </c>
      <c r="P298" s="20">
        <f>IF(B298="","",IFERROR(INDEX(Products!$Z$5:$Z$304,MATCH(B298,Products!$A$5:$A$304,0)),""))</f>
        <v>0</v>
      </c>
      <c r="Q298" s="20">
        <f>IF(B298="","",IFERROR(INDEX(Products!$AH$5:$AH$304,MATCH(B298,Products!$A$5:$A$304,0))-INDEX(Products!$T$5:$T$304,MATCH(B298,Products!$A$5:$A$304,0))-INDEX(Products!$Z$5:$Z$304,MATCH(B298,Products!$A$5:$A$304,0)),0))</f>
        <v>0</v>
      </c>
      <c r="R298" s="36">
        <f>IF(B298="","",IFERROR(INDEX(Products!$X$5:$X$304,MATCH(B298,Products!$A$5:$A$304,0)),""))</f>
        <v>0</v>
      </c>
      <c r="S298" s="20">
        <f>IF(B298="","",IFERROR(INDEX(Products!$AR$5:$AR$304,MATCH(B298,Products!$A$5:$A$304,0)),""))</f>
        <v>0</v>
      </c>
      <c r="T298" s="41">
        <f>IF(B298="","",IFERROR(INDEX(SizeMaterialFactors,MATCH(E298,SizeNames,0)),1))</f>
        <v>0</v>
      </c>
      <c r="U298" s="41">
        <f>IF(B298="","",IFERROR(INDEX(SizeTimeFactors,MATCH(E298,SizeNames,0)),1))</f>
        <v>0</v>
      </c>
      <c r="V298" s="33">
        <f>IF(B298="","",IFERROR(INDEX(RushFactors,MATCH(H298,RushNames,0)),0))</f>
        <v>0</v>
      </c>
      <c r="W298" s="20">
        <f>IF(B298="","",ROUND(IF(O298="",0,O298)*T298+IF(F298="",0,F298),2))</f>
        <v>0</v>
      </c>
      <c r="X298" s="36">
        <f>IF(B298="","",ROUND(IF(R298="",0,R298)*U298+IF(G298="",0,G298),1))</f>
        <v>0</v>
      </c>
      <c r="Y298" s="20">
        <f>IF(B298="","",ROUND(IF(P298="",0,P298)*U298+IF(G298="",0,G298)/60*LaborCostHour,2))</f>
        <v>0</v>
      </c>
      <c r="Z298" s="20">
        <f>IF(B298="","",ROUND(W298+Y298+IF(Q298="",0,Q298),2))</f>
        <v>0</v>
      </c>
      <c r="AA298" s="33">
        <f>IF(B298="","",IFERROR(INDEX(Channels!$S$5:$S$18,MATCH(IF(J298="",DefaultChannel,J298),Channels!$A$5:$A$18,0)),0))</f>
        <v>0</v>
      </c>
      <c r="AB298" s="20">
        <f>IF(B298="","",IFERROR(INDEX(Channels!$T$5:$T$18,MATCH(IF(J298="",DefaultChannel,J298),Channels!$A$5:$A$18,0)),0))</f>
        <v>0</v>
      </c>
      <c r="AC298" s="41">
        <f>IF(B298="","",1-TargetRetailMargin-AA298)</f>
        <v>0</v>
      </c>
      <c r="AD298" s="20">
        <f>IF(B298="","",IF(AC298&lt;=0,"",((Z298+AB298)/AC298)*(1+V298)+IF(I298="",0,I298)))</f>
        <v>0</v>
      </c>
      <c r="AE298" s="20">
        <f>IF(B298="","",IF(AD298="","Check the settings",ROUND(IF(RoundingRule="None",AD298,IF(RoundingRule="Nearest 0.99",MAX(0.99,CEILING(AD298,1)-0.01),IF(RoundingRule="Nearest 0.95",MAX(0.95,CEILING(AD298,1)-0.05),IF(RoundingRule="Nearest 0.50",CEILING(AD298,0.5),IF(RoundingRule="Nearest 1",CEILING(AD298,1),IF(RoundingRule="Nearest 5",CEILING(AD298,5),IF(RoundingRule="Up to whole 1",CEILING(AD298,1),IF(RoundingRule="Up to whole 5",CEILING(AD298,5),ROUND(AD298,2))))))))),2)))</f>
        <v>0</v>
      </c>
      <c r="AF298" s="20">
        <f>IF(B298="","",IF(K298&lt;&gt;"",K298,IF(ISNUMBER(AE298),AE298,"")))</f>
        <v>0</v>
      </c>
      <c r="AG298" s="20">
        <f>IF(B298="","",IF(OR(AF298="",S298=""),"",ROUND(AF298-S298,2)))</f>
        <v>0</v>
      </c>
      <c r="AH298" s="20">
        <f>IF(B298="","",IF(AF298="","",ROUND(AF298*AA298+AB298,2)))</f>
        <v>0</v>
      </c>
      <c r="AI298" s="20">
        <f>IF(B298="","",IF(AF298="","",ROUND(AF298-Z298-AH298,2)))</f>
        <v>0</v>
      </c>
      <c r="AJ298" s="33">
        <f>IF(B298="","",IF(OR(AF298="",AF298=0),"",AI298/AF298))</f>
        <v>0</v>
      </c>
      <c r="AK298" s="20">
        <f>IF(B298="","",IF(OR(X298=0,X298="",AI298=""),"",ROUND((AI298+Y298)/(X298/60),2)))</f>
        <v>0</v>
      </c>
      <c r="AL298" s="43">
        <f>IF(B298="","",IF(N298="Not found","Check - no such product ID",IF(AF298="","Check - no price yet",IF(AI298&lt;0,"Loss - this version costs you money",IF(AND(AK298&lt;&gt;"",AK298&lt;MinimumWage),"Below - pays under minimum wage",IF(AND(G298&gt;0,AG298&lt;=0),"Check - extra work, no extra charge",IF(AJ298&lt;MarginWarning,"Low margin - re-price it","OK")))))))</f>
        <v>0</v>
      </c>
    </row>
    <row r="299" spans="1:38">
      <c r="A299" s="38">
        <f>IF(C299="","",VariationPrefix&amp;TEXT(ROW()-4,"0000"))</f>
        <v>0</v>
      </c>
      <c r="N299" s="13">
        <f>IF(B299="","",IFERROR(INDEX(Products!$B$5:$B$304,MATCH(B299,Products!$A$5:$A$304,0)),"Not found"))</f>
        <v>0</v>
      </c>
      <c r="O299" s="20">
        <f>IF(B299="","",IFERROR(INDEX(Products!$T$5:$T$304,MATCH(B299,Products!$A$5:$A$304,0)),""))</f>
        <v>0</v>
      </c>
      <c r="P299" s="20">
        <f>IF(B299="","",IFERROR(INDEX(Products!$Z$5:$Z$304,MATCH(B299,Products!$A$5:$A$304,0)),""))</f>
        <v>0</v>
      </c>
      <c r="Q299" s="20">
        <f>IF(B299="","",IFERROR(INDEX(Products!$AH$5:$AH$304,MATCH(B299,Products!$A$5:$A$304,0))-INDEX(Products!$T$5:$T$304,MATCH(B299,Products!$A$5:$A$304,0))-INDEX(Products!$Z$5:$Z$304,MATCH(B299,Products!$A$5:$A$304,0)),0))</f>
        <v>0</v>
      </c>
      <c r="R299" s="36">
        <f>IF(B299="","",IFERROR(INDEX(Products!$X$5:$X$304,MATCH(B299,Products!$A$5:$A$304,0)),""))</f>
        <v>0</v>
      </c>
      <c r="S299" s="20">
        <f>IF(B299="","",IFERROR(INDEX(Products!$AR$5:$AR$304,MATCH(B299,Products!$A$5:$A$304,0)),""))</f>
        <v>0</v>
      </c>
      <c r="T299" s="41">
        <f>IF(B299="","",IFERROR(INDEX(SizeMaterialFactors,MATCH(E299,SizeNames,0)),1))</f>
        <v>0</v>
      </c>
      <c r="U299" s="41">
        <f>IF(B299="","",IFERROR(INDEX(SizeTimeFactors,MATCH(E299,SizeNames,0)),1))</f>
        <v>0</v>
      </c>
      <c r="V299" s="33">
        <f>IF(B299="","",IFERROR(INDEX(RushFactors,MATCH(H299,RushNames,0)),0))</f>
        <v>0</v>
      </c>
      <c r="W299" s="20">
        <f>IF(B299="","",ROUND(IF(O299="",0,O299)*T299+IF(F299="",0,F299),2))</f>
        <v>0</v>
      </c>
      <c r="X299" s="36">
        <f>IF(B299="","",ROUND(IF(R299="",0,R299)*U299+IF(G299="",0,G299),1))</f>
        <v>0</v>
      </c>
      <c r="Y299" s="20">
        <f>IF(B299="","",ROUND(IF(P299="",0,P299)*U299+IF(G299="",0,G299)/60*LaborCostHour,2))</f>
        <v>0</v>
      </c>
      <c r="Z299" s="20">
        <f>IF(B299="","",ROUND(W299+Y299+IF(Q299="",0,Q299),2))</f>
        <v>0</v>
      </c>
      <c r="AA299" s="33">
        <f>IF(B299="","",IFERROR(INDEX(Channels!$S$5:$S$18,MATCH(IF(J299="",DefaultChannel,J299),Channels!$A$5:$A$18,0)),0))</f>
        <v>0</v>
      </c>
      <c r="AB299" s="20">
        <f>IF(B299="","",IFERROR(INDEX(Channels!$T$5:$T$18,MATCH(IF(J299="",DefaultChannel,J299),Channels!$A$5:$A$18,0)),0))</f>
        <v>0</v>
      </c>
      <c r="AC299" s="41">
        <f>IF(B299="","",1-TargetRetailMargin-AA299)</f>
        <v>0</v>
      </c>
      <c r="AD299" s="20">
        <f>IF(B299="","",IF(AC299&lt;=0,"",((Z299+AB299)/AC299)*(1+V299)+IF(I299="",0,I299)))</f>
        <v>0</v>
      </c>
      <c r="AE299" s="20">
        <f>IF(B299="","",IF(AD299="","Check the settings",ROUND(IF(RoundingRule="None",AD299,IF(RoundingRule="Nearest 0.99",MAX(0.99,CEILING(AD299,1)-0.01),IF(RoundingRule="Nearest 0.95",MAX(0.95,CEILING(AD299,1)-0.05),IF(RoundingRule="Nearest 0.50",CEILING(AD299,0.5),IF(RoundingRule="Nearest 1",CEILING(AD299,1),IF(RoundingRule="Nearest 5",CEILING(AD299,5),IF(RoundingRule="Up to whole 1",CEILING(AD299,1),IF(RoundingRule="Up to whole 5",CEILING(AD299,5),ROUND(AD299,2))))))))),2)))</f>
        <v>0</v>
      </c>
      <c r="AF299" s="20">
        <f>IF(B299="","",IF(K299&lt;&gt;"",K299,IF(ISNUMBER(AE299),AE299,"")))</f>
        <v>0</v>
      </c>
      <c r="AG299" s="20">
        <f>IF(B299="","",IF(OR(AF299="",S299=""),"",ROUND(AF299-S299,2)))</f>
        <v>0</v>
      </c>
      <c r="AH299" s="20">
        <f>IF(B299="","",IF(AF299="","",ROUND(AF299*AA299+AB299,2)))</f>
        <v>0</v>
      </c>
      <c r="AI299" s="20">
        <f>IF(B299="","",IF(AF299="","",ROUND(AF299-Z299-AH299,2)))</f>
        <v>0</v>
      </c>
      <c r="AJ299" s="33">
        <f>IF(B299="","",IF(OR(AF299="",AF299=0),"",AI299/AF299))</f>
        <v>0</v>
      </c>
      <c r="AK299" s="20">
        <f>IF(B299="","",IF(OR(X299=0,X299="",AI299=""),"",ROUND((AI299+Y299)/(X299/60),2)))</f>
        <v>0</v>
      </c>
      <c r="AL299" s="43">
        <f>IF(B299="","",IF(N299="Not found","Check - no such product ID",IF(AF299="","Check - no price yet",IF(AI299&lt;0,"Loss - this version costs you money",IF(AND(AK299&lt;&gt;"",AK299&lt;MinimumWage),"Below - pays under minimum wage",IF(AND(G299&gt;0,AG299&lt;=0),"Check - extra work, no extra charge",IF(AJ299&lt;MarginWarning,"Low margin - re-price it","OK")))))))</f>
        <v>0</v>
      </c>
    </row>
    <row r="300" spans="1:38">
      <c r="A300" s="38">
        <f>IF(C300="","",VariationPrefix&amp;TEXT(ROW()-4,"0000"))</f>
        <v>0</v>
      </c>
      <c r="N300" s="13">
        <f>IF(B300="","",IFERROR(INDEX(Products!$B$5:$B$304,MATCH(B300,Products!$A$5:$A$304,0)),"Not found"))</f>
        <v>0</v>
      </c>
      <c r="O300" s="20">
        <f>IF(B300="","",IFERROR(INDEX(Products!$T$5:$T$304,MATCH(B300,Products!$A$5:$A$304,0)),""))</f>
        <v>0</v>
      </c>
      <c r="P300" s="20">
        <f>IF(B300="","",IFERROR(INDEX(Products!$Z$5:$Z$304,MATCH(B300,Products!$A$5:$A$304,0)),""))</f>
        <v>0</v>
      </c>
      <c r="Q300" s="20">
        <f>IF(B300="","",IFERROR(INDEX(Products!$AH$5:$AH$304,MATCH(B300,Products!$A$5:$A$304,0))-INDEX(Products!$T$5:$T$304,MATCH(B300,Products!$A$5:$A$304,0))-INDEX(Products!$Z$5:$Z$304,MATCH(B300,Products!$A$5:$A$304,0)),0))</f>
        <v>0</v>
      </c>
      <c r="R300" s="36">
        <f>IF(B300="","",IFERROR(INDEX(Products!$X$5:$X$304,MATCH(B300,Products!$A$5:$A$304,0)),""))</f>
        <v>0</v>
      </c>
      <c r="S300" s="20">
        <f>IF(B300="","",IFERROR(INDEX(Products!$AR$5:$AR$304,MATCH(B300,Products!$A$5:$A$304,0)),""))</f>
        <v>0</v>
      </c>
      <c r="T300" s="41">
        <f>IF(B300="","",IFERROR(INDEX(SizeMaterialFactors,MATCH(E300,SizeNames,0)),1))</f>
        <v>0</v>
      </c>
      <c r="U300" s="41">
        <f>IF(B300="","",IFERROR(INDEX(SizeTimeFactors,MATCH(E300,SizeNames,0)),1))</f>
        <v>0</v>
      </c>
      <c r="V300" s="33">
        <f>IF(B300="","",IFERROR(INDEX(RushFactors,MATCH(H300,RushNames,0)),0))</f>
        <v>0</v>
      </c>
      <c r="W300" s="20">
        <f>IF(B300="","",ROUND(IF(O300="",0,O300)*T300+IF(F300="",0,F300),2))</f>
        <v>0</v>
      </c>
      <c r="X300" s="36">
        <f>IF(B300="","",ROUND(IF(R300="",0,R300)*U300+IF(G300="",0,G300),1))</f>
        <v>0</v>
      </c>
      <c r="Y300" s="20">
        <f>IF(B300="","",ROUND(IF(P300="",0,P300)*U300+IF(G300="",0,G300)/60*LaborCostHour,2))</f>
        <v>0</v>
      </c>
      <c r="Z300" s="20">
        <f>IF(B300="","",ROUND(W300+Y300+IF(Q300="",0,Q300),2))</f>
        <v>0</v>
      </c>
      <c r="AA300" s="33">
        <f>IF(B300="","",IFERROR(INDEX(Channels!$S$5:$S$18,MATCH(IF(J300="",DefaultChannel,J300),Channels!$A$5:$A$18,0)),0))</f>
        <v>0</v>
      </c>
      <c r="AB300" s="20">
        <f>IF(B300="","",IFERROR(INDEX(Channels!$T$5:$T$18,MATCH(IF(J300="",DefaultChannel,J300),Channels!$A$5:$A$18,0)),0))</f>
        <v>0</v>
      </c>
      <c r="AC300" s="41">
        <f>IF(B300="","",1-TargetRetailMargin-AA300)</f>
        <v>0</v>
      </c>
      <c r="AD300" s="20">
        <f>IF(B300="","",IF(AC300&lt;=0,"",((Z300+AB300)/AC300)*(1+V300)+IF(I300="",0,I300)))</f>
        <v>0</v>
      </c>
      <c r="AE300" s="20">
        <f>IF(B300="","",IF(AD300="","Check the settings",ROUND(IF(RoundingRule="None",AD300,IF(RoundingRule="Nearest 0.99",MAX(0.99,CEILING(AD300,1)-0.01),IF(RoundingRule="Nearest 0.95",MAX(0.95,CEILING(AD300,1)-0.05),IF(RoundingRule="Nearest 0.50",CEILING(AD300,0.5),IF(RoundingRule="Nearest 1",CEILING(AD300,1),IF(RoundingRule="Nearest 5",CEILING(AD300,5),IF(RoundingRule="Up to whole 1",CEILING(AD300,1),IF(RoundingRule="Up to whole 5",CEILING(AD300,5),ROUND(AD300,2))))))))),2)))</f>
        <v>0</v>
      </c>
      <c r="AF300" s="20">
        <f>IF(B300="","",IF(K300&lt;&gt;"",K300,IF(ISNUMBER(AE300),AE300,"")))</f>
        <v>0</v>
      </c>
      <c r="AG300" s="20">
        <f>IF(B300="","",IF(OR(AF300="",S300=""),"",ROUND(AF300-S300,2)))</f>
        <v>0</v>
      </c>
      <c r="AH300" s="20">
        <f>IF(B300="","",IF(AF300="","",ROUND(AF300*AA300+AB300,2)))</f>
        <v>0</v>
      </c>
      <c r="AI300" s="20">
        <f>IF(B300="","",IF(AF300="","",ROUND(AF300-Z300-AH300,2)))</f>
        <v>0</v>
      </c>
      <c r="AJ300" s="33">
        <f>IF(B300="","",IF(OR(AF300="",AF300=0),"",AI300/AF300))</f>
        <v>0</v>
      </c>
      <c r="AK300" s="20">
        <f>IF(B300="","",IF(OR(X300=0,X300="",AI300=""),"",ROUND((AI300+Y300)/(X300/60),2)))</f>
        <v>0</v>
      </c>
      <c r="AL300" s="43">
        <f>IF(B300="","",IF(N300="Not found","Check - no such product ID",IF(AF300="","Check - no price yet",IF(AI300&lt;0,"Loss - this version costs you money",IF(AND(AK300&lt;&gt;"",AK300&lt;MinimumWage),"Below - pays under minimum wage",IF(AND(G300&gt;0,AG300&lt;=0),"Check - extra work, no extra charge",IF(AJ300&lt;MarginWarning,"Low margin - re-price it","OK")))))))</f>
        <v>0</v>
      </c>
    </row>
    <row r="301" spans="1:38">
      <c r="A301" s="38">
        <f>IF(C301="","",VariationPrefix&amp;TEXT(ROW()-4,"0000"))</f>
        <v>0</v>
      </c>
      <c r="N301" s="13">
        <f>IF(B301="","",IFERROR(INDEX(Products!$B$5:$B$304,MATCH(B301,Products!$A$5:$A$304,0)),"Not found"))</f>
        <v>0</v>
      </c>
      <c r="O301" s="20">
        <f>IF(B301="","",IFERROR(INDEX(Products!$T$5:$T$304,MATCH(B301,Products!$A$5:$A$304,0)),""))</f>
        <v>0</v>
      </c>
      <c r="P301" s="20">
        <f>IF(B301="","",IFERROR(INDEX(Products!$Z$5:$Z$304,MATCH(B301,Products!$A$5:$A$304,0)),""))</f>
        <v>0</v>
      </c>
      <c r="Q301" s="20">
        <f>IF(B301="","",IFERROR(INDEX(Products!$AH$5:$AH$304,MATCH(B301,Products!$A$5:$A$304,0))-INDEX(Products!$T$5:$T$304,MATCH(B301,Products!$A$5:$A$304,0))-INDEX(Products!$Z$5:$Z$304,MATCH(B301,Products!$A$5:$A$304,0)),0))</f>
        <v>0</v>
      </c>
      <c r="R301" s="36">
        <f>IF(B301="","",IFERROR(INDEX(Products!$X$5:$X$304,MATCH(B301,Products!$A$5:$A$304,0)),""))</f>
        <v>0</v>
      </c>
      <c r="S301" s="20">
        <f>IF(B301="","",IFERROR(INDEX(Products!$AR$5:$AR$304,MATCH(B301,Products!$A$5:$A$304,0)),""))</f>
        <v>0</v>
      </c>
      <c r="T301" s="41">
        <f>IF(B301="","",IFERROR(INDEX(SizeMaterialFactors,MATCH(E301,SizeNames,0)),1))</f>
        <v>0</v>
      </c>
      <c r="U301" s="41">
        <f>IF(B301="","",IFERROR(INDEX(SizeTimeFactors,MATCH(E301,SizeNames,0)),1))</f>
        <v>0</v>
      </c>
      <c r="V301" s="33">
        <f>IF(B301="","",IFERROR(INDEX(RushFactors,MATCH(H301,RushNames,0)),0))</f>
        <v>0</v>
      </c>
      <c r="W301" s="20">
        <f>IF(B301="","",ROUND(IF(O301="",0,O301)*T301+IF(F301="",0,F301),2))</f>
        <v>0</v>
      </c>
      <c r="X301" s="36">
        <f>IF(B301="","",ROUND(IF(R301="",0,R301)*U301+IF(G301="",0,G301),1))</f>
        <v>0</v>
      </c>
      <c r="Y301" s="20">
        <f>IF(B301="","",ROUND(IF(P301="",0,P301)*U301+IF(G301="",0,G301)/60*LaborCostHour,2))</f>
        <v>0</v>
      </c>
      <c r="Z301" s="20">
        <f>IF(B301="","",ROUND(W301+Y301+IF(Q301="",0,Q301),2))</f>
        <v>0</v>
      </c>
      <c r="AA301" s="33">
        <f>IF(B301="","",IFERROR(INDEX(Channels!$S$5:$S$18,MATCH(IF(J301="",DefaultChannel,J301),Channels!$A$5:$A$18,0)),0))</f>
        <v>0</v>
      </c>
      <c r="AB301" s="20">
        <f>IF(B301="","",IFERROR(INDEX(Channels!$T$5:$T$18,MATCH(IF(J301="",DefaultChannel,J301),Channels!$A$5:$A$18,0)),0))</f>
        <v>0</v>
      </c>
      <c r="AC301" s="41">
        <f>IF(B301="","",1-TargetRetailMargin-AA301)</f>
        <v>0</v>
      </c>
      <c r="AD301" s="20">
        <f>IF(B301="","",IF(AC301&lt;=0,"",((Z301+AB301)/AC301)*(1+V301)+IF(I301="",0,I301)))</f>
        <v>0</v>
      </c>
      <c r="AE301" s="20">
        <f>IF(B301="","",IF(AD301="","Check the settings",ROUND(IF(RoundingRule="None",AD301,IF(RoundingRule="Nearest 0.99",MAX(0.99,CEILING(AD301,1)-0.01),IF(RoundingRule="Nearest 0.95",MAX(0.95,CEILING(AD301,1)-0.05),IF(RoundingRule="Nearest 0.50",CEILING(AD301,0.5),IF(RoundingRule="Nearest 1",CEILING(AD301,1),IF(RoundingRule="Nearest 5",CEILING(AD301,5),IF(RoundingRule="Up to whole 1",CEILING(AD301,1),IF(RoundingRule="Up to whole 5",CEILING(AD301,5),ROUND(AD301,2))))))))),2)))</f>
        <v>0</v>
      </c>
      <c r="AF301" s="20">
        <f>IF(B301="","",IF(K301&lt;&gt;"",K301,IF(ISNUMBER(AE301),AE301,"")))</f>
        <v>0</v>
      </c>
      <c r="AG301" s="20">
        <f>IF(B301="","",IF(OR(AF301="",S301=""),"",ROUND(AF301-S301,2)))</f>
        <v>0</v>
      </c>
      <c r="AH301" s="20">
        <f>IF(B301="","",IF(AF301="","",ROUND(AF301*AA301+AB301,2)))</f>
        <v>0</v>
      </c>
      <c r="AI301" s="20">
        <f>IF(B301="","",IF(AF301="","",ROUND(AF301-Z301-AH301,2)))</f>
        <v>0</v>
      </c>
      <c r="AJ301" s="33">
        <f>IF(B301="","",IF(OR(AF301="",AF301=0),"",AI301/AF301))</f>
        <v>0</v>
      </c>
      <c r="AK301" s="20">
        <f>IF(B301="","",IF(OR(X301=0,X301="",AI301=""),"",ROUND((AI301+Y301)/(X301/60),2)))</f>
        <v>0</v>
      </c>
      <c r="AL301" s="43">
        <f>IF(B301="","",IF(N301="Not found","Check - no such product ID",IF(AF301="","Check - no price yet",IF(AI301&lt;0,"Loss - this version costs you money",IF(AND(AK301&lt;&gt;"",AK301&lt;MinimumWage),"Below - pays under minimum wage",IF(AND(G301&gt;0,AG301&lt;=0),"Check - extra work, no extra charge",IF(AJ301&lt;MarginWarning,"Low margin - re-price it","OK")))))))</f>
        <v>0</v>
      </c>
    </row>
    <row r="302" spans="1:38">
      <c r="A302" s="38">
        <f>IF(C302="","",VariationPrefix&amp;TEXT(ROW()-4,"0000"))</f>
        <v>0</v>
      </c>
      <c r="N302" s="13">
        <f>IF(B302="","",IFERROR(INDEX(Products!$B$5:$B$304,MATCH(B302,Products!$A$5:$A$304,0)),"Not found"))</f>
        <v>0</v>
      </c>
      <c r="O302" s="20">
        <f>IF(B302="","",IFERROR(INDEX(Products!$T$5:$T$304,MATCH(B302,Products!$A$5:$A$304,0)),""))</f>
        <v>0</v>
      </c>
      <c r="P302" s="20">
        <f>IF(B302="","",IFERROR(INDEX(Products!$Z$5:$Z$304,MATCH(B302,Products!$A$5:$A$304,0)),""))</f>
        <v>0</v>
      </c>
      <c r="Q302" s="20">
        <f>IF(B302="","",IFERROR(INDEX(Products!$AH$5:$AH$304,MATCH(B302,Products!$A$5:$A$304,0))-INDEX(Products!$T$5:$T$304,MATCH(B302,Products!$A$5:$A$304,0))-INDEX(Products!$Z$5:$Z$304,MATCH(B302,Products!$A$5:$A$304,0)),0))</f>
        <v>0</v>
      </c>
      <c r="R302" s="36">
        <f>IF(B302="","",IFERROR(INDEX(Products!$X$5:$X$304,MATCH(B302,Products!$A$5:$A$304,0)),""))</f>
        <v>0</v>
      </c>
      <c r="S302" s="20">
        <f>IF(B302="","",IFERROR(INDEX(Products!$AR$5:$AR$304,MATCH(B302,Products!$A$5:$A$304,0)),""))</f>
        <v>0</v>
      </c>
      <c r="T302" s="41">
        <f>IF(B302="","",IFERROR(INDEX(SizeMaterialFactors,MATCH(E302,SizeNames,0)),1))</f>
        <v>0</v>
      </c>
      <c r="U302" s="41">
        <f>IF(B302="","",IFERROR(INDEX(SizeTimeFactors,MATCH(E302,SizeNames,0)),1))</f>
        <v>0</v>
      </c>
      <c r="V302" s="33">
        <f>IF(B302="","",IFERROR(INDEX(RushFactors,MATCH(H302,RushNames,0)),0))</f>
        <v>0</v>
      </c>
      <c r="W302" s="20">
        <f>IF(B302="","",ROUND(IF(O302="",0,O302)*T302+IF(F302="",0,F302),2))</f>
        <v>0</v>
      </c>
      <c r="X302" s="36">
        <f>IF(B302="","",ROUND(IF(R302="",0,R302)*U302+IF(G302="",0,G302),1))</f>
        <v>0</v>
      </c>
      <c r="Y302" s="20">
        <f>IF(B302="","",ROUND(IF(P302="",0,P302)*U302+IF(G302="",0,G302)/60*LaborCostHour,2))</f>
        <v>0</v>
      </c>
      <c r="Z302" s="20">
        <f>IF(B302="","",ROUND(W302+Y302+IF(Q302="",0,Q302),2))</f>
        <v>0</v>
      </c>
      <c r="AA302" s="33">
        <f>IF(B302="","",IFERROR(INDEX(Channels!$S$5:$S$18,MATCH(IF(J302="",DefaultChannel,J302),Channels!$A$5:$A$18,0)),0))</f>
        <v>0</v>
      </c>
      <c r="AB302" s="20">
        <f>IF(B302="","",IFERROR(INDEX(Channels!$T$5:$T$18,MATCH(IF(J302="",DefaultChannel,J302),Channels!$A$5:$A$18,0)),0))</f>
        <v>0</v>
      </c>
      <c r="AC302" s="41">
        <f>IF(B302="","",1-TargetRetailMargin-AA302)</f>
        <v>0</v>
      </c>
      <c r="AD302" s="20">
        <f>IF(B302="","",IF(AC302&lt;=0,"",((Z302+AB302)/AC302)*(1+V302)+IF(I302="",0,I302)))</f>
        <v>0</v>
      </c>
      <c r="AE302" s="20">
        <f>IF(B302="","",IF(AD302="","Check the settings",ROUND(IF(RoundingRule="None",AD302,IF(RoundingRule="Nearest 0.99",MAX(0.99,CEILING(AD302,1)-0.01),IF(RoundingRule="Nearest 0.95",MAX(0.95,CEILING(AD302,1)-0.05),IF(RoundingRule="Nearest 0.50",CEILING(AD302,0.5),IF(RoundingRule="Nearest 1",CEILING(AD302,1),IF(RoundingRule="Nearest 5",CEILING(AD302,5),IF(RoundingRule="Up to whole 1",CEILING(AD302,1),IF(RoundingRule="Up to whole 5",CEILING(AD302,5),ROUND(AD302,2))))))))),2)))</f>
        <v>0</v>
      </c>
      <c r="AF302" s="20">
        <f>IF(B302="","",IF(K302&lt;&gt;"",K302,IF(ISNUMBER(AE302),AE302,"")))</f>
        <v>0</v>
      </c>
      <c r="AG302" s="20">
        <f>IF(B302="","",IF(OR(AF302="",S302=""),"",ROUND(AF302-S302,2)))</f>
        <v>0</v>
      </c>
      <c r="AH302" s="20">
        <f>IF(B302="","",IF(AF302="","",ROUND(AF302*AA302+AB302,2)))</f>
        <v>0</v>
      </c>
      <c r="AI302" s="20">
        <f>IF(B302="","",IF(AF302="","",ROUND(AF302-Z302-AH302,2)))</f>
        <v>0</v>
      </c>
      <c r="AJ302" s="33">
        <f>IF(B302="","",IF(OR(AF302="",AF302=0),"",AI302/AF302))</f>
        <v>0</v>
      </c>
      <c r="AK302" s="20">
        <f>IF(B302="","",IF(OR(X302=0,X302="",AI302=""),"",ROUND((AI302+Y302)/(X302/60),2)))</f>
        <v>0</v>
      </c>
      <c r="AL302" s="43">
        <f>IF(B302="","",IF(N302="Not found","Check - no such product ID",IF(AF302="","Check - no price yet",IF(AI302&lt;0,"Loss - this version costs you money",IF(AND(AK302&lt;&gt;"",AK302&lt;MinimumWage),"Below - pays under minimum wage",IF(AND(G302&gt;0,AG302&lt;=0),"Check - extra work, no extra charge",IF(AJ302&lt;MarginWarning,"Low margin - re-price it","OK")))))))</f>
        <v>0</v>
      </c>
    </row>
    <row r="303" spans="1:38">
      <c r="A303" s="38">
        <f>IF(C303="","",VariationPrefix&amp;TEXT(ROW()-4,"0000"))</f>
        <v>0</v>
      </c>
      <c r="N303" s="13">
        <f>IF(B303="","",IFERROR(INDEX(Products!$B$5:$B$304,MATCH(B303,Products!$A$5:$A$304,0)),"Not found"))</f>
        <v>0</v>
      </c>
      <c r="O303" s="20">
        <f>IF(B303="","",IFERROR(INDEX(Products!$T$5:$T$304,MATCH(B303,Products!$A$5:$A$304,0)),""))</f>
        <v>0</v>
      </c>
      <c r="P303" s="20">
        <f>IF(B303="","",IFERROR(INDEX(Products!$Z$5:$Z$304,MATCH(B303,Products!$A$5:$A$304,0)),""))</f>
        <v>0</v>
      </c>
      <c r="Q303" s="20">
        <f>IF(B303="","",IFERROR(INDEX(Products!$AH$5:$AH$304,MATCH(B303,Products!$A$5:$A$304,0))-INDEX(Products!$T$5:$T$304,MATCH(B303,Products!$A$5:$A$304,0))-INDEX(Products!$Z$5:$Z$304,MATCH(B303,Products!$A$5:$A$304,0)),0))</f>
        <v>0</v>
      </c>
      <c r="R303" s="36">
        <f>IF(B303="","",IFERROR(INDEX(Products!$X$5:$X$304,MATCH(B303,Products!$A$5:$A$304,0)),""))</f>
        <v>0</v>
      </c>
      <c r="S303" s="20">
        <f>IF(B303="","",IFERROR(INDEX(Products!$AR$5:$AR$304,MATCH(B303,Products!$A$5:$A$304,0)),""))</f>
        <v>0</v>
      </c>
      <c r="T303" s="41">
        <f>IF(B303="","",IFERROR(INDEX(SizeMaterialFactors,MATCH(E303,SizeNames,0)),1))</f>
        <v>0</v>
      </c>
      <c r="U303" s="41">
        <f>IF(B303="","",IFERROR(INDEX(SizeTimeFactors,MATCH(E303,SizeNames,0)),1))</f>
        <v>0</v>
      </c>
      <c r="V303" s="33">
        <f>IF(B303="","",IFERROR(INDEX(RushFactors,MATCH(H303,RushNames,0)),0))</f>
        <v>0</v>
      </c>
      <c r="W303" s="20">
        <f>IF(B303="","",ROUND(IF(O303="",0,O303)*T303+IF(F303="",0,F303),2))</f>
        <v>0</v>
      </c>
      <c r="X303" s="36">
        <f>IF(B303="","",ROUND(IF(R303="",0,R303)*U303+IF(G303="",0,G303),1))</f>
        <v>0</v>
      </c>
      <c r="Y303" s="20">
        <f>IF(B303="","",ROUND(IF(P303="",0,P303)*U303+IF(G303="",0,G303)/60*LaborCostHour,2))</f>
        <v>0</v>
      </c>
      <c r="Z303" s="20">
        <f>IF(B303="","",ROUND(W303+Y303+IF(Q303="",0,Q303),2))</f>
        <v>0</v>
      </c>
      <c r="AA303" s="33">
        <f>IF(B303="","",IFERROR(INDEX(Channels!$S$5:$S$18,MATCH(IF(J303="",DefaultChannel,J303),Channels!$A$5:$A$18,0)),0))</f>
        <v>0</v>
      </c>
      <c r="AB303" s="20">
        <f>IF(B303="","",IFERROR(INDEX(Channels!$T$5:$T$18,MATCH(IF(J303="",DefaultChannel,J303),Channels!$A$5:$A$18,0)),0))</f>
        <v>0</v>
      </c>
      <c r="AC303" s="41">
        <f>IF(B303="","",1-TargetRetailMargin-AA303)</f>
        <v>0</v>
      </c>
      <c r="AD303" s="20">
        <f>IF(B303="","",IF(AC303&lt;=0,"",((Z303+AB303)/AC303)*(1+V303)+IF(I303="",0,I303)))</f>
        <v>0</v>
      </c>
      <c r="AE303" s="20">
        <f>IF(B303="","",IF(AD303="","Check the settings",ROUND(IF(RoundingRule="None",AD303,IF(RoundingRule="Nearest 0.99",MAX(0.99,CEILING(AD303,1)-0.01),IF(RoundingRule="Nearest 0.95",MAX(0.95,CEILING(AD303,1)-0.05),IF(RoundingRule="Nearest 0.50",CEILING(AD303,0.5),IF(RoundingRule="Nearest 1",CEILING(AD303,1),IF(RoundingRule="Nearest 5",CEILING(AD303,5),IF(RoundingRule="Up to whole 1",CEILING(AD303,1),IF(RoundingRule="Up to whole 5",CEILING(AD303,5),ROUND(AD303,2))))))))),2)))</f>
        <v>0</v>
      </c>
      <c r="AF303" s="20">
        <f>IF(B303="","",IF(K303&lt;&gt;"",K303,IF(ISNUMBER(AE303),AE303,"")))</f>
        <v>0</v>
      </c>
      <c r="AG303" s="20">
        <f>IF(B303="","",IF(OR(AF303="",S303=""),"",ROUND(AF303-S303,2)))</f>
        <v>0</v>
      </c>
      <c r="AH303" s="20">
        <f>IF(B303="","",IF(AF303="","",ROUND(AF303*AA303+AB303,2)))</f>
        <v>0</v>
      </c>
      <c r="AI303" s="20">
        <f>IF(B303="","",IF(AF303="","",ROUND(AF303-Z303-AH303,2)))</f>
        <v>0</v>
      </c>
      <c r="AJ303" s="33">
        <f>IF(B303="","",IF(OR(AF303="",AF303=0),"",AI303/AF303))</f>
        <v>0</v>
      </c>
      <c r="AK303" s="20">
        <f>IF(B303="","",IF(OR(X303=0,X303="",AI303=""),"",ROUND((AI303+Y303)/(X303/60),2)))</f>
        <v>0</v>
      </c>
      <c r="AL303" s="43">
        <f>IF(B303="","",IF(N303="Not found","Check - no such product ID",IF(AF303="","Check - no price yet",IF(AI303&lt;0,"Loss - this version costs you money",IF(AND(AK303&lt;&gt;"",AK303&lt;MinimumWage),"Below - pays under minimum wage",IF(AND(G303&gt;0,AG303&lt;=0),"Check - extra work, no extra charge",IF(AJ303&lt;MarginWarning,"Low margin - re-price it","OK")))))))</f>
        <v>0</v>
      </c>
    </row>
    <row r="304" spans="1:38">
      <c r="A304" s="38">
        <f>IF(C304="","",VariationPrefix&amp;TEXT(ROW()-4,"0000"))</f>
        <v>0</v>
      </c>
      <c r="N304" s="13">
        <f>IF(B304="","",IFERROR(INDEX(Products!$B$5:$B$304,MATCH(B304,Products!$A$5:$A$304,0)),"Not found"))</f>
        <v>0</v>
      </c>
      <c r="O304" s="20">
        <f>IF(B304="","",IFERROR(INDEX(Products!$T$5:$T$304,MATCH(B304,Products!$A$5:$A$304,0)),""))</f>
        <v>0</v>
      </c>
      <c r="P304" s="20">
        <f>IF(B304="","",IFERROR(INDEX(Products!$Z$5:$Z$304,MATCH(B304,Products!$A$5:$A$304,0)),""))</f>
        <v>0</v>
      </c>
      <c r="Q304" s="20">
        <f>IF(B304="","",IFERROR(INDEX(Products!$AH$5:$AH$304,MATCH(B304,Products!$A$5:$A$304,0))-INDEX(Products!$T$5:$T$304,MATCH(B304,Products!$A$5:$A$304,0))-INDEX(Products!$Z$5:$Z$304,MATCH(B304,Products!$A$5:$A$304,0)),0))</f>
        <v>0</v>
      </c>
      <c r="R304" s="36">
        <f>IF(B304="","",IFERROR(INDEX(Products!$X$5:$X$304,MATCH(B304,Products!$A$5:$A$304,0)),""))</f>
        <v>0</v>
      </c>
      <c r="S304" s="20">
        <f>IF(B304="","",IFERROR(INDEX(Products!$AR$5:$AR$304,MATCH(B304,Products!$A$5:$A$304,0)),""))</f>
        <v>0</v>
      </c>
      <c r="T304" s="41">
        <f>IF(B304="","",IFERROR(INDEX(SizeMaterialFactors,MATCH(E304,SizeNames,0)),1))</f>
        <v>0</v>
      </c>
      <c r="U304" s="41">
        <f>IF(B304="","",IFERROR(INDEX(SizeTimeFactors,MATCH(E304,SizeNames,0)),1))</f>
        <v>0</v>
      </c>
      <c r="V304" s="33">
        <f>IF(B304="","",IFERROR(INDEX(RushFactors,MATCH(H304,RushNames,0)),0))</f>
        <v>0</v>
      </c>
      <c r="W304" s="20">
        <f>IF(B304="","",ROUND(IF(O304="",0,O304)*T304+IF(F304="",0,F304),2))</f>
        <v>0</v>
      </c>
      <c r="X304" s="36">
        <f>IF(B304="","",ROUND(IF(R304="",0,R304)*U304+IF(G304="",0,G304),1))</f>
        <v>0</v>
      </c>
      <c r="Y304" s="20">
        <f>IF(B304="","",ROUND(IF(P304="",0,P304)*U304+IF(G304="",0,G304)/60*LaborCostHour,2))</f>
        <v>0</v>
      </c>
      <c r="Z304" s="20">
        <f>IF(B304="","",ROUND(W304+Y304+IF(Q304="",0,Q304),2))</f>
        <v>0</v>
      </c>
      <c r="AA304" s="33">
        <f>IF(B304="","",IFERROR(INDEX(Channels!$S$5:$S$18,MATCH(IF(J304="",DefaultChannel,J304),Channels!$A$5:$A$18,0)),0))</f>
        <v>0</v>
      </c>
      <c r="AB304" s="20">
        <f>IF(B304="","",IFERROR(INDEX(Channels!$T$5:$T$18,MATCH(IF(J304="",DefaultChannel,J304),Channels!$A$5:$A$18,0)),0))</f>
        <v>0</v>
      </c>
      <c r="AC304" s="41">
        <f>IF(B304="","",1-TargetRetailMargin-AA304)</f>
        <v>0</v>
      </c>
      <c r="AD304" s="20">
        <f>IF(B304="","",IF(AC304&lt;=0,"",((Z304+AB304)/AC304)*(1+V304)+IF(I304="",0,I304)))</f>
        <v>0</v>
      </c>
      <c r="AE304" s="20">
        <f>IF(B304="","",IF(AD304="","Check the settings",ROUND(IF(RoundingRule="None",AD304,IF(RoundingRule="Nearest 0.99",MAX(0.99,CEILING(AD304,1)-0.01),IF(RoundingRule="Nearest 0.95",MAX(0.95,CEILING(AD304,1)-0.05),IF(RoundingRule="Nearest 0.50",CEILING(AD304,0.5),IF(RoundingRule="Nearest 1",CEILING(AD304,1),IF(RoundingRule="Nearest 5",CEILING(AD304,5),IF(RoundingRule="Up to whole 1",CEILING(AD304,1),IF(RoundingRule="Up to whole 5",CEILING(AD304,5),ROUND(AD304,2))))))))),2)))</f>
        <v>0</v>
      </c>
      <c r="AF304" s="20">
        <f>IF(B304="","",IF(K304&lt;&gt;"",K304,IF(ISNUMBER(AE304),AE304,"")))</f>
        <v>0</v>
      </c>
      <c r="AG304" s="20">
        <f>IF(B304="","",IF(OR(AF304="",S304=""),"",ROUND(AF304-S304,2)))</f>
        <v>0</v>
      </c>
      <c r="AH304" s="20">
        <f>IF(B304="","",IF(AF304="","",ROUND(AF304*AA304+AB304,2)))</f>
        <v>0</v>
      </c>
      <c r="AI304" s="20">
        <f>IF(B304="","",IF(AF304="","",ROUND(AF304-Z304-AH304,2)))</f>
        <v>0</v>
      </c>
      <c r="AJ304" s="33">
        <f>IF(B304="","",IF(OR(AF304="",AF304=0),"",AI304/AF304))</f>
        <v>0</v>
      </c>
      <c r="AK304" s="20">
        <f>IF(B304="","",IF(OR(X304=0,X304="",AI304=""),"",ROUND((AI304+Y304)/(X304/60),2)))</f>
        <v>0</v>
      </c>
      <c r="AL304" s="43">
        <f>IF(B304="","",IF(N304="Not found","Check - no such product ID",IF(AF304="","Check - no price yet",IF(AI304&lt;0,"Loss - this version costs you money",IF(AND(AK304&lt;&gt;"",AK304&lt;MinimumWage),"Below - pays under minimum wage",IF(AND(G304&gt;0,AG304&lt;=0),"Check - extra work, no extra charge",IF(AJ304&lt;MarginWarning,"Low margin - re-price it","OK")))))))</f>
        <v>0</v>
      </c>
    </row>
  </sheetData>
  <sheetProtection password="EC7C" sheet="1" objects="1" scenarios="1" formatCells="0" formatColumns="0" formatRows="0" insertRows="0" insertHyperlinks="0" deleteRows="0" autoFilter="0"/>
  <autoFilter ref="A4:AL304"/>
  <mergeCells count="13">
    <mergeCell ref="A1:AI1"/>
    <mergeCell ref="AJ1:AL1"/>
    <mergeCell ref="A2:AL2"/>
    <mergeCell ref="A3:B3"/>
    <mergeCell ref="C3:D3"/>
    <mergeCell ref="E3:F3"/>
    <mergeCell ref="G3:H3"/>
    <mergeCell ref="I3:J3"/>
    <mergeCell ref="K3:L3"/>
    <mergeCell ref="M3:N3"/>
    <mergeCell ref="O3:P3"/>
    <mergeCell ref="Q3:R3"/>
    <mergeCell ref="S3:AL3"/>
  </mergeCells>
  <conditionalFormatting sqref="AI5:AI304">
    <cfRule type="cellIs" dxfId="5" priority="1" operator="lessThan">
      <formula>0</formula>
    </cfRule>
    <cfRule type="cellIs" dxfId="1" priority="2" operator="greaterThan">
      <formula>0</formula>
    </cfRule>
  </conditionalFormatting>
  <conditionalFormatting sqref="AJ5:AJ30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AK5:AK304">
    <cfRule type="cellIs" dxfId="2" priority="6" operator="lessThan">
      <formula>MinimumWage</formula>
    </cfRule>
  </conditionalFormatting>
  <conditionalFormatting sqref="AL5:AL304">
    <cfRule type="beginsWith" dxfId="1" priority="7" operator="beginsWith" text="OK">
      <formula>LEFT(AL5,2)="OK"</formula>
    </cfRule>
    <cfRule type="containsText" dxfId="2" priority="8" operator="containsText" text="Overdue">
      <formula>NOT(ISERROR(SEARCH("Overdue",AL5)))</formula>
    </cfRule>
    <cfRule type="containsText" dxfId="2" priority="9" operator="containsText" text="Late">
      <formula>NOT(ISERROR(SEARCH("Late",AL5)))</formula>
    </cfRule>
    <cfRule type="containsText" dxfId="2" priority="10" operator="containsText" text="Missing">
      <formula>NOT(ISERROR(SEARCH("Missing",AL5)))</formula>
    </cfRule>
    <cfRule type="containsText" dxfId="2" priority="11" operator="containsText" text="Conflict">
      <formula>NOT(ISERROR(SEARCH("Conflict",AL5)))</formula>
    </cfRule>
    <cfRule type="containsText" dxfId="2" priority="12" operator="containsText" text="Clash">
      <formula>NOT(ISERROR(SEARCH("Clash",AL5)))</formula>
    </cfRule>
    <cfRule type="containsText" dxfId="2" priority="13" operator="containsText" text="Expired">
      <formula>NOT(ISERROR(SEARCH("Expired",AL5)))</formula>
    </cfRule>
    <cfRule type="containsText" dxfId="2" priority="14" operator="containsText" text="Duplicate">
      <formula>NOT(ISERROR(SEARCH("Duplicate",AL5)))</formula>
    </cfRule>
    <cfRule type="containsText" dxfId="2" priority="15" operator="containsText" text="Unpaid">
      <formula>NOT(ISERROR(SEARCH("Unpaid",AL5)))</formula>
    </cfRule>
    <cfRule type="containsText" dxfId="2" priority="16" operator="containsText" text="Loss">
      <formula>NOT(ISERROR(SEARCH("Loss",AL5)))</formula>
    </cfRule>
    <cfRule type="containsText" dxfId="2" priority="17" operator="containsText" text="Below">
      <formula>NOT(ISERROR(SEARCH("Below",AL5)))</formula>
    </cfRule>
    <cfRule type="containsText" dxfId="0" priority="18" operator="containsText" text="Action">
      <formula>NOT(ISERROR(SEARCH("Action",AL5)))</formula>
    </cfRule>
    <cfRule type="containsText" dxfId="0" priority="19" operator="containsText" text="Due">
      <formula>NOT(ISERROR(SEARCH("Due",AL5)))</formula>
    </cfRule>
    <cfRule type="containsText" dxfId="0" priority="20" operator="containsText" text="Check">
      <formula>NOT(ISERROR(SEARCH("Check",AL5)))</formula>
    </cfRule>
    <cfRule type="containsText" dxfId="0" priority="21" operator="containsText" text="Chase">
      <formula>NOT(ISERROR(SEARCH("Chase",AL5)))</formula>
    </cfRule>
    <cfRule type="containsText" dxfId="0" priority="22" operator="containsText" text="Assign">
      <formula>NOT(ISERROR(SEARCH("Assign",AL5)))</formula>
    </cfRule>
    <cfRule type="containsText" dxfId="0" priority="23" operator="containsText" text="Confirm">
      <formula>NOT(ISERROR(SEARCH("Confirm",AL5)))</formula>
    </cfRule>
    <cfRule type="containsText" dxfId="0" priority="24" operator="containsText" text="Order">
      <formula>NOT(ISERROR(SEARCH("Order",AL5)))</formula>
    </cfRule>
    <cfRule type="containsText" dxfId="3" priority="25" operator="containsText" text="Today">
      <formula>NOT(ISERROR(SEARCH("Today",AL5)))</formula>
    </cfRule>
    <cfRule type="containsText" dxfId="3" priority="26" operator="containsText" text="Upcoming">
      <formula>NOT(ISERROR(SEARCH("Upcoming",AL5)))</formula>
    </cfRule>
    <cfRule type="containsText" dxfId="3" priority="27" operator="containsText" text="Tomorrow">
      <formula>NOT(ISERROR(SEARCH("Tomorrow",AL5)))</formula>
    </cfRule>
  </conditionalFormatting>
  <dataValidations count="10">
    <dataValidation type="list" allowBlank="1" showInputMessage="1" showErrorMessage="1" promptTitle="Base product" prompt="The variation inherits this product's costs and then adjusts them." sqref="B5:B304">
      <formula1>ProductIDs</formula1>
    </dataValidation>
    <dataValidation type="list" allowBlank="1" showInputMessage="1" showErrorMessage="1" sqref="D5:D304">
      <formula1>VariationTypeList</formula1>
    </dataValidation>
    <dataValidation type="list" allowBlank="1" showInputMessage="1" showErrorMessage="1" promptTitle="Size" prompt="Applies the material and time factors from the Lists tab to the base product." sqref="E5:E304">
      <formula1>SizeNames</formula1>
    </dataValidation>
    <dataValidation type="decimal" allowBlank="1" showInputMessage="1" showErrorMessage="1" errorTitle="Check the value" error="Enter a number between 0 and 100000." promptTitle="Extra materials" prompt="Anything this version uses that the base does not - a bigger clasp, a second colour, a gift box insert." sqref="F5:F304">
      <formula1>0</formula1>
      <formula2>100000</formula2>
    </dataValidation>
    <dataValidation type="whole" allowBlank="1" showInputMessage="1" showErrorMessage="1" errorTitle="Check the value" error="Enter a number between 0 and 100000." promptTitle="Extra minutes" prompt="Personalisation, colour changes, re-threading the machine, an extra fitting." sqref="G5:G304">
      <formula1>0</formula1>
      <formula2>100000</formula2>
    </dataValidation>
    <dataValidation type="list" allowBlank="1" showInputMessage="1" showErrorMessage="1" promptTitle="Turnaround" prompt="Adds the surcharge from the Lists tab. Saying yes to Friday should be worth something." sqref="H5:H304">
      <formula1>RushNames</formula1>
    </dataValidation>
    <dataValidation type="decimal" allowBlank="1" showInputMessage="1" showErrorMessage="1" errorTitle="Check the value" error="Enter a number between 0 and 100000." promptTitle="Personalisation fee" prompt="A flat charge you add on top, if you prefer that to pricing the minutes." sqref="I5:I304">
      <formula1>0</formula1>
      <formula2>100000</formula2>
    </dataValidation>
    <dataValidation type="list" allowBlank="1" showInputMessage="1" showErrorMessage="1" sqref="J5:J304">
      <formula1>ChannelList</formula1>
    </dataValidation>
    <dataValidation type="decimal" allowBlank="1" showInputMessage="1" showErrorMessage="1" errorTitle="Check the value" error="Enter a number between 0 and 1000000." sqref="K5:K304">
      <formula1>0</formula1>
      <formula2>1000000</formula2>
    </dataValidation>
    <dataValidation type="list" allowBlank="1" showInputMessage="1" showErrorMessage="1" promptTitle="Offered?" prompt="No for a variation you costed and decided against - the workbook keeps the reasoning." sqref="L5:L3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&amp;L&amp;"Calibri,Bold"&amp;12&amp;C&amp;"Calibri,Bold"&amp;11Variations&amp;R&amp;"Calibri,Italic"&amp;9Handmade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4.xml><?xml version="1.0" encoding="utf-8"?>
<worksheet xmlns="http://schemas.openxmlformats.org/spreadsheetml/2006/main" xmlns:r="http://schemas.openxmlformats.org/officeDocument/2006/relationships">
  <sheetPr>
    <tabColor rgb="FFB5704F"/>
    <pageSetUpPr fitToPage="1"/>
  </sheetPr>
  <dimension ref="A1:AE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12.7109375" style="46" customWidth="1"/>
    <col min="3" max="3" width="24.7109375" style="13" customWidth="1"/>
    <col min="4" max="4" width="11.7109375" style="22" customWidth="1"/>
    <col min="5" max="5" width="11.7109375" style="22" customWidth="1"/>
    <col min="6" max="6" width="9.7109375" style="16" customWidth="1"/>
    <col min="7" max="7" width="8.7109375" style="16" customWidth="1"/>
    <col min="8" max="8" width="13.7109375" style="16" customWidth="1"/>
    <col min="9" max="9" width="13.7109375" style="18" customWidth="1"/>
    <col min="10" max="10" width="14.7109375" style="18" customWidth="1"/>
    <col min="11" max="11" width="12.7109375" style="52" customWidth="1"/>
    <col min="12" max="12" width="11.7109375" style="18" customWidth="1"/>
    <col min="13" max="13" width="15.7109375" style="39" customWidth="1"/>
    <col min="14" max="14" width="26.7109375" style="40" customWidth="1"/>
    <col min="15" max="15" width="10.7109375" style="32" customWidth="1"/>
    <col min="16" max="16" width="10.7109375" style="33" customWidth="1"/>
    <col min="17" max="17" width="13.7109375" style="20" hidden="1" customWidth="1"/>
    <col min="18" max="18" width="12.7109375" style="36" hidden="1" customWidth="1"/>
    <col min="19" max="19" width="12.7109375" style="20" customWidth="1"/>
    <col min="20" max="20" width="11.7109375" style="20" customWidth="1"/>
    <col min="21" max="21" width="11.7109375" style="20" customWidth="1"/>
    <col min="22" max="22" width="12.7109375" style="20" customWidth="1"/>
    <col min="23" max="23" width="12.7109375" style="20" hidden="1" customWidth="1"/>
    <col min="24" max="24" width="11.7109375" style="20" customWidth="1"/>
    <col min="25" max="25" width="9.7109375" style="33" hidden="1" customWidth="1"/>
    <col min="26" max="26" width="11.7109375" style="36" customWidth="1"/>
    <col min="27" max="27" width="12.7109375" style="36" customWidth="1"/>
    <col min="28" max="28" width="13.7109375" style="20" customWidth="1"/>
    <col min="29" max="29" width="14.7109375" style="20" customWidth="1"/>
    <col min="30" max="30" width="10.7109375" style="32" hidden="1" customWidth="1"/>
    <col min="31" max="31" width="30.7109375" style="43" customWidth="1"/>
  </cols>
  <sheetData>
    <row r="1" spans="1:31" ht="34" customHeight="1">
      <c r="A1" s="2" t="s">
        <v>1529</v>
      </c>
      <c r="B1" s="2"/>
      <c r="C1" s="2"/>
      <c r="D1" s="2"/>
      <c r="E1" s="2"/>
      <c r="F1" s="2"/>
      <c r="G1" s="2"/>
      <c r="H1" s="2"/>
      <c r="I1" s="2"/>
      <c r="J1" s="2"/>
      <c r="K1" s="2"/>
      <c r="L1" s="2"/>
      <c r="M1" s="2"/>
      <c r="N1" s="2"/>
      <c r="O1" s="2"/>
      <c r="P1" s="2"/>
      <c r="Q1" s="2"/>
      <c r="R1" s="2"/>
      <c r="S1" s="2"/>
      <c r="T1" s="2"/>
      <c r="U1" s="2"/>
      <c r="V1" s="2"/>
      <c r="W1" s="2"/>
      <c r="X1" s="2"/>
      <c r="Y1" s="2"/>
      <c r="Z1" s="2"/>
      <c r="AA1" s="2"/>
      <c r="AB1" s="2"/>
      <c r="AC1" s="3" t="s">
        <v>1</v>
      </c>
      <c r="AD1" s="3"/>
      <c r="AE1" s="3"/>
    </row>
    <row r="2" spans="1:31" ht="18" customHeight="1">
      <c r="A2" s="4" t="s">
        <v>1530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1531</v>
      </c>
      <c r="T3" s="44"/>
      <c r="U3" s="44"/>
      <c r="V3" s="44"/>
      <c r="W3" s="44"/>
      <c r="X3" s="44"/>
      <c r="Y3" s="44"/>
      <c r="Z3" s="44"/>
      <c r="AA3" s="44"/>
      <c r="AB3" s="44"/>
      <c r="AC3" s="44"/>
      <c r="AD3" s="44"/>
      <c r="AE3" s="44"/>
    </row>
    <row r="4" spans="1:31" ht="30" customHeight="1">
      <c r="A4" s="8" t="s">
        <v>451</v>
      </c>
      <c r="B4" s="8" t="s">
        <v>354</v>
      </c>
      <c r="C4" s="9" t="s">
        <v>719</v>
      </c>
      <c r="D4" s="9" t="s">
        <v>914</v>
      </c>
      <c r="E4" s="9" t="s">
        <v>1532</v>
      </c>
      <c r="F4" s="9" t="s">
        <v>1533</v>
      </c>
      <c r="G4" s="9" t="s">
        <v>1534</v>
      </c>
      <c r="H4" s="9" t="s">
        <v>1535</v>
      </c>
      <c r="I4" s="9" t="s">
        <v>1536</v>
      </c>
      <c r="J4" s="9" t="s">
        <v>1537</v>
      </c>
      <c r="K4" s="9" t="s">
        <v>1538</v>
      </c>
      <c r="L4" s="9" t="s">
        <v>1037</v>
      </c>
      <c r="M4" s="9" t="s">
        <v>453</v>
      </c>
      <c r="N4" s="9" t="s">
        <v>466</v>
      </c>
      <c r="O4" s="9" t="s">
        <v>1539</v>
      </c>
      <c r="P4" s="9" t="s">
        <v>1540</v>
      </c>
      <c r="Q4" s="9" t="s">
        <v>1541</v>
      </c>
      <c r="R4" s="9" t="s">
        <v>1542</v>
      </c>
      <c r="S4" s="9" t="s">
        <v>1543</v>
      </c>
      <c r="T4" s="9" t="s">
        <v>1544</v>
      </c>
      <c r="U4" s="9" t="s">
        <v>1545</v>
      </c>
      <c r="V4" s="9" t="s">
        <v>1546</v>
      </c>
      <c r="W4" s="9" t="s">
        <v>1547</v>
      </c>
      <c r="X4" s="9" t="s">
        <v>1548</v>
      </c>
      <c r="Y4" s="9" t="s">
        <v>1549</v>
      </c>
      <c r="Z4" s="9" t="s">
        <v>1550</v>
      </c>
      <c r="AA4" s="9" t="s">
        <v>1551</v>
      </c>
      <c r="AB4" s="9" t="s">
        <v>1552</v>
      </c>
      <c r="AC4" s="9" t="s">
        <v>1553</v>
      </c>
      <c r="AD4" s="9" t="s">
        <v>1554</v>
      </c>
      <c r="AE4" s="9" t="s">
        <v>510</v>
      </c>
    </row>
    <row r="5" spans="1:31">
      <c r="A5" s="38">
        <f>IF(B5="","",BatchPrefix&amp;TEXT(ROW()-4,"0000"))</f>
        <v>0</v>
      </c>
      <c r="B5" s="46" t="s">
        <v>1344</v>
      </c>
      <c r="C5" s="13">
        <f>IF(B5="","",IFERROR(INDEX(Products!$B$5:$B$304,MATCH(B5,Products!$A$5:$A$304,0)),"Not found"))</f>
        <v>0</v>
      </c>
      <c r="D5" s="22">
        <v>46277</v>
      </c>
      <c r="E5" s="22">
        <v>46279</v>
      </c>
      <c r="F5" s="16">
        <v>12</v>
      </c>
      <c r="G5" s="16">
        <v>12</v>
      </c>
      <c r="H5" s="16">
        <v>2</v>
      </c>
      <c r="I5" s="18">
        <v>24</v>
      </c>
      <c r="J5" s="18">
        <v>64.8</v>
      </c>
      <c r="K5" s="52">
        <v>2.6</v>
      </c>
      <c r="L5" s="18">
        <v>0</v>
      </c>
      <c r="M5" s="39" t="s">
        <v>1555</v>
      </c>
      <c r="N5" s="40" t="s">
        <v>1556</v>
      </c>
      <c r="O5" s="32">
        <f>IF(B5="","",MAX(0,IF(G5="",0,G5)-IF(H5="",0,H5)))</f>
        <v>0</v>
      </c>
      <c r="P5" s="33">
        <f>IF(B5="","",IF(OR(G5="",G5=0),"",IF(H5="",0,H5)/G5))</f>
        <v>0</v>
      </c>
      <c r="Q5" s="20">
        <f>IF(B5="","",IFERROR(INDEX(Products!$T$5:$T$304,MATCH(B5,Products!$A$5:$A$304,0)),""))</f>
        <v>0</v>
      </c>
      <c r="R5" s="36">
        <f>IF(B5="","",IFERROR(INDEX(Products!$X$5:$X$304,MATCH(B5,Products!$A$5:$A$304,0)),""))</f>
        <v>0</v>
      </c>
      <c r="S5" s="20">
        <f>IF(B5="","",ROUND(IF(J5&lt;&gt;"",J5,IF(Q5="",0,Q5)*IF(G5="",0,G5)),2))</f>
        <v>0</v>
      </c>
      <c r="T5" s="20">
        <f>IF(B5="","",ROUND(IF(K5&lt;&gt;"",K5,IF(R5="",0,R5)*IF(G5="",0,G5)/60)*LaborCostHour,2))</f>
        <v>0</v>
      </c>
      <c r="U5" s="20">
        <f>IF(B5="","",ROUND(S5+T5+IF(L5="",0,L5)-IF(I5="",0,I5),2))</f>
        <v>0</v>
      </c>
      <c r="V5" s="20">
        <f>IF(B5="","",IF(O5=0,"",ROUND(U5/O5,2)))</f>
        <v>0</v>
      </c>
      <c r="W5" s="20">
        <f>IF(B5="","",IFERROR(INDEX(Products!$AH$5:$AH$304,MATCH(B5,Products!$A$5:$A$304,0)),""))</f>
        <v>0</v>
      </c>
      <c r="X5" s="20">
        <f>IF(B5="","",IF(OR(V5="",W5=""),"",ROUND(V5-W5,2)))</f>
        <v>0</v>
      </c>
      <c r="Y5" s="33">
        <f>IF(B5="","",IF(OR(X5="",W5="",W5=0),"",X5/W5))</f>
        <v>0</v>
      </c>
      <c r="Z5" s="36">
        <f>IF(B5="","",IF(OR(K5="",G5="",G5=0),"",ROUND(K5*60/G5,1)))</f>
        <v>0</v>
      </c>
      <c r="AA5" s="36">
        <f>IF(B5="","",IF(OR(Z5="",R5=""),"",ROUND(Z5-R5,1)))</f>
        <v>0</v>
      </c>
      <c r="AB5" s="20">
        <f>IF(B5="","",IFERROR(ROUND(O5*INDEX(Products!$AR$5:$AR$304,MATCH(B5,Products!$A$5:$A$304,0)),2),""))</f>
        <v>0</v>
      </c>
      <c r="AC5" s="20">
        <f>IF(B5="","",IF(AB5="","",ROUND(AB5-U5,2)))</f>
        <v>0</v>
      </c>
      <c r="AD5" s="32">
        <f>IF(B5="","",IF(OR(D5="",E5=""),"",E5-D5))</f>
        <v>0</v>
      </c>
      <c r="AE5" s="43">
        <f>IF(B5="","",IF(G5="","Planned - nothing made yet",IF(O5=0,"Check - no good units",IF(AND(Y5&lt;&gt;"",Y5&gt;0.15),"Check - costing 15% more than the estimate",IF(AND(P5&lt;&gt;"",P5&gt;DefaultDefect*2),"Check - high failure rate",IF(AND(AA5&lt;&gt;"",AA5&gt;5),"Check - taking longer than estimated",IF(AC5&lt;0,"Loss - this run lost money","OK")))))))</f>
        <v>0</v>
      </c>
    </row>
    <row r="6" spans="1:31">
      <c r="A6" s="38">
        <f>IF(B6="","",BatchPrefix&amp;TEXT(ROW()-4,"0000"))</f>
        <v>0</v>
      </c>
      <c r="B6" s="46" t="s">
        <v>1351</v>
      </c>
      <c r="C6" s="13">
        <f>IF(B6="","",IFERROR(INDEX(Products!$B$5:$B$304,MATCH(B6,Products!$A$5:$A$304,0)),"Not found"))</f>
        <v>0</v>
      </c>
      <c r="D6" s="22">
        <v>46277</v>
      </c>
      <c r="E6" s="22">
        <v>46278</v>
      </c>
      <c r="F6" s="16">
        <v>24</v>
      </c>
      <c r="G6" s="16">
        <v>24</v>
      </c>
      <c r="H6" s="16">
        <v>1</v>
      </c>
      <c r="I6" s="18">
        <v>9</v>
      </c>
      <c r="J6" s="18">
        <v>71.5</v>
      </c>
      <c r="K6" s="52">
        <v>3.1</v>
      </c>
      <c r="L6" s="18">
        <v>0</v>
      </c>
      <c r="M6" s="39" t="s">
        <v>1555</v>
      </c>
      <c r="O6" s="32">
        <f>IF(B6="","",MAX(0,IF(G6="",0,G6)-IF(H6="",0,H6)))</f>
        <v>0</v>
      </c>
      <c r="P6" s="33">
        <f>IF(B6="","",IF(OR(G6="",G6=0),"",IF(H6="",0,H6)/G6))</f>
        <v>0</v>
      </c>
      <c r="Q6" s="20">
        <f>IF(B6="","",IFERROR(INDEX(Products!$T$5:$T$304,MATCH(B6,Products!$A$5:$A$304,0)),""))</f>
        <v>0</v>
      </c>
      <c r="R6" s="36">
        <f>IF(B6="","",IFERROR(INDEX(Products!$X$5:$X$304,MATCH(B6,Products!$A$5:$A$304,0)),""))</f>
        <v>0</v>
      </c>
      <c r="S6" s="20">
        <f>IF(B6="","",ROUND(IF(J6&lt;&gt;"",J6,IF(Q6="",0,Q6)*IF(G6="",0,G6)),2))</f>
        <v>0</v>
      </c>
      <c r="T6" s="20">
        <f>IF(B6="","",ROUND(IF(K6&lt;&gt;"",K6,IF(R6="",0,R6)*IF(G6="",0,G6)/60)*LaborCostHour,2))</f>
        <v>0</v>
      </c>
      <c r="U6" s="20">
        <f>IF(B6="","",ROUND(S6+T6+IF(L6="",0,L6)-IF(I6="",0,I6),2))</f>
        <v>0</v>
      </c>
      <c r="V6" s="20">
        <f>IF(B6="","",IF(O6=0,"",ROUND(U6/O6,2)))</f>
        <v>0</v>
      </c>
      <c r="W6" s="20">
        <f>IF(B6="","",IFERROR(INDEX(Products!$AH$5:$AH$304,MATCH(B6,Products!$A$5:$A$304,0)),""))</f>
        <v>0</v>
      </c>
      <c r="X6" s="20">
        <f>IF(B6="","",IF(OR(V6="",W6=""),"",ROUND(V6-W6,2)))</f>
        <v>0</v>
      </c>
      <c r="Y6" s="33">
        <f>IF(B6="","",IF(OR(X6="",W6="",W6=0),"",X6/W6))</f>
        <v>0</v>
      </c>
      <c r="Z6" s="36">
        <f>IF(B6="","",IF(OR(K6="",G6="",G6=0),"",ROUND(K6*60/G6,1)))</f>
        <v>0</v>
      </c>
      <c r="AA6" s="36">
        <f>IF(B6="","",IF(OR(Z6="",R6=""),"",ROUND(Z6-R6,1)))</f>
        <v>0</v>
      </c>
      <c r="AB6" s="20">
        <f>IF(B6="","",IFERROR(ROUND(O6*INDEX(Products!$AR$5:$AR$304,MATCH(B6,Products!$A$5:$A$304,0)),2),""))</f>
        <v>0</v>
      </c>
      <c r="AC6" s="20">
        <f>IF(B6="","",IF(AB6="","",ROUND(AB6-U6,2)))</f>
        <v>0</v>
      </c>
      <c r="AD6" s="32">
        <f>IF(B6="","",IF(OR(D6="",E6=""),"",E6-D6))</f>
        <v>0</v>
      </c>
      <c r="AE6" s="43">
        <f>IF(B6="","",IF(G6="","Planned - nothing made yet",IF(O6=0,"Check - no good units",IF(AND(Y6&lt;&gt;"",Y6&gt;0.15),"Check - costing 15% more than the estimate",IF(AND(P6&lt;&gt;"",P6&gt;DefaultDefect*2),"Check - high failure rate",IF(AND(AA6&lt;&gt;"",AA6&gt;5),"Check - taking longer than estimated",IF(AC6&lt;0,"Loss - this run lost money","OK")))))))</f>
        <v>0</v>
      </c>
    </row>
    <row r="7" spans="1:31">
      <c r="A7" s="38">
        <f>IF(B7="","",BatchPrefix&amp;TEXT(ROW()-4,"0000"))</f>
        <v>0</v>
      </c>
      <c r="B7" s="46" t="s">
        <v>1256</v>
      </c>
      <c r="C7" s="13">
        <f>IF(B7="","",IFERROR(INDEX(Products!$B$5:$B$304,MATCH(B7,Products!$A$5:$A$304,0)),"Not found"))</f>
        <v>0</v>
      </c>
      <c r="D7" s="22">
        <v>46292</v>
      </c>
      <c r="E7" s="22">
        <v>46299</v>
      </c>
      <c r="F7" s="16">
        <v>6</v>
      </c>
      <c r="G7" s="16">
        <v>6</v>
      </c>
      <c r="H7" s="16">
        <v>0</v>
      </c>
      <c r="J7" s="18">
        <v>58.4</v>
      </c>
      <c r="K7" s="52">
        <v>10.8</v>
      </c>
      <c r="L7" s="18">
        <v>0</v>
      </c>
      <c r="M7" s="39" t="s">
        <v>1555</v>
      </c>
      <c r="N7" s="40" t="s">
        <v>1557</v>
      </c>
      <c r="O7" s="32">
        <f>IF(B7="","",MAX(0,IF(G7="",0,G7)-IF(H7="",0,H7)))</f>
        <v>0</v>
      </c>
      <c r="P7" s="33">
        <f>IF(B7="","",IF(OR(G7="",G7=0),"",IF(H7="",0,H7)/G7))</f>
        <v>0</v>
      </c>
      <c r="Q7" s="20">
        <f>IF(B7="","",IFERROR(INDEX(Products!$T$5:$T$304,MATCH(B7,Products!$A$5:$A$304,0)),""))</f>
        <v>0</v>
      </c>
      <c r="R7" s="36">
        <f>IF(B7="","",IFERROR(INDEX(Products!$X$5:$X$304,MATCH(B7,Products!$A$5:$A$304,0)),""))</f>
        <v>0</v>
      </c>
      <c r="S7" s="20">
        <f>IF(B7="","",ROUND(IF(J7&lt;&gt;"",J7,IF(Q7="",0,Q7)*IF(G7="",0,G7)),2))</f>
        <v>0</v>
      </c>
      <c r="T7" s="20">
        <f>IF(B7="","",ROUND(IF(K7&lt;&gt;"",K7,IF(R7="",0,R7)*IF(G7="",0,G7)/60)*LaborCostHour,2))</f>
        <v>0</v>
      </c>
      <c r="U7" s="20">
        <f>IF(B7="","",ROUND(S7+T7+IF(L7="",0,L7)-IF(I7="",0,I7),2))</f>
        <v>0</v>
      </c>
      <c r="V7" s="20">
        <f>IF(B7="","",IF(O7=0,"",ROUND(U7/O7,2)))</f>
        <v>0</v>
      </c>
      <c r="W7" s="20">
        <f>IF(B7="","",IFERROR(INDEX(Products!$AH$5:$AH$304,MATCH(B7,Products!$A$5:$A$304,0)),""))</f>
        <v>0</v>
      </c>
      <c r="X7" s="20">
        <f>IF(B7="","",IF(OR(V7="",W7=""),"",ROUND(V7-W7,2)))</f>
        <v>0</v>
      </c>
      <c r="Y7" s="33">
        <f>IF(B7="","",IF(OR(X7="",W7="",W7=0),"",X7/W7))</f>
        <v>0</v>
      </c>
      <c r="Z7" s="36">
        <f>IF(B7="","",IF(OR(K7="",G7="",G7=0),"",ROUND(K7*60/G7,1)))</f>
        <v>0</v>
      </c>
      <c r="AA7" s="36">
        <f>IF(B7="","",IF(OR(Z7="",R7=""),"",ROUND(Z7-R7,1)))</f>
        <v>0</v>
      </c>
      <c r="AB7" s="20">
        <f>IF(B7="","",IFERROR(ROUND(O7*INDEX(Products!$AR$5:$AR$304,MATCH(B7,Products!$A$5:$A$304,0)),2),""))</f>
        <v>0</v>
      </c>
      <c r="AC7" s="20">
        <f>IF(B7="","",IF(AB7="","",ROUND(AB7-U7,2)))</f>
        <v>0</v>
      </c>
      <c r="AD7" s="32">
        <f>IF(B7="","",IF(OR(D7="",E7=""),"",E7-D7))</f>
        <v>0</v>
      </c>
      <c r="AE7" s="43">
        <f>IF(B7="","",IF(G7="","Planned - nothing made yet",IF(O7=0,"Check - no good units",IF(AND(Y7&lt;&gt;"",Y7&gt;0.15),"Check - costing 15% more than the estimate",IF(AND(P7&lt;&gt;"",P7&gt;DefaultDefect*2),"Check - high failure rate",IF(AND(AA7&lt;&gt;"",AA7&gt;5),"Check - taking longer than estimated",IF(AC7&lt;0,"Loss - this run lost money","OK")))))))</f>
        <v>0</v>
      </c>
    </row>
    <row r="8" spans="1:31">
      <c r="A8" s="38">
        <f>IF(B8="","",BatchPrefix&amp;TEXT(ROW()-4,"0000"))</f>
        <v>0</v>
      </c>
      <c r="B8" s="46" t="s">
        <v>735</v>
      </c>
      <c r="C8" s="13">
        <f>IF(B8="","",IFERROR(INDEX(Products!$B$5:$B$304,MATCH(B8,Products!$A$5:$A$304,0)),"Not found"))</f>
        <v>0</v>
      </c>
      <c r="D8" s="22">
        <v>46303</v>
      </c>
      <c r="E8" s="22">
        <v>46310</v>
      </c>
      <c r="F8" s="16">
        <v>4</v>
      </c>
      <c r="G8" s="16">
        <v>4</v>
      </c>
      <c r="H8" s="16">
        <v>1</v>
      </c>
      <c r="I8" s="18">
        <v>22</v>
      </c>
      <c r="J8" s="18">
        <v>31.2</v>
      </c>
      <c r="K8" s="52">
        <v>9.6</v>
      </c>
      <c r="L8" s="18">
        <v>0</v>
      </c>
      <c r="M8" s="39" t="s">
        <v>1555</v>
      </c>
      <c r="N8" s="40" t="s">
        <v>1558</v>
      </c>
      <c r="O8" s="32">
        <f>IF(B8="","",MAX(0,IF(G8="",0,G8)-IF(H8="",0,H8)))</f>
        <v>0</v>
      </c>
      <c r="P8" s="33">
        <f>IF(B8="","",IF(OR(G8="",G8=0),"",IF(H8="",0,H8)/G8))</f>
        <v>0</v>
      </c>
      <c r="Q8" s="20">
        <f>IF(B8="","",IFERROR(INDEX(Products!$T$5:$T$304,MATCH(B8,Products!$A$5:$A$304,0)),""))</f>
        <v>0</v>
      </c>
      <c r="R8" s="36">
        <f>IF(B8="","",IFERROR(INDEX(Products!$X$5:$X$304,MATCH(B8,Products!$A$5:$A$304,0)),""))</f>
        <v>0</v>
      </c>
      <c r="S8" s="20">
        <f>IF(B8="","",ROUND(IF(J8&lt;&gt;"",J8,IF(Q8="",0,Q8)*IF(G8="",0,G8)),2))</f>
        <v>0</v>
      </c>
      <c r="T8" s="20">
        <f>IF(B8="","",ROUND(IF(K8&lt;&gt;"",K8,IF(R8="",0,R8)*IF(G8="",0,G8)/60)*LaborCostHour,2))</f>
        <v>0</v>
      </c>
      <c r="U8" s="20">
        <f>IF(B8="","",ROUND(S8+T8+IF(L8="",0,L8)-IF(I8="",0,I8),2))</f>
        <v>0</v>
      </c>
      <c r="V8" s="20">
        <f>IF(B8="","",IF(O8=0,"",ROUND(U8/O8,2)))</f>
        <v>0</v>
      </c>
      <c r="W8" s="20">
        <f>IF(B8="","",IFERROR(INDEX(Products!$AH$5:$AH$304,MATCH(B8,Products!$A$5:$A$304,0)),""))</f>
        <v>0</v>
      </c>
      <c r="X8" s="20">
        <f>IF(B8="","",IF(OR(V8="",W8=""),"",ROUND(V8-W8,2)))</f>
        <v>0</v>
      </c>
      <c r="Y8" s="33">
        <f>IF(B8="","",IF(OR(X8="",W8="",W8=0),"",X8/W8))</f>
        <v>0</v>
      </c>
      <c r="Z8" s="36">
        <f>IF(B8="","",IF(OR(K8="",G8="",G8=0),"",ROUND(K8*60/G8,1)))</f>
        <v>0</v>
      </c>
      <c r="AA8" s="36">
        <f>IF(B8="","",IF(OR(Z8="",R8=""),"",ROUND(Z8-R8,1)))</f>
        <v>0</v>
      </c>
      <c r="AB8" s="20">
        <f>IF(B8="","",IFERROR(ROUND(O8*INDEX(Products!$AR$5:$AR$304,MATCH(B8,Products!$A$5:$A$304,0)),2),""))</f>
        <v>0</v>
      </c>
      <c r="AC8" s="20">
        <f>IF(B8="","",IF(AB8="","",ROUND(AB8-U8,2)))</f>
        <v>0</v>
      </c>
      <c r="AD8" s="32">
        <f>IF(B8="","",IF(OR(D8="",E8=""),"",E8-D8))</f>
        <v>0</v>
      </c>
      <c r="AE8" s="43">
        <f>IF(B8="","",IF(G8="","Planned - nothing made yet",IF(O8=0,"Check - no good units",IF(AND(Y8&lt;&gt;"",Y8&gt;0.15),"Check - costing 15% more than the estimate",IF(AND(P8&lt;&gt;"",P8&gt;DefaultDefect*2),"Check - high failure rate",IF(AND(AA8&lt;&gt;"",AA8&gt;5),"Check - taking longer than estimated",IF(AC8&lt;0,"Loss - this run lost money","OK")))))))</f>
        <v>0</v>
      </c>
    </row>
    <row r="9" spans="1:31">
      <c r="A9" s="38">
        <f>IF(B9="","",BatchPrefix&amp;TEXT(ROW()-4,"0000"))</f>
        <v>0</v>
      </c>
      <c r="B9" s="46" t="s">
        <v>748</v>
      </c>
      <c r="C9" s="13">
        <f>IF(B9="","",IFERROR(INDEX(Products!$B$5:$B$304,MATCH(B9,Products!$A$5:$A$304,0)),"Not found"))</f>
        <v>0</v>
      </c>
      <c r="D9" s="22">
        <v>46295</v>
      </c>
      <c r="E9" s="22">
        <v>46299</v>
      </c>
      <c r="F9" s="16">
        <v>3</v>
      </c>
      <c r="G9" s="16">
        <v>3</v>
      </c>
      <c r="H9" s="16">
        <v>0</v>
      </c>
      <c r="J9" s="18">
        <v>92</v>
      </c>
      <c r="K9" s="52">
        <v>5.6</v>
      </c>
      <c r="L9" s="18">
        <v>4.5</v>
      </c>
      <c r="M9" s="39" t="s">
        <v>1555</v>
      </c>
      <c r="N9" s="40" t="s">
        <v>1559</v>
      </c>
      <c r="O9" s="32">
        <f>IF(B9="","",MAX(0,IF(G9="",0,G9)-IF(H9="",0,H9)))</f>
        <v>0</v>
      </c>
      <c r="P9" s="33">
        <f>IF(B9="","",IF(OR(G9="",G9=0),"",IF(H9="",0,H9)/G9))</f>
        <v>0</v>
      </c>
      <c r="Q9" s="20">
        <f>IF(B9="","",IFERROR(INDEX(Products!$T$5:$T$304,MATCH(B9,Products!$A$5:$A$304,0)),""))</f>
        <v>0</v>
      </c>
      <c r="R9" s="36">
        <f>IF(B9="","",IFERROR(INDEX(Products!$X$5:$X$304,MATCH(B9,Products!$A$5:$A$304,0)),""))</f>
        <v>0</v>
      </c>
      <c r="S9" s="20">
        <f>IF(B9="","",ROUND(IF(J9&lt;&gt;"",J9,IF(Q9="",0,Q9)*IF(G9="",0,G9)),2))</f>
        <v>0</v>
      </c>
      <c r="T9" s="20">
        <f>IF(B9="","",ROUND(IF(K9&lt;&gt;"",K9,IF(R9="",0,R9)*IF(G9="",0,G9)/60)*LaborCostHour,2))</f>
        <v>0</v>
      </c>
      <c r="U9" s="20">
        <f>IF(B9="","",ROUND(S9+T9+IF(L9="",0,L9)-IF(I9="",0,I9),2))</f>
        <v>0</v>
      </c>
      <c r="V9" s="20">
        <f>IF(B9="","",IF(O9=0,"",ROUND(U9/O9,2)))</f>
        <v>0</v>
      </c>
      <c r="W9" s="20">
        <f>IF(B9="","",IFERROR(INDEX(Products!$AH$5:$AH$304,MATCH(B9,Products!$A$5:$A$304,0)),""))</f>
        <v>0</v>
      </c>
      <c r="X9" s="20">
        <f>IF(B9="","",IF(OR(V9="",W9=""),"",ROUND(V9-W9,2)))</f>
        <v>0</v>
      </c>
      <c r="Y9" s="33">
        <f>IF(B9="","",IF(OR(X9="",W9="",W9=0),"",X9/W9))</f>
        <v>0</v>
      </c>
      <c r="Z9" s="36">
        <f>IF(B9="","",IF(OR(K9="",G9="",G9=0),"",ROUND(K9*60/G9,1)))</f>
        <v>0</v>
      </c>
      <c r="AA9" s="36">
        <f>IF(B9="","",IF(OR(Z9="",R9=""),"",ROUND(Z9-R9,1)))</f>
        <v>0</v>
      </c>
      <c r="AB9" s="20">
        <f>IF(B9="","",IFERROR(ROUND(O9*INDEX(Products!$AR$5:$AR$304,MATCH(B9,Products!$A$5:$A$304,0)),2),""))</f>
        <v>0</v>
      </c>
      <c r="AC9" s="20">
        <f>IF(B9="","",IF(AB9="","",ROUND(AB9-U9,2)))</f>
        <v>0</v>
      </c>
      <c r="AD9" s="32">
        <f>IF(B9="","",IF(OR(D9="",E9=""),"",E9-D9))</f>
        <v>0</v>
      </c>
      <c r="AE9" s="43">
        <f>IF(B9="","",IF(G9="","Planned - nothing made yet",IF(O9=0,"Check - no good units",IF(AND(Y9&lt;&gt;"",Y9&gt;0.15),"Check - costing 15% more than the estimate",IF(AND(P9&lt;&gt;"",P9&gt;DefaultDefect*2),"Check - high failure rate",IF(AND(AA9&lt;&gt;"",AA9&gt;5),"Check - taking longer than estimated",IF(AC9&lt;0,"Loss - this run lost money","OK")))))))</f>
        <v>0</v>
      </c>
    </row>
    <row r="10" spans="1:31">
      <c r="A10" s="38">
        <f>IF(B10="","",BatchPrefix&amp;TEXT(ROW()-4,"0000"))</f>
        <v>0</v>
      </c>
      <c r="B10" s="46" t="s">
        <v>730</v>
      </c>
      <c r="C10" s="13">
        <f>IF(B10="","",IFERROR(INDEX(Products!$B$5:$B$304,MATCH(B10,Products!$A$5:$A$304,0)),"Not found"))</f>
        <v>0</v>
      </c>
      <c r="D10" s="22">
        <v>46311</v>
      </c>
      <c r="F10" s="16">
        <v>8</v>
      </c>
      <c r="M10" s="39" t="s">
        <v>1560</v>
      </c>
      <c r="N10" s="40" t="s">
        <v>1561</v>
      </c>
      <c r="O10" s="32">
        <f>IF(B10="","",MAX(0,IF(G10="",0,G10)-IF(H10="",0,H10)))</f>
        <v>0</v>
      </c>
      <c r="P10" s="33">
        <f>IF(B10="","",IF(OR(G10="",G10=0),"",IF(H10="",0,H10)/G10))</f>
        <v>0</v>
      </c>
      <c r="Q10" s="20">
        <f>IF(B10="","",IFERROR(INDEX(Products!$T$5:$T$304,MATCH(B10,Products!$A$5:$A$304,0)),""))</f>
        <v>0</v>
      </c>
      <c r="R10" s="36">
        <f>IF(B10="","",IFERROR(INDEX(Products!$X$5:$X$304,MATCH(B10,Products!$A$5:$A$304,0)),""))</f>
        <v>0</v>
      </c>
      <c r="S10" s="20">
        <f>IF(B10="","",ROUND(IF(J10&lt;&gt;"",J10,IF(Q10="",0,Q10)*IF(G10="",0,G10)),2))</f>
        <v>0</v>
      </c>
      <c r="T10" s="20">
        <f>IF(B10="","",ROUND(IF(K10&lt;&gt;"",K10,IF(R10="",0,R10)*IF(G10="",0,G10)/60)*LaborCostHour,2))</f>
        <v>0</v>
      </c>
      <c r="U10" s="20">
        <f>IF(B10="","",ROUND(S10+T10+IF(L10="",0,L10)-IF(I10="",0,I10),2))</f>
        <v>0</v>
      </c>
      <c r="V10" s="20">
        <f>IF(B10="","",IF(O10=0,"",ROUND(U10/O10,2)))</f>
        <v>0</v>
      </c>
      <c r="W10" s="20">
        <f>IF(B10="","",IFERROR(INDEX(Products!$AH$5:$AH$304,MATCH(B10,Products!$A$5:$A$304,0)),""))</f>
        <v>0</v>
      </c>
      <c r="X10" s="20">
        <f>IF(B10="","",IF(OR(V10="",W10=""),"",ROUND(V10-W10,2)))</f>
        <v>0</v>
      </c>
      <c r="Y10" s="33">
        <f>IF(B10="","",IF(OR(X10="",W10="",W10=0),"",X10/W10))</f>
        <v>0</v>
      </c>
      <c r="Z10" s="36">
        <f>IF(B10="","",IF(OR(K10="",G10="",G10=0),"",ROUND(K10*60/G10,1)))</f>
        <v>0</v>
      </c>
      <c r="AA10" s="36">
        <f>IF(B10="","",IF(OR(Z10="",R10=""),"",ROUND(Z10-R10,1)))</f>
        <v>0</v>
      </c>
      <c r="AB10" s="20">
        <f>IF(B10="","",IFERROR(ROUND(O10*INDEX(Products!$AR$5:$AR$304,MATCH(B10,Products!$A$5:$A$304,0)),2),""))</f>
        <v>0</v>
      </c>
      <c r="AC10" s="20">
        <f>IF(B10="","",IF(AB10="","",ROUND(AB10-U10,2)))</f>
        <v>0</v>
      </c>
      <c r="AD10" s="32">
        <f>IF(B10="","",IF(OR(D10="",E10=""),"",E10-D10))</f>
        <v>0</v>
      </c>
      <c r="AE10" s="43">
        <f>IF(B10="","",IF(G10="","Planned - nothing made yet",IF(O10=0,"Check - no good units",IF(AND(Y10&lt;&gt;"",Y10&gt;0.15),"Check - costing 15% more than the estimate",IF(AND(P10&lt;&gt;"",P10&gt;DefaultDefect*2),"Check - high failure rate",IF(AND(AA10&lt;&gt;"",AA10&gt;5),"Check - taking longer than estimated",IF(AC10&lt;0,"Loss - this run lost money","OK")))))))</f>
        <v>0</v>
      </c>
    </row>
    <row r="11" spans="1:31">
      <c r="A11" s="38">
        <f>IF(B11="","",BatchPrefix&amp;TEXT(ROW()-4,"0000"))</f>
        <v>0</v>
      </c>
      <c r="C11" s="13">
        <f>IF(B11="","",IFERROR(INDEX(Products!$B$5:$B$304,MATCH(B11,Products!$A$5:$A$304,0)),"Not found"))</f>
        <v>0</v>
      </c>
      <c r="O11" s="32">
        <f>IF(B11="","",MAX(0,IF(G11="",0,G11)-IF(H11="",0,H11)))</f>
        <v>0</v>
      </c>
      <c r="P11" s="33">
        <f>IF(B11="","",IF(OR(G11="",G11=0),"",IF(H11="",0,H11)/G11))</f>
        <v>0</v>
      </c>
      <c r="Q11" s="20">
        <f>IF(B11="","",IFERROR(INDEX(Products!$T$5:$T$304,MATCH(B11,Products!$A$5:$A$304,0)),""))</f>
        <v>0</v>
      </c>
      <c r="R11" s="36">
        <f>IF(B11="","",IFERROR(INDEX(Products!$X$5:$X$304,MATCH(B11,Products!$A$5:$A$304,0)),""))</f>
        <v>0</v>
      </c>
      <c r="S11" s="20">
        <f>IF(B11="","",ROUND(IF(J11&lt;&gt;"",J11,IF(Q11="",0,Q11)*IF(G11="",0,G11)),2))</f>
        <v>0</v>
      </c>
      <c r="T11" s="20">
        <f>IF(B11="","",ROUND(IF(K11&lt;&gt;"",K11,IF(R11="",0,R11)*IF(G11="",0,G11)/60)*LaborCostHour,2))</f>
        <v>0</v>
      </c>
      <c r="U11" s="20">
        <f>IF(B11="","",ROUND(S11+T11+IF(L11="",0,L11)-IF(I11="",0,I11),2))</f>
        <v>0</v>
      </c>
      <c r="V11" s="20">
        <f>IF(B11="","",IF(O11=0,"",ROUND(U11/O11,2)))</f>
        <v>0</v>
      </c>
      <c r="W11" s="20">
        <f>IF(B11="","",IFERROR(INDEX(Products!$AH$5:$AH$304,MATCH(B11,Products!$A$5:$A$304,0)),""))</f>
        <v>0</v>
      </c>
      <c r="X11" s="20">
        <f>IF(B11="","",IF(OR(V11="",W11=""),"",ROUND(V11-W11,2)))</f>
        <v>0</v>
      </c>
      <c r="Y11" s="33">
        <f>IF(B11="","",IF(OR(X11="",W11="",W11=0),"",X11/W11))</f>
        <v>0</v>
      </c>
      <c r="Z11" s="36">
        <f>IF(B11="","",IF(OR(K11="",G11="",G11=0),"",ROUND(K11*60/G11,1)))</f>
        <v>0</v>
      </c>
      <c r="AA11" s="36">
        <f>IF(B11="","",IF(OR(Z11="",R11=""),"",ROUND(Z11-R11,1)))</f>
        <v>0</v>
      </c>
      <c r="AB11" s="20">
        <f>IF(B11="","",IFERROR(ROUND(O11*INDEX(Products!$AR$5:$AR$304,MATCH(B11,Products!$A$5:$A$304,0)),2),""))</f>
        <v>0</v>
      </c>
      <c r="AC11" s="20">
        <f>IF(B11="","",IF(AB11="","",ROUND(AB11-U11,2)))</f>
        <v>0</v>
      </c>
      <c r="AD11" s="32">
        <f>IF(B11="","",IF(OR(D11="",E11=""),"",E11-D11))</f>
        <v>0</v>
      </c>
      <c r="AE11" s="43">
        <f>IF(B11="","",IF(G11="","Planned - nothing made yet",IF(O11=0,"Check - no good units",IF(AND(Y11&lt;&gt;"",Y11&gt;0.15),"Check - costing 15% more than the estimate",IF(AND(P11&lt;&gt;"",P11&gt;DefaultDefect*2),"Check - high failure rate",IF(AND(AA11&lt;&gt;"",AA11&gt;5),"Check - taking longer than estimated",IF(AC11&lt;0,"Loss - this run lost money","OK")))))))</f>
        <v>0</v>
      </c>
    </row>
    <row r="12" spans="1:31">
      <c r="A12" s="38">
        <f>IF(B12="","",BatchPrefix&amp;TEXT(ROW()-4,"0000"))</f>
        <v>0</v>
      </c>
      <c r="C12" s="13">
        <f>IF(B12="","",IFERROR(INDEX(Products!$B$5:$B$304,MATCH(B12,Products!$A$5:$A$304,0)),"Not found"))</f>
        <v>0</v>
      </c>
      <c r="O12" s="32">
        <f>IF(B12="","",MAX(0,IF(G12="",0,G12)-IF(H12="",0,H12)))</f>
        <v>0</v>
      </c>
      <c r="P12" s="33">
        <f>IF(B12="","",IF(OR(G12="",G12=0),"",IF(H12="",0,H12)/G12))</f>
        <v>0</v>
      </c>
      <c r="Q12" s="20">
        <f>IF(B12="","",IFERROR(INDEX(Products!$T$5:$T$304,MATCH(B12,Products!$A$5:$A$304,0)),""))</f>
        <v>0</v>
      </c>
      <c r="R12" s="36">
        <f>IF(B12="","",IFERROR(INDEX(Products!$X$5:$X$304,MATCH(B12,Products!$A$5:$A$304,0)),""))</f>
        <v>0</v>
      </c>
      <c r="S12" s="20">
        <f>IF(B12="","",ROUND(IF(J12&lt;&gt;"",J12,IF(Q12="",0,Q12)*IF(G12="",0,G12)),2))</f>
        <v>0</v>
      </c>
      <c r="T12" s="20">
        <f>IF(B12="","",ROUND(IF(K12&lt;&gt;"",K12,IF(R12="",0,R12)*IF(G12="",0,G12)/60)*LaborCostHour,2))</f>
        <v>0</v>
      </c>
      <c r="U12" s="20">
        <f>IF(B12="","",ROUND(S12+T12+IF(L12="",0,L12)-IF(I12="",0,I12),2))</f>
        <v>0</v>
      </c>
      <c r="V12" s="20">
        <f>IF(B12="","",IF(O12=0,"",ROUND(U12/O12,2)))</f>
        <v>0</v>
      </c>
      <c r="W12" s="20">
        <f>IF(B12="","",IFERROR(INDEX(Products!$AH$5:$AH$304,MATCH(B12,Products!$A$5:$A$304,0)),""))</f>
        <v>0</v>
      </c>
      <c r="X12" s="20">
        <f>IF(B12="","",IF(OR(V12="",W12=""),"",ROUND(V12-W12,2)))</f>
        <v>0</v>
      </c>
      <c r="Y12" s="33">
        <f>IF(B12="","",IF(OR(X12="",W12="",W12=0),"",X12/W12))</f>
        <v>0</v>
      </c>
      <c r="Z12" s="36">
        <f>IF(B12="","",IF(OR(K12="",G12="",G12=0),"",ROUND(K12*60/G12,1)))</f>
        <v>0</v>
      </c>
      <c r="AA12" s="36">
        <f>IF(B12="","",IF(OR(Z12="",R12=""),"",ROUND(Z12-R12,1)))</f>
        <v>0</v>
      </c>
      <c r="AB12" s="20">
        <f>IF(B12="","",IFERROR(ROUND(O12*INDEX(Products!$AR$5:$AR$304,MATCH(B12,Products!$A$5:$A$304,0)),2),""))</f>
        <v>0</v>
      </c>
      <c r="AC12" s="20">
        <f>IF(B12="","",IF(AB12="","",ROUND(AB12-U12,2)))</f>
        <v>0</v>
      </c>
      <c r="AD12" s="32">
        <f>IF(B12="","",IF(OR(D12="",E12=""),"",E12-D12))</f>
        <v>0</v>
      </c>
      <c r="AE12" s="43">
        <f>IF(B12="","",IF(G12="","Planned - nothing made yet",IF(O12=0,"Check - no good units",IF(AND(Y12&lt;&gt;"",Y12&gt;0.15),"Check - costing 15% more than the estimate",IF(AND(P12&lt;&gt;"",P12&gt;DefaultDefect*2),"Check - high failure rate",IF(AND(AA12&lt;&gt;"",AA12&gt;5),"Check - taking longer than estimated",IF(AC12&lt;0,"Loss - this run lost money","OK")))))))</f>
        <v>0</v>
      </c>
    </row>
    <row r="13" spans="1:31">
      <c r="A13" s="38">
        <f>IF(B13="","",BatchPrefix&amp;TEXT(ROW()-4,"0000"))</f>
        <v>0</v>
      </c>
      <c r="C13" s="13">
        <f>IF(B13="","",IFERROR(INDEX(Products!$B$5:$B$304,MATCH(B13,Products!$A$5:$A$304,0)),"Not found"))</f>
        <v>0</v>
      </c>
      <c r="O13" s="32">
        <f>IF(B13="","",MAX(0,IF(G13="",0,G13)-IF(H13="",0,H13)))</f>
        <v>0</v>
      </c>
      <c r="P13" s="33">
        <f>IF(B13="","",IF(OR(G13="",G13=0),"",IF(H13="",0,H13)/G13))</f>
        <v>0</v>
      </c>
      <c r="Q13" s="20">
        <f>IF(B13="","",IFERROR(INDEX(Products!$T$5:$T$304,MATCH(B13,Products!$A$5:$A$304,0)),""))</f>
        <v>0</v>
      </c>
      <c r="R13" s="36">
        <f>IF(B13="","",IFERROR(INDEX(Products!$X$5:$X$304,MATCH(B13,Products!$A$5:$A$304,0)),""))</f>
        <v>0</v>
      </c>
      <c r="S13" s="20">
        <f>IF(B13="","",ROUND(IF(J13&lt;&gt;"",J13,IF(Q13="",0,Q13)*IF(G13="",0,G13)),2))</f>
        <v>0</v>
      </c>
      <c r="T13" s="20">
        <f>IF(B13="","",ROUND(IF(K13&lt;&gt;"",K13,IF(R13="",0,R13)*IF(G13="",0,G13)/60)*LaborCostHour,2))</f>
        <v>0</v>
      </c>
      <c r="U13" s="20">
        <f>IF(B13="","",ROUND(S13+T13+IF(L13="",0,L13)-IF(I13="",0,I13),2))</f>
        <v>0</v>
      </c>
      <c r="V13" s="20">
        <f>IF(B13="","",IF(O13=0,"",ROUND(U13/O13,2)))</f>
        <v>0</v>
      </c>
      <c r="W13" s="20">
        <f>IF(B13="","",IFERROR(INDEX(Products!$AH$5:$AH$304,MATCH(B13,Products!$A$5:$A$304,0)),""))</f>
        <v>0</v>
      </c>
      <c r="X13" s="20">
        <f>IF(B13="","",IF(OR(V13="",W13=""),"",ROUND(V13-W13,2)))</f>
        <v>0</v>
      </c>
      <c r="Y13" s="33">
        <f>IF(B13="","",IF(OR(X13="",W13="",W13=0),"",X13/W13))</f>
        <v>0</v>
      </c>
      <c r="Z13" s="36">
        <f>IF(B13="","",IF(OR(K13="",G13="",G13=0),"",ROUND(K13*60/G13,1)))</f>
        <v>0</v>
      </c>
      <c r="AA13" s="36">
        <f>IF(B13="","",IF(OR(Z13="",R13=""),"",ROUND(Z13-R13,1)))</f>
        <v>0</v>
      </c>
      <c r="AB13" s="20">
        <f>IF(B13="","",IFERROR(ROUND(O13*INDEX(Products!$AR$5:$AR$304,MATCH(B13,Products!$A$5:$A$304,0)),2),""))</f>
        <v>0</v>
      </c>
      <c r="AC13" s="20">
        <f>IF(B13="","",IF(AB13="","",ROUND(AB13-U13,2)))</f>
        <v>0</v>
      </c>
      <c r="AD13" s="32">
        <f>IF(B13="","",IF(OR(D13="",E13=""),"",E13-D13))</f>
        <v>0</v>
      </c>
      <c r="AE13" s="43">
        <f>IF(B13="","",IF(G13="","Planned - nothing made yet",IF(O13=0,"Check - no good units",IF(AND(Y13&lt;&gt;"",Y13&gt;0.15),"Check - costing 15% more than the estimate",IF(AND(P13&lt;&gt;"",P13&gt;DefaultDefect*2),"Check - high failure rate",IF(AND(AA13&lt;&gt;"",AA13&gt;5),"Check - taking longer than estimated",IF(AC13&lt;0,"Loss - this run lost money","OK")))))))</f>
        <v>0</v>
      </c>
    </row>
    <row r="14" spans="1:31">
      <c r="A14" s="38">
        <f>IF(B14="","",BatchPrefix&amp;TEXT(ROW()-4,"0000"))</f>
        <v>0</v>
      </c>
      <c r="C14" s="13">
        <f>IF(B14="","",IFERROR(INDEX(Products!$B$5:$B$304,MATCH(B14,Products!$A$5:$A$304,0)),"Not found"))</f>
        <v>0</v>
      </c>
      <c r="O14" s="32">
        <f>IF(B14="","",MAX(0,IF(G14="",0,G14)-IF(H14="",0,H14)))</f>
        <v>0</v>
      </c>
      <c r="P14" s="33">
        <f>IF(B14="","",IF(OR(G14="",G14=0),"",IF(H14="",0,H14)/G14))</f>
        <v>0</v>
      </c>
      <c r="Q14" s="20">
        <f>IF(B14="","",IFERROR(INDEX(Products!$T$5:$T$304,MATCH(B14,Products!$A$5:$A$304,0)),""))</f>
        <v>0</v>
      </c>
      <c r="R14" s="36">
        <f>IF(B14="","",IFERROR(INDEX(Products!$X$5:$X$304,MATCH(B14,Products!$A$5:$A$304,0)),""))</f>
        <v>0</v>
      </c>
      <c r="S14" s="20">
        <f>IF(B14="","",ROUND(IF(J14&lt;&gt;"",J14,IF(Q14="",0,Q14)*IF(G14="",0,G14)),2))</f>
        <v>0</v>
      </c>
      <c r="T14" s="20">
        <f>IF(B14="","",ROUND(IF(K14&lt;&gt;"",K14,IF(R14="",0,R14)*IF(G14="",0,G14)/60)*LaborCostHour,2))</f>
        <v>0</v>
      </c>
      <c r="U14" s="20">
        <f>IF(B14="","",ROUND(S14+T14+IF(L14="",0,L14)-IF(I14="",0,I14),2))</f>
        <v>0</v>
      </c>
      <c r="V14" s="20">
        <f>IF(B14="","",IF(O14=0,"",ROUND(U14/O14,2)))</f>
        <v>0</v>
      </c>
      <c r="W14" s="20">
        <f>IF(B14="","",IFERROR(INDEX(Products!$AH$5:$AH$304,MATCH(B14,Products!$A$5:$A$304,0)),""))</f>
        <v>0</v>
      </c>
      <c r="X14" s="20">
        <f>IF(B14="","",IF(OR(V14="",W14=""),"",ROUND(V14-W14,2)))</f>
        <v>0</v>
      </c>
      <c r="Y14" s="33">
        <f>IF(B14="","",IF(OR(X14="",W14="",W14=0),"",X14/W14))</f>
        <v>0</v>
      </c>
      <c r="Z14" s="36">
        <f>IF(B14="","",IF(OR(K14="",G14="",G14=0),"",ROUND(K14*60/G14,1)))</f>
        <v>0</v>
      </c>
      <c r="AA14" s="36">
        <f>IF(B14="","",IF(OR(Z14="",R14=""),"",ROUND(Z14-R14,1)))</f>
        <v>0</v>
      </c>
      <c r="AB14" s="20">
        <f>IF(B14="","",IFERROR(ROUND(O14*INDEX(Products!$AR$5:$AR$304,MATCH(B14,Products!$A$5:$A$304,0)),2),""))</f>
        <v>0</v>
      </c>
      <c r="AC14" s="20">
        <f>IF(B14="","",IF(AB14="","",ROUND(AB14-U14,2)))</f>
        <v>0</v>
      </c>
      <c r="AD14" s="32">
        <f>IF(B14="","",IF(OR(D14="",E14=""),"",E14-D14))</f>
        <v>0</v>
      </c>
      <c r="AE14" s="43">
        <f>IF(B14="","",IF(G14="","Planned - nothing made yet",IF(O14=0,"Check - no good units",IF(AND(Y14&lt;&gt;"",Y14&gt;0.15),"Check - costing 15% more than the estimate",IF(AND(P14&lt;&gt;"",P14&gt;DefaultDefect*2),"Check - high failure rate",IF(AND(AA14&lt;&gt;"",AA14&gt;5),"Check - taking longer than estimated",IF(AC14&lt;0,"Loss - this run lost money","OK")))))))</f>
        <v>0</v>
      </c>
    </row>
    <row r="15" spans="1:31">
      <c r="A15" s="38">
        <f>IF(B15="","",BatchPrefix&amp;TEXT(ROW()-4,"0000"))</f>
        <v>0</v>
      </c>
      <c r="C15" s="13">
        <f>IF(B15="","",IFERROR(INDEX(Products!$B$5:$B$304,MATCH(B15,Products!$A$5:$A$304,0)),"Not found"))</f>
        <v>0</v>
      </c>
      <c r="O15" s="32">
        <f>IF(B15="","",MAX(0,IF(G15="",0,G15)-IF(H15="",0,H15)))</f>
        <v>0</v>
      </c>
      <c r="P15" s="33">
        <f>IF(B15="","",IF(OR(G15="",G15=0),"",IF(H15="",0,H15)/G15))</f>
        <v>0</v>
      </c>
      <c r="Q15" s="20">
        <f>IF(B15="","",IFERROR(INDEX(Products!$T$5:$T$304,MATCH(B15,Products!$A$5:$A$304,0)),""))</f>
        <v>0</v>
      </c>
      <c r="R15" s="36">
        <f>IF(B15="","",IFERROR(INDEX(Products!$X$5:$X$304,MATCH(B15,Products!$A$5:$A$304,0)),""))</f>
        <v>0</v>
      </c>
      <c r="S15" s="20">
        <f>IF(B15="","",ROUND(IF(J15&lt;&gt;"",J15,IF(Q15="",0,Q15)*IF(G15="",0,G15)),2))</f>
        <v>0</v>
      </c>
      <c r="T15" s="20">
        <f>IF(B15="","",ROUND(IF(K15&lt;&gt;"",K15,IF(R15="",0,R15)*IF(G15="",0,G15)/60)*LaborCostHour,2))</f>
        <v>0</v>
      </c>
      <c r="U15" s="20">
        <f>IF(B15="","",ROUND(S15+T15+IF(L15="",0,L15)-IF(I15="",0,I15),2))</f>
        <v>0</v>
      </c>
      <c r="V15" s="20">
        <f>IF(B15="","",IF(O15=0,"",ROUND(U15/O15,2)))</f>
        <v>0</v>
      </c>
      <c r="W15" s="20">
        <f>IF(B15="","",IFERROR(INDEX(Products!$AH$5:$AH$304,MATCH(B15,Products!$A$5:$A$304,0)),""))</f>
        <v>0</v>
      </c>
      <c r="X15" s="20">
        <f>IF(B15="","",IF(OR(V15="",W15=""),"",ROUND(V15-W15,2)))</f>
        <v>0</v>
      </c>
      <c r="Y15" s="33">
        <f>IF(B15="","",IF(OR(X15="",W15="",W15=0),"",X15/W15))</f>
        <v>0</v>
      </c>
      <c r="Z15" s="36">
        <f>IF(B15="","",IF(OR(K15="",G15="",G15=0),"",ROUND(K15*60/G15,1)))</f>
        <v>0</v>
      </c>
      <c r="AA15" s="36">
        <f>IF(B15="","",IF(OR(Z15="",R15=""),"",ROUND(Z15-R15,1)))</f>
        <v>0</v>
      </c>
      <c r="AB15" s="20">
        <f>IF(B15="","",IFERROR(ROUND(O15*INDEX(Products!$AR$5:$AR$304,MATCH(B15,Products!$A$5:$A$304,0)),2),""))</f>
        <v>0</v>
      </c>
      <c r="AC15" s="20">
        <f>IF(B15="","",IF(AB15="","",ROUND(AB15-U15,2)))</f>
        <v>0</v>
      </c>
      <c r="AD15" s="32">
        <f>IF(B15="","",IF(OR(D15="",E15=""),"",E15-D15))</f>
        <v>0</v>
      </c>
      <c r="AE15" s="43">
        <f>IF(B15="","",IF(G15="","Planned - nothing made yet",IF(O15=0,"Check - no good units",IF(AND(Y15&lt;&gt;"",Y15&gt;0.15),"Check - costing 15% more than the estimate",IF(AND(P15&lt;&gt;"",P15&gt;DefaultDefect*2),"Check - high failure rate",IF(AND(AA15&lt;&gt;"",AA15&gt;5),"Check - taking longer than estimated",IF(AC15&lt;0,"Loss - this run lost money","OK")))))))</f>
        <v>0</v>
      </c>
    </row>
    <row r="16" spans="1:31">
      <c r="A16" s="38">
        <f>IF(B16="","",BatchPrefix&amp;TEXT(ROW()-4,"0000"))</f>
        <v>0</v>
      </c>
      <c r="C16" s="13">
        <f>IF(B16="","",IFERROR(INDEX(Products!$B$5:$B$304,MATCH(B16,Products!$A$5:$A$304,0)),"Not found"))</f>
        <v>0</v>
      </c>
      <c r="O16" s="32">
        <f>IF(B16="","",MAX(0,IF(G16="",0,G16)-IF(H16="",0,H16)))</f>
        <v>0</v>
      </c>
      <c r="P16" s="33">
        <f>IF(B16="","",IF(OR(G16="",G16=0),"",IF(H16="",0,H16)/G16))</f>
        <v>0</v>
      </c>
      <c r="Q16" s="20">
        <f>IF(B16="","",IFERROR(INDEX(Products!$T$5:$T$304,MATCH(B16,Products!$A$5:$A$304,0)),""))</f>
        <v>0</v>
      </c>
      <c r="R16" s="36">
        <f>IF(B16="","",IFERROR(INDEX(Products!$X$5:$X$304,MATCH(B16,Products!$A$5:$A$304,0)),""))</f>
        <v>0</v>
      </c>
      <c r="S16" s="20">
        <f>IF(B16="","",ROUND(IF(J16&lt;&gt;"",J16,IF(Q16="",0,Q16)*IF(G16="",0,G16)),2))</f>
        <v>0</v>
      </c>
      <c r="T16" s="20">
        <f>IF(B16="","",ROUND(IF(K16&lt;&gt;"",K16,IF(R16="",0,R16)*IF(G16="",0,G16)/60)*LaborCostHour,2))</f>
        <v>0</v>
      </c>
      <c r="U16" s="20">
        <f>IF(B16="","",ROUND(S16+T16+IF(L16="",0,L16)-IF(I16="",0,I16),2))</f>
        <v>0</v>
      </c>
      <c r="V16" s="20">
        <f>IF(B16="","",IF(O16=0,"",ROUND(U16/O16,2)))</f>
        <v>0</v>
      </c>
      <c r="W16" s="20">
        <f>IF(B16="","",IFERROR(INDEX(Products!$AH$5:$AH$304,MATCH(B16,Products!$A$5:$A$304,0)),""))</f>
        <v>0</v>
      </c>
      <c r="X16" s="20">
        <f>IF(B16="","",IF(OR(V16="",W16=""),"",ROUND(V16-W16,2)))</f>
        <v>0</v>
      </c>
      <c r="Y16" s="33">
        <f>IF(B16="","",IF(OR(X16="",W16="",W16=0),"",X16/W16))</f>
        <v>0</v>
      </c>
      <c r="Z16" s="36">
        <f>IF(B16="","",IF(OR(K16="",G16="",G16=0),"",ROUND(K16*60/G16,1)))</f>
        <v>0</v>
      </c>
      <c r="AA16" s="36">
        <f>IF(B16="","",IF(OR(Z16="",R16=""),"",ROUND(Z16-R16,1)))</f>
        <v>0</v>
      </c>
      <c r="AB16" s="20">
        <f>IF(B16="","",IFERROR(ROUND(O16*INDEX(Products!$AR$5:$AR$304,MATCH(B16,Products!$A$5:$A$304,0)),2),""))</f>
        <v>0</v>
      </c>
      <c r="AC16" s="20">
        <f>IF(B16="","",IF(AB16="","",ROUND(AB16-U16,2)))</f>
        <v>0</v>
      </c>
      <c r="AD16" s="32">
        <f>IF(B16="","",IF(OR(D16="",E16=""),"",E16-D16))</f>
        <v>0</v>
      </c>
      <c r="AE16" s="43">
        <f>IF(B16="","",IF(G16="","Planned - nothing made yet",IF(O16=0,"Check - no good units",IF(AND(Y16&lt;&gt;"",Y16&gt;0.15),"Check - costing 15% more than the estimate",IF(AND(P16&lt;&gt;"",P16&gt;DefaultDefect*2),"Check - high failure rate",IF(AND(AA16&lt;&gt;"",AA16&gt;5),"Check - taking longer than estimated",IF(AC16&lt;0,"Loss - this run lost money","OK")))))))</f>
        <v>0</v>
      </c>
    </row>
    <row r="17" spans="1:31">
      <c r="A17" s="38">
        <f>IF(B17="","",BatchPrefix&amp;TEXT(ROW()-4,"0000"))</f>
        <v>0</v>
      </c>
      <c r="C17" s="13">
        <f>IF(B17="","",IFERROR(INDEX(Products!$B$5:$B$304,MATCH(B17,Products!$A$5:$A$304,0)),"Not found"))</f>
        <v>0</v>
      </c>
      <c r="O17" s="32">
        <f>IF(B17="","",MAX(0,IF(G17="",0,G17)-IF(H17="",0,H17)))</f>
        <v>0</v>
      </c>
      <c r="P17" s="33">
        <f>IF(B17="","",IF(OR(G17="",G17=0),"",IF(H17="",0,H17)/G17))</f>
        <v>0</v>
      </c>
      <c r="Q17" s="20">
        <f>IF(B17="","",IFERROR(INDEX(Products!$T$5:$T$304,MATCH(B17,Products!$A$5:$A$304,0)),""))</f>
        <v>0</v>
      </c>
      <c r="R17" s="36">
        <f>IF(B17="","",IFERROR(INDEX(Products!$X$5:$X$304,MATCH(B17,Products!$A$5:$A$304,0)),""))</f>
        <v>0</v>
      </c>
      <c r="S17" s="20">
        <f>IF(B17="","",ROUND(IF(J17&lt;&gt;"",J17,IF(Q17="",0,Q17)*IF(G17="",0,G17)),2))</f>
        <v>0</v>
      </c>
      <c r="T17" s="20">
        <f>IF(B17="","",ROUND(IF(K17&lt;&gt;"",K17,IF(R17="",0,R17)*IF(G17="",0,G17)/60)*LaborCostHour,2))</f>
        <v>0</v>
      </c>
      <c r="U17" s="20">
        <f>IF(B17="","",ROUND(S17+T17+IF(L17="",0,L17)-IF(I17="",0,I17),2))</f>
        <v>0</v>
      </c>
      <c r="V17" s="20">
        <f>IF(B17="","",IF(O17=0,"",ROUND(U17/O17,2)))</f>
        <v>0</v>
      </c>
      <c r="W17" s="20">
        <f>IF(B17="","",IFERROR(INDEX(Products!$AH$5:$AH$304,MATCH(B17,Products!$A$5:$A$304,0)),""))</f>
        <v>0</v>
      </c>
      <c r="X17" s="20">
        <f>IF(B17="","",IF(OR(V17="",W17=""),"",ROUND(V17-W17,2)))</f>
        <v>0</v>
      </c>
      <c r="Y17" s="33">
        <f>IF(B17="","",IF(OR(X17="",W17="",W17=0),"",X17/W17))</f>
        <v>0</v>
      </c>
      <c r="Z17" s="36">
        <f>IF(B17="","",IF(OR(K17="",G17="",G17=0),"",ROUND(K17*60/G17,1)))</f>
        <v>0</v>
      </c>
      <c r="AA17" s="36">
        <f>IF(B17="","",IF(OR(Z17="",R17=""),"",ROUND(Z17-R17,1)))</f>
        <v>0</v>
      </c>
      <c r="AB17" s="20">
        <f>IF(B17="","",IFERROR(ROUND(O17*INDEX(Products!$AR$5:$AR$304,MATCH(B17,Products!$A$5:$A$304,0)),2),""))</f>
        <v>0</v>
      </c>
      <c r="AC17" s="20">
        <f>IF(B17="","",IF(AB17="","",ROUND(AB17-U17,2)))</f>
        <v>0</v>
      </c>
      <c r="AD17" s="32">
        <f>IF(B17="","",IF(OR(D17="",E17=""),"",E17-D17))</f>
        <v>0</v>
      </c>
      <c r="AE17" s="43">
        <f>IF(B17="","",IF(G17="","Planned - nothing made yet",IF(O17=0,"Check - no good units",IF(AND(Y17&lt;&gt;"",Y17&gt;0.15),"Check - costing 15% more than the estimate",IF(AND(P17&lt;&gt;"",P17&gt;DefaultDefect*2),"Check - high failure rate",IF(AND(AA17&lt;&gt;"",AA17&gt;5),"Check - taking longer than estimated",IF(AC17&lt;0,"Loss - this run lost money","OK")))))))</f>
        <v>0</v>
      </c>
    </row>
    <row r="18" spans="1:31">
      <c r="A18" s="38">
        <f>IF(B18="","",BatchPrefix&amp;TEXT(ROW()-4,"0000"))</f>
        <v>0</v>
      </c>
      <c r="C18" s="13">
        <f>IF(B18="","",IFERROR(INDEX(Products!$B$5:$B$304,MATCH(B18,Products!$A$5:$A$304,0)),"Not found"))</f>
        <v>0</v>
      </c>
      <c r="O18" s="32">
        <f>IF(B18="","",MAX(0,IF(G18="",0,G18)-IF(H18="",0,H18)))</f>
        <v>0</v>
      </c>
      <c r="P18" s="33">
        <f>IF(B18="","",IF(OR(G18="",G18=0),"",IF(H18="",0,H18)/G18))</f>
        <v>0</v>
      </c>
      <c r="Q18" s="20">
        <f>IF(B18="","",IFERROR(INDEX(Products!$T$5:$T$304,MATCH(B18,Products!$A$5:$A$304,0)),""))</f>
        <v>0</v>
      </c>
      <c r="R18" s="36">
        <f>IF(B18="","",IFERROR(INDEX(Products!$X$5:$X$304,MATCH(B18,Products!$A$5:$A$304,0)),""))</f>
        <v>0</v>
      </c>
      <c r="S18" s="20">
        <f>IF(B18="","",ROUND(IF(J18&lt;&gt;"",J18,IF(Q18="",0,Q18)*IF(G18="",0,G18)),2))</f>
        <v>0</v>
      </c>
      <c r="T18" s="20">
        <f>IF(B18="","",ROUND(IF(K18&lt;&gt;"",K18,IF(R18="",0,R18)*IF(G18="",0,G18)/60)*LaborCostHour,2))</f>
        <v>0</v>
      </c>
      <c r="U18" s="20">
        <f>IF(B18="","",ROUND(S18+T18+IF(L18="",0,L18)-IF(I18="",0,I18),2))</f>
        <v>0</v>
      </c>
      <c r="V18" s="20">
        <f>IF(B18="","",IF(O18=0,"",ROUND(U18/O18,2)))</f>
        <v>0</v>
      </c>
      <c r="W18" s="20">
        <f>IF(B18="","",IFERROR(INDEX(Products!$AH$5:$AH$304,MATCH(B18,Products!$A$5:$A$304,0)),""))</f>
        <v>0</v>
      </c>
      <c r="X18" s="20">
        <f>IF(B18="","",IF(OR(V18="",W18=""),"",ROUND(V18-W18,2)))</f>
        <v>0</v>
      </c>
      <c r="Y18" s="33">
        <f>IF(B18="","",IF(OR(X18="",W18="",W18=0),"",X18/W18))</f>
        <v>0</v>
      </c>
      <c r="Z18" s="36">
        <f>IF(B18="","",IF(OR(K18="",G18="",G18=0),"",ROUND(K18*60/G18,1)))</f>
        <v>0</v>
      </c>
      <c r="AA18" s="36">
        <f>IF(B18="","",IF(OR(Z18="",R18=""),"",ROUND(Z18-R18,1)))</f>
        <v>0</v>
      </c>
      <c r="AB18" s="20">
        <f>IF(B18="","",IFERROR(ROUND(O18*INDEX(Products!$AR$5:$AR$304,MATCH(B18,Products!$A$5:$A$304,0)),2),""))</f>
        <v>0</v>
      </c>
      <c r="AC18" s="20">
        <f>IF(B18="","",IF(AB18="","",ROUND(AB18-U18,2)))</f>
        <v>0</v>
      </c>
      <c r="AD18" s="32">
        <f>IF(B18="","",IF(OR(D18="",E18=""),"",E18-D18))</f>
        <v>0</v>
      </c>
      <c r="AE18" s="43">
        <f>IF(B18="","",IF(G18="","Planned - nothing made yet",IF(O18=0,"Check - no good units",IF(AND(Y18&lt;&gt;"",Y18&gt;0.15),"Check - costing 15% more than the estimate",IF(AND(P18&lt;&gt;"",P18&gt;DefaultDefect*2),"Check - high failure rate",IF(AND(AA18&lt;&gt;"",AA18&gt;5),"Check - taking longer than estimated",IF(AC18&lt;0,"Loss - this run lost money","OK")))))))</f>
        <v>0</v>
      </c>
    </row>
    <row r="19" spans="1:31">
      <c r="A19" s="38">
        <f>IF(B19="","",BatchPrefix&amp;TEXT(ROW()-4,"0000"))</f>
        <v>0</v>
      </c>
      <c r="C19" s="13">
        <f>IF(B19="","",IFERROR(INDEX(Products!$B$5:$B$304,MATCH(B19,Products!$A$5:$A$304,0)),"Not found"))</f>
        <v>0</v>
      </c>
      <c r="O19" s="32">
        <f>IF(B19="","",MAX(0,IF(G19="",0,G19)-IF(H19="",0,H19)))</f>
        <v>0</v>
      </c>
      <c r="P19" s="33">
        <f>IF(B19="","",IF(OR(G19="",G19=0),"",IF(H19="",0,H19)/G19))</f>
        <v>0</v>
      </c>
      <c r="Q19" s="20">
        <f>IF(B19="","",IFERROR(INDEX(Products!$T$5:$T$304,MATCH(B19,Products!$A$5:$A$304,0)),""))</f>
        <v>0</v>
      </c>
      <c r="R19" s="36">
        <f>IF(B19="","",IFERROR(INDEX(Products!$X$5:$X$304,MATCH(B19,Products!$A$5:$A$304,0)),""))</f>
        <v>0</v>
      </c>
      <c r="S19" s="20">
        <f>IF(B19="","",ROUND(IF(J19&lt;&gt;"",J19,IF(Q19="",0,Q19)*IF(G19="",0,G19)),2))</f>
        <v>0</v>
      </c>
      <c r="T19" s="20">
        <f>IF(B19="","",ROUND(IF(K19&lt;&gt;"",K19,IF(R19="",0,R19)*IF(G19="",0,G19)/60)*LaborCostHour,2))</f>
        <v>0</v>
      </c>
      <c r="U19" s="20">
        <f>IF(B19="","",ROUND(S19+T19+IF(L19="",0,L19)-IF(I19="",0,I19),2))</f>
        <v>0</v>
      </c>
      <c r="V19" s="20">
        <f>IF(B19="","",IF(O19=0,"",ROUND(U19/O19,2)))</f>
        <v>0</v>
      </c>
      <c r="W19" s="20">
        <f>IF(B19="","",IFERROR(INDEX(Products!$AH$5:$AH$304,MATCH(B19,Products!$A$5:$A$304,0)),""))</f>
        <v>0</v>
      </c>
      <c r="X19" s="20">
        <f>IF(B19="","",IF(OR(V19="",W19=""),"",ROUND(V19-W19,2)))</f>
        <v>0</v>
      </c>
      <c r="Y19" s="33">
        <f>IF(B19="","",IF(OR(X19="",W19="",W19=0),"",X19/W19))</f>
        <v>0</v>
      </c>
      <c r="Z19" s="36">
        <f>IF(B19="","",IF(OR(K19="",G19="",G19=0),"",ROUND(K19*60/G19,1)))</f>
        <v>0</v>
      </c>
      <c r="AA19" s="36">
        <f>IF(B19="","",IF(OR(Z19="",R19=""),"",ROUND(Z19-R19,1)))</f>
        <v>0</v>
      </c>
      <c r="AB19" s="20">
        <f>IF(B19="","",IFERROR(ROUND(O19*INDEX(Products!$AR$5:$AR$304,MATCH(B19,Products!$A$5:$A$304,0)),2),""))</f>
        <v>0</v>
      </c>
      <c r="AC19" s="20">
        <f>IF(B19="","",IF(AB19="","",ROUND(AB19-U19,2)))</f>
        <v>0</v>
      </c>
      <c r="AD19" s="32">
        <f>IF(B19="","",IF(OR(D19="",E19=""),"",E19-D19))</f>
        <v>0</v>
      </c>
      <c r="AE19" s="43">
        <f>IF(B19="","",IF(G19="","Planned - nothing made yet",IF(O19=0,"Check - no good units",IF(AND(Y19&lt;&gt;"",Y19&gt;0.15),"Check - costing 15% more than the estimate",IF(AND(P19&lt;&gt;"",P19&gt;DefaultDefect*2),"Check - high failure rate",IF(AND(AA19&lt;&gt;"",AA19&gt;5),"Check - taking longer than estimated",IF(AC19&lt;0,"Loss - this run lost money","OK")))))))</f>
        <v>0</v>
      </c>
    </row>
    <row r="20" spans="1:31">
      <c r="A20" s="38">
        <f>IF(B20="","",BatchPrefix&amp;TEXT(ROW()-4,"0000"))</f>
        <v>0</v>
      </c>
      <c r="C20" s="13">
        <f>IF(B20="","",IFERROR(INDEX(Products!$B$5:$B$304,MATCH(B20,Products!$A$5:$A$304,0)),"Not found"))</f>
        <v>0</v>
      </c>
      <c r="O20" s="32">
        <f>IF(B20="","",MAX(0,IF(G20="",0,G20)-IF(H20="",0,H20)))</f>
        <v>0</v>
      </c>
      <c r="P20" s="33">
        <f>IF(B20="","",IF(OR(G20="",G20=0),"",IF(H20="",0,H20)/G20))</f>
        <v>0</v>
      </c>
      <c r="Q20" s="20">
        <f>IF(B20="","",IFERROR(INDEX(Products!$T$5:$T$304,MATCH(B20,Products!$A$5:$A$304,0)),""))</f>
        <v>0</v>
      </c>
      <c r="R20" s="36">
        <f>IF(B20="","",IFERROR(INDEX(Products!$X$5:$X$304,MATCH(B20,Products!$A$5:$A$304,0)),""))</f>
        <v>0</v>
      </c>
      <c r="S20" s="20">
        <f>IF(B20="","",ROUND(IF(J20&lt;&gt;"",J20,IF(Q20="",0,Q20)*IF(G20="",0,G20)),2))</f>
        <v>0</v>
      </c>
      <c r="T20" s="20">
        <f>IF(B20="","",ROUND(IF(K20&lt;&gt;"",K20,IF(R20="",0,R20)*IF(G20="",0,G20)/60)*LaborCostHour,2))</f>
        <v>0</v>
      </c>
      <c r="U20" s="20">
        <f>IF(B20="","",ROUND(S20+T20+IF(L20="",0,L20)-IF(I20="",0,I20),2))</f>
        <v>0</v>
      </c>
      <c r="V20" s="20">
        <f>IF(B20="","",IF(O20=0,"",ROUND(U20/O20,2)))</f>
        <v>0</v>
      </c>
      <c r="W20" s="20">
        <f>IF(B20="","",IFERROR(INDEX(Products!$AH$5:$AH$304,MATCH(B20,Products!$A$5:$A$304,0)),""))</f>
        <v>0</v>
      </c>
      <c r="X20" s="20">
        <f>IF(B20="","",IF(OR(V20="",W20=""),"",ROUND(V20-W20,2)))</f>
        <v>0</v>
      </c>
      <c r="Y20" s="33">
        <f>IF(B20="","",IF(OR(X20="",W20="",W20=0),"",X20/W20))</f>
        <v>0</v>
      </c>
      <c r="Z20" s="36">
        <f>IF(B20="","",IF(OR(K20="",G20="",G20=0),"",ROUND(K20*60/G20,1)))</f>
        <v>0</v>
      </c>
      <c r="AA20" s="36">
        <f>IF(B20="","",IF(OR(Z20="",R20=""),"",ROUND(Z20-R20,1)))</f>
        <v>0</v>
      </c>
      <c r="AB20" s="20">
        <f>IF(B20="","",IFERROR(ROUND(O20*INDEX(Products!$AR$5:$AR$304,MATCH(B20,Products!$A$5:$A$304,0)),2),""))</f>
        <v>0</v>
      </c>
      <c r="AC20" s="20">
        <f>IF(B20="","",IF(AB20="","",ROUND(AB20-U20,2)))</f>
        <v>0</v>
      </c>
      <c r="AD20" s="32">
        <f>IF(B20="","",IF(OR(D20="",E20=""),"",E20-D20))</f>
        <v>0</v>
      </c>
      <c r="AE20" s="43">
        <f>IF(B20="","",IF(G20="","Planned - nothing made yet",IF(O20=0,"Check - no good units",IF(AND(Y20&lt;&gt;"",Y20&gt;0.15),"Check - costing 15% more than the estimate",IF(AND(P20&lt;&gt;"",P20&gt;DefaultDefect*2),"Check - high failure rate",IF(AND(AA20&lt;&gt;"",AA20&gt;5),"Check - taking longer than estimated",IF(AC20&lt;0,"Loss - this run lost money","OK")))))))</f>
        <v>0</v>
      </c>
    </row>
    <row r="21" spans="1:31">
      <c r="A21" s="38">
        <f>IF(B21="","",BatchPrefix&amp;TEXT(ROW()-4,"0000"))</f>
        <v>0</v>
      </c>
      <c r="C21" s="13">
        <f>IF(B21="","",IFERROR(INDEX(Products!$B$5:$B$304,MATCH(B21,Products!$A$5:$A$304,0)),"Not found"))</f>
        <v>0</v>
      </c>
      <c r="O21" s="32">
        <f>IF(B21="","",MAX(0,IF(G21="",0,G21)-IF(H21="",0,H21)))</f>
        <v>0</v>
      </c>
      <c r="P21" s="33">
        <f>IF(B21="","",IF(OR(G21="",G21=0),"",IF(H21="",0,H21)/G21))</f>
        <v>0</v>
      </c>
      <c r="Q21" s="20">
        <f>IF(B21="","",IFERROR(INDEX(Products!$T$5:$T$304,MATCH(B21,Products!$A$5:$A$304,0)),""))</f>
        <v>0</v>
      </c>
      <c r="R21" s="36">
        <f>IF(B21="","",IFERROR(INDEX(Products!$X$5:$X$304,MATCH(B21,Products!$A$5:$A$304,0)),""))</f>
        <v>0</v>
      </c>
      <c r="S21" s="20">
        <f>IF(B21="","",ROUND(IF(J21&lt;&gt;"",J21,IF(Q21="",0,Q21)*IF(G21="",0,G21)),2))</f>
        <v>0</v>
      </c>
      <c r="T21" s="20">
        <f>IF(B21="","",ROUND(IF(K21&lt;&gt;"",K21,IF(R21="",0,R21)*IF(G21="",0,G21)/60)*LaborCostHour,2))</f>
        <v>0</v>
      </c>
      <c r="U21" s="20">
        <f>IF(B21="","",ROUND(S21+T21+IF(L21="",0,L21)-IF(I21="",0,I21),2))</f>
        <v>0</v>
      </c>
      <c r="V21" s="20">
        <f>IF(B21="","",IF(O21=0,"",ROUND(U21/O21,2)))</f>
        <v>0</v>
      </c>
      <c r="W21" s="20">
        <f>IF(B21="","",IFERROR(INDEX(Products!$AH$5:$AH$304,MATCH(B21,Products!$A$5:$A$304,0)),""))</f>
        <v>0</v>
      </c>
      <c r="X21" s="20">
        <f>IF(B21="","",IF(OR(V21="",W21=""),"",ROUND(V21-W21,2)))</f>
        <v>0</v>
      </c>
      <c r="Y21" s="33">
        <f>IF(B21="","",IF(OR(X21="",W21="",W21=0),"",X21/W21))</f>
        <v>0</v>
      </c>
      <c r="Z21" s="36">
        <f>IF(B21="","",IF(OR(K21="",G21="",G21=0),"",ROUND(K21*60/G21,1)))</f>
        <v>0</v>
      </c>
      <c r="AA21" s="36">
        <f>IF(B21="","",IF(OR(Z21="",R21=""),"",ROUND(Z21-R21,1)))</f>
        <v>0</v>
      </c>
      <c r="AB21" s="20">
        <f>IF(B21="","",IFERROR(ROUND(O21*INDEX(Products!$AR$5:$AR$304,MATCH(B21,Products!$A$5:$A$304,0)),2),""))</f>
        <v>0</v>
      </c>
      <c r="AC21" s="20">
        <f>IF(B21="","",IF(AB21="","",ROUND(AB21-U21,2)))</f>
        <v>0</v>
      </c>
      <c r="AD21" s="32">
        <f>IF(B21="","",IF(OR(D21="",E21=""),"",E21-D21))</f>
        <v>0</v>
      </c>
      <c r="AE21" s="43">
        <f>IF(B21="","",IF(G21="","Planned - nothing made yet",IF(O21=0,"Check - no good units",IF(AND(Y21&lt;&gt;"",Y21&gt;0.15),"Check - costing 15% more than the estimate",IF(AND(P21&lt;&gt;"",P21&gt;DefaultDefect*2),"Check - high failure rate",IF(AND(AA21&lt;&gt;"",AA21&gt;5),"Check - taking longer than estimated",IF(AC21&lt;0,"Loss - this run lost money","OK")))))))</f>
        <v>0</v>
      </c>
    </row>
    <row r="22" spans="1:31">
      <c r="A22" s="38">
        <f>IF(B22="","",BatchPrefix&amp;TEXT(ROW()-4,"0000"))</f>
        <v>0</v>
      </c>
      <c r="C22" s="13">
        <f>IF(B22="","",IFERROR(INDEX(Products!$B$5:$B$304,MATCH(B22,Products!$A$5:$A$304,0)),"Not found"))</f>
        <v>0</v>
      </c>
      <c r="O22" s="32">
        <f>IF(B22="","",MAX(0,IF(G22="",0,G22)-IF(H22="",0,H22)))</f>
        <v>0</v>
      </c>
      <c r="P22" s="33">
        <f>IF(B22="","",IF(OR(G22="",G22=0),"",IF(H22="",0,H22)/G22))</f>
        <v>0</v>
      </c>
      <c r="Q22" s="20">
        <f>IF(B22="","",IFERROR(INDEX(Products!$T$5:$T$304,MATCH(B22,Products!$A$5:$A$304,0)),""))</f>
        <v>0</v>
      </c>
      <c r="R22" s="36">
        <f>IF(B22="","",IFERROR(INDEX(Products!$X$5:$X$304,MATCH(B22,Products!$A$5:$A$304,0)),""))</f>
        <v>0</v>
      </c>
      <c r="S22" s="20">
        <f>IF(B22="","",ROUND(IF(J22&lt;&gt;"",J22,IF(Q22="",0,Q22)*IF(G22="",0,G22)),2))</f>
        <v>0</v>
      </c>
      <c r="T22" s="20">
        <f>IF(B22="","",ROUND(IF(K22&lt;&gt;"",K22,IF(R22="",0,R22)*IF(G22="",0,G22)/60)*LaborCostHour,2))</f>
        <v>0</v>
      </c>
      <c r="U22" s="20">
        <f>IF(B22="","",ROUND(S22+T22+IF(L22="",0,L22)-IF(I22="",0,I22),2))</f>
        <v>0</v>
      </c>
      <c r="V22" s="20">
        <f>IF(B22="","",IF(O22=0,"",ROUND(U22/O22,2)))</f>
        <v>0</v>
      </c>
      <c r="W22" s="20">
        <f>IF(B22="","",IFERROR(INDEX(Products!$AH$5:$AH$304,MATCH(B22,Products!$A$5:$A$304,0)),""))</f>
        <v>0</v>
      </c>
      <c r="X22" s="20">
        <f>IF(B22="","",IF(OR(V22="",W22=""),"",ROUND(V22-W22,2)))</f>
        <v>0</v>
      </c>
      <c r="Y22" s="33">
        <f>IF(B22="","",IF(OR(X22="",W22="",W22=0),"",X22/W22))</f>
        <v>0</v>
      </c>
      <c r="Z22" s="36">
        <f>IF(B22="","",IF(OR(K22="",G22="",G22=0),"",ROUND(K22*60/G22,1)))</f>
        <v>0</v>
      </c>
      <c r="AA22" s="36">
        <f>IF(B22="","",IF(OR(Z22="",R22=""),"",ROUND(Z22-R22,1)))</f>
        <v>0</v>
      </c>
      <c r="AB22" s="20">
        <f>IF(B22="","",IFERROR(ROUND(O22*INDEX(Products!$AR$5:$AR$304,MATCH(B22,Products!$A$5:$A$304,0)),2),""))</f>
        <v>0</v>
      </c>
      <c r="AC22" s="20">
        <f>IF(B22="","",IF(AB22="","",ROUND(AB22-U22,2)))</f>
        <v>0</v>
      </c>
      <c r="AD22" s="32">
        <f>IF(B22="","",IF(OR(D22="",E22=""),"",E22-D22))</f>
        <v>0</v>
      </c>
      <c r="AE22" s="43">
        <f>IF(B22="","",IF(G22="","Planned - nothing made yet",IF(O22=0,"Check - no good units",IF(AND(Y22&lt;&gt;"",Y22&gt;0.15),"Check - costing 15% more than the estimate",IF(AND(P22&lt;&gt;"",P22&gt;DefaultDefect*2),"Check - high failure rate",IF(AND(AA22&lt;&gt;"",AA22&gt;5),"Check - taking longer than estimated",IF(AC22&lt;0,"Loss - this run lost money","OK")))))))</f>
        <v>0</v>
      </c>
    </row>
    <row r="23" spans="1:31">
      <c r="A23" s="38">
        <f>IF(B23="","",BatchPrefix&amp;TEXT(ROW()-4,"0000"))</f>
        <v>0</v>
      </c>
      <c r="C23" s="13">
        <f>IF(B23="","",IFERROR(INDEX(Products!$B$5:$B$304,MATCH(B23,Products!$A$5:$A$304,0)),"Not found"))</f>
        <v>0</v>
      </c>
      <c r="O23" s="32">
        <f>IF(B23="","",MAX(0,IF(G23="",0,G23)-IF(H23="",0,H23)))</f>
        <v>0</v>
      </c>
      <c r="P23" s="33">
        <f>IF(B23="","",IF(OR(G23="",G23=0),"",IF(H23="",0,H23)/G23))</f>
        <v>0</v>
      </c>
      <c r="Q23" s="20">
        <f>IF(B23="","",IFERROR(INDEX(Products!$T$5:$T$304,MATCH(B23,Products!$A$5:$A$304,0)),""))</f>
        <v>0</v>
      </c>
      <c r="R23" s="36">
        <f>IF(B23="","",IFERROR(INDEX(Products!$X$5:$X$304,MATCH(B23,Products!$A$5:$A$304,0)),""))</f>
        <v>0</v>
      </c>
      <c r="S23" s="20">
        <f>IF(B23="","",ROUND(IF(J23&lt;&gt;"",J23,IF(Q23="",0,Q23)*IF(G23="",0,G23)),2))</f>
        <v>0</v>
      </c>
      <c r="T23" s="20">
        <f>IF(B23="","",ROUND(IF(K23&lt;&gt;"",K23,IF(R23="",0,R23)*IF(G23="",0,G23)/60)*LaborCostHour,2))</f>
        <v>0</v>
      </c>
      <c r="U23" s="20">
        <f>IF(B23="","",ROUND(S23+T23+IF(L23="",0,L23)-IF(I23="",0,I23),2))</f>
        <v>0</v>
      </c>
      <c r="V23" s="20">
        <f>IF(B23="","",IF(O23=0,"",ROUND(U23/O23,2)))</f>
        <v>0</v>
      </c>
      <c r="W23" s="20">
        <f>IF(B23="","",IFERROR(INDEX(Products!$AH$5:$AH$304,MATCH(B23,Products!$A$5:$A$304,0)),""))</f>
        <v>0</v>
      </c>
      <c r="X23" s="20">
        <f>IF(B23="","",IF(OR(V23="",W23=""),"",ROUND(V23-W23,2)))</f>
        <v>0</v>
      </c>
      <c r="Y23" s="33">
        <f>IF(B23="","",IF(OR(X23="",W23="",W23=0),"",X23/W23))</f>
        <v>0</v>
      </c>
      <c r="Z23" s="36">
        <f>IF(B23="","",IF(OR(K23="",G23="",G23=0),"",ROUND(K23*60/G23,1)))</f>
        <v>0</v>
      </c>
      <c r="AA23" s="36">
        <f>IF(B23="","",IF(OR(Z23="",R23=""),"",ROUND(Z23-R23,1)))</f>
        <v>0</v>
      </c>
      <c r="AB23" s="20">
        <f>IF(B23="","",IFERROR(ROUND(O23*INDEX(Products!$AR$5:$AR$304,MATCH(B23,Products!$A$5:$A$304,0)),2),""))</f>
        <v>0</v>
      </c>
      <c r="AC23" s="20">
        <f>IF(B23="","",IF(AB23="","",ROUND(AB23-U23,2)))</f>
        <v>0</v>
      </c>
      <c r="AD23" s="32">
        <f>IF(B23="","",IF(OR(D23="",E23=""),"",E23-D23))</f>
        <v>0</v>
      </c>
      <c r="AE23" s="43">
        <f>IF(B23="","",IF(G23="","Planned - nothing made yet",IF(O23=0,"Check - no good units",IF(AND(Y23&lt;&gt;"",Y23&gt;0.15),"Check - costing 15% more than the estimate",IF(AND(P23&lt;&gt;"",P23&gt;DefaultDefect*2),"Check - high failure rate",IF(AND(AA23&lt;&gt;"",AA23&gt;5),"Check - taking longer than estimated",IF(AC23&lt;0,"Loss - this run lost money","OK")))))))</f>
        <v>0</v>
      </c>
    </row>
    <row r="24" spans="1:31">
      <c r="A24" s="38">
        <f>IF(B24="","",BatchPrefix&amp;TEXT(ROW()-4,"0000"))</f>
        <v>0</v>
      </c>
      <c r="C24" s="13">
        <f>IF(B24="","",IFERROR(INDEX(Products!$B$5:$B$304,MATCH(B24,Products!$A$5:$A$304,0)),"Not found"))</f>
        <v>0</v>
      </c>
      <c r="O24" s="32">
        <f>IF(B24="","",MAX(0,IF(G24="",0,G24)-IF(H24="",0,H24)))</f>
        <v>0</v>
      </c>
      <c r="P24" s="33">
        <f>IF(B24="","",IF(OR(G24="",G24=0),"",IF(H24="",0,H24)/G24))</f>
        <v>0</v>
      </c>
      <c r="Q24" s="20">
        <f>IF(B24="","",IFERROR(INDEX(Products!$T$5:$T$304,MATCH(B24,Products!$A$5:$A$304,0)),""))</f>
        <v>0</v>
      </c>
      <c r="R24" s="36">
        <f>IF(B24="","",IFERROR(INDEX(Products!$X$5:$X$304,MATCH(B24,Products!$A$5:$A$304,0)),""))</f>
        <v>0</v>
      </c>
      <c r="S24" s="20">
        <f>IF(B24="","",ROUND(IF(J24&lt;&gt;"",J24,IF(Q24="",0,Q24)*IF(G24="",0,G24)),2))</f>
        <v>0</v>
      </c>
      <c r="T24" s="20">
        <f>IF(B24="","",ROUND(IF(K24&lt;&gt;"",K24,IF(R24="",0,R24)*IF(G24="",0,G24)/60)*LaborCostHour,2))</f>
        <v>0</v>
      </c>
      <c r="U24" s="20">
        <f>IF(B24="","",ROUND(S24+T24+IF(L24="",0,L24)-IF(I24="",0,I24),2))</f>
        <v>0</v>
      </c>
      <c r="V24" s="20">
        <f>IF(B24="","",IF(O24=0,"",ROUND(U24/O24,2)))</f>
        <v>0</v>
      </c>
      <c r="W24" s="20">
        <f>IF(B24="","",IFERROR(INDEX(Products!$AH$5:$AH$304,MATCH(B24,Products!$A$5:$A$304,0)),""))</f>
        <v>0</v>
      </c>
      <c r="X24" s="20">
        <f>IF(B24="","",IF(OR(V24="",W24=""),"",ROUND(V24-W24,2)))</f>
        <v>0</v>
      </c>
      <c r="Y24" s="33">
        <f>IF(B24="","",IF(OR(X24="",W24="",W24=0),"",X24/W24))</f>
        <v>0</v>
      </c>
      <c r="Z24" s="36">
        <f>IF(B24="","",IF(OR(K24="",G24="",G24=0),"",ROUND(K24*60/G24,1)))</f>
        <v>0</v>
      </c>
      <c r="AA24" s="36">
        <f>IF(B24="","",IF(OR(Z24="",R24=""),"",ROUND(Z24-R24,1)))</f>
        <v>0</v>
      </c>
      <c r="AB24" s="20">
        <f>IF(B24="","",IFERROR(ROUND(O24*INDEX(Products!$AR$5:$AR$304,MATCH(B24,Products!$A$5:$A$304,0)),2),""))</f>
        <v>0</v>
      </c>
      <c r="AC24" s="20">
        <f>IF(B24="","",IF(AB24="","",ROUND(AB24-U24,2)))</f>
        <v>0</v>
      </c>
      <c r="AD24" s="32">
        <f>IF(B24="","",IF(OR(D24="",E24=""),"",E24-D24))</f>
        <v>0</v>
      </c>
      <c r="AE24" s="43">
        <f>IF(B24="","",IF(G24="","Planned - nothing made yet",IF(O24=0,"Check - no good units",IF(AND(Y24&lt;&gt;"",Y24&gt;0.15),"Check - costing 15% more than the estimate",IF(AND(P24&lt;&gt;"",P24&gt;DefaultDefect*2),"Check - high failure rate",IF(AND(AA24&lt;&gt;"",AA24&gt;5),"Check - taking longer than estimated",IF(AC24&lt;0,"Loss - this run lost money","OK")))))))</f>
        <v>0</v>
      </c>
    </row>
    <row r="25" spans="1:31">
      <c r="A25" s="38">
        <f>IF(B25="","",BatchPrefix&amp;TEXT(ROW()-4,"0000"))</f>
        <v>0</v>
      </c>
      <c r="C25" s="13">
        <f>IF(B25="","",IFERROR(INDEX(Products!$B$5:$B$304,MATCH(B25,Products!$A$5:$A$304,0)),"Not found"))</f>
        <v>0</v>
      </c>
      <c r="O25" s="32">
        <f>IF(B25="","",MAX(0,IF(G25="",0,G25)-IF(H25="",0,H25)))</f>
        <v>0</v>
      </c>
      <c r="P25" s="33">
        <f>IF(B25="","",IF(OR(G25="",G25=0),"",IF(H25="",0,H25)/G25))</f>
        <v>0</v>
      </c>
      <c r="Q25" s="20">
        <f>IF(B25="","",IFERROR(INDEX(Products!$T$5:$T$304,MATCH(B25,Products!$A$5:$A$304,0)),""))</f>
        <v>0</v>
      </c>
      <c r="R25" s="36">
        <f>IF(B25="","",IFERROR(INDEX(Products!$X$5:$X$304,MATCH(B25,Products!$A$5:$A$304,0)),""))</f>
        <v>0</v>
      </c>
      <c r="S25" s="20">
        <f>IF(B25="","",ROUND(IF(J25&lt;&gt;"",J25,IF(Q25="",0,Q25)*IF(G25="",0,G25)),2))</f>
        <v>0</v>
      </c>
      <c r="T25" s="20">
        <f>IF(B25="","",ROUND(IF(K25&lt;&gt;"",K25,IF(R25="",0,R25)*IF(G25="",0,G25)/60)*LaborCostHour,2))</f>
        <v>0</v>
      </c>
      <c r="U25" s="20">
        <f>IF(B25="","",ROUND(S25+T25+IF(L25="",0,L25)-IF(I25="",0,I25),2))</f>
        <v>0</v>
      </c>
      <c r="V25" s="20">
        <f>IF(B25="","",IF(O25=0,"",ROUND(U25/O25,2)))</f>
        <v>0</v>
      </c>
      <c r="W25" s="20">
        <f>IF(B25="","",IFERROR(INDEX(Products!$AH$5:$AH$304,MATCH(B25,Products!$A$5:$A$304,0)),""))</f>
        <v>0</v>
      </c>
      <c r="X25" s="20">
        <f>IF(B25="","",IF(OR(V25="",W25=""),"",ROUND(V25-W25,2)))</f>
        <v>0</v>
      </c>
      <c r="Y25" s="33">
        <f>IF(B25="","",IF(OR(X25="",W25="",W25=0),"",X25/W25))</f>
        <v>0</v>
      </c>
      <c r="Z25" s="36">
        <f>IF(B25="","",IF(OR(K25="",G25="",G25=0),"",ROUND(K25*60/G25,1)))</f>
        <v>0</v>
      </c>
      <c r="AA25" s="36">
        <f>IF(B25="","",IF(OR(Z25="",R25=""),"",ROUND(Z25-R25,1)))</f>
        <v>0</v>
      </c>
      <c r="AB25" s="20">
        <f>IF(B25="","",IFERROR(ROUND(O25*INDEX(Products!$AR$5:$AR$304,MATCH(B25,Products!$A$5:$A$304,0)),2),""))</f>
        <v>0</v>
      </c>
      <c r="AC25" s="20">
        <f>IF(B25="","",IF(AB25="","",ROUND(AB25-U25,2)))</f>
        <v>0</v>
      </c>
      <c r="AD25" s="32">
        <f>IF(B25="","",IF(OR(D25="",E25=""),"",E25-D25))</f>
        <v>0</v>
      </c>
      <c r="AE25" s="43">
        <f>IF(B25="","",IF(G25="","Planned - nothing made yet",IF(O25=0,"Check - no good units",IF(AND(Y25&lt;&gt;"",Y25&gt;0.15),"Check - costing 15% more than the estimate",IF(AND(P25&lt;&gt;"",P25&gt;DefaultDefect*2),"Check - high failure rate",IF(AND(AA25&lt;&gt;"",AA25&gt;5),"Check - taking longer than estimated",IF(AC25&lt;0,"Loss - this run lost money","OK")))))))</f>
        <v>0</v>
      </c>
    </row>
    <row r="26" spans="1:31">
      <c r="A26" s="38">
        <f>IF(B26="","",BatchPrefix&amp;TEXT(ROW()-4,"0000"))</f>
        <v>0</v>
      </c>
      <c r="C26" s="13">
        <f>IF(B26="","",IFERROR(INDEX(Products!$B$5:$B$304,MATCH(B26,Products!$A$5:$A$304,0)),"Not found"))</f>
        <v>0</v>
      </c>
      <c r="O26" s="32">
        <f>IF(B26="","",MAX(0,IF(G26="",0,G26)-IF(H26="",0,H26)))</f>
        <v>0</v>
      </c>
      <c r="P26" s="33">
        <f>IF(B26="","",IF(OR(G26="",G26=0),"",IF(H26="",0,H26)/G26))</f>
        <v>0</v>
      </c>
      <c r="Q26" s="20">
        <f>IF(B26="","",IFERROR(INDEX(Products!$T$5:$T$304,MATCH(B26,Products!$A$5:$A$304,0)),""))</f>
        <v>0</v>
      </c>
      <c r="R26" s="36">
        <f>IF(B26="","",IFERROR(INDEX(Products!$X$5:$X$304,MATCH(B26,Products!$A$5:$A$304,0)),""))</f>
        <v>0</v>
      </c>
      <c r="S26" s="20">
        <f>IF(B26="","",ROUND(IF(J26&lt;&gt;"",J26,IF(Q26="",0,Q26)*IF(G26="",0,G26)),2))</f>
        <v>0</v>
      </c>
      <c r="T26" s="20">
        <f>IF(B26="","",ROUND(IF(K26&lt;&gt;"",K26,IF(R26="",0,R26)*IF(G26="",0,G26)/60)*LaborCostHour,2))</f>
        <v>0</v>
      </c>
      <c r="U26" s="20">
        <f>IF(B26="","",ROUND(S26+T26+IF(L26="",0,L26)-IF(I26="",0,I26),2))</f>
        <v>0</v>
      </c>
      <c r="V26" s="20">
        <f>IF(B26="","",IF(O26=0,"",ROUND(U26/O26,2)))</f>
        <v>0</v>
      </c>
      <c r="W26" s="20">
        <f>IF(B26="","",IFERROR(INDEX(Products!$AH$5:$AH$304,MATCH(B26,Products!$A$5:$A$304,0)),""))</f>
        <v>0</v>
      </c>
      <c r="X26" s="20">
        <f>IF(B26="","",IF(OR(V26="",W26=""),"",ROUND(V26-W26,2)))</f>
        <v>0</v>
      </c>
      <c r="Y26" s="33">
        <f>IF(B26="","",IF(OR(X26="",W26="",W26=0),"",X26/W26))</f>
        <v>0</v>
      </c>
      <c r="Z26" s="36">
        <f>IF(B26="","",IF(OR(K26="",G26="",G26=0),"",ROUND(K26*60/G26,1)))</f>
        <v>0</v>
      </c>
      <c r="AA26" s="36">
        <f>IF(B26="","",IF(OR(Z26="",R26=""),"",ROUND(Z26-R26,1)))</f>
        <v>0</v>
      </c>
      <c r="AB26" s="20">
        <f>IF(B26="","",IFERROR(ROUND(O26*INDEX(Products!$AR$5:$AR$304,MATCH(B26,Products!$A$5:$A$304,0)),2),""))</f>
        <v>0</v>
      </c>
      <c r="AC26" s="20">
        <f>IF(B26="","",IF(AB26="","",ROUND(AB26-U26,2)))</f>
        <v>0</v>
      </c>
      <c r="AD26" s="32">
        <f>IF(B26="","",IF(OR(D26="",E26=""),"",E26-D26))</f>
        <v>0</v>
      </c>
      <c r="AE26" s="43">
        <f>IF(B26="","",IF(G26="","Planned - nothing made yet",IF(O26=0,"Check - no good units",IF(AND(Y26&lt;&gt;"",Y26&gt;0.15),"Check - costing 15% more than the estimate",IF(AND(P26&lt;&gt;"",P26&gt;DefaultDefect*2),"Check - high failure rate",IF(AND(AA26&lt;&gt;"",AA26&gt;5),"Check - taking longer than estimated",IF(AC26&lt;0,"Loss - this run lost money","OK")))))))</f>
        <v>0</v>
      </c>
    </row>
    <row r="27" spans="1:31">
      <c r="A27" s="38">
        <f>IF(B27="","",BatchPrefix&amp;TEXT(ROW()-4,"0000"))</f>
        <v>0</v>
      </c>
      <c r="C27" s="13">
        <f>IF(B27="","",IFERROR(INDEX(Products!$B$5:$B$304,MATCH(B27,Products!$A$5:$A$304,0)),"Not found"))</f>
        <v>0</v>
      </c>
      <c r="O27" s="32">
        <f>IF(B27="","",MAX(0,IF(G27="",0,G27)-IF(H27="",0,H27)))</f>
        <v>0</v>
      </c>
      <c r="P27" s="33">
        <f>IF(B27="","",IF(OR(G27="",G27=0),"",IF(H27="",0,H27)/G27))</f>
        <v>0</v>
      </c>
      <c r="Q27" s="20">
        <f>IF(B27="","",IFERROR(INDEX(Products!$T$5:$T$304,MATCH(B27,Products!$A$5:$A$304,0)),""))</f>
        <v>0</v>
      </c>
      <c r="R27" s="36">
        <f>IF(B27="","",IFERROR(INDEX(Products!$X$5:$X$304,MATCH(B27,Products!$A$5:$A$304,0)),""))</f>
        <v>0</v>
      </c>
      <c r="S27" s="20">
        <f>IF(B27="","",ROUND(IF(J27&lt;&gt;"",J27,IF(Q27="",0,Q27)*IF(G27="",0,G27)),2))</f>
        <v>0</v>
      </c>
      <c r="T27" s="20">
        <f>IF(B27="","",ROUND(IF(K27&lt;&gt;"",K27,IF(R27="",0,R27)*IF(G27="",0,G27)/60)*LaborCostHour,2))</f>
        <v>0</v>
      </c>
      <c r="U27" s="20">
        <f>IF(B27="","",ROUND(S27+T27+IF(L27="",0,L27)-IF(I27="",0,I27),2))</f>
        <v>0</v>
      </c>
      <c r="V27" s="20">
        <f>IF(B27="","",IF(O27=0,"",ROUND(U27/O27,2)))</f>
        <v>0</v>
      </c>
      <c r="W27" s="20">
        <f>IF(B27="","",IFERROR(INDEX(Products!$AH$5:$AH$304,MATCH(B27,Products!$A$5:$A$304,0)),""))</f>
        <v>0</v>
      </c>
      <c r="X27" s="20">
        <f>IF(B27="","",IF(OR(V27="",W27=""),"",ROUND(V27-W27,2)))</f>
        <v>0</v>
      </c>
      <c r="Y27" s="33">
        <f>IF(B27="","",IF(OR(X27="",W27="",W27=0),"",X27/W27))</f>
        <v>0</v>
      </c>
      <c r="Z27" s="36">
        <f>IF(B27="","",IF(OR(K27="",G27="",G27=0),"",ROUND(K27*60/G27,1)))</f>
        <v>0</v>
      </c>
      <c r="AA27" s="36">
        <f>IF(B27="","",IF(OR(Z27="",R27=""),"",ROUND(Z27-R27,1)))</f>
        <v>0</v>
      </c>
      <c r="AB27" s="20">
        <f>IF(B27="","",IFERROR(ROUND(O27*INDEX(Products!$AR$5:$AR$304,MATCH(B27,Products!$A$5:$A$304,0)),2),""))</f>
        <v>0</v>
      </c>
      <c r="AC27" s="20">
        <f>IF(B27="","",IF(AB27="","",ROUND(AB27-U27,2)))</f>
        <v>0</v>
      </c>
      <c r="AD27" s="32">
        <f>IF(B27="","",IF(OR(D27="",E27=""),"",E27-D27))</f>
        <v>0</v>
      </c>
      <c r="AE27" s="43">
        <f>IF(B27="","",IF(G27="","Planned - nothing made yet",IF(O27=0,"Check - no good units",IF(AND(Y27&lt;&gt;"",Y27&gt;0.15),"Check - costing 15% more than the estimate",IF(AND(P27&lt;&gt;"",P27&gt;DefaultDefect*2),"Check - high failure rate",IF(AND(AA27&lt;&gt;"",AA27&gt;5),"Check - taking longer than estimated",IF(AC27&lt;0,"Loss - this run lost money","OK")))))))</f>
        <v>0</v>
      </c>
    </row>
    <row r="28" spans="1:31">
      <c r="A28" s="38">
        <f>IF(B28="","",BatchPrefix&amp;TEXT(ROW()-4,"0000"))</f>
        <v>0</v>
      </c>
      <c r="C28" s="13">
        <f>IF(B28="","",IFERROR(INDEX(Products!$B$5:$B$304,MATCH(B28,Products!$A$5:$A$304,0)),"Not found"))</f>
        <v>0</v>
      </c>
      <c r="O28" s="32">
        <f>IF(B28="","",MAX(0,IF(G28="",0,G28)-IF(H28="",0,H28)))</f>
        <v>0</v>
      </c>
      <c r="P28" s="33">
        <f>IF(B28="","",IF(OR(G28="",G28=0),"",IF(H28="",0,H28)/G28))</f>
        <v>0</v>
      </c>
      <c r="Q28" s="20">
        <f>IF(B28="","",IFERROR(INDEX(Products!$T$5:$T$304,MATCH(B28,Products!$A$5:$A$304,0)),""))</f>
        <v>0</v>
      </c>
      <c r="R28" s="36">
        <f>IF(B28="","",IFERROR(INDEX(Products!$X$5:$X$304,MATCH(B28,Products!$A$5:$A$304,0)),""))</f>
        <v>0</v>
      </c>
      <c r="S28" s="20">
        <f>IF(B28="","",ROUND(IF(J28&lt;&gt;"",J28,IF(Q28="",0,Q28)*IF(G28="",0,G28)),2))</f>
        <v>0</v>
      </c>
      <c r="T28" s="20">
        <f>IF(B28="","",ROUND(IF(K28&lt;&gt;"",K28,IF(R28="",0,R28)*IF(G28="",0,G28)/60)*LaborCostHour,2))</f>
        <v>0</v>
      </c>
      <c r="U28" s="20">
        <f>IF(B28="","",ROUND(S28+T28+IF(L28="",0,L28)-IF(I28="",0,I28),2))</f>
        <v>0</v>
      </c>
      <c r="V28" s="20">
        <f>IF(B28="","",IF(O28=0,"",ROUND(U28/O28,2)))</f>
        <v>0</v>
      </c>
      <c r="W28" s="20">
        <f>IF(B28="","",IFERROR(INDEX(Products!$AH$5:$AH$304,MATCH(B28,Products!$A$5:$A$304,0)),""))</f>
        <v>0</v>
      </c>
      <c r="X28" s="20">
        <f>IF(B28="","",IF(OR(V28="",W28=""),"",ROUND(V28-W28,2)))</f>
        <v>0</v>
      </c>
      <c r="Y28" s="33">
        <f>IF(B28="","",IF(OR(X28="",W28="",W28=0),"",X28/W28))</f>
        <v>0</v>
      </c>
      <c r="Z28" s="36">
        <f>IF(B28="","",IF(OR(K28="",G28="",G28=0),"",ROUND(K28*60/G28,1)))</f>
        <v>0</v>
      </c>
      <c r="AA28" s="36">
        <f>IF(B28="","",IF(OR(Z28="",R28=""),"",ROUND(Z28-R28,1)))</f>
        <v>0</v>
      </c>
      <c r="AB28" s="20">
        <f>IF(B28="","",IFERROR(ROUND(O28*INDEX(Products!$AR$5:$AR$304,MATCH(B28,Products!$A$5:$A$304,0)),2),""))</f>
        <v>0</v>
      </c>
      <c r="AC28" s="20">
        <f>IF(B28="","",IF(AB28="","",ROUND(AB28-U28,2)))</f>
        <v>0</v>
      </c>
      <c r="AD28" s="32">
        <f>IF(B28="","",IF(OR(D28="",E28=""),"",E28-D28))</f>
        <v>0</v>
      </c>
      <c r="AE28" s="43">
        <f>IF(B28="","",IF(G28="","Planned - nothing made yet",IF(O28=0,"Check - no good units",IF(AND(Y28&lt;&gt;"",Y28&gt;0.15),"Check - costing 15% more than the estimate",IF(AND(P28&lt;&gt;"",P28&gt;DefaultDefect*2),"Check - high failure rate",IF(AND(AA28&lt;&gt;"",AA28&gt;5),"Check - taking longer than estimated",IF(AC28&lt;0,"Loss - this run lost money","OK")))))))</f>
        <v>0</v>
      </c>
    </row>
    <row r="29" spans="1:31">
      <c r="A29" s="38">
        <f>IF(B29="","",BatchPrefix&amp;TEXT(ROW()-4,"0000"))</f>
        <v>0</v>
      </c>
      <c r="C29" s="13">
        <f>IF(B29="","",IFERROR(INDEX(Products!$B$5:$B$304,MATCH(B29,Products!$A$5:$A$304,0)),"Not found"))</f>
        <v>0</v>
      </c>
      <c r="O29" s="32">
        <f>IF(B29="","",MAX(0,IF(G29="",0,G29)-IF(H29="",0,H29)))</f>
        <v>0</v>
      </c>
      <c r="P29" s="33">
        <f>IF(B29="","",IF(OR(G29="",G29=0),"",IF(H29="",0,H29)/G29))</f>
        <v>0</v>
      </c>
      <c r="Q29" s="20">
        <f>IF(B29="","",IFERROR(INDEX(Products!$T$5:$T$304,MATCH(B29,Products!$A$5:$A$304,0)),""))</f>
        <v>0</v>
      </c>
      <c r="R29" s="36">
        <f>IF(B29="","",IFERROR(INDEX(Products!$X$5:$X$304,MATCH(B29,Products!$A$5:$A$304,0)),""))</f>
        <v>0</v>
      </c>
      <c r="S29" s="20">
        <f>IF(B29="","",ROUND(IF(J29&lt;&gt;"",J29,IF(Q29="",0,Q29)*IF(G29="",0,G29)),2))</f>
        <v>0</v>
      </c>
      <c r="T29" s="20">
        <f>IF(B29="","",ROUND(IF(K29&lt;&gt;"",K29,IF(R29="",0,R29)*IF(G29="",0,G29)/60)*LaborCostHour,2))</f>
        <v>0</v>
      </c>
      <c r="U29" s="20">
        <f>IF(B29="","",ROUND(S29+T29+IF(L29="",0,L29)-IF(I29="",0,I29),2))</f>
        <v>0</v>
      </c>
      <c r="V29" s="20">
        <f>IF(B29="","",IF(O29=0,"",ROUND(U29/O29,2)))</f>
        <v>0</v>
      </c>
      <c r="W29" s="20">
        <f>IF(B29="","",IFERROR(INDEX(Products!$AH$5:$AH$304,MATCH(B29,Products!$A$5:$A$304,0)),""))</f>
        <v>0</v>
      </c>
      <c r="X29" s="20">
        <f>IF(B29="","",IF(OR(V29="",W29=""),"",ROUND(V29-W29,2)))</f>
        <v>0</v>
      </c>
      <c r="Y29" s="33">
        <f>IF(B29="","",IF(OR(X29="",W29="",W29=0),"",X29/W29))</f>
        <v>0</v>
      </c>
      <c r="Z29" s="36">
        <f>IF(B29="","",IF(OR(K29="",G29="",G29=0),"",ROUND(K29*60/G29,1)))</f>
        <v>0</v>
      </c>
      <c r="AA29" s="36">
        <f>IF(B29="","",IF(OR(Z29="",R29=""),"",ROUND(Z29-R29,1)))</f>
        <v>0</v>
      </c>
      <c r="AB29" s="20">
        <f>IF(B29="","",IFERROR(ROUND(O29*INDEX(Products!$AR$5:$AR$304,MATCH(B29,Products!$A$5:$A$304,0)),2),""))</f>
        <v>0</v>
      </c>
      <c r="AC29" s="20">
        <f>IF(B29="","",IF(AB29="","",ROUND(AB29-U29,2)))</f>
        <v>0</v>
      </c>
      <c r="AD29" s="32">
        <f>IF(B29="","",IF(OR(D29="",E29=""),"",E29-D29))</f>
        <v>0</v>
      </c>
      <c r="AE29" s="43">
        <f>IF(B29="","",IF(G29="","Planned - nothing made yet",IF(O29=0,"Check - no good units",IF(AND(Y29&lt;&gt;"",Y29&gt;0.15),"Check - costing 15% more than the estimate",IF(AND(P29&lt;&gt;"",P29&gt;DefaultDefect*2),"Check - high failure rate",IF(AND(AA29&lt;&gt;"",AA29&gt;5),"Check - taking longer than estimated",IF(AC29&lt;0,"Loss - this run lost money","OK")))))))</f>
        <v>0</v>
      </c>
    </row>
    <row r="30" spans="1:31">
      <c r="A30" s="38">
        <f>IF(B30="","",BatchPrefix&amp;TEXT(ROW()-4,"0000"))</f>
        <v>0</v>
      </c>
      <c r="C30" s="13">
        <f>IF(B30="","",IFERROR(INDEX(Products!$B$5:$B$304,MATCH(B30,Products!$A$5:$A$304,0)),"Not found"))</f>
        <v>0</v>
      </c>
      <c r="O30" s="32">
        <f>IF(B30="","",MAX(0,IF(G30="",0,G30)-IF(H30="",0,H30)))</f>
        <v>0</v>
      </c>
      <c r="P30" s="33">
        <f>IF(B30="","",IF(OR(G30="",G30=0),"",IF(H30="",0,H30)/G30))</f>
        <v>0</v>
      </c>
      <c r="Q30" s="20">
        <f>IF(B30="","",IFERROR(INDEX(Products!$T$5:$T$304,MATCH(B30,Products!$A$5:$A$304,0)),""))</f>
        <v>0</v>
      </c>
      <c r="R30" s="36">
        <f>IF(B30="","",IFERROR(INDEX(Products!$X$5:$X$304,MATCH(B30,Products!$A$5:$A$304,0)),""))</f>
        <v>0</v>
      </c>
      <c r="S30" s="20">
        <f>IF(B30="","",ROUND(IF(J30&lt;&gt;"",J30,IF(Q30="",0,Q30)*IF(G30="",0,G30)),2))</f>
        <v>0</v>
      </c>
      <c r="T30" s="20">
        <f>IF(B30="","",ROUND(IF(K30&lt;&gt;"",K30,IF(R30="",0,R30)*IF(G30="",0,G30)/60)*LaborCostHour,2))</f>
        <v>0</v>
      </c>
      <c r="U30" s="20">
        <f>IF(B30="","",ROUND(S30+T30+IF(L30="",0,L30)-IF(I30="",0,I30),2))</f>
        <v>0</v>
      </c>
      <c r="V30" s="20">
        <f>IF(B30="","",IF(O30=0,"",ROUND(U30/O30,2)))</f>
        <v>0</v>
      </c>
      <c r="W30" s="20">
        <f>IF(B30="","",IFERROR(INDEX(Products!$AH$5:$AH$304,MATCH(B30,Products!$A$5:$A$304,0)),""))</f>
        <v>0</v>
      </c>
      <c r="X30" s="20">
        <f>IF(B30="","",IF(OR(V30="",W30=""),"",ROUND(V30-W30,2)))</f>
        <v>0</v>
      </c>
      <c r="Y30" s="33">
        <f>IF(B30="","",IF(OR(X30="",W30="",W30=0),"",X30/W30))</f>
        <v>0</v>
      </c>
      <c r="Z30" s="36">
        <f>IF(B30="","",IF(OR(K30="",G30="",G30=0),"",ROUND(K30*60/G30,1)))</f>
        <v>0</v>
      </c>
      <c r="AA30" s="36">
        <f>IF(B30="","",IF(OR(Z30="",R30=""),"",ROUND(Z30-R30,1)))</f>
        <v>0</v>
      </c>
      <c r="AB30" s="20">
        <f>IF(B30="","",IFERROR(ROUND(O30*INDEX(Products!$AR$5:$AR$304,MATCH(B30,Products!$A$5:$A$304,0)),2),""))</f>
        <v>0</v>
      </c>
      <c r="AC30" s="20">
        <f>IF(B30="","",IF(AB30="","",ROUND(AB30-U30,2)))</f>
        <v>0</v>
      </c>
      <c r="AD30" s="32">
        <f>IF(B30="","",IF(OR(D30="",E30=""),"",E30-D30))</f>
        <v>0</v>
      </c>
      <c r="AE30" s="43">
        <f>IF(B30="","",IF(G30="","Planned - nothing made yet",IF(O30=0,"Check - no good units",IF(AND(Y30&lt;&gt;"",Y30&gt;0.15),"Check - costing 15% more than the estimate",IF(AND(P30&lt;&gt;"",P30&gt;DefaultDefect*2),"Check - high failure rate",IF(AND(AA30&lt;&gt;"",AA30&gt;5),"Check - taking longer than estimated",IF(AC30&lt;0,"Loss - this run lost money","OK")))))))</f>
        <v>0</v>
      </c>
    </row>
    <row r="31" spans="1:31">
      <c r="A31" s="38">
        <f>IF(B31="","",BatchPrefix&amp;TEXT(ROW()-4,"0000"))</f>
        <v>0</v>
      </c>
      <c r="C31" s="13">
        <f>IF(B31="","",IFERROR(INDEX(Products!$B$5:$B$304,MATCH(B31,Products!$A$5:$A$304,0)),"Not found"))</f>
        <v>0</v>
      </c>
      <c r="O31" s="32">
        <f>IF(B31="","",MAX(0,IF(G31="",0,G31)-IF(H31="",0,H31)))</f>
        <v>0</v>
      </c>
      <c r="P31" s="33">
        <f>IF(B31="","",IF(OR(G31="",G31=0),"",IF(H31="",0,H31)/G31))</f>
        <v>0</v>
      </c>
      <c r="Q31" s="20">
        <f>IF(B31="","",IFERROR(INDEX(Products!$T$5:$T$304,MATCH(B31,Products!$A$5:$A$304,0)),""))</f>
        <v>0</v>
      </c>
      <c r="R31" s="36">
        <f>IF(B31="","",IFERROR(INDEX(Products!$X$5:$X$304,MATCH(B31,Products!$A$5:$A$304,0)),""))</f>
        <v>0</v>
      </c>
      <c r="S31" s="20">
        <f>IF(B31="","",ROUND(IF(J31&lt;&gt;"",J31,IF(Q31="",0,Q31)*IF(G31="",0,G31)),2))</f>
        <v>0</v>
      </c>
      <c r="T31" s="20">
        <f>IF(B31="","",ROUND(IF(K31&lt;&gt;"",K31,IF(R31="",0,R31)*IF(G31="",0,G31)/60)*LaborCostHour,2))</f>
        <v>0</v>
      </c>
      <c r="U31" s="20">
        <f>IF(B31="","",ROUND(S31+T31+IF(L31="",0,L31)-IF(I31="",0,I31),2))</f>
        <v>0</v>
      </c>
      <c r="V31" s="20">
        <f>IF(B31="","",IF(O31=0,"",ROUND(U31/O31,2)))</f>
        <v>0</v>
      </c>
      <c r="W31" s="20">
        <f>IF(B31="","",IFERROR(INDEX(Products!$AH$5:$AH$304,MATCH(B31,Products!$A$5:$A$304,0)),""))</f>
        <v>0</v>
      </c>
      <c r="X31" s="20">
        <f>IF(B31="","",IF(OR(V31="",W31=""),"",ROUND(V31-W31,2)))</f>
        <v>0</v>
      </c>
      <c r="Y31" s="33">
        <f>IF(B31="","",IF(OR(X31="",W31="",W31=0),"",X31/W31))</f>
        <v>0</v>
      </c>
      <c r="Z31" s="36">
        <f>IF(B31="","",IF(OR(K31="",G31="",G31=0),"",ROUND(K31*60/G31,1)))</f>
        <v>0</v>
      </c>
      <c r="AA31" s="36">
        <f>IF(B31="","",IF(OR(Z31="",R31=""),"",ROUND(Z31-R31,1)))</f>
        <v>0</v>
      </c>
      <c r="AB31" s="20">
        <f>IF(B31="","",IFERROR(ROUND(O31*INDEX(Products!$AR$5:$AR$304,MATCH(B31,Products!$A$5:$A$304,0)),2),""))</f>
        <v>0</v>
      </c>
      <c r="AC31" s="20">
        <f>IF(B31="","",IF(AB31="","",ROUND(AB31-U31,2)))</f>
        <v>0</v>
      </c>
      <c r="AD31" s="32">
        <f>IF(B31="","",IF(OR(D31="",E31=""),"",E31-D31))</f>
        <v>0</v>
      </c>
      <c r="AE31" s="43">
        <f>IF(B31="","",IF(G31="","Planned - nothing made yet",IF(O31=0,"Check - no good units",IF(AND(Y31&lt;&gt;"",Y31&gt;0.15),"Check - costing 15% more than the estimate",IF(AND(P31&lt;&gt;"",P31&gt;DefaultDefect*2),"Check - high failure rate",IF(AND(AA31&lt;&gt;"",AA31&gt;5),"Check - taking longer than estimated",IF(AC31&lt;0,"Loss - this run lost money","OK")))))))</f>
        <v>0</v>
      </c>
    </row>
    <row r="32" spans="1:31">
      <c r="A32" s="38">
        <f>IF(B32="","",BatchPrefix&amp;TEXT(ROW()-4,"0000"))</f>
        <v>0</v>
      </c>
      <c r="C32" s="13">
        <f>IF(B32="","",IFERROR(INDEX(Products!$B$5:$B$304,MATCH(B32,Products!$A$5:$A$304,0)),"Not found"))</f>
        <v>0</v>
      </c>
      <c r="O32" s="32">
        <f>IF(B32="","",MAX(0,IF(G32="",0,G32)-IF(H32="",0,H32)))</f>
        <v>0</v>
      </c>
      <c r="P32" s="33">
        <f>IF(B32="","",IF(OR(G32="",G32=0),"",IF(H32="",0,H32)/G32))</f>
        <v>0</v>
      </c>
      <c r="Q32" s="20">
        <f>IF(B32="","",IFERROR(INDEX(Products!$T$5:$T$304,MATCH(B32,Products!$A$5:$A$304,0)),""))</f>
        <v>0</v>
      </c>
      <c r="R32" s="36">
        <f>IF(B32="","",IFERROR(INDEX(Products!$X$5:$X$304,MATCH(B32,Products!$A$5:$A$304,0)),""))</f>
        <v>0</v>
      </c>
      <c r="S32" s="20">
        <f>IF(B32="","",ROUND(IF(J32&lt;&gt;"",J32,IF(Q32="",0,Q32)*IF(G32="",0,G32)),2))</f>
        <v>0</v>
      </c>
      <c r="T32" s="20">
        <f>IF(B32="","",ROUND(IF(K32&lt;&gt;"",K32,IF(R32="",0,R32)*IF(G32="",0,G32)/60)*LaborCostHour,2))</f>
        <v>0</v>
      </c>
      <c r="U32" s="20">
        <f>IF(B32="","",ROUND(S32+T32+IF(L32="",0,L32)-IF(I32="",0,I32),2))</f>
        <v>0</v>
      </c>
      <c r="V32" s="20">
        <f>IF(B32="","",IF(O32=0,"",ROUND(U32/O32,2)))</f>
        <v>0</v>
      </c>
      <c r="W32" s="20">
        <f>IF(B32="","",IFERROR(INDEX(Products!$AH$5:$AH$304,MATCH(B32,Products!$A$5:$A$304,0)),""))</f>
        <v>0</v>
      </c>
      <c r="X32" s="20">
        <f>IF(B32="","",IF(OR(V32="",W32=""),"",ROUND(V32-W32,2)))</f>
        <v>0</v>
      </c>
      <c r="Y32" s="33">
        <f>IF(B32="","",IF(OR(X32="",W32="",W32=0),"",X32/W32))</f>
        <v>0</v>
      </c>
      <c r="Z32" s="36">
        <f>IF(B32="","",IF(OR(K32="",G32="",G32=0),"",ROUND(K32*60/G32,1)))</f>
        <v>0</v>
      </c>
      <c r="AA32" s="36">
        <f>IF(B32="","",IF(OR(Z32="",R32=""),"",ROUND(Z32-R32,1)))</f>
        <v>0</v>
      </c>
      <c r="AB32" s="20">
        <f>IF(B32="","",IFERROR(ROUND(O32*INDEX(Products!$AR$5:$AR$304,MATCH(B32,Products!$A$5:$A$304,0)),2),""))</f>
        <v>0</v>
      </c>
      <c r="AC32" s="20">
        <f>IF(B32="","",IF(AB32="","",ROUND(AB32-U32,2)))</f>
        <v>0</v>
      </c>
      <c r="AD32" s="32">
        <f>IF(B32="","",IF(OR(D32="",E32=""),"",E32-D32))</f>
        <v>0</v>
      </c>
      <c r="AE32" s="43">
        <f>IF(B32="","",IF(G32="","Planned - nothing made yet",IF(O32=0,"Check - no good units",IF(AND(Y32&lt;&gt;"",Y32&gt;0.15),"Check - costing 15% more than the estimate",IF(AND(P32&lt;&gt;"",P32&gt;DefaultDefect*2),"Check - high failure rate",IF(AND(AA32&lt;&gt;"",AA32&gt;5),"Check - taking longer than estimated",IF(AC32&lt;0,"Loss - this run lost money","OK")))))))</f>
        <v>0</v>
      </c>
    </row>
    <row r="33" spans="1:31">
      <c r="A33" s="38">
        <f>IF(B33="","",BatchPrefix&amp;TEXT(ROW()-4,"0000"))</f>
        <v>0</v>
      </c>
      <c r="C33" s="13">
        <f>IF(B33="","",IFERROR(INDEX(Products!$B$5:$B$304,MATCH(B33,Products!$A$5:$A$304,0)),"Not found"))</f>
        <v>0</v>
      </c>
      <c r="O33" s="32">
        <f>IF(B33="","",MAX(0,IF(G33="",0,G33)-IF(H33="",0,H33)))</f>
        <v>0</v>
      </c>
      <c r="P33" s="33">
        <f>IF(B33="","",IF(OR(G33="",G33=0),"",IF(H33="",0,H33)/G33))</f>
        <v>0</v>
      </c>
      <c r="Q33" s="20">
        <f>IF(B33="","",IFERROR(INDEX(Products!$T$5:$T$304,MATCH(B33,Products!$A$5:$A$304,0)),""))</f>
        <v>0</v>
      </c>
      <c r="R33" s="36">
        <f>IF(B33="","",IFERROR(INDEX(Products!$X$5:$X$304,MATCH(B33,Products!$A$5:$A$304,0)),""))</f>
        <v>0</v>
      </c>
      <c r="S33" s="20">
        <f>IF(B33="","",ROUND(IF(J33&lt;&gt;"",J33,IF(Q33="",0,Q33)*IF(G33="",0,G33)),2))</f>
        <v>0</v>
      </c>
      <c r="T33" s="20">
        <f>IF(B33="","",ROUND(IF(K33&lt;&gt;"",K33,IF(R33="",0,R33)*IF(G33="",0,G33)/60)*LaborCostHour,2))</f>
        <v>0</v>
      </c>
      <c r="U33" s="20">
        <f>IF(B33="","",ROUND(S33+T33+IF(L33="",0,L33)-IF(I33="",0,I33),2))</f>
        <v>0</v>
      </c>
      <c r="V33" s="20">
        <f>IF(B33="","",IF(O33=0,"",ROUND(U33/O33,2)))</f>
        <v>0</v>
      </c>
      <c r="W33" s="20">
        <f>IF(B33="","",IFERROR(INDEX(Products!$AH$5:$AH$304,MATCH(B33,Products!$A$5:$A$304,0)),""))</f>
        <v>0</v>
      </c>
      <c r="X33" s="20">
        <f>IF(B33="","",IF(OR(V33="",W33=""),"",ROUND(V33-W33,2)))</f>
        <v>0</v>
      </c>
      <c r="Y33" s="33">
        <f>IF(B33="","",IF(OR(X33="",W33="",W33=0),"",X33/W33))</f>
        <v>0</v>
      </c>
      <c r="Z33" s="36">
        <f>IF(B33="","",IF(OR(K33="",G33="",G33=0),"",ROUND(K33*60/G33,1)))</f>
        <v>0</v>
      </c>
      <c r="AA33" s="36">
        <f>IF(B33="","",IF(OR(Z33="",R33=""),"",ROUND(Z33-R33,1)))</f>
        <v>0</v>
      </c>
      <c r="AB33" s="20">
        <f>IF(B33="","",IFERROR(ROUND(O33*INDEX(Products!$AR$5:$AR$304,MATCH(B33,Products!$A$5:$A$304,0)),2),""))</f>
        <v>0</v>
      </c>
      <c r="AC33" s="20">
        <f>IF(B33="","",IF(AB33="","",ROUND(AB33-U33,2)))</f>
        <v>0</v>
      </c>
      <c r="AD33" s="32">
        <f>IF(B33="","",IF(OR(D33="",E33=""),"",E33-D33))</f>
        <v>0</v>
      </c>
      <c r="AE33" s="43">
        <f>IF(B33="","",IF(G33="","Planned - nothing made yet",IF(O33=0,"Check - no good units",IF(AND(Y33&lt;&gt;"",Y33&gt;0.15),"Check - costing 15% more than the estimate",IF(AND(P33&lt;&gt;"",P33&gt;DefaultDefect*2),"Check - high failure rate",IF(AND(AA33&lt;&gt;"",AA33&gt;5),"Check - taking longer than estimated",IF(AC33&lt;0,"Loss - this run lost money","OK")))))))</f>
        <v>0</v>
      </c>
    </row>
    <row r="34" spans="1:31">
      <c r="A34" s="38">
        <f>IF(B34="","",BatchPrefix&amp;TEXT(ROW()-4,"0000"))</f>
        <v>0</v>
      </c>
      <c r="C34" s="13">
        <f>IF(B34="","",IFERROR(INDEX(Products!$B$5:$B$304,MATCH(B34,Products!$A$5:$A$304,0)),"Not found"))</f>
        <v>0</v>
      </c>
      <c r="O34" s="32">
        <f>IF(B34="","",MAX(0,IF(G34="",0,G34)-IF(H34="",0,H34)))</f>
        <v>0</v>
      </c>
      <c r="P34" s="33">
        <f>IF(B34="","",IF(OR(G34="",G34=0),"",IF(H34="",0,H34)/G34))</f>
        <v>0</v>
      </c>
      <c r="Q34" s="20">
        <f>IF(B34="","",IFERROR(INDEX(Products!$T$5:$T$304,MATCH(B34,Products!$A$5:$A$304,0)),""))</f>
        <v>0</v>
      </c>
      <c r="R34" s="36">
        <f>IF(B34="","",IFERROR(INDEX(Products!$X$5:$X$304,MATCH(B34,Products!$A$5:$A$304,0)),""))</f>
        <v>0</v>
      </c>
      <c r="S34" s="20">
        <f>IF(B34="","",ROUND(IF(J34&lt;&gt;"",J34,IF(Q34="",0,Q34)*IF(G34="",0,G34)),2))</f>
        <v>0</v>
      </c>
      <c r="T34" s="20">
        <f>IF(B34="","",ROUND(IF(K34&lt;&gt;"",K34,IF(R34="",0,R34)*IF(G34="",0,G34)/60)*LaborCostHour,2))</f>
        <v>0</v>
      </c>
      <c r="U34" s="20">
        <f>IF(B34="","",ROUND(S34+T34+IF(L34="",0,L34)-IF(I34="",0,I34),2))</f>
        <v>0</v>
      </c>
      <c r="V34" s="20">
        <f>IF(B34="","",IF(O34=0,"",ROUND(U34/O34,2)))</f>
        <v>0</v>
      </c>
      <c r="W34" s="20">
        <f>IF(B34="","",IFERROR(INDEX(Products!$AH$5:$AH$304,MATCH(B34,Products!$A$5:$A$304,0)),""))</f>
        <v>0</v>
      </c>
      <c r="X34" s="20">
        <f>IF(B34="","",IF(OR(V34="",W34=""),"",ROUND(V34-W34,2)))</f>
        <v>0</v>
      </c>
      <c r="Y34" s="33">
        <f>IF(B34="","",IF(OR(X34="",W34="",W34=0),"",X34/W34))</f>
        <v>0</v>
      </c>
      <c r="Z34" s="36">
        <f>IF(B34="","",IF(OR(K34="",G34="",G34=0),"",ROUND(K34*60/G34,1)))</f>
        <v>0</v>
      </c>
      <c r="AA34" s="36">
        <f>IF(B34="","",IF(OR(Z34="",R34=""),"",ROUND(Z34-R34,1)))</f>
        <v>0</v>
      </c>
      <c r="AB34" s="20">
        <f>IF(B34="","",IFERROR(ROUND(O34*INDEX(Products!$AR$5:$AR$304,MATCH(B34,Products!$A$5:$A$304,0)),2),""))</f>
        <v>0</v>
      </c>
      <c r="AC34" s="20">
        <f>IF(B34="","",IF(AB34="","",ROUND(AB34-U34,2)))</f>
        <v>0</v>
      </c>
      <c r="AD34" s="32">
        <f>IF(B34="","",IF(OR(D34="",E34=""),"",E34-D34))</f>
        <v>0</v>
      </c>
      <c r="AE34" s="43">
        <f>IF(B34="","",IF(G34="","Planned - nothing made yet",IF(O34=0,"Check - no good units",IF(AND(Y34&lt;&gt;"",Y34&gt;0.15),"Check - costing 15% more than the estimate",IF(AND(P34&lt;&gt;"",P34&gt;DefaultDefect*2),"Check - high failure rate",IF(AND(AA34&lt;&gt;"",AA34&gt;5),"Check - taking longer than estimated",IF(AC34&lt;0,"Loss - this run lost money","OK")))))))</f>
        <v>0</v>
      </c>
    </row>
    <row r="35" spans="1:31">
      <c r="A35" s="38">
        <f>IF(B35="","",BatchPrefix&amp;TEXT(ROW()-4,"0000"))</f>
        <v>0</v>
      </c>
      <c r="C35" s="13">
        <f>IF(B35="","",IFERROR(INDEX(Products!$B$5:$B$304,MATCH(B35,Products!$A$5:$A$304,0)),"Not found"))</f>
        <v>0</v>
      </c>
      <c r="O35" s="32">
        <f>IF(B35="","",MAX(0,IF(G35="",0,G35)-IF(H35="",0,H35)))</f>
        <v>0</v>
      </c>
      <c r="P35" s="33">
        <f>IF(B35="","",IF(OR(G35="",G35=0),"",IF(H35="",0,H35)/G35))</f>
        <v>0</v>
      </c>
      <c r="Q35" s="20">
        <f>IF(B35="","",IFERROR(INDEX(Products!$T$5:$T$304,MATCH(B35,Products!$A$5:$A$304,0)),""))</f>
        <v>0</v>
      </c>
      <c r="R35" s="36">
        <f>IF(B35="","",IFERROR(INDEX(Products!$X$5:$X$304,MATCH(B35,Products!$A$5:$A$304,0)),""))</f>
        <v>0</v>
      </c>
      <c r="S35" s="20">
        <f>IF(B35="","",ROUND(IF(J35&lt;&gt;"",J35,IF(Q35="",0,Q35)*IF(G35="",0,G35)),2))</f>
        <v>0</v>
      </c>
      <c r="T35" s="20">
        <f>IF(B35="","",ROUND(IF(K35&lt;&gt;"",K35,IF(R35="",0,R35)*IF(G35="",0,G35)/60)*LaborCostHour,2))</f>
        <v>0</v>
      </c>
      <c r="U35" s="20">
        <f>IF(B35="","",ROUND(S35+T35+IF(L35="",0,L35)-IF(I35="",0,I35),2))</f>
        <v>0</v>
      </c>
      <c r="V35" s="20">
        <f>IF(B35="","",IF(O35=0,"",ROUND(U35/O35,2)))</f>
        <v>0</v>
      </c>
      <c r="W35" s="20">
        <f>IF(B35="","",IFERROR(INDEX(Products!$AH$5:$AH$304,MATCH(B35,Products!$A$5:$A$304,0)),""))</f>
        <v>0</v>
      </c>
      <c r="X35" s="20">
        <f>IF(B35="","",IF(OR(V35="",W35=""),"",ROUND(V35-W35,2)))</f>
        <v>0</v>
      </c>
      <c r="Y35" s="33">
        <f>IF(B35="","",IF(OR(X35="",W35="",W35=0),"",X35/W35))</f>
        <v>0</v>
      </c>
      <c r="Z35" s="36">
        <f>IF(B35="","",IF(OR(K35="",G35="",G35=0),"",ROUND(K35*60/G35,1)))</f>
        <v>0</v>
      </c>
      <c r="AA35" s="36">
        <f>IF(B35="","",IF(OR(Z35="",R35=""),"",ROUND(Z35-R35,1)))</f>
        <v>0</v>
      </c>
      <c r="AB35" s="20">
        <f>IF(B35="","",IFERROR(ROUND(O35*INDEX(Products!$AR$5:$AR$304,MATCH(B35,Products!$A$5:$A$304,0)),2),""))</f>
        <v>0</v>
      </c>
      <c r="AC35" s="20">
        <f>IF(B35="","",IF(AB35="","",ROUND(AB35-U35,2)))</f>
        <v>0</v>
      </c>
      <c r="AD35" s="32">
        <f>IF(B35="","",IF(OR(D35="",E35=""),"",E35-D35))</f>
        <v>0</v>
      </c>
      <c r="AE35" s="43">
        <f>IF(B35="","",IF(G35="","Planned - nothing made yet",IF(O35=0,"Check - no good units",IF(AND(Y35&lt;&gt;"",Y35&gt;0.15),"Check - costing 15% more than the estimate",IF(AND(P35&lt;&gt;"",P35&gt;DefaultDefect*2),"Check - high failure rate",IF(AND(AA35&lt;&gt;"",AA35&gt;5),"Check - taking longer than estimated",IF(AC35&lt;0,"Loss - this run lost money","OK")))))))</f>
        <v>0</v>
      </c>
    </row>
    <row r="36" spans="1:31">
      <c r="A36" s="38">
        <f>IF(B36="","",BatchPrefix&amp;TEXT(ROW()-4,"0000"))</f>
        <v>0</v>
      </c>
      <c r="C36" s="13">
        <f>IF(B36="","",IFERROR(INDEX(Products!$B$5:$B$304,MATCH(B36,Products!$A$5:$A$304,0)),"Not found"))</f>
        <v>0</v>
      </c>
      <c r="O36" s="32">
        <f>IF(B36="","",MAX(0,IF(G36="",0,G36)-IF(H36="",0,H36)))</f>
        <v>0</v>
      </c>
      <c r="P36" s="33">
        <f>IF(B36="","",IF(OR(G36="",G36=0),"",IF(H36="",0,H36)/G36))</f>
        <v>0</v>
      </c>
      <c r="Q36" s="20">
        <f>IF(B36="","",IFERROR(INDEX(Products!$T$5:$T$304,MATCH(B36,Products!$A$5:$A$304,0)),""))</f>
        <v>0</v>
      </c>
      <c r="R36" s="36">
        <f>IF(B36="","",IFERROR(INDEX(Products!$X$5:$X$304,MATCH(B36,Products!$A$5:$A$304,0)),""))</f>
        <v>0</v>
      </c>
      <c r="S36" s="20">
        <f>IF(B36="","",ROUND(IF(J36&lt;&gt;"",J36,IF(Q36="",0,Q36)*IF(G36="",0,G36)),2))</f>
        <v>0</v>
      </c>
      <c r="T36" s="20">
        <f>IF(B36="","",ROUND(IF(K36&lt;&gt;"",K36,IF(R36="",0,R36)*IF(G36="",0,G36)/60)*LaborCostHour,2))</f>
        <v>0</v>
      </c>
      <c r="U36" s="20">
        <f>IF(B36="","",ROUND(S36+T36+IF(L36="",0,L36)-IF(I36="",0,I36),2))</f>
        <v>0</v>
      </c>
      <c r="V36" s="20">
        <f>IF(B36="","",IF(O36=0,"",ROUND(U36/O36,2)))</f>
        <v>0</v>
      </c>
      <c r="W36" s="20">
        <f>IF(B36="","",IFERROR(INDEX(Products!$AH$5:$AH$304,MATCH(B36,Products!$A$5:$A$304,0)),""))</f>
        <v>0</v>
      </c>
      <c r="X36" s="20">
        <f>IF(B36="","",IF(OR(V36="",W36=""),"",ROUND(V36-W36,2)))</f>
        <v>0</v>
      </c>
      <c r="Y36" s="33">
        <f>IF(B36="","",IF(OR(X36="",W36="",W36=0),"",X36/W36))</f>
        <v>0</v>
      </c>
      <c r="Z36" s="36">
        <f>IF(B36="","",IF(OR(K36="",G36="",G36=0),"",ROUND(K36*60/G36,1)))</f>
        <v>0</v>
      </c>
      <c r="AA36" s="36">
        <f>IF(B36="","",IF(OR(Z36="",R36=""),"",ROUND(Z36-R36,1)))</f>
        <v>0</v>
      </c>
      <c r="AB36" s="20">
        <f>IF(B36="","",IFERROR(ROUND(O36*INDEX(Products!$AR$5:$AR$304,MATCH(B36,Products!$A$5:$A$304,0)),2),""))</f>
        <v>0</v>
      </c>
      <c r="AC36" s="20">
        <f>IF(B36="","",IF(AB36="","",ROUND(AB36-U36,2)))</f>
        <v>0</v>
      </c>
      <c r="AD36" s="32">
        <f>IF(B36="","",IF(OR(D36="",E36=""),"",E36-D36))</f>
        <v>0</v>
      </c>
      <c r="AE36" s="43">
        <f>IF(B36="","",IF(G36="","Planned - nothing made yet",IF(O36=0,"Check - no good units",IF(AND(Y36&lt;&gt;"",Y36&gt;0.15),"Check - costing 15% more than the estimate",IF(AND(P36&lt;&gt;"",P36&gt;DefaultDefect*2),"Check - high failure rate",IF(AND(AA36&lt;&gt;"",AA36&gt;5),"Check - taking longer than estimated",IF(AC36&lt;0,"Loss - this run lost money","OK")))))))</f>
        <v>0</v>
      </c>
    </row>
    <row r="37" spans="1:31">
      <c r="A37" s="38">
        <f>IF(B37="","",BatchPrefix&amp;TEXT(ROW()-4,"0000"))</f>
        <v>0</v>
      </c>
      <c r="C37" s="13">
        <f>IF(B37="","",IFERROR(INDEX(Products!$B$5:$B$304,MATCH(B37,Products!$A$5:$A$304,0)),"Not found"))</f>
        <v>0</v>
      </c>
      <c r="O37" s="32">
        <f>IF(B37="","",MAX(0,IF(G37="",0,G37)-IF(H37="",0,H37)))</f>
        <v>0</v>
      </c>
      <c r="P37" s="33">
        <f>IF(B37="","",IF(OR(G37="",G37=0),"",IF(H37="",0,H37)/G37))</f>
        <v>0</v>
      </c>
      <c r="Q37" s="20">
        <f>IF(B37="","",IFERROR(INDEX(Products!$T$5:$T$304,MATCH(B37,Products!$A$5:$A$304,0)),""))</f>
        <v>0</v>
      </c>
      <c r="R37" s="36">
        <f>IF(B37="","",IFERROR(INDEX(Products!$X$5:$X$304,MATCH(B37,Products!$A$5:$A$304,0)),""))</f>
        <v>0</v>
      </c>
      <c r="S37" s="20">
        <f>IF(B37="","",ROUND(IF(J37&lt;&gt;"",J37,IF(Q37="",0,Q37)*IF(G37="",0,G37)),2))</f>
        <v>0</v>
      </c>
      <c r="T37" s="20">
        <f>IF(B37="","",ROUND(IF(K37&lt;&gt;"",K37,IF(R37="",0,R37)*IF(G37="",0,G37)/60)*LaborCostHour,2))</f>
        <v>0</v>
      </c>
      <c r="U37" s="20">
        <f>IF(B37="","",ROUND(S37+T37+IF(L37="",0,L37)-IF(I37="",0,I37),2))</f>
        <v>0</v>
      </c>
      <c r="V37" s="20">
        <f>IF(B37="","",IF(O37=0,"",ROUND(U37/O37,2)))</f>
        <v>0</v>
      </c>
      <c r="W37" s="20">
        <f>IF(B37="","",IFERROR(INDEX(Products!$AH$5:$AH$304,MATCH(B37,Products!$A$5:$A$304,0)),""))</f>
        <v>0</v>
      </c>
      <c r="X37" s="20">
        <f>IF(B37="","",IF(OR(V37="",W37=""),"",ROUND(V37-W37,2)))</f>
        <v>0</v>
      </c>
      <c r="Y37" s="33">
        <f>IF(B37="","",IF(OR(X37="",W37="",W37=0),"",X37/W37))</f>
        <v>0</v>
      </c>
      <c r="Z37" s="36">
        <f>IF(B37="","",IF(OR(K37="",G37="",G37=0),"",ROUND(K37*60/G37,1)))</f>
        <v>0</v>
      </c>
      <c r="AA37" s="36">
        <f>IF(B37="","",IF(OR(Z37="",R37=""),"",ROUND(Z37-R37,1)))</f>
        <v>0</v>
      </c>
      <c r="AB37" s="20">
        <f>IF(B37="","",IFERROR(ROUND(O37*INDEX(Products!$AR$5:$AR$304,MATCH(B37,Products!$A$5:$A$304,0)),2),""))</f>
        <v>0</v>
      </c>
      <c r="AC37" s="20">
        <f>IF(B37="","",IF(AB37="","",ROUND(AB37-U37,2)))</f>
        <v>0</v>
      </c>
      <c r="AD37" s="32">
        <f>IF(B37="","",IF(OR(D37="",E37=""),"",E37-D37))</f>
        <v>0</v>
      </c>
      <c r="AE37" s="43">
        <f>IF(B37="","",IF(G37="","Planned - nothing made yet",IF(O37=0,"Check - no good units",IF(AND(Y37&lt;&gt;"",Y37&gt;0.15),"Check - costing 15% more than the estimate",IF(AND(P37&lt;&gt;"",P37&gt;DefaultDefect*2),"Check - high failure rate",IF(AND(AA37&lt;&gt;"",AA37&gt;5),"Check - taking longer than estimated",IF(AC37&lt;0,"Loss - this run lost money","OK")))))))</f>
        <v>0</v>
      </c>
    </row>
    <row r="38" spans="1:31">
      <c r="A38" s="38">
        <f>IF(B38="","",BatchPrefix&amp;TEXT(ROW()-4,"0000"))</f>
        <v>0</v>
      </c>
      <c r="C38" s="13">
        <f>IF(B38="","",IFERROR(INDEX(Products!$B$5:$B$304,MATCH(B38,Products!$A$5:$A$304,0)),"Not found"))</f>
        <v>0</v>
      </c>
      <c r="O38" s="32">
        <f>IF(B38="","",MAX(0,IF(G38="",0,G38)-IF(H38="",0,H38)))</f>
        <v>0</v>
      </c>
      <c r="P38" s="33">
        <f>IF(B38="","",IF(OR(G38="",G38=0),"",IF(H38="",0,H38)/G38))</f>
        <v>0</v>
      </c>
      <c r="Q38" s="20">
        <f>IF(B38="","",IFERROR(INDEX(Products!$T$5:$T$304,MATCH(B38,Products!$A$5:$A$304,0)),""))</f>
        <v>0</v>
      </c>
      <c r="R38" s="36">
        <f>IF(B38="","",IFERROR(INDEX(Products!$X$5:$X$304,MATCH(B38,Products!$A$5:$A$304,0)),""))</f>
        <v>0</v>
      </c>
      <c r="S38" s="20">
        <f>IF(B38="","",ROUND(IF(J38&lt;&gt;"",J38,IF(Q38="",0,Q38)*IF(G38="",0,G38)),2))</f>
        <v>0</v>
      </c>
      <c r="T38" s="20">
        <f>IF(B38="","",ROUND(IF(K38&lt;&gt;"",K38,IF(R38="",0,R38)*IF(G38="",0,G38)/60)*LaborCostHour,2))</f>
        <v>0</v>
      </c>
      <c r="U38" s="20">
        <f>IF(B38="","",ROUND(S38+T38+IF(L38="",0,L38)-IF(I38="",0,I38),2))</f>
        <v>0</v>
      </c>
      <c r="V38" s="20">
        <f>IF(B38="","",IF(O38=0,"",ROUND(U38/O38,2)))</f>
        <v>0</v>
      </c>
      <c r="W38" s="20">
        <f>IF(B38="","",IFERROR(INDEX(Products!$AH$5:$AH$304,MATCH(B38,Products!$A$5:$A$304,0)),""))</f>
        <v>0</v>
      </c>
      <c r="X38" s="20">
        <f>IF(B38="","",IF(OR(V38="",W38=""),"",ROUND(V38-W38,2)))</f>
        <v>0</v>
      </c>
      <c r="Y38" s="33">
        <f>IF(B38="","",IF(OR(X38="",W38="",W38=0),"",X38/W38))</f>
        <v>0</v>
      </c>
      <c r="Z38" s="36">
        <f>IF(B38="","",IF(OR(K38="",G38="",G38=0),"",ROUND(K38*60/G38,1)))</f>
        <v>0</v>
      </c>
      <c r="AA38" s="36">
        <f>IF(B38="","",IF(OR(Z38="",R38=""),"",ROUND(Z38-R38,1)))</f>
        <v>0</v>
      </c>
      <c r="AB38" s="20">
        <f>IF(B38="","",IFERROR(ROUND(O38*INDEX(Products!$AR$5:$AR$304,MATCH(B38,Products!$A$5:$A$304,0)),2),""))</f>
        <v>0</v>
      </c>
      <c r="AC38" s="20">
        <f>IF(B38="","",IF(AB38="","",ROUND(AB38-U38,2)))</f>
        <v>0</v>
      </c>
      <c r="AD38" s="32">
        <f>IF(B38="","",IF(OR(D38="",E38=""),"",E38-D38))</f>
        <v>0</v>
      </c>
      <c r="AE38" s="43">
        <f>IF(B38="","",IF(G38="","Planned - nothing made yet",IF(O38=0,"Check - no good units",IF(AND(Y38&lt;&gt;"",Y38&gt;0.15),"Check - costing 15% more than the estimate",IF(AND(P38&lt;&gt;"",P38&gt;DefaultDefect*2),"Check - high failure rate",IF(AND(AA38&lt;&gt;"",AA38&gt;5),"Check - taking longer than estimated",IF(AC38&lt;0,"Loss - this run lost money","OK")))))))</f>
        <v>0</v>
      </c>
    </row>
    <row r="39" spans="1:31">
      <c r="A39" s="38">
        <f>IF(B39="","",BatchPrefix&amp;TEXT(ROW()-4,"0000"))</f>
        <v>0</v>
      </c>
      <c r="C39" s="13">
        <f>IF(B39="","",IFERROR(INDEX(Products!$B$5:$B$304,MATCH(B39,Products!$A$5:$A$304,0)),"Not found"))</f>
        <v>0</v>
      </c>
      <c r="O39" s="32">
        <f>IF(B39="","",MAX(0,IF(G39="",0,G39)-IF(H39="",0,H39)))</f>
        <v>0</v>
      </c>
      <c r="P39" s="33">
        <f>IF(B39="","",IF(OR(G39="",G39=0),"",IF(H39="",0,H39)/G39))</f>
        <v>0</v>
      </c>
      <c r="Q39" s="20">
        <f>IF(B39="","",IFERROR(INDEX(Products!$T$5:$T$304,MATCH(B39,Products!$A$5:$A$304,0)),""))</f>
        <v>0</v>
      </c>
      <c r="R39" s="36">
        <f>IF(B39="","",IFERROR(INDEX(Products!$X$5:$X$304,MATCH(B39,Products!$A$5:$A$304,0)),""))</f>
        <v>0</v>
      </c>
      <c r="S39" s="20">
        <f>IF(B39="","",ROUND(IF(J39&lt;&gt;"",J39,IF(Q39="",0,Q39)*IF(G39="",0,G39)),2))</f>
        <v>0</v>
      </c>
      <c r="T39" s="20">
        <f>IF(B39="","",ROUND(IF(K39&lt;&gt;"",K39,IF(R39="",0,R39)*IF(G39="",0,G39)/60)*LaborCostHour,2))</f>
        <v>0</v>
      </c>
      <c r="U39" s="20">
        <f>IF(B39="","",ROUND(S39+T39+IF(L39="",0,L39)-IF(I39="",0,I39),2))</f>
        <v>0</v>
      </c>
      <c r="V39" s="20">
        <f>IF(B39="","",IF(O39=0,"",ROUND(U39/O39,2)))</f>
        <v>0</v>
      </c>
      <c r="W39" s="20">
        <f>IF(B39="","",IFERROR(INDEX(Products!$AH$5:$AH$304,MATCH(B39,Products!$A$5:$A$304,0)),""))</f>
        <v>0</v>
      </c>
      <c r="X39" s="20">
        <f>IF(B39="","",IF(OR(V39="",W39=""),"",ROUND(V39-W39,2)))</f>
        <v>0</v>
      </c>
      <c r="Y39" s="33">
        <f>IF(B39="","",IF(OR(X39="",W39="",W39=0),"",X39/W39))</f>
        <v>0</v>
      </c>
      <c r="Z39" s="36">
        <f>IF(B39="","",IF(OR(K39="",G39="",G39=0),"",ROUND(K39*60/G39,1)))</f>
        <v>0</v>
      </c>
      <c r="AA39" s="36">
        <f>IF(B39="","",IF(OR(Z39="",R39=""),"",ROUND(Z39-R39,1)))</f>
        <v>0</v>
      </c>
      <c r="AB39" s="20">
        <f>IF(B39="","",IFERROR(ROUND(O39*INDEX(Products!$AR$5:$AR$304,MATCH(B39,Products!$A$5:$A$304,0)),2),""))</f>
        <v>0</v>
      </c>
      <c r="AC39" s="20">
        <f>IF(B39="","",IF(AB39="","",ROUND(AB39-U39,2)))</f>
        <v>0</v>
      </c>
      <c r="AD39" s="32">
        <f>IF(B39="","",IF(OR(D39="",E39=""),"",E39-D39))</f>
        <v>0</v>
      </c>
      <c r="AE39" s="43">
        <f>IF(B39="","",IF(G39="","Planned - nothing made yet",IF(O39=0,"Check - no good units",IF(AND(Y39&lt;&gt;"",Y39&gt;0.15),"Check - costing 15% more than the estimate",IF(AND(P39&lt;&gt;"",P39&gt;DefaultDefect*2),"Check - high failure rate",IF(AND(AA39&lt;&gt;"",AA39&gt;5),"Check - taking longer than estimated",IF(AC39&lt;0,"Loss - this run lost money","OK")))))))</f>
        <v>0</v>
      </c>
    </row>
    <row r="40" spans="1:31">
      <c r="A40" s="38">
        <f>IF(B40="","",BatchPrefix&amp;TEXT(ROW()-4,"0000"))</f>
        <v>0</v>
      </c>
      <c r="C40" s="13">
        <f>IF(B40="","",IFERROR(INDEX(Products!$B$5:$B$304,MATCH(B40,Products!$A$5:$A$304,0)),"Not found"))</f>
        <v>0</v>
      </c>
      <c r="O40" s="32">
        <f>IF(B40="","",MAX(0,IF(G40="",0,G40)-IF(H40="",0,H40)))</f>
        <v>0</v>
      </c>
      <c r="P40" s="33">
        <f>IF(B40="","",IF(OR(G40="",G40=0),"",IF(H40="",0,H40)/G40))</f>
        <v>0</v>
      </c>
      <c r="Q40" s="20">
        <f>IF(B40="","",IFERROR(INDEX(Products!$T$5:$T$304,MATCH(B40,Products!$A$5:$A$304,0)),""))</f>
        <v>0</v>
      </c>
      <c r="R40" s="36">
        <f>IF(B40="","",IFERROR(INDEX(Products!$X$5:$X$304,MATCH(B40,Products!$A$5:$A$304,0)),""))</f>
        <v>0</v>
      </c>
      <c r="S40" s="20">
        <f>IF(B40="","",ROUND(IF(J40&lt;&gt;"",J40,IF(Q40="",0,Q40)*IF(G40="",0,G40)),2))</f>
        <v>0</v>
      </c>
      <c r="T40" s="20">
        <f>IF(B40="","",ROUND(IF(K40&lt;&gt;"",K40,IF(R40="",0,R40)*IF(G40="",0,G40)/60)*LaborCostHour,2))</f>
        <v>0</v>
      </c>
      <c r="U40" s="20">
        <f>IF(B40="","",ROUND(S40+T40+IF(L40="",0,L40)-IF(I40="",0,I40),2))</f>
        <v>0</v>
      </c>
      <c r="V40" s="20">
        <f>IF(B40="","",IF(O40=0,"",ROUND(U40/O40,2)))</f>
        <v>0</v>
      </c>
      <c r="W40" s="20">
        <f>IF(B40="","",IFERROR(INDEX(Products!$AH$5:$AH$304,MATCH(B40,Products!$A$5:$A$304,0)),""))</f>
        <v>0</v>
      </c>
      <c r="X40" s="20">
        <f>IF(B40="","",IF(OR(V40="",W40=""),"",ROUND(V40-W40,2)))</f>
        <v>0</v>
      </c>
      <c r="Y40" s="33">
        <f>IF(B40="","",IF(OR(X40="",W40="",W40=0),"",X40/W40))</f>
        <v>0</v>
      </c>
      <c r="Z40" s="36">
        <f>IF(B40="","",IF(OR(K40="",G40="",G40=0),"",ROUND(K40*60/G40,1)))</f>
        <v>0</v>
      </c>
      <c r="AA40" s="36">
        <f>IF(B40="","",IF(OR(Z40="",R40=""),"",ROUND(Z40-R40,1)))</f>
        <v>0</v>
      </c>
      <c r="AB40" s="20">
        <f>IF(B40="","",IFERROR(ROUND(O40*INDEX(Products!$AR$5:$AR$304,MATCH(B40,Products!$A$5:$A$304,0)),2),""))</f>
        <v>0</v>
      </c>
      <c r="AC40" s="20">
        <f>IF(B40="","",IF(AB40="","",ROUND(AB40-U40,2)))</f>
        <v>0</v>
      </c>
      <c r="AD40" s="32">
        <f>IF(B40="","",IF(OR(D40="",E40=""),"",E40-D40))</f>
        <v>0</v>
      </c>
      <c r="AE40" s="43">
        <f>IF(B40="","",IF(G40="","Planned - nothing made yet",IF(O40=0,"Check - no good units",IF(AND(Y40&lt;&gt;"",Y40&gt;0.15),"Check - costing 15% more than the estimate",IF(AND(P40&lt;&gt;"",P40&gt;DefaultDefect*2),"Check - high failure rate",IF(AND(AA40&lt;&gt;"",AA40&gt;5),"Check - taking longer than estimated",IF(AC40&lt;0,"Loss - this run lost money","OK")))))))</f>
        <v>0</v>
      </c>
    </row>
    <row r="41" spans="1:31">
      <c r="A41" s="38">
        <f>IF(B41="","",BatchPrefix&amp;TEXT(ROW()-4,"0000"))</f>
        <v>0</v>
      </c>
      <c r="C41" s="13">
        <f>IF(B41="","",IFERROR(INDEX(Products!$B$5:$B$304,MATCH(B41,Products!$A$5:$A$304,0)),"Not found"))</f>
        <v>0</v>
      </c>
      <c r="O41" s="32">
        <f>IF(B41="","",MAX(0,IF(G41="",0,G41)-IF(H41="",0,H41)))</f>
        <v>0</v>
      </c>
      <c r="P41" s="33">
        <f>IF(B41="","",IF(OR(G41="",G41=0),"",IF(H41="",0,H41)/G41))</f>
        <v>0</v>
      </c>
      <c r="Q41" s="20">
        <f>IF(B41="","",IFERROR(INDEX(Products!$T$5:$T$304,MATCH(B41,Products!$A$5:$A$304,0)),""))</f>
        <v>0</v>
      </c>
      <c r="R41" s="36">
        <f>IF(B41="","",IFERROR(INDEX(Products!$X$5:$X$304,MATCH(B41,Products!$A$5:$A$304,0)),""))</f>
        <v>0</v>
      </c>
      <c r="S41" s="20">
        <f>IF(B41="","",ROUND(IF(J41&lt;&gt;"",J41,IF(Q41="",0,Q41)*IF(G41="",0,G41)),2))</f>
        <v>0</v>
      </c>
      <c r="T41" s="20">
        <f>IF(B41="","",ROUND(IF(K41&lt;&gt;"",K41,IF(R41="",0,R41)*IF(G41="",0,G41)/60)*LaborCostHour,2))</f>
        <v>0</v>
      </c>
      <c r="U41" s="20">
        <f>IF(B41="","",ROUND(S41+T41+IF(L41="",0,L41)-IF(I41="",0,I41),2))</f>
        <v>0</v>
      </c>
      <c r="V41" s="20">
        <f>IF(B41="","",IF(O41=0,"",ROUND(U41/O41,2)))</f>
        <v>0</v>
      </c>
      <c r="W41" s="20">
        <f>IF(B41="","",IFERROR(INDEX(Products!$AH$5:$AH$304,MATCH(B41,Products!$A$5:$A$304,0)),""))</f>
        <v>0</v>
      </c>
      <c r="X41" s="20">
        <f>IF(B41="","",IF(OR(V41="",W41=""),"",ROUND(V41-W41,2)))</f>
        <v>0</v>
      </c>
      <c r="Y41" s="33">
        <f>IF(B41="","",IF(OR(X41="",W41="",W41=0),"",X41/W41))</f>
        <v>0</v>
      </c>
      <c r="Z41" s="36">
        <f>IF(B41="","",IF(OR(K41="",G41="",G41=0),"",ROUND(K41*60/G41,1)))</f>
        <v>0</v>
      </c>
      <c r="AA41" s="36">
        <f>IF(B41="","",IF(OR(Z41="",R41=""),"",ROUND(Z41-R41,1)))</f>
        <v>0</v>
      </c>
      <c r="AB41" s="20">
        <f>IF(B41="","",IFERROR(ROUND(O41*INDEX(Products!$AR$5:$AR$304,MATCH(B41,Products!$A$5:$A$304,0)),2),""))</f>
        <v>0</v>
      </c>
      <c r="AC41" s="20">
        <f>IF(B41="","",IF(AB41="","",ROUND(AB41-U41,2)))</f>
        <v>0</v>
      </c>
      <c r="AD41" s="32">
        <f>IF(B41="","",IF(OR(D41="",E41=""),"",E41-D41))</f>
        <v>0</v>
      </c>
      <c r="AE41" s="43">
        <f>IF(B41="","",IF(G41="","Planned - nothing made yet",IF(O41=0,"Check - no good units",IF(AND(Y41&lt;&gt;"",Y41&gt;0.15),"Check - costing 15% more than the estimate",IF(AND(P41&lt;&gt;"",P41&gt;DefaultDefect*2),"Check - high failure rate",IF(AND(AA41&lt;&gt;"",AA41&gt;5),"Check - taking longer than estimated",IF(AC41&lt;0,"Loss - this run lost money","OK")))))))</f>
        <v>0</v>
      </c>
    </row>
    <row r="42" spans="1:31">
      <c r="A42" s="38">
        <f>IF(B42="","",BatchPrefix&amp;TEXT(ROW()-4,"0000"))</f>
        <v>0</v>
      </c>
      <c r="C42" s="13">
        <f>IF(B42="","",IFERROR(INDEX(Products!$B$5:$B$304,MATCH(B42,Products!$A$5:$A$304,0)),"Not found"))</f>
        <v>0</v>
      </c>
      <c r="O42" s="32">
        <f>IF(B42="","",MAX(0,IF(G42="",0,G42)-IF(H42="",0,H42)))</f>
        <v>0</v>
      </c>
      <c r="P42" s="33">
        <f>IF(B42="","",IF(OR(G42="",G42=0),"",IF(H42="",0,H42)/G42))</f>
        <v>0</v>
      </c>
      <c r="Q42" s="20">
        <f>IF(B42="","",IFERROR(INDEX(Products!$T$5:$T$304,MATCH(B42,Products!$A$5:$A$304,0)),""))</f>
        <v>0</v>
      </c>
      <c r="R42" s="36">
        <f>IF(B42="","",IFERROR(INDEX(Products!$X$5:$X$304,MATCH(B42,Products!$A$5:$A$304,0)),""))</f>
        <v>0</v>
      </c>
      <c r="S42" s="20">
        <f>IF(B42="","",ROUND(IF(J42&lt;&gt;"",J42,IF(Q42="",0,Q42)*IF(G42="",0,G42)),2))</f>
        <v>0</v>
      </c>
      <c r="T42" s="20">
        <f>IF(B42="","",ROUND(IF(K42&lt;&gt;"",K42,IF(R42="",0,R42)*IF(G42="",0,G42)/60)*LaborCostHour,2))</f>
        <v>0</v>
      </c>
      <c r="U42" s="20">
        <f>IF(B42="","",ROUND(S42+T42+IF(L42="",0,L42)-IF(I42="",0,I42),2))</f>
        <v>0</v>
      </c>
      <c r="V42" s="20">
        <f>IF(B42="","",IF(O42=0,"",ROUND(U42/O42,2)))</f>
        <v>0</v>
      </c>
      <c r="W42" s="20">
        <f>IF(B42="","",IFERROR(INDEX(Products!$AH$5:$AH$304,MATCH(B42,Products!$A$5:$A$304,0)),""))</f>
        <v>0</v>
      </c>
      <c r="X42" s="20">
        <f>IF(B42="","",IF(OR(V42="",W42=""),"",ROUND(V42-W42,2)))</f>
        <v>0</v>
      </c>
      <c r="Y42" s="33">
        <f>IF(B42="","",IF(OR(X42="",W42="",W42=0),"",X42/W42))</f>
        <v>0</v>
      </c>
      <c r="Z42" s="36">
        <f>IF(B42="","",IF(OR(K42="",G42="",G42=0),"",ROUND(K42*60/G42,1)))</f>
        <v>0</v>
      </c>
      <c r="AA42" s="36">
        <f>IF(B42="","",IF(OR(Z42="",R42=""),"",ROUND(Z42-R42,1)))</f>
        <v>0</v>
      </c>
      <c r="AB42" s="20">
        <f>IF(B42="","",IFERROR(ROUND(O42*INDEX(Products!$AR$5:$AR$304,MATCH(B42,Products!$A$5:$A$304,0)),2),""))</f>
        <v>0</v>
      </c>
      <c r="AC42" s="20">
        <f>IF(B42="","",IF(AB42="","",ROUND(AB42-U42,2)))</f>
        <v>0</v>
      </c>
      <c r="AD42" s="32">
        <f>IF(B42="","",IF(OR(D42="",E42=""),"",E42-D42))</f>
        <v>0</v>
      </c>
      <c r="AE42" s="43">
        <f>IF(B42="","",IF(G42="","Planned - nothing made yet",IF(O42=0,"Check - no good units",IF(AND(Y42&lt;&gt;"",Y42&gt;0.15),"Check - costing 15% more than the estimate",IF(AND(P42&lt;&gt;"",P42&gt;DefaultDefect*2),"Check - high failure rate",IF(AND(AA42&lt;&gt;"",AA42&gt;5),"Check - taking longer than estimated",IF(AC42&lt;0,"Loss - this run lost money","OK")))))))</f>
        <v>0</v>
      </c>
    </row>
    <row r="43" spans="1:31">
      <c r="A43" s="38">
        <f>IF(B43="","",BatchPrefix&amp;TEXT(ROW()-4,"0000"))</f>
        <v>0</v>
      </c>
      <c r="C43" s="13">
        <f>IF(B43="","",IFERROR(INDEX(Products!$B$5:$B$304,MATCH(B43,Products!$A$5:$A$304,0)),"Not found"))</f>
        <v>0</v>
      </c>
      <c r="O43" s="32">
        <f>IF(B43="","",MAX(0,IF(G43="",0,G43)-IF(H43="",0,H43)))</f>
        <v>0</v>
      </c>
      <c r="P43" s="33">
        <f>IF(B43="","",IF(OR(G43="",G43=0),"",IF(H43="",0,H43)/G43))</f>
        <v>0</v>
      </c>
      <c r="Q43" s="20">
        <f>IF(B43="","",IFERROR(INDEX(Products!$T$5:$T$304,MATCH(B43,Products!$A$5:$A$304,0)),""))</f>
        <v>0</v>
      </c>
      <c r="R43" s="36">
        <f>IF(B43="","",IFERROR(INDEX(Products!$X$5:$X$304,MATCH(B43,Products!$A$5:$A$304,0)),""))</f>
        <v>0</v>
      </c>
      <c r="S43" s="20">
        <f>IF(B43="","",ROUND(IF(J43&lt;&gt;"",J43,IF(Q43="",0,Q43)*IF(G43="",0,G43)),2))</f>
        <v>0</v>
      </c>
      <c r="T43" s="20">
        <f>IF(B43="","",ROUND(IF(K43&lt;&gt;"",K43,IF(R43="",0,R43)*IF(G43="",0,G43)/60)*LaborCostHour,2))</f>
        <v>0</v>
      </c>
      <c r="U43" s="20">
        <f>IF(B43="","",ROUND(S43+T43+IF(L43="",0,L43)-IF(I43="",0,I43),2))</f>
        <v>0</v>
      </c>
      <c r="V43" s="20">
        <f>IF(B43="","",IF(O43=0,"",ROUND(U43/O43,2)))</f>
        <v>0</v>
      </c>
      <c r="W43" s="20">
        <f>IF(B43="","",IFERROR(INDEX(Products!$AH$5:$AH$304,MATCH(B43,Products!$A$5:$A$304,0)),""))</f>
        <v>0</v>
      </c>
      <c r="X43" s="20">
        <f>IF(B43="","",IF(OR(V43="",W43=""),"",ROUND(V43-W43,2)))</f>
        <v>0</v>
      </c>
      <c r="Y43" s="33">
        <f>IF(B43="","",IF(OR(X43="",W43="",W43=0),"",X43/W43))</f>
        <v>0</v>
      </c>
      <c r="Z43" s="36">
        <f>IF(B43="","",IF(OR(K43="",G43="",G43=0),"",ROUND(K43*60/G43,1)))</f>
        <v>0</v>
      </c>
      <c r="AA43" s="36">
        <f>IF(B43="","",IF(OR(Z43="",R43=""),"",ROUND(Z43-R43,1)))</f>
        <v>0</v>
      </c>
      <c r="AB43" s="20">
        <f>IF(B43="","",IFERROR(ROUND(O43*INDEX(Products!$AR$5:$AR$304,MATCH(B43,Products!$A$5:$A$304,0)),2),""))</f>
        <v>0</v>
      </c>
      <c r="AC43" s="20">
        <f>IF(B43="","",IF(AB43="","",ROUND(AB43-U43,2)))</f>
        <v>0</v>
      </c>
      <c r="AD43" s="32">
        <f>IF(B43="","",IF(OR(D43="",E43=""),"",E43-D43))</f>
        <v>0</v>
      </c>
      <c r="AE43" s="43">
        <f>IF(B43="","",IF(G43="","Planned - nothing made yet",IF(O43=0,"Check - no good units",IF(AND(Y43&lt;&gt;"",Y43&gt;0.15),"Check - costing 15% more than the estimate",IF(AND(P43&lt;&gt;"",P43&gt;DefaultDefect*2),"Check - high failure rate",IF(AND(AA43&lt;&gt;"",AA43&gt;5),"Check - taking longer than estimated",IF(AC43&lt;0,"Loss - this run lost money","OK")))))))</f>
        <v>0</v>
      </c>
    </row>
    <row r="44" spans="1:31">
      <c r="A44" s="38">
        <f>IF(B44="","",BatchPrefix&amp;TEXT(ROW()-4,"0000"))</f>
        <v>0</v>
      </c>
      <c r="C44" s="13">
        <f>IF(B44="","",IFERROR(INDEX(Products!$B$5:$B$304,MATCH(B44,Products!$A$5:$A$304,0)),"Not found"))</f>
        <v>0</v>
      </c>
      <c r="O44" s="32">
        <f>IF(B44="","",MAX(0,IF(G44="",0,G44)-IF(H44="",0,H44)))</f>
        <v>0</v>
      </c>
      <c r="P44" s="33">
        <f>IF(B44="","",IF(OR(G44="",G44=0),"",IF(H44="",0,H44)/G44))</f>
        <v>0</v>
      </c>
      <c r="Q44" s="20">
        <f>IF(B44="","",IFERROR(INDEX(Products!$T$5:$T$304,MATCH(B44,Products!$A$5:$A$304,0)),""))</f>
        <v>0</v>
      </c>
      <c r="R44" s="36">
        <f>IF(B44="","",IFERROR(INDEX(Products!$X$5:$X$304,MATCH(B44,Products!$A$5:$A$304,0)),""))</f>
        <v>0</v>
      </c>
      <c r="S44" s="20">
        <f>IF(B44="","",ROUND(IF(J44&lt;&gt;"",J44,IF(Q44="",0,Q44)*IF(G44="",0,G44)),2))</f>
        <v>0</v>
      </c>
      <c r="T44" s="20">
        <f>IF(B44="","",ROUND(IF(K44&lt;&gt;"",K44,IF(R44="",0,R44)*IF(G44="",0,G44)/60)*LaborCostHour,2))</f>
        <v>0</v>
      </c>
      <c r="U44" s="20">
        <f>IF(B44="","",ROUND(S44+T44+IF(L44="",0,L44)-IF(I44="",0,I44),2))</f>
        <v>0</v>
      </c>
      <c r="V44" s="20">
        <f>IF(B44="","",IF(O44=0,"",ROUND(U44/O44,2)))</f>
        <v>0</v>
      </c>
      <c r="W44" s="20">
        <f>IF(B44="","",IFERROR(INDEX(Products!$AH$5:$AH$304,MATCH(B44,Products!$A$5:$A$304,0)),""))</f>
        <v>0</v>
      </c>
      <c r="X44" s="20">
        <f>IF(B44="","",IF(OR(V44="",W44=""),"",ROUND(V44-W44,2)))</f>
        <v>0</v>
      </c>
      <c r="Y44" s="33">
        <f>IF(B44="","",IF(OR(X44="",W44="",W44=0),"",X44/W44))</f>
        <v>0</v>
      </c>
      <c r="Z44" s="36">
        <f>IF(B44="","",IF(OR(K44="",G44="",G44=0),"",ROUND(K44*60/G44,1)))</f>
        <v>0</v>
      </c>
      <c r="AA44" s="36">
        <f>IF(B44="","",IF(OR(Z44="",R44=""),"",ROUND(Z44-R44,1)))</f>
        <v>0</v>
      </c>
      <c r="AB44" s="20">
        <f>IF(B44="","",IFERROR(ROUND(O44*INDEX(Products!$AR$5:$AR$304,MATCH(B44,Products!$A$5:$A$304,0)),2),""))</f>
        <v>0</v>
      </c>
      <c r="AC44" s="20">
        <f>IF(B44="","",IF(AB44="","",ROUND(AB44-U44,2)))</f>
        <v>0</v>
      </c>
      <c r="AD44" s="32">
        <f>IF(B44="","",IF(OR(D44="",E44=""),"",E44-D44))</f>
        <v>0</v>
      </c>
      <c r="AE44" s="43">
        <f>IF(B44="","",IF(G44="","Planned - nothing made yet",IF(O44=0,"Check - no good units",IF(AND(Y44&lt;&gt;"",Y44&gt;0.15),"Check - costing 15% more than the estimate",IF(AND(P44&lt;&gt;"",P44&gt;DefaultDefect*2),"Check - high failure rate",IF(AND(AA44&lt;&gt;"",AA44&gt;5),"Check - taking longer than estimated",IF(AC44&lt;0,"Loss - this run lost money","OK")))))))</f>
        <v>0</v>
      </c>
    </row>
    <row r="45" spans="1:31">
      <c r="A45" s="38">
        <f>IF(B45="","",BatchPrefix&amp;TEXT(ROW()-4,"0000"))</f>
        <v>0</v>
      </c>
      <c r="C45" s="13">
        <f>IF(B45="","",IFERROR(INDEX(Products!$B$5:$B$304,MATCH(B45,Products!$A$5:$A$304,0)),"Not found"))</f>
        <v>0</v>
      </c>
      <c r="O45" s="32">
        <f>IF(B45="","",MAX(0,IF(G45="",0,G45)-IF(H45="",0,H45)))</f>
        <v>0</v>
      </c>
      <c r="P45" s="33">
        <f>IF(B45="","",IF(OR(G45="",G45=0),"",IF(H45="",0,H45)/G45))</f>
        <v>0</v>
      </c>
      <c r="Q45" s="20">
        <f>IF(B45="","",IFERROR(INDEX(Products!$T$5:$T$304,MATCH(B45,Products!$A$5:$A$304,0)),""))</f>
        <v>0</v>
      </c>
      <c r="R45" s="36">
        <f>IF(B45="","",IFERROR(INDEX(Products!$X$5:$X$304,MATCH(B45,Products!$A$5:$A$304,0)),""))</f>
        <v>0</v>
      </c>
      <c r="S45" s="20">
        <f>IF(B45="","",ROUND(IF(J45&lt;&gt;"",J45,IF(Q45="",0,Q45)*IF(G45="",0,G45)),2))</f>
        <v>0</v>
      </c>
      <c r="T45" s="20">
        <f>IF(B45="","",ROUND(IF(K45&lt;&gt;"",K45,IF(R45="",0,R45)*IF(G45="",0,G45)/60)*LaborCostHour,2))</f>
        <v>0</v>
      </c>
      <c r="U45" s="20">
        <f>IF(B45="","",ROUND(S45+T45+IF(L45="",0,L45)-IF(I45="",0,I45),2))</f>
        <v>0</v>
      </c>
      <c r="V45" s="20">
        <f>IF(B45="","",IF(O45=0,"",ROUND(U45/O45,2)))</f>
        <v>0</v>
      </c>
      <c r="W45" s="20">
        <f>IF(B45="","",IFERROR(INDEX(Products!$AH$5:$AH$304,MATCH(B45,Products!$A$5:$A$304,0)),""))</f>
        <v>0</v>
      </c>
      <c r="X45" s="20">
        <f>IF(B45="","",IF(OR(V45="",W45=""),"",ROUND(V45-W45,2)))</f>
        <v>0</v>
      </c>
      <c r="Y45" s="33">
        <f>IF(B45="","",IF(OR(X45="",W45="",W45=0),"",X45/W45))</f>
        <v>0</v>
      </c>
      <c r="Z45" s="36">
        <f>IF(B45="","",IF(OR(K45="",G45="",G45=0),"",ROUND(K45*60/G45,1)))</f>
        <v>0</v>
      </c>
      <c r="AA45" s="36">
        <f>IF(B45="","",IF(OR(Z45="",R45=""),"",ROUND(Z45-R45,1)))</f>
        <v>0</v>
      </c>
      <c r="AB45" s="20">
        <f>IF(B45="","",IFERROR(ROUND(O45*INDEX(Products!$AR$5:$AR$304,MATCH(B45,Products!$A$5:$A$304,0)),2),""))</f>
        <v>0</v>
      </c>
      <c r="AC45" s="20">
        <f>IF(B45="","",IF(AB45="","",ROUND(AB45-U45,2)))</f>
        <v>0</v>
      </c>
      <c r="AD45" s="32">
        <f>IF(B45="","",IF(OR(D45="",E45=""),"",E45-D45))</f>
        <v>0</v>
      </c>
      <c r="AE45" s="43">
        <f>IF(B45="","",IF(G45="","Planned - nothing made yet",IF(O45=0,"Check - no good units",IF(AND(Y45&lt;&gt;"",Y45&gt;0.15),"Check - costing 15% more than the estimate",IF(AND(P45&lt;&gt;"",P45&gt;DefaultDefect*2),"Check - high failure rate",IF(AND(AA45&lt;&gt;"",AA45&gt;5),"Check - taking longer than estimated",IF(AC45&lt;0,"Loss - this run lost money","OK")))))))</f>
        <v>0</v>
      </c>
    </row>
    <row r="46" spans="1:31">
      <c r="A46" s="38">
        <f>IF(B46="","",BatchPrefix&amp;TEXT(ROW()-4,"0000"))</f>
        <v>0</v>
      </c>
      <c r="C46" s="13">
        <f>IF(B46="","",IFERROR(INDEX(Products!$B$5:$B$304,MATCH(B46,Products!$A$5:$A$304,0)),"Not found"))</f>
        <v>0</v>
      </c>
      <c r="O46" s="32">
        <f>IF(B46="","",MAX(0,IF(G46="",0,G46)-IF(H46="",0,H46)))</f>
        <v>0</v>
      </c>
      <c r="P46" s="33">
        <f>IF(B46="","",IF(OR(G46="",G46=0),"",IF(H46="",0,H46)/G46))</f>
        <v>0</v>
      </c>
      <c r="Q46" s="20">
        <f>IF(B46="","",IFERROR(INDEX(Products!$T$5:$T$304,MATCH(B46,Products!$A$5:$A$304,0)),""))</f>
        <v>0</v>
      </c>
      <c r="R46" s="36">
        <f>IF(B46="","",IFERROR(INDEX(Products!$X$5:$X$304,MATCH(B46,Products!$A$5:$A$304,0)),""))</f>
        <v>0</v>
      </c>
      <c r="S46" s="20">
        <f>IF(B46="","",ROUND(IF(J46&lt;&gt;"",J46,IF(Q46="",0,Q46)*IF(G46="",0,G46)),2))</f>
        <v>0</v>
      </c>
      <c r="T46" s="20">
        <f>IF(B46="","",ROUND(IF(K46&lt;&gt;"",K46,IF(R46="",0,R46)*IF(G46="",0,G46)/60)*LaborCostHour,2))</f>
        <v>0</v>
      </c>
      <c r="U46" s="20">
        <f>IF(B46="","",ROUND(S46+T46+IF(L46="",0,L46)-IF(I46="",0,I46),2))</f>
        <v>0</v>
      </c>
      <c r="V46" s="20">
        <f>IF(B46="","",IF(O46=0,"",ROUND(U46/O46,2)))</f>
        <v>0</v>
      </c>
      <c r="W46" s="20">
        <f>IF(B46="","",IFERROR(INDEX(Products!$AH$5:$AH$304,MATCH(B46,Products!$A$5:$A$304,0)),""))</f>
        <v>0</v>
      </c>
      <c r="X46" s="20">
        <f>IF(B46="","",IF(OR(V46="",W46=""),"",ROUND(V46-W46,2)))</f>
        <v>0</v>
      </c>
      <c r="Y46" s="33">
        <f>IF(B46="","",IF(OR(X46="",W46="",W46=0),"",X46/W46))</f>
        <v>0</v>
      </c>
      <c r="Z46" s="36">
        <f>IF(B46="","",IF(OR(K46="",G46="",G46=0),"",ROUND(K46*60/G46,1)))</f>
        <v>0</v>
      </c>
      <c r="AA46" s="36">
        <f>IF(B46="","",IF(OR(Z46="",R46=""),"",ROUND(Z46-R46,1)))</f>
        <v>0</v>
      </c>
      <c r="AB46" s="20">
        <f>IF(B46="","",IFERROR(ROUND(O46*INDEX(Products!$AR$5:$AR$304,MATCH(B46,Products!$A$5:$A$304,0)),2),""))</f>
        <v>0</v>
      </c>
      <c r="AC46" s="20">
        <f>IF(B46="","",IF(AB46="","",ROUND(AB46-U46,2)))</f>
        <v>0</v>
      </c>
      <c r="AD46" s="32">
        <f>IF(B46="","",IF(OR(D46="",E46=""),"",E46-D46))</f>
        <v>0</v>
      </c>
      <c r="AE46" s="43">
        <f>IF(B46="","",IF(G46="","Planned - nothing made yet",IF(O46=0,"Check - no good units",IF(AND(Y46&lt;&gt;"",Y46&gt;0.15),"Check - costing 15% more than the estimate",IF(AND(P46&lt;&gt;"",P46&gt;DefaultDefect*2),"Check - high failure rate",IF(AND(AA46&lt;&gt;"",AA46&gt;5),"Check - taking longer than estimated",IF(AC46&lt;0,"Loss - this run lost money","OK")))))))</f>
        <v>0</v>
      </c>
    </row>
    <row r="47" spans="1:31">
      <c r="A47" s="38">
        <f>IF(B47="","",BatchPrefix&amp;TEXT(ROW()-4,"0000"))</f>
        <v>0</v>
      </c>
      <c r="C47" s="13">
        <f>IF(B47="","",IFERROR(INDEX(Products!$B$5:$B$304,MATCH(B47,Products!$A$5:$A$304,0)),"Not found"))</f>
        <v>0</v>
      </c>
      <c r="O47" s="32">
        <f>IF(B47="","",MAX(0,IF(G47="",0,G47)-IF(H47="",0,H47)))</f>
        <v>0</v>
      </c>
      <c r="P47" s="33">
        <f>IF(B47="","",IF(OR(G47="",G47=0),"",IF(H47="",0,H47)/G47))</f>
        <v>0</v>
      </c>
      <c r="Q47" s="20">
        <f>IF(B47="","",IFERROR(INDEX(Products!$T$5:$T$304,MATCH(B47,Products!$A$5:$A$304,0)),""))</f>
        <v>0</v>
      </c>
      <c r="R47" s="36">
        <f>IF(B47="","",IFERROR(INDEX(Products!$X$5:$X$304,MATCH(B47,Products!$A$5:$A$304,0)),""))</f>
        <v>0</v>
      </c>
      <c r="S47" s="20">
        <f>IF(B47="","",ROUND(IF(J47&lt;&gt;"",J47,IF(Q47="",0,Q47)*IF(G47="",0,G47)),2))</f>
        <v>0</v>
      </c>
      <c r="T47" s="20">
        <f>IF(B47="","",ROUND(IF(K47&lt;&gt;"",K47,IF(R47="",0,R47)*IF(G47="",0,G47)/60)*LaborCostHour,2))</f>
        <v>0</v>
      </c>
      <c r="U47" s="20">
        <f>IF(B47="","",ROUND(S47+T47+IF(L47="",0,L47)-IF(I47="",0,I47),2))</f>
        <v>0</v>
      </c>
      <c r="V47" s="20">
        <f>IF(B47="","",IF(O47=0,"",ROUND(U47/O47,2)))</f>
        <v>0</v>
      </c>
      <c r="W47" s="20">
        <f>IF(B47="","",IFERROR(INDEX(Products!$AH$5:$AH$304,MATCH(B47,Products!$A$5:$A$304,0)),""))</f>
        <v>0</v>
      </c>
      <c r="X47" s="20">
        <f>IF(B47="","",IF(OR(V47="",W47=""),"",ROUND(V47-W47,2)))</f>
        <v>0</v>
      </c>
      <c r="Y47" s="33">
        <f>IF(B47="","",IF(OR(X47="",W47="",W47=0),"",X47/W47))</f>
        <v>0</v>
      </c>
      <c r="Z47" s="36">
        <f>IF(B47="","",IF(OR(K47="",G47="",G47=0),"",ROUND(K47*60/G47,1)))</f>
        <v>0</v>
      </c>
      <c r="AA47" s="36">
        <f>IF(B47="","",IF(OR(Z47="",R47=""),"",ROUND(Z47-R47,1)))</f>
        <v>0</v>
      </c>
      <c r="AB47" s="20">
        <f>IF(B47="","",IFERROR(ROUND(O47*INDEX(Products!$AR$5:$AR$304,MATCH(B47,Products!$A$5:$A$304,0)),2),""))</f>
        <v>0</v>
      </c>
      <c r="AC47" s="20">
        <f>IF(B47="","",IF(AB47="","",ROUND(AB47-U47,2)))</f>
        <v>0</v>
      </c>
      <c r="AD47" s="32">
        <f>IF(B47="","",IF(OR(D47="",E47=""),"",E47-D47))</f>
        <v>0</v>
      </c>
      <c r="AE47" s="43">
        <f>IF(B47="","",IF(G47="","Planned - nothing made yet",IF(O47=0,"Check - no good units",IF(AND(Y47&lt;&gt;"",Y47&gt;0.15),"Check - costing 15% more than the estimate",IF(AND(P47&lt;&gt;"",P47&gt;DefaultDefect*2),"Check - high failure rate",IF(AND(AA47&lt;&gt;"",AA47&gt;5),"Check - taking longer than estimated",IF(AC47&lt;0,"Loss - this run lost money","OK")))))))</f>
        <v>0</v>
      </c>
    </row>
    <row r="48" spans="1:31">
      <c r="A48" s="38">
        <f>IF(B48="","",BatchPrefix&amp;TEXT(ROW()-4,"0000"))</f>
        <v>0</v>
      </c>
      <c r="C48" s="13">
        <f>IF(B48="","",IFERROR(INDEX(Products!$B$5:$B$304,MATCH(B48,Products!$A$5:$A$304,0)),"Not found"))</f>
        <v>0</v>
      </c>
      <c r="O48" s="32">
        <f>IF(B48="","",MAX(0,IF(G48="",0,G48)-IF(H48="",0,H48)))</f>
        <v>0</v>
      </c>
      <c r="P48" s="33">
        <f>IF(B48="","",IF(OR(G48="",G48=0),"",IF(H48="",0,H48)/G48))</f>
        <v>0</v>
      </c>
      <c r="Q48" s="20">
        <f>IF(B48="","",IFERROR(INDEX(Products!$T$5:$T$304,MATCH(B48,Products!$A$5:$A$304,0)),""))</f>
        <v>0</v>
      </c>
      <c r="R48" s="36">
        <f>IF(B48="","",IFERROR(INDEX(Products!$X$5:$X$304,MATCH(B48,Products!$A$5:$A$304,0)),""))</f>
        <v>0</v>
      </c>
      <c r="S48" s="20">
        <f>IF(B48="","",ROUND(IF(J48&lt;&gt;"",J48,IF(Q48="",0,Q48)*IF(G48="",0,G48)),2))</f>
        <v>0</v>
      </c>
      <c r="T48" s="20">
        <f>IF(B48="","",ROUND(IF(K48&lt;&gt;"",K48,IF(R48="",0,R48)*IF(G48="",0,G48)/60)*LaborCostHour,2))</f>
        <v>0</v>
      </c>
      <c r="U48" s="20">
        <f>IF(B48="","",ROUND(S48+T48+IF(L48="",0,L48)-IF(I48="",0,I48),2))</f>
        <v>0</v>
      </c>
      <c r="V48" s="20">
        <f>IF(B48="","",IF(O48=0,"",ROUND(U48/O48,2)))</f>
        <v>0</v>
      </c>
      <c r="W48" s="20">
        <f>IF(B48="","",IFERROR(INDEX(Products!$AH$5:$AH$304,MATCH(B48,Products!$A$5:$A$304,0)),""))</f>
        <v>0</v>
      </c>
      <c r="X48" s="20">
        <f>IF(B48="","",IF(OR(V48="",W48=""),"",ROUND(V48-W48,2)))</f>
        <v>0</v>
      </c>
      <c r="Y48" s="33">
        <f>IF(B48="","",IF(OR(X48="",W48="",W48=0),"",X48/W48))</f>
        <v>0</v>
      </c>
      <c r="Z48" s="36">
        <f>IF(B48="","",IF(OR(K48="",G48="",G48=0),"",ROUND(K48*60/G48,1)))</f>
        <v>0</v>
      </c>
      <c r="AA48" s="36">
        <f>IF(B48="","",IF(OR(Z48="",R48=""),"",ROUND(Z48-R48,1)))</f>
        <v>0</v>
      </c>
      <c r="AB48" s="20">
        <f>IF(B48="","",IFERROR(ROUND(O48*INDEX(Products!$AR$5:$AR$304,MATCH(B48,Products!$A$5:$A$304,0)),2),""))</f>
        <v>0</v>
      </c>
      <c r="AC48" s="20">
        <f>IF(B48="","",IF(AB48="","",ROUND(AB48-U48,2)))</f>
        <v>0</v>
      </c>
      <c r="AD48" s="32">
        <f>IF(B48="","",IF(OR(D48="",E48=""),"",E48-D48))</f>
        <v>0</v>
      </c>
      <c r="AE48" s="43">
        <f>IF(B48="","",IF(G48="","Planned - nothing made yet",IF(O48=0,"Check - no good units",IF(AND(Y48&lt;&gt;"",Y48&gt;0.15),"Check - costing 15% more than the estimate",IF(AND(P48&lt;&gt;"",P48&gt;DefaultDefect*2),"Check - high failure rate",IF(AND(AA48&lt;&gt;"",AA48&gt;5),"Check - taking longer than estimated",IF(AC48&lt;0,"Loss - this run lost money","OK")))))))</f>
        <v>0</v>
      </c>
    </row>
    <row r="49" spans="1:31">
      <c r="A49" s="38">
        <f>IF(B49="","",BatchPrefix&amp;TEXT(ROW()-4,"0000"))</f>
        <v>0</v>
      </c>
      <c r="C49" s="13">
        <f>IF(B49="","",IFERROR(INDEX(Products!$B$5:$B$304,MATCH(B49,Products!$A$5:$A$304,0)),"Not found"))</f>
        <v>0</v>
      </c>
      <c r="O49" s="32">
        <f>IF(B49="","",MAX(0,IF(G49="",0,G49)-IF(H49="",0,H49)))</f>
        <v>0</v>
      </c>
      <c r="P49" s="33">
        <f>IF(B49="","",IF(OR(G49="",G49=0),"",IF(H49="",0,H49)/G49))</f>
        <v>0</v>
      </c>
      <c r="Q49" s="20">
        <f>IF(B49="","",IFERROR(INDEX(Products!$T$5:$T$304,MATCH(B49,Products!$A$5:$A$304,0)),""))</f>
        <v>0</v>
      </c>
      <c r="R49" s="36">
        <f>IF(B49="","",IFERROR(INDEX(Products!$X$5:$X$304,MATCH(B49,Products!$A$5:$A$304,0)),""))</f>
        <v>0</v>
      </c>
      <c r="S49" s="20">
        <f>IF(B49="","",ROUND(IF(J49&lt;&gt;"",J49,IF(Q49="",0,Q49)*IF(G49="",0,G49)),2))</f>
        <v>0</v>
      </c>
      <c r="T49" s="20">
        <f>IF(B49="","",ROUND(IF(K49&lt;&gt;"",K49,IF(R49="",0,R49)*IF(G49="",0,G49)/60)*LaborCostHour,2))</f>
        <v>0</v>
      </c>
      <c r="U49" s="20">
        <f>IF(B49="","",ROUND(S49+T49+IF(L49="",0,L49)-IF(I49="",0,I49),2))</f>
        <v>0</v>
      </c>
      <c r="V49" s="20">
        <f>IF(B49="","",IF(O49=0,"",ROUND(U49/O49,2)))</f>
        <v>0</v>
      </c>
      <c r="W49" s="20">
        <f>IF(B49="","",IFERROR(INDEX(Products!$AH$5:$AH$304,MATCH(B49,Products!$A$5:$A$304,0)),""))</f>
        <v>0</v>
      </c>
      <c r="X49" s="20">
        <f>IF(B49="","",IF(OR(V49="",W49=""),"",ROUND(V49-W49,2)))</f>
        <v>0</v>
      </c>
      <c r="Y49" s="33">
        <f>IF(B49="","",IF(OR(X49="",W49="",W49=0),"",X49/W49))</f>
        <v>0</v>
      </c>
      <c r="Z49" s="36">
        <f>IF(B49="","",IF(OR(K49="",G49="",G49=0),"",ROUND(K49*60/G49,1)))</f>
        <v>0</v>
      </c>
      <c r="AA49" s="36">
        <f>IF(B49="","",IF(OR(Z49="",R49=""),"",ROUND(Z49-R49,1)))</f>
        <v>0</v>
      </c>
      <c r="AB49" s="20">
        <f>IF(B49="","",IFERROR(ROUND(O49*INDEX(Products!$AR$5:$AR$304,MATCH(B49,Products!$A$5:$A$304,0)),2),""))</f>
        <v>0</v>
      </c>
      <c r="AC49" s="20">
        <f>IF(B49="","",IF(AB49="","",ROUND(AB49-U49,2)))</f>
        <v>0</v>
      </c>
      <c r="AD49" s="32">
        <f>IF(B49="","",IF(OR(D49="",E49=""),"",E49-D49))</f>
        <v>0</v>
      </c>
      <c r="AE49" s="43">
        <f>IF(B49="","",IF(G49="","Planned - nothing made yet",IF(O49=0,"Check - no good units",IF(AND(Y49&lt;&gt;"",Y49&gt;0.15),"Check - costing 15% more than the estimate",IF(AND(P49&lt;&gt;"",P49&gt;DefaultDefect*2),"Check - high failure rate",IF(AND(AA49&lt;&gt;"",AA49&gt;5),"Check - taking longer than estimated",IF(AC49&lt;0,"Loss - this run lost money","OK")))))))</f>
        <v>0</v>
      </c>
    </row>
    <row r="50" spans="1:31">
      <c r="A50" s="38">
        <f>IF(B50="","",BatchPrefix&amp;TEXT(ROW()-4,"0000"))</f>
        <v>0</v>
      </c>
      <c r="C50" s="13">
        <f>IF(B50="","",IFERROR(INDEX(Products!$B$5:$B$304,MATCH(B50,Products!$A$5:$A$304,0)),"Not found"))</f>
        <v>0</v>
      </c>
      <c r="O50" s="32">
        <f>IF(B50="","",MAX(0,IF(G50="",0,G50)-IF(H50="",0,H50)))</f>
        <v>0</v>
      </c>
      <c r="P50" s="33">
        <f>IF(B50="","",IF(OR(G50="",G50=0),"",IF(H50="",0,H50)/G50))</f>
        <v>0</v>
      </c>
      <c r="Q50" s="20">
        <f>IF(B50="","",IFERROR(INDEX(Products!$T$5:$T$304,MATCH(B50,Products!$A$5:$A$304,0)),""))</f>
        <v>0</v>
      </c>
      <c r="R50" s="36">
        <f>IF(B50="","",IFERROR(INDEX(Products!$X$5:$X$304,MATCH(B50,Products!$A$5:$A$304,0)),""))</f>
        <v>0</v>
      </c>
      <c r="S50" s="20">
        <f>IF(B50="","",ROUND(IF(J50&lt;&gt;"",J50,IF(Q50="",0,Q50)*IF(G50="",0,G50)),2))</f>
        <v>0</v>
      </c>
      <c r="T50" s="20">
        <f>IF(B50="","",ROUND(IF(K50&lt;&gt;"",K50,IF(R50="",0,R50)*IF(G50="",0,G50)/60)*LaborCostHour,2))</f>
        <v>0</v>
      </c>
      <c r="U50" s="20">
        <f>IF(B50="","",ROUND(S50+T50+IF(L50="",0,L50)-IF(I50="",0,I50),2))</f>
        <v>0</v>
      </c>
      <c r="V50" s="20">
        <f>IF(B50="","",IF(O50=0,"",ROUND(U50/O50,2)))</f>
        <v>0</v>
      </c>
      <c r="W50" s="20">
        <f>IF(B50="","",IFERROR(INDEX(Products!$AH$5:$AH$304,MATCH(B50,Products!$A$5:$A$304,0)),""))</f>
        <v>0</v>
      </c>
      <c r="X50" s="20">
        <f>IF(B50="","",IF(OR(V50="",W50=""),"",ROUND(V50-W50,2)))</f>
        <v>0</v>
      </c>
      <c r="Y50" s="33">
        <f>IF(B50="","",IF(OR(X50="",W50="",W50=0),"",X50/W50))</f>
        <v>0</v>
      </c>
      <c r="Z50" s="36">
        <f>IF(B50="","",IF(OR(K50="",G50="",G50=0),"",ROUND(K50*60/G50,1)))</f>
        <v>0</v>
      </c>
      <c r="AA50" s="36">
        <f>IF(B50="","",IF(OR(Z50="",R50=""),"",ROUND(Z50-R50,1)))</f>
        <v>0</v>
      </c>
      <c r="AB50" s="20">
        <f>IF(B50="","",IFERROR(ROUND(O50*INDEX(Products!$AR$5:$AR$304,MATCH(B50,Products!$A$5:$A$304,0)),2),""))</f>
        <v>0</v>
      </c>
      <c r="AC50" s="20">
        <f>IF(B50="","",IF(AB50="","",ROUND(AB50-U50,2)))</f>
        <v>0</v>
      </c>
      <c r="AD50" s="32">
        <f>IF(B50="","",IF(OR(D50="",E50=""),"",E50-D50))</f>
        <v>0</v>
      </c>
      <c r="AE50" s="43">
        <f>IF(B50="","",IF(G50="","Planned - nothing made yet",IF(O50=0,"Check - no good units",IF(AND(Y50&lt;&gt;"",Y50&gt;0.15),"Check - costing 15% more than the estimate",IF(AND(P50&lt;&gt;"",P50&gt;DefaultDefect*2),"Check - high failure rate",IF(AND(AA50&lt;&gt;"",AA50&gt;5),"Check - taking longer than estimated",IF(AC50&lt;0,"Loss - this run lost money","OK")))))))</f>
        <v>0</v>
      </c>
    </row>
    <row r="51" spans="1:31">
      <c r="A51" s="38">
        <f>IF(B51="","",BatchPrefix&amp;TEXT(ROW()-4,"0000"))</f>
        <v>0</v>
      </c>
      <c r="C51" s="13">
        <f>IF(B51="","",IFERROR(INDEX(Products!$B$5:$B$304,MATCH(B51,Products!$A$5:$A$304,0)),"Not found"))</f>
        <v>0</v>
      </c>
      <c r="O51" s="32">
        <f>IF(B51="","",MAX(0,IF(G51="",0,G51)-IF(H51="",0,H51)))</f>
        <v>0</v>
      </c>
      <c r="P51" s="33">
        <f>IF(B51="","",IF(OR(G51="",G51=0),"",IF(H51="",0,H51)/G51))</f>
        <v>0</v>
      </c>
      <c r="Q51" s="20">
        <f>IF(B51="","",IFERROR(INDEX(Products!$T$5:$T$304,MATCH(B51,Products!$A$5:$A$304,0)),""))</f>
        <v>0</v>
      </c>
      <c r="R51" s="36">
        <f>IF(B51="","",IFERROR(INDEX(Products!$X$5:$X$304,MATCH(B51,Products!$A$5:$A$304,0)),""))</f>
        <v>0</v>
      </c>
      <c r="S51" s="20">
        <f>IF(B51="","",ROUND(IF(J51&lt;&gt;"",J51,IF(Q51="",0,Q51)*IF(G51="",0,G51)),2))</f>
        <v>0</v>
      </c>
      <c r="T51" s="20">
        <f>IF(B51="","",ROUND(IF(K51&lt;&gt;"",K51,IF(R51="",0,R51)*IF(G51="",0,G51)/60)*LaborCostHour,2))</f>
        <v>0</v>
      </c>
      <c r="U51" s="20">
        <f>IF(B51="","",ROUND(S51+T51+IF(L51="",0,L51)-IF(I51="",0,I51),2))</f>
        <v>0</v>
      </c>
      <c r="V51" s="20">
        <f>IF(B51="","",IF(O51=0,"",ROUND(U51/O51,2)))</f>
        <v>0</v>
      </c>
      <c r="W51" s="20">
        <f>IF(B51="","",IFERROR(INDEX(Products!$AH$5:$AH$304,MATCH(B51,Products!$A$5:$A$304,0)),""))</f>
        <v>0</v>
      </c>
      <c r="X51" s="20">
        <f>IF(B51="","",IF(OR(V51="",W51=""),"",ROUND(V51-W51,2)))</f>
        <v>0</v>
      </c>
      <c r="Y51" s="33">
        <f>IF(B51="","",IF(OR(X51="",W51="",W51=0),"",X51/W51))</f>
        <v>0</v>
      </c>
      <c r="Z51" s="36">
        <f>IF(B51="","",IF(OR(K51="",G51="",G51=0),"",ROUND(K51*60/G51,1)))</f>
        <v>0</v>
      </c>
      <c r="AA51" s="36">
        <f>IF(B51="","",IF(OR(Z51="",R51=""),"",ROUND(Z51-R51,1)))</f>
        <v>0</v>
      </c>
      <c r="AB51" s="20">
        <f>IF(B51="","",IFERROR(ROUND(O51*INDEX(Products!$AR$5:$AR$304,MATCH(B51,Products!$A$5:$A$304,0)),2),""))</f>
        <v>0</v>
      </c>
      <c r="AC51" s="20">
        <f>IF(B51="","",IF(AB51="","",ROUND(AB51-U51,2)))</f>
        <v>0</v>
      </c>
      <c r="AD51" s="32">
        <f>IF(B51="","",IF(OR(D51="",E51=""),"",E51-D51))</f>
        <v>0</v>
      </c>
      <c r="AE51" s="43">
        <f>IF(B51="","",IF(G51="","Planned - nothing made yet",IF(O51=0,"Check - no good units",IF(AND(Y51&lt;&gt;"",Y51&gt;0.15),"Check - costing 15% more than the estimate",IF(AND(P51&lt;&gt;"",P51&gt;DefaultDefect*2),"Check - high failure rate",IF(AND(AA51&lt;&gt;"",AA51&gt;5),"Check - taking longer than estimated",IF(AC51&lt;0,"Loss - this run lost money","OK")))))))</f>
        <v>0</v>
      </c>
    </row>
    <row r="52" spans="1:31">
      <c r="A52" s="38">
        <f>IF(B52="","",BatchPrefix&amp;TEXT(ROW()-4,"0000"))</f>
        <v>0</v>
      </c>
      <c r="C52" s="13">
        <f>IF(B52="","",IFERROR(INDEX(Products!$B$5:$B$304,MATCH(B52,Products!$A$5:$A$304,0)),"Not found"))</f>
        <v>0</v>
      </c>
      <c r="O52" s="32">
        <f>IF(B52="","",MAX(0,IF(G52="",0,G52)-IF(H52="",0,H52)))</f>
        <v>0</v>
      </c>
      <c r="P52" s="33">
        <f>IF(B52="","",IF(OR(G52="",G52=0),"",IF(H52="",0,H52)/G52))</f>
        <v>0</v>
      </c>
      <c r="Q52" s="20">
        <f>IF(B52="","",IFERROR(INDEX(Products!$T$5:$T$304,MATCH(B52,Products!$A$5:$A$304,0)),""))</f>
        <v>0</v>
      </c>
      <c r="R52" s="36">
        <f>IF(B52="","",IFERROR(INDEX(Products!$X$5:$X$304,MATCH(B52,Products!$A$5:$A$304,0)),""))</f>
        <v>0</v>
      </c>
      <c r="S52" s="20">
        <f>IF(B52="","",ROUND(IF(J52&lt;&gt;"",J52,IF(Q52="",0,Q52)*IF(G52="",0,G52)),2))</f>
        <v>0</v>
      </c>
      <c r="T52" s="20">
        <f>IF(B52="","",ROUND(IF(K52&lt;&gt;"",K52,IF(R52="",0,R52)*IF(G52="",0,G52)/60)*LaborCostHour,2))</f>
        <v>0</v>
      </c>
      <c r="U52" s="20">
        <f>IF(B52="","",ROUND(S52+T52+IF(L52="",0,L52)-IF(I52="",0,I52),2))</f>
        <v>0</v>
      </c>
      <c r="V52" s="20">
        <f>IF(B52="","",IF(O52=0,"",ROUND(U52/O52,2)))</f>
        <v>0</v>
      </c>
      <c r="W52" s="20">
        <f>IF(B52="","",IFERROR(INDEX(Products!$AH$5:$AH$304,MATCH(B52,Products!$A$5:$A$304,0)),""))</f>
        <v>0</v>
      </c>
      <c r="X52" s="20">
        <f>IF(B52="","",IF(OR(V52="",W52=""),"",ROUND(V52-W52,2)))</f>
        <v>0</v>
      </c>
      <c r="Y52" s="33">
        <f>IF(B52="","",IF(OR(X52="",W52="",W52=0),"",X52/W52))</f>
        <v>0</v>
      </c>
      <c r="Z52" s="36">
        <f>IF(B52="","",IF(OR(K52="",G52="",G52=0),"",ROUND(K52*60/G52,1)))</f>
        <v>0</v>
      </c>
      <c r="AA52" s="36">
        <f>IF(B52="","",IF(OR(Z52="",R52=""),"",ROUND(Z52-R52,1)))</f>
        <v>0</v>
      </c>
      <c r="AB52" s="20">
        <f>IF(B52="","",IFERROR(ROUND(O52*INDEX(Products!$AR$5:$AR$304,MATCH(B52,Products!$A$5:$A$304,0)),2),""))</f>
        <v>0</v>
      </c>
      <c r="AC52" s="20">
        <f>IF(B52="","",IF(AB52="","",ROUND(AB52-U52,2)))</f>
        <v>0</v>
      </c>
      <c r="AD52" s="32">
        <f>IF(B52="","",IF(OR(D52="",E52=""),"",E52-D52))</f>
        <v>0</v>
      </c>
      <c r="AE52" s="43">
        <f>IF(B52="","",IF(G52="","Planned - nothing made yet",IF(O52=0,"Check - no good units",IF(AND(Y52&lt;&gt;"",Y52&gt;0.15),"Check - costing 15% more than the estimate",IF(AND(P52&lt;&gt;"",P52&gt;DefaultDefect*2),"Check - high failure rate",IF(AND(AA52&lt;&gt;"",AA52&gt;5),"Check - taking longer than estimated",IF(AC52&lt;0,"Loss - this run lost money","OK")))))))</f>
        <v>0</v>
      </c>
    </row>
    <row r="53" spans="1:31">
      <c r="A53" s="38">
        <f>IF(B53="","",BatchPrefix&amp;TEXT(ROW()-4,"0000"))</f>
        <v>0</v>
      </c>
      <c r="C53" s="13">
        <f>IF(B53="","",IFERROR(INDEX(Products!$B$5:$B$304,MATCH(B53,Products!$A$5:$A$304,0)),"Not found"))</f>
        <v>0</v>
      </c>
      <c r="O53" s="32">
        <f>IF(B53="","",MAX(0,IF(G53="",0,G53)-IF(H53="",0,H53)))</f>
        <v>0</v>
      </c>
      <c r="P53" s="33">
        <f>IF(B53="","",IF(OR(G53="",G53=0),"",IF(H53="",0,H53)/G53))</f>
        <v>0</v>
      </c>
      <c r="Q53" s="20">
        <f>IF(B53="","",IFERROR(INDEX(Products!$T$5:$T$304,MATCH(B53,Products!$A$5:$A$304,0)),""))</f>
        <v>0</v>
      </c>
      <c r="R53" s="36">
        <f>IF(B53="","",IFERROR(INDEX(Products!$X$5:$X$304,MATCH(B53,Products!$A$5:$A$304,0)),""))</f>
        <v>0</v>
      </c>
      <c r="S53" s="20">
        <f>IF(B53="","",ROUND(IF(J53&lt;&gt;"",J53,IF(Q53="",0,Q53)*IF(G53="",0,G53)),2))</f>
        <v>0</v>
      </c>
      <c r="T53" s="20">
        <f>IF(B53="","",ROUND(IF(K53&lt;&gt;"",K53,IF(R53="",0,R53)*IF(G53="",0,G53)/60)*LaborCostHour,2))</f>
        <v>0</v>
      </c>
      <c r="U53" s="20">
        <f>IF(B53="","",ROUND(S53+T53+IF(L53="",0,L53)-IF(I53="",0,I53),2))</f>
        <v>0</v>
      </c>
      <c r="V53" s="20">
        <f>IF(B53="","",IF(O53=0,"",ROUND(U53/O53,2)))</f>
        <v>0</v>
      </c>
      <c r="W53" s="20">
        <f>IF(B53="","",IFERROR(INDEX(Products!$AH$5:$AH$304,MATCH(B53,Products!$A$5:$A$304,0)),""))</f>
        <v>0</v>
      </c>
      <c r="X53" s="20">
        <f>IF(B53="","",IF(OR(V53="",W53=""),"",ROUND(V53-W53,2)))</f>
        <v>0</v>
      </c>
      <c r="Y53" s="33">
        <f>IF(B53="","",IF(OR(X53="",W53="",W53=0),"",X53/W53))</f>
        <v>0</v>
      </c>
      <c r="Z53" s="36">
        <f>IF(B53="","",IF(OR(K53="",G53="",G53=0),"",ROUND(K53*60/G53,1)))</f>
        <v>0</v>
      </c>
      <c r="AA53" s="36">
        <f>IF(B53="","",IF(OR(Z53="",R53=""),"",ROUND(Z53-R53,1)))</f>
        <v>0</v>
      </c>
      <c r="AB53" s="20">
        <f>IF(B53="","",IFERROR(ROUND(O53*INDEX(Products!$AR$5:$AR$304,MATCH(B53,Products!$A$5:$A$304,0)),2),""))</f>
        <v>0</v>
      </c>
      <c r="AC53" s="20">
        <f>IF(B53="","",IF(AB53="","",ROUND(AB53-U53,2)))</f>
        <v>0</v>
      </c>
      <c r="AD53" s="32">
        <f>IF(B53="","",IF(OR(D53="",E53=""),"",E53-D53))</f>
        <v>0</v>
      </c>
      <c r="AE53" s="43">
        <f>IF(B53="","",IF(G53="","Planned - nothing made yet",IF(O53=0,"Check - no good units",IF(AND(Y53&lt;&gt;"",Y53&gt;0.15),"Check - costing 15% more than the estimate",IF(AND(P53&lt;&gt;"",P53&gt;DefaultDefect*2),"Check - high failure rate",IF(AND(AA53&lt;&gt;"",AA53&gt;5),"Check - taking longer than estimated",IF(AC53&lt;0,"Loss - this run lost money","OK")))))))</f>
        <v>0</v>
      </c>
    </row>
    <row r="54" spans="1:31">
      <c r="A54" s="38">
        <f>IF(B54="","",BatchPrefix&amp;TEXT(ROW()-4,"0000"))</f>
        <v>0</v>
      </c>
      <c r="C54" s="13">
        <f>IF(B54="","",IFERROR(INDEX(Products!$B$5:$B$304,MATCH(B54,Products!$A$5:$A$304,0)),"Not found"))</f>
        <v>0</v>
      </c>
      <c r="O54" s="32">
        <f>IF(B54="","",MAX(0,IF(G54="",0,G54)-IF(H54="",0,H54)))</f>
        <v>0</v>
      </c>
      <c r="P54" s="33">
        <f>IF(B54="","",IF(OR(G54="",G54=0),"",IF(H54="",0,H54)/G54))</f>
        <v>0</v>
      </c>
      <c r="Q54" s="20">
        <f>IF(B54="","",IFERROR(INDEX(Products!$T$5:$T$304,MATCH(B54,Products!$A$5:$A$304,0)),""))</f>
        <v>0</v>
      </c>
      <c r="R54" s="36">
        <f>IF(B54="","",IFERROR(INDEX(Products!$X$5:$X$304,MATCH(B54,Products!$A$5:$A$304,0)),""))</f>
        <v>0</v>
      </c>
      <c r="S54" s="20">
        <f>IF(B54="","",ROUND(IF(J54&lt;&gt;"",J54,IF(Q54="",0,Q54)*IF(G54="",0,G54)),2))</f>
        <v>0</v>
      </c>
      <c r="T54" s="20">
        <f>IF(B54="","",ROUND(IF(K54&lt;&gt;"",K54,IF(R54="",0,R54)*IF(G54="",0,G54)/60)*LaborCostHour,2))</f>
        <v>0</v>
      </c>
      <c r="U54" s="20">
        <f>IF(B54="","",ROUND(S54+T54+IF(L54="",0,L54)-IF(I54="",0,I54),2))</f>
        <v>0</v>
      </c>
      <c r="V54" s="20">
        <f>IF(B54="","",IF(O54=0,"",ROUND(U54/O54,2)))</f>
        <v>0</v>
      </c>
      <c r="W54" s="20">
        <f>IF(B54="","",IFERROR(INDEX(Products!$AH$5:$AH$304,MATCH(B54,Products!$A$5:$A$304,0)),""))</f>
        <v>0</v>
      </c>
      <c r="X54" s="20">
        <f>IF(B54="","",IF(OR(V54="",W54=""),"",ROUND(V54-W54,2)))</f>
        <v>0</v>
      </c>
      <c r="Y54" s="33">
        <f>IF(B54="","",IF(OR(X54="",W54="",W54=0),"",X54/W54))</f>
        <v>0</v>
      </c>
      <c r="Z54" s="36">
        <f>IF(B54="","",IF(OR(K54="",G54="",G54=0),"",ROUND(K54*60/G54,1)))</f>
        <v>0</v>
      </c>
      <c r="AA54" s="36">
        <f>IF(B54="","",IF(OR(Z54="",R54=""),"",ROUND(Z54-R54,1)))</f>
        <v>0</v>
      </c>
      <c r="AB54" s="20">
        <f>IF(B54="","",IFERROR(ROUND(O54*INDEX(Products!$AR$5:$AR$304,MATCH(B54,Products!$A$5:$A$304,0)),2),""))</f>
        <v>0</v>
      </c>
      <c r="AC54" s="20">
        <f>IF(B54="","",IF(AB54="","",ROUND(AB54-U54,2)))</f>
        <v>0</v>
      </c>
      <c r="AD54" s="32">
        <f>IF(B54="","",IF(OR(D54="",E54=""),"",E54-D54))</f>
        <v>0</v>
      </c>
      <c r="AE54" s="43">
        <f>IF(B54="","",IF(G54="","Planned - nothing made yet",IF(O54=0,"Check - no good units",IF(AND(Y54&lt;&gt;"",Y54&gt;0.15),"Check - costing 15% more than the estimate",IF(AND(P54&lt;&gt;"",P54&gt;DefaultDefect*2),"Check - high failure rate",IF(AND(AA54&lt;&gt;"",AA54&gt;5),"Check - taking longer than estimated",IF(AC54&lt;0,"Loss - this run lost money","OK")))))))</f>
        <v>0</v>
      </c>
    </row>
    <row r="55" spans="1:31">
      <c r="A55" s="38">
        <f>IF(B55="","",BatchPrefix&amp;TEXT(ROW()-4,"0000"))</f>
        <v>0</v>
      </c>
      <c r="C55" s="13">
        <f>IF(B55="","",IFERROR(INDEX(Products!$B$5:$B$304,MATCH(B55,Products!$A$5:$A$304,0)),"Not found"))</f>
        <v>0</v>
      </c>
      <c r="O55" s="32">
        <f>IF(B55="","",MAX(0,IF(G55="",0,G55)-IF(H55="",0,H55)))</f>
        <v>0</v>
      </c>
      <c r="P55" s="33">
        <f>IF(B55="","",IF(OR(G55="",G55=0),"",IF(H55="",0,H55)/G55))</f>
        <v>0</v>
      </c>
      <c r="Q55" s="20">
        <f>IF(B55="","",IFERROR(INDEX(Products!$T$5:$T$304,MATCH(B55,Products!$A$5:$A$304,0)),""))</f>
        <v>0</v>
      </c>
      <c r="R55" s="36">
        <f>IF(B55="","",IFERROR(INDEX(Products!$X$5:$X$304,MATCH(B55,Products!$A$5:$A$304,0)),""))</f>
        <v>0</v>
      </c>
      <c r="S55" s="20">
        <f>IF(B55="","",ROUND(IF(J55&lt;&gt;"",J55,IF(Q55="",0,Q55)*IF(G55="",0,G55)),2))</f>
        <v>0</v>
      </c>
      <c r="T55" s="20">
        <f>IF(B55="","",ROUND(IF(K55&lt;&gt;"",K55,IF(R55="",0,R55)*IF(G55="",0,G55)/60)*LaborCostHour,2))</f>
        <v>0</v>
      </c>
      <c r="U55" s="20">
        <f>IF(B55="","",ROUND(S55+T55+IF(L55="",0,L55)-IF(I55="",0,I55),2))</f>
        <v>0</v>
      </c>
      <c r="V55" s="20">
        <f>IF(B55="","",IF(O55=0,"",ROUND(U55/O55,2)))</f>
        <v>0</v>
      </c>
      <c r="W55" s="20">
        <f>IF(B55="","",IFERROR(INDEX(Products!$AH$5:$AH$304,MATCH(B55,Products!$A$5:$A$304,0)),""))</f>
        <v>0</v>
      </c>
      <c r="X55" s="20">
        <f>IF(B55="","",IF(OR(V55="",W55=""),"",ROUND(V55-W55,2)))</f>
        <v>0</v>
      </c>
      <c r="Y55" s="33">
        <f>IF(B55="","",IF(OR(X55="",W55="",W55=0),"",X55/W55))</f>
        <v>0</v>
      </c>
      <c r="Z55" s="36">
        <f>IF(B55="","",IF(OR(K55="",G55="",G55=0),"",ROUND(K55*60/G55,1)))</f>
        <v>0</v>
      </c>
      <c r="AA55" s="36">
        <f>IF(B55="","",IF(OR(Z55="",R55=""),"",ROUND(Z55-R55,1)))</f>
        <v>0</v>
      </c>
      <c r="AB55" s="20">
        <f>IF(B55="","",IFERROR(ROUND(O55*INDEX(Products!$AR$5:$AR$304,MATCH(B55,Products!$A$5:$A$304,0)),2),""))</f>
        <v>0</v>
      </c>
      <c r="AC55" s="20">
        <f>IF(B55="","",IF(AB55="","",ROUND(AB55-U55,2)))</f>
        <v>0</v>
      </c>
      <c r="AD55" s="32">
        <f>IF(B55="","",IF(OR(D55="",E55=""),"",E55-D55))</f>
        <v>0</v>
      </c>
      <c r="AE55" s="43">
        <f>IF(B55="","",IF(G55="","Planned - nothing made yet",IF(O55=0,"Check - no good units",IF(AND(Y55&lt;&gt;"",Y55&gt;0.15),"Check - costing 15% more than the estimate",IF(AND(P55&lt;&gt;"",P55&gt;DefaultDefect*2),"Check - high failure rate",IF(AND(AA55&lt;&gt;"",AA55&gt;5),"Check - taking longer than estimated",IF(AC55&lt;0,"Loss - this run lost money","OK")))))))</f>
        <v>0</v>
      </c>
    </row>
    <row r="56" spans="1:31">
      <c r="A56" s="38">
        <f>IF(B56="","",BatchPrefix&amp;TEXT(ROW()-4,"0000"))</f>
        <v>0</v>
      </c>
      <c r="C56" s="13">
        <f>IF(B56="","",IFERROR(INDEX(Products!$B$5:$B$304,MATCH(B56,Products!$A$5:$A$304,0)),"Not found"))</f>
        <v>0</v>
      </c>
      <c r="O56" s="32">
        <f>IF(B56="","",MAX(0,IF(G56="",0,G56)-IF(H56="",0,H56)))</f>
        <v>0</v>
      </c>
      <c r="P56" s="33">
        <f>IF(B56="","",IF(OR(G56="",G56=0),"",IF(H56="",0,H56)/G56))</f>
        <v>0</v>
      </c>
      <c r="Q56" s="20">
        <f>IF(B56="","",IFERROR(INDEX(Products!$T$5:$T$304,MATCH(B56,Products!$A$5:$A$304,0)),""))</f>
        <v>0</v>
      </c>
      <c r="R56" s="36">
        <f>IF(B56="","",IFERROR(INDEX(Products!$X$5:$X$304,MATCH(B56,Products!$A$5:$A$304,0)),""))</f>
        <v>0</v>
      </c>
      <c r="S56" s="20">
        <f>IF(B56="","",ROUND(IF(J56&lt;&gt;"",J56,IF(Q56="",0,Q56)*IF(G56="",0,G56)),2))</f>
        <v>0</v>
      </c>
      <c r="T56" s="20">
        <f>IF(B56="","",ROUND(IF(K56&lt;&gt;"",K56,IF(R56="",0,R56)*IF(G56="",0,G56)/60)*LaborCostHour,2))</f>
        <v>0</v>
      </c>
      <c r="U56" s="20">
        <f>IF(B56="","",ROUND(S56+T56+IF(L56="",0,L56)-IF(I56="",0,I56),2))</f>
        <v>0</v>
      </c>
      <c r="V56" s="20">
        <f>IF(B56="","",IF(O56=0,"",ROUND(U56/O56,2)))</f>
        <v>0</v>
      </c>
      <c r="W56" s="20">
        <f>IF(B56="","",IFERROR(INDEX(Products!$AH$5:$AH$304,MATCH(B56,Products!$A$5:$A$304,0)),""))</f>
        <v>0</v>
      </c>
      <c r="X56" s="20">
        <f>IF(B56="","",IF(OR(V56="",W56=""),"",ROUND(V56-W56,2)))</f>
        <v>0</v>
      </c>
      <c r="Y56" s="33">
        <f>IF(B56="","",IF(OR(X56="",W56="",W56=0),"",X56/W56))</f>
        <v>0</v>
      </c>
      <c r="Z56" s="36">
        <f>IF(B56="","",IF(OR(K56="",G56="",G56=0),"",ROUND(K56*60/G56,1)))</f>
        <v>0</v>
      </c>
      <c r="AA56" s="36">
        <f>IF(B56="","",IF(OR(Z56="",R56=""),"",ROUND(Z56-R56,1)))</f>
        <v>0</v>
      </c>
      <c r="AB56" s="20">
        <f>IF(B56="","",IFERROR(ROUND(O56*INDEX(Products!$AR$5:$AR$304,MATCH(B56,Products!$A$5:$A$304,0)),2),""))</f>
        <v>0</v>
      </c>
      <c r="AC56" s="20">
        <f>IF(B56="","",IF(AB56="","",ROUND(AB56-U56,2)))</f>
        <v>0</v>
      </c>
      <c r="AD56" s="32">
        <f>IF(B56="","",IF(OR(D56="",E56=""),"",E56-D56))</f>
        <v>0</v>
      </c>
      <c r="AE56" s="43">
        <f>IF(B56="","",IF(G56="","Planned - nothing made yet",IF(O56=0,"Check - no good units",IF(AND(Y56&lt;&gt;"",Y56&gt;0.15),"Check - costing 15% more than the estimate",IF(AND(P56&lt;&gt;"",P56&gt;DefaultDefect*2),"Check - high failure rate",IF(AND(AA56&lt;&gt;"",AA56&gt;5),"Check - taking longer than estimated",IF(AC56&lt;0,"Loss - this run lost money","OK")))))))</f>
        <v>0</v>
      </c>
    </row>
    <row r="57" spans="1:31">
      <c r="A57" s="38">
        <f>IF(B57="","",BatchPrefix&amp;TEXT(ROW()-4,"0000"))</f>
        <v>0</v>
      </c>
      <c r="C57" s="13">
        <f>IF(B57="","",IFERROR(INDEX(Products!$B$5:$B$304,MATCH(B57,Products!$A$5:$A$304,0)),"Not found"))</f>
        <v>0</v>
      </c>
      <c r="O57" s="32">
        <f>IF(B57="","",MAX(0,IF(G57="",0,G57)-IF(H57="",0,H57)))</f>
        <v>0</v>
      </c>
      <c r="P57" s="33">
        <f>IF(B57="","",IF(OR(G57="",G57=0),"",IF(H57="",0,H57)/G57))</f>
        <v>0</v>
      </c>
      <c r="Q57" s="20">
        <f>IF(B57="","",IFERROR(INDEX(Products!$T$5:$T$304,MATCH(B57,Products!$A$5:$A$304,0)),""))</f>
        <v>0</v>
      </c>
      <c r="R57" s="36">
        <f>IF(B57="","",IFERROR(INDEX(Products!$X$5:$X$304,MATCH(B57,Products!$A$5:$A$304,0)),""))</f>
        <v>0</v>
      </c>
      <c r="S57" s="20">
        <f>IF(B57="","",ROUND(IF(J57&lt;&gt;"",J57,IF(Q57="",0,Q57)*IF(G57="",0,G57)),2))</f>
        <v>0</v>
      </c>
      <c r="T57" s="20">
        <f>IF(B57="","",ROUND(IF(K57&lt;&gt;"",K57,IF(R57="",0,R57)*IF(G57="",0,G57)/60)*LaborCostHour,2))</f>
        <v>0</v>
      </c>
      <c r="U57" s="20">
        <f>IF(B57="","",ROUND(S57+T57+IF(L57="",0,L57)-IF(I57="",0,I57),2))</f>
        <v>0</v>
      </c>
      <c r="V57" s="20">
        <f>IF(B57="","",IF(O57=0,"",ROUND(U57/O57,2)))</f>
        <v>0</v>
      </c>
      <c r="W57" s="20">
        <f>IF(B57="","",IFERROR(INDEX(Products!$AH$5:$AH$304,MATCH(B57,Products!$A$5:$A$304,0)),""))</f>
        <v>0</v>
      </c>
      <c r="X57" s="20">
        <f>IF(B57="","",IF(OR(V57="",W57=""),"",ROUND(V57-W57,2)))</f>
        <v>0</v>
      </c>
      <c r="Y57" s="33">
        <f>IF(B57="","",IF(OR(X57="",W57="",W57=0),"",X57/W57))</f>
        <v>0</v>
      </c>
      <c r="Z57" s="36">
        <f>IF(B57="","",IF(OR(K57="",G57="",G57=0),"",ROUND(K57*60/G57,1)))</f>
        <v>0</v>
      </c>
      <c r="AA57" s="36">
        <f>IF(B57="","",IF(OR(Z57="",R57=""),"",ROUND(Z57-R57,1)))</f>
        <v>0</v>
      </c>
      <c r="AB57" s="20">
        <f>IF(B57="","",IFERROR(ROUND(O57*INDEX(Products!$AR$5:$AR$304,MATCH(B57,Products!$A$5:$A$304,0)),2),""))</f>
        <v>0</v>
      </c>
      <c r="AC57" s="20">
        <f>IF(B57="","",IF(AB57="","",ROUND(AB57-U57,2)))</f>
        <v>0</v>
      </c>
      <c r="AD57" s="32">
        <f>IF(B57="","",IF(OR(D57="",E57=""),"",E57-D57))</f>
        <v>0</v>
      </c>
      <c r="AE57" s="43">
        <f>IF(B57="","",IF(G57="","Planned - nothing made yet",IF(O57=0,"Check - no good units",IF(AND(Y57&lt;&gt;"",Y57&gt;0.15),"Check - costing 15% more than the estimate",IF(AND(P57&lt;&gt;"",P57&gt;DefaultDefect*2),"Check - high failure rate",IF(AND(AA57&lt;&gt;"",AA57&gt;5),"Check - taking longer than estimated",IF(AC57&lt;0,"Loss - this run lost money","OK")))))))</f>
        <v>0</v>
      </c>
    </row>
    <row r="58" spans="1:31">
      <c r="A58" s="38">
        <f>IF(B58="","",BatchPrefix&amp;TEXT(ROW()-4,"0000"))</f>
        <v>0</v>
      </c>
      <c r="C58" s="13">
        <f>IF(B58="","",IFERROR(INDEX(Products!$B$5:$B$304,MATCH(B58,Products!$A$5:$A$304,0)),"Not found"))</f>
        <v>0</v>
      </c>
      <c r="O58" s="32">
        <f>IF(B58="","",MAX(0,IF(G58="",0,G58)-IF(H58="",0,H58)))</f>
        <v>0</v>
      </c>
      <c r="P58" s="33">
        <f>IF(B58="","",IF(OR(G58="",G58=0),"",IF(H58="",0,H58)/G58))</f>
        <v>0</v>
      </c>
      <c r="Q58" s="20">
        <f>IF(B58="","",IFERROR(INDEX(Products!$T$5:$T$304,MATCH(B58,Products!$A$5:$A$304,0)),""))</f>
        <v>0</v>
      </c>
      <c r="R58" s="36">
        <f>IF(B58="","",IFERROR(INDEX(Products!$X$5:$X$304,MATCH(B58,Products!$A$5:$A$304,0)),""))</f>
        <v>0</v>
      </c>
      <c r="S58" s="20">
        <f>IF(B58="","",ROUND(IF(J58&lt;&gt;"",J58,IF(Q58="",0,Q58)*IF(G58="",0,G58)),2))</f>
        <v>0</v>
      </c>
      <c r="T58" s="20">
        <f>IF(B58="","",ROUND(IF(K58&lt;&gt;"",K58,IF(R58="",0,R58)*IF(G58="",0,G58)/60)*LaborCostHour,2))</f>
        <v>0</v>
      </c>
      <c r="U58" s="20">
        <f>IF(B58="","",ROUND(S58+T58+IF(L58="",0,L58)-IF(I58="",0,I58),2))</f>
        <v>0</v>
      </c>
      <c r="V58" s="20">
        <f>IF(B58="","",IF(O58=0,"",ROUND(U58/O58,2)))</f>
        <v>0</v>
      </c>
      <c r="W58" s="20">
        <f>IF(B58="","",IFERROR(INDEX(Products!$AH$5:$AH$304,MATCH(B58,Products!$A$5:$A$304,0)),""))</f>
        <v>0</v>
      </c>
      <c r="X58" s="20">
        <f>IF(B58="","",IF(OR(V58="",W58=""),"",ROUND(V58-W58,2)))</f>
        <v>0</v>
      </c>
      <c r="Y58" s="33">
        <f>IF(B58="","",IF(OR(X58="",W58="",W58=0),"",X58/W58))</f>
        <v>0</v>
      </c>
      <c r="Z58" s="36">
        <f>IF(B58="","",IF(OR(K58="",G58="",G58=0),"",ROUND(K58*60/G58,1)))</f>
        <v>0</v>
      </c>
      <c r="AA58" s="36">
        <f>IF(B58="","",IF(OR(Z58="",R58=""),"",ROUND(Z58-R58,1)))</f>
        <v>0</v>
      </c>
      <c r="AB58" s="20">
        <f>IF(B58="","",IFERROR(ROUND(O58*INDEX(Products!$AR$5:$AR$304,MATCH(B58,Products!$A$5:$A$304,0)),2),""))</f>
        <v>0</v>
      </c>
      <c r="AC58" s="20">
        <f>IF(B58="","",IF(AB58="","",ROUND(AB58-U58,2)))</f>
        <v>0</v>
      </c>
      <c r="AD58" s="32">
        <f>IF(B58="","",IF(OR(D58="",E58=""),"",E58-D58))</f>
        <v>0</v>
      </c>
      <c r="AE58" s="43">
        <f>IF(B58="","",IF(G58="","Planned - nothing made yet",IF(O58=0,"Check - no good units",IF(AND(Y58&lt;&gt;"",Y58&gt;0.15),"Check - costing 15% more than the estimate",IF(AND(P58&lt;&gt;"",P58&gt;DefaultDefect*2),"Check - high failure rate",IF(AND(AA58&lt;&gt;"",AA58&gt;5),"Check - taking longer than estimated",IF(AC58&lt;0,"Loss - this run lost money","OK")))))))</f>
        <v>0</v>
      </c>
    </row>
    <row r="59" spans="1:31">
      <c r="A59" s="38">
        <f>IF(B59="","",BatchPrefix&amp;TEXT(ROW()-4,"0000"))</f>
        <v>0</v>
      </c>
      <c r="C59" s="13">
        <f>IF(B59="","",IFERROR(INDEX(Products!$B$5:$B$304,MATCH(B59,Products!$A$5:$A$304,0)),"Not found"))</f>
        <v>0</v>
      </c>
      <c r="O59" s="32">
        <f>IF(B59="","",MAX(0,IF(G59="",0,G59)-IF(H59="",0,H59)))</f>
        <v>0</v>
      </c>
      <c r="P59" s="33">
        <f>IF(B59="","",IF(OR(G59="",G59=0),"",IF(H59="",0,H59)/G59))</f>
        <v>0</v>
      </c>
      <c r="Q59" s="20">
        <f>IF(B59="","",IFERROR(INDEX(Products!$T$5:$T$304,MATCH(B59,Products!$A$5:$A$304,0)),""))</f>
        <v>0</v>
      </c>
      <c r="R59" s="36">
        <f>IF(B59="","",IFERROR(INDEX(Products!$X$5:$X$304,MATCH(B59,Products!$A$5:$A$304,0)),""))</f>
        <v>0</v>
      </c>
      <c r="S59" s="20">
        <f>IF(B59="","",ROUND(IF(J59&lt;&gt;"",J59,IF(Q59="",0,Q59)*IF(G59="",0,G59)),2))</f>
        <v>0</v>
      </c>
      <c r="T59" s="20">
        <f>IF(B59="","",ROUND(IF(K59&lt;&gt;"",K59,IF(R59="",0,R59)*IF(G59="",0,G59)/60)*LaborCostHour,2))</f>
        <v>0</v>
      </c>
      <c r="U59" s="20">
        <f>IF(B59="","",ROUND(S59+T59+IF(L59="",0,L59)-IF(I59="",0,I59),2))</f>
        <v>0</v>
      </c>
      <c r="V59" s="20">
        <f>IF(B59="","",IF(O59=0,"",ROUND(U59/O59,2)))</f>
        <v>0</v>
      </c>
      <c r="W59" s="20">
        <f>IF(B59="","",IFERROR(INDEX(Products!$AH$5:$AH$304,MATCH(B59,Products!$A$5:$A$304,0)),""))</f>
        <v>0</v>
      </c>
      <c r="X59" s="20">
        <f>IF(B59="","",IF(OR(V59="",W59=""),"",ROUND(V59-W59,2)))</f>
        <v>0</v>
      </c>
      <c r="Y59" s="33">
        <f>IF(B59="","",IF(OR(X59="",W59="",W59=0),"",X59/W59))</f>
        <v>0</v>
      </c>
      <c r="Z59" s="36">
        <f>IF(B59="","",IF(OR(K59="",G59="",G59=0),"",ROUND(K59*60/G59,1)))</f>
        <v>0</v>
      </c>
      <c r="AA59" s="36">
        <f>IF(B59="","",IF(OR(Z59="",R59=""),"",ROUND(Z59-R59,1)))</f>
        <v>0</v>
      </c>
      <c r="AB59" s="20">
        <f>IF(B59="","",IFERROR(ROUND(O59*INDEX(Products!$AR$5:$AR$304,MATCH(B59,Products!$A$5:$A$304,0)),2),""))</f>
        <v>0</v>
      </c>
      <c r="AC59" s="20">
        <f>IF(B59="","",IF(AB59="","",ROUND(AB59-U59,2)))</f>
        <v>0</v>
      </c>
      <c r="AD59" s="32">
        <f>IF(B59="","",IF(OR(D59="",E59=""),"",E59-D59))</f>
        <v>0</v>
      </c>
      <c r="AE59" s="43">
        <f>IF(B59="","",IF(G59="","Planned - nothing made yet",IF(O59=0,"Check - no good units",IF(AND(Y59&lt;&gt;"",Y59&gt;0.15),"Check - costing 15% more than the estimate",IF(AND(P59&lt;&gt;"",P59&gt;DefaultDefect*2),"Check - high failure rate",IF(AND(AA59&lt;&gt;"",AA59&gt;5),"Check - taking longer than estimated",IF(AC59&lt;0,"Loss - this run lost money","OK")))))))</f>
        <v>0</v>
      </c>
    </row>
    <row r="60" spans="1:31">
      <c r="A60" s="38">
        <f>IF(B60="","",BatchPrefix&amp;TEXT(ROW()-4,"0000"))</f>
        <v>0</v>
      </c>
      <c r="C60" s="13">
        <f>IF(B60="","",IFERROR(INDEX(Products!$B$5:$B$304,MATCH(B60,Products!$A$5:$A$304,0)),"Not found"))</f>
        <v>0</v>
      </c>
      <c r="O60" s="32">
        <f>IF(B60="","",MAX(0,IF(G60="",0,G60)-IF(H60="",0,H60)))</f>
        <v>0</v>
      </c>
      <c r="P60" s="33">
        <f>IF(B60="","",IF(OR(G60="",G60=0),"",IF(H60="",0,H60)/G60))</f>
        <v>0</v>
      </c>
      <c r="Q60" s="20">
        <f>IF(B60="","",IFERROR(INDEX(Products!$T$5:$T$304,MATCH(B60,Products!$A$5:$A$304,0)),""))</f>
        <v>0</v>
      </c>
      <c r="R60" s="36">
        <f>IF(B60="","",IFERROR(INDEX(Products!$X$5:$X$304,MATCH(B60,Products!$A$5:$A$304,0)),""))</f>
        <v>0</v>
      </c>
      <c r="S60" s="20">
        <f>IF(B60="","",ROUND(IF(J60&lt;&gt;"",J60,IF(Q60="",0,Q60)*IF(G60="",0,G60)),2))</f>
        <v>0</v>
      </c>
      <c r="T60" s="20">
        <f>IF(B60="","",ROUND(IF(K60&lt;&gt;"",K60,IF(R60="",0,R60)*IF(G60="",0,G60)/60)*LaborCostHour,2))</f>
        <v>0</v>
      </c>
      <c r="U60" s="20">
        <f>IF(B60="","",ROUND(S60+T60+IF(L60="",0,L60)-IF(I60="",0,I60),2))</f>
        <v>0</v>
      </c>
      <c r="V60" s="20">
        <f>IF(B60="","",IF(O60=0,"",ROUND(U60/O60,2)))</f>
        <v>0</v>
      </c>
      <c r="W60" s="20">
        <f>IF(B60="","",IFERROR(INDEX(Products!$AH$5:$AH$304,MATCH(B60,Products!$A$5:$A$304,0)),""))</f>
        <v>0</v>
      </c>
      <c r="X60" s="20">
        <f>IF(B60="","",IF(OR(V60="",W60=""),"",ROUND(V60-W60,2)))</f>
        <v>0</v>
      </c>
      <c r="Y60" s="33">
        <f>IF(B60="","",IF(OR(X60="",W60="",W60=0),"",X60/W60))</f>
        <v>0</v>
      </c>
      <c r="Z60" s="36">
        <f>IF(B60="","",IF(OR(K60="",G60="",G60=0),"",ROUND(K60*60/G60,1)))</f>
        <v>0</v>
      </c>
      <c r="AA60" s="36">
        <f>IF(B60="","",IF(OR(Z60="",R60=""),"",ROUND(Z60-R60,1)))</f>
        <v>0</v>
      </c>
      <c r="AB60" s="20">
        <f>IF(B60="","",IFERROR(ROUND(O60*INDEX(Products!$AR$5:$AR$304,MATCH(B60,Products!$A$5:$A$304,0)),2),""))</f>
        <v>0</v>
      </c>
      <c r="AC60" s="20">
        <f>IF(B60="","",IF(AB60="","",ROUND(AB60-U60,2)))</f>
        <v>0</v>
      </c>
      <c r="AD60" s="32">
        <f>IF(B60="","",IF(OR(D60="",E60=""),"",E60-D60))</f>
        <v>0</v>
      </c>
      <c r="AE60" s="43">
        <f>IF(B60="","",IF(G60="","Planned - nothing made yet",IF(O60=0,"Check - no good units",IF(AND(Y60&lt;&gt;"",Y60&gt;0.15),"Check - costing 15% more than the estimate",IF(AND(P60&lt;&gt;"",P60&gt;DefaultDefect*2),"Check - high failure rate",IF(AND(AA60&lt;&gt;"",AA60&gt;5),"Check - taking longer than estimated",IF(AC60&lt;0,"Loss - this run lost money","OK")))))))</f>
        <v>0</v>
      </c>
    </row>
    <row r="61" spans="1:31">
      <c r="A61" s="38">
        <f>IF(B61="","",BatchPrefix&amp;TEXT(ROW()-4,"0000"))</f>
        <v>0</v>
      </c>
      <c r="C61" s="13">
        <f>IF(B61="","",IFERROR(INDEX(Products!$B$5:$B$304,MATCH(B61,Products!$A$5:$A$304,0)),"Not found"))</f>
        <v>0</v>
      </c>
      <c r="O61" s="32">
        <f>IF(B61="","",MAX(0,IF(G61="",0,G61)-IF(H61="",0,H61)))</f>
        <v>0</v>
      </c>
      <c r="P61" s="33">
        <f>IF(B61="","",IF(OR(G61="",G61=0),"",IF(H61="",0,H61)/G61))</f>
        <v>0</v>
      </c>
      <c r="Q61" s="20">
        <f>IF(B61="","",IFERROR(INDEX(Products!$T$5:$T$304,MATCH(B61,Products!$A$5:$A$304,0)),""))</f>
        <v>0</v>
      </c>
      <c r="R61" s="36">
        <f>IF(B61="","",IFERROR(INDEX(Products!$X$5:$X$304,MATCH(B61,Products!$A$5:$A$304,0)),""))</f>
        <v>0</v>
      </c>
      <c r="S61" s="20">
        <f>IF(B61="","",ROUND(IF(J61&lt;&gt;"",J61,IF(Q61="",0,Q61)*IF(G61="",0,G61)),2))</f>
        <v>0</v>
      </c>
      <c r="T61" s="20">
        <f>IF(B61="","",ROUND(IF(K61&lt;&gt;"",K61,IF(R61="",0,R61)*IF(G61="",0,G61)/60)*LaborCostHour,2))</f>
        <v>0</v>
      </c>
      <c r="U61" s="20">
        <f>IF(B61="","",ROUND(S61+T61+IF(L61="",0,L61)-IF(I61="",0,I61),2))</f>
        <v>0</v>
      </c>
      <c r="V61" s="20">
        <f>IF(B61="","",IF(O61=0,"",ROUND(U61/O61,2)))</f>
        <v>0</v>
      </c>
      <c r="W61" s="20">
        <f>IF(B61="","",IFERROR(INDEX(Products!$AH$5:$AH$304,MATCH(B61,Products!$A$5:$A$304,0)),""))</f>
        <v>0</v>
      </c>
      <c r="X61" s="20">
        <f>IF(B61="","",IF(OR(V61="",W61=""),"",ROUND(V61-W61,2)))</f>
        <v>0</v>
      </c>
      <c r="Y61" s="33">
        <f>IF(B61="","",IF(OR(X61="",W61="",W61=0),"",X61/W61))</f>
        <v>0</v>
      </c>
      <c r="Z61" s="36">
        <f>IF(B61="","",IF(OR(K61="",G61="",G61=0),"",ROUND(K61*60/G61,1)))</f>
        <v>0</v>
      </c>
      <c r="AA61" s="36">
        <f>IF(B61="","",IF(OR(Z61="",R61=""),"",ROUND(Z61-R61,1)))</f>
        <v>0</v>
      </c>
      <c r="AB61" s="20">
        <f>IF(B61="","",IFERROR(ROUND(O61*INDEX(Products!$AR$5:$AR$304,MATCH(B61,Products!$A$5:$A$304,0)),2),""))</f>
        <v>0</v>
      </c>
      <c r="AC61" s="20">
        <f>IF(B61="","",IF(AB61="","",ROUND(AB61-U61,2)))</f>
        <v>0</v>
      </c>
      <c r="AD61" s="32">
        <f>IF(B61="","",IF(OR(D61="",E61=""),"",E61-D61))</f>
        <v>0</v>
      </c>
      <c r="AE61" s="43">
        <f>IF(B61="","",IF(G61="","Planned - nothing made yet",IF(O61=0,"Check - no good units",IF(AND(Y61&lt;&gt;"",Y61&gt;0.15),"Check - costing 15% more than the estimate",IF(AND(P61&lt;&gt;"",P61&gt;DefaultDefect*2),"Check - high failure rate",IF(AND(AA61&lt;&gt;"",AA61&gt;5),"Check - taking longer than estimated",IF(AC61&lt;0,"Loss - this run lost money","OK")))))))</f>
        <v>0</v>
      </c>
    </row>
    <row r="62" spans="1:31">
      <c r="A62" s="38">
        <f>IF(B62="","",BatchPrefix&amp;TEXT(ROW()-4,"0000"))</f>
        <v>0</v>
      </c>
      <c r="C62" s="13">
        <f>IF(B62="","",IFERROR(INDEX(Products!$B$5:$B$304,MATCH(B62,Products!$A$5:$A$304,0)),"Not found"))</f>
        <v>0</v>
      </c>
      <c r="O62" s="32">
        <f>IF(B62="","",MAX(0,IF(G62="",0,G62)-IF(H62="",0,H62)))</f>
        <v>0</v>
      </c>
      <c r="P62" s="33">
        <f>IF(B62="","",IF(OR(G62="",G62=0),"",IF(H62="",0,H62)/G62))</f>
        <v>0</v>
      </c>
      <c r="Q62" s="20">
        <f>IF(B62="","",IFERROR(INDEX(Products!$T$5:$T$304,MATCH(B62,Products!$A$5:$A$304,0)),""))</f>
        <v>0</v>
      </c>
      <c r="R62" s="36">
        <f>IF(B62="","",IFERROR(INDEX(Products!$X$5:$X$304,MATCH(B62,Products!$A$5:$A$304,0)),""))</f>
        <v>0</v>
      </c>
      <c r="S62" s="20">
        <f>IF(B62="","",ROUND(IF(J62&lt;&gt;"",J62,IF(Q62="",0,Q62)*IF(G62="",0,G62)),2))</f>
        <v>0</v>
      </c>
      <c r="T62" s="20">
        <f>IF(B62="","",ROUND(IF(K62&lt;&gt;"",K62,IF(R62="",0,R62)*IF(G62="",0,G62)/60)*LaborCostHour,2))</f>
        <v>0</v>
      </c>
      <c r="U62" s="20">
        <f>IF(B62="","",ROUND(S62+T62+IF(L62="",0,L62)-IF(I62="",0,I62),2))</f>
        <v>0</v>
      </c>
      <c r="V62" s="20">
        <f>IF(B62="","",IF(O62=0,"",ROUND(U62/O62,2)))</f>
        <v>0</v>
      </c>
      <c r="W62" s="20">
        <f>IF(B62="","",IFERROR(INDEX(Products!$AH$5:$AH$304,MATCH(B62,Products!$A$5:$A$304,0)),""))</f>
        <v>0</v>
      </c>
      <c r="X62" s="20">
        <f>IF(B62="","",IF(OR(V62="",W62=""),"",ROUND(V62-W62,2)))</f>
        <v>0</v>
      </c>
      <c r="Y62" s="33">
        <f>IF(B62="","",IF(OR(X62="",W62="",W62=0),"",X62/W62))</f>
        <v>0</v>
      </c>
      <c r="Z62" s="36">
        <f>IF(B62="","",IF(OR(K62="",G62="",G62=0),"",ROUND(K62*60/G62,1)))</f>
        <v>0</v>
      </c>
      <c r="AA62" s="36">
        <f>IF(B62="","",IF(OR(Z62="",R62=""),"",ROUND(Z62-R62,1)))</f>
        <v>0</v>
      </c>
      <c r="AB62" s="20">
        <f>IF(B62="","",IFERROR(ROUND(O62*INDEX(Products!$AR$5:$AR$304,MATCH(B62,Products!$A$5:$A$304,0)),2),""))</f>
        <v>0</v>
      </c>
      <c r="AC62" s="20">
        <f>IF(B62="","",IF(AB62="","",ROUND(AB62-U62,2)))</f>
        <v>0</v>
      </c>
      <c r="AD62" s="32">
        <f>IF(B62="","",IF(OR(D62="",E62=""),"",E62-D62))</f>
        <v>0</v>
      </c>
      <c r="AE62" s="43">
        <f>IF(B62="","",IF(G62="","Planned - nothing made yet",IF(O62=0,"Check - no good units",IF(AND(Y62&lt;&gt;"",Y62&gt;0.15),"Check - costing 15% more than the estimate",IF(AND(P62&lt;&gt;"",P62&gt;DefaultDefect*2),"Check - high failure rate",IF(AND(AA62&lt;&gt;"",AA62&gt;5),"Check - taking longer than estimated",IF(AC62&lt;0,"Loss - this run lost money","OK")))))))</f>
        <v>0</v>
      </c>
    </row>
    <row r="63" spans="1:31">
      <c r="A63" s="38">
        <f>IF(B63="","",BatchPrefix&amp;TEXT(ROW()-4,"0000"))</f>
        <v>0</v>
      </c>
      <c r="C63" s="13">
        <f>IF(B63="","",IFERROR(INDEX(Products!$B$5:$B$304,MATCH(B63,Products!$A$5:$A$304,0)),"Not found"))</f>
        <v>0</v>
      </c>
      <c r="O63" s="32">
        <f>IF(B63="","",MAX(0,IF(G63="",0,G63)-IF(H63="",0,H63)))</f>
        <v>0</v>
      </c>
      <c r="P63" s="33">
        <f>IF(B63="","",IF(OR(G63="",G63=0),"",IF(H63="",0,H63)/G63))</f>
        <v>0</v>
      </c>
      <c r="Q63" s="20">
        <f>IF(B63="","",IFERROR(INDEX(Products!$T$5:$T$304,MATCH(B63,Products!$A$5:$A$304,0)),""))</f>
        <v>0</v>
      </c>
      <c r="R63" s="36">
        <f>IF(B63="","",IFERROR(INDEX(Products!$X$5:$X$304,MATCH(B63,Products!$A$5:$A$304,0)),""))</f>
        <v>0</v>
      </c>
      <c r="S63" s="20">
        <f>IF(B63="","",ROUND(IF(J63&lt;&gt;"",J63,IF(Q63="",0,Q63)*IF(G63="",0,G63)),2))</f>
        <v>0</v>
      </c>
      <c r="T63" s="20">
        <f>IF(B63="","",ROUND(IF(K63&lt;&gt;"",K63,IF(R63="",0,R63)*IF(G63="",0,G63)/60)*LaborCostHour,2))</f>
        <v>0</v>
      </c>
      <c r="U63" s="20">
        <f>IF(B63="","",ROUND(S63+T63+IF(L63="",0,L63)-IF(I63="",0,I63),2))</f>
        <v>0</v>
      </c>
      <c r="V63" s="20">
        <f>IF(B63="","",IF(O63=0,"",ROUND(U63/O63,2)))</f>
        <v>0</v>
      </c>
      <c r="W63" s="20">
        <f>IF(B63="","",IFERROR(INDEX(Products!$AH$5:$AH$304,MATCH(B63,Products!$A$5:$A$304,0)),""))</f>
        <v>0</v>
      </c>
      <c r="X63" s="20">
        <f>IF(B63="","",IF(OR(V63="",W63=""),"",ROUND(V63-W63,2)))</f>
        <v>0</v>
      </c>
      <c r="Y63" s="33">
        <f>IF(B63="","",IF(OR(X63="",W63="",W63=0),"",X63/W63))</f>
        <v>0</v>
      </c>
      <c r="Z63" s="36">
        <f>IF(B63="","",IF(OR(K63="",G63="",G63=0),"",ROUND(K63*60/G63,1)))</f>
        <v>0</v>
      </c>
      <c r="AA63" s="36">
        <f>IF(B63="","",IF(OR(Z63="",R63=""),"",ROUND(Z63-R63,1)))</f>
        <v>0</v>
      </c>
      <c r="AB63" s="20">
        <f>IF(B63="","",IFERROR(ROUND(O63*INDEX(Products!$AR$5:$AR$304,MATCH(B63,Products!$A$5:$A$304,0)),2),""))</f>
        <v>0</v>
      </c>
      <c r="AC63" s="20">
        <f>IF(B63="","",IF(AB63="","",ROUND(AB63-U63,2)))</f>
        <v>0</v>
      </c>
      <c r="AD63" s="32">
        <f>IF(B63="","",IF(OR(D63="",E63=""),"",E63-D63))</f>
        <v>0</v>
      </c>
      <c r="AE63" s="43">
        <f>IF(B63="","",IF(G63="","Planned - nothing made yet",IF(O63=0,"Check - no good units",IF(AND(Y63&lt;&gt;"",Y63&gt;0.15),"Check - costing 15% more than the estimate",IF(AND(P63&lt;&gt;"",P63&gt;DefaultDefect*2),"Check - high failure rate",IF(AND(AA63&lt;&gt;"",AA63&gt;5),"Check - taking longer than estimated",IF(AC63&lt;0,"Loss - this run lost money","OK")))))))</f>
        <v>0</v>
      </c>
    </row>
    <row r="64" spans="1:31">
      <c r="A64" s="38">
        <f>IF(B64="","",BatchPrefix&amp;TEXT(ROW()-4,"0000"))</f>
        <v>0</v>
      </c>
      <c r="C64" s="13">
        <f>IF(B64="","",IFERROR(INDEX(Products!$B$5:$B$304,MATCH(B64,Products!$A$5:$A$304,0)),"Not found"))</f>
        <v>0</v>
      </c>
      <c r="O64" s="32">
        <f>IF(B64="","",MAX(0,IF(G64="",0,G64)-IF(H64="",0,H64)))</f>
        <v>0</v>
      </c>
      <c r="P64" s="33">
        <f>IF(B64="","",IF(OR(G64="",G64=0),"",IF(H64="",0,H64)/G64))</f>
        <v>0</v>
      </c>
      <c r="Q64" s="20">
        <f>IF(B64="","",IFERROR(INDEX(Products!$T$5:$T$304,MATCH(B64,Products!$A$5:$A$304,0)),""))</f>
        <v>0</v>
      </c>
      <c r="R64" s="36">
        <f>IF(B64="","",IFERROR(INDEX(Products!$X$5:$X$304,MATCH(B64,Products!$A$5:$A$304,0)),""))</f>
        <v>0</v>
      </c>
      <c r="S64" s="20">
        <f>IF(B64="","",ROUND(IF(J64&lt;&gt;"",J64,IF(Q64="",0,Q64)*IF(G64="",0,G64)),2))</f>
        <v>0</v>
      </c>
      <c r="T64" s="20">
        <f>IF(B64="","",ROUND(IF(K64&lt;&gt;"",K64,IF(R64="",0,R64)*IF(G64="",0,G64)/60)*LaborCostHour,2))</f>
        <v>0</v>
      </c>
      <c r="U64" s="20">
        <f>IF(B64="","",ROUND(S64+T64+IF(L64="",0,L64)-IF(I64="",0,I64),2))</f>
        <v>0</v>
      </c>
      <c r="V64" s="20">
        <f>IF(B64="","",IF(O64=0,"",ROUND(U64/O64,2)))</f>
        <v>0</v>
      </c>
      <c r="W64" s="20">
        <f>IF(B64="","",IFERROR(INDEX(Products!$AH$5:$AH$304,MATCH(B64,Products!$A$5:$A$304,0)),""))</f>
        <v>0</v>
      </c>
      <c r="X64" s="20">
        <f>IF(B64="","",IF(OR(V64="",W64=""),"",ROUND(V64-W64,2)))</f>
        <v>0</v>
      </c>
      <c r="Y64" s="33">
        <f>IF(B64="","",IF(OR(X64="",W64="",W64=0),"",X64/W64))</f>
        <v>0</v>
      </c>
      <c r="Z64" s="36">
        <f>IF(B64="","",IF(OR(K64="",G64="",G64=0),"",ROUND(K64*60/G64,1)))</f>
        <v>0</v>
      </c>
      <c r="AA64" s="36">
        <f>IF(B64="","",IF(OR(Z64="",R64=""),"",ROUND(Z64-R64,1)))</f>
        <v>0</v>
      </c>
      <c r="AB64" s="20">
        <f>IF(B64="","",IFERROR(ROUND(O64*INDEX(Products!$AR$5:$AR$304,MATCH(B64,Products!$A$5:$A$304,0)),2),""))</f>
        <v>0</v>
      </c>
      <c r="AC64" s="20">
        <f>IF(B64="","",IF(AB64="","",ROUND(AB64-U64,2)))</f>
        <v>0</v>
      </c>
      <c r="AD64" s="32">
        <f>IF(B64="","",IF(OR(D64="",E64=""),"",E64-D64))</f>
        <v>0</v>
      </c>
      <c r="AE64" s="43">
        <f>IF(B64="","",IF(G64="","Planned - nothing made yet",IF(O64=0,"Check - no good units",IF(AND(Y64&lt;&gt;"",Y64&gt;0.15),"Check - costing 15% more than the estimate",IF(AND(P64&lt;&gt;"",P64&gt;DefaultDefect*2),"Check - high failure rate",IF(AND(AA64&lt;&gt;"",AA64&gt;5),"Check - taking longer than estimated",IF(AC64&lt;0,"Loss - this run lost money","OK")))))))</f>
        <v>0</v>
      </c>
    </row>
    <row r="65" spans="1:31">
      <c r="A65" s="38">
        <f>IF(B65="","",BatchPrefix&amp;TEXT(ROW()-4,"0000"))</f>
        <v>0</v>
      </c>
      <c r="C65" s="13">
        <f>IF(B65="","",IFERROR(INDEX(Products!$B$5:$B$304,MATCH(B65,Products!$A$5:$A$304,0)),"Not found"))</f>
        <v>0</v>
      </c>
      <c r="O65" s="32">
        <f>IF(B65="","",MAX(0,IF(G65="",0,G65)-IF(H65="",0,H65)))</f>
        <v>0</v>
      </c>
      <c r="P65" s="33">
        <f>IF(B65="","",IF(OR(G65="",G65=0),"",IF(H65="",0,H65)/G65))</f>
        <v>0</v>
      </c>
      <c r="Q65" s="20">
        <f>IF(B65="","",IFERROR(INDEX(Products!$T$5:$T$304,MATCH(B65,Products!$A$5:$A$304,0)),""))</f>
        <v>0</v>
      </c>
      <c r="R65" s="36">
        <f>IF(B65="","",IFERROR(INDEX(Products!$X$5:$X$304,MATCH(B65,Products!$A$5:$A$304,0)),""))</f>
        <v>0</v>
      </c>
      <c r="S65" s="20">
        <f>IF(B65="","",ROUND(IF(J65&lt;&gt;"",J65,IF(Q65="",0,Q65)*IF(G65="",0,G65)),2))</f>
        <v>0</v>
      </c>
      <c r="T65" s="20">
        <f>IF(B65="","",ROUND(IF(K65&lt;&gt;"",K65,IF(R65="",0,R65)*IF(G65="",0,G65)/60)*LaborCostHour,2))</f>
        <v>0</v>
      </c>
      <c r="U65" s="20">
        <f>IF(B65="","",ROUND(S65+T65+IF(L65="",0,L65)-IF(I65="",0,I65),2))</f>
        <v>0</v>
      </c>
      <c r="V65" s="20">
        <f>IF(B65="","",IF(O65=0,"",ROUND(U65/O65,2)))</f>
        <v>0</v>
      </c>
      <c r="W65" s="20">
        <f>IF(B65="","",IFERROR(INDEX(Products!$AH$5:$AH$304,MATCH(B65,Products!$A$5:$A$304,0)),""))</f>
        <v>0</v>
      </c>
      <c r="X65" s="20">
        <f>IF(B65="","",IF(OR(V65="",W65=""),"",ROUND(V65-W65,2)))</f>
        <v>0</v>
      </c>
      <c r="Y65" s="33">
        <f>IF(B65="","",IF(OR(X65="",W65="",W65=0),"",X65/W65))</f>
        <v>0</v>
      </c>
      <c r="Z65" s="36">
        <f>IF(B65="","",IF(OR(K65="",G65="",G65=0),"",ROUND(K65*60/G65,1)))</f>
        <v>0</v>
      </c>
      <c r="AA65" s="36">
        <f>IF(B65="","",IF(OR(Z65="",R65=""),"",ROUND(Z65-R65,1)))</f>
        <v>0</v>
      </c>
      <c r="AB65" s="20">
        <f>IF(B65="","",IFERROR(ROUND(O65*INDEX(Products!$AR$5:$AR$304,MATCH(B65,Products!$A$5:$A$304,0)),2),""))</f>
        <v>0</v>
      </c>
      <c r="AC65" s="20">
        <f>IF(B65="","",IF(AB65="","",ROUND(AB65-U65,2)))</f>
        <v>0</v>
      </c>
      <c r="AD65" s="32">
        <f>IF(B65="","",IF(OR(D65="",E65=""),"",E65-D65))</f>
        <v>0</v>
      </c>
      <c r="AE65" s="43">
        <f>IF(B65="","",IF(G65="","Planned - nothing made yet",IF(O65=0,"Check - no good units",IF(AND(Y65&lt;&gt;"",Y65&gt;0.15),"Check - costing 15% more than the estimate",IF(AND(P65&lt;&gt;"",P65&gt;DefaultDefect*2),"Check - high failure rate",IF(AND(AA65&lt;&gt;"",AA65&gt;5),"Check - taking longer than estimated",IF(AC65&lt;0,"Loss - this run lost money","OK")))))))</f>
        <v>0</v>
      </c>
    </row>
    <row r="66" spans="1:31">
      <c r="A66" s="38">
        <f>IF(B66="","",BatchPrefix&amp;TEXT(ROW()-4,"0000"))</f>
        <v>0</v>
      </c>
      <c r="C66" s="13">
        <f>IF(B66="","",IFERROR(INDEX(Products!$B$5:$B$304,MATCH(B66,Products!$A$5:$A$304,0)),"Not found"))</f>
        <v>0</v>
      </c>
      <c r="O66" s="32">
        <f>IF(B66="","",MAX(0,IF(G66="",0,G66)-IF(H66="",0,H66)))</f>
        <v>0</v>
      </c>
      <c r="P66" s="33">
        <f>IF(B66="","",IF(OR(G66="",G66=0),"",IF(H66="",0,H66)/G66))</f>
        <v>0</v>
      </c>
      <c r="Q66" s="20">
        <f>IF(B66="","",IFERROR(INDEX(Products!$T$5:$T$304,MATCH(B66,Products!$A$5:$A$304,0)),""))</f>
        <v>0</v>
      </c>
      <c r="R66" s="36">
        <f>IF(B66="","",IFERROR(INDEX(Products!$X$5:$X$304,MATCH(B66,Products!$A$5:$A$304,0)),""))</f>
        <v>0</v>
      </c>
      <c r="S66" s="20">
        <f>IF(B66="","",ROUND(IF(J66&lt;&gt;"",J66,IF(Q66="",0,Q66)*IF(G66="",0,G66)),2))</f>
        <v>0</v>
      </c>
      <c r="T66" s="20">
        <f>IF(B66="","",ROUND(IF(K66&lt;&gt;"",K66,IF(R66="",0,R66)*IF(G66="",0,G66)/60)*LaborCostHour,2))</f>
        <v>0</v>
      </c>
      <c r="U66" s="20">
        <f>IF(B66="","",ROUND(S66+T66+IF(L66="",0,L66)-IF(I66="",0,I66),2))</f>
        <v>0</v>
      </c>
      <c r="V66" s="20">
        <f>IF(B66="","",IF(O66=0,"",ROUND(U66/O66,2)))</f>
        <v>0</v>
      </c>
      <c r="W66" s="20">
        <f>IF(B66="","",IFERROR(INDEX(Products!$AH$5:$AH$304,MATCH(B66,Products!$A$5:$A$304,0)),""))</f>
        <v>0</v>
      </c>
      <c r="X66" s="20">
        <f>IF(B66="","",IF(OR(V66="",W66=""),"",ROUND(V66-W66,2)))</f>
        <v>0</v>
      </c>
      <c r="Y66" s="33">
        <f>IF(B66="","",IF(OR(X66="",W66="",W66=0),"",X66/W66))</f>
        <v>0</v>
      </c>
      <c r="Z66" s="36">
        <f>IF(B66="","",IF(OR(K66="",G66="",G66=0),"",ROUND(K66*60/G66,1)))</f>
        <v>0</v>
      </c>
      <c r="AA66" s="36">
        <f>IF(B66="","",IF(OR(Z66="",R66=""),"",ROUND(Z66-R66,1)))</f>
        <v>0</v>
      </c>
      <c r="AB66" s="20">
        <f>IF(B66="","",IFERROR(ROUND(O66*INDEX(Products!$AR$5:$AR$304,MATCH(B66,Products!$A$5:$A$304,0)),2),""))</f>
        <v>0</v>
      </c>
      <c r="AC66" s="20">
        <f>IF(B66="","",IF(AB66="","",ROUND(AB66-U66,2)))</f>
        <v>0</v>
      </c>
      <c r="AD66" s="32">
        <f>IF(B66="","",IF(OR(D66="",E66=""),"",E66-D66))</f>
        <v>0</v>
      </c>
      <c r="AE66" s="43">
        <f>IF(B66="","",IF(G66="","Planned - nothing made yet",IF(O66=0,"Check - no good units",IF(AND(Y66&lt;&gt;"",Y66&gt;0.15),"Check - costing 15% more than the estimate",IF(AND(P66&lt;&gt;"",P66&gt;DefaultDefect*2),"Check - high failure rate",IF(AND(AA66&lt;&gt;"",AA66&gt;5),"Check - taking longer than estimated",IF(AC66&lt;0,"Loss - this run lost money","OK")))))))</f>
        <v>0</v>
      </c>
    </row>
    <row r="67" spans="1:31">
      <c r="A67" s="38">
        <f>IF(B67="","",BatchPrefix&amp;TEXT(ROW()-4,"0000"))</f>
        <v>0</v>
      </c>
      <c r="C67" s="13">
        <f>IF(B67="","",IFERROR(INDEX(Products!$B$5:$B$304,MATCH(B67,Products!$A$5:$A$304,0)),"Not found"))</f>
        <v>0</v>
      </c>
      <c r="O67" s="32">
        <f>IF(B67="","",MAX(0,IF(G67="",0,G67)-IF(H67="",0,H67)))</f>
        <v>0</v>
      </c>
      <c r="P67" s="33">
        <f>IF(B67="","",IF(OR(G67="",G67=0),"",IF(H67="",0,H67)/G67))</f>
        <v>0</v>
      </c>
      <c r="Q67" s="20">
        <f>IF(B67="","",IFERROR(INDEX(Products!$T$5:$T$304,MATCH(B67,Products!$A$5:$A$304,0)),""))</f>
        <v>0</v>
      </c>
      <c r="R67" s="36">
        <f>IF(B67="","",IFERROR(INDEX(Products!$X$5:$X$304,MATCH(B67,Products!$A$5:$A$304,0)),""))</f>
        <v>0</v>
      </c>
      <c r="S67" s="20">
        <f>IF(B67="","",ROUND(IF(J67&lt;&gt;"",J67,IF(Q67="",0,Q67)*IF(G67="",0,G67)),2))</f>
        <v>0</v>
      </c>
      <c r="T67" s="20">
        <f>IF(B67="","",ROUND(IF(K67&lt;&gt;"",K67,IF(R67="",0,R67)*IF(G67="",0,G67)/60)*LaborCostHour,2))</f>
        <v>0</v>
      </c>
      <c r="U67" s="20">
        <f>IF(B67="","",ROUND(S67+T67+IF(L67="",0,L67)-IF(I67="",0,I67),2))</f>
        <v>0</v>
      </c>
      <c r="V67" s="20">
        <f>IF(B67="","",IF(O67=0,"",ROUND(U67/O67,2)))</f>
        <v>0</v>
      </c>
      <c r="W67" s="20">
        <f>IF(B67="","",IFERROR(INDEX(Products!$AH$5:$AH$304,MATCH(B67,Products!$A$5:$A$304,0)),""))</f>
        <v>0</v>
      </c>
      <c r="X67" s="20">
        <f>IF(B67="","",IF(OR(V67="",W67=""),"",ROUND(V67-W67,2)))</f>
        <v>0</v>
      </c>
      <c r="Y67" s="33">
        <f>IF(B67="","",IF(OR(X67="",W67="",W67=0),"",X67/W67))</f>
        <v>0</v>
      </c>
      <c r="Z67" s="36">
        <f>IF(B67="","",IF(OR(K67="",G67="",G67=0),"",ROUND(K67*60/G67,1)))</f>
        <v>0</v>
      </c>
      <c r="AA67" s="36">
        <f>IF(B67="","",IF(OR(Z67="",R67=""),"",ROUND(Z67-R67,1)))</f>
        <v>0</v>
      </c>
      <c r="AB67" s="20">
        <f>IF(B67="","",IFERROR(ROUND(O67*INDEX(Products!$AR$5:$AR$304,MATCH(B67,Products!$A$5:$A$304,0)),2),""))</f>
        <v>0</v>
      </c>
      <c r="AC67" s="20">
        <f>IF(B67="","",IF(AB67="","",ROUND(AB67-U67,2)))</f>
        <v>0</v>
      </c>
      <c r="AD67" s="32">
        <f>IF(B67="","",IF(OR(D67="",E67=""),"",E67-D67))</f>
        <v>0</v>
      </c>
      <c r="AE67" s="43">
        <f>IF(B67="","",IF(G67="","Planned - nothing made yet",IF(O67=0,"Check - no good units",IF(AND(Y67&lt;&gt;"",Y67&gt;0.15),"Check - costing 15% more than the estimate",IF(AND(P67&lt;&gt;"",P67&gt;DefaultDefect*2),"Check - high failure rate",IF(AND(AA67&lt;&gt;"",AA67&gt;5),"Check - taking longer than estimated",IF(AC67&lt;0,"Loss - this run lost money","OK")))))))</f>
        <v>0</v>
      </c>
    </row>
    <row r="68" spans="1:31">
      <c r="A68" s="38">
        <f>IF(B68="","",BatchPrefix&amp;TEXT(ROW()-4,"0000"))</f>
        <v>0</v>
      </c>
      <c r="C68" s="13">
        <f>IF(B68="","",IFERROR(INDEX(Products!$B$5:$B$304,MATCH(B68,Products!$A$5:$A$304,0)),"Not found"))</f>
        <v>0</v>
      </c>
      <c r="O68" s="32">
        <f>IF(B68="","",MAX(0,IF(G68="",0,G68)-IF(H68="",0,H68)))</f>
        <v>0</v>
      </c>
      <c r="P68" s="33">
        <f>IF(B68="","",IF(OR(G68="",G68=0),"",IF(H68="",0,H68)/G68))</f>
        <v>0</v>
      </c>
      <c r="Q68" s="20">
        <f>IF(B68="","",IFERROR(INDEX(Products!$T$5:$T$304,MATCH(B68,Products!$A$5:$A$304,0)),""))</f>
        <v>0</v>
      </c>
      <c r="R68" s="36">
        <f>IF(B68="","",IFERROR(INDEX(Products!$X$5:$X$304,MATCH(B68,Products!$A$5:$A$304,0)),""))</f>
        <v>0</v>
      </c>
      <c r="S68" s="20">
        <f>IF(B68="","",ROUND(IF(J68&lt;&gt;"",J68,IF(Q68="",0,Q68)*IF(G68="",0,G68)),2))</f>
        <v>0</v>
      </c>
      <c r="T68" s="20">
        <f>IF(B68="","",ROUND(IF(K68&lt;&gt;"",K68,IF(R68="",0,R68)*IF(G68="",0,G68)/60)*LaborCostHour,2))</f>
        <v>0</v>
      </c>
      <c r="U68" s="20">
        <f>IF(B68="","",ROUND(S68+T68+IF(L68="",0,L68)-IF(I68="",0,I68),2))</f>
        <v>0</v>
      </c>
      <c r="V68" s="20">
        <f>IF(B68="","",IF(O68=0,"",ROUND(U68/O68,2)))</f>
        <v>0</v>
      </c>
      <c r="W68" s="20">
        <f>IF(B68="","",IFERROR(INDEX(Products!$AH$5:$AH$304,MATCH(B68,Products!$A$5:$A$304,0)),""))</f>
        <v>0</v>
      </c>
      <c r="X68" s="20">
        <f>IF(B68="","",IF(OR(V68="",W68=""),"",ROUND(V68-W68,2)))</f>
        <v>0</v>
      </c>
      <c r="Y68" s="33">
        <f>IF(B68="","",IF(OR(X68="",W68="",W68=0),"",X68/W68))</f>
        <v>0</v>
      </c>
      <c r="Z68" s="36">
        <f>IF(B68="","",IF(OR(K68="",G68="",G68=0),"",ROUND(K68*60/G68,1)))</f>
        <v>0</v>
      </c>
      <c r="AA68" s="36">
        <f>IF(B68="","",IF(OR(Z68="",R68=""),"",ROUND(Z68-R68,1)))</f>
        <v>0</v>
      </c>
      <c r="AB68" s="20">
        <f>IF(B68="","",IFERROR(ROUND(O68*INDEX(Products!$AR$5:$AR$304,MATCH(B68,Products!$A$5:$A$304,0)),2),""))</f>
        <v>0</v>
      </c>
      <c r="AC68" s="20">
        <f>IF(B68="","",IF(AB68="","",ROUND(AB68-U68,2)))</f>
        <v>0</v>
      </c>
      <c r="AD68" s="32">
        <f>IF(B68="","",IF(OR(D68="",E68=""),"",E68-D68))</f>
        <v>0</v>
      </c>
      <c r="AE68" s="43">
        <f>IF(B68="","",IF(G68="","Planned - nothing made yet",IF(O68=0,"Check - no good units",IF(AND(Y68&lt;&gt;"",Y68&gt;0.15),"Check - costing 15% more than the estimate",IF(AND(P68&lt;&gt;"",P68&gt;DefaultDefect*2),"Check - high failure rate",IF(AND(AA68&lt;&gt;"",AA68&gt;5),"Check - taking longer than estimated",IF(AC68&lt;0,"Loss - this run lost money","OK")))))))</f>
        <v>0</v>
      </c>
    </row>
    <row r="69" spans="1:31">
      <c r="A69" s="38">
        <f>IF(B69="","",BatchPrefix&amp;TEXT(ROW()-4,"0000"))</f>
        <v>0</v>
      </c>
      <c r="C69" s="13">
        <f>IF(B69="","",IFERROR(INDEX(Products!$B$5:$B$304,MATCH(B69,Products!$A$5:$A$304,0)),"Not found"))</f>
        <v>0</v>
      </c>
      <c r="O69" s="32">
        <f>IF(B69="","",MAX(0,IF(G69="",0,G69)-IF(H69="",0,H69)))</f>
        <v>0</v>
      </c>
      <c r="P69" s="33">
        <f>IF(B69="","",IF(OR(G69="",G69=0),"",IF(H69="",0,H69)/G69))</f>
        <v>0</v>
      </c>
      <c r="Q69" s="20">
        <f>IF(B69="","",IFERROR(INDEX(Products!$T$5:$T$304,MATCH(B69,Products!$A$5:$A$304,0)),""))</f>
        <v>0</v>
      </c>
      <c r="R69" s="36">
        <f>IF(B69="","",IFERROR(INDEX(Products!$X$5:$X$304,MATCH(B69,Products!$A$5:$A$304,0)),""))</f>
        <v>0</v>
      </c>
      <c r="S69" s="20">
        <f>IF(B69="","",ROUND(IF(J69&lt;&gt;"",J69,IF(Q69="",0,Q69)*IF(G69="",0,G69)),2))</f>
        <v>0</v>
      </c>
      <c r="T69" s="20">
        <f>IF(B69="","",ROUND(IF(K69&lt;&gt;"",K69,IF(R69="",0,R69)*IF(G69="",0,G69)/60)*LaborCostHour,2))</f>
        <v>0</v>
      </c>
      <c r="U69" s="20">
        <f>IF(B69="","",ROUND(S69+T69+IF(L69="",0,L69)-IF(I69="",0,I69),2))</f>
        <v>0</v>
      </c>
      <c r="V69" s="20">
        <f>IF(B69="","",IF(O69=0,"",ROUND(U69/O69,2)))</f>
        <v>0</v>
      </c>
      <c r="W69" s="20">
        <f>IF(B69="","",IFERROR(INDEX(Products!$AH$5:$AH$304,MATCH(B69,Products!$A$5:$A$304,0)),""))</f>
        <v>0</v>
      </c>
      <c r="X69" s="20">
        <f>IF(B69="","",IF(OR(V69="",W69=""),"",ROUND(V69-W69,2)))</f>
        <v>0</v>
      </c>
      <c r="Y69" s="33">
        <f>IF(B69="","",IF(OR(X69="",W69="",W69=0),"",X69/W69))</f>
        <v>0</v>
      </c>
      <c r="Z69" s="36">
        <f>IF(B69="","",IF(OR(K69="",G69="",G69=0),"",ROUND(K69*60/G69,1)))</f>
        <v>0</v>
      </c>
      <c r="AA69" s="36">
        <f>IF(B69="","",IF(OR(Z69="",R69=""),"",ROUND(Z69-R69,1)))</f>
        <v>0</v>
      </c>
      <c r="AB69" s="20">
        <f>IF(B69="","",IFERROR(ROUND(O69*INDEX(Products!$AR$5:$AR$304,MATCH(B69,Products!$A$5:$A$304,0)),2),""))</f>
        <v>0</v>
      </c>
      <c r="AC69" s="20">
        <f>IF(B69="","",IF(AB69="","",ROUND(AB69-U69,2)))</f>
        <v>0</v>
      </c>
      <c r="AD69" s="32">
        <f>IF(B69="","",IF(OR(D69="",E69=""),"",E69-D69))</f>
        <v>0</v>
      </c>
      <c r="AE69" s="43">
        <f>IF(B69="","",IF(G69="","Planned - nothing made yet",IF(O69=0,"Check - no good units",IF(AND(Y69&lt;&gt;"",Y69&gt;0.15),"Check - costing 15% more than the estimate",IF(AND(P69&lt;&gt;"",P69&gt;DefaultDefect*2),"Check - high failure rate",IF(AND(AA69&lt;&gt;"",AA69&gt;5),"Check - taking longer than estimated",IF(AC69&lt;0,"Loss - this run lost money","OK")))))))</f>
        <v>0</v>
      </c>
    </row>
    <row r="70" spans="1:31">
      <c r="A70" s="38">
        <f>IF(B70="","",BatchPrefix&amp;TEXT(ROW()-4,"0000"))</f>
        <v>0</v>
      </c>
      <c r="C70" s="13">
        <f>IF(B70="","",IFERROR(INDEX(Products!$B$5:$B$304,MATCH(B70,Products!$A$5:$A$304,0)),"Not found"))</f>
        <v>0</v>
      </c>
      <c r="O70" s="32">
        <f>IF(B70="","",MAX(0,IF(G70="",0,G70)-IF(H70="",0,H70)))</f>
        <v>0</v>
      </c>
      <c r="P70" s="33">
        <f>IF(B70="","",IF(OR(G70="",G70=0),"",IF(H70="",0,H70)/G70))</f>
        <v>0</v>
      </c>
      <c r="Q70" s="20">
        <f>IF(B70="","",IFERROR(INDEX(Products!$T$5:$T$304,MATCH(B70,Products!$A$5:$A$304,0)),""))</f>
        <v>0</v>
      </c>
      <c r="R70" s="36">
        <f>IF(B70="","",IFERROR(INDEX(Products!$X$5:$X$304,MATCH(B70,Products!$A$5:$A$304,0)),""))</f>
        <v>0</v>
      </c>
      <c r="S70" s="20">
        <f>IF(B70="","",ROUND(IF(J70&lt;&gt;"",J70,IF(Q70="",0,Q70)*IF(G70="",0,G70)),2))</f>
        <v>0</v>
      </c>
      <c r="T70" s="20">
        <f>IF(B70="","",ROUND(IF(K70&lt;&gt;"",K70,IF(R70="",0,R70)*IF(G70="",0,G70)/60)*LaborCostHour,2))</f>
        <v>0</v>
      </c>
      <c r="U70" s="20">
        <f>IF(B70="","",ROUND(S70+T70+IF(L70="",0,L70)-IF(I70="",0,I70),2))</f>
        <v>0</v>
      </c>
      <c r="V70" s="20">
        <f>IF(B70="","",IF(O70=0,"",ROUND(U70/O70,2)))</f>
        <v>0</v>
      </c>
      <c r="W70" s="20">
        <f>IF(B70="","",IFERROR(INDEX(Products!$AH$5:$AH$304,MATCH(B70,Products!$A$5:$A$304,0)),""))</f>
        <v>0</v>
      </c>
      <c r="X70" s="20">
        <f>IF(B70="","",IF(OR(V70="",W70=""),"",ROUND(V70-W70,2)))</f>
        <v>0</v>
      </c>
      <c r="Y70" s="33">
        <f>IF(B70="","",IF(OR(X70="",W70="",W70=0),"",X70/W70))</f>
        <v>0</v>
      </c>
      <c r="Z70" s="36">
        <f>IF(B70="","",IF(OR(K70="",G70="",G70=0),"",ROUND(K70*60/G70,1)))</f>
        <v>0</v>
      </c>
      <c r="AA70" s="36">
        <f>IF(B70="","",IF(OR(Z70="",R70=""),"",ROUND(Z70-R70,1)))</f>
        <v>0</v>
      </c>
      <c r="AB70" s="20">
        <f>IF(B70="","",IFERROR(ROUND(O70*INDEX(Products!$AR$5:$AR$304,MATCH(B70,Products!$A$5:$A$304,0)),2),""))</f>
        <v>0</v>
      </c>
      <c r="AC70" s="20">
        <f>IF(B70="","",IF(AB70="","",ROUND(AB70-U70,2)))</f>
        <v>0</v>
      </c>
      <c r="AD70" s="32">
        <f>IF(B70="","",IF(OR(D70="",E70=""),"",E70-D70))</f>
        <v>0</v>
      </c>
      <c r="AE70" s="43">
        <f>IF(B70="","",IF(G70="","Planned - nothing made yet",IF(O70=0,"Check - no good units",IF(AND(Y70&lt;&gt;"",Y70&gt;0.15),"Check - costing 15% more than the estimate",IF(AND(P70&lt;&gt;"",P70&gt;DefaultDefect*2),"Check - high failure rate",IF(AND(AA70&lt;&gt;"",AA70&gt;5),"Check - taking longer than estimated",IF(AC70&lt;0,"Loss - this run lost money","OK")))))))</f>
        <v>0</v>
      </c>
    </row>
    <row r="71" spans="1:31">
      <c r="A71" s="38">
        <f>IF(B71="","",BatchPrefix&amp;TEXT(ROW()-4,"0000"))</f>
        <v>0</v>
      </c>
      <c r="C71" s="13">
        <f>IF(B71="","",IFERROR(INDEX(Products!$B$5:$B$304,MATCH(B71,Products!$A$5:$A$304,0)),"Not found"))</f>
        <v>0</v>
      </c>
      <c r="O71" s="32">
        <f>IF(B71="","",MAX(0,IF(G71="",0,G71)-IF(H71="",0,H71)))</f>
        <v>0</v>
      </c>
      <c r="P71" s="33">
        <f>IF(B71="","",IF(OR(G71="",G71=0),"",IF(H71="",0,H71)/G71))</f>
        <v>0</v>
      </c>
      <c r="Q71" s="20">
        <f>IF(B71="","",IFERROR(INDEX(Products!$T$5:$T$304,MATCH(B71,Products!$A$5:$A$304,0)),""))</f>
        <v>0</v>
      </c>
      <c r="R71" s="36">
        <f>IF(B71="","",IFERROR(INDEX(Products!$X$5:$X$304,MATCH(B71,Products!$A$5:$A$304,0)),""))</f>
        <v>0</v>
      </c>
      <c r="S71" s="20">
        <f>IF(B71="","",ROUND(IF(J71&lt;&gt;"",J71,IF(Q71="",0,Q71)*IF(G71="",0,G71)),2))</f>
        <v>0</v>
      </c>
      <c r="T71" s="20">
        <f>IF(B71="","",ROUND(IF(K71&lt;&gt;"",K71,IF(R71="",0,R71)*IF(G71="",0,G71)/60)*LaborCostHour,2))</f>
        <v>0</v>
      </c>
      <c r="U71" s="20">
        <f>IF(B71="","",ROUND(S71+T71+IF(L71="",0,L71)-IF(I71="",0,I71),2))</f>
        <v>0</v>
      </c>
      <c r="V71" s="20">
        <f>IF(B71="","",IF(O71=0,"",ROUND(U71/O71,2)))</f>
        <v>0</v>
      </c>
      <c r="W71" s="20">
        <f>IF(B71="","",IFERROR(INDEX(Products!$AH$5:$AH$304,MATCH(B71,Products!$A$5:$A$304,0)),""))</f>
        <v>0</v>
      </c>
      <c r="X71" s="20">
        <f>IF(B71="","",IF(OR(V71="",W71=""),"",ROUND(V71-W71,2)))</f>
        <v>0</v>
      </c>
      <c r="Y71" s="33">
        <f>IF(B71="","",IF(OR(X71="",W71="",W71=0),"",X71/W71))</f>
        <v>0</v>
      </c>
      <c r="Z71" s="36">
        <f>IF(B71="","",IF(OR(K71="",G71="",G71=0),"",ROUND(K71*60/G71,1)))</f>
        <v>0</v>
      </c>
      <c r="AA71" s="36">
        <f>IF(B71="","",IF(OR(Z71="",R71=""),"",ROUND(Z71-R71,1)))</f>
        <v>0</v>
      </c>
      <c r="AB71" s="20">
        <f>IF(B71="","",IFERROR(ROUND(O71*INDEX(Products!$AR$5:$AR$304,MATCH(B71,Products!$A$5:$A$304,0)),2),""))</f>
        <v>0</v>
      </c>
      <c r="AC71" s="20">
        <f>IF(B71="","",IF(AB71="","",ROUND(AB71-U71,2)))</f>
        <v>0</v>
      </c>
      <c r="AD71" s="32">
        <f>IF(B71="","",IF(OR(D71="",E71=""),"",E71-D71))</f>
        <v>0</v>
      </c>
      <c r="AE71" s="43">
        <f>IF(B71="","",IF(G71="","Planned - nothing made yet",IF(O71=0,"Check - no good units",IF(AND(Y71&lt;&gt;"",Y71&gt;0.15),"Check - costing 15% more than the estimate",IF(AND(P71&lt;&gt;"",P71&gt;DefaultDefect*2),"Check - high failure rate",IF(AND(AA71&lt;&gt;"",AA71&gt;5),"Check - taking longer than estimated",IF(AC71&lt;0,"Loss - this run lost money","OK")))))))</f>
        <v>0</v>
      </c>
    </row>
    <row r="72" spans="1:31">
      <c r="A72" s="38">
        <f>IF(B72="","",BatchPrefix&amp;TEXT(ROW()-4,"0000"))</f>
        <v>0</v>
      </c>
      <c r="C72" s="13">
        <f>IF(B72="","",IFERROR(INDEX(Products!$B$5:$B$304,MATCH(B72,Products!$A$5:$A$304,0)),"Not found"))</f>
        <v>0</v>
      </c>
      <c r="O72" s="32">
        <f>IF(B72="","",MAX(0,IF(G72="",0,G72)-IF(H72="",0,H72)))</f>
        <v>0</v>
      </c>
      <c r="P72" s="33">
        <f>IF(B72="","",IF(OR(G72="",G72=0),"",IF(H72="",0,H72)/G72))</f>
        <v>0</v>
      </c>
      <c r="Q72" s="20">
        <f>IF(B72="","",IFERROR(INDEX(Products!$T$5:$T$304,MATCH(B72,Products!$A$5:$A$304,0)),""))</f>
        <v>0</v>
      </c>
      <c r="R72" s="36">
        <f>IF(B72="","",IFERROR(INDEX(Products!$X$5:$X$304,MATCH(B72,Products!$A$5:$A$304,0)),""))</f>
        <v>0</v>
      </c>
      <c r="S72" s="20">
        <f>IF(B72="","",ROUND(IF(J72&lt;&gt;"",J72,IF(Q72="",0,Q72)*IF(G72="",0,G72)),2))</f>
        <v>0</v>
      </c>
      <c r="T72" s="20">
        <f>IF(B72="","",ROUND(IF(K72&lt;&gt;"",K72,IF(R72="",0,R72)*IF(G72="",0,G72)/60)*LaborCostHour,2))</f>
        <v>0</v>
      </c>
      <c r="U72" s="20">
        <f>IF(B72="","",ROUND(S72+T72+IF(L72="",0,L72)-IF(I72="",0,I72),2))</f>
        <v>0</v>
      </c>
      <c r="V72" s="20">
        <f>IF(B72="","",IF(O72=0,"",ROUND(U72/O72,2)))</f>
        <v>0</v>
      </c>
      <c r="W72" s="20">
        <f>IF(B72="","",IFERROR(INDEX(Products!$AH$5:$AH$304,MATCH(B72,Products!$A$5:$A$304,0)),""))</f>
        <v>0</v>
      </c>
      <c r="X72" s="20">
        <f>IF(B72="","",IF(OR(V72="",W72=""),"",ROUND(V72-W72,2)))</f>
        <v>0</v>
      </c>
      <c r="Y72" s="33">
        <f>IF(B72="","",IF(OR(X72="",W72="",W72=0),"",X72/W72))</f>
        <v>0</v>
      </c>
      <c r="Z72" s="36">
        <f>IF(B72="","",IF(OR(K72="",G72="",G72=0),"",ROUND(K72*60/G72,1)))</f>
        <v>0</v>
      </c>
      <c r="AA72" s="36">
        <f>IF(B72="","",IF(OR(Z72="",R72=""),"",ROUND(Z72-R72,1)))</f>
        <v>0</v>
      </c>
      <c r="AB72" s="20">
        <f>IF(B72="","",IFERROR(ROUND(O72*INDEX(Products!$AR$5:$AR$304,MATCH(B72,Products!$A$5:$A$304,0)),2),""))</f>
        <v>0</v>
      </c>
      <c r="AC72" s="20">
        <f>IF(B72="","",IF(AB72="","",ROUND(AB72-U72,2)))</f>
        <v>0</v>
      </c>
      <c r="AD72" s="32">
        <f>IF(B72="","",IF(OR(D72="",E72=""),"",E72-D72))</f>
        <v>0</v>
      </c>
      <c r="AE72" s="43">
        <f>IF(B72="","",IF(G72="","Planned - nothing made yet",IF(O72=0,"Check - no good units",IF(AND(Y72&lt;&gt;"",Y72&gt;0.15),"Check - costing 15% more than the estimate",IF(AND(P72&lt;&gt;"",P72&gt;DefaultDefect*2),"Check - high failure rate",IF(AND(AA72&lt;&gt;"",AA72&gt;5),"Check - taking longer than estimated",IF(AC72&lt;0,"Loss - this run lost money","OK")))))))</f>
        <v>0</v>
      </c>
    </row>
    <row r="73" spans="1:31">
      <c r="A73" s="38">
        <f>IF(B73="","",BatchPrefix&amp;TEXT(ROW()-4,"0000"))</f>
        <v>0</v>
      </c>
      <c r="C73" s="13">
        <f>IF(B73="","",IFERROR(INDEX(Products!$B$5:$B$304,MATCH(B73,Products!$A$5:$A$304,0)),"Not found"))</f>
        <v>0</v>
      </c>
      <c r="O73" s="32">
        <f>IF(B73="","",MAX(0,IF(G73="",0,G73)-IF(H73="",0,H73)))</f>
        <v>0</v>
      </c>
      <c r="P73" s="33">
        <f>IF(B73="","",IF(OR(G73="",G73=0),"",IF(H73="",0,H73)/G73))</f>
        <v>0</v>
      </c>
      <c r="Q73" s="20">
        <f>IF(B73="","",IFERROR(INDEX(Products!$T$5:$T$304,MATCH(B73,Products!$A$5:$A$304,0)),""))</f>
        <v>0</v>
      </c>
      <c r="R73" s="36">
        <f>IF(B73="","",IFERROR(INDEX(Products!$X$5:$X$304,MATCH(B73,Products!$A$5:$A$304,0)),""))</f>
        <v>0</v>
      </c>
      <c r="S73" s="20">
        <f>IF(B73="","",ROUND(IF(J73&lt;&gt;"",J73,IF(Q73="",0,Q73)*IF(G73="",0,G73)),2))</f>
        <v>0</v>
      </c>
      <c r="T73" s="20">
        <f>IF(B73="","",ROUND(IF(K73&lt;&gt;"",K73,IF(R73="",0,R73)*IF(G73="",0,G73)/60)*LaborCostHour,2))</f>
        <v>0</v>
      </c>
      <c r="U73" s="20">
        <f>IF(B73="","",ROUND(S73+T73+IF(L73="",0,L73)-IF(I73="",0,I73),2))</f>
        <v>0</v>
      </c>
      <c r="V73" s="20">
        <f>IF(B73="","",IF(O73=0,"",ROUND(U73/O73,2)))</f>
        <v>0</v>
      </c>
      <c r="W73" s="20">
        <f>IF(B73="","",IFERROR(INDEX(Products!$AH$5:$AH$304,MATCH(B73,Products!$A$5:$A$304,0)),""))</f>
        <v>0</v>
      </c>
      <c r="X73" s="20">
        <f>IF(B73="","",IF(OR(V73="",W73=""),"",ROUND(V73-W73,2)))</f>
        <v>0</v>
      </c>
      <c r="Y73" s="33">
        <f>IF(B73="","",IF(OR(X73="",W73="",W73=0),"",X73/W73))</f>
        <v>0</v>
      </c>
      <c r="Z73" s="36">
        <f>IF(B73="","",IF(OR(K73="",G73="",G73=0),"",ROUND(K73*60/G73,1)))</f>
        <v>0</v>
      </c>
      <c r="AA73" s="36">
        <f>IF(B73="","",IF(OR(Z73="",R73=""),"",ROUND(Z73-R73,1)))</f>
        <v>0</v>
      </c>
      <c r="AB73" s="20">
        <f>IF(B73="","",IFERROR(ROUND(O73*INDEX(Products!$AR$5:$AR$304,MATCH(B73,Products!$A$5:$A$304,0)),2),""))</f>
        <v>0</v>
      </c>
      <c r="AC73" s="20">
        <f>IF(B73="","",IF(AB73="","",ROUND(AB73-U73,2)))</f>
        <v>0</v>
      </c>
      <c r="AD73" s="32">
        <f>IF(B73="","",IF(OR(D73="",E73=""),"",E73-D73))</f>
        <v>0</v>
      </c>
      <c r="AE73" s="43">
        <f>IF(B73="","",IF(G73="","Planned - nothing made yet",IF(O73=0,"Check - no good units",IF(AND(Y73&lt;&gt;"",Y73&gt;0.15),"Check - costing 15% more than the estimate",IF(AND(P73&lt;&gt;"",P73&gt;DefaultDefect*2),"Check - high failure rate",IF(AND(AA73&lt;&gt;"",AA73&gt;5),"Check - taking longer than estimated",IF(AC73&lt;0,"Loss - this run lost money","OK")))))))</f>
        <v>0</v>
      </c>
    </row>
    <row r="74" spans="1:31">
      <c r="A74" s="38">
        <f>IF(B74="","",BatchPrefix&amp;TEXT(ROW()-4,"0000"))</f>
        <v>0</v>
      </c>
      <c r="C74" s="13">
        <f>IF(B74="","",IFERROR(INDEX(Products!$B$5:$B$304,MATCH(B74,Products!$A$5:$A$304,0)),"Not found"))</f>
        <v>0</v>
      </c>
      <c r="O74" s="32">
        <f>IF(B74="","",MAX(0,IF(G74="",0,G74)-IF(H74="",0,H74)))</f>
        <v>0</v>
      </c>
      <c r="P74" s="33">
        <f>IF(B74="","",IF(OR(G74="",G74=0),"",IF(H74="",0,H74)/G74))</f>
        <v>0</v>
      </c>
      <c r="Q74" s="20">
        <f>IF(B74="","",IFERROR(INDEX(Products!$T$5:$T$304,MATCH(B74,Products!$A$5:$A$304,0)),""))</f>
        <v>0</v>
      </c>
      <c r="R74" s="36">
        <f>IF(B74="","",IFERROR(INDEX(Products!$X$5:$X$304,MATCH(B74,Products!$A$5:$A$304,0)),""))</f>
        <v>0</v>
      </c>
      <c r="S74" s="20">
        <f>IF(B74="","",ROUND(IF(J74&lt;&gt;"",J74,IF(Q74="",0,Q74)*IF(G74="",0,G74)),2))</f>
        <v>0</v>
      </c>
      <c r="T74" s="20">
        <f>IF(B74="","",ROUND(IF(K74&lt;&gt;"",K74,IF(R74="",0,R74)*IF(G74="",0,G74)/60)*LaborCostHour,2))</f>
        <v>0</v>
      </c>
      <c r="U74" s="20">
        <f>IF(B74="","",ROUND(S74+T74+IF(L74="",0,L74)-IF(I74="",0,I74),2))</f>
        <v>0</v>
      </c>
      <c r="V74" s="20">
        <f>IF(B74="","",IF(O74=0,"",ROUND(U74/O74,2)))</f>
        <v>0</v>
      </c>
      <c r="W74" s="20">
        <f>IF(B74="","",IFERROR(INDEX(Products!$AH$5:$AH$304,MATCH(B74,Products!$A$5:$A$304,0)),""))</f>
        <v>0</v>
      </c>
      <c r="X74" s="20">
        <f>IF(B74="","",IF(OR(V74="",W74=""),"",ROUND(V74-W74,2)))</f>
        <v>0</v>
      </c>
      <c r="Y74" s="33">
        <f>IF(B74="","",IF(OR(X74="",W74="",W74=0),"",X74/W74))</f>
        <v>0</v>
      </c>
      <c r="Z74" s="36">
        <f>IF(B74="","",IF(OR(K74="",G74="",G74=0),"",ROUND(K74*60/G74,1)))</f>
        <v>0</v>
      </c>
      <c r="AA74" s="36">
        <f>IF(B74="","",IF(OR(Z74="",R74=""),"",ROUND(Z74-R74,1)))</f>
        <v>0</v>
      </c>
      <c r="AB74" s="20">
        <f>IF(B74="","",IFERROR(ROUND(O74*INDEX(Products!$AR$5:$AR$304,MATCH(B74,Products!$A$5:$A$304,0)),2),""))</f>
        <v>0</v>
      </c>
      <c r="AC74" s="20">
        <f>IF(B74="","",IF(AB74="","",ROUND(AB74-U74,2)))</f>
        <v>0</v>
      </c>
      <c r="AD74" s="32">
        <f>IF(B74="","",IF(OR(D74="",E74=""),"",E74-D74))</f>
        <v>0</v>
      </c>
      <c r="AE74" s="43">
        <f>IF(B74="","",IF(G74="","Planned - nothing made yet",IF(O74=0,"Check - no good units",IF(AND(Y74&lt;&gt;"",Y74&gt;0.15),"Check - costing 15% more than the estimate",IF(AND(P74&lt;&gt;"",P74&gt;DefaultDefect*2),"Check - high failure rate",IF(AND(AA74&lt;&gt;"",AA74&gt;5),"Check - taking longer than estimated",IF(AC74&lt;0,"Loss - this run lost money","OK")))))))</f>
        <v>0</v>
      </c>
    </row>
    <row r="75" spans="1:31">
      <c r="A75" s="38">
        <f>IF(B75="","",BatchPrefix&amp;TEXT(ROW()-4,"0000"))</f>
        <v>0</v>
      </c>
      <c r="C75" s="13">
        <f>IF(B75="","",IFERROR(INDEX(Products!$B$5:$B$304,MATCH(B75,Products!$A$5:$A$304,0)),"Not found"))</f>
        <v>0</v>
      </c>
      <c r="O75" s="32">
        <f>IF(B75="","",MAX(0,IF(G75="",0,G75)-IF(H75="",0,H75)))</f>
        <v>0</v>
      </c>
      <c r="P75" s="33">
        <f>IF(B75="","",IF(OR(G75="",G75=0),"",IF(H75="",0,H75)/G75))</f>
        <v>0</v>
      </c>
      <c r="Q75" s="20">
        <f>IF(B75="","",IFERROR(INDEX(Products!$T$5:$T$304,MATCH(B75,Products!$A$5:$A$304,0)),""))</f>
        <v>0</v>
      </c>
      <c r="R75" s="36">
        <f>IF(B75="","",IFERROR(INDEX(Products!$X$5:$X$304,MATCH(B75,Products!$A$5:$A$304,0)),""))</f>
        <v>0</v>
      </c>
      <c r="S75" s="20">
        <f>IF(B75="","",ROUND(IF(J75&lt;&gt;"",J75,IF(Q75="",0,Q75)*IF(G75="",0,G75)),2))</f>
        <v>0</v>
      </c>
      <c r="T75" s="20">
        <f>IF(B75="","",ROUND(IF(K75&lt;&gt;"",K75,IF(R75="",0,R75)*IF(G75="",0,G75)/60)*LaborCostHour,2))</f>
        <v>0</v>
      </c>
      <c r="U75" s="20">
        <f>IF(B75="","",ROUND(S75+T75+IF(L75="",0,L75)-IF(I75="",0,I75),2))</f>
        <v>0</v>
      </c>
      <c r="V75" s="20">
        <f>IF(B75="","",IF(O75=0,"",ROUND(U75/O75,2)))</f>
        <v>0</v>
      </c>
      <c r="W75" s="20">
        <f>IF(B75="","",IFERROR(INDEX(Products!$AH$5:$AH$304,MATCH(B75,Products!$A$5:$A$304,0)),""))</f>
        <v>0</v>
      </c>
      <c r="X75" s="20">
        <f>IF(B75="","",IF(OR(V75="",W75=""),"",ROUND(V75-W75,2)))</f>
        <v>0</v>
      </c>
      <c r="Y75" s="33">
        <f>IF(B75="","",IF(OR(X75="",W75="",W75=0),"",X75/W75))</f>
        <v>0</v>
      </c>
      <c r="Z75" s="36">
        <f>IF(B75="","",IF(OR(K75="",G75="",G75=0),"",ROUND(K75*60/G75,1)))</f>
        <v>0</v>
      </c>
      <c r="AA75" s="36">
        <f>IF(B75="","",IF(OR(Z75="",R75=""),"",ROUND(Z75-R75,1)))</f>
        <v>0</v>
      </c>
      <c r="AB75" s="20">
        <f>IF(B75="","",IFERROR(ROUND(O75*INDEX(Products!$AR$5:$AR$304,MATCH(B75,Products!$A$5:$A$304,0)),2),""))</f>
        <v>0</v>
      </c>
      <c r="AC75" s="20">
        <f>IF(B75="","",IF(AB75="","",ROUND(AB75-U75,2)))</f>
        <v>0</v>
      </c>
      <c r="AD75" s="32">
        <f>IF(B75="","",IF(OR(D75="",E75=""),"",E75-D75))</f>
        <v>0</v>
      </c>
      <c r="AE75" s="43">
        <f>IF(B75="","",IF(G75="","Planned - nothing made yet",IF(O75=0,"Check - no good units",IF(AND(Y75&lt;&gt;"",Y75&gt;0.15),"Check - costing 15% more than the estimate",IF(AND(P75&lt;&gt;"",P75&gt;DefaultDefect*2),"Check - high failure rate",IF(AND(AA75&lt;&gt;"",AA75&gt;5),"Check - taking longer than estimated",IF(AC75&lt;0,"Loss - this run lost money","OK")))))))</f>
        <v>0</v>
      </c>
    </row>
    <row r="76" spans="1:31">
      <c r="A76" s="38">
        <f>IF(B76="","",BatchPrefix&amp;TEXT(ROW()-4,"0000"))</f>
        <v>0</v>
      </c>
      <c r="C76" s="13">
        <f>IF(B76="","",IFERROR(INDEX(Products!$B$5:$B$304,MATCH(B76,Products!$A$5:$A$304,0)),"Not found"))</f>
        <v>0</v>
      </c>
      <c r="O76" s="32">
        <f>IF(B76="","",MAX(0,IF(G76="",0,G76)-IF(H76="",0,H76)))</f>
        <v>0</v>
      </c>
      <c r="P76" s="33">
        <f>IF(B76="","",IF(OR(G76="",G76=0),"",IF(H76="",0,H76)/G76))</f>
        <v>0</v>
      </c>
      <c r="Q76" s="20">
        <f>IF(B76="","",IFERROR(INDEX(Products!$T$5:$T$304,MATCH(B76,Products!$A$5:$A$304,0)),""))</f>
        <v>0</v>
      </c>
      <c r="R76" s="36">
        <f>IF(B76="","",IFERROR(INDEX(Products!$X$5:$X$304,MATCH(B76,Products!$A$5:$A$304,0)),""))</f>
        <v>0</v>
      </c>
      <c r="S76" s="20">
        <f>IF(B76="","",ROUND(IF(J76&lt;&gt;"",J76,IF(Q76="",0,Q76)*IF(G76="",0,G76)),2))</f>
        <v>0</v>
      </c>
      <c r="T76" s="20">
        <f>IF(B76="","",ROUND(IF(K76&lt;&gt;"",K76,IF(R76="",0,R76)*IF(G76="",0,G76)/60)*LaborCostHour,2))</f>
        <v>0</v>
      </c>
      <c r="U76" s="20">
        <f>IF(B76="","",ROUND(S76+T76+IF(L76="",0,L76)-IF(I76="",0,I76),2))</f>
        <v>0</v>
      </c>
      <c r="V76" s="20">
        <f>IF(B76="","",IF(O76=0,"",ROUND(U76/O76,2)))</f>
        <v>0</v>
      </c>
      <c r="W76" s="20">
        <f>IF(B76="","",IFERROR(INDEX(Products!$AH$5:$AH$304,MATCH(B76,Products!$A$5:$A$304,0)),""))</f>
        <v>0</v>
      </c>
      <c r="X76" s="20">
        <f>IF(B76="","",IF(OR(V76="",W76=""),"",ROUND(V76-W76,2)))</f>
        <v>0</v>
      </c>
      <c r="Y76" s="33">
        <f>IF(B76="","",IF(OR(X76="",W76="",W76=0),"",X76/W76))</f>
        <v>0</v>
      </c>
      <c r="Z76" s="36">
        <f>IF(B76="","",IF(OR(K76="",G76="",G76=0),"",ROUND(K76*60/G76,1)))</f>
        <v>0</v>
      </c>
      <c r="AA76" s="36">
        <f>IF(B76="","",IF(OR(Z76="",R76=""),"",ROUND(Z76-R76,1)))</f>
        <v>0</v>
      </c>
      <c r="AB76" s="20">
        <f>IF(B76="","",IFERROR(ROUND(O76*INDEX(Products!$AR$5:$AR$304,MATCH(B76,Products!$A$5:$A$304,0)),2),""))</f>
        <v>0</v>
      </c>
      <c r="AC76" s="20">
        <f>IF(B76="","",IF(AB76="","",ROUND(AB76-U76,2)))</f>
        <v>0</v>
      </c>
      <c r="AD76" s="32">
        <f>IF(B76="","",IF(OR(D76="",E76=""),"",E76-D76))</f>
        <v>0</v>
      </c>
      <c r="AE76" s="43">
        <f>IF(B76="","",IF(G76="","Planned - nothing made yet",IF(O76=0,"Check - no good units",IF(AND(Y76&lt;&gt;"",Y76&gt;0.15),"Check - costing 15% more than the estimate",IF(AND(P76&lt;&gt;"",P76&gt;DefaultDefect*2),"Check - high failure rate",IF(AND(AA76&lt;&gt;"",AA76&gt;5),"Check - taking longer than estimated",IF(AC76&lt;0,"Loss - this run lost money","OK")))))))</f>
        <v>0</v>
      </c>
    </row>
    <row r="77" spans="1:31">
      <c r="A77" s="38">
        <f>IF(B77="","",BatchPrefix&amp;TEXT(ROW()-4,"0000"))</f>
        <v>0</v>
      </c>
      <c r="C77" s="13">
        <f>IF(B77="","",IFERROR(INDEX(Products!$B$5:$B$304,MATCH(B77,Products!$A$5:$A$304,0)),"Not found"))</f>
        <v>0</v>
      </c>
      <c r="O77" s="32">
        <f>IF(B77="","",MAX(0,IF(G77="",0,G77)-IF(H77="",0,H77)))</f>
        <v>0</v>
      </c>
      <c r="P77" s="33">
        <f>IF(B77="","",IF(OR(G77="",G77=0),"",IF(H77="",0,H77)/G77))</f>
        <v>0</v>
      </c>
      <c r="Q77" s="20">
        <f>IF(B77="","",IFERROR(INDEX(Products!$T$5:$T$304,MATCH(B77,Products!$A$5:$A$304,0)),""))</f>
        <v>0</v>
      </c>
      <c r="R77" s="36">
        <f>IF(B77="","",IFERROR(INDEX(Products!$X$5:$X$304,MATCH(B77,Products!$A$5:$A$304,0)),""))</f>
        <v>0</v>
      </c>
      <c r="S77" s="20">
        <f>IF(B77="","",ROUND(IF(J77&lt;&gt;"",J77,IF(Q77="",0,Q77)*IF(G77="",0,G77)),2))</f>
        <v>0</v>
      </c>
      <c r="T77" s="20">
        <f>IF(B77="","",ROUND(IF(K77&lt;&gt;"",K77,IF(R77="",0,R77)*IF(G77="",0,G77)/60)*LaborCostHour,2))</f>
        <v>0</v>
      </c>
      <c r="U77" s="20">
        <f>IF(B77="","",ROUND(S77+T77+IF(L77="",0,L77)-IF(I77="",0,I77),2))</f>
        <v>0</v>
      </c>
      <c r="V77" s="20">
        <f>IF(B77="","",IF(O77=0,"",ROUND(U77/O77,2)))</f>
        <v>0</v>
      </c>
      <c r="W77" s="20">
        <f>IF(B77="","",IFERROR(INDEX(Products!$AH$5:$AH$304,MATCH(B77,Products!$A$5:$A$304,0)),""))</f>
        <v>0</v>
      </c>
      <c r="X77" s="20">
        <f>IF(B77="","",IF(OR(V77="",W77=""),"",ROUND(V77-W77,2)))</f>
        <v>0</v>
      </c>
      <c r="Y77" s="33">
        <f>IF(B77="","",IF(OR(X77="",W77="",W77=0),"",X77/W77))</f>
        <v>0</v>
      </c>
      <c r="Z77" s="36">
        <f>IF(B77="","",IF(OR(K77="",G77="",G77=0),"",ROUND(K77*60/G77,1)))</f>
        <v>0</v>
      </c>
      <c r="AA77" s="36">
        <f>IF(B77="","",IF(OR(Z77="",R77=""),"",ROUND(Z77-R77,1)))</f>
        <v>0</v>
      </c>
      <c r="AB77" s="20">
        <f>IF(B77="","",IFERROR(ROUND(O77*INDEX(Products!$AR$5:$AR$304,MATCH(B77,Products!$A$5:$A$304,0)),2),""))</f>
        <v>0</v>
      </c>
      <c r="AC77" s="20">
        <f>IF(B77="","",IF(AB77="","",ROUND(AB77-U77,2)))</f>
        <v>0</v>
      </c>
      <c r="AD77" s="32">
        <f>IF(B77="","",IF(OR(D77="",E77=""),"",E77-D77))</f>
        <v>0</v>
      </c>
      <c r="AE77" s="43">
        <f>IF(B77="","",IF(G77="","Planned - nothing made yet",IF(O77=0,"Check - no good units",IF(AND(Y77&lt;&gt;"",Y77&gt;0.15),"Check - costing 15% more than the estimate",IF(AND(P77&lt;&gt;"",P77&gt;DefaultDefect*2),"Check - high failure rate",IF(AND(AA77&lt;&gt;"",AA77&gt;5),"Check - taking longer than estimated",IF(AC77&lt;0,"Loss - this run lost money","OK")))))))</f>
        <v>0</v>
      </c>
    </row>
    <row r="78" spans="1:31">
      <c r="A78" s="38">
        <f>IF(B78="","",BatchPrefix&amp;TEXT(ROW()-4,"0000"))</f>
        <v>0</v>
      </c>
      <c r="C78" s="13">
        <f>IF(B78="","",IFERROR(INDEX(Products!$B$5:$B$304,MATCH(B78,Products!$A$5:$A$304,0)),"Not found"))</f>
        <v>0</v>
      </c>
      <c r="O78" s="32">
        <f>IF(B78="","",MAX(0,IF(G78="",0,G78)-IF(H78="",0,H78)))</f>
        <v>0</v>
      </c>
      <c r="P78" s="33">
        <f>IF(B78="","",IF(OR(G78="",G78=0),"",IF(H78="",0,H78)/G78))</f>
        <v>0</v>
      </c>
      <c r="Q78" s="20">
        <f>IF(B78="","",IFERROR(INDEX(Products!$T$5:$T$304,MATCH(B78,Products!$A$5:$A$304,0)),""))</f>
        <v>0</v>
      </c>
      <c r="R78" s="36">
        <f>IF(B78="","",IFERROR(INDEX(Products!$X$5:$X$304,MATCH(B78,Products!$A$5:$A$304,0)),""))</f>
        <v>0</v>
      </c>
      <c r="S78" s="20">
        <f>IF(B78="","",ROUND(IF(J78&lt;&gt;"",J78,IF(Q78="",0,Q78)*IF(G78="",0,G78)),2))</f>
        <v>0</v>
      </c>
      <c r="T78" s="20">
        <f>IF(B78="","",ROUND(IF(K78&lt;&gt;"",K78,IF(R78="",0,R78)*IF(G78="",0,G78)/60)*LaborCostHour,2))</f>
        <v>0</v>
      </c>
      <c r="U78" s="20">
        <f>IF(B78="","",ROUND(S78+T78+IF(L78="",0,L78)-IF(I78="",0,I78),2))</f>
        <v>0</v>
      </c>
      <c r="V78" s="20">
        <f>IF(B78="","",IF(O78=0,"",ROUND(U78/O78,2)))</f>
        <v>0</v>
      </c>
      <c r="W78" s="20">
        <f>IF(B78="","",IFERROR(INDEX(Products!$AH$5:$AH$304,MATCH(B78,Products!$A$5:$A$304,0)),""))</f>
        <v>0</v>
      </c>
      <c r="X78" s="20">
        <f>IF(B78="","",IF(OR(V78="",W78=""),"",ROUND(V78-W78,2)))</f>
        <v>0</v>
      </c>
      <c r="Y78" s="33">
        <f>IF(B78="","",IF(OR(X78="",W78="",W78=0),"",X78/W78))</f>
        <v>0</v>
      </c>
      <c r="Z78" s="36">
        <f>IF(B78="","",IF(OR(K78="",G78="",G78=0),"",ROUND(K78*60/G78,1)))</f>
        <v>0</v>
      </c>
      <c r="AA78" s="36">
        <f>IF(B78="","",IF(OR(Z78="",R78=""),"",ROUND(Z78-R78,1)))</f>
        <v>0</v>
      </c>
      <c r="AB78" s="20">
        <f>IF(B78="","",IFERROR(ROUND(O78*INDEX(Products!$AR$5:$AR$304,MATCH(B78,Products!$A$5:$A$304,0)),2),""))</f>
        <v>0</v>
      </c>
      <c r="AC78" s="20">
        <f>IF(B78="","",IF(AB78="","",ROUND(AB78-U78,2)))</f>
        <v>0</v>
      </c>
      <c r="AD78" s="32">
        <f>IF(B78="","",IF(OR(D78="",E78=""),"",E78-D78))</f>
        <v>0</v>
      </c>
      <c r="AE78" s="43">
        <f>IF(B78="","",IF(G78="","Planned - nothing made yet",IF(O78=0,"Check - no good units",IF(AND(Y78&lt;&gt;"",Y78&gt;0.15),"Check - costing 15% more than the estimate",IF(AND(P78&lt;&gt;"",P78&gt;DefaultDefect*2),"Check - high failure rate",IF(AND(AA78&lt;&gt;"",AA78&gt;5),"Check - taking longer than estimated",IF(AC78&lt;0,"Loss - this run lost money","OK")))))))</f>
        <v>0</v>
      </c>
    </row>
    <row r="79" spans="1:31">
      <c r="A79" s="38">
        <f>IF(B79="","",BatchPrefix&amp;TEXT(ROW()-4,"0000"))</f>
        <v>0</v>
      </c>
      <c r="C79" s="13">
        <f>IF(B79="","",IFERROR(INDEX(Products!$B$5:$B$304,MATCH(B79,Products!$A$5:$A$304,0)),"Not found"))</f>
        <v>0</v>
      </c>
      <c r="O79" s="32">
        <f>IF(B79="","",MAX(0,IF(G79="",0,G79)-IF(H79="",0,H79)))</f>
        <v>0</v>
      </c>
      <c r="P79" s="33">
        <f>IF(B79="","",IF(OR(G79="",G79=0),"",IF(H79="",0,H79)/G79))</f>
        <v>0</v>
      </c>
      <c r="Q79" s="20">
        <f>IF(B79="","",IFERROR(INDEX(Products!$T$5:$T$304,MATCH(B79,Products!$A$5:$A$304,0)),""))</f>
        <v>0</v>
      </c>
      <c r="R79" s="36">
        <f>IF(B79="","",IFERROR(INDEX(Products!$X$5:$X$304,MATCH(B79,Products!$A$5:$A$304,0)),""))</f>
        <v>0</v>
      </c>
      <c r="S79" s="20">
        <f>IF(B79="","",ROUND(IF(J79&lt;&gt;"",J79,IF(Q79="",0,Q79)*IF(G79="",0,G79)),2))</f>
        <v>0</v>
      </c>
      <c r="T79" s="20">
        <f>IF(B79="","",ROUND(IF(K79&lt;&gt;"",K79,IF(R79="",0,R79)*IF(G79="",0,G79)/60)*LaborCostHour,2))</f>
        <v>0</v>
      </c>
      <c r="U79" s="20">
        <f>IF(B79="","",ROUND(S79+T79+IF(L79="",0,L79)-IF(I79="",0,I79),2))</f>
        <v>0</v>
      </c>
      <c r="V79" s="20">
        <f>IF(B79="","",IF(O79=0,"",ROUND(U79/O79,2)))</f>
        <v>0</v>
      </c>
      <c r="W79" s="20">
        <f>IF(B79="","",IFERROR(INDEX(Products!$AH$5:$AH$304,MATCH(B79,Products!$A$5:$A$304,0)),""))</f>
        <v>0</v>
      </c>
      <c r="X79" s="20">
        <f>IF(B79="","",IF(OR(V79="",W79=""),"",ROUND(V79-W79,2)))</f>
        <v>0</v>
      </c>
      <c r="Y79" s="33">
        <f>IF(B79="","",IF(OR(X79="",W79="",W79=0),"",X79/W79))</f>
        <v>0</v>
      </c>
      <c r="Z79" s="36">
        <f>IF(B79="","",IF(OR(K79="",G79="",G79=0),"",ROUND(K79*60/G79,1)))</f>
        <v>0</v>
      </c>
      <c r="AA79" s="36">
        <f>IF(B79="","",IF(OR(Z79="",R79=""),"",ROUND(Z79-R79,1)))</f>
        <v>0</v>
      </c>
      <c r="AB79" s="20">
        <f>IF(B79="","",IFERROR(ROUND(O79*INDEX(Products!$AR$5:$AR$304,MATCH(B79,Products!$A$5:$A$304,0)),2),""))</f>
        <v>0</v>
      </c>
      <c r="AC79" s="20">
        <f>IF(B79="","",IF(AB79="","",ROUND(AB79-U79,2)))</f>
        <v>0</v>
      </c>
      <c r="AD79" s="32">
        <f>IF(B79="","",IF(OR(D79="",E79=""),"",E79-D79))</f>
        <v>0</v>
      </c>
      <c r="AE79" s="43">
        <f>IF(B79="","",IF(G79="","Planned - nothing made yet",IF(O79=0,"Check - no good units",IF(AND(Y79&lt;&gt;"",Y79&gt;0.15),"Check - costing 15% more than the estimate",IF(AND(P79&lt;&gt;"",P79&gt;DefaultDefect*2),"Check - high failure rate",IF(AND(AA79&lt;&gt;"",AA79&gt;5),"Check - taking longer than estimated",IF(AC79&lt;0,"Loss - this run lost money","OK")))))))</f>
        <v>0</v>
      </c>
    </row>
    <row r="80" spans="1:31">
      <c r="A80" s="38">
        <f>IF(B80="","",BatchPrefix&amp;TEXT(ROW()-4,"0000"))</f>
        <v>0</v>
      </c>
      <c r="C80" s="13">
        <f>IF(B80="","",IFERROR(INDEX(Products!$B$5:$B$304,MATCH(B80,Products!$A$5:$A$304,0)),"Not found"))</f>
        <v>0</v>
      </c>
      <c r="O80" s="32">
        <f>IF(B80="","",MAX(0,IF(G80="",0,G80)-IF(H80="",0,H80)))</f>
        <v>0</v>
      </c>
      <c r="P80" s="33">
        <f>IF(B80="","",IF(OR(G80="",G80=0),"",IF(H80="",0,H80)/G80))</f>
        <v>0</v>
      </c>
      <c r="Q80" s="20">
        <f>IF(B80="","",IFERROR(INDEX(Products!$T$5:$T$304,MATCH(B80,Products!$A$5:$A$304,0)),""))</f>
        <v>0</v>
      </c>
      <c r="R80" s="36">
        <f>IF(B80="","",IFERROR(INDEX(Products!$X$5:$X$304,MATCH(B80,Products!$A$5:$A$304,0)),""))</f>
        <v>0</v>
      </c>
      <c r="S80" s="20">
        <f>IF(B80="","",ROUND(IF(J80&lt;&gt;"",J80,IF(Q80="",0,Q80)*IF(G80="",0,G80)),2))</f>
        <v>0</v>
      </c>
      <c r="T80" s="20">
        <f>IF(B80="","",ROUND(IF(K80&lt;&gt;"",K80,IF(R80="",0,R80)*IF(G80="",0,G80)/60)*LaborCostHour,2))</f>
        <v>0</v>
      </c>
      <c r="U80" s="20">
        <f>IF(B80="","",ROUND(S80+T80+IF(L80="",0,L80)-IF(I80="",0,I80),2))</f>
        <v>0</v>
      </c>
      <c r="V80" s="20">
        <f>IF(B80="","",IF(O80=0,"",ROUND(U80/O80,2)))</f>
        <v>0</v>
      </c>
      <c r="W80" s="20">
        <f>IF(B80="","",IFERROR(INDEX(Products!$AH$5:$AH$304,MATCH(B80,Products!$A$5:$A$304,0)),""))</f>
        <v>0</v>
      </c>
      <c r="X80" s="20">
        <f>IF(B80="","",IF(OR(V80="",W80=""),"",ROUND(V80-W80,2)))</f>
        <v>0</v>
      </c>
      <c r="Y80" s="33">
        <f>IF(B80="","",IF(OR(X80="",W80="",W80=0),"",X80/W80))</f>
        <v>0</v>
      </c>
      <c r="Z80" s="36">
        <f>IF(B80="","",IF(OR(K80="",G80="",G80=0),"",ROUND(K80*60/G80,1)))</f>
        <v>0</v>
      </c>
      <c r="AA80" s="36">
        <f>IF(B80="","",IF(OR(Z80="",R80=""),"",ROUND(Z80-R80,1)))</f>
        <v>0</v>
      </c>
      <c r="AB80" s="20">
        <f>IF(B80="","",IFERROR(ROUND(O80*INDEX(Products!$AR$5:$AR$304,MATCH(B80,Products!$A$5:$A$304,0)),2),""))</f>
        <v>0</v>
      </c>
      <c r="AC80" s="20">
        <f>IF(B80="","",IF(AB80="","",ROUND(AB80-U80,2)))</f>
        <v>0</v>
      </c>
      <c r="AD80" s="32">
        <f>IF(B80="","",IF(OR(D80="",E80=""),"",E80-D80))</f>
        <v>0</v>
      </c>
      <c r="AE80" s="43">
        <f>IF(B80="","",IF(G80="","Planned - nothing made yet",IF(O80=0,"Check - no good units",IF(AND(Y80&lt;&gt;"",Y80&gt;0.15),"Check - costing 15% more than the estimate",IF(AND(P80&lt;&gt;"",P80&gt;DefaultDefect*2),"Check - high failure rate",IF(AND(AA80&lt;&gt;"",AA80&gt;5),"Check - taking longer than estimated",IF(AC80&lt;0,"Loss - this run lost money","OK")))))))</f>
        <v>0</v>
      </c>
    </row>
    <row r="81" spans="1:31">
      <c r="A81" s="38">
        <f>IF(B81="","",BatchPrefix&amp;TEXT(ROW()-4,"0000"))</f>
        <v>0</v>
      </c>
      <c r="C81" s="13">
        <f>IF(B81="","",IFERROR(INDEX(Products!$B$5:$B$304,MATCH(B81,Products!$A$5:$A$304,0)),"Not found"))</f>
        <v>0</v>
      </c>
      <c r="O81" s="32">
        <f>IF(B81="","",MAX(0,IF(G81="",0,G81)-IF(H81="",0,H81)))</f>
        <v>0</v>
      </c>
      <c r="P81" s="33">
        <f>IF(B81="","",IF(OR(G81="",G81=0),"",IF(H81="",0,H81)/G81))</f>
        <v>0</v>
      </c>
      <c r="Q81" s="20">
        <f>IF(B81="","",IFERROR(INDEX(Products!$T$5:$T$304,MATCH(B81,Products!$A$5:$A$304,0)),""))</f>
        <v>0</v>
      </c>
      <c r="R81" s="36">
        <f>IF(B81="","",IFERROR(INDEX(Products!$X$5:$X$304,MATCH(B81,Products!$A$5:$A$304,0)),""))</f>
        <v>0</v>
      </c>
      <c r="S81" s="20">
        <f>IF(B81="","",ROUND(IF(J81&lt;&gt;"",J81,IF(Q81="",0,Q81)*IF(G81="",0,G81)),2))</f>
        <v>0</v>
      </c>
      <c r="T81" s="20">
        <f>IF(B81="","",ROUND(IF(K81&lt;&gt;"",K81,IF(R81="",0,R81)*IF(G81="",0,G81)/60)*LaborCostHour,2))</f>
        <v>0</v>
      </c>
      <c r="U81" s="20">
        <f>IF(B81="","",ROUND(S81+T81+IF(L81="",0,L81)-IF(I81="",0,I81),2))</f>
        <v>0</v>
      </c>
      <c r="V81" s="20">
        <f>IF(B81="","",IF(O81=0,"",ROUND(U81/O81,2)))</f>
        <v>0</v>
      </c>
      <c r="W81" s="20">
        <f>IF(B81="","",IFERROR(INDEX(Products!$AH$5:$AH$304,MATCH(B81,Products!$A$5:$A$304,0)),""))</f>
        <v>0</v>
      </c>
      <c r="X81" s="20">
        <f>IF(B81="","",IF(OR(V81="",W81=""),"",ROUND(V81-W81,2)))</f>
        <v>0</v>
      </c>
      <c r="Y81" s="33">
        <f>IF(B81="","",IF(OR(X81="",W81="",W81=0),"",X81/W81))</f>
        <v>0</v>
      </c>
      <c r="Z81" s="36">
        <f>IF(B81="","",IF(OR(K81="",G81="",G81=0),"",ROUND(K81*60/G81,1)))</f>
        <v>0</v>
      </c>
      <c r="AA81" s="36">
        <f>IF(B81="","",IF(OR(Z81="",R81=""),"",ROUND(Z81-R81,1)))</f>
        <v>0</v>
      </c>
      <c r="AB81" s="20">
        <f>IF(B81="","",IFERROR(ROUND(O81*INDEX(Products!$AR$5:$AR$304,MATCH(B81,Products!$A$5:$A$304,0)),2),""))</f>
        <v>0</v>
      </c>
      <c r="AC81" s="20">
        <f>IF(B81="","",IF(AB81="","",ROUND(AB81-U81,2)))</f>
        <v>0</v>
      </c>
      <c r="AD81" s="32">
        <f>IF(B81="","",IF(OR(D81="",E81=""),"",E81-D81))</f>
        <v>0</v>
      </c>
      <c r="AE81" s="43">
        <f>IF(B81="","",IF(G81="","Planned - nothing made yet",IF(O81=0,"Check - no good units",IF(AND(Y81&lt;&gt;"",Y81&gt;0.15),"Check - costing 15% more than the estimate",IF(AND(P81&lt;&gt;"",P81&gt;DefaultDefect*2),"Check - high failure rate",IF(AND(AA81&lt;&gt;"",AA81&gt;5),"Check - taking longer than estimated",IF(AC81&lt;0,"Loss - this run lost money","OK")))))))</f>
        <v>0</v>
      </c>
    </row>
    <row r="82" spans="1:31">
      <c r="A82" s="38">
        <f>IF(B82="","",BatchPrefix&amp;TEXT(ROW()-4,"0000"))</f>
        <v>0</v>
      </c>
      <c r="C82" s="13">
        <f>IF(B82="","",IFERROR(INDEX(Products!$B$5:$B$304,MATCH(B82,Products!$A$5:$A$304,0)),"Not found"))</f>
        <v>0</v>
      </c>
      <c r="O82" s="32">
        <f>IF(B82="","",MAX(0,IF(G82="",0,G82)-IF(H82="",0,H82)))</f>
        <v>0</v>
      </c>
      <c r="P82" s="33">
        <f>IF(B82="","",IF(OR(G82="",G82=0),"",IF(H82="",0,H82)/G82))</f>
        <v>0</v>
      </c>
      <c r="Q82" s="20">
        <f>IF(B82="","",IFERROR(INDEX(Products!$T$5:$T$304,MATCH(B82,Products!$A$5:$A$304,0)),""))</f>
        <v>0</v>
      </c>
      <c r="R82" s="36">
        <f>IF(B82="","",IFERROR(INDEX(Products!$X$5:$X$304,MATCH(B82,Products!$A$5:$A$304,0)),""))</f>
        <v>0</v>
      </c>
      <c r="S82" s="20">
        <f>IF(B82="","",ROUND(IF(J82&lt;&gt;"",J82,IF(Q82="",0,Q82)*IF(G82="",0,G82)),2))</f>
        <v>0</v>
      </c>
      <c r="T82" s="20">
        <f>IF(B82="","",ROUND(IF(K82&lt;&gt;"",K82,IF(R82="",0,R82)*IF(G82="",0,G82)/60)*LaborCostHour,2))</f>
        <v>0</v>
      </c>
      <c r="U82" s="20">
        <f>IF(B82="","",ROUND(S82+T82+IF(L82="",0,L82)-IF(I82="",0,I82),2))</f>
        <v>0</v>
      </c>
      <c r="V82" s="20">
        <f>IF(B82="","",IF(O82=0,"",ROUND(U82/O82,2)))</f>
        <v>0</v>
      </c>
      <c r="W82" s="20">
        <f>IF(B82="","",IFERROR(INDEX(Products!$AH$5:$AH$304,MATCH(B82,Products!$A$5:$A$304,0)),""))</f>
        <v>0</v>
      </c>
      <c r="X82" s="20">
        <f>IF(B82="","",IF(OR(V82="",W82=""),"",ROUND(V82-W82,2)))</f>
        <v>0</v>
      </c>
      <c r="Y82" s="33">
        <f>IF(B82="","",IF(OR(X82="",W82="",W82=0),"",X82/W82))</f>
        <v>0</v>
      </c>
      <c r="Z82" s="36">
        <f>IF(B82="","",IF(OR(K82="",G82="",G82=0),"",ROUND(K82*60/G82,1)))</f>
        <v>0</v>
      </c>
      <c r="AA82" s="36">
        <f>IF(B82="","",IF(OR(Z82="",R82=""),"",ROUND(Z82-R82,1)))</f>
        <v>0</v>
      </c>
      <c r="AB82" s="20">
        <f>IF(B82="","",IFERROR(ROUND(O82*INDEX(Products!$AR$5:$AR$304,MATCH(B82,Products!$A$5:$A$304,0)),2),""))</f>
        <v>0</v>
      </c>
      <c r="AC82" s="20">
        <f>IF(B82="","",IF(AB82="","",ROUND(AB82-U82,2)))</f>
        <v>0</v>
      </c>
      <c r="AD82" s="32">
        <f>IF(B82="","",IF(OR(D82="",E82=""),"",E82-D82))</f>
        <v>0</v>
      </c>
      <c r="AE82" s="43">
        <f>IF(B82="","",IF(G82="","Planned - nothing made yet",IF(O82=0,"Check - no good units",IF(AND(Y82&lt;&gt;"",Y82&gt;0.15),"Check - costing 15% more than the estimate",IF(AND(P82&lt;&gt;"",P82&gt;DefaultDefect*2),"Check - high failure rate",IF(AND(AA82&lt;&gt;"",AA82&gt;5),"Check - taking longer than estimated",IF(AC82&lt;0,"Loss - this run lost money","OK")))))))</f>
        <v>0</v>
      </c>
    </row>
    <row r="83" spans="1:31">
      <c r="A83" s="38">
        <f>IF(B83="","",BatchPrefix&amp;TEXT(ROW()-4,"0000"))</f>
        <v>0</v>
      </c>
      <c r="C83" s="13">
        <f>IF(B83="","",IFERROR(INDEX(Products!$B$5:$B$304,MATCH(B83,Products!$A$5:$A$304,0)),"Not found"))</f>
        <v>0</v>
      </c>
      <c r="O83" s="32">
        <f>IF(B83="","",MAX(0,IF(G83="",0,G83)-IF(H83="",0,H83)))</f>
        <v>0</v>
      </c>
      <c r="P83" s="33">
        <f>IF(B83="","",IF(OR(G83="",G83=0),"",IF(H83="",0,H83)/G83))</f>
        <v>0</v>
      </c>
      <c r="Q83" s="20">
        <f>IF(B83="","",IFERROR(INDEX(Products!$T$5:$T$304,MATCH(B83,Products!$A$5:$A$304,0)),""))</f>
        <v>0</v>
      </c>
      <c r="R83" s="36">
        <f>IF(B83="","",IFERROR(INDEX(Products!$X$5:$X$304,MATCH(B83,Products!$A$5:$A$304,0)),""))</f>
        <v>0</v>
      </c>
      <c r="S83" s="20">
        <f>IF(B83="","",ROUND(IF(J83&lt;&gt;"",J83,IF(Q83="",0,Q83)*IF(G83="",0,G83)),2))</f>
        <v>0</v>
      </c>
      <c r="T83" s="20">
        <f>IF(B83="","",ROUND(IF(K83&lt;&gt;"",K83,IF(R83="",0,R83)*IF(G83="",0,G83)/60)*LaborCostHour,2))</f>
        <v>0</v>
      </c>
      <c r="U83" s="20">
        <f>IF(B83="","",ROUND(S83+T83+IF(L83="",0,L83)-IF(I83="",0,I83),2))</f>
        <v>0</v>
      </c>
      <c r="V83" s="20">
        <f>IF(B83="","",IF(O83=0,"",ROUND(U83/O83,2)))</f>
        <v>0</v>
      </c>
      <c r="W83" s="20">
        <f>IF(B83="","",IFERROR(INDEX(Products!$AH$5:$AH$304,MATCH(B83,Products!$A$5:$A$304,0)),""))</f>
        <v>0</v>
      </c>
      <c r="X83" s="20">
        <f>IF(B83="","",IF(OR(V83="",W83=""),"",ROUND(V83-W83,2)))</f>
        <v>0</v>
      </c>
      <c r="Y83" s="33">
        <f>IF(B83="","",IF(OR(X83="",W83="",W83=0),"",X83/W83))</f>
        <v>0</v>
      </c>
      <c r="Z83" s="36">
        <f>IF(B83="","",IF(OR(K83="",G83="",G83=0),"",ROUND(K83*60/G83,1)))</f>
        <v>0</v>
      </c>
      <c r="AA83" s="36">
        <f>IF(B83="","",IF(OR(Z83="",R83=""),"",ROUND(Z83-R83,1)))</f>
        <v>0</v>
      </c>
      <c r="AB83" s="20">
        <f>IF(B83="","",IFERROR(ROUND(O83*INDEX(Products!$AR$5:$AR$304,MATCH(B83,Products!$A$5:$A$304,0)),2),""))</f>
        <v>0</v>
      </c>
      <c r="AC83" s="20">
        <f>IF(B83="","",IF(AB83="","",ROUND(AB83-U83,2)))</f>
        <v>0</v>
      </c>
      <c r="AD83" s="32">
        <f>IF(B83="","",IF(OR(D83="",E83=""),"",E83-D83))</f>
        <v>0</v>
      </c>
      <c r="AE83" s="43">
        <f>IF(B83="","",IF(G83="","Planned - nothing made yet",IF(O83=0,"Check - no good units",IF(AND(Y83&lt;&gt;"",Y83&gt;0.15),"Check - costing 15% more than the estimate",IF(AND(P83&lt;&gt;"",P83&gt;DefaultDefect*2),"Check - high failure rate",IF(AND(AA83&lt;&gt;"",AA83&gt;5),"Check - taking longer than estimated",IF(AC83&lt;0,"Loss - this run lost money","OK")))))))</f>
        <v>0</v>
      </c>
    </row>
    <row r="84" spans="1:31">
      <c r="A84" s="38">
        <f>IF(B84="","",BatchPrefix&amp;TEXT(ROW()-4,"0000"))</f>
        <v>0</v>
      </c>
      <c r="C84" s="13">
        <f>IF(B84="","",IFERROR(INDEX(Products!$B$5:$B$304,MATCH(B84,Products!$A$5:$A$304,0)),"Not found"))</f>
        <v>0</v>
      </c>
      <c r="O84" s="32">
        <f>IF(B84="","",MAX(0,IF(G84="",0,G84)-IF(H84="",0,H84)))</f>
        <v>0</v>
      </c>
      <c r="P84" s="33">
        <f>IF(B84="","",IF(OR(G84="",G84=0),"",IF(H84="",0,H84)/G84))</f>
        <v>0</v>
      </c>
      <c r="Q84" s="20">
        <f>IF(B84="","",IFERROR(INDEX(Products!$T$5:$T$304,MATCH(B84,Products!$A$5:$A$304,0)),""))</f>
        <v>0</v>
      </c>
      <c r="R84" s="36">
        <f>IF(B84="","",IFERROR(INDEX(Products!$X$5:$X$304,MATCH(B84,Products!$A$5:$A$304,0)),""))</f>
        <v>0</v>
      </c>
      <c r="S84" s="20">
        <f>IF(B84="","",ROUND(IF(J84&lt;&gt;"",J84,IF(Q84="",0,Q84)*IF(G84="",0,G84)),2))</f>
        <v>0</v>
      </c>
      <c r="T84" s="20">
        <f>IF(B84="","",ROUND(IF(K84&lt;&gt;"",K84,IF(R84="",0,R84)*IF(G84="",0,G84)/60)*LaborCostHour,2))</f>
        <v>0</v>
      </c>
      <c r="U84" s="20">
        <f>IF(B84="","",ROUND(S84+T84+IF(L84="",0,L84)-IF(I84="",0,I84),2))</f>
        <v>0</v>
      </c>
      <c r="V84" s="20">
        <f>IF(B84="","",IF(O84=0,"",ROUND(U84/O84,2)))</f>
        <v>0</v>
      </c>
      <c r="W84" s="20">
        <f>IF(B84="","",IFERROR(INDEX(Products!$AH$5:$AH$304,MATCH(B84,Products!$A$5:$A$304,0)),""))</f>
        <v>0</v>
      </c>
      <c r="X84" s="20">
        <f>IF(B84="","",IF(OR(V84="",W84=""),"",ROUND(V84-W84,2)))</f>
        <v>0</v>
      </c>
      <c r="Y84" s="33">
        <f>IF(B84="","",IF(OR(X84="",W84="",W84=0),"",X84/W84))</f>
        <v>0</v>
      </c>
      <c r="Z84" s="36">
        <f>IF(B84="","",IF(OR(K84="",G84="",G84=0),"",ROUND(K84*60/G84,1)))</f>
        <v>0</v>
      </c>
      <c r="AA84" s="36">
        <f>IF(B84="","",IF(OR(Z84="",R84=""),"",ROUND(Z84-R84,1)))</f>
        <v>0</v>
      </c>
      <c r="AB84" s="20">
        <f>IF(B84="","",IFERROR(ROUND(O84*INDEX(Products!$AR$5:$AR$304,MATCH(B84,Products!$A$5:$A$304,0)),2),""))</f>
        <v>0</v>
      </c>
      <c r="AC84" s="20">
        <f>IF(B84="","",IF(AB84="","",ROUND(AB84-U84,2)))</f>
        <v>0</v>
      </c>
      <c r="AD84" s="32">
        <f>IF(B84="","",IF(OR(D84="",E84=""),"",E84-D84))</f>
        <v>0</v>
      </c>
      <c r="AE84" s="43">
        <f>IF(B84="","",IF(G84="","Planned - nothing made yet",IF(O84=0,"Check - no good units",IF(AND(Y84&lt;&gt;"",Y84&gt;0.15),"Check - costing 15% more than the estimate",IF(AND(P84&lt;&gt;"",P84&gt;DefaultDefect*2),"Check - high failure rate",IF(AND(AA84&lt;&gt;"",AA84&gt;5),"Check - taking longer than estimated",IF(AC84&lt;0,"Loss - this run lost money","OK")))))))</f>
        <v>0</v>
      </c>
    </row>
    <row r="85" spans="1:31">
      <c r="A85" s="38">
        <f>IF(B85="","",BatchPrefix&amp;TEXT(ROW()-4,"0000"))</f>
        <v>0</v>
      </c>
      <c r="C85" s="13">
        <f>IF(B85="","",IFERROR(INDEX(Products!$B$5:$B$304,MATCH(B85,Products!$A$5:$A$304,0)),"Not found"))</f>
        <v>0</v>
      </c>
      <c r="O85" s="32">
        <f>IF(B85="","",MAX(0,IF(G85="",0,G85)-IF(H85="",0,H85)))</f>
        <v>0</v>
      </c>
      <c r="P85" s="33">
        <f>IF(B85="","",IF(OR(G85="",G85=0),"",IF(H85="",0,H85)/G85))</f>
        <v>0</v>
      </c>
      <c r="Q85" s="20">
        <f>IF(B85="","",IFERROR(INDEX(Products!$T$5:$T$304,MATCH(B85,Products!$A$5:$A$304,0)),""))</f>
        <v>0</v>
      </c>
      <c r="R85" s="36">
        <f>IF(B85="","",IFERROR(INDEX(Products!$X$5:$X$304,MATCH(B85,Products!$A$5:$A$304,0)),""))</f>
        <v>0</v>
      </c>
      <c r="S85" s="20">
        <f>IF(B85="","",ROUND(IF(J85&lt;&gt;"",J85,IF(Q85="",0,Q85)*IF(G85="",0,G85)),2))</f>
        <v>0</v>
      </c>
      <c r="T85" s="20">
        <f>IF(B85="","",ROUND(IF(K85&lt;&gt;"",K85,IF(R85="",0,R85)*IF(G85="",0,G85)/60)*LaborCostHour,2))</f>
        <v>0</v>
      </c>
      <c r="U85" s="20">
        <f>IF(B85="","",ROUND(S85+T85+IF(L85="",0,L85)-IF(I85="",0,I85),2))</f>
        <v>0</v>
      </c>
      <c r="V85" s="20">
        <f>IF(B85="","",IF(O85=0,"",ROUND(U85/O85,2)))</f>
        <v>0</v>
      </c>
      <c r="W85" s="20">
        <f>IF(B85="","",IFERROR(INDEX(Products!$AH$5:$AH$304,MATCH(B85,Products!$A$5:$A$304,0)),""))</f>
        <v>0</v>
      </c>
      <c r="X85" s="20">
        <f>IF(B85="","",IF(OR(V85="",W85=""),"",ROUND(V85-W85,2)))</f>
        <v>0</v>
      </c>
      <c r="Y85" s="33">
        <f>IF(B85="","",IF(OR(X85="",W85="",W85=0),"",X85/W85))</f>
        <v>0</v>
      </c>
      <c r="Z85" s="36">
        <f>IF(B85="","",IF(OR(K85="",G85="",G85=0),"",ROUND(K85*60/G85,1)))</f>
        <v>0</v>
      </c>
      <c r="AA85" s="36">
        <f>IF(B85="","",IF(OR(Z85="",R85=""),"",ROUND(Z85-R85,1)))</f>
        <v>0</v>
      </c>
      <c r="AB85" s="20">
        <f>IF(B85="","",IFERROR(ROUND(O85*INDEX(Products!$AR$5:$AR$304,MATCH(B85,Products!$A$5:$A$304,0)),2),""))</f>
        <v>0</v>
      </c>
      <c r="AC85" s="20">
        <f>IF(B85="","",IF(AB85="","",ROUND(AB85-U85,2)))</f>
        <v>0</v>
      </c>
      <c r="AD85" s="32">
        <f>IF(B85="","",IF(OR(D85="",E85=""),"",E85-D85))</f>
        <v>0</v>
      </c>
      <c r="AE85" s="43">
        <f>IF(B85="","",IF(G85="","Planned - nothing made yet",IF(O85=0,"Check - no good units",IF(AND(Y85&lt;&gt;"",Y85&gt;0.15),"Check - costing 15% more than the estimate",IF(AND(P85&lt;&gt;"",P85&gt;DefaultDefect*2),"Check - high failure rate",IF(AND(AA85&lt;&gt;"",AA85&gt;5),"Check - taking longer than estimated",IF(AC85&lt;0,"Loss - this run lost money","OK")))))))</f>
        <v>0</v>
      </c>
    </row>
    <row r="86" spans="1:31">
      <c r="A86" s="38">
        <f>IF(B86="","",BatchPrefix&amp;TEXT(ROW()-4,"0000"))</f>
        <v>0</v>
      </c>
      <c r="C86" s="13">
        <f>IF(B86="","",IFERROR(INDEX(Products!$B$5:$B$304,MATCH(B86,Products!$A$5:$A$304,0)),"Not found"))</f>
        <v>0</v>
      </c>
      <c r="O86" s="32">
        <f>IF(B86="","",MAX(0,IF(G86="",0,G86)-IF(H86="",0,H86)))</f>
        <v>0</v>
      </c>
      <c r="P86" s="33">
        <f>IF(B86="","",IF(OR(G86="",G86=0),"",IF(H86="",0,H86)/G86))</f>
        <v>0</v>
      </c>
      <c r="Q86" s="20">
        <f>IF(B86="","",IFERROR(INDEX(Products!$T$5:$T$304,MATCH(B86,Products!$A$5:$A$304,0)),""))</f>
        <v>0</v>
      </c>
      <c r="R86" s="36">
        <f>IF(B86="","",IFERROR(INDEX(Products!$X$5:$X$304,MATCH(B86,Products!$A$5:$A$304,0)),""))</f>
        <v>0</v>
      </c>
      <c r="S86" s="20">
        <f>IF(B86="","",ROUND(IF(J86&lt;&gt;"",J86,IF(Q86="",0,Q86)*IF(G86="",0,G86)),2))</f>
        <v>0</v>
      </c>
      <c r="T86" s="20">
        <f>IF(B86="","",ROUND(IF(K86&lt;&gt;"",K86,IF(R86="",0,R86)*IF(G86="",0,G86)/60)*LaborCostHour,2))</f>
        <v>0</v>
      </c>
      <c r="U86" s="20">
        <f>IF(B86="","",ROUND(S86+T86+IF(L86="",0,L86)-IF(I86="",0,I86),2))</f>
        <v>0</v>
      </c>
      <c r="V86" s="20">
        <f>IF(B86="","",IF(O86=0,"",ROUND(U86/O86,2)))</f>
        <v>0</v>
      </c>
      <c r="W86" s="20">
        <f>IF(B86="","",IFERROR(INDEX(Products!$AH$5:$AH$304,MATCH(B86,Products!$A$5:$A$304,0)),""))</f>
        <v>0</v>
      </c>
      <c r="X86" s="20">
        <f>IF(B86="","",IF(OR(V86="",W86=""),"",ROUND(V86-W86,2)))</f>
        <v>0</v>
      </c>
      <c r="Y86" s="33">
        <f>IF(B86="","",IF(OR(X86="",W86="",W86=0),"",X86/W86))</f>
        <v>0</v>
      </c>
      <c r="Z86" s="36">
        <f>IF(B86="","",IF(OR(K86="",G86="",G86=0),"",ROUND(K86*60/G86,1)))</f>
        <v>0</v>
      </c>
      <c r="AA86" s="36">
        <f>IF(B86="","",IF(OR(Z86="",R86=""),"",ROUND(Z86-R86,1)))</f>
        <v>0</v>
      </c>
      <c r="AB86" s="20">
        <f>IF(B86="","",IFERROR(ROUND(O86*INDEX(Products!$AR$5:$AR$304,MATCH(B86,Products!$A$5:$A$304,0)),2),""))</f>
        <v>0</v>
      </c>
      <c r="AC86" s="20">
        <f>IF(B86="","",IF(AB86="","",ROUND(AB86-U86,2)))</f>
        <v>0</v>
      </c>
      <c r="AD86" s="32">
        <f>IF(B86="","",IF(OR(D86="",E86=""),"",E86-D86))</f>
        <v>0</v>
      </c>
      <c r="AE86" s="43">
        <f>IF(B86="","",IF(G86="","Planned - nothing made yet",IF(O86=0,"Check - no good units",IF(AND(Y86&lt;&gt;"",Y86&gt;0.15),"Check - costing 15% more than the estimate",IF(AND(P86&lt;&gt;"",P86&gt;DefaultDefect*2),"Check - high failure rate",IF(AND(AA86&lt;&gt;"",AA86&gt;5),"Check - taking longer than estimated",IF(AC86&lt;0,"Loss - this run lost money","OK")))))))</f>
        <v>0</v>
      </c>
    </row>
    <row r="87" spans="1:31">
      <c r="A87" s="38">
        <f>IF(B87="","",BatchPrefix&amp;TEXT(ROW()-4,"0000"))</f>
        <v>0</v>
      </c>
      <c r="C87" s="13">
        <f>IF(B87="","",IFERROR(INDEX(Products!$B$5:$B$304,MATCH(B87,Products!$A$5:$A$304,0)),"Not found"))</f>
        <v>0</v>
      </c>
      <c r="O87" s="32">
        <f>IF(B87="","",MAX(0,IF(G87="",0,G87)-IF(H87="",0,H87)))</f>
        <v>0</v>
      </c>
      <c r="P87" s="33">
        <f>IF(B87="","",IF(OR(G87="",G87=0),"",IF(H87="",0,H87)/G87))</f>
        <v>0</v>
      </c>
      <c r="Q87" s="20">
        <f>IF(B87="","",IFERROR(INDEX(Products!$T$5:$T$304,MATCH(B87,Products!$A$5:$A$304,0)),""))</f>
        <v>0</v>
      </c>
      <c r="R87" s="36">
        <f>IF(B87="","",IFERROR(INDEX(Products!$X$5:$X$304,MATCH(B87,Products!$A$5:$A$304,0)),""))</f>
        <v>0</v>
      </c>
      <c r="S87" s="20">
        <f>IF(B87="","",ROUND(IF(J87&lt;&gt;"",J87,IF(Q87="",0,Q87)*IF(G87="",0,G87)),2))</f>
        <v>0</v>
      </c>
      <c r="T87" s="20">
        <f>IF(B87="","",ROUND(IF(K87&lt;&gt;"",K87,IF(R87="",0,R87)*IF(G87="",0,G87)/60)*LaborCostHour,2))</f>
        <v>0</v>
      </c>
      <c r="U87" s="20">
        <f>IF(B87="","",ROUND(S87+T87+IF(L87="",0,L87)-IF(I87="",0,I87),2))</f>
        <v>0</v>
      </c>
      <c r="V87" s="20">
        <f>IF(B87="","",IF(O87=0,"",ROUND(U87/O87,2)))</f>
        <v>0</v>
      </c>
      <c r="W87" s="20">
        <f>IF(B87="","",IFERROR(INDEX(Products!$AH$5:$AH$304,MATCH(B87,Products!$A$5:$A$304,0)),""))</f>
        <v>0</v>
      </c>
      <c r="X87" s="20">
        <f>IF(B87="","",IF(OR(V87="",W87=""),"",ROUND(V87-W87,2)))</f>
        <v>0</v>
      </c>
      <c r="Y87" s="33">
        <f>IF(B87="","",IF(OR(X87="",W87="",W87=0),"",X87/W87))</f>
        <v>0</v>
      </c>
      <c r="Z87" s="36">
        <f>IF(B87="","",IF(OR(K87="",G87="",G87=0),"",ROUND(K87*60/G87,1)))</f>
        <v>0</v>
      </c>
      <c r="AA87" s="36">
        <f>IF(B87="","",IF(OR(Z87="",R87=""),"",ROUND(Z87-R87,1)))</f>
        <v>0</v>
      </c>
      <c r="AB87" s="20">
        <f>IF(B87="","",IFERROR(ROUND(O87*INDEX(Products!$AR$5:$AR$304,MATCH(B87,Products!$A$5:$A$304,0)),2),""))</f>
        <v>0</v>
      </c>
      <c r="AC87" s="20">
        <f>IF(B87="","",IF(AB87="","",ROUND(AB87-U87,2)))</f>
        <v>0</v>
      </c>
      <c r="AD87" s="32">
        <f>IF(B87="","",IF(OR(D87="",E87=""),"",E87-D87))</f>
        <v>0</v>
      </c>
      <c r="AE87" s="43">
        <f>IF(B87="","",IF(G87="","Planned - nothing made yet",IF(O87=0,"Check - no good units",IF(AND(Y87&lt;&gt;"",Y87&gt;0.15),"Check - costing 15% more than the estimate",IF(AND(P87&lt;&gt;"",P87&gt;DefaultDefect*2),"Check - high failure rate",IF(AND(AA87&lt;&gt;"",AA87&gt;5),"Check - taking longer than estimated",IF(AC87&lt;0,"Loss - this run lost money","OK")))))))</f>
        <v>0</v>
      </c>
    </row>
    <row r="88" spans="1:31">
      <c r="A88" s="38">
        <f>IF(B88="","",BatchPrefix&amp;TEXT(ROW()-4,"0000"))</f>
        <v>0</v>
      </c>
      <c r="C88" s="13">
        <f>IF(B88="","",IFERROR(INDEX(Products!$B$5:$B$304,MATCH(B88,Products!$A$5:$A$304,0)),"Not found"))</f>
        <v>0</v>
      </c>
      <c r="O88" s="32">
        <f>IF(B88="","",MAX(0,IF(G88="",0,G88)-IF(H88="",0,H88)))</f>
        <v>0</v>
      </c>
      <c r="P88" s="33">
        <f>IF(B88="","",IF(OR(G88="",G88=0),"",IF(H88="",0,H88)/G88))</f>
        <v>0</v>
      </c>
      <c r="Q88" s="20">
        <f>IF(B88="","",IFERROR(INDEX(Products!$T$5:$T$304,MATCH(B88,Products!$A$5:$A$304,0)),""))</f>
        <v>0</v>
      </c>
      <c r="R88" s="36">
        <f>IF(B88="","",IFERROR(INDEX(Products!$X$5:$X$304,MATCH(B88,Products!$A$5:$A$304,0)),""))</f>
        <v>0</v>
      </c>
      <c r="S88" s="20">
        <f>IF(B88="","",ROUND(IF(J88&lt;&gt;"",J88,IF(Q88="",0,Q88)*IF(G88="",0,G88)),2))</f>
        <v>0</v>
      </c>
      <c r="T88" s="20">
        <f>IF(B88="","",ROUND(IF(K88&lt;&gt;"",K88,IF(R88="",0,R88)*IF(G88="",0,G88)/60)*LaborCostHour,2))</f>
        <v>0</v>
      </c>
      <c r="U88" s="20">
        <f>IF(B88="","",ROUND(S88+T88+IF(L88="",0,L88)-IF(I88="",0,I88),2))</f>
        <v>0</v>
      </c>
      <c r="V88" s="20">
        <f>IF(B88="","",IF(O88=0,"",ROUND(U88/O88,2)))</f>
        <v>0</v>
      </c>
      <c r="W88" s="20">
        <f>IF(B88="","",IFERROR(INDEX(Products!$AH$5:$AH$304,MATCH(B88,Products!$A$5:$A$304,0)),""))</f>
        <v>0</v>
      </c>
      <c r="X88" s="20">
        <f>IF(B88="","",IF(OR(V88="",W88=""),"",ROUND(V88-W88,2)))</f>
        <v>0</v>
      </c>
      <c r="Y88" s="33">
        <f>IF(B88="","",IF(OR(X88="",W88="",W88=0),"",X88/W88))</f>
        <v>0</v>
      </c>
      <c r="Z88" s="36">
        <f>IF(B88="","",IF(OR(K88="",G88="",G88=0),"",ROUND(K88*60/G88,1)))</f>
        <v>0</v>
      </c>
      <c r="AA88" s="36">
        <f>IF(B88="","",IF(OR(Z88="",R88=""),"",ROUND(Z88-R88,1)))</f>
        <v>0</v>
      </c>
      <c r="AB88" s="20">
        <f>IF(B88="","",IFERROR(ROUND(O88*INDEX(Products!$AR$5:$AR$304,MATCH(B88,Products!$A$5:$A$304,0)),2),""))</f>
        <v>0</v>
      </c>
      <c r="AC88" s="20">
        <f>IF(B88="","",IF(AB88="","",ROUND(AB88-U88,2)))</f>
        <v>0</v>
      </c>
      <c r="AD88" s="32">
        <f>IF(B88="","",IF(OR(D88="",E88=""),"",E88-D88))</f>
        <v>0</v>
      </c>
      <c r="AE88" s="43">
        <f>IF(B88="","",IF(G88="","Planned - nothing made yet",IF(O88=0,"Check - no good units",IF(AND(Y88&lt;&gt;"",Y88&gt;0.15),"Check - costing 15% more than the estimate",IF(AND(P88&lt;&gt;"",P88&gt;DefaultDefect*2),"Check - high failure rate",IF(AND(AA88&lt;&gt;"",AA88&gt;5),"Check - taking longer than estimated",IF(AC88&lt;0,"Loss - this run lost money","OK")))))))</f>
        <v>0</v>
      </c>
    </row>
    <row r="89" spans="1:31">
      <c r="A89" s="38">
        <f>IF(B89="","",BatchPrefix&amp;TEXT(ROW()-4,"0000"))</f>
        <v>0</v>
      </c>
      <c r="C89" s="13">
        <f>IF(B89="","",IFERROR(INDEX(Products!$B$5:$B$304,MATCH(B89,Products!$A$5:$A$304,0)),"Not found"))</f>
        <v>0</v>
      </c>
      <c r="O89" s="32">
        <f>IF(B89="","",MAX(0,IF(G89="",0,G89)-IF(H89="",0,H89)))</f>
        <v>0</v>
      </c>
      <c r="P89" s="33">
        <f>IF(B89="","",IF(OR(G89="",G89=0),"",IF(H89="",0,H89)/G89))</f>
        <v>0</v>
      </c>
      <c r="Q89" s="20">
        <f>IF(B89="","",IFERROR(INDEX(Products!$T$5:$T$304,MATCH(B89,Products!$A$5:$A$304,0)),""))</f>
        <v>0</v>
      </c>
      <c r="R89" s="36">
        <f>IF(B89="","",IFERROR(INDEX(Products!$X$5:$X$304,MATCH(B89,Products!$A$5:$A$304,0)),""))</f>
        <v>0</v>
      </c>
      <c r="S89" s="20">
        <f>IF(B89="","",ROUND(IF(J89&lt;&gt;"",J89,IF(Q89="",0,Q89)*IF(G89="",0,G89)),2))</f>
        <v>0</v>
      </c>
      <c r="T89" s="20">
        <f>IF(B89="","",ROUND(IF(K89&lt;&gt;"",K89,IF(R89="",0,R89)*IF(G89="",0,G89)/60)*LaborCostHour,2))</f>
        <v>0</v>
      </c>
      <c r="U89" s="20">
        <f>IF(B89="","",ROUND(S89+T89+IF(L89="",0,L89)-IF(I89="",0,I89),2))</f>
        <v>0</v>
      </c>
      <c r="V89" s="20">
        <f>IF(B89="","",IF(O89=0,"",ROUND(U89/O89,2)))</f>
        <v>0</v>
      </c>
      <c r="W89" s="20">
        <f>IF(B89="","",IFERROR(INDEX(Products!$AH$5:$AH$304,MATCH(B89,Products!$A$5:$A$304,0)),""))</f>
        <v>0</v>
      </c>
      <c r="X89" s="20">
        <f>IF(B89="","",IF(OR(V89="",W89=""),"",ROUND(V89-W89,2)))</f>
        <v>0</v>
      </c>
      <c r="Y89" s="33">
        <f>IF(B89="","",IF(OR(X89="",W89="",W89=0),"",X89/W89))</f>
        <v>0</v>
      </c>
      <c r="Z89" s="36">
        <f>IF(B89="","",IF(OR(K89="",G89="",G89=0),"",ROUND(K89*60/G89,1)))</f>
        <v>0</v>
      </c>
      <c r="AA89" s="36">
        <f>IF(B89="","",IF(OR(Z89="",R89=""),"",ROUND(Z89-R89,1)))</f>
        <v>0</v>
      </c>
      <c r="AB89" s="20">
        <f>IF(B89="","",IFERROR(ROUND(O89*INDEX(Products!$AR$5:$AR$304,MATCH(B89,Products!$A$5:$A$304,0)),2),""))</f>
        <v>0</v>
      </c>
      <c r="AC89" s="20">
        <f>IF(B89="","",IF(AB89="","",ROUND(AB89-U89,2)))</f>
        <v>0</v>
      </c>
      <c r="AD89" s="32">
        <f>IF(B89="","",IF(OR(D89="",E89=""),"",E89-D89))</f>
        <v>0</v>
      </c>
      <c r="AE89" s="43">
        <f>IF(B89="","",IF(G89="","Planned - nothing made yet",IF(O89=0,"Check - no good units",IF(AND(Y89&lt;&gt;"",Y89&gt;0.15),"Check - costing 15% more than the estimate",IF(AND(P89&lt;&gt;"",P89&gt;DefaultDefect*2),"Check - high failure rate",IF(AND(AA89&lt;&gt;"",AA89&gt;5),"Check - taking longer than estimated",IF(AC89&lt;0,"Loss - this run lost money","OK")))))))</f>
        <v>0</v>
      </c>
    </row>
    <row r="90" spans="1:31">
      <c r="A90" s="38">
        <f>IF(B90="","",BatchPrefix&amp;TEXT(ROW()-4,"0000"))</f>
        <v>0</v>
      </c>
      <c r="C90" s="13">
        <f>IF(B90="","",IFERROR(INDEX(Products!$B$5:$B$304,MATCH(B90,Products!$A$5:$A$304,0)),"Not found"))</f>
        <v>0</v>
      </c>
      <c r="O90" s="32">
        <f>IF(B90="","",MAX(0,IF(G90="",0,G90)-IF(H90="",0,H90)))</f>
        <v>0</v>
      </c>
      <c r="P90" s="33">
        <f>IF(B90="","",IF(OR(G90="",G90=0),"",IF(H90="",0,H90)/G90))</f>
        <v>0</v>
      </c>
      <c r="Q90" s="20">
        <f>IF(B90="","",IFERROR(INDEX(Products!$T$5:$T$304,MATCH(B90,Products!$A$5:$A$304,0)),""))</f>
        <v>0</v>
      </c>
      <c r="R90" s="36">
        <f>IF(B90="","",IFERROR(INDEX(Products!$X$5:$X$304,MATCH(B90,Products!$A$5:$A$304,0)),""))</f>
        <v>0</v>
      </c>
      <c r="S90" s="20">
        <f>IF(B90="","",ROUND(IF(J90&lt;&gt;"",J90,IF(Q90="",0,Q90)*IF(G90="",0,G90)),2))</f>
        <v>0</v>
      </c>
      <c r="T90" s="20">
        <f>IF(B90="","",ROUND(IF(K90&lt;&gt;"",K90,IF(R90="",0,R90)*IF(G90="",0,G90)/60)*LaborCostHour,2))</f>
        <v>0</v>
      </c>
      <c r="U90" s="20">
        <f>IF(B90="","",ROUND(S90+T90+IF(L90="",0,L90)-IF(I90="",0,I90),2))</f>
        <v>0</v>
      </c>
      <c r="V90" s="20">
        <f>IF(B90="","",IF(O90=0,"",ROUND(U90/O90,2)))</f>
        <v>0</v>
      </c>
      <c r="W90" s="20">
        <f>IF(B90="","",IFERROR(INDEX(Products!$AH$5:$AH$304,MATCH(B90,Products!$A$5:$A$304,0)),""))</f>
        <v>0</v>
      </c>
      <c r="X90" s="20">
        <f>IF(B90="","",IF(OR(V90="",W90=""),"",ROUND(V90-W90,2)))</f>
        <v>0</v>
      </c>
      <c r="Y90" s="33">
        <f>IF(B90="","",IF(OR(X90="",W90="",W90=0),"",X90/W90))</f>
        <v>0</v>
      </c>
      <c r="Z90" s="36">
        <f>IF(B90="","",IF(OR(K90="",G90="",G90=0),"",ROUND(K90*60/G90,1)))</f>
        <v>0</v>
      </c>
      <c r="AA90" s="36">
        <f>IF(B90="","",IF(OR(Z90="",R90=""),"",ROUND(Z90-R90,1)))</f>
        <v>0</v>
      </c>
      <c r="AB90" s="20">
        <f>IF(B90="","",IFERROR(ROUND(O90*INDEX(Products!$AR$5:$AR$304,MATCH(B90,Products!$A$5:$A$304,0)),2),""))</f>
        <v>0</v>
      </c>
      <c r="AC90" s="20">
        <f>IF(B90="","",IF(AB90="","",ROUND(AB90-U90,2)))</f>
        <v>0</v>
      </c>
      <c r="AD90" s="32">
        <f>IF(B90="","",IF(OR(D90="",E90=""),"",E90-D90))</f>
        <v>0</v>
      </c>
      <c r="AE90" s="43">
        <f>IF(B90="","",IF(G90="","Planned - nothing made yet",IF(O90=0,"Check - no good units",IF(AND(Y90&lt;&gt;"",Y90&gt;0.15),"Check - costing 15% more than the estimate",IF(AND(P90&lt;&gt;"",P90&gt;DefaultDefect*2),"Check - high failure rate",IF(AND(AA90&lt;&gt;"",AA90&gt;5),"Check - taking longer than estimated",IF(AC90&lt;0,"Loss - this run lost money","OK")))))))</f>
        <v>0</v>
      </c>
    </row>
    <row r="91" spans="1:31">
      <c r="A91" s="38">
        <f>IF(B91="","",BatchPrefix&amp;TEXT(ROW()-4,"0000"))</f>
        <v>0</v>
      </c>
      <c r="C91" s="13">
        <f>IF(B91="","",IFERROR(INDEX(Products!$B$5:$B$304,MATCH(B91,Products!$A$5:$A$304,0)),"Not found"))</f>
        <v>0</v>
      </c>
      <c r="O91" s="32">
        <f>IF(B91="","",MAX(0,IF(G91="",0,G91)-IF(H91="",0,H91)))</f>
        <v>0</v>
      </c>
      <c r="P91" s="33">
        <f>IF(B91="","",IF(OR(G91="",G91=0),"",IF(H91="",0,H91)/G91))</f>
        <v>0</v>
      </c>
      <c r="Q91" s="20">
        <f>IF(B91="","",IFERROR(INDEX(Products!$T$5:$T$304,MATCH(B91,Products!$A$5:$A$304,0)),""))</f>
        <v>0</v>
      </c>
      <c r="R91" s="36">
        <f>IF(B91="","",IFERROR(INDEX(Products!$X$5:$X$304,MATCH(B91,Products!$A$5:$A$304,0)),""))</f>
        <v>0</v>
      </c>
      <c r="S91" s="20">
        <f>IF(B91="","",ROUND(IF(J91&lt;&gt;"",J91,IF(Q91="",0,Q91)*IF(G91="",0,G91)),2))</f>
        <v>0</v>
      </c>
      <c r="T91" s="20">
        <f>IF(B91="","",ROUND(IF(K91&lt;&gt;"",K91,IF(R91="",0,R91)*IF(G91="",0,G91)/60)*LaborCostHour,2))</f>
        <v>0</v>
      </c>
      <c r="U91" s="20">
        <f>IF(B91="","",ROUND(S91+T91+IF(L91="",0,L91)-IF(I91="",0,I91),2))</f>
        <v>0</v>
      </c>
      <c r="V91" s="20">
        <f>IF(B91="","",IF(O91=0,"",ROUND(U91/O91,2)))</f>
        <v>0</v>
      </c>
      <c r="W91" s="20">
        <f>IF(B91="","",IFERROR(INDEX(Products!$AH$5:$AH$304,MATCH(B91,Products!$A$5:$A$304,0)),""))</f>
        <v>0</v>
      </c>
      <c r="X91" s="20">
        <f>IF(B91="","",IF(OR(V91="",W91=""),"",ROUND(V91-W91,2)))</f>
        <v>0</v>
      </c>
      <c r="Y91" s="33">
        <f>IF(B91="","",IF(OR(X91="",W91="",W91=0),"",X91/W91))</f>
        <v>0</v>
      </c>
      <c r="Z91" s="36">
        <f>IF(B91="","",IF(OR(K91="",G91="",G91=0),"",ROUND(K91*60/G91,1)))</f>
        <v>0</v>
      </c>
      <c r="AA91" s="36">
        <f>IF(B91="","",IF(OR(Z91="",R91=""),"",ROUND(Z91-R91,1)))</f>
        <v>0</v>
      </c>
      <c r="AB91" s="20">
        <f>IF(B91="","",IFERROR(ROUND(O91*INDEX(Products!$AR$5:$AR$304,MATCH(B91,Products!$A$5:$A$304,0)),2),""))</f>
        <v>0</v>
      </c>
      <c r="AC91" s="20">
        <f>IF(B91="","",IF(AB91="","",ROUND(AB91-U91,2)))</f>
        <v>0</v>
      </c>
      <c r="AD91" s="32">
        <f>IF(B91="","",IF(OR(D91="",E91=""),"",E91-D91))</f>
        <v>0</v>
      </c>
      <c r="AE91" s="43">
        <f>IF(B91="","",IF(G91="","Planned - nothing made yet",IF(O91=0,"Check - no good units",IF(AND(Y91&lt;&gt;"",Y91&gt;0.15),"Check - costing 15% more than the estimate",IF(AND(P91&lt;&gt;"",P91&gt;DefaultDefect*2),"Check - high failure rate",IF(AND(AA91&lt;&gt;"",AA91&gt;5),"Check - taking longer than estimated",IF(AC91&lt;0,"Loss - this run lost money","OK")))))))</f>
        <v>0</v>
      </c>
    </row>
    <row r="92" spans="1:31">
      <c r="A92" s="38">
        <f>IF(B92="","",BatchPrefix&amp;TEXT(ROW()-4,"0000"))</f>
        <v>0</v>
      </c>
      <c r="C92" s="13">
        <f>IF(B92="","",IFERROR(INDEX(Products!$B$5:$B$304,MATCH(B92,Products!$A$5:$A$304,0)),"Not found"))</f>
        <v>0</v>
      </c>
      <c r="O92" s="32">
        <f>IF(B92="","",MAX(0,IF(G92="",0,G92)-IF(H92="",0,H92)))</f>
        <v>0</v>
      </c>
      <c r="P92" s="33">
        <f>IF(B92="","",IF(OR(G92="",G92=0),"",IF(H92="",0,H92)/G92))</f>
        <v>0</v>
      </c>
      <c r="Q92" s="20">
        <f>IF(B92="","",IFERROR(INDEX(Products!$T$5:$T$304,MATCH(B92,Products!$A$5:$A$304,0)),""))</f>
        <v>0</v>
      </c>
      <c r="R92" s="36">
        <f>IF(B92="","",IFERROR(INDEX(Products!$X$5:$X$304,MATCH(B92,Products!$A$5:$A$304,0)),""))</f>
        <v>0</v>
      </c>
      <c r="S92" s="20">
        <f>IF(B92="","",ROUND(IF(J92&lt;&gt;"",J92,IF(Q92="",0,Q92)*IF(G92="",0,G92)),2))</f>
        <v>0</v>
      </c>
      <c r="T92" s="20">
        <f>IF(B92="","",ROUND(IF(K92&lt;&gt;"",K92,IF(R92="",0,R92)*IF(G92="",0,G92)/60)*LaborCostHour,2))</f>
        <v>0</v>
      </c>
      <c r="U92" s="20">
        <f>IF(B92="","",ROUND(S92+T92+IF(L92="",0,L92)-IF(I92="",0,I92),2))</f>
        <v>0</v>
      </c>
      <c r="V92" s="20">
        <f>IF(B92="","",IF(O92=0,"",ROUND(U92/O92,2)))</f>
        <v>0</v>
      </c>
      <c r="W92" s="20">
        <f>IF(B92="","",IFERROR(INDEX(Products!$AH$5:$AH$304,MATCH(B92,Products!$A$5:$A$304,0)),""))</f>
        <v>0</v>
      </c>
      <c r="X92" s="20">
        <f>IF(B92="","",IF(OR(V92="",W92=""),"",ROUND(V92-W92,2)))</f>
        <v>0</v>
      </c>
      <c r="Y92" s="33">
        <f>IF(B92="","",IF(OR(X92="",W92="",W92=0),"",X92/W92))</f>
        <v>0</v>
      </c>
      <c r="Z92" s="36">
        <f>IF(B92="","",IF(OR(K92="",G92="",G92=0),"",ROUND(K92*60/G92,1)))</f>
        <v>0</v>
      </c>
      <c r="AA92" s="36">
        <f>IF(B92="","",IF(OR(Z92="",R92=""),"",ROUND(Z92-R92,1)))</f>
        <v>0</v>
      </c>
      <c r="AB92" s="20">
        <f>IF(B92="","",IFERROR(ROUND(O92*INDEX(Products!$AR$5:$AR$304,MATCH(B92,Products!$A$5:$A$304,0)),2),""))</f>
        <v>0</v>
      </c>
      <c r="AC92" s="20">
        <f>IF(B92="","",IF(AB92="","",ROUND(AB92-U92,2)))</f>
        <v>0</v>
      </c>
      <c r="AD92" s="32">
        <f>IF(B92="","",IF(OR(D92="",E92=""),"",E92-D92))</f>
        <v>0</v>
      </c>
      <c r="AE92" s="43">
        <f>IF(B92="","",IF(G92="","Planned - nothing made yet",IF(O92=0,"Check - no good units",IF(AND(Y92&lt;&gt;"",Y92&gt;0.15),"Check - costing 15% more than the estimate",IF(AND(P92&lt;&gt;"",P92&gt;DefaultDefect*2),"Check - high failure rate",IF(AND(AA92&lt;&gt;"",AA92&gt;5),"Check - taking longer than estimated",IF(AC92&lt;0,"Loss - this run lost money","OK")))))))</f>
        <v>0</v>
      </c>
    </row>
    <row r="93" spans="1:31">
      <c r="A93" s="38">
        <f>IF(B93="","",BatchPrefix&amp;TEXT(ROW()-4,"0000"))</f>
        <v>0</v>
      </c>
      <c r="C93" s="13">
        <f>IF(B93="","",IFERROR(INDEX(Products!$B$5:$B$304,MATCH(B93,Products!$A$5:$A$304,0)),"Not found"))</f>
        <v>0</v>
      </c>
      <c r="O93" s="32">
        <f>IF(B93="","",MAX(0,IF(G93="",0,G93)-IF(H93="",0,H93)))</f>
        <v>0</v>
      </c>
      <c r="P93" s="33">
        <f>IF(B93="","",IF(OR(G93="",G93=0),"",IF(H93="",0,H93)/G93))</f>
        <v>0</v>
      </c>
      <c r="Q93" s="20">
        <f>IF(B93="","",IFERROR(INDEX(Products!$T$5:$T$304,MATCH(B93,Products!$A$5:$A$304,0)),""))</f>
        <v>0</v>
      </c>
      <c r="R93" s="36">
        <f>IF(B93="","",IFERROR(INDEX(Products!$X$5:$X$304,MATCH(B93,Products!$A$5:$A$304,0)),""))</f>
        <v>0</v>
      </c>
      <c r="S93" s="20">
        <f>IF(B93="","",ROUND(IF(J93&lt;&gt;"",J93,IF(Q93="",0,Q93)*IF(G93="",0,G93)),2))</f>
        <v>0</v>
      </c>
      <c r="T93" s="20">
        <f>IF(B93="","",ROUND(IF(K93&lt;&gt;"",K93,IF(R93="",0,R93)*IF(G93="",0,G93)/60)*LaborCostHour,2))</f>
        <v>0</v>
      </c>
      <c r="U93" s="20">
        <f>IF(B93="","",ROUND(S93+T93+IF(L93="",0,L93)-IF(I93="",0,I93),2))</f>
        <v>0</v>
      </c>
      <c r="V93" s="20">
        <f>IF(B93="","",IF(O93=0,"",ROUND(U93/O93,2)))</f>
        <v>0</v>
      </c>
      <c r="W93" s="20">
        <f>IF(B93="","",IFERROR(INDEX(Products!$AH$5:$AH$304,MATCH(B93,Products!$A$5:$A$304,0)),""))</f>
        <v>0</v>
      </c>
      <c r="X93" s="20">
        <f>IF(B93="","",IF(OR(V93="",W93=""),"",ROUND(V93-W93,2)))</f>
        <v>0</v>
      </c>
      <c r="Y93" s="33">
        <f>IF(B93="","",IF(OR(X93="",W93="",W93=0),"",X93/W93))</f>
        <v>0</v>
      </c>
      <c r="Z93" s="36">
        <f>IF(B93="","",IF(OR(K93="",G93="",G93=0),"",ROUND(K93*60/G93,1)))</f>
        <v>0</v>
      </c>
      <c r="AA93" s="36">
        <f>IF(B93="","",IF(OR(Z93="",R93=""),"",ROUND(Z93-R93,1)))</f>
        <v>0</v>
      </c>
      <c r="AB93" s="20">
        <f>IF(B93="","",IFERROR(ROUND(O93*INDEX(Products!$AR$5:$AR$304,MATCH(B93,Products!$A$5:$A$304,0)),2),""))</f>
        <v>0</v>
      </c>
      <c r="AC93" s="20">
        <f>IF(B93="","",IF(AB93="","",ROUND(AB93-U93,2)))</f>
        <v>0</v>
      </c>
      <c r="AD93" s="32">
        <f>IF(B93="","",IF(OR(D93="",E93=""),"",E93-D93))</f>
        <v>0</v>
      </c>
      <c r="AE93" s="43">
        <f>IF(B93="","",IF(G93="","Planned - nothing made yet",IF(O93=0,"Check - no good units",IF(AND(Y93&lt;&gt;"",Y93&gt;0.15),"Check - costing 15% more than the estimate",IF(AND(P93&lt;&gt;"",P93&gt;DefaultDefect*2),"Check - high failure rate",IF(AND(AA93&lt;&gt;"",AA93&gt;5),"Check - taking longer than estimated",IF(AC93&lt;0,"Loss - this run lost money","OK")))))))</f>
        <v>0</v>
      </c>
    </row>
    <row r="94" spans="1:31">
      <c r="A94" s="38">
        <f>IF(B94="","",BatchPrefix&amp;TEXT(ROW()-4,"0000"))</f>
        <v>0</v>
      </c>
      <c r="C94" s="13">
        <f>IF(B94="","",IFERROR(INDEX(Products!$B$5:$B$304,MATCH(B94,Products!$A$5:$A$304,0)),"Not found"))</f>
        <v>0</v>
      </c>
      <c r="O94" s="32">
        <f>IF(B94="","",MAX(0,IF(G94="",0,G94)-IF(H94="",0,H94)))</f>
        <v>0</v>
      </c>
      <c r="P94" s="33">
        <f>IF(B94="","",IF(OR(G94="",G94=0),"",IF(H94="",0,H94)/G94))</f>
        <v>0</v>
      </c>
      <c r="Q94" s="20">
        <f>IF(B94="","",IFERROR(INDEX(Products!$T$5:$T$304,MATCH(B94,Products!$A$5:$A$304,0)),""))</f>
        <v>0</v>
      </c>
      <c r="R94" s="36">
        <f>IF(B94="","",IFERROR(INDEX(Products!$X$5:$X$304,MATCH(B94,Products!$A$5:$A$304,0)),""))</f>
        <v>0</v>
      </c>
      <c r="S94" s="20">
        <f>IF(B94="","",ROUND(IF(J94&lt;&gt;"",J94,IF(Q94="",0,Q94)*IF(G94="",0,G94)),2))</f>
        <v>0</v>
      </c>
      <c r="T94" s="20">
        <f>IF(B94="","",ROUND(IF(K94&lt;&gt;"",K94,IF(R94="",0,R94)*IF(G94="",0,G94)/60)*LaborCostHour,2))</f>
        <v>0</v>
      </c>
      <c r="U94" s="20">
        <f>IF(B94="","",ROUND(S94+T94+IF(L94="",0,L94)-IF(I94="",0,I94),2))</f>
        <v>0</v>
      </c>
      <c r="V94" s="20">
        <f>IF(B94="","",IF(O94=0,"",ROUND(U94/O94,2)))</f>
        <v>0</v>
      </c>
      <c r="W94" s="20">
        <f>IF(B94="","",IFERROR(INDEX(Products!$AH$5:$AH$304,MATCH(B94,Products!$A$5:$A$304,0)),""))</f>
        <v>0</v>
      </c>
      <c r="X94" s="20">
        <f>IF(B94="","",IF(OR(V94="",W94=""),"",ROUND(V94-W94,2)))</f>
        <v>0</v>
      </c>
      <c r="Y94" s="33">
        <f>IF(B94="","",IF(OR(X94="",W94="",W94=0),"",X94/W94))</f>
        <v>0</v>
      </c>
      <c r="Z94" s="36">
        <f>IF(B94="","",IF(OR(K94="",G94="",G94=0),"",ROUND(K94*60/G94,1)))</f>
        <v>0</v>
      </c>
      <c r="AA94" s="36">
        <f>IF(B94="","",IF(OR(Z94="",R94=""),"",ROUND(Z94-R94,1)))</f>
        <v>0</v>
      </c>
      <c r="AB94" s="20">
        <f>IF(B94="","",IFERROR(ROUND(O94*INDEX(Products!$AR$5:$AR$304,MATCH(B94,Products!$A$5:$A$304,0)),2),""))</f>
        <v>0</v>
      </c>
      <c r="AC94" s="20">
        <f>IF(B94="","",IF(AB94="","",ROUND(AB94-U94,2)))</f>
        <v>0</v>
      </c>
      <c r="AD94" s="32">
        <f>IF(B94="","",IF(OR(D94="",E94=""),"",E94-D94))</f>
        <v>0</v>
      </c>
      <c r="AE94" s="43">
        <f>IF(B94="","",IF(G94="","Planned - nothing made yet",IF(O94=0,"Check - no good units",IF(AND(Y94&lt;&gt;"",Y94&gt;0.15),"Check - costing 15% more than the estimate",IF(AND(P94&lt;&gt;"",P94&gt;DefaultDefect*2),"Check - high failure rate",IF(AND(AA94&lt;&gt;"",AA94&gt;5),"Check - taking longer than estimated",IF(AC94&lt;0,"Loss - this run lost money","OK")))))))</f>
        <v>0</v>
      </c>
    </row>
    <row r="95" spans="1:31">
      <c r="A95" s="38">
        <f>IF(B95="","",BatchPrefix&amp;TEXT(ROW()-4,"0000"))</f>
        <v>0</v>
      </c>
      <c r="C95" s="13">
        <f>IF(B95="","",IFERROR(INDEX(Products!$B$5:$B$304,MATCH(B95,Products!$A$5:$A$304,0)),"Not found"))</f>
        <v>0</v>
      </c>
      <c r="O95" s="32">
        <f>IF(B95="","",MAX(0,IF(G95="",0,G95)-IF(H95="",0,H95)))</f>
        <v>0</v>
      </c>
      <c r="P95" s="33">
        <f>IF(B95="","",IF(OR(G95="",G95=0),"",IF(H95="",0,H95)/G95))</f>
        <v>0</v>
      </c>
      <c r="Q95" s="20">
        <f>IF(B95="","",IFERROR(INDEX(Products!$T$5:$T$304,MATCH(B95,Products!$A$5:$A$304,0)),""))</f>
        <v>0</v>
      </c>
      <c r="R95" s="36">
        <f>IF(B95="","",IFERROR(INDEX(Products!$X$5:$X$304,MATCH(B95,Products!$A$5:$A$304,0)),""))</f>
        <v>0</v>
      </c>
      <c r="S95" s="20">
        <f>IF(B95="","",ROUND(IF(J95&lt;&gt;"",J95,IF(Q95="",0,Q95)*IF(G95="",0,G95)),2))</f>
        <v>0</v>
      </c>
      <c r="T95" s="20">
        <f>IF(B95="","",ROUND(IF(K95&lt;&gt;"",K95,IF(R95="",0,R95)*IF(G95="",0,G95)/60)*LaborCostHour,2))</f>
        <v>0</v>
      </c>
      <c r="U95" s="20">
        <f>IF(B95="","",ROUND(S95+T95+IF(L95="",0,L95)-IF(I95="",0,I95),2))</f>
        <v>0</v>
      </c>
      <c r="V95" s="20">
        <f>IF(B95="","",IF(O95=0,"",ROUND(U95/O95,2)))</f>
        <v>0</v>
      </c>
      <c r="W95" s="20">
        <f>IF(B95="","",IFERROR(INDEX(Products!$AH$5:$AH$304,MATCH(B95,Products!$A$5:$A$304,0)),""))</f>
        <v>0</v>
      </c>
      <c r="X95" s="20">
        <f>IF(B95="","",IF(OR(V95="",W95=""),"",ROUND(V95-W95,2)))</f>
        <v>0</v>
      </c>
      <c r="Y95" s="33">
        <f>IF(B95="","",IF(OR(X95="",W95="",W95=0),"",X95/W95))</f>
        <v>0</v>
      </c>
      <c r="Z95" s="36">
        <f>IF(B95="","",IF(OR(K95="",G95="",G95=0),"",ROUND(K95*60/G95,1)))</f>
        <v>0</v>
      </c>
      <c r="AA95" s="36">
        <f>IF(B95="","",IF(OR(Z95="",R95=""),"",ROUND(Z95-R95,1)))</f>
        <v>0</v>
      </c>
      <c r="AB95" s="20">
        <f>IF(B95="","",IFERROR(ROUND(O95*INDEX(Products!$AR$5:$AR$304,MATCH(B95,Products!$A$5:$A$304,0)),2),""))</f>
        <v>0</v>
      </c>
      <c r="AC95" s="20">
        <f>IF(B95="","",IF(AB95="","",ROUND(AB95-U95,2)))</f>
        <v>0</v>
      </c>
      <c r="AD95" s="32">
        <f>IF(B95="","",IF(OR(D95="",E95=""),"",E95-D95))</f>
        <v>0</v>
      </c>
      <c r="AE95" s="43">
        <f>IF(B95="","",IF(G95="","Planned - nothing made yet",IF(O95=0,"Check - no good units",IF(AND(Y95&lt;&gt;"",Y95&gt;0.15),"Check - costing 15% more than the estimate",IF(AND(P95&lt;&gt;"",P95&gt;DefaultDefect*2),"Check - high failure rate",IF(AND(AA95&lt;&gt;"",AA95&gt;5),"Check - taking longer than estimated",IF(AC95&lt;0,"Loss - this run lost money","OK")))))))</f>
        <v>0</v>
      </c>
    </row>
    <row r="96" spans="1:31">
      <c r="A96" s="38">
        <f>IF(B96="","",BatchPrefix&amp;TEXT(ROW()-4,"0000"))</f>
        <v>0</v>
      </c>
      <c r="C96" s="13">
        <f>IF(B96="","",IFERROR(INDEX(Products!$B$5:$B$304,MATCH(B96,Products!$A$5:$A$304,0)),"Not found"))</f>
        <v>0</v>
      </c>
      <c r="O96" s="32">
        <f>IF(B96="","",MAX(0,IF(G96="",0,G96)-IF(H96="",0,H96)))</f>
        <v>0</v>
      </c>
      <c r="P96" s="33">
        <f>IF(B96="","",IF(OR(G96="",G96=0),"",IF(H96="",0,H96)/G96))</f>
        <v>0</v>
      </c>
      <c r="Q96" s="20">
        <f>IF(B96="","",IFERROR(INDEX(Products!$T$5:$T$304,MATCH(B96,Products!$A$5:$A$304,0)),""))</f>
        <v>0</v>
      </c>
      <c r="R96" s="36">
        <f>IF(B96="","",IFERROR(INDEX(Products!$X$5:$X$304,MATCH(B96,Products!$A$5:$A$304,0)),""))</f>
        <v>0</v>
      </c>
      <c r="S96" s="20">
        <f>IF(B96="","",ROUND(IF(J96&lt;&gt;"",J96,IF(Q96="",0,Q96)*IF(G96="",0,G96)),2))</f>
        <v>0</v>
      </c>
      <c r="T96" s="20">
        <f>IF(B96="","",ROUND(IF(K96&lt;&gt;"",K96,IF(R96="",0,R96)*IF(G96="",0,G96)/60)*LaborCostHour,2))</f>
        <v>0</v>
      </c>
      <c r="U96" s="20">
        <f>IF(B96="","",ROUND(S96+T96+IF(L96="",0,L96)-IF(I96="",0,I96),2))</f>
        <v>0</v>
      </c>
      <c r="V96" s="20">
        <f>IF(B96="","",IF(O96=0,"",ROUND(U96/O96,2)))</f>
        <v>0</v>
      </c>
      <c r="W96" s="20">
        <f>IF(B96="","",IFERROR(INDEX(Products!$AH$5:$AH$304,MATCH(B96,Products!$A$5:$A$304,0)),""))</f>
        <v>0</v>
      </c>
      <c r="X96" s="20">
        <f>IF(B96="","",IF(OR(V96="",W96=""),"",ROUND(V96-W96,2)))</f>
        <v>0</v>
      </c>
      <c r="Y96" s="33">
        <f>IF(B96="","",IF(OR(X96="",W96="",W96=0),"",X96/W96))</f>
        <v>0</v>
      </c>
      <c r="Z96" s="36">
        <f>IF(B96="","",IF(OR(K96="",G96="",G96=0),"",ROUND(K96*60/G96,1)))</f>
        <v>0</v>
      </c>
      <c r="AA96" s="36">
        <f>IF(B96="","",IF(OR(Z96="",R96=""),"",ROUND(Z96-R96,1)))</f>
        <v>0</v>
      </c>
      <c r="AB96" s="20">
        <f>IF(B96="","",IFERROR(ROUND(O96*INDEX(Products!$AR$5:$AR$304,MATCH(B96,Products!$A$5:$A$304,0)),2),""))</f>
        <v>0</v>
      </c>
      <c r="AC96" s="20">
        <f>IF(B96="","",IF(AB96="","",ROUND(AB96-U96,2)))</f>
        <v>0</v>
      </c>
      <c r="AD96" s="32">
        <f>IF(B96="","",IF(OR(D96="",E96=""),"",E96-D96))</f>
        <v>0</v>
      </c>
      <c r="AE96" s="43">
        <f>IF(B96="","",IF(G96="","Planned - nothing made yet",IF(O96=0,"Check - no good units",IF(AND(Y96&lt;&gt;"",Y96&gt;0.15),"Check - costing 15% more than the estimate",IF(AND(P96&lt;&gt;"",P96&gt;DefaultDefect*2),"Check - high failure rate",IF(AND(AA96&lt;&gt;"",AA96&gt;5),"Check - taking longer than estimated",IF(AC96&lt;0,"Loss - this run lost money","OK")))))))</f>
        <v>0</v>
      </c>
    </row>
    <row r="97" spans="1:31">
      <c r="A97" s="38">
        <f>IF(B97="","",BatchPrefix&amp;TEXT(ROW()-4,"0000"))</f>
        <v>0</v>
      </c>
      <c r="C97" s="13">
        <f>IF(B97="","",IFERROR(INDEX(Products!$B$5:$B$304,MATCH(B97,Products!$A$5:$A$304,0)),"Not found"))</f>
        <v>0</v>
      </c>
      <c r="O97" s="32">
        <f>IF(B97="","",MAX(0,IF(G97="",0,G97)-IF(H97="",0,H97)))</f>
        <v>0</v>
      </c>
      <c r="P97" s="33">
        <f>IF(B97="","",IF(OR(G97="",G97=0),"",IF(H97="",0,H97)/G97))</f>
        <v>0</v>
      </c>
      <c r="Q97" s="20">
        <f>IF(B97="","",IFERROR(INDEX(Products!$T$5:$T$304,MATCH(B97,Products!$A$5:$A$304,0)),""))</f>
        <v>0</v>
      </c>
      <c r="R97" s="36">
        <f>IF(B97="","",IFERROR(INDEX(Products!$X$5:$X$304,MATCH(B97,Products!$A$5:$A$304,0)),""))</f>
        <v>0</v>
      </c>
      <c r="S97" s="20">
        <f>IF(B97="","",ROUND(IF(J97&lt;&gt;"",J97,IF(Q97="",0,Q97)*IF(G97="",0,G97)),2))</f>
        <v>0</v>
      </c>
      <c r="T97" s="20">
        <f>IF(B97="","",ROUND(IF(K97&lt;&gt;"",K97,IF(R97="",0,R97)*IF(G97="",0,G97)/60)*LaborCostHour,2))</f>
        <v>0</v>
      </c>
      <c r="U97" s="20">
        <f>IF(B97="","",ROUND(S97+T97+IF(L97="",0,L97)-IF(I97="",0,I97),2))</f>
        <v>0</v>
      </c>
      <c r="V97" s="20">
        <f>IF(B97="","",IF(O97=0,"",ROUND(U97/O97,2)))</f>
        <v>0</v>
      </c>
      <c r="W97" s="20">
        <f>IF(B97="","",IFERROR(INDEX(Products!$AH$5:$AH$304,MATCH(B97,Products!$A$5:$A$304,0)),""))</f>
        <v>0</v>
      </c>
      <c r="X97" s="20">
        <f>IF(B97="","",IF(OR(V97="",W97=""),"",ROUND(V97-W97,2)))</f>
        <v>0</v>
      </c>
      <c r="Y97" s="33">
        <f>IF(B97="","",IF(OR(X97="",W97="",W97=0),"",X97/W97))</f>
        <v>0</v>
      </c>
      <c r="Z97" s="36">
        <f>IF(B97="","",IF(OR(K97="",G97="",G97=0),"",ROUND(K97*60/G97,1)))</f>
        <v>0</v>
      </c>
      <c r="AA97" s="36">
        <f>IF(B97="","",IF(OR(Z97="",R97=""),"",ROUND(Z97-R97,1)))</f>
        <v>0</v>
      </c>
      <c r="AB97" s="20">
        <f>IF(B97="","",IFERROR(ROUND(O97*INDEX(Products!$AR$5:$AR$304,MATCH(B97,Products!$A$5:$A$304,0)),2),""))</f>
        <v>0</v>
      </c>
      <c r="AC97" s="20">
        <f>IF(B97="","",IF(AB97="","",ROUND(AB97-U97,2)))</f>
        <v>0</v>
      </c>
      <c r="AD97" s="32">
        <f>IF(B97="","",IF(OR(D97="",E97=""),"",E97-D97))</f>
        <v>0</v>
      </c>
      <c r="AE97" s="43">
        <f>IF(B97="","",IF(G97="","Planned - nothing made yet",IF(O97=0,"Check - no good units",IF(AND(Y97&lt;&gt;"",Y97&gt;0.15),"Check - costing 15% more than the estimate",IF(AND(P97&lt;&gt;"",P97&gt;DefaultDefect*2),"Check - high failure rate",IF(AND(AA97&lt;&gt;"",AA97&gt;5),"Check - taking longer than estimated",IF(AC97&lt;0,"Loss - this run lost money","OK")))))))</f>
        <v>0</v>
      </c>
    </row>
    <row r="98" spans="1:31">
      <c r="A98" s="38">
        <f>IF(B98="","",BatchPrefix&amp;TEXT(ROW()-4,"0000"))</f>
        <v>0</v>
      </c>
      <c r="C98" s="13">
        <f>IF(B98="","",IFERROR(INDEX(Products!$B$5:$B$304,MATCH(B98,Products!$A$5:$A$304,0)),"Not found"))</f>
        <v>0</v>
      </c>
      <c r="O98" s="32">
        <f>IF(B98="","",MAX(0,IF(G98="",0,G98)-IF(H98="",0,H98)))</f>
        <v>0</v>
      </c>
      <c r="P98" s="33">
        <f>IF(B98="","",IF(OR(G98="",G98=0),"",IF(H98="",0,H98)/G98))</f>
        <v>0</v>
      </c>
      <c r="Q98" s="20">
        <f>IF(B98="","",IFERROR(INDEX(Products!$T$5:$T$304,MATCH(B98,Products!$A$5:$A$304,0)),""))</f>
        <v>0</v>
      </c>
      <c r="R98" s="36">
        <f>IF(B98="","",IFERROR(INDEX(Products!$X$5:$X$304,MATCH(B98,Products!$A$5:$A$304,0)),""))</f>
        <v>0</v>
      </c>
      <c r="S98" s="20">
        <f>IF(B98="","",ROUND(IF(J98&lt;&gt;"",J98,IF(Q98="",0,Q98)*IF(G98="",0,G98)),2))</f>
        <v>0</v>
      </c>
      <c r="T98" s="20">
        <f>IF(B98="","",ROUND(IF(K98&lt;&gt;"",K98,IF(R98="",0,R98)*IF(G98="",0,G98)/60)*LaborCostHour,2))</f>
        <v>0</v>
      </c>
      <c r="U98" s="20">
        <f>IF(B98="","",ROUND(S98+T98+IF(L98="",0,L98)-IF(I98="",0,I98),2))</f>
        <v>0</v>
      </c>
      <c r="V98" s="20">
        <f>IF(B98="","",IF(O98=0,"",ROUND(U98/O98,2)))</f>
        <v>0</v>
      </c>
      <c r="W98" s="20">
        <f>IF(B98="","",IFERROR(INDEX(Products!$AH$5:$AH$304,MATCH(B98,Products!$A$5:$A$304,0)),""))</f>
        <v>0</v>
      </c>
      <c r="X98" s="20">
        <f>IF(B98="","",IF(OR(V98="",W98=""),"",ROUND(V98-W98,2)))</f>
        <v>0</v>
      </c>
      <c r="Y98" s="33">
        <f>IF(B98="","",IF(OR(X98="",W98="",W98=0),"",X98/W98))</f>
        <v>0</v>
      </c>
      <c r="Z98" s="36">
        <f>IF(B98="","",IF(OR(K98="",G98="",G98=0),"",ROUND(K98*60/G98,1)))</f>
        <v>0</v>
      </c>
      <c r="AA98" s="36">
        <f>IF(B98="","",IF(OR(Z98="",R98=""),"",ROUND(Z98-R98,1)))</f>
        <v>0</v>
      </c>
      <c r="AB98" s="20">
        <f>IF(B98="","",IFERROR(ROUND(O98*INDEX(Products!$AR$5:$AR$304,MATCH(B98,Products!$A$5:$A$304,0)),2),""))</f>
        <v>0</v>
      </c>
      <c r="AC98" s="20">
        <f>IF(B98="","",IF(AB98="","",ROUND(AB98-U98,2)))</f>
        <v>0</v>
      </c>
      <c r="AD98" s="32">
        <f>IF(B98="","",IF(OR(D98="",E98=""),"",E98-D98))</f>
        <v>0</v>
      </c>
      <c r="AE98" s="43">
        <f>IF(B98="","",IF(G98="","Planned - nothing made yet",IF(O98=0,"Check - no good units",IF(AND(Y98&lt;&gt;"",Y98&gt;0.15),"Check - costing 15% more than the estimate",IF(AND(P98&lt;&gt;"",P98&gt;DefaultDefect*2),"Check - high failure rate",IF(AND(AA98&lt;&gt;"",AA98&gt;5),"Check - taking longer than estimated",IF(AC98&lt;0,"Loss - this run lost money","OK")))))))</f>
        <v>0</v>
      </c>
    </row>
    <row r="99" spans="1:31">
      <c r="A99" s="38">
        <f>IF(B99="","",BatchPrefix&amp;TEXT(ROW()-4,"0000"))</f>
        <v>0</v>
      </c>
      <c r="C99" s="13">
        <f>IF(B99="","",IFERROR(INDEX(Products!$B$5:$B$304,MATCH(B99,Products!$A$5:$A$304,0)),"Not found"))</f>
        <v>0</v>
      </c>
      <c r="O99" s="32">
        <f>IF(B99="","",MAX(0,IF(G99="",0,G99)-IF(H99="",0,H99)))</f>
        <v>0</v>
      </c>
      <c r="P99" s="33">
        <f>IF(B99="","",IF(OR(G99="",G99=0),"",IF(H99="",0,H99)/G99))</f>
        <v>0</v>
      </c>
      <c r="Q99" s="20">
        <f>IF(B99="","",IFERROR(INDEX(Products!$T$5:$T$304,MATCH(B99,Products!$A$5:$A$304,0)),""))</f>
        <v>0</v>
      </c>
      <c r="R99" s="36">
        <f>IF(B99="","",IFERROR(INDEX(Products!$X$5:$X$304,MATCH(B99,Products!$A$5:$A$304,0)),""))</f>
        <v>0</v>
      </c>
      <c r="S99" s="20">
        <f>IF(B99="","",ROUND(IF(J99&lt;&gt;"",J99,IF(Q99="",0,Q99)*IF(G99="",0,G99)),2))</f>
        <v>0</v>
      </c>
      <c r="T99" s="20">
        <f>IF(B99="","",ROUND(IF(K99&lt;&gt;"",K99,IF(R99="",0,R99)*IF(G99="",0,G99)/60)*LaborCostHour,2))</f>
        <v>0</v>
      </c>
      <c r="U99" s="20">
        <f>IF(B99="","",ROUND(S99+T99+IF(L99="",0,L99)-IF(I99="",0,I99),2))</f>
        <v>0</v>
      </c>
      <c r="V99" s="20">
        <f>IF(B99="","",IF(O99=0,"",ROUND(U99/O99,2)))</f>
        <v>0</v>
      </c>
      <c r="W99" s="20">
        <f>IF(B99="","",IFERROR(INDEX(Products!$AH$5:$AH$304,MATCH(B99,Products!$A$5:$A$304,0)),""))</f>
        <v>0</v>
      </c>
      <c r="X99" s="20">
        <f>IF(B99="","",IF(OR(V99="",W99=""),"",ROUND(V99-W99,2)))</f>
        <v>0</v>
      </c>
      <c r="Y99" s="33">
        <f>IF(B99="","",IF(OR(X99="",W99="",W99=0),"",X99/W99))</f>
        <v>0</v>
      </c>
      <c r="Z99" s="36">
        <f>IF(B99="","",IF(OR(K99="",G99="",G99=0),"",ROUND(K99*60/G99,1)))</f>
        <v>0</v>
      </c>
      <c r="AA99" s="36">
        <f>IF(B99="","",IF(OR(Z99="",R99=""),"",ROUND(Z99-R99,1)))</f>
        <v>0</v>
      </c>
      <c r="AB99" s="20">
        <f>IF(B99="","",IFERROR(ROUND(O99*INDEX(Products!$AR$5:$AR$304,MATCH(B99,Products!$A$5:$A$304,0)),2),""))</f>
        <v>0</v>
      </c>
      <c r="AC99" s="20">
        <f>IF(B99="","",IF(AB99="","",ROUND(AB99-U99,2)))</f>
        <v>0</v>
      </c>
      <c r="AD99" s="32">
        <f>IF(B99="","",IF(OR(D99="",E99=""),"",E99-D99))</f>
        <v>0</v>
      </c>
      <c r="AE99" s="43">
        <f>IF(B99="","",IF(G99="","Planned - nothing made yet",IF(O99=0,"Check - no good units",IF(AND(Y99&lt;&gt;"",Y99&gt;0.15),"Check - costing 15% more than the estimate",IF(AND(P99&lt;&gt;"",P99&gt;DefaultDefect*2),"Check - high failure rate",IF(AND(AA99&lt;&gt;"",AA99&gt;5),"Check - taking longer than estimated",IF(AC99&lt;0,"Loss - this run lost money","OK")))))))</f>
        <v>0</v>
      </c>
    </row>
    <row r="100" spans="1:31">
      <c r="A100" s="38">
        <f>IF(B100="","",BatchPrefix&amp;TEXT(ROW()-4,"0000"))</f>
        <v>0</v>
      </c>
      <c r="C100" s="13">
        <f>IF(B100="","",IFERROR(INDEX(Products!$B$5:$B$304,MATCH(B100,Products!$A$5:$A$304,0)),"Not found"))</f>
        <v>0</v>
      </c>
      <c r="O100" s="32">
        <f>IF(B100="","",MAX(0,IF(G100="",0,G100)-IF(H100="",0,H100)))</f>
        <v>0</v>
      </c>
      <c r="P100" s="33">
        <f>IF(B100="","",IF(OR(G100="",G100=0),"",IF(H100="",0,H100)/G100))</f>
        <v>0</v>
      </c>
      <c r="Q100" s="20">
        <f>IF(B100="","",IFERROR(INDEX(Products!$T$5:$T$304,MATCH(B100,Products!$A$5:$A$304,0)),""))</f>
        <v>0</v>
      </c>
      <c r="R100" s="36">
        <f>IF(B100="","",IFERROR(INDEX(Products!$X$5:$X$304,MATCH(B100,Products!$A$5:$A$304,0)),""))</f>
        <v>0</v>
      </c>
      <c r="S100" s="20">
        <f>IF(B100="","",ROUND(IF(J100&lt;&gt;"",J100,IF(Q100="",0,Q100)*IF(G100="",0,G100)),2))</f>
        <v>0</v>
      </c>
      <c r="T100" s="20">
        <f>IF(B100="","",ROUND(IF(K100&lt;&gt;"",K100,IF(R100="",0,R100)*IF(G100="",0,G100)/60)*LaborCostHour,2))</f>
        <v>0</v>
      </c>
      <c r="U100" s="20">
        <f>IF(B100="","",ROUND(S100+T100+IF(L100="",0,L100)-IF(I100="",0,I100),2))</f>
        <v>0</v>
      </c>
      <c r="V100" s="20">
        <f>IF(B100="","",IF(O100=0,"",ROUND(U100/O100,2)))</f>
        <v>0</v>
      </c>
      <c r="W100" s="20">
        <f>IF(B100="","",IFERROR(INDEX(Products!$AH$5:$AH$304,MATCH(B100,Products!$A$5:$A$304,0)),""))</f>
        <v>0</v>
      </c>
      <c r="X100" s="20">
        <f>IF(B100="","",IF(OR(V100="",W100=""),"",ROUND(V100-W100,2)))</f>
        <v>0</v>
      </c>
      <c r="Y100" s="33">
        <f>IF(B100="","",IF(OR(X100="",W100="",W100=0),"",X100/W100))</f>
        <v>0</v>
      </c>
      <c r="Z100" s="36">
        <f>IF(B100="","",IF(OR(K100="",G100="",G100=0),"",ROUND(K100*60/G100,1)))</f>
        <v>0</v>
      </c>
      <c r="AA100" s="36">
        <f>IF(B100="","",IF(OR(Z100="",R100=""),"",ROUND(Z100-R100,1)))</f>
        <v>0</v>
      </c>
      <c r="AB100" s="20">
        <f>IF(B100="","",IFERROR(ROUND(O100*INDEX(Products!$AR$5:$AR$304,MATCH(B100,Products!$A$5:$A$304,0)),2),""))</f>
        <v>0</v>
      </c>
      <c r="AC100" s="20">
        <f>IF(B100="","",IF(AB100="","",ROUND(AB100-U100,2)))</f>
        <v>0</v>
      </c>
      <c r="AD100" s="32">
        <f>IF(B100="","",IF(OR(D100="",E100=""),"",E100-D100))</f>
        <v>0</v>
      </c>
      <c r="AE100" s="43">
        <f>IF(B100="","",IF(G100="","Planned - nothing made yet",IF(O100=0,"Check - no good units",IF(AND(Y100&lt;&gt;"",Y100&gt;0.15),"Check - costing 15% more than the estimate",IF(AND(P100&lt;&gt;"",P100&gt;DefaultDefect*2),"Check - high failure rate",IF(AND(AA100&lt;&gt;"",AA100&gt;5),"Check - taking longer than estimated",IF(AC100&lt;0,"Loss - this run lost money","OK")))))))</f>
        <v>0</v>
      </c>
    </row>
    <row r="101" spans="1:31">
      <c r="A101" s="38">
        <f>IF(B101="","",BatchPrefix&amp;TEXT(ROW()-4,"0000"))</f>
        <v>0</v>
      </c>
      <c r="C101" s="13">
        <f>IF(B101="","",IFERROR(INDEX(Products!$B$5:$B$304,MATCH(B101,Products!$A$5:$A$304,0)),"Not found"))</f>
        <v>0</v>
      </c>
      <c r="O101" s="32">
        <f>IF(B101="","",MAX(0,IF(G101="",0,G101)-IF(H101="",0,H101)))</f>
        <v>0</v>
      </c>
      <c r="P101" s="33">
        <f>IF(B101="","",IF(OR(G101="",G101=0),"",IF(H101="",0,H101)/G101))</f>
        <v>0</v>
      </c>
      <c r="Q101" s="20">
        <f>IF(B101="","",IFERROR(INDEX(Products!$T$5:$T$304,MATCH(B101,Products!$A$5:$A$304,0)),""))</f>
        <v>0</v>
      </c>
      <c r="R101" s="36">
        <f>IF(B101="","",IFERROR(INDEX(Products!$X$5:$X$304,MATCH(B101,Products!$A$5:$A$304,0)),""))</f>
        <v>0</v>
      </c>
      <c r="S101" s="20">
        <f>IF(B101="","",ROUND(IF(J101&lt;&gt;"",J101,IF(Q101="",0,Q101)*IF(G101="",0,G101)),2))</f>
        <v>0</v>
      </c>
      <c r="T101" s="20">
        <f>IF(B101="","",ROUND(IF(K101&lt;&gt;"",K101,IF(R101="",0,R101)*IF(G101="",0,G101)/60)*LaborCostHour,2))</f>
        <v>0</v>
      </c>
      <c r="U101" s="20">
        <f>IF(B101="","",ROUND(S101+T101+IF(L101="",0,L101)-IF(I101="",0,I101),2))</f>
        <v>0</v>
      </c>
      <c r="V101" s="20">
        <f>IF(B101="","",IF(O101=0,"",ROUND(U101/O101,2)))</f>
        <v>0</v>
      </c>
      <c r="W101" s="20">
        <f>IF(B101="","",IFERROR(INDEX(Products!$AH$5:$AH$304,MATCH(B101,Products!$A$5:$A$304,0)),""))</f>
        <v>0</v>
      </c>
      <c r="X101" s="20">
        <f>IF(B101="","",IF(OR(V101="",W101=""),"",ROUND(V101-W101,2)))</f>
        <v>0</v>
      </c>
      <c r="Y101" s="33">
        <f>IF(B101="","",IF(OR(X101="",W101="",W101=0),"",X101/W101))</f>
        <v>0</v>
      </c>
      <c r="Z101" s="36">
        <f>IF(B101="","",IF(OR(K101="",G101="",G101=0),"",ROUND(K101*60/G101,1)))</f>
        <v>0</v>
      </c>
      <c r="AA101" s="36">
        <f>IF(B101="","",IF(OR(Z101="",R101=""),"",ROUND(Z101-R101,1)))</f>
        <v>0</v>
      </c>
      <c r="AB101" s="20">
        <f>IF(B101="","",IFERROR(ROUND(O101*INDEX(Products!$AR$5:$AR$304,MATCH(B101,Products!$A$5:$A$304,0)),2),""))</f>
        <v>0</v>
      </c>
      <c r="AC101" s="20">
        <f>IF(B101="","",IF(AB101="","",ROUND(AB101-U101,2)))</f>
        <v>0</v>
      </c>
      <c r="AD101" s="32">
        <f>IF(B101="","",IF(OR(D101="",E101=""),"",E101-D101))</f>
        <v>0</v>
      </c>
      <c r="AE101" s="43">
        <f>IF(B101="","",IF(G101="","Planned - nothing made yet",IF(O101=0,"Check - no good units",IF(AND(Y101&lt;&gt;"",Y101&gt;0.15),"Check - costing 15% more than the estimate",IF(AND(P101&lt;&gt;"",P101&gt;DefaultDefect*2),"Check - high failure rate",IF(AND(AA101&lt;&gt;"",AA101&gt;5),"Check - taking longer than estimated",IF(AC101&lt;0,"Loss - this run lost money","OK")))))))</f>
        <v>0</v>
      </c>
    </row>
    <row r="102" spans="1:31">
      <c r="A102" s="38">
        <f>IF(B102="","",BatchPrefix&amp;TEXT(ROW()-4,"0000"))</f>
        <v>0</v>
      </c>
      <c r="C102" s="13">
        <f>IF(B102="","",IFERROR(INDEX(Products!$B$5:$B$304,MATCH(B102,Products!$A$5:$A$304,0)),"Not found"))</f>
        <v>0</v>
      </c>
      <c r="O102" s="32">
        <f>IF(B102="","",MAX(0,IF(G102="",0,G102)-IF(H102="",0,H102)))</f>
        <v>0</v>
      </c>
      <c r="P102" s="33">
        <f>IF(B102="","",IF(OR(G102="",G102=0),"",IF(H102="",0,H102)/G102))</f>
        <v>0</v>
      </c>
      <c r="Q102" s="20">
        <f>IF(B102="","",IFERROR(INDEX(Products!$T$5:$T$304,MATCH(B102,Products!$A$5:$A$304,0)),""))</f>
        <v>0</v>
      </c>
      <c r="R102" s="36">
        <f>IF(B102="","",IFERROR(INDEX(Products!$X$5:$X$304,MATCH(B102,Products!$A$5:$A$304,0)),""))</f>
        <v>0</v>
      </c>
      <c r="S102" s="20">
        <f>IF(B102="","",ROUND(IF(J102&lt;&gt;"",J102,IF(Q102="",0,Q102)*IF(G102="",0,G102)),2))</f>
        <v>0</v>
      </c>
      <c r="T102" s="20">
        <f>IF(B102="","",ROUND(IF(K102&lt;&gt;"",K102,IF(R102="",0,R102)*IF(G102="",0,G102)/60)*LaborCostHour,2))</f>
        <v>0</v>
      </c>
      <c r="U102" s="20">
        <f>IF(B102="","",ROUND(S102+T102+IF(L102="",0,L102)-IF(I102="",0,I102),2))</f>
        <v>0</v>
      </c>
      <c r="V102" s="20">
        <f>IF(B102="","",IF(O102=0,"",ROUND(U102/O102,2)))</f>
        <v>0</v>
      </c>
      <c r="W102" s="20">
        <f>IF(B102="","",IFERROR(INDEX(Products!$AH$5:$AH$304,MATCH(B102,Products!$A$5:$A$304,0)),""))</f>
        <v>0</v>
      </c>
      <c r="X102" s="20">
        <f>IF(B102="","",IF(OR(V102="",W102=""),"",ROUND(V102-W102,2)))</f>
        <v>0</v>
      </c>
      <c r="Y102" s="33">
        <f>IF(B102="","",IF(OR(X102="",W102="",W102=0),"",X102/W102))</f>
        <v>0</v>
      </c>
      <c r="Z102" s="36">
        <f>IF(B102="","",IF(OR(K102="",G102="",G102=0),"",ROUND(K102*60/G102,1)))</f>
        <v>0</v>
      </c>
      <c r="AA102" s="36">
        <f>IF(B102="","",IF(OR(Z102="",R102=""),"",ROUND(Z102-R102,1)))</f>
        <v>0</v>
      </c>
      <c r="AB102" s="20">
        <f>IF(B102="","",IFERROR(ROUND(O102*INDEX(Products!$AR$5:$AR$304,MATCH(B102,Products!$A$5:$A$304,0)),2),""))</f>
        <v>0</v>
      </c>
      <c r="AC102" s="20">
        <f>IF(B102="","",IF(AB102="","",ROUND(AB102-U102,2)))</f>
        <v>0</v>
      </c>
      <c r="AD102" s="32">
        <f>IF(B102="","",IF(OR(D102="",E102=""),"",E102-D102))</f>
        <v>0</v>
      </c>
      <c r="AE102" s="43">
        <f>IF(B102="","",IF(G102="","Planned - nothing made yet",IF(O102=0,"Check - no good units",IF(AND(Y102&lt;&gt;"",Y102&gt;0.15),"Check - costing 15% more than the estimate",IF(AND(P102&lt;&gt;"",P102&gt;DefaultDefect*2),"Check - high failure rate",IF(AND(AA102&lt;&gt;"",AA102&gt;5),"Check - taking longer than estimated",IF(AC102&lt;0,"Loss - this run lost money","OK")))))))</f>
        <v>0</v>
      </c>
    </row>
    <row r="103" spans="1:31">
      <c r="A103" s="38">
        <f>IF(B103="","",BatchPrefix&amp;TEXT(ROW()-4,"0000"))</f>
        <v>0</v>
      </c>
      <c r="C103" s="13">
        <f>IF(B103="","",IFERROR(INDEX(Products!$B$5:$B$304,MATCH(B103,Products!$A$5:$A$304,0)),"Not found"))</f>
        <v>0</v>
      </c>
      <c r="O103" s="32">
        <f>IF(B103="","",MAX(0,IF(G103="",0,G103)-IF(H103="",0,H103)))</f>
        <v>0</v>
      </c>
      <c r="P103" s="33">
        <f>IF(B103="","",IF(OR(G103="",G103=0),"",IF(H103="",0,H103)/G103))</f>
        <v>0</v>
      </c>
      <c r="Q103" s="20">
        <f>IF(B103="","",IFERROR(INDEX(Products!$T$5:$T$304,MATCH(B103,Products!$A$5:$A$304,0)),""))</f>
        <v>0</v>
      </c>
      <c r="R103" s="36">
        <f>IF(B103="","",IFERROR(INDEX(Products!$X$5:$X$304,MATCH(B103,Products!$A$5:$A$304,0)),""))</f>
        <v>0</v>
      </c>
      <c r="S103" s="20">
        <f>IF(B103="","",ROUND(IF(J103&lt;&gt;"",J103,IF(Q103="",0,Q103)*IF(G103="",0,G103)),2))</f>
        <v>0</v>
      </c>
      <c r="T103" s="20">
        <f>IF(B103="","",ROUND(IF(K103&lt;&gt;"",K103,IF(R103="",0,R103)*IF(G103="",0,G103)/60)*LaborCostHour,2))</f>
        <v>0</v>
      </c>
      <c r="U103" s="20">
        <f>IF(B103="","",ROUND(S103+T103+IF(L103="",0,L103)-IF(I103="",0,I103),2))</f>
        <v>0</v>
      </c>
      <c r="V103" s="20">
        <f>IF(B103="","",IF(O103=0,"",ROUND(U103/O103,2)))</f>
        <v>0</v>
      </c>
      <c r="W103" s="20">
        <f>IF(B103="","",IFERROR(INDEX(Products!$AH$5:$AH$304,MATCH(B103,Products!$A$5:$A$304,0)),""))</f>
        <v>0</v>
      </c>
      <c r="X103" s="20">
        <f>IF(B103="","",IF(OR(V103="",W103=""),"",ROUND(V103-W103,2)))</f>
        <v>0</v>
      </c>
      <c r="Y103" s="33">
        <f>IF(B103="","",IF(OR(X103="",W103="",W103=0),"",X103/W103))</f>
        <v>0</v>
      </c>
      <c r="Z103" s="36">
        <f>IF(B103="","",IF(OR(K103="",G103="",G103=0),"",ROUND(K103*60/G103,1)))</f>
        <v>0</v>
      </c>
      <c r="AA103" s="36">
        <f>IF(B103="","",IF(OR(Z103="",R103=""),"",ROUND(Z103-R103,1)))</f>
        <v>0</v>
      </c>
      <c r="AB103" s="20">
        <f>IF(B103="","",IFERROR(ROUND(O103*INDEX(Products!$AR$5:$AR$304,MATCH(B103,Products!$A$5:$A$304,0)),2),""))</f>
        <v>0</v>
      </c>
      <c r="AC103" s="20">
        <f>IF(B103="","",IF(AB103="","",ROUND(AB103-U103,2)))</f>
        <v>0</v>
      </c>
      <c r="AD103" s="32">
        <f>IF(B103="","",IF(OR(D103="",E103=""),"",E103-D103))</f>
        <v>0</v>
      </c>
      <c r="AE103" s="43">
        <f>IF(B103="","",IF(G103="","Planned - nothing made yet",IF(O103=0,"Check - no good units",IF(AND(Y103&lt;&gt;"",Y103&gt;0.15),"Check - costing 15% more than the estimate",IF(AND(P103&lt;&gt;"",P103&gt;DefaultDefect*2),"Check - high failure rate",IF(AND(AA103&lt;&gt;"",AA103&gt;5),"Check - taking longer than estimated",IF(AC103&lt;0,"Loss - this run lost money","OK")))))))</f>
        <v>0</v>
      </c>
    </row>
    <row r="104" spans="1:31">
      <c r="A104" s="38">
        <f>IF(B104="","",BatchPrefix&amp;TEXT(ROW()-4,"0000"))</f>
        <v>0</v>
      </c>
      <c r="C104" s="13">
        <f>IF(B104="","",IFERROR(INDEX(Products!$B$5:$B$304,MATCH(B104,Products!$A$5:$A$304,0)),"Not found"))</f>
        <v>0</v>
      </c>
      <c r="O104" s="32">
        <f>IF(B104="","",MAX(0,IF(G104="",0,G104)-IF(H104="",0,H104)))</f>
        <v>0</v>
      </c>
      <c r="P104" s="33">
        <f>IF(B104="","",IF(OR(G104="",G104=0),"",IF(H104="",0,H104)/G104))</f>
        <v>0</v>
      </c>
      <c r="Q104" s="20">
        <f>IF(B104="","",IFERROR(INDEX(Products!$T$5:$T$304,MATCH(B104,Products!$A$5:$A$304,0)),""))</f>
        <v>0</v>
      </c>
      <c r="R104" s="36">
        <f>IF(B104="","",IFERROR(INDEX(Products!$X$5:$X$304,MATCH(B104,Products!$A$5:$A$304,0)),""))</f>
        <v>0</v>
      </c>
      <c r="S104" s="20">
        <f>IF(B104="","",ROUND(IF(J104&lt;&gt;"",J104,IF(Q104="",0,Q104)*IF(G104="",0,G104)),2))</f>
        <v>0</v>
      </c>
      <c r="T104" s="20">
        <f>IF(B104="","",ROUND(IF(K104&lt;&gt;"",K104,IF(R104="",0,R104)*IF(G104="",0,G104)/60)*LaborCostHour,2))</f>
        <v>0</v>
      </c>
      <c r="U104" s="20">
        <f>IF(B104="","",ROUND(S104+T104+IF(L104="",0,L104)-IF(I104="",0,I104),2))</f>
        <v>0</v>
      </c>
      <c r="V104" s="20">
        <f>IF(B104="","",IF(O104=0,"",ROUND(U104/O104,2)))</f>
        <v>0</v>
      </c>
      <c r="W104" s="20">
        <f>IF(B104="","",IFERROR(INDEX(Products!$AH$5:$AH$304,MATCH(B104,Products!$A$5:$A$304,0)),""))</f>
        <v>0</v>
      </c>
      <c r="X104" s="20">
        <f>IF(B104="","",IF(OR(V104="",W104=""),"",ROUND(V104-W104,2)))</f>
        <v>0</v>
      </c>
      <c r="Y104" s="33">
        <f>IF(B104="","",IF(OR(X104="",W104="",W104=0),"",X104/W104))</f>
        <v>0</v>
      </c>
      <c r="Z104" s="36">
        <f>IF(B104="","",IF(OR(K104="",G104="",G104=0),"",ROUND(K104*60/G104,1)))</f>
        <v>0</v>
      </c>
      <c r="AA104" s="36">
        <f>IF(B104="","",IF(OR(Z104="",R104=""),"",ROUND(Z104-R104,1)))</f>
        <v>0</v>
      </c>
      <c r="AB104" s="20">
        <f>IF(B104="","",IFERROR(ROUND(O104*INDEX(Products!$AR$5:$AR$304,MATCH(B104,Products!$A$5:$A$304,0)),2),""))</f>
        <v>0</v>
      </c>
      <c r="AC104" s="20">
        <f>IF(B104="","",IF(AB104="","",ROUND(AB104-U104,2)))</f>
        <v>0</v>
      </c>
      <c r="AD104" s="32">
        <f>IF(B104="","",IF(OR(D104="",E104=""),"",E104-D104))</f>
        <v>0</v>
      </c>
      <c r="AE104" s="43">
        <f>IF(B104="","",IF(G104="","Planned - nothing made yet",IF(O104=0,"Check - no good units",IF(AND(Y104&lt;&gt;"",Y104&gt;0.15),"Check - costing 15% more than the estimate",IF(AND(P104&lt;&gt;"",P104&gt;DefaultDefect*2),"Check - high failure rate",IF(AND(AA104&lt;&gt;"",AA104&gt;5),"Check - taking longer than estimated",IF(AC104&lt;0,"Loss - this run lost money","OK")))))))</f>
        <v>0</v>
      </c>
    </row>
    <row r="105" spans="1:31">
      <c r="A105" s="38">
        <f>IF(B105="","",BatchPrefix&amp;TEXT(ROW()-4,"0000"))</f>
        <v>0</v>
      </c>
      <c r="C105" s="13">
        <f>IF(B105="","",IFERROR(INDEX(Products!$B$5:$B$304,MATCH(B105,Products!$A$5:$A$304,0)),"Not found"))</f>
        <v>0</v>
      </c>
      <c r="O105" s="32">
        <f>IF(B105="","",MAX(0,IF(G105="",0,G105)-IF(H105="",0,H105)))</f>
        <v>0</v>
      </c>
      <c r="P105" s="33">
        <f>IF(B105="","",IF(OR(G105="",G105=0),"",IF(H105="",0,H105)/G105))</f>
        <v>0</v>
      </c>
      <c r="Q105" s="20">
        <f>IF(B105="","",IFERROR(INDEX(Products!$T$5:$T$304,MATCH(B105,Products!$A$5:$A$304,0)),""))</f>
        <v>0</v>
      </c>
      <c r="R105" s="36">
        <f>IF(B105="","",IFERROR(INDEX(Products!$X$5:$X$304,MATCH(B105,Products!$A$5:$A$304,0)),""))</f>
        <v>0</v>
      </c>
      <c r="S105" s="20">
        <f>IF(B105="","",ROUND(IF(J105&lt;&gt;"",J105,IF(Q105="",0,Q105)*IF(G105="",0,G105)),2))</f>
        <v>0</v>
      </c>
      <c r="T105" s="20">
        <f>IF(B105="","",ROUND(IF(K105&lt;&gt;"",K105,IF(R105="",0,R105)*IF(G105="",0,G105)/60)*LaborCostHour,2))</f>
        <v>0</v>
      </c>
      <c r="U105" s="20">
        <f>IF(B105="","",ROUND(S105+T105+IF(L105="",0,L105)-IF(I105="",0,I105),2))</f>
        <v>0</v>
      </c>
      <c r="V105" s="20">
        <f>IF(B105="","",IF(O105=0,"",ROUND(U105/O105,2)))</f>
        <v>0</v>
      </c>
      <c r="W105" s="20">
        <f>IF(B105="","",IFERROR(INDEX(Products!$AH$5:$AH$304,MATCH(B105,Products!$A$5:$A$304,0)),""))</f>
        <v>0</v>
      </c>
      <c r="X105" s="20">
        <f>IF(B105="","",IF(OR(V105="",W105=""),"",ROUND(V105-W105,2)))</f>
        <v>0</v>
      </c>
      <c r="Y105" s="33">
        <f>IF(B105="","",IF(OR(X105="",W105="",W105=0),"",X105/W105))</f>
        <v>0</v>
      </c>
      <c r="Z105" s="36">
        <f>IF(B105="","",IF(OR(K105="",G105="",G105=0),"",ROUND(K105*60/G105,1)))</f>
        <v>0</v>
      </c>
      <c r="AA105" s="36">
        <f>IF(B105="","",IF(OR(Z105="",R105=""),"",ROUND(Z105-R105,1)))</f>
        <v>0</v>
      </c>
      <c r="AB105" s="20">
        <f>IF(B105="","",IFERROR(ROUND(O105*INDEX(Products!$AR$5:$AR$304,MATCH(B105,Products!$A$5:$A$304,0)),2),""))</f>
        <v>0</v>
      </c>
      <c r="AC105" s="20">
        <f>IF(B105="","",IF(AB105="","",ROUND(AB105-U105,2)))</f>
        <v>0</v>
      </c>
      <c r="AD105" s="32">
        <f>IF(B105="","",IF(OR(D105="",E105=""),"",E105-D105))</f>
        <v>0</v>
      </c>
      <c r="AE105" s="43">
        <f>IF(B105="","",IF(G105="","Planned - nothing made yet",IF(O105=0,"Check - no good units",IF(AND(Y105&lt;&gt;"",Y105&gt;0.15),"Check - costing 15% more than the estimate",IF(AND(P105&lt;&gt;"",P105&gt;DefaultDefect*2),"Check - high failure rate",IF(AND(AA105&lt;&gt;"",AA105&gt;5),"Check - taking longer than estimated",IF(AC105&lt;0,"Loss - this run lost money","OK")))))))</f>
        <v>0</v>
      </c>
    </row>
    <row r="106" spans="1:31">
      <c r="A106" s="38">
        <f>IF(B106="","",BatchPrefix&amp;TEXT(ROW()-4,"0000"))</f>
        <v>0</v>
      </c>
      <c r="C106" s="13">
        <f>IF(B106="","",IFERROR(INDEX(Products!$B$5:$B$304,MATCH(B106,Products!$A$5:$A$304,0)),"Not found"))</f>
        <v>0</v>
      </c>
      <c r="O106" s="32">
        <f>IF(B106="","",MAX(0,IF(G106="",0,G106)-IF(H106="",0,H106)))</f>
        <v>0</v>
      </c>
      <c r="P106" s="33">
        <f>IF(B106="","",IF(OR(G106="",G106=0),"",IF(H106="",0,H106)/G106))</f>
        <v>0</v>
      </c>
      <c r="Q106" s="20">
        <f>IF(B106="","",IFERROR(INDEX(Products!$T$5:$T$304,MATCH(B106,Products!$A$5:$A$304,0)),""))</f>
        <v>0</v>
      </c>
      <c r="R106" s="36">
        <f>IF(B106="","",IFERROR(INDEX(Products!$X$5:$X$304,MATCH(B106,Products!$A$5:$A$304,0)),""))</f>
        <v>0</v>
      </c>
      <c r="S106" s="20">
        <f>IF(B106="","",ROUND(IF(J106&lt;&gt;"",J106,IF(Q106="",0,Q106)*IF(G106="",0,G106)),2))</f>
        <v>0</v>
      </c>
      <c r="T106" s="20">
        <f>IF(B106="","",ROUND(IF(K106&lt;&gt;"",K106,IF(R106="",0,R106)*IF(G106="",0,G106)/60)*LaborCostHour,2))</f>
        <v>0</v>
      </c>
      <c r="U106" s="20">
        <f>IF(B106="","",ROUND(S106+T106+IF(L106="",0,L106)-IF(I106="",0,I106),2))</f>
        <v>0</v>
      </c>
      <c r="V106" s="20">
        <f>IF(B106="","",IF(O106=0,"",ROUND(U106/O106,2)))</f>
        <v>0</v>
      </c>
      <c r="W106" s="20">
        <f>IF(B106="","",IFERROR(INDEX(Products!$AH$5:$AH$304,MATCH(B106,Products!$A$5:$A$304,0)),""))</f>
        <v>0</v>
      </c>
      <c r="X106" s="20">
        <f>IF(B106="","",IF(OR(V106="",W106=""),"",ROUND(V106-W106,2)))</f>
        <v>0</v>
      </c>
      <c r="Y106" s="33">
        <f>IF(B106="","",IF(OR(X106="",W106="",W106=0),"",X106/W106))</f>
        <v>0</v>
      </c>
      <c r="Z106" s="36">
        <f>IF(B106="","",IF(OR(K106="",G106="",G106=0),"",ROUND(K106*60/G106,1)))</f>
        <v>0</v>
      </c>
      <c r="AA106" s="36">
        <f>IF(B106="","",IF(OR(Z106="",R106=""),"",ROUND(Z106-R106,1)))</f>
        <v>0</v>
      </c>
      <c r="AB106" s="20">
        <f>IF(B106="","",IFERROR(ROUND(O106*INDEX(Products!$AR$5:$AR$304,MATCH(B106,Products!$A$5:$A$304,0)),2),""))</f>
        <v>0</v>
      </c>
      <c r="AC106" s="20">
        <f>IF(B106="","",IF(AB106="","",ROUND(AB106-U106,2)))</f>
        <v>0</v>
      </c>
      <c r="AD106" s="32">
        <f>IF(B106="","",IF(OR(D106="",E106=""),"",E106-D106))</f>
        <v>0</v>
      </c>
      <c r="AE106" s="43">
        <f>IF(B106="","",IF(G106="","Planned - nothing made yet",IF(O106=0,"Check - no good units",IF(AND(Y106&lt;&gt;"",Y106&gt;0.15),"Check - costing 15% more than the estimate",IF(AND(P106&lt;&gt;"",P106&gt;DefaultDefect*2),"Check - high failure rate",IF(AND(AA106&lt;&gt;"",AA106&gt;5),"Check - taking longer than estimated",IF(AC106&lt;0,"Loss - this run lost money","OK")))))))</f>
        <v>0</v>
      </c>
    </row>
    <row r="107" spans="1:31">
      <c r="A107" s="38">
        <f>IF(B107="","",BatchPrefix&amp;TEXT(ROW()-4,"0000"))</f>
        <v>0</v>
      </c>
      <c r="C107" s="13">
        <f>IF(B107="","",IFERROR(INDEX(Products!$B$5:$B$304,MATCH(B107,Products!$A$5:$A$304,0)),"Not found"))</f>
        <v>0</v>
      </c>
      <c r="O107" s="32">
        <f>IF(B107="","",MAX(0,IF(G107="",0,G107)-IF(H107="",0,H107)))</f>
        <v>0</v>
      </c>
      <c r="P107" s="33">
        <f>IF(B107="","",IF(OR(G107="",G107=0),"",IF(H107="",0,H107)/G107))</f>
        <v>0</v>
      </c>
      <c r="Q107" s="20">
        <f>IF(B107="","",IFERROR(INDEX(Products!$T$5:$T$304,MATCH(B107,Products!$A$5:$A$304,0)),""))</f>
        <v>0</v>
      </c>
      <c r="R107" s="36">
        <f>IF(B107="","",IFERROR(INDEX(Products!$X$5:$X$304,MATCH(B107,Products!$A$5:$A$304,0)),""))</f>
        <v>0</v>
      </c>
      <c r="S107" s="20">
        <f>IF(B107="","",ROUND(IF(J107&lt;&gt;"",J107,IF(Q107="",0,Q107)*IF(G107="",0,G107)),2))</f>
        <v>0</v>
      </c>
      <c r="T107" s="20">
        <f>IF(B107="","",ROUND(IF(K107&lt;&gt;"",K107,IF(R107="",0,R107)*IF(G107="",0,G107)/60)*LaborCostHour,2))</f>
        <v>0</v>
      </c>
      <c r="U107" s="20">
        <f>IF(B107="","",ROUND(S107+T107+IF(L107="",0,L107)-IF(I107="",0,I107),2))</f>
        <v>0</v>
      </c>
      <c r="V107" s="20">
        <f>IF(B107="","",IF(O107=0,"",ROUND(U107/O107,2)))</f>
        <v>0</v>
      </c>
      <c r="W107" s="20">
        <f>IF(B107="","",IFERROR(INDEX(Products!$AH$5:$AH$304,MATCH(B107,Products!$A$5:$A$304,0)),""))</f>
        <v>0</v>
      </c>
      <c r="X107" s="20">
        <f>IF(B107="","",IF(OR(V107="",W107=""),"",ROUND(V107-W107,2)))</f>
        <v>0</v>
      </c>
      <c r="Y107" s="33">
        <f>IF(B107="","",IF(OR(X107="",W107="",W107=0),"",X107/W107))</f>
        <v>0</v>
      </c>
      <c r="Z107" s="36">
        <f>IF(B107="","",IF(OR(K107="",G107="",G107=0),"",ROUND(K107*60/G107,1)))</f>
        <v>0</v>
      </c>
      <c r="AA107" s="36">
        <f>IF(B107="","",IF(OR(Z107="",R107=""),"",ROUND(Z107-R107,1)))</f>
        <v>0</v>
      </c>
      <c r="AB107" s="20">
        <f>IF(B107="","",IFERROR(ROUND(O107*INDEX(Products!$AR$5:$AR$304,MATCH(B107,Products!$A$5:$A$304,0)),2),""))</f>
        <v>0</v>
      </c>
      <c r="AC107" s="20">
        <f>IF(B107="","",IF(AB107="","",ROUND(AB107-U107,2)))</f>
        <v>0</v>
      </c>
      <c r="AD107" s="32">
        <f>IF(B107="","",IF(OR(D107="",E107=""),"",E107-D107))</f>
        <v>0</v>
      </c>
      <c r="AE107" s="43">
        <f>IF(B107="","",IF(G107="","Planned - nothing made yet",IF(O107=0,"Check - no good units",IF(AND(Y107&lt;&gt;"",Y107&gt;0.15),"Check - costing 15% more than the estimate",IF(AND(P107&lt;&gt;"",P107&gt;DefaultDefect*2),"Check - high failure rate",IF(AND(AA107&lt;&gt;"",AA107&gt;5),"Check - taking longer than estimated",IF(AC107&lt;0,"Loss - this run lost money","OK")))))))</f>
        <v>0</v>
      </c>
    </row>
    <row r="108" spans="1:31">
      <c r="A108" s="38">
        <f>IF(B108="","",BatchPrefix&amp;TEXT(ROW()-4,"0000"))</f>
        <v>0</v>
      </c>
      <c r="C108" s="13">
        <f>IF(B108="","",IFERROR(INDEX(Products!$B$5:$B$304,MATCH(B108,Products!$A$5:$A$304,0)),"Not found"))</f>
        <v>0</v>
      </c>
      <c r="O108" s="32">
        <f>IF(B108="","",MAX(0,IF(G108="",0,G108)-IF(H108="",0,H108)))</f>
        <v>0</v>
      </c>
      <c r="P108" s="33">
        <f>IF(B108="","",IF(OR(G108="",G108=0),"",IF(H108="",0,H108)/G108))</f>
        <v>0</v>
      </c>
      <c r="Q108" s="20">
        <f>IF(B108="","",IFERROR(INDEX(Products!$T$5:$T$304,MATCH(B108,Products!$A$5:$A$304,0)),""))</f>
        <v>0</v>
      </c>
      <c r="R108" s="36">
        <f>IF(B108="","",IFERROR(INDEX(Products!$X$5:$X$304,MATCH(B108,Products!$A$5:$A$304,0)),""))</f>
        <v>0</v>
      </c>
      <c r="S108" s="20">
        <f>IF(B108="","",ROUND(IF(J108&lt;&gt;"",J108,IF(Q108="",0,Q108)*IF(G108="",0,G108)),2))</f>
        <v>0</v>
      </c>
      <c r="T108" s="20">
        <f>IF(B108="","",ROUND(IF(K108&lt;&gt;"",K108,IF(R108="",0,R108)*IF(G108="",0,G108)/60)*LaborCostHour,2))</f>
        <v>0</v>
      </c>
      <c r="U108" s="20">
        <f>IF(B108="","",ROUND(S108+T108+IF(L108="",0,L108)-IF(I108="",0,I108),2))</f>
        <v>0</v>
      </c>
      <c r="V108" s="20">
        <f>IF(B108="","",IF(O108=0,"",ROUND(U108/O108,2)))</f>
        <v>0</v>
      </c>
      <c r="W108" s="20">
        <f>IF(B108="","",IFERROR(INDEX(Products!$AH$5:$AH$304,MATCH(B108,Products!$A$5:$A$304,0)),""))</f>
        <v>0</v>
      </c>
      <c r="X108" s="20">
        <f>IF(B108="","",IF(OR(V108="",W108=""),"",ROUND(V108-W108,2)))</f>
        <v>0</v>
      </c>
      <c r="Y108" s="33">
        <f>IF(B108="","",IF(OR(X108="",W108="",W108=0),"",X108/W108))</f>
        <v>0</v>
      </c>
      <c r="Z108" s="36">
        <f>IF(B108="","",IF(OR(K108="",G108="",G108=0),"",ROUND(K108*60/G108,1)))</f>
        <v>0</v>
      </c>
      <c r="AA108" s="36">
        <f>IF(B108="","",IF(OR(Z108="",R108=""),"",ROUND(Z108-R108,1)))</f>
        <v>0</v>
      </c>
      <c r="AB108" s="20">
        <f>IF(B108="","",IFERROR(ROUND(O108*INDEX(Products!$AR$5:$AR$304,MATCH(B108,Products!$A$5:$A$304,0)),2),""))</f>
        <v>0</v>
      </c>
      <c r="AC108" s="20">
        <f>IF(B108="","",IF(AB108="","",ROUND(AB108-U108,2)))</f>
        <v>0</v>
      </c>
      <c r="AD108" s="32">
        <f>IF(B108="","",IF(OR(D108="",E108=""),"",E108-D108))</f>
        <v>0</v>
      </c>
      <c r="AE108" s="43">
        <f>IF(B108="","",IF(G108="","Planned - nothing made yet",IF(O108=0,"Check - no good units",IF(AND(Y108&lt;&gt;"",Y108&gt;0.15),"Check - costing 15% more than the estimate",IF(AND(P108&lt;&gt;"",P108&gt;DefaultDefect*2),"Check - high failure rate",IF(AND(AA108&lt;&gt;"",AA108&gt;5),"Check - taking longer than estimated",IF(AC108&lt;0,"Loss - this run lost money","OK")))))))</f>
        <v>0</v>
      </c>
    </row>
    <row r="109" spans="1:31">
      <c r="A109" s="38">
        <f>IF(B109="","",BatchPrefix&amp;TEXT(ROW()-4,"0000"))</f>
        <v>0</v>
      </c>
      <c r="C109" s="13">
        <f>IF(B109="","",IFERROR(INDEX(Products!$B$5:$B$304,MATCH(B109,Products!$A$5:$A$304,0)),"Not found"))</f>
        <v>0</v>
      </c>
      <c r="O109" s="32">
        <f>IF(B109="","",MAX(0,IF(G109="",0,G109)-IF(H109="",0,H109)))</f>
        <v>0</v>
      </c>
      <c r="P109" s="33">
        <f>IF(B109="","",IF(OR(G109="",G109=0),"",IF(H109="",0,H109)/G109))</f>
        <v>0</v>
      </c>
      <c r="Q109" s="20">
        <f>IF(B109="","",IFERROR(INDEX(Products!$T$5:$T$304,MATCH(B109,Products!$A$5:$A$304,0)),""))</f>
        <v>0</v>
      </c>
      <c r="R109" s="36">
        <f>IF(B109="","",IFERROR(INDEX(Products!$X$5:$X$304,MATCH(B109,Products!$A$5:$A$304,0)),""))</f>
        <v>0</v>
      </c>
      <c r="S109" s="20">
        <f>IF(B109="","",ROUND(IF(J109&lt;&gt;"",J109,IF(Q109="",0,Q109)*IF(G109="",0,G109)),2))</f>
        <v>0</v>
      </c>
      <c r="T109" s="20">
        <f>IF(B109="","",ROUND(IF(K109&lt;&gt;"",K109,IF(R109="",0,R109)*IF(G109="",0,G109)/60)*LaborCostHour,2))</f>
        <v>0</v>
      </c>
      <c r="U109" s="20">
        <f>IF(B109="","",ROUND(S109+T109+IF(L109="",0,L109)-IF(I109="",0,I109),2))</f>
        <v>0</v>
      </c>
      <c r="V109" s="20">
        <f>IF(B109="","",IF(O109=0,"",ROUND(U109/O109,2)))</f>
        <v>0</v>
      </c>
      <c r="W109" s="20">
        <f>IF(B109="","",IFERROR(INDEX(Products!$AH$5:$AH$304,MATCH(B109,Products!$A$5:$A$304,0)),""))</f>
        <v>0</v>
      </c>
      <c r="X109" s="20">
        <f>IF(B109="","",IF(OR(V109="",W109=""),"",ROUND(V109-W109,2)))</f>
        <v>0</v>
      </c>
      <c r="Y109" s="33">
        <f>IF(B109="","",IF(OR(X109="",W109="",W109=0),"",X109/W109))</f>
        <v>0</v>
      </c>
      <c r="Z109" s="36">
        <f>IF(B109="","",IF(OR(K109="",G109="",G109=0),"",ROUND(K109*60/G109,1)))</f>
        <v>0</v>
      </c>
      <c r="AA109" s="36">
        <f>IF(B109="","",IF(OR(Z109="",R109=""),"",ROUND(Z109-R109,1)))</f>
        <v>0</v>
      </c>
      <c r="AB109" s="20">
        <f>IF(B109="","",IFERROR(ROUND(O109*INDEX(Products!$AR$5:$AR$304,MATCH(B109,Products!$A$5:$A$304,0)),2),""))</f>
        <v>0</v>
      </c>
      <c r="AC109" s="20">
        <f>IF(B109="","",IF(AB109="","",ROUND(AB109-U109,2)))</f>
        <v>0</v>
      </c>
      <c r="AD109" s="32">
        <f>IF(B109="","",IF(OR(D109="",E109=""),"",E109-D109))</f>
        <v>0</v>
      </c>
      <c r="AE109" s="43">
        <f>IF(B109="","",IF(G109="","Planned - nothing made yet",IF(O109=0,"Check - no good units",IF(AND(Y109&lt;&gt;"",Y109&gt;0.15),"Check - costing 15% more than the estimate",IF(AND(P109&lt;&gt;"",P109&gt;DefaultDefect*2),"Check - high failure rate",IF(AND(AA109&lt;&gt;"",AA109&gt;5),"Check - taking longer than estimated",IF(AC109&lt;0,"Loss - this run lost money","OK")))))))</f>
        <v>0</v>
      </c>
    </row>
    <row r="110" spans="1:31">
      <c r="A110" s="38">
        <f>IF(B110="","",BatchPrefix&amp;TEXT(ROW()-4,"0000"))</f>
        <v>0</v>
      </c>
      <c r="C110" s="13">
        <f>IF(B110="","",IFERROR(INDEX(Products!$B$5:$B$304,MATCH(B110,Products!$A$5:$A$304,0)),"Not found"))</f>
        <v>0</v>
      </c>
      <c r="O110" s="32">
        <f>IF(B110="","",MAX(0,IF(G110="",0,G110)-IF(H110="",0,H110)))</f>
        <v>0</v>
      </c>
      <c r="P110" s="33">
        <f>IF(B110="","",IF(OR(G110="",G110=0),"",IF(H110="",0,H110)/G110))</f>
        <v>0</v>
      </c>
      <c r="Q110" s="20">
        <f>IF(B110="","",IFERROR(INDEX(Products!$T$5:$T$304,MATCH(B110,Products!$A$5:$A$304,0)),""))</f>
        <v>0</v>
      </c>
      <c r="R110" s="36">
        <f>IF(B110="","",IFERROR(INDEX(Products!$X$5:$X$304,MATCH(B110,Products!$A$5:$A$304,0)),""))</f>
        <v>0</v>
      </c>
      <c r="S110" s="20">
        <f>IF(B110="","",ROUND(IF(J110&lt;&gt;"",J110,IF(Q110="",0,Q110)*IF(G110="",0,G110)),2))</f>
        <v>0</v>
      </c>
      <c r="T110" s="20">
        <f>IF(B110="","",ROUND(IF(K110&lt;&gt;"",K110,IF(R110="",0,R110)*IF(G110="",0,G110)/60)*LaborCostHour,2))</f>
        <v>0</v>
      </c>
      <c r="U110" s="20">
        <f>IF(B110="","",ROUND(S110+T110+IF(L110="",0,L110)-IF(I110="",0,I110),2))</f>
        <v>0</v>
      </c>
      <c r="V110" s="20">
        <f>IF(B110="","",IF(O110=0,"",ROUND(U110/O110,2)))</f>
        <v>0</v>
      </c>
      <c r="W110" s="20">
        <f>IF(B110="","",IFERROR(INDEX(Products!$AH$5:$AH$304,MATCH(B110,Products!$A$5:$A$304,0)),""))</f>
        <v>0</v>
      </c>
      <c r="X110" s="20">
        <f>IF(B110="","",IF(OR(V110="",W110=""),"",ROUND(V110-W110,2)))</f>
        <v>0</v>
      </c>
      <c r="Y110" s="33">
        <f>IF(B110="","",IF(OR(X110="",W110="",W110=0),"",X110/W110))</f>
        <v>0</v>
      </c>
      <c r="Z110" s="36">
        <f>IF(B110="","",IF(OR(K110="",G110="",G110=0),"",ROUND(K110*60/G110,1)))</f>
        <v>0</v>
      </c>
      <c r="AA110" s="36">
        <f>IF(B110="","",IF(OR(Z110="",R110=""),"",ROUND(Z110-R110,1)))</f>
        <v>0</v>
      </c>
      <c r="AB110" s="20">
        <f>IF(B110="","",IFERROR(ROUND(O110*INDEX(Products!$AR$5:$AR$304,MATCH(B110,Products!$A$5:$A$304,0)),2),""))</f>
        <v>0</v>
      </c>
      <c r="AC110" s="20">
        <f>IF(B110="","",IF(AB110="","",ROUND(AB110-U110,2)))</f>
        <v>0</v>
      </c>
      <c r="AD110" s="32">
        <f>IF(B110="","",IF(OR(D110="",E110=""),"",E110-D110))</f>
        <v>0</v>
      </c>
      <c r="AE110" s="43">
        <f>IF(B110="","",IF(G110="","Planned - nothing made yet",IF(O110=0,"Check - no good units",IF(AND(Y110&lt;&gt;"",Y110&gt;0.15),"Check - costing 15% more than the estimate",IF(AND(P110&lt;&gt;"",P110&gt;DefaultDefect*2),"Check - high failure rate",IF(AND(AA110&lt;&gt;"",AA110&gt;5),"Check - taking longer than estimated",IF(AC110&lt;0,"Loss - this run lost money","OK")))))))</f>
        <v>0</v>
      </c>
    </row>
    <row r="111" spans="1:31">
      <c r="A111" s="38">
        <f>IF(B111="","",BatchPrefix&amp;TEXT(ROW()-4,"0000"))</f>
        <v>0</v>
      </c>
      <c r="C111" s="13">
        <f>IF(B111="","",IFERROR(INDEX(Products!$B$5:$B$304,MATCH(B111,Products!$A$5:$A$304,0)),"Not found"))</f>
        <v>0</v>
      </c>
      <c r="O111" s="32">
        <f>IF(B111="","",MAX(0,IF(G111="",0,G111)-IF(H111="",0,H111)))</f>
        <v>0</v>
      </c>
      <c r="P111" s="33">
        <f>IF(B111="","",IF(OR(G111="",G111=0),"",IF(H111="",0,H111)/G111))</f>
        <v>0</v>
      </c>
      <c r="Q111" s="20">
        <f>IF(B111="","",IFERROR(INDEX(Products!$T$5:$T$304,MATCH(B111,Products!$A$5:$A$304,0)),""))</f>
        <v>0</v>
      </c>
      <c r="R111" s="36">
        <f>IF(B111="","",IFERROR(INDEX(Products!$X$5:$X$304,MATCH(B111,Products!$A$5:$A$304,0)),""))</f>
        <v>0</v>
      </c>
      <c r="S111" s="20">
        <f>IF(B111="","",ROUND(IF(J111&lt;&gt;"",J111,IF(Q111="",0,Q111)*IF(G111="",0,G111)),2))</f>
        <v>0</v>
      </c>
      <c r="T111" s="20">
        <f>IF(B111="","",ROUND(IF(K111&lt;&gt;"",K111,IF(R111="",0,R111)*IF(G111="",0,G111)/60)*LaborCostHour,2))</f>
        <v>0</v>
      </c>
      <c r="U111" s="20">
        <f>IF(B111="","",ROUND(S111+T111+IF(L111="",0,L111)-IF(I111="",0,I111),2))</f>
        <v>0</v>
      </c>
      <c r="V111" s="20">
        <f>IF(B111="","",IF(O111=0,"",ROUND(U111/O111,2)))</f>
        <v>0</v>
      </c>
      <c r="W111" s="20">
        <f>IF(B111="","",IFERROR(INDEX(Products!$AH$5:$AH$304,MATCH(B111,Products!$A$5:$A$304,0)),""))</f>
        <v>0</v>
      </c>
      <c r="X111" s="20">
        <f>IF(B111="","",IF(OR(V111="",W111=""),"",ROUND(V111-W111,2)))</f>
        <v>0</v>
      </c>
      <c r="Y111" s="33">
        <f>IF(B111="","",IF(OR(X111="",W111="",W111=0),"",X111/W111))</f>
        <v>0</v>
      </c>
      <c r="Z111" s="36">
        <f>IF(B111="","",IF(OR(K111="",G111="",G111=0),"",ROUND(K111*60/G111,1)))</f>
        <v>0</v>
      </c>
      <c r="AA111" s="36">
        <f>IF(B111="","",IF(OR(Z111="",R111=""),"",ROUND(Z111-R111,1)))</f>
        <v>0</v>
      </c>
      <c r="AB111" s="20">
        <f>IF(B111="","",IFERROR(ROUND(O111*INDEX(Products!$AR$5:$AR$304,MATCH(B111,Products!$A$5:$A$304,0)),2),""))</f>
        <v>0</v>
      </c>
      <c r="AC111" s="20">
        <f>IF(B111="","",IF(AB111="","",ROUND(AB111-U111,2)))</f>
        <v>0</v>
      </c>
      <c r="AD111" s="32">
        <f>IF(B111="","",IF(OR(D111="",E111=""),"",E111-D111))</f>
        <v>0</v>
      </c>
      <c r="AE111" s="43">
        <f>IF(B111="","",IF(G111="","Planned - nothing made yet",IF(O111=0,"Check - no good units",IF(AND(Y111&lt;&gt;"",Y111&gt;0.15),"Check - costing 15% more than the estimate",IF(AND(P111&lt;&gt;"",P111&gt;DefaultDefect*2),"Check - high failure rate",IF(AND(AA111&lt;&gt;"",AA111&gt;5),"Check - taking longer than estimated",IF(AC111&lt;0,"Loss - this run lost money","OK")))))))</f>
        <v>0</v>
      </c>
    </row>
    <row r="112" spans="1:31">
      <c r="A112" s="38">
        <f>IF(B112="","",BatchPrefix&amp;TEXT(ROW()-4,"0000"))</f>
        <v>0</v>
      </c>
      <c r="C112" s="13">
        <f>IF(B112="","",IFERROR(INDEX(Products!$B$5:$B$304,MATCH(B112,Products!$A$5:$A$304,0)),"Not found"))</f>
        <v>0</v>
      </c>
      <c r="O112" s="32">
        <f>IF(B112="","",MAX(0,IF(G112="",0,G112)-IF(H112="",0,H112)))</f>
        <v>0</v>
      </c>
      <c r="P112" s="33">
        <f>IF(B112="","",IF(OR(G112="",G112=0),"",IF(H112="",0,H112)/G112))</f>
        <v>0</v>
      </c>
      <c r="Q112" s="20">
        <f>IF(B112="","",IFERROR(INDEX(Products!$T$5:$T$304,MATCH(B112,Products!$A$5:$A$304,0)),""))</f>
        <v>0</v>
      </c>
      <c r="R112" s="36">
        <f>IF(B112="","",IFERROR(INDEX(Products!$X$5:$X$304,MATCH(B112,Products!$A$5:$A$304,0)),""))</f>
        <v>0</v>
      </c>
      <c r="S112" s="20">
        <f>IF(B112="","",ROUND(IF(J112&lt;&gt;"",J112,IF(Q112="",0,Q112)*IF(G112="",0,G112)),2))</f>
        <v>0</v>
      </c>
      <c r="T112" s="20">
        <f>IF(B112="","",ROUND(IF(K112&lt;&gt;"",K112,IF(R112="",0,R112)*IF(G112="",0,G112)/60)*LaborCostHour,2))</f>
        <v>0</v>
      </c>
      <c r="U112" s="20">
        <f>IF(B112="","",ROUND(S112+T112+IF(L112="",0,L112)-IF(I112="",0,I112),2))</f>
        <v>0</v>
      </c>
      <c r="V112" s="20">
        <f>IF(B112="","",IF(O112=0,"",ROUND(U112/O112,2)))</f>
        <v>0</v>
      </c>
      <c r="W112" s="20">
        <f>IF(B112="","",IFERROR(INDEX(Products!$AH$5:$AH$304,MATCH(B112,Products!$A$5:$A$304,0)),""))</f>
        <v>0</v>
      </c>
      <c r="X112" s="20">
        <f>IF(B112="","",IF(OR(V112="",W112=""),"",ROUND(V112-W112,2)))</f>
        <v>0</v>
      </c>
      <c r="Y112" s="33">
        <f>IF(B112="","",IF(OR(X112="",W112="",W112=0),"",X112/W112))</f>
        <v>0</v>
      </c>
      <c r="Z112" s="36">
        <f>IF(B112="","",IF(OR(K112="",G112="",G112=0),"",ROUND(K112*60/G112,1)))</f>
        <v>0</v>
      </c>
      <c r="AA112" s="36">
        <f>IF(B112="","",IF(OR(Z112="",R112=""),"",ROUND(Z112-R112,1)))</f>
        <v>0</v>
      </c>
      <c r="AB112" s="20">
        <f>IF(B112="","",IFERROR(ROUND(O112*INDEX(Products!$AR$5:$AR$304,MATCH(B112,Products!$A$5:$A$304,0)),2),""))</f>
        <v>0</v>
      </c>
      <c r="AC112" s="20">
        <f>IF(B112="","",IF(AB112="","",ROUND(AB112-U112,2)))</f>
        <v>0</v>
      </c>
      <c r="AD112" s="32">
        <f>IF(B112="","",IF(OR(D112="",E112=""),"",E112-D112))</f>
        <v>0</v>
      </c>
      <c r="AE112" s="43">
        <f>IF(B112="","",IF(G112="","Planned - nothing made yet",IF(O112=0,"Check - no good units",IF(AND(Y112&lt;&gt;"",Y112&gt;0.15),"Check - costing 15% more than the estimate",IF(AND(P112&lt;&gt;"",P112&gt;DefaultDefect*2),"Check - high failure rate",IF(AND(AA112&lt;&gt;"",AA112&gt;5),"Check - taking longer than estimated",IF(AC112&lt;0,"Loss - this run lost money","OK")))))))</f>
        <v>0</v>
      </c>
    </row>
    <row r="113" spans="1:31">
      <c r="A113" s="38">
        <f>IF(B113="","",BatchPrefix&amp;TEXT(ROW()-4,"0000"))</f>
        <v>0</v>
      </c>
      <c r="C113" s="13">
        <f>IF(B113="","",IFERROR(INDEX(Products!$B$5:$B$304,MATCH(B113,Products!$A$5:$A$304,0)),"Not found"))</f>
        <v>0</v>
      </c>
      <c r="O113" s="32">
        <f>IF(B113="","",MAX(0,IF(G113="",0,G113)-IF(H113="",0,H113)))</f>
        <v>0</v>
      </c>
      <c r="P113" s="33">
        <f>IF(B113="","",IF(OR(G113="",G113=0),"",IF(H113="",0,H113)/G113))</f>
        <v>0</v>
      </c>
      <c r="Q113" s="20">
        <f>IF(B113="","",IFERROR(INDEX(Products!$T$5:$T$304,MATCH(B113,Products!$A$5:$A$304,0)),""))</f>
        <v>0</v>
      </c>
      <c r="R113" s="36">
        <f>IF(B113="","",IFERROR(INDEX(Products!$X$5:$X$304,MATCH(B113,Products!$A$5:$A$304,0)),""))</f>
        <v>0</v>
      </c>
      <c r="S113" s="20">
        <f>IF(B113="","",ROUND(IF(J113&lt;&gt;"",J113,IF(Q113="",0,Q113)*IF(G113="",0,G113)),2))</f>
        <v>0</v>
      </c>
      <c r="T113" s="20">
        <f>IF(B113="","",ROUND(IF(K113&lt;&gt;"",K113,IF(R113="",0,R113)*IF(G113="",0,G113)/60)*LaborCostHour,2))</f>
        <v>0</v>
      </c>
      <c r="U113" s="20">
        <f>IF(B113="","",ROUND(S113+T113+IF(L113="",0,L113)-IF(I113="",0,I113),2))</f>
        <v>0</v>
      </c>
      <c r="V113" s="20">
        <f>IF(B113="","",IF(O113=0,"",ROUND(U113/O113,2)))</f>
        <v>0</v>
      </c>
      <c r="W113" s="20">
        <f>IF(B113="","",IFERROR(INDEX(Products!$AH$5:$AH$304,MATCH(B113,Products!$A$5:$A$304,0)),""))</f>
        <v>0</v>
      </c>
      <c r="X113" s="20">
        <f>IF(B113="","",IF(OR(V113="",W113=""),"",ROUND(V113-W113,2)))</f>
        <v>0</v>
      </c>
      <c r="Y113" s="33">
        <f>IF(B113="","",IF(OR(X113="",W113="",W113=0),"",X113/W113))</f>
        <v>0</v>
      </c>
      <c r="Z113" s="36">
        <f>IF(B113="","",IF(OR(K113="",G113="",G113=0),"",ROUND(K113*60/G113,1)))</f>
        <v>0</v>
      </c>
      <c r="AA113" s="36">
        <f>IF(B113="","",IF(OR(Z113="",R113=""),"",ROUND(Z113-R113,1)))</f>
        <v>0</v>
      </c>
      <c r="AB113" s="20">
        <f>IF(B113="","",IFERROR(ROUND(O113*INDEX(Products!$AR$5:$AR$304,MATCH(B113,Products!$A$5:$A$304,0)),2),""))</f>
        <v>0</v>
      </c>
      <c r="AC113" s="20">
        <f>IF(B113="","",IF(AB113="","",ROUND(AB113-U113,2)))</f>
        <v>0</v>
      </c>
      <c r="AD113" s="32">
        <f>IF(B113="","",IF(OR(D113="",E113=""),"",E113-D113))</f>
        <v>0</v>
      </c>
      <c r="AE113" s="43">
        <f>IF(B113="","",IF(G113="","Planned - nothing made yet",IF(O113=0,"Check - no good units",IF(AND(Y113&lt;&gt;"",Y113&gt;0.15),"Check - costing 15% more than the estimate",IF(AND(P113&lt;&gt;"",P113&gt;DefaultDefect*2),"Check - high failure rate",IF(AND(AA113&lt;&gt;"",AA113&gt;5),"Check - taking longer than estimated",IF(AC113&lt;0,"Loss - this run lost money","OK")))))))</f>
        <v>0</v>
      </c>
    </row>
    <row r="114" spans="1:31">
      <c r="A114" s="38">
        <f>IF(B114="","",BatchPrefix&amp;TEXT(ROW()-4,"0000"))</f>
        <v>0</v>
      </c>
      <c r="C114" s="13">
        <f>IF(B114="","",IFERROR(INDEX(Products!$B$5:$B$304,MATCH(B114,Products!$A$5:$A$304,0)),"Not found"))</f>
        <v>0</v>
      </c>
      <c r="O114" s="32">
        <f>IF(B114="","",MAX(0,IF(G114="",0,G114)-IF(H114="",0,H114)))</f>
        <v>0</v>
      </c>
      <c r="P114" s="33">
        <f>IF(B114="","",IF(OR(G114="",G114=0),"",IF(H114="",0,H114)/G114))</f>
        <v>0</v>
      </c>
      <c r="Q114" s="20">
        <f>IF(B114="","",IFERROR(INDEX(Products!$T$5:$T$304,MATCH(B114,Products!$A$5:$A$304,0)),""))</f>
        <v>0</v>
      </c>
      <c r="R114" s="36">
        <f>IF(B114="","",IFERROR(INDEX(Products!$X$5:$X$304,MATCH(B114,Products!$A$5:$A$304,0)),""))</f>
        <v>0</v>
      </c>
      <c r="S114" s="20">
        <f>IF(B114="","",ROUND(IF(J114&lt;&gt;"",J114,IF(Q114="",0,Q114)*IF(G114="",0,G114)),2))</f>
        <v>0</v>
      </c>
      <c r="T114" s="20">
        <f>IF(B114="","",ROUND(IF(K114&lt;&gt;"",K114,IF(R114="",0,R114)*IF(G114="",0,G114)/60)*LaborCostHour,2))</f>
        <v>0</v>
      </c>
      <c r="U114" s="20">
        <f>IF(B114="","",ROUND(S114+T114+IF(L114="",0,L114)-IF(I114="",0,I114),2))</f>
        <v>0</v>
      </c>
      <c r="V114" s="20">
        <f>IF(B114="","",IF(O114=0,"",ROUND(U114/O114,2)))</f>
        <v>0</v>
      </c>
      <c r="W114" s="20">
        <f>IF(B114="","",IFERROR(INDEX(Products!$AH$5:$AH$304,MATCH(B114,Products!$A$5:$A$304,0)),""))</f>
        <v>0</v>
      </c>
      <c r="X114" s="20">
        <f>IF(B114="","",IF(OR(V114="",W114=""),"",ROUND(V114-W114,2)))</f>
        <v>0</v>
      </c>
      <c r="Y114" s="33">
        <f>IF(B114="","",IF(OR(X114="",W114="",W114=0),"",X114/W114))</f>
        <v>0</v>
      </c>
      <c r="Z114" s="36">
        <f>IF(B114="","",IF(OR(K114="",G114="",G114=0),"",ROUND(K114*60/G114,1)))</f>
        <v>0</v>
      </c>
      <c r="AA114" s="36">
        <f>IF(B114="","",IF(OR(Z114="",R114=""),"",ROUND(Z114-R114,1)))</f>
        <v>0</v>
      </c>
      <c r="AB114" s="20">
        <f>IF(B114="","",IFERROR(ROUND(O114*INDEX(Products!$AR$5:$AR$304,MATCH(B114,Products!$A$5:$A$304,0)),2),""))</f>
        <v>0</v>
      </c>
      <c r="AC114" s="20">
        <f>IF(B114="","",IF(AB114="","",ROUND(AB114-U114,2)))</f>
        <v>0</v>
      </c>
      <c r="AD114" s="32">
        <f>IF(B114="","",IF(OR(D114="",E114=""),"",E114-D114))</f>
        <v>0</v>
      </c>
      <c r="AE114" s="43">
        <f>IF(B114="","",IF(G114="","Planned - nothing made yet",IF(O114=0,"Check - no good units",IF(AND(Y114&lt;&gt;"",Y114&gt;0.15),"Check - costing 15% more than the estimate",IF(AND(P114&lt;&gt;"",P114&gt;DefaultDefect*2),"Check - high failure rate",IF(AND(AA114&lt;&gt;"",AA114&gt;5),"Check - taking longer than estimated",IF(AC114&lt;0,"Loss - this run lost money","OK")))))))</f>
        <v>0</v>
      </c>
    </row>
    <row r="115" spans="1:31">
      <c r="A115" s="38">
        <f>IF(B115="","",BatchPrefix&amp;TEXT(ROW()-4,"0000"))</f>
        <v>0</v>
      </c>
      <c r="C115" s="13">
        <f>IF(B115="","",IFERROR(INDEX(Products!$B$5:$B$304,MATCH(B115,Products!$A$5:$A$304,0)),"Not found"))</f>
        <v>0</v>
      </c>
      <c r="O115" s="32">
        <f>IF(B115="","",MAX(0,IF(G115="",0,G115)-IF(H115="",0,H115)))</f>
        <v>0</v>
      </c>
      <c r="P115" s="33">
        <f>IF(B115="","",IF(OR(G115="",G115=0),"",IF(H115="",0,H115)/G115))</f>
        <v>0</v>
      </c>
      <c r="Q115" s="20">
        <f>IF(B115="","",IFERROR(INDEX(Products!$T$5:$T$304,MATCH(B115,Products!$A$5:$A$304,0)),""))</f>
        <v>0</v>
      </c>
      <c r="R115" s="36">
        <f>IF(B115="","",IFERROR(INDEX(Products!$X$5:$X$304,MATCH(B115,Products!$A$5:$A$304,0)),""))</f>
        <v>0</v>
      </c>
      <c r="S115" s="20">
        <f>IF(B115="","",ROUND(IF(J115&lt;&gt;"",J115,IF(Q115="",0,Q115)*IF(G115="",0,G115)),2))</f>
        <v>0</v>
      </c>
      <c r="T115" s="20">
        <f>IF(B115="","",ROUND(IF(K115&lt;&gt;"",K115,IF(R115="",0,R115)*IF(G115="",0,G115)/60)*LaborCostHour,2))</f>
        <v>0</v>
      </c>
      <c r="U115" s="20">
        <f>IF(B115="","",ROUND(S115+T115+IF(L115="",0,L115)-IF(I115="",0,I115),2))</f>
        <v>0</v>
      </c>
      <c r="V115" s="20">
        <f>IF(B115="","",IF(O115=0,"",ROUND(U115/O115,2)))</f>
        <v>0</v>
      </c>
      <c r="W115" s="20">
        <f>IF(B115="","",IFERROR(INDEX(Products!$AH$5:$AH$304,MATCH(B115,Products!$A$5:$A$304,0)),""))</f>
        <v>0</v>
      </c>
      <c r="X115" s="20">
        <f>IF(B115="","",IF(OR(V115="",W115=""),"",ROUND(V115-W115,2)))</f>
        <v>0</v>
      </c>
      <c r="Y115" s="33">
        <f>IF(B115="","",IF(OR(X115="",W115="",W115=0),"",X115/W115))</f>
        <v>0</v>
      </c>
      <c r="Z115" s="36">
        <f>IF(B115="","",IF(OR(K115="",G115="",G115=0),"",ROUND(K115*60/G115,1)))</f>
        <v>0</v>
      </c>
      <c r="AA115" s="36">
        <f>IF(B115="","",IF(OR(Z115="",R115=""),"",ROUND(Z115-R115,1)))</f>
        <v>0</v>
      </c>
      <c r="AB115" s="20">
        <f>IF(B115="","",IFERROR(ROUND(O115*INDEX(Products!$AR$5:$AR$304,MATCH(B115,Products!$A$5:$A$304,0)),2),""))</f>
        <v>0</v>
      </c>
      <c r="AC115" s="20">
        <f>IF(B115="","",IF(AB115="","",ROUND(AB115-U115,2)))</f>
        <v>0</v>
      </c>
      <c r="AD115" s="32">
        <f>IF(B115="","",IF(OR(D115="",E115=""),"",E115-D115))</f>
        <v>0</v>
      </c>
      <c r="AE115" s="43">
        <f>IF(B115="","",IF(G115="","Planned - nothing made yet",IF(O115=0,"Check - no good units",IF(AND(Y115&lt;&gt;"",Y115&gt;0.15),"Check - costing 15% more than the estimate",IF(AND(P115&lt;&gt;"",P115&gt;DefaultDefect*2),"Check - high failure rate",IF(AND(AA115&lt;&gt;"",AA115&gt;5),"Check - taking longer than estimated",IF(AC115&lt;0,"Loss - this run lost money","OK")))))))</f>
        <v>0</v>
      </c>
    </row>
    <row r="116" spans="1:31">
      <c r="A116" s="38">
        <f>IF(B116="","",BatchPrefix&amp;TEXT(ROW()-4,"0000"))</f>
        <v>0</v>
      </c>
      <c r="C116" s="13">
        <f>IF(B116="","",IFERROR(INDEX(Products!$B$5:$B$304,MATCH(B116,Products!$A$5:$A$304,0)),"Not found"))</f>
        <v>0</v>
      </c>
      <c r="O116" s="32">
        <f>IF(B116="","",MAX(0,IF(G116="",0,G116)-IF(H116="",0,H116)))</f>
        <v>0</v>
      </c>
      <c r="P116" s="33">
        <f>IF(B116="","",IF(OR(G116="",G116=0),"",IF(H116="",0,H116)/G116))</f>
        <v>0</v>
      </c>
      <c r="Q116" s="20">
        <f>IF(B116="","",IFERROR(INDEX(Products!$T$5:$T$304,MATCH(B116,Products!$A$5:$A$304,0)),""))</f>
        <v>0</v>
      </c>
      <c r="R116" s="36">
        <f>IF(B116="","",IFERROR(INDEX(Products!$X$5:$X$304,MATCH(B116,Products!$A$5:$A$304,0)),""))</f>
        <v>0</v>
      </c>
      <c r="S116" s="20">
        <f>IF(B116="","",ROUND(IF(J116&lt;&gt;"",J116,IF(Q116="",0,Q116)*IF(G116="",0,G116)),2))</f>
        <v>0</v>
      </c>
      <c r="T116" s="20">
        <f>IF(B116="","",ROUND(IF(K116&lt;&gt;"",K116,IF(R116="",0,R116)*IF(G116="",0,G116)/60)*LaborCostHour,2))</f>
        <v>0</v>
      </c>
      <c r="U116" s="20">
        <f>IF(B116="","",ROUND(S116+T116+IF(L116="",0,L116)-IF(I116="",0,I116),2))</f>
        <v>0</v>
      </c>
      <c r="V116" s="20">
        <f>IF(B116="","",IF(O116=0,"",ROUND(U116/O116,2)))</f>
        <v>0</v>
      </c>
      <c r="W116" s="20">
        <f>IF(B116="","",IFERROR(INDEX(Products!$AH$5:$AH$304,MATCH(B116,Products!$A$5:$A$304,0)),""))</f>
        <v>0</v>
      </c>
      <c r="X116" s="20">
        <f>IF(B116="","",IF(OR(V116="",W116=""),"",ROUND(V116-W116,2)))</f>
        <v>0</v>
      </c>
      <c r="Y116" s="33">
        <f>IF(B116="","",IF(OR(X116="",W116="",W116=0),"",X116/W116))</f>
        <v>0</v>
      </c>
      <c r="Z116" s="36">
        <f>IF(B116="","",IF(OR(K116="",G116="",G116=0),"",ROUND(K116*60/G116,1)))</f>
        <v>0</v>
      </c>
      <c r="AA116" s="36">
        <f>IF(B116="","",IF(OR(Z116="",R116=""),"",ROUND(Z116-R116,1)))</f>
        <v>0</v>
      </c>
      <c r="AB116" s="20">
        <f>IF(B116="","",IFERROR(ROUND(O116*INDEX(Products!$AR$5:$AR$304,MATCH(B116,Products!$A$5:$A$304,0)),2),""))</f>
        <v>0</v>
      </c>
      <c r="AC116" s="20">
        <f>IF(B116="","",IF(AB116="","",ROUND(AB116-U116,2)))</f>
        <v>0</v>
      </c>
      <c r="AD116" s="32">
        <f>IF(B116="","",IF(OR(D116="",E116=""),"",E116-D116))</f>
        <v>0</v>
      </c>
      <c r="AE116" s="43">
        <f>IF(B116="","",IF(G116="","Planned - nothing made yet",IF(O116=0,"Check - no good units",IF(AND(Y116&lt;&gt;"",Y116&gt;0.15),"Check - costing 15% more than the estimate",IF(AND(P116&lt;&gt;"",P116&gt;DefaultDefect*2),"Check - high failure rate",IF(AND(AA116&lt;&gt;"",AA116&gt;5),"Check - taking longer than estimated",IF(AC116&lt;0,"Loss - this run lost money","OK")))))))</f>
        <v>0</v>
      </c>
    </row>
    <row r="117" spans="1:31">
      <c r="A117" s="38">
        <f>IF(B117="","",BatchPrefix&amp;TEXT(ROW()-4,"0000"))</f>
        <v>0</v>
      </c>
      <c r="C117" s="13">
        <f>IF(B117="","",IFERROR(INDEX(Products!$B$5:$B$304,MATCH(B117,Products!$A$5:$A$304,0)),"Not found"))</f>
        <v>0</v>
      </c>
      <c r="O117" s="32">
        <f>IF(B117="","",MAX(0,IF(G117="",0,G117)-IF(H117="",0,H117)))</f>
        <v>0</v>
      </c>
      <c r="P117" s="33">
        <f>IF(B117="","",IF(OR(G117="",G117=0),"",IF(H117="",0,H117)/G117))</f>
        <v>0</v>
      </c>
      <c r="Q117" s="20">
        <f>IF(B117="","",IFERROR(INDEX(Products!$T$5:$T$304,MATCH(B117,Products!$A$5:$A$304,0)),""))</f>
        <v>0</v>
      </c>
      <c r="R117" s="36">
        <f>IF(B117="","",IFERROR(INDEX(Products!$X$5:$X$304,MATCH(B117,Products!$A$5:$A$304,0)),""))</f>
        <v>0</v>
      </c>
      <c r="S117" s="20">
        <f>IF(B117="","",ROUND(IF(J117&lt;&gt;"",J117,IF(Q117="",0,Q117)*IF(G117="",0,G117)),2))</f>
        <v>0</v>
      </c>
      <c r="T117" s="20">
        <f>IF(B117="","",ROUND(IF(K117&lt;&gt;"",K117,IF(R117="",0,R117)*IF(G117="",0,G117)/60)*LaborCostHour,2))</f>
        <v>0</v>
      </c>
      <c r="U117" s="20">
        <f>IF(B117="","",ROUND(S117+T117+IF(L117="",0,L117)-IF(I117="",0,I117),2))</f>
        <v>0</v>
      </c>
      <c r="V117" s="20">
        <f>IF(B117="","",IF(O117=0,"",ROUND(U117/O117,2)))</f>
        <v>0</v>
      </c>
      <c r="W117" s="20">
        <f>IF(B117="","",IFERROR(INDEX(Products!$AH$5:$AH$304,MATCH(B117,Products!$A$5:$A$304,0)),""))</f>
        <v>0</v>
      </c>
      <c r="X117" s="20">
        <f>IF(B117="","",IF(OR(V117="",W117=""),"",ROUND(V117-W117,2)))</f>
        <v>0</v>
      </c>
      <c r="Y117" s="33">
        <f>IF(B117="","",IF(OR(X117="",W117="",W117=0),"",X117/W117))</f>
        <v>0</v>
      </c>
      <c r="Z117" s="36">
        <f>IF(B117="","",IF(OR(K117="",G117="",G117=0),"",ROUND(K117*60/G117,1)))</f>
        <v>0</v>
      </c>
      <c r="AA117" s="36">
        <f>IF(B117="","",IF(OR(Z117="",R117=""),"",ROUND(Z117-R117,1)))</f>
        <v>0</v>
      </c>
      <c r="AB117" s="20">
        <f>IF(B117="","",IFERROR(ROUND(O117*INDEX(Products!$AR$5:$AR$304,MATCH(B117,Products!$A$5:$A$304,0)),2),""))</f>
        <v>0</v>
      </c>
      <c r="AC117" s="20">
        <f>IF(B117="","",IF(AB117="","",ROUND(AB117-U117,2)))</f>
        <v>0</v>
      </c>
      <c r="AD117" s="32">
        <f>IF(B117="","",IF(OR(D117="",E117=""),"",E117-D117))</f>
        <v>0</v>
      </c>
      <c r="AE117" s="43">
        <f>IF(B117="","",IF(G117="","Planned - nothing made yet",IF(O117=0,"Check - no good units",IF(AND(Y117&lt;&gt;"",Y117&gt;0.15),"Check - costing 15% more than the estimate",IF(AND(P117&lt;&gt;"",P117&gt;DefaultDefect*2),"Check - high failure rate",IF(AND(AA117&lt;&gt;"",AA117&gt;5),"Check - taking longer than estimated",IF(AC117&lt;0,"Loss - this run lost money","OK")))))))</f>
        <v>0</v>
      </c>
    </row>
    <row r="118" spans="1:31">
      <c r="A118" s="38">
        <f>IF(B118="","",BatchPrefix&amp;TEXT(ROW()-4,"0000"))</f>
        <v>0</v>
      </c>
      <c r="C118" s="13">
        <f>IF(B118="","",IFERROR(INDEX(Products!$B$5:$B$304,MATCH(B118,Products!$A$5:$A$304,0)),"Not found"))</f>
        <v>0</v>
      </c>
      <c r="O118" s="32">
        <f>IF(B118="","",MAX(0,IF(G118="",0,G118)-IF(H118="",0,H118)))</f>
        <v>0</v>
      </c>
      <c r="P118" s="33">
        <f>IF(B118="","",IF(OR(G118="",G118=0),"",IF(H118="",0,H118)/G118))</f>
        <v>0</v>
      </c>
      <c r="Q118" s="20">
        <f>IF(B118="","",IFERROR(INDEX(Products!$T$5:$T$304,MATCH(B118,Products!$A$5:$A$304,0)),""))</f>
        <v>0</v>
      </c>
      <c r="R118" s="36">
        <f>IF(B118="","",IFERROR(INDEX(Products!$X$5:$X$304,MATCH(B118,Products!$A$5:$A$304,0)),""))</f>
        <v>0</v>
      </c>
      <c r="S118" s="20">
        <f>IF(B118="","",ROUND(IF(J118&lt;&gt;"",J118,IF(Q118="",0,Q118)*IF(G118="",0,G118)),2))</f>
        <v>0</v>
      </c>
      <c r="T118" s="20">
        <f>IF(B118="","",ROUND(IF(K118&lt;&gt;"",K118,IF(R118="",0,R118)*IF(G118="",0,G118)/60)*LaborCostHour,2))</f>
        <v>0</v>
      </c>
      <c r="U118" s="20">
        <f>IF(B118="","",ROUND(S118+T118+IF(L118="",0,L118)-IF(I118="",0,I118),2))</f>
        <v>0</v>
      </c>
      <c r="V118" s="20">
        <f>IF(B118="","",IF(O118=0,"",ROUND(U118/O118,2)))</f>
        <v>0</v>
      </c>
      <c r="W118" s="20">
        <f>IF(B118="","",IFERROR(INDEX(Products!$AH$5:$AH$304,MATCH(B118,Products!$A$5:$A$304,0)),""))</f>
        <v>0</v>
      </c>
      <c r="X118" s="20">
        <f>IF(B118="","",IF(OR(V118="",W118=""),"",ROUND(V118-W118,2)))</f>
        <v>0</v>
      </c>
      <c r="Y118" s="33">
        <f>IF(B118="","",IF(OR(X118="",W118="",W118=0),"",X118/W118))</f>
        <v>0</v>
      </c>
      <c r="Z118" s="36">
        <f>IF(B118="","",IF(OR(K118="",G118="",G118=0),"",ROUND(K118*60/G118,1)))</f>
        <v>0</v>
      </c>
      <c r="AA118" s="36">
        <f>IF(B118="","",IF(OR(Z118="",R118=""),"",ROUND(Z118-R118,1)))</f>
        <v>0</v>
      </c>
      <c r="AB118" s="20">
        <f>IF(B118="","",IFERROR(ROUND(O118*INDEX(Products!$AR$5:$AR$304,MATCH(B118,Products!$A$5:$A$304,0)),2),""))</f>
        <v>0</v>
      </c>
      <c r="AC118" s="20">
        <f>IF(B118="","",IF(AB118="","",ROUND(AB118-U118,2)))</f>
        <v>0</v>
      </c>
      <c r="AD118" s="32">
        <f>IF(B118="","",IF(OR(D118="",E118=""),"",E118-D118))</f>
        <v>0</v>
      </c>
      <c r="AE118" s="43">
        <f>IF(B118="","",IF(G118="","Planned - nothing made yet",IF(O118=0,"Check - no good units",IF(AND(Y118&lt;&gt;"",Y118&gt;0.15),"Check - costing 15% more than the estimate",IF(AND(P118&lt;&gt;"",P118&gt;DefaultDefect*2),"Check - high failure rate",IF(AND(AA118&lt;&gt;"",AA118&gt;5),"Check - taking longer than estimated",IF(AC118&lt;0,"Loss - this run lost money","OK")))))))</f>
        <v>0</v>
      </c>
    </row>
    <row r="119" spans="1:31">
      <c r="A119" s="38">
        <f>IF(B119="","",BatchPrefix&amp;TEXT(ROW()-4,"0000"))</f>
        <v>0</v>
      </c>
      <c r="C119" s="13">
        <f>IF(B119="","",IFERROR(INDEX(Products!$B$5:$B$304,MATCH(B119,Products!$A$5:$A$304,0)),"Not found"))</f>
        <v>0</v>
      </c>
      <c r="O119" s="32">
        <f>IF(B119="","",MAX(0,IF(G119="",0,G119)-IF(H119="",0,H119)))</f>
        <v>0</v>
      </c>
      <c r="P119" s="33">
        <f>IF(B119="","",IF(OR(G119="",G119=0),"",IF(H119="",0,H119)/G119))</f>
        <v>0</v>
      </c>
      <c r="Q119" s="20">
        <f>IF(B119="","",IFERROR(INDEX(Products!$T$5:$T$304,MATCH(B119,Products!$A$5:$A$304,0)),""))</f>
        <v>0</v>
      </c>
      <c r="R119" s="36">
        <f>IF(B119="","",IFERROR(INDEX(Products!$X$5:$X$304,MATCH(B119,Products!$A$5:$A$304,0)),""))</f>
        <v>0</v>
      </c>
      <c r="S119" s="20">
        <f>IF(B119="","",ROUND(IF(J119&lt;&gt;"",J119,IF(Q119="",0,Q119)*IF(G119="",0,G119)),2))</f>
        <v>0</v>
      </c>
      <c r="T119" s="20">
        <f>IF(B119="","",ROUND(IF(K119&lt;&gt;"",K119,IF(R119="",0,R119)*IF(G119="",0,G119)/60)*LaborCostHour,2))</f>
        <v>0</v>
      </c>
      <c r="U119" s="20">
        <f>IF(B119="","",ROUND(S119+T119+IF(L119="",0,L119)-IF(I119="",0,I119),2))</f>
        <v>0</v>
      </c>
      <c r="V119" s="20">
        <f>IF(B119="","",IF(O119=0,"",ROUND(U119/O119,2)))</f>
        <v>0</v>
      </c>
      <c r="W119" s="20">
        <f>IF(B119="","",IFERROR(INDEX(Products!$AH$5:$AH$304,MATCH(B119,Products!$A$5:$A$304,0)),""))</f>
        <v>0</v>
      </c>
      <c r="X119" s="20">
        <f>IF(B119="","",IF(OR(V119="",W119=""),"",ROUND(V119-W119,2)))</f>
        <v>0</v>
      </c>
      <c r="Y119" s="33">
        <f>IF(B119="","",IF(OR(X119="",W119="",W119=0),"",X119/W119))</f>
        <v>0</v>
      </c>
      <c r="Z119" s="36">
        <f>IF(B119="","",IF(OR(K119="",G119="",G119=0),"",ROUND(K119*60/G119,1)))</f>
        <v>0</v>
      </c>
      <c r="AA119" s="36">
        <f>IF(B119="","",IF(OR(Z119="",R119=""),"",ROUND(Z119-R119,1)))</f>
        <v>0</v>
      </c>
      <c r="AB119" s="20">
        <f>IF(B119="","",IFERROR(ROUND(O119*INDEX(Products!$AR$5:$AR$304,MATCH(B119,Products!$A$5:$A$304,0)),2),""))</f>
        <v>0</v>
      </c>
      <c r="AC119" s="20">
        <f>IF(B119="","",IF(AB119="","",ROUND(AB119-U119,2)))</f>
        <v>0</v>
      </c>
      <c r="AD119" s="32">
        <f>IF(B119="","",IF(OR(D119="",E119=""),"",E119-D119))</f>
        <v>0</v>
      </c>
      <c r="AE119" s="43">
        <f>IF(B119="","",IF(G119="","Planned - nothing made yet",IF(O119=0,"Check - no good units",IF(AND(Y119&lt;&gt;"",Y119&gt;0.15),"Check - costing 15% more than the estimate",IF(AND(P119&lt;&gt;"",P119&gt;DefaultDefect*2),"Check - high failure rate",IF(AND(AA119&lt;&gt;"",AA119&gt;5),"Check - taking longer than estimated",IF(AC119&lt;0,"Loss - this run lost money","OK")))))))</f>
        <v>0</v>
      </c>
    </row>
    <row r="120" spans="1:31">
      <c r="A120" s="38">
        <f>IF(B120="","",BatchPrefix&amp;TEXT(ROW()-4,"0000"))</f>
        <v>0</v>
      </c>
      <c r="C120" s="13">
        <f>IF(B120="","",IFERROR(INDEX(Products!$B$5:$B$304,MATCH(B120,Products!$A$5:$A$304,0)),"Not found"))</f>
        <v>0</v>
      </c>
      <c r="O120" s="32">
        <f>IF(B120="","",MAX(0,IF(G120="",0,G120)-IF(H120="",0,H120)))</f>
        <v>0</v>
      </c>
      <c r="P120" s="33">
        <f>IF(B120="","",IF(OR(G120="",G120=0),"",IF(H120="",0,H120)/G120))</f>
        <v>0</v>
      </c>
      <c r="Q120" s="20">
        <f>IF(B120="","",IFERROR(INDEX(Products!$T$5:$T$304,MATCH(B120,Products!$A$5:$A$304,0)),""))</f>
        <v>0</v>
      </c>
      <c r="R120" s="36">
        <f>IF(B120="","",IFERROR(INDEX(Products!$X$5:$X$304,MATCH(B120,Products!$A$5:$A$304,0)),""))</f>
        <v>0</v>
      </c>
      <c r="S120" s="20">
        <f>IF(B120="","",ROUND(IF(J120&lt;&gt;"",J120,IF(Q120="",0,Q120)*IF(G120="",0,G120)),2))</f>
        <v>0</v>
      </c>
      <c r="T120" s="20">
        <f>IF(B120="","",ROUND(IF(K120&lt;&gt;"",K120,IF(R120="",0,R120)*IF(G120="",0,G120)/60)*LaborCostHour,2))</f>
        <v>0</v>
      </c>
      <c r="U120" s="20">
        <f>IF(B120="","",ROUND(S120+T120+IF(L120="",0,L120)-IF(I120="",0,I120),2))</f>
        <v>0</v>
      </c>
      <c r="V120" s="20">
        <f>IF(B120="","",IF(O120=0,"",ROUND(U120/O120,2)))</f>
        <v>0</v>
      </c>
      <c r="W120" s="20">
        <f>IF(B120="","",IFERROR(INDEX(Products!$AH$5:$AH$304,MATCH(B120,Products!$A$5:$A$304,0)),""))</f>
        <v>0</v>
      </c>
      <c r="X120" s="20">
        <f>IF(B120="","",IF(OR(V120="",W120=""),"",ROUND(V120-W120,2)))</f>
        <v>0</v>
      </c>
      <c r="Y120" s="33">
        <f>IF(B120="","",IF(OR(X120="",W120="",W120=0),"",X120/W120))</f>
        <v>0</v>
      </c>
      <c r="Z120" s="36">
        <f>IF(B120="","",IF(OR(K120="",G120="",G120=0),"",ROUND(K120*60/G120,1)))</f>
        <v>0</v>
      </c>
      <c r="AA120" s="36">
        <f>IF(B120="","",IF(OR(Z120="",R120=""),"",ROUND(Z120-R120,1)))</f>
        <v>0</v>
      </c>
      <c r="AB120" s="20">
        <f>IF(B120="","",IFERROR(ROUND(O120*INDEX(Products!$AR$5:$AR$304,MATCH(B120,Products!$A$5:$A$304,0)),2),""))</f>
        <v>0</v>
      </c>
      <c r="AC120" s="20">
        <f>IF(B120="","",IF(AB120="","",ROUND(AB120-U120,2)))</f>
        <v>0</v>
      </c>
      <c r="AD120" s="32">
        <f>IF(B120="","",IF(OR(D120="",E120=""),"",E120-D120))</f>
        <v>0</v>
      </c>
      <c r="AE120" s="43">
        <f>IF(B120="","",IF(G120="","Planned - nothing made yet",IF(O120=0,"Check - no good units",IF(AND(Y120&lt;&gt;"",Y120&gt;0.15),"Check - costing 15% more than the estimate",IF(AND(P120&lt;&gt;"",P120&gt;DefaultDefect*2),"Check - high failure rate",IF(AND(AA120&lt;&gt;"",AA120&gt;5),"Check - taking longer than estimated",IF(AC120&lt;0,"Loss - this run lost money","OK")))))))</f>
        <v>0</v>
      </c>
    </row>
    <row r="121" spans="1:31">
      <c r="A121" s="38">
        <f>IF(B121="","",BatchPrefix&amp;TEXT(ROW()-4,"0000"))</f>
        <v>0</v>
      </c>
      <c r="C121" s="13">
        <f>IF(B121="","",IFERROR(INDEX(Products!$B$5:$B$304,MATCH(B121,Products!$A$5:$A$304,0)),"Not found"))</f>
        <v>0</v>
      </c>
      <c r="O121" s="32">
        <f>IF(B121="","",MAX(0,IF(G121="",0,G121)-IF(H121="",0,H121)))</f>
        <v>0</v>
      </c>
      <c r="P121" s="33">
        <f>IF(B121="","",IF(OR(G121="",G121=0),"",IF(H121="",0,H121)/G121))</f>
        <v>0</v>
      </c>
      <c r="Q121" s="20">
        <f>IF(B121="","",IFERROR(INDEX(Products!$T$5:$T$304,MATCH(B121,Products!$A$5:$A$304,0)),""))</f>
        <v>0</v>
      </c>
      <c r="R121" s="36">
        <f>IF(B121="","",IFERROR(INDEX(Products!$X$5:$X$304,MATCH(B121,Products!$A$5:$A$304,0)),""))</f>
        <v>0</v>
      </c>
      <c r="S121" s="20">
        <f>IF(B121="","",ROUND(IF(J121&lt;&gt;"",J121,IF(Q121="",0,Q121)*IF(G121="",0,G121)),2))</f>
        <v>0</v>
      </c>
      <c r="T121" s="20">
        <f>IF(B121="","",ROUND(IF(K121&lt;&gt;"",K121,IF(R121="",0,R121)*IF(G121="",0,G121)/60)*LaborCostHour,2))</f>
        <v>0</v>
      </c>
      <c r="U121" s="20">
        <f>IF(B121="","",ROUND(S121+T121+IF(L121="",0,L121)-IF(I121="",0,I121),2))</f>
        <v>0</v>
      </c>
      <c r="V121" s="20">
        <f>IF(B121="","",IF(O121=0,"",ROUND(U121/O121,2)))</f>
        <v>0</v>
      </c>
      <c r="W121" s="20">
        <f>IF(B121="","",IFERROR(INDEX(Products!$AH$5:$AH$304,MATCH(B121,Products!$A$5:$A$304,0)),""))</f>
        <v>0</v>
      </c>
      <c r="X121" s="20">
        <f>IF(B121="","",IF(OR(V121="",W121=""),"",ROUND(V121-W121,2)))</f>
        <v>0</v>
      </c>
      <c r="Y121" s="33">
        <f>IF(B121="","",IF(OR(X121="",W121="",W121=0),"",X121/W121))</f>
        <v>0</v>
      </c>
      <c r="Z121" s="36">
        <f>IF(B121="","",IF(OR(K121="",G121="",G121=0),"",ROUND(K121*60/G121,1)))</f>
        <v>0</v>
      </c>
      <c r="AA121" s="36">
        <f>IF(B121="","",IF(OR(Z121="",R121=""),"",ROUND(Z121-R121,1)))</f>
        <v>0</v>
      </c>
      <c r="AB121" s="20">
        <f>IF(B121="","",IFERROR(ROUND(O121*INDEX(Products!$AR$5:$AR$304,MATCH(B121,Products!$A$5:$A$304,0)),2),""))</f>
        <v>0</v>
      </c>
      <c r="AC121" s="20">
        <f>IF(B121="","",IF(AB121="","",ROUND(AB121-U121,2)))</f>
        <v>0</v>
      </c>
      <c r="AD121" s="32">
        <f>IF(B121="","",IF(OR(D121="",E121=""),"",E121-D121))</f>
        <v>0</v>
      </c>
      <c r="AE121" s="43">
        <f>IF(B121="","",IF(G121="","Planned - nothing made yet",IF(O121=0,"Check - no good units",IF(AND(Y121&lt;&gt;"",Y121&gt;0.15),"Check - costing 15% more than the estimate",IF(AND(P121&lt;&gt;"",P121&gt;DefaultDefect*2),"Check - high failure rate",IF(AND(AA121&lt;&gt;"",AA121&gt;5),"Check - taking longer than estimated",IF(AC121&lt;0,"Loss - this run lost money","OK")))))))</f>
        <v>0</v>
      </c>
    </row>
    <row r="122" spans="1:31">
      <c r="A122" s="38">
        <f>IF(B122="","",BatchPrefix&amp;TEXT(ROW()-4,"0000"))</f>
        <v>0</v>
      </c>
      <c r="C122" s="13">
        <f>IF(B122="","",IFERROR(INDEX(Products!$B$5:$B$304,MATCH(B122,Products!$A$5:$A$304,0)),"Not found"))</f>
        <v>0</v>
      </c>
      <c r="O122" s="32">
        <f>IF(B122="","",MAX(0,IF(G122="",0,G122)-IF(H122="",0,H122)))</f>
        <v>0</v>
      </c>
      <c r="P122" s="33">
        <f>IF(B122="","",IF(OR(G122="",G122=0),"",IF(H122="",0,H122)/G122))</f>
        <v>0</v>
      </c>
      <c r="Q122" s="20">
        <f>IF(B122="","",IFERROR(INDEX(Products!$T$5:$T$304,MATCH(B122,Products!$A$5:$A$304,0)),""))</f>
        <v>0</v>
      </c>
      <c r="R122" s="36">
        <f>IF(B122="","",IFERROR(INDEX(Products!$X$5:$X$304,MATCH(B122,Products!$A$5:$A$304,0)),""))</f>
        <v>0</v>
      </c>
      <c r="S122" s="20">
        <f>IF(B122="","",ROUND(IF(J122&lt;&gt;"",J122,IF(Q122="",0,Q122)*IF(G122="",0,G122)),2))</f>
        <v>0</v>
      </c>
      <c r="T122" s="20">
        <f>IF(B122="","",ROUND(IF(K122&lt;&gt;"",K122,IF(R122="",0,R122)*IF(G122="",0,G122)/60)*LaborCostHour,2))</f>
        <v>0</v>
      </c>
      <c r="U122" s="20">
        <f>IF(B122="","",ROUND(S122+T122+IF(L122="",0,L122)-IF(I122="",0,I122),2))</f>
        <v>0</v>
      </c>
      <c r="V122" s="20">
        <f>IF(B122="","",IF(O122=0,"",ROUND(U122/O122,2)))</f>
        <v>0</v>
      </c>
      <c r="W122" s="20">
        <f>IF(B122="","",IFERROR(INDEX(Products!$AH$5:$AH$304,MATCH(B122,Products!$A$5:$A$304,0)),""))</f>
        <v>0</v>
      </c>
      <c r="X122" s="20">
        <f>IF(B122="","",IF(OR(V122="",W122=""),"",ROUND(V122-W122,2)))</f>
        <v>0</v>
      </c>
      <c r="Y122" s="33">
        <f>IF(B122="","",IF(OR(X122="",W122="",W122=0),"",X122/W122))</f>
        <v>0</v>
      </c>
      <c r="Z122" s="36">
        <f>IF(B122="","",IF(OR(K122="",G122="",G122=0),"",ROUND(K122*60/G122,1)))</f>
        <v>0</v>
      </c>
      <c r="AA122" s="36">
        <f>IF(B122="","",IF(OR(Z122="",R122=""),"",ROUND(Z122-R122,1)))</f>
        <v>0</v>
      </c>
      <c r="AB122" s="20">
        <f>IF(B122="","",IFERROR(ROUND(O122*INDEX(Products!$AR$5:$AR$304,MATCH(B122,Products!$A$5:$A$304,0)),2),""))</f>
        <v>0</v>
      </c>
      <c r="AC122" s="20">
        <f>IF(B122="","",IF(AB122="","",ROUND(AB122-U122,2)))</f>
        <v>0</v>
      </c>
      <c r="AD122" s="32">
        <f>IF(B122="","",IF(OR(D122="",E122=""),"",E122-D122))</f>
        <v>0</v>
      </c>
      <c r="AE122" s="43">
        <f>IF(B122="","",IF(G122="","Planned - nothing made yet",IF(O122=0,"Check - no good units",IF(AND(Y122&lt;&gt;"",Y122&gt;0.15),"Check - costing 15% more than the estimate",IF(AND(P122&lt;&gt;"",P122&gt;DefaultDefect*2),"Check - high failure rate",IF(AND(AA122&lt;&gt;"",AA122&gt;5),"Check - taking longer than estimated",IF(AC122&lt;0,"Loss - this run lost money","OK")))))))</f>
        <v>0</v>
      </c>
    </row>
    <row r="123" spans="1:31">
      <c r="A123" s="38">
        <f>IF(B123="","",BatchPrefix&amp;TEXT(ROW()-4,"0000"))</f>
        <v>0</v>
      </c>
      <c r="C123" s="13">
        <f>IF(B123="","",IFERROR(INDEX(Products!$B$5:$B$304,MATCH(B123,Products!$A$5:$A$304,0)),"Not found"))</f>
        <v>0</v>
      </c>
      <c r="O123" s="32">
        <f>IF(B123="","",MAX(0,IF(G123="",0,G123)-IF(H123="",0,H123)))</f>
        <v>0</v>
      </c>
      <c r="P123" s="33">
        <f>IF(B123="","",IF(OR(G123="",G123=0),"",IF(H123="",0,H123)/G123))</f>
        <v>0</v>
      </c>
      <c r="Q123" s="20">
        <f>IF(B123="","",IFERROR(INDEX(Products!$T$5:$T$304,MATCH(B123,Products!$A$5:$A$304,0)),""))</f>
        <v>0</v>
      </c>
      <c r="R123" s="36">
        <f>IF(B123="","",IFERROR(INDEX(Products!$X$5:$X$304,MATCH(B123,Products!$A$5:$A$304,0)),""))</f>
        <v>0</v>
      </c>
      <c r="S123" s="20">
        <f>IF(B123="","",ROUND(IF(J123&lt;&gt;"",J123,IF(Q123="",0,Q123)*IF(G123="",0,G123)),2))</f>
        <v>0</v>
      </c>
      <c r="T123" s="20">
        <f>IF(B123="","",ROUND(IF(K123&lt;&gt;"",K123,IF(R123="",0,R123)*IF(G123="",0,G123)/60)*LaborCostHour,2))</f>
        <v>0</v>
      </c>
      <c r="U123" s="20">
        <f>IF(B123="","",ROUND(S123+T123+IF(L123="",0,L123)-IF(I123="",0,I123),2))</f>
        <v>0</v>
      </c>
      <c r="V123" s="20">
        <f>IF(B123="","",IF(O123=0,"",ROUND(U123/O123,2)))</f>
        <v>0</v>
      </c>
      <c r="W123" s="20">
        <f>IF(B123="","",IFERROR(INDEX(Products!$AH$5:$AH$304,MATCH(B123,Products!$A$5:$A$304,0)),""))</f>
        <v>0</v>
      </c>
      <c r="X123" s="20">
        <f>IF(B123="","",IF(OR(V123="",W123=""),"",ROUND(V123-W123,2)))</f>
        <v>0</v>
      </c>
      <c r="Y123" s="33">
        <f>IF(B123="","",IF(OR(X123="",W123="",W123=0),"",X123/W123))</f>
        <v>0</v>
      </c>
      <c r="Z123" s="36">
        <f>IF(B123="","",IF(OR(K123="",G123="",G123=0),"",ROUND(K123*60/G123,1)))</f>
        <v>0</v>
      </c>
      <c r="AA123" s="36">
        <f>IF(B123="","",IF(OR(Z123="",R123=""),"",ROUND(Z123-R123,1)))</f>
        <v>0</v>
      </c>
      <c r="AB123" s="20">
        <f>IF(B123="","",IFERROR(ROUND(O123*INDEX(Products!$AR$5:$AR$304,MATCH(B123,Products!$A$5:$A$304,0)),2),""))</f>
        <v>0</v>
      </c>
      <c r="AC123" s="20">
        <f>IF(B123="","",IF(AB123="","",ROUND(AB123-U123,2)))</f>
        <v>0</v>
      </c>
      <c r="AD123" s="32">
        <f>IF(B123="","",IF(OR(D123="",E123=""),"",E123-D123))</f>
        <v>0</v>
      </c>
      <c r="AE123" s="43">
        <f>IF(B123="","",IF(G123="","Planned - nothing made yet",IF(O123=0,"Check - no good units",IF(AND(Y123&lt;&gt;"",Y123&gt;0.15),"Check - costing 15% more than the estimate",IF(AND(P123&lt;&gt;"",P123&gt;DefaultDefect*2),"Check - high failure rate",IF(AND(AA123&lt;&gt;"",AA123&gt;5),"Check - taking longer than estimated",IF(AC123&lt;0,"Loss - this run lost money","OK")))))))</f>
        <v>0</v>
      </c>
    </row>
    <row r="124" spans="1:31">
      <c r="A124" s="38">
        <f>IF(B124="","",BatchPrefix&amp;TEXT(ROW()-4,"0000"))</f>
        <v>0</v>
      </c>
      <c r="C124" s="13">
        <f>IF(B124="","",IFERROR(INDEX(Products!$B$5:$B$304,MATCH(B124,Products!$A$5:$A$304,0)),"Not found"))</f>
        <v>0</v>
      </c>
      <c r="O124" s="32">
        <f>IF(B124="","",MAX(0,IF(G124="",0,G124)-IF(H124="",0,H124)))</f>
        <v>0</v>
      </c>
      <c r="P124" s="33">
        <f>IF(B124="","",IF(OR(G124="",G124=0),"",IF(H124="",0,H124)/G124))</f>
        <v>0</v>
      </c>
      <c r="Q124" s="20">
        <f>IF(B124="","",IFERROR(INDEX(Products!$T$5:$T$304,MATCH(B124,Products!$A$5:$A$304,0)),""))</f>
        <v>0</v>
      </c>
      <c r="R124" s="36">
        <f>IF(B124="","",IFERROR(INDEX(Products!$X$5:$X$304,MATCH(B124,Products!$A$5:$A$304,0)),""))</f>
        <v>0</v>
      </c>
      <c r="S124" s="20">
        <f>IF(B124="","",ROUND(IF(J124&lt;&gt;"",J124,IF(Q124="",0,Q124)*IF(G124="",0,G124)),2))</f>
        <v>0</v>
      </c>
      <c r="T124" s="20">
        <f>IF(B124="","",ROUND(IF(K124&lt;&gt;"",K124,IF(R124="",0,R124)*IF(G124="",0,G124)/60)*LaborCostHour,2))</f>
        <v>0</v>
      </c>
      <c r="U124" s="20">
        <f>IF(B124="","",ROUND(S124+T124+IF(L124="",0,L124)-IF(I124="",0,I124),2))</f>
        <v>0</v>
      </c>
      <c r="V124" s="20">
        <f>IF(B124="","",IF(O124=0,"",ROUND(U124/O124,2)))</f>
        <v>0</v>
      </c>
      <c r="W124" s="20">
        <f>IF(B124="","",IFERROR(INDEX(Products!$AH$5:$AH$304,MATCH(B124,Products!$A$5:$A$304,0)),""))</f>
        <v>0</v>
      </c>
      <c r="X124" s="20">
        <f>IF(B124="","",IF(OR(V124="",W124=""),"",ROUND(V124-W124,2)))</f>
        <v>0</v>
      </c>
      <c r="Y124" s="33">
        <f>IF(B124="","",IF(OR(X124="",W124="",W124=0),"",X124/W124))</f>
        <v>0</v>
      </c>
      <c r="Z124" s="36">
        <f>IF(B124="","",IF(OR(K124="",G124="",G124=0),"",ROUND(K124*60/G124,1)))</f>
        <v>0</v>
      </c>
      <c r="AA124" s="36">
        <f>IF(B124="","",IF(OR(Z124="",R124=""),"",ROUND(Z124-R124,1)))</f>
        <v>0</v>
      </c>
      <c r="AB124" s="20">
        <f>IF(B124="","",IFERROR(ROUND(O124*INDEX(Products!$AR$5:$AR$304,MATCH(B124,Products!$A$5:$A$304,0)),2),""))</f>
        <v>0</v>
      </c>
      <c r="AC124" s="20">
        <f>IF(B124="","",IF(AB124="","",ROUND(AB124-U124,2)))</f>
        <v>0</v>
      </c>
      <c r="AD124" s="32">
        <f>IF(B124="","",IF(OR(D124="",E124=""),"",E124-D124))</f>
        <v>0</v>
      </c>
      <c r="AE124" s="43">
        <f>IF(B124="","",IF(G124="","Planned - nothing made yet",IF(O124=0,"Check - no good units",IF(AND(Y124&lt;&gt;"",Y124&gt;0.15),"Check - costing 15% more than the estimate",IF(AND(P124&lt;&gt;"",P124&gt;DefaultDefect*2),"Check - high failure rate",IF(AND(AA124&lt;&gt;"",AA124&gt;5),"Check - taking longer than estimated",IF(AC124&lt;0,"Loss - this run lost money","OK")))))))</f>
        <v>0</v>
      </c>
    </row>
    <row r="125" spans="1:31">
      <c r="A125" s="38">
        <f>IF(B125="","",BatchPrefix&amp;TEXT(ROW()-4,"0000"))</f>
        <v>0</v>
      </c>
      <c r="C125" s="13">
        <f>IF(B125="","",IFERROR(INDEX(Products!$B$5:$B$304,MATCH(B125,Products!$A$5:$A$304,0)),"Not found"))</f>
        <v>0</v>
      </c>
      <c r="O125" s="32">
        <f>IF(B125="","",MAX(0,IF(G125="",0,G125)-IF(H125="",0,H125)))</f>
        <v>0</v>
      </c>
      <c r="P125" s="33">
        <f>IF(B125="","",IF(OR(G125="",G125=0),"",IF(H125="",0,H125)/G125))</f>
        <v>0</v>
      </c>
      <c r="Q125" s="20">
        <f>IF(B125="","",IFERROR(INDEX(Products!$T$5:$T$304,MATCH(B125,Products!$A$5:$A$304,0)),""))</f>
        <v>0</v>
      </c>
      <c r="R125" s="36">
        <f>IF(B125="","",IFERROR(INDEX(Products!$X$5:$X$304,MATCH(B125,Products!$A$5:$A$304,0)),""))</f>
        <v>0</v>
      </c>
      <c r="S125" s="20">
        <f>IF(B125="","",ROUND(IF(J125&lt;&gt;"",J125,IF(Q125="",0,Q125)*IF(G125="",0,G125)),2))</f>
        <v>0</v>
      </c>
      <c r="T125" s="20">
        <f>IF(B125="","",ROUND(IF(K125&lt;&gt;"",K125,IF(R125="",0,R125)*IF(G125="",0,G125)/60)*LaborCostHour,2))</f>
        <v>0</v>
      </c>
      <c r="U125" s="20">
        <f>IF(B125="","",ROUND(S125+T125+IF(L125="",0,L125)-IF(I125="",0,I125),2))</f>
        <v>0</v>
      </c>
      <c r="V125" s="20">
        <f>IF(B125="","",IF(O125=0,"",ROUND(U125/O125,2)))</f>
        <v>0</v>
      </c>
      <c r="W125" s="20">
        <f>IF(B125="","",IFERROR(INDEX(Products!$AH$5:$AH$304,MATCH(B125,Products!$A$5:$A$304,0)),""))</f>
        <v>0</v>
      </c>
      <c r="X125" s="20">
        <f>IF(B125="","",IF(OR(V125="",W125=""),"",ROUND(V125-W125,2)))</f>
        <v>0</v>
      </c>
      <c r="Y125" s="33">
        <f>IF(B125="","",IF(OR(X125="",W125="",W125=0),"",X125/W125))</f>
        <v>0</v>
      </c>
      <c r="Z125" s="36">
        <f>IF(B125="","",IF(OR(K125="",G125="",G125=0),"",ROUND(K125*60/G125,1)))</f>
        <v>0</v>
      </c>
      <c r="AA125" s="36">
        <f>IF(B125="","",IF(OR(Z125="",R125=""),"",ROUND(Z125-R125,1)))</f>
        <v>0</v>
      </c>
      <c r="AB125" s="20">
        <f>IF(B125="","",IFERROR(ROUND(O125*INDEX(Products!$AR$5:$AR$304,MATCH(B125,Products!$A$5:$A$304,0)),2),""))</f>
        <v>0</v>
      </c>
      <c r="AC125" s="20">
        <f>IF(B125="","",IF(AB125="","",ROUND(AB125-U125,2)))</f>
        <v>0</v>
      </c>
      <c r="AD125" s="32">
        <f>IF(B125="","",IF(OR(D125="",E125=""),"",E125-D125))</f>
        <v>0</v>
      </c>
      <c r="AE125" s="43">
        <f>IF(B125="","",IF(G125="","Planned - nothing made yet",IF(O125=0,"Check - no good units",IF(AND(Y125&lt;&gt;"",Y125&gt;0.15),"Check - costing 15% more than the estimate",IF(AND(P125&lt;&gt;"",P125&gt;DefaultDefect*2),"Check - high failure rate",IF(AND(AA125&lt;&gt;"",AA125&gt;5),"Check - taking longer than estimated",IF(AC125&lt;0,"Loss - this run lost money","OK")))))))</f>
        <v>0</v>
      </c>
    </row>
    <row r="126" spans="1:31">
      <c r="A126" s="38">
        <f>IF(B126="","",BatchPrefix&amp;TEXT(ROW()-4,"0000"))</f>
        <v>0</v>
      </c>
      <c r="C126" s="13">
        <f>IF(B126="","",IFERROR(INDEX(Products!$B$5:$B$304,MATCH(B126,Products!$A$5:$A$304,0)),"Not found"))</f>
        <v>0</v>
      </c>
      <c r="O126" s="32">
        <f>IF(B126="","",MAX(0,IF(G126="",0,G126)-IF(H126="",0,H126)))</f>
        <v>0</v>
      </c>
      <c r="P126" s="33">
        <f>IF(B126="","",IF(OR(G126="",G126=0),"",IF(H126="",0,H126)/G126))</f>
        <v>0</v>
      </c>
      <c r="Q126" s="20">
        <f>IF(B126="","",IFERROR(INDEX(Products!$T$5:$T$304,MATCH(B126,Products!$A$5:$A$304,0)),""))</f>
        <v>0</v>
      </c>
      <c r="R126" s="36">
        <f>IF(B126="","",IFERROR(INDEX(Products!$X$5:$X$304,MATCH(B126,Products!$A$5:$A$304,0)),""))</f>
        <v>0</v>
      </c>
      <c r="S126" s="20">
        <f>IF(B126="","",ROUND(IF(J126&lt;&gt;"",J126,IF(Q126="",0,Q126)*IF(G126="",0,G126)),2))</f>
        <v>0</v>
      </c>
      <c r="T126" s="20">
        <f>IF(B126="","",ROUND(IF(K126&lt;&gt;"",K126,IF(R126="",0,R126)*IF(G126="",0,G126)/60)*LaborCostHour,2))</f>
        <v>0</v>
      </c>
      <c r="U126" s="20">
        <f>IF(B126="","",ROUND(S126+T126+IF(L126="",0,L126)-IF(I126="",0,I126),2))</f>
        <v>0</v>
      </c>
      <c r="V126" s="20">
        <f>IF(B126="","",IF(O126=0,"",ROUND(U126/O126,2)))</f>
        <v>0</v>
      </c>
      <c r="W126" s="20">
        <f>IF(B126="","",IFERROR(INDEX(Products!$AH$5:$AH$304,MATCH(B126,Products!$A$5:$A$304,0)),""))</f>
        <v>0</v>
      </c>
      <c r="X126" s="20">
        <f>IF(B126="","",IF(OR(V126="",W126=""),"",ROUND(V126-W126,2)))</f>
        <v>0</v>
      </c>
      <c r="Y126" s="33">
        <f>IF(B126="","",IF(OR(X126="",W126="",W126=0),"",X126/W126))</f>
        <v>0</v>
      </c>
      <c r="Z126" s="36">
        <f>IF(B126="","",IF(OR(K126="",G126="",G126=0),"",ROUND(K126*60/G126,1)))</f>
        <v>0</v>
      </c>
      <c r="AA126" s="36">
        <f>IF(B126="","",IF(OR(Z126="",R126=""),"",ROUND(Z126-R126,1)))</f>
        <v>0</v>
      </c>
      <c r="AB126" s="20">
        <f>IF(B126="","",IFERROR(ROUND(O126*INDEX(Products!$AR$5:$AR$304,MATCH(B126,Products!$A$5:$A$304,0)),2),""))</f>
        <v>0</v>
      </c>
      <c r="AC126" s="20">
        <f>IF(B126="","",IF(AB126="","",ROUND(AB126-U126,2)))</f>
        <v>0</v>
      </c>
      <c r="AD126" s="32">
        <f>IF(B126="","",IF(OR(D126="",E126=""),"",E126-D126))</f>
        <v>0</v>
      </c>
      <c r="AE126" s="43">
        <f>IF(B126="","",IF(G126="","Planned - nothing made yet",IF(O126=0,"Check - no good units",IF(AND(Y126&lt;&gt;"",Y126&gt;0.15),"Check - costing 15% more than the estimate",IF(AND(P126&lt;&gt;"",P126&gt;DefaultDefect*2),"Check - high failure rate",IF(AND(AA126&lt;&gt;"",AA126&gt;5),"Check - taking longer than estimated",IF(AC126&lt;0,"Loss - this run lost money","OK")))))))</f>
        <v>0</v>
      </c>
    </row>
    <row r="127" spans="1:31">
      <c r="A127" s="38">
        <f>IF(B127="","",BatchPrefix&amp;TEXT(ROW()-4,"0000"))</f>
        <v>0</v>
      </c>
      <c r="C127" s="13">
        <f>IF(B127="","",IFERROR(INDEX(Products!$B$5:$B$304,MATCH(B127,Products!$A$5:$A$304,0)),"Not found"))</f>
        <v>0</v>
      </c>
      <c r="O127" s="32">
        <f>IF(B127="","",MAX(0,IF(G127="",0,G127)-IF(H127="",0,H127)))</f>
        <v>0</v>
      </c>
      <c r="P127" s="33">
        <f>IF(B127="","",IF(OR(G127="",G127=0),"",IF(H127="",0,H127)/G127))</f>
        <v>0</v>
      </c>
      <c r="Q127" s="20">
        <f>IF(B127="","",IFERROR(INDEX(Products!$T$5:$T$304,MATCH(B127,Products!$A$5:$A$304,0)),""))</f>
        <v>0</v>
      </c>
      <c r="R127" s="36">
        <f>IF(B127="","",IFERROR(INDEX(Products!$X$5:$X$304,MATCH(B127,Products!$A$5:$A$304,0)),""))</f>
        <v>0</v>
      </c>
      <c r="S127" s="20">
        <f>IF(B127="","",ROUND(IF(J127&lt;&gt;"",J127,IF(Q127="",0,Q127)*IF(G127="",0,G127)),2))</f>
        <v>0</v>
      </c>
      <c r="T127" s="20">
        <f>IF(B127="","",ROUND(IF(K127&lt;&gt;"",K127,IF(R127="",0,R127)*IF(G127="",0,G127)/60)*LaborCostHour,2))</f>
        <v>0</v>
      </c>
      <c r="U127" s="20">
        <f>IF(B127="","",ROUND(S127+T127+IF(L127="",0,L127)-IF(I127="",0,I127),2))</f>
        <v>0</v>
      </c>
      <c r="V127" s="20">
        <f>IF(B127="","",IF(O127=0,"",ROUND(U127/O127,2)))</f>
        <v>0</v>
      </c>
      <c r="W127" s="20">
        <f>IF(B127="","",IFERROR(INDEX(Products!$AH$5:$AH$304,MATCH(B127,Products!$A$5:$A$304,0)),""))</f>
        <v>0</v>
      </c>
      <c r="X127" s="20">
        <f>IF(B127="","",IF(OR(V127="",W127=""),"",ROUND(V127-W127,2)))</f>
        <v>0</v>
      </c>
      <c r="Y127" s="33">
        <f>IF(B127="","",IF(OR(X127="",W127="",W127=0),"",X127/W127))</f>
        <v>0</v>
      </c>
      <c r="Z127" s="36">
        <f>IF(B127="","",IF(OR(K127="",G127="",G127=0),"",ROUND(K127*60/G127,1)))</f>
        <v>0</v>
      </c>
      <c r="AA127" s="36">
        <f>IF(B127="","",IF(OR(Z127="",R127=""),"",ROUND(Z127-R127,1)))</f>
        <v>0</v>
      </c>
      <c r="AB127" s="20">
        <f>IF(B127="","",IFERROR(ROUND(O127*INDEX(Products!$AR$5:$AR$304,MATCH(B127,Products!$A$5:$A$304,0)),2),""))</f>
        <v>0</v>
      </c>
      <c r="AC127" s="20">
        <f>IF(B127="","",IF(AB127="","",ROUND(AB127-U127,2)))</f>
        <v>0</v>
      </c>
      <c r="AD127" s="32">
        <f>IF(B127="","",IF(OR(D127="",E127=""),"",E127-D127))</f>
        <v>0</v>
      </c>
      <c r="AE127" s="43">
        <f>IF(B127="","",IF(G127="","Planned - nothing made yet",IF(O127=0,"Check - no good units",IF(AND(Y127&lt;&gt;"",Y127&gt;0.15),"Check - costing 15% more than the estimate",IF(AND(P127&lt;&gt;"",P127&gt;DefaultDefect*2),"Check - high failure rate",IF(AND(AA127&lt;&gt;"",AA127&gt;5),"Check - taking longer than estimated",IF(AC127&lt;0,"Loss - this run lost money","OK")))))))</f>
        <v>0</v>
      </c>
    </row>
    <row r="128" spans="1:31">
      <c r="A128" s="38">
        <f>IF(B128="","",BatchPrefix&amp;TEXT(ROW()-4,"0000"))</f>
        <v>0</v>
      </c>
      <c r="C128" s="13">
        <f>IF(B128="","",IFERROR(INDEX(Products!$B$5:$B$304,MATCH(B128,Products!$A$5:$A$304,0)),"Not found"))</f>
        <v>0</v>
      </c>
      <c r="O128" s="32">
        <f>IF(B128="","",MAX(0,IF(G128="",0,G128)-IF(H128="",0,H128)))</f>
        <v>0</v>
      </c>
      <c r="P128" s="33">
        <f>IF(B128="","",IF(OR(G128="",G128=0),"",IF(H128="",0,H128)/G128))</f>
        <v>0</v>
      </c>
      <c r="Q128" s="20">
        <f>IF(B128="","",IFERROR(INDEX(Products!$T$5:$T$304,MATCH(B128,Products!$A$5:$A$304,0)),""))</f>
        <v>0</v>
      </c>
      <c r="R128" s="36">
        <f>IF(B128="","",IFERROR(INDEX(Products!$X$5:$X$304,MATCH(B128,Products!$A$5:$A$304,0)),""))</f>
        <v>0</v>
      </c>
      <c r="S128" s="20">
        <f>IF(B128="","",ROUND(IF(J128&lt;&gt;"",J128,IF(Q128="",0,Q128)*IF(G128="",0,G128)),2))</f>
        <v>0</v>
      </c>
      <c r="T128" s="20">
        <f>IF(B128="","",ROUND(IF(K128&lt;&gt;"",K128,IF(R128="",0,R128)*IF(G128="",0,G128)/60)*LaborCostHour,2))</f>
        <v>0</v>
      </c>
      <c r="U128" s="20">
        <f>IF(B128="","",ROUND(S128+T128+IF(L128="",0,L128)-IF(I128="",0,I128),2))</f>
        <v>0</v>
      </c>
      <c r="V128" s="20">
        <f>IF(B128="","",IF(O128=0,"",ROUND(U128/O128,2)))</f>
        <v>0</v>
      </c>
      <c r="W128" s="20">
        <f>IF(B128="","",IFERROR(INDEX(Products!$AH$5:$AH$304,MATCH(B128,Products!$A$5:$A$304,0)),""))</f>
        <v>0</v>
      </c>
      <c r="X128" s="20">
        <f>IF(B128="","",IF(OR(V128="",W128=""),"",ROUND(V128-W128,2)))</f>
        <v>0</v>
      </c>
      <c r="Y128" s="33">
        <f>IF(B128="","",IF(OR(X128="",W128="",W128=0),"",X128/W128))</f>
        <v>0</v>
      </c>
      <c r="Z128" s="36">
        <f>IF(B128="","",IF(OR(K128="",G128="",G128=0),"",ROUND(K128*60/G128,1)))</f>
        <v>0</v>
      </c>
      <c r="AA128" s="36">
        <f>IF(B128="","",IF(OR(Z128="",R128=""),"",ROUND(Z128-R128,1)))</f>
        <v>0</v>
      </c>
      <c r="AB128" s="20">
        <f>IF(B128="","",IFERROR(ROUND(O128*INDEX(Products!$AR$5:$AR$304,MATCH(B128,Products!$A$5:$A$304,0)),2),""))</f>
        <v>0</v>
      </c>
      <c r="AC128" s="20">
        <f>IF(B128="","",IF(AB128="","",ROUND(AB128-U128,2)))</f>
        <v>0</v>
      </c>
      <c r="AD128" s="32">
        <f>IF(B128="","",IF(OR(D128="",E128=""),"",E128-D128))</f>
        <v>0</v>
      </c>
      <c r="AE128" s="43">
        <f>IF(B128="","",IF(G128="","Planned - nothing made yet",IF(O128=0,"Check - no good units",IF(AND(Y128&lt;&gt;"",Y128&gt;0.15),"Check - costing 15% more than the estimate",IF(AND(P128&lt;&gt;"",P128&gt;DefaultDefect*2),"Check - high failure rate",IF(AND(AA128&lt;&gt;"",AA128&gt;5),"Check - taking longer than estimated",IF(AC128&lt;0,"Loss - this run lost money","OK")))))))</f>
        <v>0</v>
      </c>
    </row>
    <row r="129" spans="1:31">
      <c r="A129" s="38">
        <f>IF(B129="","",BatchPrefix&amp;TEXT(ROW()-4,"0000"))</f>
        <v>0</v>
      </c>
      <c r="C129" s="13">
        <f>IF(B129="","",IFERROR(INDEX(Products!$B$5:$B$304,MATCH(B129,Products!$A$5:$A$304,0)),"Not found"))</f>
        <v>0</v>
      </c>
      <c r="O129" s="32">
        <f>IF(B129="","",MAX(0,IF(G129="",0,G129)-IF(H129="",0,H129)))</f>
        <v>0</v>
      </c>
      <c r="P129" s="33">
        <f>IF(B129="","",IF(OR(G129="",G129=0),"",IF(H129="",0,H129)/G129))</f>
        <v>0</v>
      </c>
      <c r="Q129" s="20">
        <f>IF(B129="","",IFERROR(INDEX(Products!$T$5:$T$304,MATCH(B129,Products!$A$5:$A$304,0)),""))</f>
        <v>0</v>
      </c>
      <c r="R129" s="36">
        <f>IF(B129="","",IFERROR(INDEX(Products!$X$5:$X$304,MATCH(B129,Products!$A$5:$A$304,0)),""))</f>
        <v>0</v>
      </c>
      <c r="S129" s="20">
        <f>IF(B129="","",ROUND(IF(J129&lt;&gt;"",J129,IF(Q129="",0,Q129)*IF(G129="",0,G129)),2))</f>
        <v>0</v>
      </c>
      <c r="T129" s="20">
        <f>IF(B129="","",ROUND(IF(K129&lt;&gt;"",K129,IF(R129="",0,R129)*IF(G129="",0,G129)/60)*LaborCostHour,2))</f>
        <v>0</v>
      </c>
      <c r="U129" s="20">
        <f>IF(B129="","",ROUND(S129+T129+IF(L129="",0,L129)-IF(I129="",0,I129),2))</f>
        <v>0</v>
      </c>
      <c r="V129" s="20">
        <f>IF(B129="","",IF(O129=0,"",ROUND(U129/O129,2)))</f>
        <v>0</v>
      </c>
      <c r="W129" s="20">
        <f>IF(B129="","",IFERROR(INDEX(Products!$AH$5:$AH$304,MATCH(B129,Products!$A$5:$A$304,0)),""))</f>
        <v>0</v>
      </c>
      <c r="X129" s="20">
        <f>IF(B129="","",IF(OR(V129="",W129=""),"",ROUND(V129-W129,2)))</f>
        <v>0</v>
      </c>
      <c r="Y129" s="33">
        <f>IF(B129="","",IF(OR(X129="",W129="",W129=0),"",X129/W129))</f>
        <v>0</v>
      </c>
      <c r="Z129" s="36">
        <f>IF(B129="","",IF(OR(K129="",G129="",G129=0),"",ROUND(K129*60/G129,1)))</f>
        <v>0</v>
      </c>
      <c r="AA129" s="36">
        <f>IF(B129="","",IF(OR(Z129="",R129=""),"",ROUND(Z129-R129,1)))</f>
        <v>0</v>
      </c>
      <c r="AB129" s="20">
        <f>IF(B129="","",IFERROR(ROUND(O129*INDEX(Products!$AR$5:$AR$304,MATCH(B129,Products!$A$5:$A$304,0)),2),""))</f>
        <v>0</v>
      </c>
      <c r="AC129" s="20">
        <f>IF(B129="","",IF(AB129="","",ROUND(AB129-U129,2)))</f>
        <v>0</v>
      </c>
      <c r="AD129" s="32">
        <f>IF(B129="","",IF(OR(D129="",E129=""),"",E129-D129))</f>
        <v>0</v>
      </c>
      <c r="AE129" s="43">
        <f>IF(B129="","",IF(G129="","Planned - nothing made yet",IF(O129=0,"Check - no good units",IF(AND(Y129&lt;&gt;"",Y129&gt;0.15),"Check - costing 15% more than the estimate",IF(AND(P129&lt;&gt;"",P129&gt;DefaultDefect*2),"Check - high failure rate",IF(AND(AA129&lt;&gt;"",AA129&gt;5),"Check - taking longer than estimated",IF(AC129&lt;0,"Loss - this run lost money","OK")))))))</f>
        <v>0</v>
      </c>
    </row>
    <row r="130" spans="1:31">
      <c r="A130" s="38">
        <f>IF(B130="","",BatchPrefix&amp;TEXT(ROW()-4,"0000"))</f>
        <v>0</v>
      </c>
      <c r="C130" s="13">
        <f>IF(B130="","",IFERROR(INDEX(Products!$B$5:$B$304,MATCH(B130,Products!$A$5:$A$304,0)),"Not found"))</f>
        <v>0</v>
      </c>
      <c r="O130" s="32">
        <f>IF(B130="","",MAX(0,IF(G130="",0,G130)-IF(H130="",0,H130)))</f>
        <v>0</v>
      </c>
      <c r="P130" s="33">
        <f>IF(B130="","",IF(OR(G130="",G130=0),"",IF(H130="",0,H130)/G130))</f>
        <v>0</v>
      </c>
      <c r="Q130" s="20">
        <f>IF(B130="","",IFERROR(INDEX(Products!$T$5:$T$304,MATCH(B130,Products!$A$5:$A$304,0)),""))</f>
        <v>0</v>
      </c>
      <c r="R130" s="36">
        <f>IF(B130="","",IFERROR(INDEX(Products!$X$5:$X$304,MATCH(B130,Products!$A$5:$A$304,0)),""))</f>
        <v>0</v>
      </c>
      <c r="S130" s="20">
        <f>IF(B130="","",ROUND(IF(J130&lt;&gt;"",J130,IF(Q130="",0,Q130)*IF(G130="",0,G130)),2))</f>
        <v>0</v>
      </c>
      <c r="T130" s="20">
        <f>IF(B130="","",ROUND(IF(K130&lt;&gt;"",K130,IF(R130="",0,R130)*IF(G130="",0,G130)/60)*LaborCostHour,2))</f>
        <v>0</v>
      </c>
      <c r="U130" s="20">
        <f>IF(B130="","",ROUND(S130+T130+IF(L130="",0,L130)-IF(I130="",0,I130),2))</f>
        <v>0</v>
      </c>
      <c r="V130" s="20">
        <f>IF(B130="","",IF(O130=0,"",ROUND(U130/O130,2)))</f>
        <v>0</v>
      </c>
      <c r="W130" s="20">
        <f>IF(B130="","",IFERROR(INDEX(Products!$AH$5:$AH$304,MATCH(B130,Products!$A$5:$A$304,0)),""))</f>
        <v>0</v>
      </c>
      <c r="X130" s="20">
        <f>IF(B130="","",IF(OR(V130="",W130=""),"",ROUND(V130-W130,2)))</f>
        <v>0</v>
      </c>
      <c r="Y130" s="33">
        <f>IF(B130="","",IF(OR(X130="",W130="",W130=0),"",X130/W130))</f>
        <v>0</v>
      </c>
      <c r="Z130" s="36">
        <f>IF(B130="","",IF(OR(K130="",G130="",G130=0),"",ROUND(K130*60/G130,1)))</f>
        <v>0</v>
      </c>
      <c r="AA130" s="36">
        <f>IF(B130="","",IF(OR(Z130="",R130=""),"",ROUND(Z130-R130,1)))</f>
        <v>0</v>
      </c>
      <c r="AB130" s="20">
        <f>IF(B130="","",IFERROR(ROUND(O130*INDEX(Products!$AR$5:$AR$304,MATCH(B130,Products!$A$5:$A$304,0)),2),""))</f>
        <v>0</v>
      </c>
      <c r="AC130" s="20">
        <f>IF(B130="","",IF(AB130="","",ROUND(AB130-U130,2)))</f>
        <v>0</v>
      </c>
      <c r="AD130" s="32">
        <f>IF(B130="","",IF(OR(D130="",E130=""),"",E130-D130))</f>
        <v>0</v>
      </c>
      <c r="AE130" s="43">
        <f>IF(B130="","",IF(G130="","Planned - nothing made yet",IF(O130=0,"Check - no good units",IF(AND(Y130&lt;&gt;"",Y130&gt;0.15),"Check - costing 15% more than the estimate",IF(AND(P130&lt;&gt;"",P130&gt;DefaultDefect*2),"Check - high failure rate",IF(AND(AA130&lt;&gt;"",AA130&gt;5),"Check - taking longer than estimated",IF(AC130&lt;0,"Loss - this run lost money","OK")))))))</f>
        <v>0</v>
      </c>
    </row>
    <row r="131" spans="1:31">
      <c r="A131" s="38">
        <f>IF(B131="","",BatchPrefix&amp;TEXT(ROW()-4,"0000"))</f>
        <v>0</v>
      </c>
      <c r="C131" s="13">
        <f>IF(B131="","",IFERROR(INDEX(Products!$B$5:$B$304,MATCH(B131,Products!$A$5:$A$304,0)),"Not found"))</f>
        <v>0</v>
      </c>
      <c r="O131" s="32">
        <f>IF(B131="","",MAX(0,IF(G131="",0,G131)-IF(H131="",0,H131)))</f>
        <v>0</v>
      </c>
      <c r="P131" s="33">
        <f>IF(B131="","",IF(OR(G131="",G131=0),"",IF(H131="",0,H131)/G131))</f>
        <v>0</v>
      </c>
      <c r="Q131" s="20">
        <f>IF(B131="","",IFERROR(INDEX(Products!$T$5:$T$304,MATCH(B131,Products!$A$5:$A$304,0)),""))</f>
        <v>0</v>
      </c>
      <c r="R131" s="36">
        <f>IF(B131="","",IFERROR(INDEX(Products!$X$5:$X$304,MATCH(B131,Products!$A$5:$A$304,0)),""))</f>
        <v>0</v>
      </c>
      <c r="S131" s="20">
        <f>IF(B131="","",ROUND(IF(J131&lt;&gt;"",J131,IF(Q131="",0,Q131)*IF(G131="",0,G131)),2))</f>
        <v>0</v>
      </c>
      <c r="T131" s="20">
        <f>IF(B131="","",ROUND(IF(K131&lt;&gt;"",K131,IF(R131="",0,R131)*IF(G131="",0,G131)/60)*LaborCostHour,2))</f>
        <v>0</v>
      </c>
      <c r="U131" s="20">
        <f>IF(B131="","",ROUND(S131+T131+IF(L131="",0,L131)-IF(I131="",0,I131),2))</f>
        <v>0</v>
      </c>
      <c r="V131" s="20">
        <f>IF(B131="","",IF(O131=0,"",ROUND(U131/O131,2)))</f>
        <v>0</v>
      </c>
      <c r="W131" s="20">
        <f>IF(B131="","",IFERROR(INDEX(Products!$AH$5:$AH$304,MATCH(B131,Products!$A$5:$A$304,0)),""))</f>
        <v>0</v>
      </c>
      <c r="X131" s="20">
        <f>IF(B131="","",IF(OR(V131="",W131=""),"",ROUND(V131-W131,2)))</f>
        <v>0</v>
      </c>
      <c r="Y131" s="33">
        <f>IF(B131="","",IF(OR(X131="",W131="",W131=0),"",X131/W131))</f>
        <v>0</v>
      </c>
      <c r="Z131" s="36">
        <f>IF(B131="","",IF(OR(K131="",G131="",G131=0),"",ROUND(K131*60/G131,1)))</f>
        <v>0</v>
      </c>
      <c r="AA131" s="36">
        <f>IF(B131="","",IF(OR(Z131="",R131=""),"",ROUND(Z131-R131,1)))</f>
        <v>0</v>
      </c>
      <c r="AB131" s="20">
        <f>IF(B131="","",IFERROR(ROUND(O131*INDEX(Products!$AR$5:$AR$304,MATCH(B131,Products!$A$5:$A$304,0)),2),""))</f>
        <v>0</v>
      </c>
      <c r="AC131" s="20">
        <f>IF(B131="","",IF(AB131="","",ROUND(AB131-U131,2)))</f>
        <v>0</v>
      </c>
      <c r="AD131" s="32">
        <f>IF(B131="","",IF(OR(D131="",E131=""),"",E131-D131))</f>
        <v>0</v>
      </c>
      <c r="AE131" s="43">
        <f>IF(B131="","",IF(G131="","Planned - nothing made yet",IF(O131=0,"Check - no good units",IF(AND(Y131&lt;&gt;"",Y131&gt;0.15),"Check - costing 15% more than the estimate",IF(AND(P131&lt;&gt;"",P131&gt;DefaultDefect*2),"Check - high failure rate",IF(AND(AA131&lt;&gt;"",AA131&gt;5),"Check - taking longer than estimated",IF(AC131&lt;0,"Loss - this run lost money","OK")))))))</f>
        <v>0</v>
      </c>
    </row>
    <row r="132" spans="1:31">
      <c r="A132" s="38">
        <f>IF(B132="","",BatchPrefix&amp;TEXT(ROW()-4,"0000"))</f>
        <v>0</v>
      </c>
      <c r="C132" s="13">
        <f>IF(B132="","",IFERROR(INDEX(Products!$B$5:$B$304,MATCH(B132,Products!$A$5:$A$304,0)),"Not found"))</f>
        <v>0</v>
      </c>
      <c r="O132" s="32">
        <f>IF(B132="","",MAX(0,IF(G132="",0,G132)-IF(H132="",0,H132)))</f>
        <v>0</v>
      </c>
      <c r="P132" s="33">
        <f>IF(B132="","",IF(OR(G132="",G132=0),"",IF(H132="",0,H132)/G132))</f>
        <v>0</v>
      </c>
      <c r="Q132" s="20">
        <f>IF(B132="","",IFERROR(INDEX(Products!$T$5:$T$304,MATCH(B132,Products!$A$5:$A$304,0)),""))</f>
        <v>0</v>
      </c>
      <c r="R132" s="36">
        <f>IF(B132="","",IFERROR(INDEX(Products!$X$5:$X$304,MATCH(B132,Products!$A$5:$A$304,0)),""))</f>
        <v>0</v>
      </c>
      <c r="S132" s="20">
        <f>IF(B132="","",ROUND(IF(J132&lt;&gt;"",J132,IF(Q132="",0,Q132)*IF(G132="",0,G132)),2))</f>
        <v>0</v>
      </c>
      <c r="T132" s="20">
        <f>IF(B132="","",ROUND(IF(K132&lt;&gt;"",K132,IF(R132="",0,R132)*IF(G132="",0,G132)/60)*LaborCostHour,2))</f>
        <v>0</v>
      </c>
      <c r="U132" s="20">
        <f>IF(B132="","",ROUND(S132+T132+IF(L132="",0,L132)-IF(I132="",0,I132),2))</f>
        <v>0</v>
      </c>
      <c r="V132" s="20">
        <f>IF(B132="","",IF(O132=0,"",ROUND(U132/O132,2)))</f>
        <v>0</v>
      </c>
      <c r="W132" s="20">
        <f>IF(B132="","",IFERROR(INDEX(Products!$AH$5:$AH$304,MATCH(B132,Products!$A$5:$A$304,0)),""))</f>
        <v>0</v>
      </c>
      <c r="X132" s="20">
        <f>IF(B132="","",IF(OR(V132="",W132=""),"",ROUND(V132-W132,2)))</f>
        <v>0</v>
      </c>
      <c r="Y132" s="33">
        <f>IF(B132="","",IF(OR(X132="",W132="",W132=0),"",X132/W132))</f>
        <v>0</v>
      </c>
      <c r="Z132" s="36">
        <f>IF(B132="","",IF(OR(K132="",G132="",G132=0),"",ROUND(K132*60/G132,1)))</f>
        <v>0</v>
      </c>
      <c r="AA132" s="36">
        <f>IF(B132="","",IF(OR(Z132="",R132=""),"",ROUND(Z132-R132,1)))</f>
        <v>0</v>
      </c>
      <c r="AB132" s="20">
        <f>IF(B132="","",IFERROR(ROUND(O132*INDEX(Products!$AR$5:$AR$304,MATCH(B132,Products!$A$5:$A$304,0)),2),""))</f>
        <v>0</v>
      </c>
      <c r="AC132" s="20">
        <f>IF(B132="","",IF(AB132="","",ROUND(AB132-U132,2)))</f>
        <v>0</v>
      </c>
      <c r="AD132" s="32">
        <f>IF(B132="","",IF(OR(D132="",E132=""),"",E132-D132))</f>
        <v>0</v>
      </c>
      <c r="AE132" s="43">
        <f>IF(B132="","",IF(G132="","Planned - nothing made yet",IF(O132=0,"Check - no good units",IF(AND(Y132&lt;&gt;"",Y132&gt;0.15),"Check - costing 15% more than the estimate",IF(AND(P132&lt;&gt;"",P132&gt;DefaultDefect*2),"Check - high failure rate",IF(AND(AA132&lt;&gt;"",AA132&gt;5),"Check - taking longer than estimated",IF(AC132&lt;0,"Loss - this run lost money","OK")))))))</f>
        <v>0</v>
      </c>
    </row>
    <row r="133" spans="1:31">
      <c r="A133" s="38">
        <f>IF(B133="","",BatchPrefix&amp;TEXT(ROW()-4,"0000"))</f>
        <v>0</v>
      </c>
      <c r="C133" s="13">
        <f>IF(B133="","",IFERROR(INDEX(Products!$B$5:$B$304,MATCH(B133,Products!$A$5:$A$304,0)),"Not found"))</f>
        <v>0</v>
      </c>
      <c r="O133" s="32">
        <f>IF(B133="","",MAX(0,IF(G133="",0,G133)-IF(H133="",0,H133)))</f>
        <v>0</v>
      </c>
      <c r="P133" s="33">
        <f>IF(B133="","",IF(OR(G133="",G133=0),"",IF(H133="",0,H133)/G133))</f>
        <v>0</v>
      </c>
      <c r="Q133" s="20">
        <f>IF(B133="","",IFERROR(INDEX(Products!$T$5:$T$304,MATCH(B133,Products!$A$5:$A$304,0)),""))</f>
        <v>0</v>
      </c>
      <c r="R133" s="36">
        <f>IF(B133="","",IFERROR(INDEX(Products!$X$5:$X$304,MATCH(B133,Products!$A$5:$A$304,0)),""))</f>
        <v>0</v>
      </c>
      <c r="S133" s="20">
        <f>IF(B133="","",ROUND(IF(J133&lt;&gt;"",J133,IF(Q133="",0,Q133)*IF(G133="",0,G133)),2))</f>
        <v>0</v>
      </c>
      <c r="T133" s="20">
        <f>IF(B133="","",ROUND(IF(K133&lt;&gt;"",K133,IF(R133="",0,R133)*IF(G133="",0,G133)/60)*LaborCostHour,2))</f>
        <v>0</v>
      </c>
      <c r="U133" s="20">
        <f>IF(B133="","",ROUND(S133+T133+IF(L133="",0,L133)-IF(I133="",0,I133),2))</f>
        <v>0</v>
      </c>
      <c r="V133" s="20">
        <f>IF(B133="","",IF(O133=0,"",ROUND(U133/O133,2)))</f>
        <v>0</v>
      </c>
      <c r="W133" s="20">
        <f>IF(B133="","",IFERROR(INDEX(Products!$AH$5:$AH$304,MATCH(B133,Products!$A$5:$A$304,0)),""))</f>
        <v>0</v>
      </c>
      <c r="X133" s="20">
        <f>IF(B133="","",IF(OR(V133="",W133=""),"",ROUND(V133-W133,2)))</f>
        <v>0</v>
      </c>
      <c r="Y133" s="33">
        <f>IF(B133="","",IF(OR(X133="",W133="",W133=0),"",X133/W133))</f>
        <v>0</v>
      </c>
      <c r="Z133" s="36">
        <f>IF(B133="","",IF(OR(K133="",G133="",G133=0),"",ROUND(K133*60/G133,1)))</f>
        <v>0</v>
      </c>
      <c r="AA133" s="36">
        <f>IF(B133="","",IF(OR(Z133="",R133=""),"",ROUND(Z133-R133,1)))</f>
        <v>0</v>
      </c>
      <c r="AB133" s="20">
        <f>IF(B133="","",IFERROR(ROUND(O133*INDEX(Products!$AR$5:$AR$304,MATCH(B133,Products!$A$5:$A$304,0)),2),""))</f>
        <v>0</v>
      </c>
      <c r="AC133" s="20">
        <f>IF(B133="","",IF(AB133="","",ROUND(AB133-U133,2)))</f>
        <v>0</v>
      </c>
      <c r="AD133" s="32">
        <f>IF(B133="","",IF(OR(D133="",E133=""),"",E133-D133))</f>
        <v>0</v>
      </c>
      <c r="AE133" s="43">
        <f>IF(B133="","",IF(G133="","Planned - nothing made yet",IF(O133=0,"Check - no good units",IF(AND(Y133&lt;&gt;"",Y133&gt;0.15),"Check - costing 15% more than the estimate",IF(AND(P133&lt;&gt;"",P133&gt;DefaultDefect*2),"Check - high failure rate",IF(AND(AA133&lt;&gt;"",AA133&gt;5),"Check - taking longer than estimated",IF(AC133&lt;0,"Loss - this run lost money","OK")))))))</f>
        <v>0</v>
      </c>
    </row>
    <row r="134" spans="1:31">
      <c r="A134" s="38">
        <f>IF(B134="","",BatchPrefix&amp;TEXT(ROW()-4,"0000"))</f>
        <v>0</v>
      </c>
      <c r="C134" s="13">
        <f>IF(B134="","",IFERROR(INDEX(Products!$B$5:$B$304,MATCH(B134,Products!$A$5:$A$304,0)),"Not found"))</f>
        <v>0</v>
      </c>
      <c r="O134" s="32">
        <f>IF(B134="","",MAX(0,IF(G134="",0,G134)-IF(H134="",0,H134)))</f>
        <v>0</v>
      </c>
      <c r="P134" s="33">
        <f>IF(B134="","",IF(OR(G134="",G134=0),"",IF(H134="",0,H134)/G134))</f>
        <v>0</v>
      </c>
      <c r="Q134" s="20">
        <f>IF(B134="","",IFERROR(INDEX(Products!$T$5:$T$304,MATCH(B134,Products!$A$5:$A$304,0)),""))</f>
        <v>0</v>
      </c>
      <c r="R134" s="36">
        <f>IF(B134="","",IFERROR(INDEX(Products!$X$5:$X$304,MATCH(B134,Products!$A$5:$A$304,0)),""))</f>
        <v>0</v>
      </c>
      <c r="S134" s="20">
        <f>IF(B134="","",ROUND(IF(J134&lt;&gt;"",J134,IF(Q134="",0,Q134)*IF(G134="",0,G134)),2))</f>
        <v>0</v>
      </c>
      <c r="T134" s="20">
        <f>IF(B134="","",ROUND(IF(K134&lt;&gt;"",K134,IF(R134="",0,R134)*IF(G134="",0,G134)/60)*LaborCostHour,2))</f>
        <v>0</v>
      </c>
      <c r="U134" s="20">
        <f>IF(B134="","",ROUND(S134+T134+IF(L134="",0,L134)-IF(I134="",0,I134),2))</f>
        <v>0</v>
      </c>
      <c r="V134" s="20">
        <f>IF(B134="","",IF(O134=0,"",ROUND(U134/O134,2)))</f>
        <v>0</v>
      </c>
      <c r="W134" s="20">
        <f>IF(B134="","",IFERROR(INDEX(Products!$AH$5:$AH$304,MATCH(B134,Products!$A$5:$A$304,0)),""))</f>
        <v>0</v>
      </c>
      <c r="X134" s="20">
        <f>IF(B134="","",IF(OR(V134="",W134=""),"",ROUND(V134-W134,2)))</f>
        <v>0</v>
      </c>
      <c r="Y134" s="33">
        <f>IF(B134="","",IF(OR(X134="",W134="",W134=0),"",X134/W134))</f>
        <v>0</v>
      </c>
      <c r="Z134" s="36">
        <f>IF(B134="","",IF(OR(K134="",G134="",G134=0),"",ROUND(K134*60/G134,1)))</f>
        <v>0</v>
      </c>
      <c r="AA134" s="36">
        <f>IF(B134="","",IF(OR(Z134="",R134=""),"",ROUND(Z134-R134,1)))</f>
        <v>0</v>
      </c>
      <c r="AB134" s="20">
        <f>IF(B134="","",IFERROR(ROUND(O134*INDEX(Products!$AR$5:$AR$304,MATCH(B134,Products!$A$5:$A$304,0)),2),""))</f>
        <v>0</v>
      </c>
      <c r="AC134" s="20">
        <f>IF(B134="","",IF(AB134="","",ROUND(AB134-U134,2)))</f>
        <v>0</v>
      </c>
      <c r="AD134" s="32">
        <f>IF(B134="","",IF(OR(D134="",E134=""),"",E134-D134))</f>
        <v>0</v>
      </c>
      <c r="AE134" s="43">
        <f>IF(B134="","",IF(G134="","Planned - nothing made yet",IF(O134=0,"Check - no good units",IF(AND(Y134&lt;&gt;"",Y134&gt;0.15),"Check - costing 15% more than the estimate",IF(AND(P134&lt;&gt;"",P134&gt;DefaultDefect*2),"Check - high failure rate",IF(AND(AA134&lt;&gt;"",AA134&gt;5),"Check - taking longer than estimated",IF(AC134&lt;0,"Loss - this run lost money","OK")))))))</f>
        <v>0</v>
      </c>
    </row>
    <row r="135" spans="1:31">
      <c r="A135" s="38">
        <f>IF(B135="","",BatchPrefix&amp;TEXT(ROW()-4,"0000"))</f>
        <v>0</v>
      </c>
      <c r="C135" s="13">
        <f>IF(B135="","",IFERROR(INDEX(Products!$B$5:$B$304,MATCH(B135,Products!$A$5:$A$304,0)),"Not found"))</f>
        <v>0</v>
      </c>
      <c r="O135" s="32">
        <f>IF(B135="","",MAX(0,IF(G135="",0,G135)-IF(H135="",0,H135)))</f>
        <v>0</v>
      </c>
      <c r="P135" s="33">
        <f>IF(B135="","",IF(OR(G135="",G135=0),"",IF(H135="",0,H135)/G135))</f>
        <v>0</v>
      </c>
      <c r="Q135" s="20">
        <f>IF(B135="","",IFERROR(INDEX(Products!$T$5:$T$304,MATCH(B135,Products!$A$5:$A$304,0)),""))</f>
        <v>0</v>
      </c>
      <c r="R135" s="36">
        <f>IF(B135="","",IFERROR(INDEX(Products!$X$5:$X$304,MATCH(B135,Products!$A$5:$A$304,0)),""))</f>
        <v>0</v>
      </c>
      <c r="S135" s="20">
        <f>IF(B135="","",ROUND(IF(J135&lt;&gt;"",J135,IF(Q135="",0,Q135)*IF(G135="",0,G135)),2))</f>
        <v>0</v>
      </c>
      <c r="T135" s="20">
        <f>IF(B135="","",ROUND(IF(K135&lt;&gt;"",K135,IF(R135="",0,R135)*IF(G135="",0,G135)/60)*LaborCostHour,2))</f>
        <v>0</v>
      </c>
      <c r="U135" s="20">
        <f>IF(B135="","",ROUND(S135+T135+IF(L135="",0,L135)-IF(I135="",0,I135),2))</f>
        <v>0</v>
      </c>
      <c r="V135" s="20">
        <f>IF(B135="","",IF(O135=0,"",ROUND(U135/O135,2)))</f>
        <v>0</v>
      </c>
      <c r="W135" s="20">
        <f>IF(B135="","",IFERROR(INDEX(Products!$AH$5:$AH$304,MATCH(B135,Products!$A$5:$A$304,0)),""))</f>
        <v>0</v>
      </c>
      <c r="X135" s="20">
        <f>IF(B135="","",IF(OR(V135="",W135=""),"",ROUND(V135-W135,2)))</f>
        <v>0</v>
      </c>
      <c r="Y135" s="33">
        <f>IF(B135="","",IF(OR(X135="",W135="",W135=0),"",X135/W135))</f>
        <v>0</v>
      </c>
      <c r="Z135" s="36">
        <f>IF(B135="","",IF(OR(K135="",G135="",G135=0),"",ROUND(K135*60/G135,1)))</f>
        <v>0</v>
      </c>
      <c r="AA135" s="36">
        <f>IF(B135="","",IF(OR(Z135="",R135=""),"",ROUND(Z135-R135,1)))</f>
        <v>0</v>
      </c>
      <c r="AB135" s="20">
        <f>IF(B135="","",IFERROR(ROUND(O135*INDEX(Products!$AR$5:$AR$304,MATCH(B135,Products!$A$5:$A$304,0)),2),""))</f>
        <v>0</v>
      </c>
      <c r="AC135" s="20">
        <f>IF(B135="","",IF(AB135="","",ROUND(AB135-U135,2)))</f>
        <v>0</v>
      </c>
      <c r="AD135" s="32">
        <f>IF(B135="","",IF(OR(D135="",E135=""),"",E135-D135))</f>
        <v>0</v>
      </c>
      <c r="AE135" s="43">
        <f>IF(B135="","",IF(G135="","Planned - nothing made yet",IF(O135=0,"Check - no good units",IF(AND(Y135&lt;&gt;"",Y135&gt;0.15),"Check - costing 15% more than the estimate",IF(AND(P135&lt;&gt;"",P135&gt;DefaultDefect*2),"Check - high failure rate",IF(AND(AA135&lt;&gt;"",AA135&gt;5),"Check - taking longer than estimated",IF(AC135&lt;0,"Loss - this run lost money","OK")))))))</f>
        <v>0</v>
      </c>
    </row>
    <row r="136" spans="1:31">
      <c r="A136" s="38">
        <f>IF(B136="","",BatchPrefix&amp;TEXT(ROW()-4,"0000"))</f>
        <v>0</v>
      </c>
      <c r="C136" s="13">
        <f>IF(B136="","",IFERROR(INDEX(Products!$B$5:$B$304,MATCH(B136,Products!$A$5:$A$304,0)),"Not found"))</f>
        <v>0</v>
      </c>
      <c r="O136" s="32">
        <f>IF(B136="","",MAX(0,IF(G136="",0,G136)-IF(H136="",0,H136)))</f>
        <v>0</v>
      </c>
      <c r="P136" s="33">
        <f>IF(B136="","",IF(OR(G136="",G136=0),"",IF(H136="",0,H136)/G136))</f>
        <v>0</v>
      </c>
      <c r="Q136" s="20">
        <f>IF(B136="","",IFERROR(INDEX(Products!$T$5:$T$304,MATCH(B136,Products!$A$5:$A$304,0)),""))</f>
        <v>0</v>
      </c>
      <c r="R136" s="36">
        <f>IF(B136="","",IFERROR(INDEX(Products!$X$5:$X$304,MATCH(B136,Products!$A$5:$A$304,0)),""))</f>
        <v>0</v>
      </c>
      <c r="S136" s="20">
        <f>IF(B136="","",ROUND(IF(J136&lt;&gt;"",J136,IF(Q136="",0,Q136)*IF(G136="",0,G136)),2))</f>
        <v>0</v>
      </c>
      <c r="T136" s="20">
        <f>IF(B136="","",ROUND(IF(K136&lt;&gt;"",K136,IF(R136="",0,R136)*IF(G136="",0,G136)/60)*LaborCostHour,2))</f>
        <v>0</v>
      </c>
      <c r="U136" s="20">
        <f>IF(B136="","",ROUND(S136+T136+IF(L136="",0,L136)-IF(I136="",0,I136),2))</f>
        <v>0</v>
      </c>
      <c r="V136" s="20">
        <f>IF(B136="","",IF(O136=0,"",ROUND(U136/O136,2)))</f>
        <v>0</v>
      </c>
      <c r="W136" s="20">
        <f>IF(B136="","",IFERROR(INDEX(Products!$AH$5:$AH$304,MATCH(B136,Products!$A$5:$A$304,0)),""))</f>
        <v>0</v>
      </c>
      <c r="X136" s="20">
        <f>IF(B136="","",IF(OR(V136="",W136=""),"",ROUND(V136-W136,2)))</f>
        <v>0</v>
      </c>
      <c r="Y136" s="33">
        <f>IF(B136="","",IF(OR(X136="",W136="",W136=0),"",X136/W136))</f>
        <v>0</v>
      </c>
      <c r="Z136" s="36">
        <f>IF(B136="","",IF(OR(K136="",G136="",G136=0),"",ROUND(K136*60/G136,1)))</f>
        <v>0</v>
      </c>
      <c r="AA136" s="36">
        <f>IF(B136="","",IF(OR(Z136="",R136=""),"",ROUND(Z136-R136,1)))</f>
        <v>0</v>
      </c>
      <c r="AB136" s="20">
        <f>IF(B136="","",IFERROR(ROUND(O136*INDEX(Products!$AR$5:$AR$304,MATCH(B136,Products!$A$5:$A$304,0)),2),""))</f>
        <v>0</v>
      </c>
      <c r="AC136" s="20">
        <f>IF(B136="","",IF(AB136="","",ROUND(AB136-U136,2)))</f>
        <v>0</v>
      </c>
      <c r="AD136" s="32">
        <f>IF(B136="","",IF(OR(D136="",E136=""),"",E136-D136))</f>
        <v>0</v>
      </c>
      <c r="AE136" s="43">
        <f>IF(B136="","",IF(G136="","Planned - nothing made yet",IF(O136=0,"Check - no good units",IF(AND(Y136&lt;&gt;"",Y136&gt;0.15),"Check - costing 15% more than the estimate",IF(AND(P136&lt;&gt;"",P136&gt;DefaultDefect*2),"Check - high failure rate",IF(AND(AA136&lt;&gt;"",AA136&gt;5),"Check - taking longer than estimated",IF(AC136&lt;0,"Loss - this run lost money","OK")))))))</f>
        <v>0</v>
      </c>
    </row>
    <row r="137" spans="1:31">
      <c r="A137" s="38">
        <f>IF(B137="","",BatchPrefix&amp;TEXT(ROW()-4,"0000"))</f>
        <v>0</v>
      </c>
      <c r="C137" s="13">
        <f>IF(B137="","",IFERROR(INDEX(Products!$B$5:$B$304,MATCH(B137,Products!$A$5:$A$304,0)),"Not found"))</f>
        <v>0</v>
      </c>
      <c r="O137" s="32">
        <f>IF(B137="","",MAX(0,IF(G137="",0,G137)-IF(H137="",0,H137)))</f>
        <v>0</v>
      </c>
      <c r="P137" s="33">
        <f>IF(B137="","",IF(OR(G137="",G137=0),"",IF(H137="",0,H137)/G137))</f>
        <v>0</v>
      </c>
      <c r="Q137" s="20">
        <f>IF(B137="","",IFERROR(INDEX(Products!$T$5:$T$304,MATCH(B137,Products!$A$5:$A$304,0)),""))</f>
        <v>0</v>
      </c>
      <c r="R137" s="36">
        <f>IF(B137="","",IFERROR(INDEX(Products!$X$5:$X$304,MATCH(B137,Products!$A$5:$A$304,0)),""))</f>
        <v>0</v>
      </c>
      <c r="S137" s="20">
        <f>IF(B137="","",ROUND(IF(J137&lt;&gt;"",J137,IF(Q137="",0,Q137)*IF(G137="",0,G137)),2))</f>
        <v>0</v>
      </c>
      <c r="T137" s="20">
        <f>IF(B137="","",ROUND(IF(K137&lt;&gt;"",K137,IF(R137="",0,R137)*IF(G137="",0,G137)/60)*LaborCostHour,2))</f>
        <v>0</v>
      </c>
      <c r="U137" s="20">
        <f>IF(B137="","",ROUND(S137+T137+IF(L137="",0,L137)-IF(I137="",0,I137),2))</f>
        <v>0</v>
      </c>
      <c r="V137" s="20">
        <f>IF(B137="","",IF(O137=0,"",ROUND(U137/O137,2)))</f>
        <v>0</v>
      </c>
      <c r="W137" s="20">
        <f>IF(B137="","",IFERROR(INDEX(Products!$AH$5:$AH$304,MATCH(B137,Products!$A$5:$A$304,0)),""))</f>
        <v>0</v>
      </c>
      <c r="X137" s="20">
        <f>IF(B137="","",IF(OR(V137="",W137=""),"",ROUND(V137-W137,2)))</f>
        <v>0</v>
      </c>
      <c r="Y137" s="33">
        <f>IF(B137="","",IF(OR(X137="",W137="",W137=0),"",X137/W137))</f>
        <v>0</v>
      </c>
      <c r="Z137" s="36">
        <f>IF(B137="","",IF(OR(K137="",G137="",G137=0),"",ROUND(K137*60/G137,1)))</f>
        <v>0</v>
      </c>
      <c r="AA137" s="36">
        <f>IF(B137="","",IF(OR(Z137="",R137=""),"",ROUND(Z137-R137,1)))</f>
        <v>0</v>
      </c>
      <c r="AB137" s="20">
        <f>IF(B137="","",IFERROR(ROUND(O137*INDEX(Products!$AR$5:$AR$304,MATCH(B137,Products!$A$5:$A$304,0)),2),""))</f>
        <v>0</v>
      </c>
      <c r="AC137" s="20">
        <f>IF(B137="","",IF(AB137="","",ROUND(AB137-U137,2)))</f>
        <v>0</v>
      </c>
      <c r="AD137" s="32">
        <f>IF(B137="","",IF(OR(D137="",E137=""),"",E137-D137))</f>
        <v>0</v>
      </c>
      <c r="AE137" s="43">
        <f>IF(B137="","",IF(G137="","Planned - nothing made yet",IF(O137=0,"Check - no good units",IF(AND(Y137&lt;&gt;"",Y137&gt;0.15),"Check - costing 15% more than the estimate",IF(AND(P137&lt;&gt;"",P137&gt;DefaultDefect*2),"Check - high failure rate",IF(AND(AA137&lt;&gt;"",AA137&gt;5),"Check - taking longer than estimated",IF(AC137&lt;0,"Loss - this run lost money","OK")))))))</f>
        <v>0</v>
      </c>
    </row>
    <row r="138" spans="1:31">
      <c r="A138" s="38">
        <f>IF(B138="","",BatchPrefix&amp;TEXT(ROW()-4,"0000"))</f>
        <v>0</v>
      </c>
      <c r="C138" s="13">
        <f>IF(B138="","",IFERROR(INDEX(Products!$B$5:$B$304,MATCH(B138,Products!$A$5:$A$304,0)),"Not found"))</f>
        <v>0</v>
      </c>
      <c r="O138" s="32">
        <f>IF(B138="","",MAX(0,IF(G138="",0,G138)-IF(H138="",0,H138)))</f>
        <v>0</v>
      </c>
      <c r="P138" s="33">
        <f>IF(B138="","",IF(OR(G138="",G138=0),"",IF(H138="",0,H138)/G138))</f>
        <v>0</v>
      </c>
      <c r="Q138" s="20">
        <f>IF(B138="","",IFERROR(INDEX(Products!$T$5:$T$304,MATCH(B138,Products!$A$5:$A$304,0)),""))</f>
        <v>0</v>
      </c>
      <c r="R138" s="36">
        <f>IF(B138="","",IFERROR(INDEX(Products!$X$5:$X$304,MATCH(B138,Products!$A$5:$A$304,0)),""))</f>
        <v>0</v>
      </c>
      <c r="S138" s="20">
        <f>IF(B138="","",ROUND(IF(J138&lt;&gt;"",J138,IF(Q138="",0,Q138)*IF(G138="",0,G138)),2))</f>
        <v>0</v>
      </c>
      <c r="T138" s="20">
        <f>IF(B138="","",ROUND(IF(K138&lt;&gt;"",K138,IF(R138="",0,R138)*IF(G138="",0,G138)/60)*LaborCostHour,2))</f>
        <v>0</v>
      </c>
      <c r="U138" s="20">
        <f>IF(B138="","",ROUND(S138+T138+IF(L138="",0,L138)-IF(I138="",0,I138),2))</f>
        <v>0</v>
      </c>
      <c r="V138" s="20">
        <f>IF(B138="","",IF(O138=0,"",ROUND(U138/O138,2)))</f>
        <v>0</v>
      </c>
      <c r="W138" s="20">
        <f>IF(B138="","",IFERROR(INDEX(Products!$AH$5:$AH$304,MATCH(B138,Products!$A$5:$A$304,0)),""))</f>
        <v>0</v>
      </c>
      <c r="X138" s="20">
        <f>IF(B138="","",IF(OR(V138="",W138=""),"",ROUND(V138-W138,2)))</f>
        <v>0</v>
      </c>
      <c r="Y138" s="33">
        <f>IF(B138="","",IF(OR(X138="",W138="",W138=0),"",X138/W138))</f>
        <v>0</v>
      </c>
      <c r="Z138" s="36">
        <f>IF(B138="","",IF(OR(K138="",G138="",G138=0),"",ROUND(K138*60/G138,1)))</f>
        <v>0</v>
      </c>
      <c r="AA138" s="36">
        <f>IF(B138="","",IF(OR(Z138="",R138=""),"",ROUND(Z138-R138,1)))</f>
        <v>0</v>
      </c>
      <c r="AB138" s="20">
        <f>IF(B138="","",IFERROR(ROUND(O138*INDEX(Products!$AR$5:$AR$304,MATCH(B138,Products!$A$5:$A$304,0)),2),""))</f>
        <v>0</v>
      </c>
      <c r="AC138" s="20">
        <f>IF(B138="","",IF(AB138="","",ROUND(AB138-U138,2)))</f>
        <v>0</v>
      </c>
      <c r="AD138" s="32">
        <f>IF(B138="","",IF(OR(D138="",E138=""),"",E138-D138))</f>
        <v>0</v>
      </c>
      <c r="AE138" s="43">
        <f>IF(B138="","",IF(G138="","Planned - nothing made yet",IF(O138=0,"Check - no good units",IF(AND(Y138&lt;&gt;"",Y138&gt;0.15),"Check - costing 15% more than the estimate",IF(AND(P138&lt;&gt;"",P138&gt;DefaultDefect*2),"Check - high failure rate",IF(AND(AA138&lt;&gt;"",AA138&gt;5),"Check - taking longer than estimated",IF(AC138&lt;0,"Loss - this run lost money","OK")))))))</f>
        <v>0</v>
      </c>
    </row>
    <row r="139" spans="1:31">
      <c r="A139" s="38">
        <f>IF(B139="","",BatchPrefix&amp;TEXT(ROW()-4,"0000"))</f>
        <v>0</v>
      </c>
      <c r="C139" s="13">
        <f>IF(B139="","",IFERROR(INDEX(Products!$B$5:$B$304,MATCH(B139,Products!$A$5:$A$304,0)),"Not found"))</f>
        <v>0</v>
      </c>
      <c r="O139" s="32">
        <f>IF(B139="","",MAX(0,IF(G139="",0,G139)-IF(H139="",0,H139)))</f>
        <v>0</v>
      </c>
      <c r="P139" s="33">
        <f>IF(B139="","",IF(OR(G139="",G139=0),"",IF(H139="",0,H139)/G139))</f>
        <v>0</v>
      </c>
      <c r="Q139" s="20">
        <f>IF(B139="","",IFERROR(INDEX(Products!$T$5:$T$304,MATCH(B139,Products!$A$5:$A$304,0)),""))</f>
        <v>0</v>
      </c>
      <c r="R139" s="36">
        <f>IF(B139="","",IFERROR(INDEX(Products!$X$5:$X$304,MATCH(B139,Products!$A$5:$A$304,0)),""))</f>
        <v>0</v>
      </c>
      <c r="S139" s="20">
        <f>IF(B139="","",ROUND(IF(J139&lt;&gt;"",J139,IF(Q139="",0,Q139)*IF(G139="",0,G139)),2))</f>
        <v>0</v>
      </c>
      <c r="T139" s="20">
        <f>IF(B139="","",ROUND(IF(K139&lt;&gt;"",K139,IF(R139="",0,R139)*IF(G139="",0,G139)/60)*LaborCostHour,2))</f>
        <v>0</v>
      </c>
      <c r="U139" s="20">
        <f>IF(B139="","",ROUND(S139+T139+IF(L139="",0,L139)-IF(I139="",0,I139),2))</f>
        <v>0</v>
      </c>
      <c r="V139" s="20">
        <f>IF(B139="","",IF(O139=0,"",ROUND(U139/O139,2)))</f>
        <v>0</v>
      </c>
      <c r="W139" s="20">
        <f>IF(B139="","",IFERROR(INDEX(Products!$AH$5:$AH$304,MATCH(B139,Products!$A$5:$A$304,0)),""))</f>
        <v>0</v>
      </c>
      <c r="X139" s="20">
        <f>IF(B139="","",IF(OR(V139="",W139=""),"",ROUND(V139-W139,2)))</f>
        <v>0</v>
      </c>
      <c r="Y139" s="33">
        <f>IF(B139="","",IF(OR(X139="",W139="",W139=0),"",X139/W139))</f>
        <v>0</v>
      </c>
      <c r="Z139" s="36">
        <f>IF(B139="","",IF(OR(K139="",G139="",G139=0),"",ROUND(K139*60/G139,1)))</f>
        <v>0</v>
      </c>
      <c r="AA139" s="36">
        <f>IF(B139="","",IF(OR(Z139="",R139=""),"",ROUND(Z139-R139,1)))</f>
        <v>0</v>
      </c>
      <c r="AB139" s="20">
        <f>IF(B139="","",IFERROR(ROUND(O139*INDEX(Products!$AR$5:$AR$304,MATCH(B139,Products!$A$5:$A$304,0)),2),""))</f>
        <v>0</v>
      </c>
      <c r="AC139" s="20">
        <f>IF(B139="","",IF(AB139="","",ROUND(AB139-U139,2)))</f>
        <v>0</v>
      </c>
      <c r="AD139" s="32">
        <f>IF(B139="","",IF(OR(D139="",E139=""),"",E139-D139))</f>
        <v>0</v>
      </c>
      <c r="AE139" s="43">
        <f>IF(B139="","",IF(G139="","Planned - nothing made yet",IF(O139=0,"Check - no good units",IF(AND(Y139&lt;&gt;"",Y139&gt;0.15),"Check - costing 15% more than the estimate",IF(AND(P139&lt;&gt;"",P139&gt;DefaultDefect*2),"Check - high failure rate",IF(AND(AA139&lt;&gt;"",AA139&gt;5),"Check - taking longer than estimated",IF(AC139&lt;0,"Loss - this run lost money","OK")))))))</f>
        <v>0</v>
      </c>
    </row>
    <row r="140" spans="1:31">
      <c r="A140" s="38">
        <f>IF(B140="","",BatchPrefix&amp;TEXT(ROW()-4,"0000"))</f>
        <v>0</v>
      </c>
      <c r="C140" s="13">
        <f>IF(B140="","",IFERROR(INDEX(Products!$B$5:$B$304,MATCH(B140,Products!$A$5:$A$304,0)),"Not found"))</f>
        <v>0</v>
      </c>
      <c r="O140" s="32">
        <f>IF(B140="","",MAX(0,IF(G140="",0,G140)-IF(H140="",0,H140)))</f>
        <v>0</v>
      </c>
      <c r="P140" s="33">
        <f>IF(B140="","",IF(OR(G140="",G140=0),"",IF(H140="",0,H140)/G140))</f>
        <v>0</v>
      </c>
      <c r="Q140" s="20">
        <f>IF(B140="","",IFERROR(INDEX(Products!$T$5:$T$304,MATCH(B140,Products!$A$5:$A$304,0)),""))</f>
        <v>0</v>
      </c>
      <c r="R140" s="36">
        <f>IF(B140="","",IFERROR(INDEX(Products!$X$5:$X$304,MATCH(B140,Products!$A$5:$A$304,0)),""))</f>
        <v>0</v>
      </c>
      <c r="S140" s="20">
        <f>IF(B140="","",ROUND(IF(J140&lt;&gt;"",J140,IF(Q140="",0,Q140)*IF(G140="",0,G140)),2))</f>
        <v>0</v>
      </c>
      <c r="T140" s="20">
        <f>IF(B140="","",ROUND(IF(K140&lt;&gt;"",K140,IF(R140="",0,R140)*IF(G140="",0,G140)/60)*LaborCostHour,2))</f>
        <v>0</v>
      </c>
      <c r="U140" s="20">
        <f>IF(B140="","",ROUND(S140+T140+IF(L140="",0,L140)-IF(I140="",0,I140),2))</f>
        <v>0</v>
      </c>
      <c r="V140" s="20">
        <f>IF(B140="","",IF(O140=0,"",ROUND(U140/O140,2)))</f>
        <v>0</v>
      </c>
      <c r="W140" s="20">
        <f>IF(B140="","",IFERROR(INDEX(Products!$AH$5:$AH$304,MATCH(B140,Products!$A$5:$A$304,0)),""))</f>
        <v>0</v>
      </c>
      <c r="X140" s="20">
        <f>IF(B140="","",IF(OR(V140="",W140=""),"",ROUND(V140-W140,2)))</f>
        <v>0</v>
      </c>
      <c r="Y140" s="33">
        <f>IF(B140="","",IF(OR(X140="",W140="",W140=0),"",X140/W140))</f>
        <v>0</v>
      </c>
      <c r="Z140" s="36">
        <f>IF(B140="","",IF(OR(K140="",G140="",G140=0),"",ROUND(K140*60/G140,1)))</f>
        <v>0</v>
      </c>
      <c r="AA140" s="36">
        <f>IF(B140="","",IF(OR(Z140="",R140=""),"",ROUND(Z140-R140,1)))</f>
        <v>0</v>
      </c>
      <c r="AB140" s="20">
        <f>IF(B140="","",IFERROR(ROUND(O140*INDEX(Products!$AR$5:$AR$304,MATCH(B140,Products!$A$5:$A$304,0)),2),""))</f>
        <v>0</v>
      </c>
      <c r="AC140" s="20">
        <f>IF(B140="","",IF(AB140="","",ROUND(AB140-U140,2)))</f>
        <v>0</v>
      </c>
      <c r="AD140" s="32">
        <f>IF(B140="","",IF(OR(D140="",E140=""),"",E140-D140))</f>
        <v>0</v>
      </c>
      <c r="AE140" s="43">
        <f>IF(B140="","",IF(G140="","Planned - nothing made yet",IF(O140=0,"Check - no good units",IF(AND(Y140&lt;&gt;"",Y140&gt;0.15),"Check - costing 15% more than the estimate",IF(AND(P140&lt;&gt;"",P140&gt;DefaultDefect*2),"Check - high failure rate",IF(AND(AA140&lt;&gt;"",AA140&gt;5),"Check - taking longer than estimated",IF(AC140&lt;0,"Loss - this run lost money","OK")))))))</f>
        <v>0</v>
      </c>
    </row>
    <row r="141" spans="1:31">
      <c r="A141" s="38">
        <f>IF(B141="","",BatchPrefix&amp;TEXT(ROW()-4,"0000"))</f>
        <v>0</v>
      </c>
      <c r="C141" s="13">
        <f>IF(B141="","",IFERROR(INDEX(Products!$B$5:$B$304,MATCH(B141,Products!$A$5:$A$304,0)),"Not found"))</f>
        <v>0</v>
      </c>
      <c r="O141" s="32">
        <f>IF(B141="","",MAX(0,IF(G141="",0,G141)-IF(H141="",0,H141)))</f>
        <v>0</v>
      </c>
      <c r="P141" s="33">
        <f>IF(B141="","",IF(OR(G141="",G141=0),"",IF(H141="",0,H141)/G141))</f>
        <v>0</v>
      </c>
      <c r="Q141" s="20">
        <f>IF(B141="","",IFERROR(INDEX(Products!$T$5:$T$304,MATCH(B141,Products!$A$5:$A$304,0)),""))</f>
        <v>0</v>
      </c>
      <c r="R141" s="36">
        <f>IF(B141="","",IFERROR(INDEX(Products!$X$5:$X$304,MATCH(B141,Products!$A$5:$A$304,0)),""))</f>
        <v>0</v>
      </c>
      <c r="S141" s="20">
        <f>IF(B141="","",ROUND(IF(J141&lt;&gt;"",J141,IF(Q141="",0,Q141)*IF(G141="",0,G141)),2))</f>
        <v>0</v>
      </c>
      <c r="T141" s="20">
        <f>IF(B141="","",ROUND(IF(K141&lt;&gt;"",K141,IF(R141="",0,R141)*IF(G141="",0,G141)/60)*LaborCostHour,2))</f>
        <v>0</v>
      </c>
      <c r="U141" s="20">
        <f>IF(B141="","",ROUND(S141+T141+IF(L141="",0,L141)-IF(I141="",0,I141),2))</f>
        <v>0</v>
      </c>
      <c r="V141" s="20">
        <f>IF(B141="","",IF(O141=0,"",ROUND(U141/O141,2)))</f>
        <v>0</v>
      </c>
      <c r="W141" s="20">
        <f>IF(B141="","",IFERROR(INDEX(Products!$AH$5:$AH$304,MATCH(B141,Products!$A$5:$A$304,0)),""))</f>
        <v>0</v>
      </c>
      <c r="X141" s="20">
        <f>IF(B141="","",IF(OR(V141="",W141=""),"",ROUND(V141-W141,2)))</f>
        <v>0</v>
      </c>
      <c r="Y141" s="33">
        <f>IF(B141="","",IF(OR(X141="",W141="",W141=0),"",X141/W141))</f>
        <v>0</v>
      </c>
      <c r="Z141" s="36">
        <f>IF(B141="","",IF(OR(K141="",G141="",G141=0),"",ROUND(K141*60/G141,1)))</f>
        <v>0</v>
      </c>
      <c r="AA141" s="36">
        <f>IF(B141="","",IF(OR(Z141="",R141=""),"",ROUND(Z141-R141,1)))</f>
        <v>0</v>
      </c>
      <c r="AB141" s="20">
        <f>IF(B141="","",IFERROR(ROUND(O141*INDEX(Products!$AR$5:$AR$304,MATCH(B141,Products!$A$5:$A$304,0)),2),""))</f>
        <v>0</v>
      </c>
      <c r="AC141" s="20">
        <f>IF(B141="","",IF(AB141="","",ROUND(AB141-U141,2)))</f>
        <v>0</v>
      </c>
      <c r="AD141" s="32">
        <f>IF(B141="","",IF(OR(D141="",E141=""),"",E141-D141))</f>
        <v>0</v>
      </c>
      <c r="AE141" s="43">
        <f>IF(B141="","",IF(G141="","Planned - nothing made yet",IF(O141=0,"Check - no good units",IF(AND(Y141&lt;&gt;"",Y141&gt;0.15),"Check - costing 15% more than the estimate",IF(AND(P141&lt;&gt;"",P141&gt;DefaultDefect*2),"Check - high failure rate",IF(AND(AA141&lt;&gt;"",AA141&gt;5),"Check - taking longer than estimated",IF(AC141&lt;0,"Loss - this run lost money","OK")))))))</f>
        <v>0</v>
      </c>
    </row>
    <row r="142" spans="1:31">
      <c r="A142" s="38">
        <f>IF(B142="","",BatchPrefix&amp;TEXT(ROW()-4,"0000"))</f>
        <v>0</v>
      </c>
      <c r="C142" s="13">
        <f>IF(B142="","",IFERROR(INDEX(Products!$B$5:$B$304,MATCH(B142,Products!$A$5:$A$304,0)),"Not found"))</f>
        <v>0</v>
      </c>
      <c r="O142" s="32">
        <f>IF(B142="","",MAX(0,IF(G142="",0,G142)-IF(H142="",0,H142)))</f>
        <v>0</v>
      </c>
      <c r="P142" s="33">
        <f>IF(B142="","",IF(OR(G142="",G142=0),"",IF(H142="",0,H142)/G142))</f>
        <v>0</v>
      </c>
      <c r="Q142" s="20">
        <f>IF(B142="","",IFERROR(INDEX(Products!$T$5:$T$304,MATCH(B142,Products!$A$5:$A$304,0)),""))</f>
        <v>0</v>
      </c>
      <c r="R142" s="36">
        <f>IF(B142="","",IFERROR(INDEX(Products!$X$5:$X$304,MATCH(B142,Products!$A$5:$A$304,0)),""))</f>
        <v>0</v>
      </c>
      <c r="S142" s="20">
        <f>IF(B142="","",ROUND(IF(J142&lt;&gt;"",J142,IF(Q142="",0,Q142)*IF(G142="",0,G142)),2))</f>
        <v>0</v>
      </c>
      <c r="T142" s="20">
        <f>IF(B142="","",ROUND(IF(K142&lt;&gt;"",K142,IF(R142="",0,R142)*IF(G142="",0,G142)/60)*LaborCostHour,2))</f>
        <v>0</v>
      </c>
      <c r="U142" s="20">
        <f>IF(B142="","",ROUND(S142+T142+IF(L142="",0,L142)-IF(I142="",0,I142),2))</f>
        <v>0</v>
      </c>
      <c r="V142" s="20">
        <f>IF(B142="","",IF(O142=0,"",ROUND(U142/O142,2)))</f>
        <v>0</v>
      </c>
      <c r="W142" s="20">
        <f>IF(B142="","",IFERROR(INDEX(Products!$AH$5:$AH$304,MATCH(B142,Products!$A$5:$A$304,0)),""))</f>
        <v>0</v>
      </c>
      <c r="X142" s="20">
        <f>IF(B142="","",IF(OR(V142="",W142=""),"",ROUND(V142-W142,2)))</f>
        <v>0</v>
      </c>
      <c r="Y142" s="33">
        <f>IF(B142="","",IF(OR(X142="",W142="",W142=0),"",X142/W142))</f>
        <v>0</v>
      </c>
      <c r="Z142" s="36">
        <f>IF(B142="","",IF(OR(K142="",G142="",G142=0),"",ROUND(K142*60/G142,1)))</f>
        <v>0</v>
      </c>
      <c r="AA142" s="36">
        <f>IF(B142="","",IF(OR(Z142="",R142=""),"",ROUND(Z142-R142,1)))</f>
        <v>0</v>
      </c>
      <c r="AB142" s="20">
        <f>IF(B142="","",IFERROR(ROUND(O142*INDEX(Products!$AR$5:$AR$304,MATCH(B142,Products!$A$5:$A$304,0)),2),""))</f>
        <v>0</v>
      </c>
      <c r="AC142" s="20">
        <f>IF(B142="","",IF(AB142="","",ROUND(AB142-U142,2)))</f>
        <v>0</v>
      </c>
      <c r="AD142" s="32">
        <f>IF(B142="","",IF(OR(D142="",E142=""),"",E142-D142))</f>
        <v>0</v>
      </c>
      <c r="AE142" s="43">
        <f>IF(B142="","",IF(G142="","Planned - nothing made yet",IF(O142=0,"Check - no good units",IF(AND(Y142&lt;&gt;"",Y142&gt;0.15),"Check - costing 15% more than the estimate",IF(AND(P142&lt;&gt;"",P142&gt;DefaultDefect*2),"Check - high failure rate",IF(AND(AA142&lt;&gt;"",AA142&gt;5),"Check - taking longer than estimated",IF(AC142&lt;0,"Loss - this run lost money","OK")))))))</f>
        <v>0</v>
      </c>
    </row>
    <row r="143" spans="1:31">
      <c r="A143" s="38">
        <f>IF(B143="","",BatchPrefix&amp;TEXT(ROW()-4,"0000"))</f>
        <v>0</v>
      </c>
      <c r="C143" s="13">
        <f>IF(B143="","",IFERROR(INDEX(Products!$B$5:$B$304,MATCH(B143,Products!$A$5:$A$304,0)),"Not found"))</f>
        <v>0</v>
      </c>
      <c r="O143" s="32">
        <f>IF(B143="","",MAX(0,IF(G143="",0,G143)-IF(H143="",0,H143)))</f>
        <v>0</v>
      </c>
      <c r="P143" s="33">
        <f>IF(B143="","",IF(OR(G143="",G143=0),"",IF(H143="",0,H143)/G143))</f>
        <v>0</v>
      </c>
      <c r="Q143" s="20">
        <f>IF(B143="","",IFERROR(INDEX(Products!$T$5:$T$304,MATCH(B143,Products!$A$5:$A$304,0)),""))</f>
        <v>0</v>
      </c>
      <c r="R143" s="36">
        <f>IF(B143="","",IFERROR(INDEX(Products!$X$5:$X$304,MATCH(B143,Products!$A$5:$A$304,0)),""))</f>
        <v>0</v>
      </c>
      <c r="S143" s="20">
        <f>IF(B143="","",ROUND(IF(J143&lt;&gt;"",J143,IF(Q143="",0,Q143)*IF(G143="",0,G143)),2))</f>
        <v>0</v>
      </c>
      <c r="T143" s="20">
        <f>IF(B143="","",ROUND(IF(K143&lt;&gt;"",K143,IF(R143="",0,R143)*IF(G143="",0,G143)/60)*LaborCostHour,2))</f>
        <v>0</v>
      </c>
      <c r="U143" s="20">
        <f>IF(B143="","",ROUND(S143+T143+IF(L143="",0,L143)-IF(I143="",0,I143),2))</f>
        <v>0</v>
      </c>
      <c r="V143" s="20">
        <f>IF(B143="","",IF(O143=0,"",ROUND(U143/O143,2)))</f>
        <v>0</v>
      </c>
      <c r="W143" s="20">
        <f>IF(B143="","",IFERROR(INDEX(Products!$AH$5:$AH$304,MATCH(B143,Products!$A$5:$A$304,0)),""))</f>
        <v>0</v>
      </c>
      <c r="X143" s="20">
        <f>IF(B143="","",IF(OR(V143="",W143=""),"",ROUND(V143-W143,2)))</f>
        <v>0</v>
      </c>
      <c r="Y143" s="33">
        <f>IF(B143="","",IF(OR(X143="",W143="",W143=0),"",X143/W143))</f>
        <v>0</v>
      </c>
      <c r="Z143" s="36">
        <f>IF(B143="","",IF(OR(K143="",G143="",G143=0),"",ROUND(K143*60/G143,1)))</f>
        <v>0</v>
      </c>
      <c r="AA143" s="36">
        <f>IF(B143="","",IF(OR(Z143="",R143=""),"",ROUND(Z143-R143,1)))</f>
        <v>0</v>
      </c>
      <c r="AB143" s="20">
        <f>IF(B143="","",IFERROR(ROUND(O143*INDEX(Products!$AR$5:$AR$304,MATCH(B143,Products!$A$5:$A$304,0)),2),""))</f>
        <v>0</v>
      </c>
      <c r="AC143" s="20">
        <f>IF(B143="","",IF(AB143="","",ROUND(AB143-U143,2)))</f>
        <v>0</v>
      </c>
      <c r="AD143" s="32">
        <f>IF(B143="","",IF(OR(D143="",E143=""),"",E143-D143))</f>
        <v>0</v>
      </c>
      <c r="AE143" s="43">
        <f>IF(B143="","",IF(G143="","Planned - nothing made yet",IF(O143=0,"Check - no good units",IF(AND(Y143&lt;&gt;"",Y143&gt;0.15),"Check - costing 15% more than the estimate",IF(AND(P143&lt;&gt;"",P143&gt;DefaultDefect*2),"Check - high failure rate",IF(AND(AA143&lt;&gt;"",AA143&gt;5),"Check - taking longer than estimated",IF(AC143&lt;0,"Loss - this run lost money","OK")))))))</f>
        <v>0</v>
      </c>
    </row>
    <row r="144" spans="1:31">
      <c r="A144" s="38">
        <f>IF(B144="","",BatchPrefix&amp;TEXT(ROW()-4,"0000"))</f>
        <v>0</v>
      </c>
      <c r="C144" s="13">
        <f>IF(B144="","",IFERROR(INDEX(Products!$B$5:$B$304,MATCH(B144,Products!$A$5:$A$304,0)),"Not found"))</f>
        <v>0</v>
      </c>
      <c r="O144" s="32">
        <f>IF(B144="","",MAX(0,IF(G144="",0,G144)-IF(H144="",0,H144)))</f>
        <v>0</v>
      </c>
      <c r="P144" s="33">
        <f>IF(B144="","",IF(OR(G144="",G144=0),"",IF(H144="",0,H144)/G144))</f>
        <v>0</v>
      </c>
      <c r="Q144" s="20">
        <f>IF(B144="","",IFERROR(INDEX(Products!$T$5:$T$304,MATCH(B144,Products!$A$5:$A$304,0)),""))</f>
        <v>0</v>
      </c>
      <c r="R144" s="36">
        <f>IF(B144="","",IFERROR(INDEX(Products!$X$5:$X$304,MATCH(B144,Products!$A$5:$A$304,0)),""))</f>
        <v>0</v>
      </c>
      <c r="S144" s="20">
        <f>IF(B144="","",ROUND(IF(J144&lt;&gt;"",J144,IF(Q144="",0,Q144)*IF(G144="",0,G144)),2))</f>
        <v>0</v>
      </c>
      <c r="T144" s="20">
        <f>IF(B144="","",ROUND(IF(K144&lt;&gt;"",K144,IF(R144="",0,R144)*IF(G144="",0,G144)/60)*LaborCostHour,2))</f>
        <v>0</v>
      </c>
      <c r="U144" s="20">
        <f>IF(B144="","",ROUND(S144+T144+IF(L144="",0,L144)-IF(I144="",0,I144),2))</f>
        <v>0</v>
      </c>
      <c r="V144" s="20">
        <f>IF(B144="","",IF(O144=0,"",ROUND(U144/O144,2)))</f>
        <v>0</v>
      </c>
      <c r="W144" s="20">
        <f>IF(B144="","",IFERROR(INDEX(Products!$AH$5:$AH$304,MATCH(B144,Products!$A$5:$A$304,0)),""))</f>
        <v>0</v>
      </c>
      <c r="X144" s="20">
        <f>IF(B144="","",IF(OR(V144="",W144=""),"",ROUND(V144-W144,2)))</f>
        <v>0</v>
      </c>
      <c r="Y144" s="33">
        <f>IF(B144="","",IF(OR(X144="",W144="",W144=0),"",X144/W144))</f>
        <v>0</v>
      </c>
      <c r="Z144" s="36">
        <f>IF(B144="","",IF(OR(K144="",G144="",G144=0),"",ROUND(K144*60/G144,1)))</f>
        <v>0</v>
      </c>
      <c r="AA144" s="36">
        <f>IF(B144="","",IF(OR(Z144="",R144=""),"",ROUND(Z144-R144,1)))</f>
        <v>0</v>
      </c>
      <c r="AB144" s="20">
        <f>IF(B144="","",IFERROR(ROUND(O144*INDEX(Products!$AR$5:$AR$304,MATCH(B144,Products!$A$5:$A$304,0)),2),""))</f>
        <v>0</v>
      </c>
      <c r="AC144" s="20">
        <f>IF(B144="","",IF(AB144="","",ROUND(AB144-U144,2)))</f>
        <v>0</v>
      </c>
      <c r="AD144" s="32">
        <f>IF(B144="","",IF(OR(D144="",E144=""),"",E144-D144))</f>
        <v>0</v>
      </c>
      <c r="AE144" s="43">
        <f>IF(B144="","",IF(G144="","Planned - nothing made yet",IF(O144=0,"Check - no good units",IF(AND(Y144&lt;&gt;"",Y144&gt;0.15),"Check - costing 15% more than the estimate",IF(AND(P144&lt;&gt;"",P144&gt;DefaultDefect*2),"Check - high failure rate",IF(AND(AA144&lt;&gt;"",AA144&gt;5),"Check - taking longer than estimated",IF(AC144&lt;0,"Loss - this run lost money","OK")))))))</f>
        <v>0</v>
      </c>
    </row>
    <row r="145" spans="1:31">
      <c r="A145" s="38">
        <f>IF(B145="","",BatchPrefix&amp;TEXT(ROW()-4,"0000"))</f>
        <v>0</v>
      </c>
      <c r="C145" s="13">
        <f>IF(B145="","",IFERROR(INDEX(Products!$B$5:$B$304,MATCH(B145,Products!$A$5:$A$304,0)),"Not found"))</f>
        <v>0</v>
      </c>
      <c r="O145" s="32">
        <f>IF(B145="","",MAX(0,IF(G145="",0,G145)-IF(H145="",0,H145)))</f>
        <v>0</v>
      </c>
      <c r="P145" s="33">
        <f>IF(B145="","",IF(OR(G145="",G145=0),"",IF(H145="",0,H145)/G145))</f>
        <v>0</v>
      </c>
      <c r="Q145" s="20">
        <f>IF(B145="","",IFERROR(INDEX(Products!$T$5:$T$304,MATCH(B145,Products!$A$5:$A$304,0)),""))</f>
        <v>0</v>
      </c>
      <c r="R145" s="36">
        <f>IF(B145="","",IFERROR(INDEX(Products!$X$5:$X$304,MATCH(B145,Products!$A$5:$A$304,0)),""))</f>
        <v>0</v>
      </c>
      <c r="S145" s="20">
        <f>IF(B145="","",ROUND(IF(J145&lt;&gt;"",J145,IF(Q145="",0,Q145)*IF(G145="",0,G145)),2))</f>
        <v>0</v>
      </c>
      <c r="T145" s="20">
        <f>IF(B145="","",ROUND(IF(K145&lt;&gt;"",K145,IF(R145="",0,R145)*IF(G145="",0,G145)/60)*LaborCostHour,2))</f>
        <v>0</v>
      </c>
      <c r="U145" s="20">
        <f>IF(B145="","",ROUND(S145+T145+IF(L145="",0,L145)-IF(I145="",0,I145),2))</f>
        <v>0</v>
      </c>
      <c r="V145" s="20">
        <f>IF(B145="","",IF(O145=0,"",ROUND(U145/O145,2)))</f>
        <v>0</v>
      </c>
      <c r="W145" s="20">
        <f>IF(B145="","",IFERROR(INDEX(Products!$AH$5:$AH$304,MATCH(B145,Products!$A$5:$A$304,0)),""))</f>
        <v>0</v>
      </c>
      <c r="X145" s="20">
        <f>IF(B145="","",IF(OR(V145="",W145=""),"",ROUND(V145-W145,2)))</f>
        <v>0</v>
      </c>
      <c r="Y145" s="33">
        <f>IF(B145="","",IF(OR(X145="",W145="",W145=0),"",X145/W145))</f>
        <v>0</v>
      </c>
      <c r="Z145" s="36">
        <f>IF(B145="","",IF(OR(K145="",G145="",G145=0),"",ROUND(K145*60/G145,1)))</f>
        <v>0</v>
      </c>
      <c r="AA145" s="36">
        <f>IF(B145="","",IF(OR(Z145="",R145=""),"",ROUND(Z145-R145,1)))</f>
        <v>0</v>
      </c>
      <c r="AB145" s="20">
        <f>IF(B145="","",IFERROR(ROUND(O145*INDEX(Products!$AR$5:$AR$304,MATCH(B145,Products!$A$5:$A$304,0)),2),""))</f>
        <v>0</v>
      </c>
      <c r="AC145" s="20">
        <f>IF(B145="","",IF(AB145="","",ROUND(AB145-U145,2)))</f>
        <v>0</v>
      </c>
      <c r="AD145" s="32">
        <f>IF(B145="","",IF(OR(D145="",E145=""),"",E145-D145))</f>
        <v>0</v>
      </c>
      <c r="AE145" s="43">
        <f>IF(B145="","",IF(G145="","Planned - nothing made yet",IF(O145=0,"Check - no good units",IF(AND(Y145&lt;&gt;"",Y145&gt;0.15),"Check - costing 15% more than the estimate",IF(AND(P145&lt;&gt;"",P145&gt;DefaultDefect*2),"Check - high failure rate",IF(AND(AA145&lt;&gt;"",AA145&gt;5),"Check - taking longer than estimated",IF(AC145&lt;0,"Loss - this run lost money","OK")))))))</f>
        <v>0</v>
      </c>
    </row>
    <row r="146" spans="1:31">
      <c r="A146" s="38">
        <f>IF(B146="","",BatchPrefix&amp;TEXT(ROW()-4,"0000"))</f>
        <v>0</v>
      </c>
      <c r="C146" s="13">
        <f>IF(B146="","",IFERROR(INDEX(Products!$B$5:$B$304,MATCH(B146,Products!$A$5:$A$304,0)),"Not found"))</f>
        <v>0</v>
      </c>
      <c r="O146" s="32">
        <f>IF(B146="","",MAX(0,IF(G146="",0,G146)-IF(H146="",0,H146)))</f>
        <v>0</v>
      </c>
      <c r="P146" s="33">
        <f>IF(B146="","",IF(OR(G146="",G146=0),"",IF(H146="",0,H146)/G146))</f>
        <v>0</v>
      </c>
      <c r="Q146" s="20">
        <f>IF(B146="","",IFERROR(INDEX(Products!$T$5:$T$304,MATCH(B146,Products!$A$5:$A$304,0)),""))</f>
        <v>0</v>
      </c>
      <c r="R146" s="36">
        <f>IF(B146="","",IFERROR(INDEX(Products!$X$5:$X$304,MATCH(B146,Products!$A$5:$A$304,0)),""))</f>
        <v>0</v>
      </c>
      <c r="S146" s="20">
        <f>IF(B146="","",ROUND(IF(J146&lt;&gt;"",J146,IF(Q146="",0,Q146)*IF(G146="",0,G146)),2))</f>
        <v>0</v>
      </c>
      <c r="T146" s="20">
        <f>IF(B146="","",ROUND(IF(K146&lt;&gt;"",K146,IF(R146="",0,R146)*IF(G146="",0,G146)/60)*LaborCostHour,2))</f>
        <v>0</v>
      </c>
      <c r="U146" s="20">
        <f>IF(B146="","",ROUND(S146+T146+IF(L146="",0,L146)-IF(I146="",0,I146),2))</f>
        <v>0</v>
      </c>
      <c r="V146" s="20">
        <f>IF(B146="","",IF(O146=0,"",ROUND(U146/O146,2)))</f>
        <v>0</v>
      </c>
      <c r="W146" s="20">
        <f>IF(B146="","",IFERROR(INDEX(Products!$AH$5:$AH$304,MATCH(B146,Products!$A$5:$A$304,0)),""))</f>
        <v>0</v>
      </c>
      <c r="X146" s="20">
        <f>IF(B146="","",IF(OR(V146="",W146=""),"",ROUND(V146-W146,2)))</f>
        <v>0</v>
      </c>
      <c r="Y146" s="33">
        <f>IF(B146="","",IF(OR(X146="",W146="",W146=0),"",X146/W146))</f>
        <v>0</v>
      </c>
      <c r="Z146" s="36">
        <f>IF(B146="","",IF(OR(K146="",G146="",G146=0),"",ROUND(K146*60/G146,1)))</f>
        <v>0</v>
      </c>
      <c r="AA146" s="36">
        <f>IF(B146="","",IF(OR(Z146="",R146=""),"",ROUND(Z146-R146,1)))</f>
        <v>0</v>
      </c>
      <c r="AB146" s="20">
        <f>IF(B146="","",IFERROR(ROUND(O146*INDEX(Products!$AR$5:$AR$304,MATCH(B146,Products!$A$5:$A$304,0)),2),""))</f>
        <v>0</v>
      </c>
      <c r="AC146" s="20">
        <f>IF(B146="","",IF(AB146="","",ROUND(AB146-U146,2)))</f>
        <v>0</v>
      </c>
      <c r="AD146" s="32">
        <f>IF(B146="","",IF(OR(D146="",E146=""),"",E146-D146))</f>
        <v>0</v>
      </c>
      <c r="AE146" s="43">
        <f>IF(B146="","",IF(G146="","Planned - nothing made yet",IF(O146=0,"Check - no good units",IF(AND(Y146&lt;&gt;"",Y146&gt;0.15),"Check - costing 15% more than the estimate",IF(AND(P146&lt;&gt;"",P146&gt;DefaultDefect*2),"Check - high failure rate",IF(AND(AA146&lt;&gt;"",AA146&gt;5),"Check - taking longer than estimated",IF(AC146&lt;0,"Loss - this run lost money","OK")))))))</f>
        <v>0</v>
      </c>
    </row>
    <row r="147" spans="1:31">
      <c r="A147" s="38">
        <f>IF(B147="","",BatchPrefix&amp;TEXT(ROW()-4,"0000"))</f>
        <v>0</v>
      </c>
      <c r="C147" s="13">
        <f>IF(B147="","",IFERROR(INDEX(Products!$B$5:$B$304,MATCH(B147,Products!$A$5:$A$304,0)),"Not found"))</f>
        <v>0</v>
      </c>
      <c r="O147" s="32">
        <f>IF(B147="","",MAX(0,IF(G147="",0,G147)-IF(H147="",0,H147)))</f>
        <v>0</v>
      </c>
      <c r="P147" s="33">
        <f>IF(B147="","",IF(OR(G147="",G147=0),"",IF(H147="",0,H147)/G147))</f>
        <v>0</v>
      </c>
      <c r="Q147" s="20">
        <f>IF(B147="","",IFERROR(INDEX(Products!$T$5:$T$304,MATCH(B147,Products!$A$5:$A$304,0)),""))</f>
        <v>0</v>
      </c>
      <c r="R147" s="36">
        <f>IF(B147="","",IFERROR(INDEX(Products!$X$5:$X$304,MATCH(B147,Products!$A$5:$A$304,0)),""))</f>
        <v>0</v>
      </c>
      <c r="S147" s="20">
        <f>IF(B147="","",ROUND(IF(J147&lt;&gt;"",J147,IF(Q147="",0,Q147)*IF(G147="",0,G147)),2))</f>
        <v>0</v>
      </c>
      <c r="T147" s="20">
        <f>IF(B147="","",ROUND(IF(K147&lt;&gt;"",K147,IF(R147="",0,R147)*IF(G147="",0,G147)/60)*LaborCostHour,2))</f>
        <v>0</v>
      </c>
      <c r="U147" s="20">
        <f>IF(B147="","",ROUND(S147+T147+IF(L147="",0,L147)-IF(I147="",0,I147),2))</f>
        <v>0</v>
      </c>
      <c r="V147" s="20">
        <f>IF(B147="","",IF(O147=0,"",ROUND(U147/O147,2)))</f>
        <v>0</v>
      </c>
      <c r="W147" s="20">
        <f>IF(B147="","",IFERROR(INDEX(Products!$AH$5:$AH$304,MATCH(B147,Products!$A$5:$A$304,0)),""))</f>
        <v>0</v>
      </c>
      <c r="X147" s="20">
        <f>IF(B147="","",IF(OR(V147="",W147=""),"",ROUND(V147-W147,2)))</f>
        <v>0</v>
      </c>
      <c r="Y147" s="33">
        <f>IF(B147="","",IF(OR(X147="",W147="",W147=0),"",X147/W147))</f>
        <v>0</v>
      </c>
      <c r="Z147" s="36">
        <f>IF(B147="","",IF(OR(K147="",G147="",G147=0),"",ROUND(K147*60/G147,1)))</f>
        <v>0</v>
      </c>
      <c r="AA147" s="36">
        <f>IF(B147="","",IF(OR(Z147="",R147=""),"",ROUND(Z147-R147,1)))</f>
        <v>0</v>
      </c>
      <c r="AB147" s="20">
        <f>IF(B147="","",IFERROR(ROUND(O147*INDEX(Products!$AR$5:$AR$304,MATCH(B147,Products!$A$5:$A$304,0)),2),""))</f>
        <v>0</v>
      </c>
      <c r="AC147" s="20">
        <f>IF(B147="","",IF(AB147="","",ROUND(AB147-U147,2)))</f>
        <v>0</v>
      </c>
      <c r="AD147" s="32">
        <f>IF(B147="","",IF(OR(D147="",E147=""),"",E147-D147))</f>
        <v>0</v>
      </c>
      <c r="AE147" s="43">
        <f>IF(B147="","",IF(G147="","Planned - nothing made yet",IF(O147=0,"Check - no good units",IF(AND(Y147&lt;&gt;"",Y147&gt;0.15),"Check - costing 15% more than the estimate",IF(AND(P147&lt;&gt;"",P147&gt;DefaultDefect*2),"Check - high failure rate",IF(AND(AA147&lt;&gt;"",AA147&gt;5),"Check - taking longer than estimated",IF(AC147&lt;0,"Loss - this run lost money","OK")))))))</f>
        <v>0</v>
      </c>
    </row>
    <row r="148" spans="1:31">
      <c r="A148" s="38">
        <f>IF(B148="","",BatchPrefix&amp;TEXT(ROW()-4,"0000"))</f>
        <v>0</v>
      </c>
      <c r="C148" s="13">
        <f>IF(B148="","",IFERROR(INDEX(Products!$B$5:$B$304,MATCH(B148,Products!$A$5:$A$304,0)),"Not found"))</f>
        <v>0</v>
      </c>
      <c r="O148" s="32">
        <f>IF(B148="","",MAX(0,IF(G148="",0,G148)-IF(H148="",0,H148)))</f>
        <v>0</v>
      </c>
      <c r="P148" s="33">
        <f>IF(B148="","",IF(OR(G148="",G148=0),"",IF(H148="",0,H148)/G148))</f>
        <v>0</v>
      </c>
      <c r="Q148" s="20">
        <f>IF(B148="","",IFERROR(INDEX(Products!$T$5:$T$304,MATCH(B148,Products!$A$5:$A$304,0)),""))</f>
        <v>0</v>
      </c>
      <c r="R148" s="36">
        <f>IF(B148="","",IFERROR(INDEX(Products!$X$5:$X$304,MATCH(B148,Products!$A$5:$A$304,0)),""))</f>
        <v>0</v>
      </c>
      <c r="S148" s="20">
        <f>IF(B148="","",ROUND(IF(J148&lt;&gt;"",J148,IF(Q148="",0,Q148)*IF(G148="",0,G148)),2))</f>
        <v>0</v>
      </c>
      <c r="T148" s="20">
        <f>IF(B148="","",ROUND(IF(K148&lt;&gt;"",K148,IF(R148="",0,R148)*IF(G148="",0,G148)/60)*LaborCostHour,2))</f>
        <v>0</v>
      </c>
      <c r="U148" s="20">
        <f>IF(B148="","",ROUND(S148+T148+IF(L148="",0,L148)-IF(I148="",0,I148),2))</f>
        <v>0</v>
      </c>
      <c r="V148" s="20">
        <f>IF(B148="","",IF(O148=0,"",ROUND(U148/O148,2)))</f>
        <v>0</v>
      </c>
      <c r="W148" s="20">
        <f>IF(B148="","",IFERROR(INDEX(Products!$AH$5:$AH$304,MATCH(B148,Products!$A$5:$A$304,0)),""))</f>
        <v>0</v>
      </c>
      <c r="X148" s="20">
        <f>IF(B148="","",IF(OR(V148="",W148=""),"",ROUND(V148-W148,2)))</f>
        <v>0</v>
      </c>
      <c r="Y148" s="33">
        <f>IF(B148="","",IF(OR(X148="",W148="",W148=0),"",X148/W148))</f>
        <v>0</v>
      </c>
      <c r="Z148" s="36">
        <f>IF(B148="","",IF(OR(K148="",G148="",G148=0),"",ROUND(K148*60/G148,1)))</f>
        <v>0</v>
      </c>
      <c r="AA148" s="36">
        <f>IF(B148="","",IF(OR(Z148="",R148=""),"",ROUND(Z148-R148,1)))</f>
        <v>0</v>
      </c>
      <c r="AB148" s="20">
        <f>IF(B148="","",IFERROR(ROUND(O148*INDEX(Products!$AR$5:$AR$304,MATCH(B148,Products!$A$5:$A$304,0)),2),""))</f>
        <v>0</v>
      </c>
      <c r="AC148" s="20">
        <f>IF(B148="","",IF(AB148="","",ROUND(AB148-U148,2)))</f>
        <v>0</v>
      </c>
      <c r="AD148" s="32">
        <f>IF(B148="","",IF(OR(D148="",E148=""),"",E148-D148))</f>
        <v>0</v>
      </c>
      <c r="AE148" s="43">
        <f>IF(B148="","",IF(G148="","Planned - nothing made yet",IF(O148=0,"Check - no good units",IF(AND(Y148&lt;&gt;"",Y148&gt;0.15),"Check - costing 15% more than the estimate",IF(AND(P148&lt;&gt;"",P148&gt;DefaultDefect*2),"Check - high failure rate",IF(AND(AA148&lt;&gt;"",AA148&gt;5),"Check - taking longer than estimated",IF(AC148&lt;0,"Loss - this run lost money","OK")))))))</f>
        <v>0</v>
      </c>
    </row>
    <row r="149" spans="1:31">
      <c r="A149" s="38">
        <f>IF(B149="","",BatchPrefix&amp;TEXT(ROW()-4,"0000"))</f>
        <v>0</v>
      </c>
      <c r="C149" s="13">
        <f>IF(B149="","",IFERROR(INDEX(Products!$B$5:$B$304,MATCH(B149,Products!$A$5:$A$304,0)),"Not found"))</f>
        <v>0</v>
      </c>
      <c r="O149" s="32">
        <f>IF(B149="","",MAX(0,IF(G149="",0,G149)-IF(H149="",0,H149)))</f>
        <v>0</v>
      </c>
      <c r="P149" s="33">
        <f>IF(B149="","",IF(OR(G149="",G149=0),"",IF(H149="",0,H149)/G149))</f>
        <v>0</v>
      </c>
      <c r="Q149" s="20">
        <f>IF(B149="","",IFERROR(INDEX(Products!$T$5:$T$304,MATCH(B149,Products!$A$5:$A$304,0)),""))</f>
        <v>0</v>
      </c>
      <c r="R149" s="36">
        <f>IF(B149="","",IFERROR(INDEX(Products!$X$5:$X$304,MATCH(B149,Products!$A$5:$A$304,0)),""))</f>
        <v>0</v>
      </c>
      <c r="S149" s="20">
        <f>IF(B149="","",ROUND(IF(J149&lt;&gt;"",J149,IF(Q149="",0,Q149)*IF(G149="",0,G149)),2))</f>
        <v>0</v>
      </c>
      <c r="T149" s="20">
        <f>IF(B149="","",ROUND(IF(K149&lt;&gt;"",K149,IF(R149="",0,R149)*IF(G149="",0,G149)/60)*LaborCostHour,2))</f>
        <v>0</v>
      </c>
      <c r="U149" s="20">
        <f>IF(B149="","",ROUND(S149+T149+IF(L149="",0,L149)-IF(I149="",0,I149),2))</f>
        <v>0</v>
      </c>
      <c r="V149" s="20">
        <f>IF(B149="","",IF(O149=0,"",ROUND(U149/O149,2)))</f>
        <v>0</v>
      </c>
      <c r="W149" s="20">
        <f>IF(B149="","",IFERROR(INDEX(Products!$AH$5:$AH$304,MATCH(B149,Products!$A$5:$A$304,0)),""))</f>
        <v>0</v>
      </c>
      <c r="X149" s="20">
        <f>IF(B149="","",IF(OR(V149="",W149=""),"",ROUND(V149-W149,2)))</f>
        <v>0</v>
      </c>
      <c r="Y149" s="33">
        <f>IF(B149="","",IF(OR(X149="",W149="",W149=0),"",X149/W149))</f>
        <v>0</v>
      </c>
      <c r="Z149" s="36">
        <f>IF(B149="","",IF(OR(K149="",G149="",G149=0),"",ROUND(K149*60/G149,1)))</f>
        <v>0</v>
      </c>
      <c r="AA149" s="36">
        <f>IF(B149="","",IF(OR(Z149="",R149=""),"",ROUND(Z149-R149,1)))</f>
        <v>0</v>
      </c>
      <c r="AB149" s="20">
        <f>IF(B149="","",IFERROR(ROUND(O149*INDEX(Products!$AR$5:$AR$304,MATCH(B149,Products!$A$5:$A$304,0)),2),""))</f>
        <v>0</v>
      </c>
      <c r="AC149" s="20">
        <f>IF(B149="","",IF(AB149="","",ROUND(AB149-U149,2)))</f>
        <v>0</v>
      </c>
      <c r="AD149" s="32">
        <f>IF(B149="","",IF(OR(D149="",E149=""),"",E149-D149))</f>
        <v>0</v>
      </c>
      <c r="AE149" s="43">
        <f>IF(B149="","",IF(G149="","Planned - nothing made yet",IF(O149=0,"Check - no good units",IF(AND(Y149&lt;&gt;"",Y149&gt;0.15),"Check - costing 15% more than the estimate",IF(AND(P149&lt;&gt;"",P149&gt;DefaultDefect*2),"Check - high failure rate",IF(AND(AA149&lt;&gt;"",AA149&gt;5),"Check - taking longer than estimated",IF(AC149&lt;0,"Loss - this run lost money","OK")))))))</f>
        <v>0</v>
      </c>
    </row>
    <row r="150" spans="1:31">
      <c r="A150" s="38">
        <f>IF(B150="","",BatchPrefix&amp;TEXT(ROW()-4,"0000"))</f>
        <v>0</v>
      </c>
      <c r="C150" s="13">
        <f>IF(B150="","",IFERROR(INDEX(Products!$B$5:$B$304,MATCH(B150,Products!$A$5:$A$304,0)),"Not found"))</f>
        <v>0</v>
      </c>
      <c r="O150" s="32">
        <f>IF(B150="","",MAX(0,IF(G150="",0,G150)-IF(H150="",0,H150)))</f>
        <v>0</v>
      </c>
      <c r="P150" s="33">
        <f>IF(B150="","",IF(OR(G150="",G150=0),"",IF(H150="",0,H150)/G150))</f>
        <v>0</v>
      </c>
      <c r="Q150" s="20">
        <f>IF(B150="","",IFERROR(INDEX(Products!$T$5:$T$304,MATCH(B150,Products!$A$5:$A$304,0)),""))</f>
        <v>0</v>
      </c>
      <c r="R150" s="36">
        <f>IF(B150="","",IFERROR(INDEX(Products!$X$5:$X$304,MATCH(B150,Products!$A$5:$A$304,0)),""))</f>
        <v>0</v>
      </c>
      <c r="S150" s="20">
        <f>IF(B150="","",ROUND(IF(J150&lt;&gt;"",J150,IF(Q150="",0,Q150)*IF(G150="",0,G150)),2))</f>
        <v>0</v>
      </c>
      <c r="T150" s="20">
        <f>IF(B150="","",ROUND(IF(K150&lt;&gt;"",K150,IF(R150="",0,R150)*IF(G150="",0,G150)/60)*LaborCostHour,2))</f>
        <v>0</v>
      </c>
      <c r="U150" s="20">
        <f>IF(B150="","",ROUND(S150+T150+IF(L150="",0,L150)-IF(I150="",0,I150),2))</f>
        <v>0</v>
      </c>
      <c r="V150" s="20">
        <f>IF(B150="","",IF(O150=0,"",ROUND(U150/O150,2)))</f>
        <v>0</v>
      </c>
      <c r="W150" s="20">
        <f>IF(B150="","",IFERROR(INDEX(Products!$AH$5:$AH$304,MATCH(B150,Products!$A$5:$A$304,0)),""))</f>
        <v>0</v>
      </c>
      <c r="X150" s="20">
        <f>IF(B150="","",IF(OR(V150="",W150=""),"",ROUND(V150-W150,2)))</f>
        <v>0</v>
      </c>
      <c r="Y150" s="33">
        <f>IF(B150="","",IF(OR(X150="",W150="",W150=0),"",X150/W150))</f>
        <v>0</v>
      </c>
      <c r="Z150" s="36">
        <f>IF(B150="","",IF(OR(K150="",G150="",G150=0),"",ROUND(K150*60/G150,1)))</f>
        <v>0</v>
      </c>
      <c r="AA150" s="36">
        <f>IF(B150="","",IF(OR(Z150="",R150=""),"",ROUND(Z150-R150,1)))</f>
        <v>0</v>
      </c>
      <c r="AB150" s="20">
        <f>IF(B150="","",IFERROR(ROUND(O150*INDEX(Products!$AR$5:$AR$304,MATCH(B150,Products!$A$5:$A$304,0)),2),""))</f>
        <v>0</v>
      </c>
      <c r="AC150" s="20">
        <f>IF(B150="","",IF(AB150="","",ROUND(AB150-U150,2)))</f>
        <v>0</v>
      </c>
      <c r="AD150" s="32">
        <f>IF(B150="","",IF(OR(D150="",E150=""),"",E150-D150))</f>
        <v>0</v>
      </c>
      <c r="AE150" s="43">
        <f>IF(B150="","",IF(G150="","Planned - nothing made yet",IF(O150=0,"Check - no good units",IF(AND(Y150&lt;&gt;"",Y150&gt;0.15),"Check - costing 15% more than the estimate",IF(AND(P150&lt;&gt;"",P150&gt;DefaultDefect*2),"Check - high failure rate",IF(AND(AA150&lt;&gt;"",AA150&gt;5),"Check - taking longer than estimated",IF(AC150&lt;0,"Loss - this run lost money","OK")))))))</f>
        <v>0</v>
      </c>
    </row>
    <row r="151" spans="1:31">
      <c r="A151" s="38">
        <f>IF(B151="","",BatchPrefix&amp;TEXT(ROW()-4,"0000"))</f>
        <v>0</v>
      </c>
      <c r="C151" s="13">
        <f>IF(B151="","",IFERROR(INDEX(Products!$B$5:$B$304,MATCH(B151,Products!$A$5:$A$304,0)),"Not found"))</f>
        <v>0</v>
      </c>
      <c r="O151" s="32">
        <f>IF(B151="","",MAX(0,IF(G151="",0,G151)-IF(H151="",0,H151)))</f>
        <v>0</v>
      </c>
      <c r="P151" s="33">
        <f>IF(B151="","",IF(OR(G151="",G151=0),"",IF(H151="",0,H151)/G151))</f>
        <v>0</v>
      </c>
      <c r="Q151" s="20">
        <f>IF(B151="","",IFERROR(INDEX(Products!$T$5:$T$304,MATCH(B151,Products!$A$5:$A$304,0)),""))</f>
        <v>0</v>
      </c>
      <c r="R151" s="36">
        <f>IF(B151="","",IFERROR(INDEX(Products!$X$5:$X$304,MATCH(B151,Products!$A$5:$A$304,0)),""))</f>
        <v>0</v>
      </c>
      <c r="S151" s="20">
        <f>IF(B151="","",ROUND(IF(J151&lt;&gt;"",J151,IF(Q151="",0,Q151)*IF(G151="",0,G151)),2))</f>
        <v>0</v>
      </c>
      <c r="T151" s="20">
        <f>IF(B151="","",ROUND(IF(K151&lt;&gt;"",K151,IF(R151="",0,R151)*IF(G151="",0,G151)/60)*LaborCostHour,2))</f>
        <v>0</v>
      </c>
      <c r="U151" s="20">
        <f>IF(B151="","",ROUND(S151+T151+IF(L151="",0,L151)-IF(I151="",0,I151),2))</f>
        <v>0</v>
      </c>
      <c r="V151" s="20">
        <f>IF(B151="","",IF(O151=0,"",ROUND(U151/O151,2)))</f>
        <v>0</v>
      </c>
      <c r="W151" s="20">
        <f>IF(B151="","",IFERROR(INDEX(Products!$AH$5:$AH$304,MATCH(B151,Products!$A$5:$A$304,0)),""))</f>
        <v>0</v>
      </c>
      <c r="X151" s="20">
        <f>IF(B151="","",IF(OR(V151="",W151=""),"",ROUND(V151-W151,2)))</f>
        <v>0</v>
      </c>
      <c r="Y151" s="33">
        <f>IF(B151="","",IF(OR(X151="",W151="",W151=0),"",X151/W151))</f>
        <v>0</v>
      </c>
      <c r="Z151" s="36">
        <f>IF(B151="","",IF(OR(K151="",G151="",G151=0),"",ROUND(K151*60/G151,1)))</f>
        <v>0</v>
      </c>
      <c r="AA151" s="36">
        <f>IF(B151="","",IF(OR(Z151="",R151=""),"",ROUND(Z151-R151,1)))</f>
        <v>0</v>
      </c>
      <c r="AB151" s="20">
        <f>IF(B151="","",IFERROR(ROUND(O151*INDEX(Products!$AR$5:$AR$304,MATCH(B151,Products!$A$5:$A$304,0)),2),""))</f>
        <v>0</v>
      </c>
      <c r="AC151" s="20">
        <f>IF(B151="","",IF(AB151="","",ROUND(AB151-U151,2)))</f>
        <v>0</v>
      </c>
      <c r="AD151" s="32">
        <f>IF(B151="","",IF(OR(D151="",E151=""),"",E151-D151))</f>
        <v>0</v>
      </c>
      <c r="AE151" s="43">
        <f>IF(B151="","",IF(G151="","Planned - nothing made yet",IF(O151=0,"Check - no good units",IF(AND(Y151&lt;&gt;"",Y151&gt;0.15),"Check - costing 15% more than the estimate",IF(AND(P151&lt;&gt;"",P151&gt;DefaultDefect*2),"Check - high failure rate",IF(AND(AA151&lt;&gt;"",AA151&gt;5),"Check - taking longer than estimated",IF(AC151&lt;0,"Loss - this run lost money","OK")))))))</f>
        <v>0</v>
      </c>
    </row>
    <row r="152" spans="1:31">
      <c r="A152" s="38">
        <f>IF(B152="","",BatchPrefix&amp;TEXT(ROW()-4,"0000"))</f>
        <v>0</v>
      </c>
      <c r="C152" s="13">
        <f>IF(B152="","",IFERROR(INDEX(Products!$B$5:$B$304,MATCH(B152,Products!$A$5:$A$304,0)),"Not found"))</f>
        <v>0</v>
      </c>
      <c r="O152" s="32">
        <f>IF(B152="","",MAX(0,IF(G152="",0,G152)-IF(H152="",0,H152)))</f>
        <v>0</v>
      </c>
      <c r="P152" s="33">
        <f>IF(B152="","",IF(OR(G152="",G152=0),"",IF(H152="",0,H152)/G152))</f>
        <v>0</v>
      </c>
      <c r="Q152" s="20">
        <f>IF(B152="","",IFERROR(INDEX(Products!$T$5:$T$304,MATCH(B152,Products!$A$5:$A$304,0)),""))</f>
        <v>0</v>
      </c>
      <c r="R152" s="36">
        <f>IF(B152="","",IFERROR(INDEX(Products!$X$5:$X$304,MATCH(B152,Products!$A$5:$A$304,0)),""))</f>
        <v>0</v>
      </c>
      <c r="S152" s="20">
        <f>IF(B152="","",ROUND(IF(J152&lt;&gt;"",J152,IF(Q152="",0,Q152)*IF(G152="",0,G152)),2))</f>
        <v>0</v>
      </c>
      <c r="T152" s="20">
        <f>IF(B152="","",ROUND(IF(K152&lt;&gt;"",K152,IF(R152="",0,R152)*IF(G152="",0,G152)/60)*LaborCostHour,2))</f>
        <v>0</v>
      </c>
      <c r="U152" s="20">
        <f>IF(B152="","",ROUND(S152+T152+IF(L152="",0,L152)-IF(I152="",0,I152),2))</f>
        <v>0</v>
      </c>
      <c r="V152" s="20">
        <f>IF(B152="","",IF(O152=0,"",ROUND(U152/O152,2)))</f>
        <v>0</v>
      </c>
      <c r="W152" s="20">
        <f>IF(B152="","",IFERROR(INDEX(Products!$AH$5:$AH$304,MATCH(B152,Products!$A$5:$A$304,0)),""))</f>
        <v>0</v>
      </c>
      <c r="X152" s="20">
        <f>IF(B152="","",IF(OR(V152="",W152=""),"",ROUND(V152-W152,2)))</f>
        <v>0</v>
      </c>
      <c r="Y152" s="33">
        <f>IF(B152="","",IF(OR(X152="",W152="",W152=0),"",X152/W152))</f>
        <v>0</v>
      </c>
      <c r="Z152" s="36">
        <f>IF(B152="","",IF(OR(K152="",G152="",G152=0),"",ROUND(K152*60/G152,1)))</f>
        <v>0</v>
      </c>
      <c r="AA152" s="36">
        <f>IF(B152="","",IF(OR(Z152="",R152=""),"",ROUND(Z152-R152,1)))</f>
        <v>0</v>
      </c>
      <c r="AB152" s="20">
        <f>IF(B152="","",IFERROR(ROUND(O152*INDEX(Products!$AR$5:$AR$304,MATCH(B152,Products!$A$5:$A$304,0)),2),""))</f>
        <v>0</v>
      </c>
      <c r="AC152" s="20">
        <f>IF(B152="","",IF(AB152="","",ROUND(AB152-U152,2)))</f>
        <v>0</v>
      </c>
      <c r="AD152" s="32">
        <f>IF(B152="","",IF(OR(D152="",E152=""),"",E152-D152))</f>
        <v>0</v>
      </c>
      <c r="AE152" s="43">
        <f>IF(B152="","",IF(G152="","Planned - nothing made yet",IF(O152=0,"Check - no good units",IF(AND(Y152&lt;&gt;"",Y152&gt;0.15),"Check - costing 15% more than the estimate",IF(AND(P152&lt;&gt;"",P152&gt;DefaultDefect*2),"Check - high failure rate",IF(AND(AA152&lt;&gt;"",AA152&gt;5),"Check - taking longer than estimated",IF(AC152&lt;0,"Loss - this run lost money","OK")))))))</f>
        <v>0</v>
      </c>
    </row>
    <row r="153" spans="1:31">
      <c r="A153" s="38">
        <f>IF(B153="","",BatchPrefix&amp;TEXT(ROW()-4,"0000"))</f>
        <v>0</v>
      </c>
      <c r="C153" s="13">
        <f>IF(B153="","",IFERROR(INDEX(Products!$B$5:$B$304,MATCH(B153,Products!$A$5:$A$304,0)),"Not found"))</f>
        <v>0</v>
      </c>
      <c r="O153" s="32">
        <f>IF(B153="","",MAX(0,IF(G153="",0,G153)-IF(H153="",0,H153)))</f>
        <v>0</v>
      </c>
      <c r="P153" s="33">
        <f>IF(B153="","",IF(OR(G153="",G153=0),"",IF(H153="",0,H153)/G153))</f>
        <v>0</v>
      </c>
      <c r="Q153" s="20">
        <f>IF(B153="","",IFERROR(INDEX(Products!$T$5:$T$304,MATCH(B153,Products!$A$5:$A$304,0)),""))</f>
        <v>0</v>
      </c>
      <c r="R153" s="36">
        <f>IF(B153="","",IFERROR(INDEX(Products!$X$5:$X$304,MATCH(B153,Products!$A$5:$A$304,0)),""))</f>
        <v>0</v>
      </c>
      <c r="S153" s="20">
        <f>IF(B153="","",ROUND(IF(J153&lt;&gt;"",J153,IF(Q153="",0,Q153)*IF(G153="",0,G153)),2))</f>
        <v>0</v>
      </c>
      <c r="T153" s="20">
        <f>IF(B153="","",ROUND(IF(K153&lt;&gt;"",K153,IF(R153="",0,R153)*IF(G153="",0,G153)/60)*LaborCostHour,2))</f>
        <v>0</v>
      </c>
      <c r="U153" s="20">
        <f>IF(B153="","",ROUND(S153+T153+IF(L153="",0,L153)-IF(I153="",0,I153),2))</f>
        <v>0</v>
      </c>
      <c r="V153" s="20">
        <f>IF(B153="","",IF(O153=0,"",ROUND(U153/O153,2)))</f>
        <v>0</v>
      </c>
      <c r="W153" s="20">
        <f>IF(B153="","",IFERROR(INDEX(Products!$AH$5:$AH$304,MATCH(B153,Products!$A$5:$A$304,0)),""))</f>
        <v>0</v>
      </c>
      <c r="X153" s="20">
        <f>IF(B153="","",IF(OR(V153="",W153=""),"",ROUND(V153-W153,2)))</f>
        <v>0</v>
      </c>
      <c r="Y153" s="33">
        <f>IF(B153="","",IF(OR(X153="",W153="",W153=0),"",X153/W153))</f>
        <v>0</v>
      </c>
      <c r="Z153" s="36">
        <f>IF(B153="","",IF(OR(K153="",G153="",G153=0),"",ROUND(K153*60/G153,1)))</f>
        <v>0</v>
      </c>
      <c r="AA153" s="36">
        <f>IF(B153="","",IF(OR(Z153="",R153=""),"",ROUND(Z153-R153,1)))</f>
        <v>0</v>
      </c>
      <c r="AB153" s="20">
        <f>IF(B153="","",IFERROR(ROUND(O153*INDEX(Products!$AR$5:$AR$304,MATCH(B153,Products!$A$5:$A$304,0)),2),""))</f>
        <v>0</v>
      </c>
      <c r="AC153" s="20">
        <f>IF(B153="","",IF(AB153="","",ROUND(AB153-U153,2)))</f>
        <v>0</v>
      </c>
      <c r="AD153" s="32">
        <f>IF(B153="","",IF(OR(D153="",E153=""),"",E153-D153))</f>
        <v>0</v>
      </c>
      <c r="AE153" s="43">
        <f>IF(B153="","",IF(G153="","Planned - nothing made yet",IF(O153=0,"Check - no good units",IF(AND(Y153&lt;&gt;"",Y153&gt;0.15),"Check - costing 15% more than the estimate",IF(AND(P153&lt;&gt;"",P153&gt;DefaultDefect*2),"Check - high failure rate",IF(AND(AA153&lt;&gt;"",AA153&gt;5),"Check - taking longer than estimated",IF(AC153&lt;0,"Loss - this run lost money","OK")))))))</f>
        <v>0</v>
      </c>
    </row>
    <row r="154" spans="1:31">
      <c r="A154" s="38">
        <f>IF(B154="","",BatchPrefix&amp;TEXT(ROW()-4,"0000"))</f>
        <v>0</v>
      </c>
      <c r="C154" s="13">
        <f>IF(B154="","",IFERROR(INDEX(Products!$B$5:$B$304,MATCH(B154,Products!$A$5:$A$304,0)),"Not found"))</f>
        <v>0</v>
      </c>
      <c r="O154" s="32">
        <f>IF(B154="","",MAX(0,IF(G154="",0,G154)-IF(H154="",0,H154)))</f>
        <v>0</v>
      </c>
      <c r="P154" s="33">
        <f>IF(B154="","",IF(OR(G154="",G154=0),"",IF(H154="",0,H154)/G154))</f>
        <v>0</v>
      </c>
      <c r="Q154" s="20">
        <f>IF(B154="","",IFERROR(INDEX(Products!$T$5:$T$304,MATCH(B154,Products!$A$5:$A$304,0)),""))</f>
        <v>0</v>
      </c>
      <c r="R154" s="36">
        <f>IF(B154="","",IFERROR(INDEX(Products!$X$5:$X$304,MATCH(B154,Products!$A$5:$A$304,0)),""))</f>
        <v>0</v>
      </c>
      <c r="S154" s="20">
        <f>IF(B154="","",ROUND(IF(J154&lt;&gt;"",J154,IF(Q154="",0,Q154)*IF(G154="",0,G154)),2))</f>
        <v>0</v>
      </c>
      <c r="T154" s="20">
        <f>IF(B154="","",ROUND(IF(K154&lt;&gt;"",K154,IF(R154="",0,R154)*IF(G154="",0,G154)/60)*LaborCostHour,2))</f>
        <v>0</v>
      </c>
      <c r="U154" s="20">
        <f>IF(B154="","",ROUND(S154+T154+IF(L154="",0,L154)-IF(I154="",0,I154),2))</f>
        <v>0</v>
      </c>
      <c r="V154" s="20">
        <f>IF(B154="","",IF(O154=0,"",ROUND(U154/O154,2)))</f>
        <v>0</v>
      </c>
      <c r="W154" s="20">
        <f>IF(B154="","",IFERROR(INDEX(Products!$AH$5:$AH$304,MATCH(B154,Products!$A$5:$A$304,0)),""))</f>
        <v>0</v>
      </c>
      <c r="X154" s="20">
        <f>IF(B154="","",IF(OR(V154="",W154=""),"",ROUND(V154-W154,2)))</f>
        <v>0</v>
      </c>
      <c r="Y154" s="33">
        <f>IF(B154="","",IF(OR(X154="",W154="",W154=0),"",X154/W154))</f>
        <v>0</v>
      </c>
      <c r="Z154" s="36">
        <f>IF(B154="","",IF(OR(K154="",G154="",G154=0),"",ROUND(K154*60/G154,1)))</f>
        <v>0</v>
      </c>
      <c r="AA154" s="36">
        <f>IF(B154="","",IF(OR(Z154="",R154=""),"",ROUND(Z154-R154,1)))</f>
        <v>0</v>
      </c>
      <c r="AB154" s="20">
        <f>IF(B154="","",IFERROR(ROUND(O154*INDEX(Products!$AR$5:$AR$304,MATCH(B154,Products!$A$5:$A$304,0)),2),""))</f>
        <v>0</v>
      </c>
      <c r="AC154" s="20">
        <f>IF(B154="","",IF(AB154="","",ROUND(AB154-U154,2)))</f>
        <v>0</v>
      </c>
      <c r="AD154" s="32">
        <f>IF(B154="","",IF(OR(D154="",E154=""),"",E154-D154))</f>
        <v>0</v>
      </c>
      <c r="AE154" s="43">
        <f>IF(B154="","",IF(G154="","Planned - nothing made yet",IF(O154=0,"Check - no good units",IF(AND(Y154&lt;&gt;"",Y154&gt;0.15),"Check - costing 15% more than the estimate",IF(AND(P154&lt;&gt;"",P154&gt;DefaultDefect*2),"Check - high failure rate",IF(AND(AA154&lt;&gt;"",AA154&gt;5),"Check - taking longer than estimated",IF(AC154&lt;0,"Loss - this run lost money","OK")))))))</f>
        <v>0</v>
      </c>
    </row>
    <row r="155" spans="1:31">
      <c r="A155" s="38">
        <f>IF(B155="","",BatchPrefix&amp;TEXT(ROW()-4,"0000"))</f>
        <v>0</v>
      </c>
      <c r="C155" s="13">
        <f>IF(B155="","",IFERROR(INDEX(Products!$B$5:$B$304,MATCH(B155,Products!$A$5:$A$304,0)),"Not found"))</f>
        <v>0</v>
      </c>
      <c r="O155" s="32">
        <f>IF(B155="","",MAX(0,IF(G155="",0,G155)-IF(H155="",0,H155)))</f>
        <v>0</v>
      </c>
      <c r="P155" s="33">
        <f>IF(B155="","",IF(OR(G155="",G155=0),"",IF(H155="",0,H155)/G155))</f>
        <v>0</v>
      </c>
      <c r="Q155" s="20">
        <f>IF(B155="","",IFERROR(INDEX(Products!$T$5:$T$304,MATCH(B155,Products!$A$5:$A$304,0)),""))</f>
        <v>0</v>
      </c>
      <c r="R155" s="36">
        <f>IF(B155="","",IFERROR(INDEX(Products!$X$5:$X$304,MATCH(B155,Products!$A$5:$A$304,0)),""))</f>
        <v>0</v>
      </c>
      <c r="S155" s="20">
        <f>IF(B155="","",ROUND(IF(J155&lt;&gt;"",J155,IF(Q155="",0,Q155)*IF(G155="",0,G155)),2))</f>
        <v>0</v>
      </c>
      <c r="T155" s="20">
        <f>IF(B155="","",ROUND(IF(K155&lt;&gt;"",K155,IF(R155="",0,R155)*IF(G155="",0,G155)/60)*LaborCostHour,2))</f>
        <v>0</v>
      </c>
      <c r="U155" s="20">
        <f>IF(B155="","",ROUND(S155+T155+IF(L155="",0,L155)-IF(I155="",0,I155),2))</f>
        <v>0</v>
      </c>
      <c r="V155" s="20">
        <f>IF(B155="","",IF(O155=0,"",ROUND(U155/O155,2)))</f>
        <v>0</v>
      </c>
      <c r="W155" s="20">
        <f>IF(B155="","",IFERROR(INDEX(Products!$AH$5:$AH$304,MATCH(B155,Products!$A$5:$A$304,0)),""))</f>
        <v>0</v>
      </c>
      <c r="X155" s="20">
        <f>IF(B155="","",IF(OR(V155="",W155=""),"",ROUND(V155-W155,2)))</f>
        <v>0</v>
      </c>
      <c r="Y155" s="33">
        <f>IF(B155="","",IF(OR(X155="",W155="",W155=0),"",X155/W155))</f>
        <v>0</v>
      </c>
      <c r="Z155" s="36">
        <f>IF(B155="","",IF(OR(K155="",G155="",G155=0),"",ROUND(K155*60/G155,1)))</f>
        <v>0</v>
      </c>
      <c r="AA155" s="36">
        <f>IF(B155="","",IF(OR(Z155="",R155=""),"",ROUND(Z155-R155,1)))</f>
        <v>0</v>
      </c>
      <c r="AB155" s="20">
        <f>IF(B155="","",IFERROR(ROUND(O155*INDEX(Products!$AR$5:$AR$304,MATCH(B155,Products!$A$5:$A$304,0)),2),""))</f>
        <v>0</v>
      </c>
      <c r="AC155" s="20">
        <f>IF(B155="","",IF(AB155="","",ROUND(AB155-U155,2)))</f>
        <v>0</v>
      </c>
      <c r="AD155" s="32">
        <f>IF(B155="","",IF(OR(D155="",E155=""),"",E155-D155))</f>
        <v>0</v>
      </c>
      <c r="AE155" s="43">
        <f>IF(B155="","",IF(G155="","Planned - nothing made yet",IF(O155=0,"Check - no good units",IF(AND(Y155&lt;&gt;"",Y155&gt;0.15),"Check - costing 15% more than the estimate",IF(AND(P155&lt;&gt;"",P155&gt;DefaultDefect*2),"Check - high failure rate",IF(AND(AA155&lt;&gt;"",AA155&gt;5),"Check - taking longer than estimated",IF(AC155&lt;0,"Loss - this run lost money","OK")))))))</f>
        <v>0</v>
      </c>
    </row>
    <row r="156" spans="1:31">
      <c r="A156" s="38">
        <f>IF(B156="","",BatchPrefix&amp;TEXT(ROW()-4,"0000"))</f>
        <v>0</v>
      </c>
      <c r="C156" s="13">
        <f>IF(B156="","",IFERROR(INDEX(Products!$B$5:$B$304,MATCH(B156,Products!$A$5:$A$304,0)),"Not found"))</f>
        <v>0</v>
      </c>
      <c r="O156" s="32">
        <f>IF(B156="","",MAX(0,IF(G156="",0,G156)-IF(H156="",0,H156)))</f>
        <v>0</v>
      </c>
      <c r="P156" s="33">
        <f>IF(B156="","",IF(OR(G156="",G156=0),"",IF(H156="",0,H156)/G156))</f>
        <v>0</v>
      </c>
      <c r="Q156" s="20">
        <f>IF(B156="","",IFERROR(INDEX(Products!$T$5:$T$304,MATCH(B156,Products!$A$5:$A$304,0)),""))</f>
        <v>0</v>
      </c>
      <c r="R156" s="36">
        <f>IF(B156="","",IFERROR(INDEX(Products!$X$5:$X$304,MATCH(B156,Products!$A$5:$A$304,0)),""))</f>
        <v>0</v>
      </c>
      <c r="S156" s="20">
        <f>IF(B156="","",ROUND(IF(J156&lt;&gt;"",J156,IF(Q156="",0,Q156)*IF(G156="",0,G156)),2))</f>
        <v>0</v>
      </c>
      <c r="T156" s="20">
        <f>IF(B156="","",ROUND(IF(K156&lt;&gt;"",K156,IF(R156="",0,R156)*IF(G156="",0,G156)/60)*LaborCostHour,2))</f>
        <v>0</v>
      </c>
      <c r="U156" s="20">
        <f>IF(B156="","",ROUND(S156+T156+IF(L156="",0,L156)-IF(I156="",0,I156),2))</f>
        <v>0</v>
      </c>
      <c r="V156" s="20">
        <f>IF(B156="","",IF(O156=0,"",ROUND(U156/O156,2)))</f>
        <v>0</v>
      </c>
      <c r="W156" s="20">
        <f>IF(B156="","",IFERROR(INDEX(Products!$AH$5:$AH$304,MATCH(B156,Products!$A$5:$A$304,0)),""))</f>
        <v>0</v>
      </c>
      <c r="X156" s="20">
        <f>IF(B156="","",IF(OR(V156="",W156=""),"",ROUND(V156-W156,2)))</f>
        <v>0</v>
      </c>
      <c r="Y156" s="33">
        <f>IF(B156="","",IF(OR(X156="",W156="",W156=0),"",X156/W156))</f>
        <v>0</v>
      </c>
      <c r="Z156" s="36">
        <f>IF(B156="","",IF(OR(K156="",G156="",G156=0),"",ROUND(K156*60/G156,1)))</f>
        <v>0</v>
      </c>
      <c r="AA156" s="36">
        <f>IF(B156="","",IF(OR(Z156="",R156=""),"",ROUND(Z156-R156,1)))</f>
        <v>0</v>
      </c>
      <c r="AB156" s="20">
        <f>IF(B156="","",IFERROR(ROUND(O156*INDEX(Products!$AR$5:$AR$304,MATCH(B156,Products!$A$5:$A$304,0)),2),""))</f>
        <v>0</v>
      </c>
      <c r="AC156" s="20">
        <f>IF(B156="","",IF(AB156="","",ROUND(AB156-U156,2)))</f>
        <v>0</v>
      </c>
      <c r="AD156" s="32">
        <f>IF(B156="","",IF(OR(D156="",E156=""),"",E156-D156))</f>
        <v>0</v>
      </c>
      <c r="AE156" s="43">
        <f>IF(B156="","",IF(G156="","Planned - nothing made yet",IF(O156=0,"Check - no good units",IF(AND(Y156&lt;&gt;"",Y156&gt;0.15),"Check - costing 15% more than the estimate",IF(AND(P156&lt;&gt;"",P156&gt;DefaultDefect*2),"Check - high failure rate",IF(AND(AA156&lt;&gt;"",AA156&gt;5),"Check - taking longer than estimated",IF(AC156&lt;0,"Loss - this run lost money","OK")))))))</f>
        <v>0</v>
      </c>
    </row>
    <row r="157" spans="1:31">
      <c r="A157" s="38">
        <f>IF(B157="","",BatchPrefix&amp;TEXT(ROW()-4,"0000"))</f>
        <v>0</v>
      </c>
      <c r="C157" s="13">
        <f>IF(B157="","",IFERROR(INDEX(Products!$B$5:$B$304,MATCH(B157,Products!$A$5:$A$304,0)),"Not found"))</f>
        <v>0</v>
      </c>
      <c r="O157" s="32">
        <f>IF(B157="","",MAX(0,IF(G157="",0,G157)-IF(H157="",0,H157)))</f>
        <v>0</v>
      </c>
      <c r="P157" s="33">
        <f>IF(B157="","",IF(OR(G157="",G157=0),"",IF(H157="",0,H157)/G157))</f>
        <v>0</v>
      </c>
      <c r="Q157" s="20">
        <f>IF(B157="","",IFERROR(INDEX(Products!$T$5:$T$304,MATCH(B157,Products!$A$5:$A$304,0)),""))</f>
        <v>0</v>
      </c>
      <c r="R157" s="36">
        <f>IF(B157="","",IFERROR(INDEX(Products!$X$5:$X$304,MATCH(B157,Products!$A$5:$A$304,0)),""))</f>
        <v>0</v>
      </c>
      <c r="S157" s="20">
        <f>IF(B157="","",ROUND(IF(J157&lt;&gt;"",J157,IF(Q157="",0,Q157)*IF(G157="",0,G157)),2))</f>
        <v>0</v>
      </c>
      <c r="T157" s="20">
        <f>IF(B157="","",ROUND(IF(K157&lt;&gt;"",K157,IF(R157="",0,R157)*IF(G157="",0,G157)/60)*LaborCostHour,2))</f>
        <v>0</v>
      </c>
      <c r="U157" s="20">
        <f>IF(B157="","",ROUND(S157+T157+IF(L157="",0,L157)-IF(I157="",0,I157),2))</f>
        <v>0</v>
      </c>
      <c r="V157" s="20">
        <f>IF(B157="","",IF(O157=0,"",ROUND(U157/O157,2)))</f>
        <v>0</v>
      </c>
      <c r="W157" s="20">
        <f>IF(B157="","",IFERROR(INDEX(Products!$AH$5:$AH$304,MATCH(B157,Products!$A$5:$A$304,0)),""))</f>
        <v>0</v>
      </c>
      <c r="X157" s="20">
        <f>IF(B157="","",IF(OR(V157="",W157=""),"",ROUND(V157-W157,2)))</f>
        <v>0</v>
      </c>
      <c r="Y157" s="33">
        <f>IF(B157="","",IF(OR(X157="",W157="",W157=0),"",X157/W157))</f>
        <v>0</v>
      </c>
      <c r="Z157" s="36">
        <f>IF(B157="","",IF(OR(K157="",G157="",G157=0),"",ROUND(K157*60/G157,1)))</f>
        <v>0</v>
      </c>
      <c r="AA157" s="36">
        <f>IF(B157="","",IF(OR(Z157="",R157=""),"",ROUND(Z157-R157,1)))</f>
        <v>0</v>
      </c>
      <c r="AB157" s="20">
        <f>IF(B157="","",IFERROR(ROUND(O157*INDEX(Products!$AR$5:$AR$304,MATCH(B157,Products!$A$5:$A$304,0)),2),""))</f>
        <v>0</v>
      </c>
      <c r="AC157" s="20">
        <f>IF(B157="","",IF(AB157="","",ROUND(AB157-U157,2)))</f>
        <v>0</v>
      </c>
      <c r="AD157" s="32">
        <f>IF(B157="","",IF(OR(D157="",E157=""),"",E157-D157))</f>
        <v>0</v>
      </c>
      <c r="AE157" s="43">
        <f>IF(B157="","",IF(G157="","Planned - nothing made yet",IF(O157=0,"Check - no good units",IF(AND(Y157&lt;&gt;"",Y157&gt;0.15),"Check - costing 15% more than the estimate",IF(AND(P157&lt;&gt;"",P157&gt;DefaultDefect*2),"Check - high failure rate",IF(AND(AA157&lt;&gt;"",AA157&gt;5),"Check - taking longer than estimated",IF(AC157&lt;0,"Loss - this run lost money","OK")))))))</f>
        <v>0</v>
      </c>
    </row>
    <row r="158" spans="1:31">
      <c r="A158" s="38">
        <f>IF(B158="","",BatchPrefix&amp;TEXT(ROW()-4,"0000"))</f>
        <v>0</v>
      </c>
      <c r="C158" s="13">
        <f>IF(B158="","",IFERROR(INDEX(Products!$B$5:$B$304,MATCH(B158,Products!$A$5:$A$304,0)),"Not found"))</f>
        <v>0</v>
      </c>
      <c r="O158" s="32">
        <f>IF(B158="","",MAX(0,IF(G158="",0,G158)-IF(H158="",0,H158)))</f>
        <v>0</v>
      </c>
      <c r="P158" s="33">
        <f>IF(B158="","",IF(OR(G158="",G158=0),"",IF(H158="",0,H158)/G158))</f>
        <v>0</v>
      </c>
      <c r="Q158" s="20">
        <f>IF(B158="","",IFERROR(INDEX(Products!$T$5:$T$304,MATCH(B158,Products!$A$5:$A$304,0)),""))</f>
        <v>0</v>
      </c>
      <c r="R158" s="36">
        <f>IF(B158="","",IFERROR(INDEX(Products!$X$5:$X$304,MATCH(B158,Products!$A$5:$A$304,0)),""))</f>
        <v>0</v>
      </c>
      <c r="S158" s="20">
        <f>IF(B158="","",ROUND(IF(J158&lt;&gt;"",J158,IF(Q158="",0,Q158)*IF(G158="",0,G158)),2))</f>
        <v>0</v>
      </c>
      <c r="T158" s="20">
        <f>IF(B158="","",ROUND(IF(K158&lt;&gt;"",K158,IF(R158="",0,R158)*IF(G158="",0,G158)/60)*LaborCostHour,2))</f>
        <v>0</v>
      </c>
      <c r="U158" s="20">
        <f>IF(B158="","",ROUND(S158+T158+IF(L158="",0,L158)-IF(I158="",0,I158),2))</f>
        <v>0</v>
      </c>
      <c r="V158" s="20">
        <f>IF(B158="","",IF(O158=0,"",ROUND(U158/O158,2)))</f>
        <v>0</v>
      </c>
      <c r="W158" s="20">
        <f>IF(B158="","",IFERROR(INDEX(Products!$AH$5:$AH$304,MATCH(B158,Products!$A$5:$A$304,0)),""))</f>
        <v>0</v>
      </c>
      <c r="X158" s="20">
        <f>IF(B158="","",IF(OR(V158="",W158=""),"",ROUND(V158-W158,2)))</f>
        <v>0</v>
      </c>
      <c r="Y158" s="33">
        <f>IF(B158="","",IF(OR(X158="",W158="",W158=0),"",X158/W158))</f>
        <v>0</v>
      </c>
      <c r="Z158" s="36">
        <f>IF(B158="","",IF(OR(K158="",G158="",G158=0),"",ROUND(K158*60/G158,1)))</f>
        <v>0</v>
      </c>
      <c r="AA158" s="36">
        <f>IF(B158="","",IF(OR(Z158="",R158=""),"",ROUND(Z158-R158,1)))</f>
        <v>0</v>
      </c>
      <c r="AB158" s="20">
        <f>IF(B158="","",IFERROR(ROUND(O158*INDEX(Products!$AR$5:$AR$304,MATCH(B158,Products!$A$5:$A$304,0)),2),""))</f>
        <v>0</v>
      </c>
      <c r="AC158" s="20">
        <f>IF(B158="","",IF(AB158="","",ROUND(AB158-U158,2)))</f>
        <v>0</v>
      </c>
      <c r="AD158" s="32">
        <f>IF(B158="","",IF(OR(D158="",E158=""),"",E158-D158))</f>
        <v>0</v>
      </c>
      <c r="AE158" s="43">
        <f>IF(B158="","",IF(G158="","Planned - nothing made yet",IF(O158=0,"Check - no good units",IF(AND(Y158&lt;&gt;"",Y158&gt;0.15),"Check - costing 15% more than the estimate",IF(AND(P158&lt;&gt;"",P158&gt;DefaultDefect*2),"Check - high failure rate",IF(AND(AA158&lt;&gt;"",AA158&gt;5),"Check - taking longer than estimated",IF(AC158&lt;0,"Loss - this run lost money","OK")))))))</f>
        <v>0</v>
      </c>
    </row>
    <row r="159" spans="1:31">
      <c r="A159" s="38">
        <f>IF(B159="","",BatchPrefix&amp;TEXT(ROW()-4,"0000"))</f>
        <v>0</v>
      </c>
      <c r="C159" s="13">
        <f>IF(B159="","",IFERROR(INDEX(Products!$B$5:$B$304,MATCH(B159,Products!$A$5:$A$304,0)),"Not found"))</f>
        <v>0</v>
      </c>
      <c r="O159" s="32">
        <f>IF(B159="","",MAX(0,IF(G159="",0,G159)-IF(H159="",0,H159)))</f>
        <v>0</v>
      </c>
      <c r="P159" s="33">
        <f>IF(B159="","",IF(OR(G159="",G159=0),"",IF(H159="",0,H159)/G159))</f>
        <v>0</v>
      </c>
      <c r="Q159" s="20">
        <f>IF(B159="","",IFERROR(INDEX(Products!$T$5:$T$304,MATCH(B159,Products!$A$5:$A$304,0)),""))</f>
        <v>0</v>
      </c>
      <c r="R159" s="36">
        <f>IF(B159="","",IFERROR(INDEX(Products!$X$5:$X$304,MATCH(B159,Products!$A$5:$A$304,0)),""))</f>
        <v>0</v>
      </c>
      <c r="S159" s="20">
        <f>IF(B159="","",ROUND(IF(J159&lt;&gt;"",J159,IF(Q159="",0,Q159)*IF(G159="",0,G159)),2))</f>
        <v>0</v>
      </c>
      <c r="T159" s="20">
        <f>IF(B159="","",ROUND(IF(K159&lt;&gt;"",K159,IF(R159="",0,R159)*IF(G159="",0,G159)/60)*LaborCostHour,2))</f>
        <v>0</v>
      </c>
      <c r="U159" s="20">
        <f>IF(B159="","",ROUND(S159+T159+IF(L159="",0,L159)-IF(I159="",0,I159),2))</f>
        <v>0</v>
      </c>
      <c r="V159" s="20">
        <f>IF(B159="","",IF(O159=0,"",ROUND(U159/O159,2)))</f>
        <v>0</v>
      </c>
      <c r="W159" s="20">
        <f>IF(B159="","",IFERROR(INDEX(Products!$AH$5:$AH$304,MATCH(B159,Products!$A$5:$A$304,0)),""))</f>
        <v>0</v>
      </c>
      <c r="X159" s="20">
        <f>IF(B159="","",IF(OR(V159="",W159=""),"",ROUND(V159-W159,2)))</f>
        <v>0</v>
      </c>
      <c r="Y159" s="33">
        <f>IF(B159="","",IF(OR(X159="",W159="",W159=0),"",X159/W159))</f>
        <v>0</v>
      </c>
      <c r="Z159" s="36">
        <f>IF(B159="","",IF(OR(K159="",G159="",G159=0),"",ROUND(K159*60/G159,1)))</f>
        <v>0</v>
      </c>
      <c r="AA159" s="36">
        <f>IF(B159="","",IF(OR(Z159="",R159=""),"",ROUND(Z159-R159,1)))</f>
        <v>0</v>
      </c>
      <c r="AB159" s="20">
        <f>IF(B159="","",IFERROR(ROUND(O159*INDEX(Products!$AR$5:$AR$304,MATCH(B159,Products!$A$5:$A$304,0)),2),""))</f>
        <v>0</v>
      </c>
      <c r="AC159" s="20">
        <f>IF(B159="","",IF(AB159="","",ROUND(AB159-U159,2)))</f>
        <v>0</v>
      </c>
      <c r="AD159" s="32">
        <f>IF(B159="","",IF(OR(D159="",E159=""),"",E159-D159))</f>
        <v>0</v>
      </c>
      <c r="AE159" s="43">
        <f>IF(B159="","",IF(G159="","Planned - nothing made yet",IF(O159=0,"Check - no good units",IF(AND(Y159&lt;&gt;"",Y159&gt;0.15),"Check - costing 15% more than the estimate",IF(AND(P159&lt;&gt;"",P159&gt;DefaultDefect*2),"Check - high failure rate",IF(AND(AA159&lt;&gt;"",AA159&gt;5),"Check - taking longer than estimated",IF(AC159&lt;0,"Loss - this run lost money","OK")))))))</f>
        <v>0</v>
      </c>
    </row>
    <row r="160" spans="1:31">
      <c r="A160" s="38">
        <f>IF(B160="","",BatchPrefix&amp;TEXT(ROW()-4,"0000"))</f>
        <v>0</v>
      </c>
      <c r="C160" s="13">
        <f>IF(B160="","",IFERROR(INDEX(Products!$B$5:$B$304,MATCH(B160,Products!$A$5:$A$304,0)),"Not found"))</f>
        <v>0</v>
      </c>
      <c r="O160" s="32">
        <f>IF(B160="","",MAX(0,IF(G160="",0,G160)-IF(H160="",0,H160)))</f>
        <v>0</v>
      </c>
      <c r="P160" s="33">
        <f>IF(B160="","",IF(OR(G160="",G160=0),"",IF(H160="",0,H160)/G160))</f>
        <v>0</v>
      </c>
      <c r="Q160" s="20">
        <f>IF(B160="","",IFERROR(INDEX(Products!$T$5:$T$304,MATCH(B160,Products!$A$5:$A$304,0)),""))</f>
        <v>0</v>
      </c>
      <c r="R160" s="36">
        <f>IF(B160="","",IFERROR(INDEX(Products!$X$5:$X$304,MATCH(B160,Products!$A$5:$A$304,0)),""))</f>
        <v>0</v>
      </c>
      <c r="S160" s="20">
        <f>IF(B160="","",ROUND(IF(J160&lt;&gt;"",J160,IF(Q160="",0,Q160)*IF(G160="",0,G160)),2))</f>
        <v>0</v>
      </c>
      <c r="T160" s="20">
        <f>IF(B160="","",ROUND(IF(K160&lt;&gt;"",K160,IF(R160="",0,R160)*IF(G160="",0,G160)/60)*LaborCostHour,2))</f>
        <v>0</v>
      </c>
      <c r="U160" s="20">
        <f>IF(B160="","",ROUND(S160+T160+IF(L160="",0,L160)-IF(I160="",0,I160),2))</f>
        <v>0</v>
      </c>
      <c r="V160" s="20">
        <f>IF(B160="","",IF(O160=0,"",ROUND(U160/O160,2)))</f>
        <v>0</v>
      </c>
      <c r="W160" s="20">
        <f>IF(B160="","",IFERROR(INDEX(Products!$AH$5:$AH$304,MATCH(B160,Products!$A$5:$A$304,0)),""))</f>
        <v>0</v>
      </c>
      <c r="X160" s="20">
        <f>IF(B160="","",IF(OR(V160="",W160=""),"",ROUND(V160-W160,2)))</f>
        <v>0</v>
      </c>
      <c r="Y160" s="33">
        <f>IF(B160="","",IF(OR(X160="",W160="",W160=0),"",X160/W160))</f>
        <v>0</v>
      </c>
      <c r="Z160" s="36">
        <f>IF(B160="","",IF(OR(K160="",G160="",G160=0),"",ROUND(K160*60/G160,1)))</f>
        <v>0</v>
      </c>
      <c r="AA160" s="36">
        <f>IF(B160="","",IF(OR(Z160="",R160=""),"",ROUND(Z160-R160,1)))</f>
        <v>0</v>
      </c>
      <c r="AB160" s="20">
        <f>IF(B160="","",IFERROR(ROUND(O160*INDEX(Products!$AR$5:$AR$304,MATCH(B160,Products!$A$5:$A$304,0)),2),""))</f>
        <v>0</v>
      </c>
      <c r="AC160" s="20">
        <f>IF(B160="","",IF(AB160="","",ROUND(AB160-U160,2)))</f>
        <v>0</v>
      </c>
      <c r="AD160" s="32">
        <f>IF(B160="","",IF(OR(D160="",E160=""),"",E160-D160))</f>
        <v>0</v>
      </c>
      <c r="AE160" s="43">
        <f>IF(B160="","",IF(G160="","Planned - nothing made yet",IF(O160=0,"Check - no good units",IF(AND(Y160&lt;&gt;"",Y160&gt;0.15),"Check - costing 15% more than the estimate",IF(AND(P160&lt;&gt;"",P160&gt;DefaultDefect*2),"Check - high failure rate",IF(AND(AA160&lt;&gt;"",AA160&gt;5),"Check - taking longer than estimated",IF(AC160&lt;0,"Loss - this run lost money","OK")))))))</f>
        <v>0</v>
      </c>
    </row>
    <row r="161" spans="1:31">
      <c r="A161" s="38">
        <f>IF(B161="","",BatchPrefix&amp;TEXT(ROW()-4,"0000"))</f>
        <v>0</v>
      </c>
      <c r="C161" s="13">
        <f>IF(B161="","",IFERROR(INDEX(Products!$B$5:$B$304,MATCH(B161,Products!$A$5:$A$304,0)),"Not found"))</f>
        <v>0</v>
      </c>
      <c r="O161" s="32">
        <f>IF(B161="","",MAX(0,IF(G161="",0,G161)-IF(H161="",0,H161)))</f>
        <v>0</v>
      </c>
      <c r="P161" s="33">
        <f>IF(B161="","",IF(OR(G161="",G161=0),"",IF(H161="",0,H161)/G161))</f>
        <v>0</v>
      </c>
      <c r="Q161" s="20">
        <f>IF(B161="","",IFERROR(INDEX(Products!$T$5:$T$304,MATCH(B161,Products!$A$5:$A$304,0)),""))</f>
        <v>0</v>
      </c>
      <c r="R161" s="36">
        <f>IF(B161="","",IFERROR(INDEX(Products!$X$5:$X$304,MATCH(B161,Products!$A$5:$A$304,0)),""))</f>
        <v>0</v>
      </c>
      <c r="S161" s="20">
        <f>IF(B161="","",ROUND(IF(J161&lt;&gt;"",J161,IF(Q161="",0,Q161)*IF(G161="",0,G161)),2))</f>
        <v>0</v>
      </c>
      <c r="T161" s="20">
        <f>IF(B161="","",ROUND(IF(K161&lt;&gt;"",K161,IF(R161="",0,R161)*IF(G161="",0,G161)/60)*LaborCostHour,2))</f>
        <v>0</v>
      </c>
      <c r="U161" s="20">
        <f>IF(B161="","",ROUND(S161+T161+IF(L161="",0,L161)-IF(I161="",0,I161),2))</f>
        <v>0</v>
      </c>
      <c r="V161" s="20">
        <f>IF(B161="","",IF(O161=0,"",ROUND(U161/O161,2)))</f>
        <v>0</v>
      </c>
      <c r="W161" s="20">
        <f>IF(B161="","",IFERROR(INDEX(Products!$AH$5:$AH$304,MATCH(B161,Products!$A$5:$A$304,0)),""))</f>
        <v>0</v>
      </c>
      <c r="X161" s="20">
        <f>IF(B161="","",IF(OR(V161="",W161=""),"",ROUND(V161-W161,2)))</f>
        <v>0</v>
      </c>
      <c r="Y161" s="33">
        <f>IF(B161="","",IF(OR(X161="",W161="",W161=0),"",X161/W161))</f>
        <v>0</v>
      </c>
      <c r="Z161" s="36">
        <f>IF(B161="","",IF(OR(K161="",G161="",G161=0),"",ROUND(K161*60/G161,1)))</f>
        <v>0</v>
      </c>
      <c r="AA161" s="36">
        <f>IF(B161="","",IF(OR(Z161="",R161=""),"",ROUND(Z161-R161,1)))</f>
        <v>0</v>
      </c>
      <c r="AB161" s="20">
        <f>IF(B161="","",IFERROR(ROUND(O161*INDEX(Products!$AR$5:$AR$304,MATCH(B161,Products!$A$5:$A$304,0)),2),""))</f>
        <v>0</v>
      </c>
      <c r="AC161" s="20">
        <f>IF(B161="","",IF(AB161="","",ROUND(AB161-U161,2)))</f>
        <v>0</v>
      </c>
      <c r="AD161" s="32">
        <f>IF(B161="","",IF(OR(D161="",E161=""),"",E161-D161))</f>
        <v>0</v>
      </c>
      <c r="AE161" s="43">
        <f>IF(B161="","",IF(G161="","Planned - nothing made yet",IF(O161=0,"Check - no good units",IF(AND(Y161&lt;&gt;"",Y161&gt;0.15),"Check - costing 15% more than the estimate",IF(AND(P161&lt;&gt;"",P161&gt;DefaultDefect*2),"Check - high failure rate",IF(AND(AA161&lt;&gt;"",AA161&gt;5),"Check - taking longer than estimated",IF(AC161&lt;0,"Loss - this run lost money","OK")))))))</f>
        <v>0</v>
      </c>
    </row>
    <row r="162" spans="1:31">
      <c r="A162" s="38">
        <f>IF(B162="","",BatchPrefix&amp;TEXT(ROW()-4,"0000"))</f>
        <v>0</v>
      </c>
      <c r="C162" s="13">
        <f>IF(B162="","",IFERROR(INDEX(Products!$B$5:$B$304,MATCH(B162,Products!$A$5:$A$304,0)),"Not found"))</f>
        <v>0</v>
      </c>
      <c r="O162" s="32">
        <f>IF(B162="","",MAX(0,IF(G162="",0,G162)-IF(H162="",0,H162)))</f>
        <v>0</v>
      </c>
      <c r="P162" s="33">
        <f>IF(B162="","",IF(OR(G162="",G162=0),"",IF(H162="",0,H162)/G162))</f>
        <v>0</v>
      </c>
      <c r="Q162" s="20">
        <f>IF(B162="","",IFERROR(INDEX(Products!$T$5:$T$304,MATCH(B162,Products!$A$5:$A$304,0)),""))</f>
        <v>0</v>
      </c>
      <c r="R162" s="36">
        <f>IF(B162="","",IFERROR(INDEX(Products!$X$5:$X$304,MATCH(B162,Products!$A$5:$A$304,0)),""))</f>
        <v>0</v>
      </c>
      <c r="S162" s="20">
        <f>IF(B162="","",ROUND(IF(J162&lt;&gt;"",J162,IF(Q162="",0,Q162)*IF(G162="",0,G162)),2))</f>
        <v>0</v>
      </c>
      <c r="T162" s="20">
        <f>IF(B162="","",ROUND(IF(K162&lt;&gt;"",K162,IF(R162="",0,R162)*IF(G162="",0,G162)/60)*LaborCostHour,2))</f>
        <v>0</v>
      </c>
      <c r="U162" s="20">
        <f>IF(B162="","",ROUND(S162+T162+IF(L162="",0,L162)-IF(I162="",0,I162),2))</f>
        <v>0</v>
      </c>
      <c r="V162" s="20">
        <f>IF(B162="","",IF(O162=0,"",ROUND(U162/O162,2)))</f>
        <v>0</v>
      </c>
      <c r="W162" s="20">
        <f>IF(B162="","",IFERROR(INDEX(Products!$AH$5:$AH$304,MATCH(B162,Products!$A$5:$A$304,0)),""))</f>
        <v>0</v>
      </c>
      <c r="X162" s="20">
        <f>IF(B162="","",IF(OR(V162="",W162=""),"",ROUND(V162-W162,2)))</f>
        <v>0</v>
      </c>
      <c r="Y162" s="33">
        <f>IF(B162="","",IF(OR(X162="",W162="",W162=0),"",X162/W162))</f>
        <v>0</v>
      </c>
      <c r="Z162" s="36">
        <f>IF(B162="","",IF(OR(K162="",G162="",G162=0),"",ROUND(K162*60/G162,1)))</f>
        <v>0</v>
      </c>
      <c r="AA162" s="36">
        <f>IF(B162="","",IF(OR(Z162="",R162=""),"",ROUND(Z162-R162,1)))</f>
        <v>0</v>
      </c>
      <c r="AB162" s="20">
        <f>IF(B162="","",IFERROR(ROUND(O162*INDEX(Products!$AR$5:$AR$304,MATCH(B162,Products!$A$5:$A$304,0)),2),""))</f>
        <v>0</v>
      </c>
      <c r="AC162" s="20">
        <f>IF(B162="","",IF(AB162="","",ROUND(AB162-U162,2)))</f>
        <v>0</v>
      </c>
      <c r="AD162" s="32">
        <f>IF(B162="","",IF(OR(D162="",E162=""),"",E162-D162))</f>
        <v>0</v>
      </c>
      <c r="AE162" s="43">
        <f>IF(B162="","",IF(G162="","Planned - nothing made yet",IF(O162=0,"Check - no good units",IF(AND(Y162&lt;&gt;"",Y162&gt;0.15),"Check - costing 15% more than the estimate",IF(AND(P162&lt;&gt;"",P162&gt;DefaultDefect*2),"Check - high failure rate",IF(AND(AA162&lt;&gt;"",AA162&gt;5),"Check - taking longer than estimated",IF(AC162&lt;0,"Loss - this run lost money","OK")))))))</f>
        <v>0</v>
      </c>
    </row>
    <row r="163" spans="1:31">
      <c r="A163" s="38">
        <f>IF(B163="","",BatchPrefix&amp;TEXT(ROW()-4,"0000"))</f>
        <v>0</v>
      </c>
      <c r="C163" s="13">
        <f>IF(B163="","",IFERROR(INDEX(Products!$B$5:$B$304,MATCH(B163,Products!$A$5:$A$304,0)),"Not found"))</f>
        <v>0</v>
      </c>
      <c r="O163" s="32">
        <f>IF(B163="","",MAX(0,IF(G163="",0,G163)-IF(H163="",0,H163)))</f>
        <v>0</v>
      </c>
      <c r="P163" s="33">
        <f>IF(B163="","",IF(OR(G163="",G163=0),"",IF(H163="",0,H163)/G163))</f>
        <v>0</v>
      </c>
      <c r="Q163" s="20">
        <f>IF(B163="","",IFERROR(INDEX(Products!$T$5:$T$304,MATCH(B163,Products!$A$5:$A$304,0)),""))</f>
        <v>0</v>
      </c>
      <c r="R163" s="36">
        <f>IF(B163="","",IFERROR(INDEX(Products!$X$5:$X$304,MATCH(B163,Products!$A$5:$A$304,0)),""))</f>
        <v>0</v>
      </c>
      <c r="S163" s="20">
        <f>IF(B163="","",ROUND(IF(J163&lt;&gt;"",J163,IF(Q163="",0,Q163)*IF(G163="",0,G163)),2))</f>
        <v>0</v>
      </c>
      <c r="T163" s="20">
        <f>IF(B163="","",ROUND(IF(K163&lt;&gt;"",K163,IF(R163="",0,R163)*IF(G163="",0,G163)/60)*LaborCostHour,2))</f>
        <v>0</v>
      </c>
      <c r="U163" s="20">
        <f>IF(B163="","",ROUND(S163+T163+IF(L163="",0,L163)-IF(I163="",0,I163),2))</f>
        <v>0</v>
      </c>
      <c r="V163" s="20">
        <f>IF(B163="","",IF(O163=0,"",ROUND(U163/O163,2)))</f>
        <v>0</v>
      </c>
      <c r="W163" s="20">
        <f>IF(B163="","",IFERROR(INDEX(Products!$AH$5:$AH$304,MATCH(B163,Products!$A$5:$A$304,0)),""))</f>
        <v>0</v>
      </c>
      <c r="X163" s="20">
        <f>IF(B163="","",IF(OR(V163="",W163=""),"",ROUND(V163-W163,2)))</f>
        <v>0</v>
      </c>
      <c r="Y163" s="33">
        <f>IF(B163="","",IF(OR(X163="",W163="",W163=0),"",X163/W163))</f>
        <v>0</v>
      </c>
      <c r="Z163" s="36">
        <f>IF(B163="","",IF(OR(K163="",G163="",G163=0),"",ROUND(K163*60/G163,1)))</f>
        <v>0</v>
      </c>
      <c r="AA163" s="36">
        <f>IF(B163="","",IF(OR(Z163="",R163=""),"",ROUND(Z163-R163,1)))</f>
        <v>0</v>
      </c>
      <c r="AB163" s="20">
        <f>IF(B163="","",IFERROR(ROUND(O163*INDEX(Products!$AR$5:$AR$304,MATCH(B163,Products!$A$5:$A$304,0)),2),""))</f>
        <v>0</v>
      </c>
      <c r="AC163" s="20">
        <f>IF(B163="","",IF(AB163="","",ROUND(AB163-U163,2)))</f>
        <v>0</v>
      </c>
      <c r="AD163" s="32">
        <f>IF(B163="","",IF(OR(D163="",E163=""),"",E163-D163))</f>
        <v>0</v>
      </c>
      <c r="AE163" s="43">
        <f>IF(B163="","",IF(G163="","Planned - nothing made yet",IF(O163=0,"Check - no good units",IF(AND(Y163&lt;&gt;"",Y163&gt;0.15),"Check - costing 15% more than the estimate",IF(AND(P163&lt;&gt;"",P163&gt;DefaultDefect*2),"Check - high failure rate",IF(AND(AA163&lt;&gt;"",AA163&gt;5),"Check - taking longer than estimated",IF(AC163&lt;0,"Loss - this run lost money","OK")))))))</f>
        <v>0</v>
      </c>
    </row>
    <row r="164" spans="1:31">
      <c r="A164" s="38">
        <f>IF(B164="","",BatchPrefix&amp;TEXT(ROW()-4,"0000"))</f>
        <v>0</v>
      </c>
      <c r="C164" s="13">
        <f>IF(B164="","",IFERROR(INDEX(Products!$B$5:$B$304,MATCH(B164,Products!$A$5:$A$304,0)),"Not found"))</f>
        <v>0</v>
      </c>
      <c r="O164" s="32">
        <f>IF(B164="","",MAX(0,IF(G164="",0,G164)-IF(H164="",0,H164)))</f>
        <v>0</v>
      </c>
      <c r="P164" s="33">
        <f>IF(B164="","",IF(OR(G164="",G164=0),"",IF(H164="",0,H164)/G164))</f>
        <v>0</v>
      </c>
      <c r="Q164" s="20">
        <f>IF(B164="","",IFERROR(INDEX(Products!$T$5:$T$304,MATCH(B164,Products!$A$5:$A$304,0)),""))</f>
        <v>0</v>
      </c>
      <c r="R164" s="36">
        <f>IF(B164="","",IFERROR(INDEX(Products!$X$5:$X$304,MATCH(B164,Products!$A$5:$A$304,0)),""))</f>
        <v>0</v>
      </c>
      <c r="S164" s="20">
        <f>IF(B164="","",ROUND(IF(J164&lt;&gt;"",J164,IF(Q164="",0,Q164)*IF(G164="",0,G164)),2))</f>
        <v>0</v>
      </c>
      <c r="T164" s="20">
        <f>IF(B164="","",ROUND(IF(K164&lt;&gt;"",K164,IF(R164="",0,R164)*IF(G164="",0,G164)/60)*LaborCostHour,2))</f>
        <v>0</v>
      </c>
      <c r="U164" s="20">
        <f>IF(B164="","",ROUND(S164+T164+IF(L164="",0,L164)-IF(I164="",0,I164),2))</f>
        <v>0</v>
      </c>
      <c r="V164" s="20">
        <f>IF(B164="","",IF(O164=0,"",ROUND(U164/O164,2)))</f>
        <v>0</v>
      </c>
      <c r="W164" s="20">
        <f>IF(B164="","",IFERROR(INDEX(Products!$AH$5:$AH$304,MATCH(B164,Products!$A$5:$A$304,0)),""))</f>
        <v>0</v>
      </c>
      <c r="X164" s="20">
        <f>IF(B164="","",IF(OR(V164="",W164=""),"",ROUND(V164-W164,2)))</f>
        <v>0</v>
      </c>
      <c r="Y164" s="33">
        <f>IF(B164="","",IF(OR(X164="",W164="",W164=0),"",X164/W164))</f>
        <v>0</v>
      </c>
      <c r="Z164" s="36">
        <f>IF(B164="","",IF(OR(K164="",G164="",G164=0),"",ROUND(K164*60/G164,1)))</f>
        <v>0</v>
      </c>
      <c r="AA164" s="36">
        <f>IF(B164="","",IF(OR(Z164="",R164=""),"",ROUND(Z164-R164,1)))</f>
        <v>0</v>
      </c>
      <c r="AB164" s="20">
        <f>IF(B164="","",IFERROR(ROUND(O164*INDEX(Products!$AR$5:$AR$304,MATCH(B164,Products!$A$5:$A$304,0)),2),""))</f>
        <v>0</v>
      </c>
      <c r="AC164" s="20">
        <f>IF(B164="","",IF(AB164="","",ROUND(AB164-U164,2)))</f>
        <v>0</v>
      </c>
      <c r="AD164" s="32">
        <f>IF(B164="","",IF(OR(D164="",E164=""),"",E164-D164))</f>
        <v>0</v>
      </c>
      <c r="AE164" s="43">
        <f>IF(B164="","",IF(G164="","Planned - nothing made yet",IF(O164=0,"Check - no good units",IF(AND(Y164&lt;&gt;"",Y164&gt;0.15),"Check - costing 15% more than the estimate",IF(AND(P164&lt;&gt;"",P164&gt;DefaultDefect*2),"Check - high failure rate",IF(AND(AA164&lt;&gt;"",AA164&gt;5),"Check - taking longer than estimated",IF(AC164&lt;0,"Loss - this run lost money","OK")))))))</f>
        <v>0</v>
      </c>
    </row>
    <row r="165" spans="1:31">
      <c r="A165" s="38">
        <f>IF(B165="","",BatchPrefix&amp;TEXT(ROW()-4,"0000"))</f>
        <v>0</v>
      </c>
      <c r="C165" s="13">
        <f>IF(B165="","",IFERROR(INDEX(Products!$B$5:$B$304,MATCH(B165,Products!$A$5:$A$304,0)),"Not found"))</f>
        <v>0</v>
      </c>
      <c r="O165" s="32">
        <f>IF(B165="","",MAX(0,IF(G165="",0,G165)-IF(H165="",0,H165)))</f>
        <v>0</v>
      </c>
      <c r="P165" s="33">
        <f>IF(B165="","",IF(OR(G165="",G165=0),"",IF(H165="",0,H165)/G165))</f>
        <v>0</v>
      </c>
      <c r="Q165" s="20">
        <f>IF(B165="","",IFERROR(INDEX(Products!$T$5:$T$304,MATCH(B165,Products!$A$5:$A$304,0)),""))</f>
        <v>0</v>
      </c>
      <c r="R165" s="36">
        <f>IF(B165="","",IFERROR(INDEX(Products!$X$5:$X$304,MATCH(B165,Products!$A$5:$A$304,0)),""))</f>
        <v>0</v>
      </c>
      <c r="S165" s="20">
        <f>IF(B165="","",ROUND(IF(J165&lt;&gt;"",J165,IF(Q165="",0,Q165)*IF(G165="",0,G165)),2))</f>
        <v>0</v>
      </c>
      <c r="T165" s="20">
        <f>IF(B165="","",ROUND(IF(K165&lt;&gt;"",K165,IF(R165="",0,R165)*IF(G165="",0,G165)/60)*LaborCostHour,2))</f>
        <v>0</v>
      </c>
      <c r="U165" s="20">
        <f>IF(B165="","",ROUND(S165+T165+IF(L165="",0,L165)-IF(I165="",0,I165),2))</f>
        <v>0</v>
      </c>
      <c r="V165" s="20">
        <f>IF(B165="","",IF(O165=0,"",ROUND(U165/O165,2)))</f>
        <v>0</v>
      </c>
      <c r="W165" s="20">
        <f>IF(B165="","",IFERROR(INDEX(Products!$AH$5:$AH$304,MATCH(B165,Products!$A$5:$A$304,0)),""))</f>
        <v>0</v>
      </c>
      <c r="X165" s="20">
        <f>IF(B165="","",IF(OR(V165="",W165=""),"",ROUND(V165-W165,2)))</f>
        <v>0</v>
      </c>
      <c r="Y165" s="33">
        <f>IF(B165="","",IF(OR(X165="",W165="",W165=0),"",X165/W165))</f>
        <v>0</v>
      </c>
      <c r="Z165" s="36">
        <f>IF(B165="","",IF(OR(K165="",G165="",G165=0),"",ROUND(K165*60/G165,1)))</f>
        <v>0</v>
      </c>
      <c r="AA165" s="36">
        <f>IF(B165="","",IF(OR(Z165="",R165=""),"",ROUND(Z165-R165,1)))</f>
        <v>0</v>
      </c>
      <c r="AB165" s="20">
        <f>IF(B165="","",IFERROR(ROUND(O165*INDEX(Products!$AR$5:$AR$304,MATCH(B165,Products!$A$5:$A$304,0)),2),""))</f>
        <v>0</v>
      </c>
      <c r="AC165" s="20">
        <f>IF(B165="","",IF(AB165="","",ROUND(AB165-U165,2)))</f>
        <v>0</v>
      </c>
      <c r="AD165" s="32">
        <f>IF(B165="","",IF(OR(D165="",E165=""),"",E165-D165))</f>
        <v>0</v>
      </c>
      <c r="AE165" s="43">
        <f>IF(B165="","",IF(G165="","Planned - nothing made yet",IF(O165=0,"Check - no good units",IF(AND(Y165&lt;&gt;"",Y165&gt;0.15),"Check - costing 15% more than the estimate",IF(AND(P165&lt;&gt;"",P165&gt;DefaultDefect*2),"Check - high failure rate",IF(AND(AA165&lt;&gt;"",AA165&gt;5),"Check - taking longer than estimated",IF(AC165&lt;0,"Loss - this run lost money","OK")))))))</f>
        <v>0</v>
      </c>
    </row>
    <row r="166" spans="1:31">
      <c r="A166" s="38">
        <f>IF(B166="","",BatchPrefix&amp;TEXT(ROW()-4,"0000"))</f>
        <v>0</v>
      </c>
      <c r="C166" s="13">
        <f>IF(B166="","",IFERROR(INDEX(Products!$B$5:$B$304,MATCH(B166,Products!$A$5:$A$304,0)),"Not found"))</f>
        <v>0</v>
      </c>
      <c r="O166" s="32">
        <f>IF(B166="","",MAX(0,IF(G166="",0,G166)-IF(H166="",0,H166)))</f>
        <v>0</v>
      </c>
      <c r="P166" s="33">
        <f>IF(B166="","",IF(OR(G166="",G166=0),"",IF(H166="",0,H166)/G166))</f>
        <v>0</v>
      </c>
      <c r="Q166" s="20">
        <f>IF(B166="","",IFERROR(INDEX(Products!$T$5:$T$304,MATCH(B166,Products!$A$5:$A$304,0)),""))</f>
        <v>0</v>
      </c>
      <c r="R166" s="36">
        <f>IF(B166="","",IFERROR(INDEX(Products!$X$5:$X$304,MATCH(B166,Products!$A$5:$A$304,0)),""))</f>
        <v>0</v>
      </c>
      <c r="S166" s="20">
        <f>IF(B166="","",ROUND(IF(J166&lt;&gt;"",J166,IF(Q166="",0,Q166)*IF(G166="",0,G166)),2))</f>
        <v>0</v>
      </c>
      <c r="T166" s="20">
        <f>IF(B166="","",ROUND(IF(K166&lt;&gt;"",K166,IF(R166="",0,R166)*IF(G166="",0,G166)/60)*LaborCostHour,2))</f>
        <v>0</v>
      </c>
      <c r="U166" s="20">
        <f>IF(B166="","",ROUND(S166+T166+IF(L166="",0,L166)-IF(I166="",0,I166),2))</f>
        <v>0</v>
      </c>
      <c r="V166" s="20">
        <f>IF(B166="","",IF(O166=0,"",ROUND(U166/O166,2)))</f>
        <v>0</v>
      </c>
      <c r="W166" s="20">
        <f>IF(B166="","",IFERROR(INDEX(Products!$AH$5:$AH$304,MATCH(B166,Products!$A$5:$A$304,0)),""))</f>
        <v>0</v>
      </c>
      <c r="X166" s="20">
        <f>IF(B166="","",IF(OR(V166="",W166=""),"",ROUND(V166-W166,2)))</f>
        <v>0</v>
      </c>
      <c r="Y166" s="33">
        <f>IF(B166="","",IF(OR(X166="",W166="",W166=0),"",X166/W166))</f>
        <v>0</v>
      </c>
      <c r="Z166" s="36">
        <f>IF(B166="","",IF(OR(K166="",G166="",G166=0),"",ROUND(K166*60/G166,1)))</f>
        <v>0</v>
      </c>
      <c r="AA166" s="36">
        <f>IF(B166="","",IF(OR(Z166="",R166=""),"",ROUND(Z166-R166,1)))</f>
        <v>0</v>
      </c>
      <c r="AB166" s="20">
        <f>IF(B166="","",IFERROR(ROUND(O166*INDEX(Products!$AR$5:$AR$304,MATCH(B166,Products!$A$5:$A$304,0)),2),""))</f>
        <v>0</v>
      </c>
      <c r="AC166" s="20">
        <f>IF(B166="","",IF(AB166="","",ROUND(AB166-U166,2)))</f>
        <v>0</v>
      </c>
      <c r="AD166" s="32">
        <f>IF(B166="","",IF(OR(D166="",E166=""),"",E166-D166))</f>
        <v>0</v>
      </c>
      <c r="AE166" s="43">
        <f>IF(B166="","",IF(G166="","Planned - nothing made yet",IF(O166=0,"Check - no good units",IF(AND(Y166&lt;&gt;"",Y166&gt;0.15),"Check - costing 15% more than the estimate",IF(AND(P166&lt;&gt;"",P166&gt;DefaultDefect*2),"Check - high failure rate",IF(AND(AA166&lt;&gt;"",AA166&gt;5),"Check - taking longer than estimated",IF(AC166&lt;0,"Loss - this run lost money","OK")))))))</f>
        <v>0</v>
      </c>
    </row>
    <row r="167" spans="1:31">
      <c r="A167" s="38">
        <f>IF(B167="","",BatchPrefix&amp;TEXT(ROW()-4,"0000"))</f>
        <v>0</v>
      </c>
      <c r="C167" s="13">
        <f>IF(B167="","",IFERROR(INDEX(Products!$B$5:$B$304,MATCH(B167,Products!$A$5:$A$304,0)),"Not found"))</f>
        <v>0</v>
      </c>
      <c r="O167" s="32">
        <f>IF(B167="","",MAX(0,IF(G167="",0,G167)-IF(H167="",0,H167)))</f>
        <v>0</v>
      </c>
      <c r="P167" s="33">
        <f>IF(B167="","",IF(OR(G167="",G167=0),"",IF(H167="",0,H167)/G167))</f>
        <v>0</v>
      </c>
      <c r="Q167" s="20">
        <f>IF(B167="","",IFERROR(INDEX(Products!$T$5:$T$304,MATCH(B167,Products!$A$5:$A$304,0)),""))</f>
        <v>0</v>
      </c>
      <c r="R167" s="36">
        <f>IF(B167="","",IFERROR(INDEX(Products!$X$5:$X$304,MATCH(B167,Products!$A$5:$A$304,0)),""))</f>
        <v>0</v>
      </c>
      <c r="S167" s="20">
        <f>IF(B167="","",ROUND(IF(J167&lt;&gt;"",J167,IF(Q167="",0,Q167)*IF(G167="",0,G167)),2))</f>
        <v>0</v>
      </c>
      <c r="T167" s="20">
        <f>IF(B167="","",ROUND(IF(K167&lt;&gt;"",K167,IF(R167="",0,R167)*IF(G167="",0,G167)/60)*LaborCostHour,2))</f>
        <v>0</v>
      </c>
      <c r="U167" s="20">
        <f>IF(B167="","",ROUND(S167+T167+IF(L167="",0,L167)-IF(I167="",0,I167),2))</f>
        <v>0</v>
      </c>
      <c r="V167" s="20">
        <f>IF(B167="","",IF(O167=0,"",ROUND(U167/O167,2)))</f>
        <v>0</v>
      </c>
      <c r="W167" s="20">
        <f>IF(B167="","",IFERROR(INDEX(Products!$AH$5:$AH$304,MATCH(B167,Products!$A$5:$A$304,0)),""))</f>
        <v>0</v>
      </c>
      <c r="X167" s="20">
        <f>IF(B167="","",IF(OR(V167="",W167=""),"",ROUND(V167-W167,2)))</f>
        <v>0</v>
      </c>
      <c r="Y167" s="33">
        <f>IF(B167="","",IF(OR(X167="",W167="",W167=0),"",X167/W167))</f>
        <v>0</v>
      </c>
      <c r="Z167" s="36">
        <f>IF(B167="","",IF(OR(K167="",G167="",G167=0),"",ROUND(K167*60/G167,1)))</f>
        <v>0</v>
      </c>
      <c r="AA167" s="36">
        <f>IF(B167="","",IF(OR(Z167="",R167=""),"",ROUND(Z167-R167,1)))</f>
        <v>0</v>
      </c>
      <c r="AB167" s="20">
        <f>IF(B167="","",IFERROR(ROUND(O167*INDEX(Products!$AR$5:$AR$304,MATCH(B167,Products!$A$5:$A$304,0)),2),""))</f>
        <v>0</v>
      </c>
      <c r="AC167" s="20">
        <f>IF(B167="","",IF(AB167="","",ROUND(AB167-U167,2)))</f>
        <v>0</v>
      </c>
      <c r="AD167" s="32">
        <f>IF(B167="","",IF(OR(D167="",E167=""),"",E167-D167))</f>
        <v>0</v>
      </c>
      <c r="AE167" s="43">
        <f>IF(B167="","",IF(G167="","Planned - nothing made yet",IF(O167=0,"Check - no good units",IF(AND(Y167&lt;&gt;"",Y167&gt;0.15),"Check - costing 15% more than the estimate",IF(AND(P167&lt;&gt;"",P167&gt;DefaultDefect*2),"Check - high failure rate",IF(AND(AA167&lt;&gt;"",AA167&gt;5),"Check - taking longer than estimated",IF(AC167&lt;0,"Loss - this run lost money","OK")))))))</f>
        <v>0</v>
      </c>
    </row>
    <row r="168" spans="1:31">
      <c r="A168" s="38">
        <f>IF(B168="","",BatchPrefix&amp;TEXT(ROW()-4,"0000"))</f>
        <v>0</v>
      </c>
      <c r="C168" s="13">
        <f>IF(B168="","",IFERROR(INDEX(Products!$B$5:$B$304,MATCH(B168,Products!$A$5:$A$304,0)),"Not found"))</f>
        <v>0</v>
      </c>
      <c r="O168" s="32">
        <f>IF(B168="","",MAX(0,IF(G168="",0,G168)-IF(H168="",0,H168)))</f>
        <v>0</v>
      </c>
      <c r="P168" s="33">
        <f>IF(B168="","",IF(OR(G168="",G168=0),"",IF(H168="",0,H168)/G168))</f>
        <v>0</v>
      </c>
      <c r="Q168" s="20">
        <f>IF(B168="","",IFERROR(INDEX(Products!$T$5:$T$304,MATCH(B168,Products!$A$5:$A$304,0)),""))</f>
        <v>0</v>
      </c>
      <c r="R168" s="36">
        <f>IF(B168="","",IFERROR(INDEX(Products!$X$5:$X$304,MATCH(B168,Products!$A$5:$A$304,0)),""))</f>
        <v>0</v>
      </c>
      <c r="S168" s="20">
        <f>IF(B168="","",ROUND(IF(J168&lt;&gt;"",J168,IF(Q168="",0,Q168)*IF(G168="",0,G168)),2))</f>
        <v>0</v>
      </c>
      <c r="T168" s="20">
        <f>IF(B168="","",ROUND(IF(K168&lt;&gt;"",K168,IF(R168="",0,R168)*IF(G168="",0,G168)/60)*LaborCostHour,2))</f>
        <v>0</v>
      </c>
      <c r="U168" s="20">
        <f>IF(B168="","",ROUND(S168+T168+IF(L168="",0,L168)-IF(I168="",0,I168),2))</f>
        <v>0</v>
      </c>
      <c r="V168" s="20">
        <f>IF(B168="","",IF(O168=0,"",ROUND(U168/O168,2)))</f>
        <v>0</v>
      </c>
      <c r="W168" s="20">
        <f>IF(B168="","",IFERROR(INDEX(Products!$AH$5:$AH$304,MATCH(B168,Products!$A$5:$A$304,0)),""))</f>
        <v>0</v>
      </c>
      <c r="X168" s="20">
        <f>IF(B168="","",IF(OR(V168="",W168=""),"",ROUND(V168-W168,2)))</f>
        <v>0</v>
      </c>
      <c r="Y168" s="33">
        <f>IF(B168="","",IF(OR(X168="",W168="",W168=0),"",X168/W168))</f>
        <v>0</v>
      </c>
      <c r="Z168" s="36">
        <f>IF(B168="","",IF(OR(K168="",G168="",G168=0),"",ROUND(K168*60/G168,1)))</f>
        <v>0</v>
      </c>
      <c r="AA168" s="36">
        <f>IF(B168="","",IF(OR(Z168="",R168=""),"",ROUND(Z168-R168,1)))</f>
        <v>0</v>
      </c>
      <c r="AB168" s="20">
        <f>IF(B168="","",IFERROR(ROUND(O168*INDEX(Products!$AR$5:$AR$304,MATCH(B168,Products!$A$5:$A$304,0)),2),""))</f>
        <v>0</v>
      </c>
      <c r="AC168" s="20">
        <f>IF(B168="","",IF(AB168="","",ROUND(AB168-U168,2)))</f>
        <v>0</v>
      </c>
      <c r="AD168" s="32">
        <f>IF(B168="","",IF(OR(D168="",E168=""),"",E168-D168))</f>
        <v>0</v>
      </c>
      <c r="AE168" s="43">
        <f>IF(B168="","",IF(G168="","Planned - nothing made yet",IF(O168=0,"Check - no good units",IF(AND(Y168&lt;&gt;"",Y168&gt;0.15),"Check - costing 15% more than the estimate",IF(AND(P168&lt;&gt;"",P168&gt;DefaultDefect*2),"Check - high failure rate",IF(AND(AA168&lt;&gt;"",AA168&gt;5),"Check - taking longer than estimated",IF(AC168&lt;0,"Loss - this run lost money","OK")))))))</f>
        <v>0</v>
      </c>
    </row>
    <row r="169" spans="1:31">
      <c r="A169" s="38">
        <f>IF(B169="","",BatchPrefix&amp;TEXT(ROW()-4,"0000"))</f>
        <v>0</v>
      </c>
      <c r="C169" s="13">
        <f>IF(B169="","",IFERROR(INDEX(Products!$B$5:$B$304,MATCH(B169,Products!$A$5:$A$304,0)),"Not found"))</f>
        <v>0</v>
      </c>
      <c r="O169" s="32">
        <f>IF(B169="","",MAX(0,IF(G169="",0,G169)-IF(H169="",0,H169)))</f>
        <v>0</v>
      </c>
      <c r="P169" s="33">
        <f>IF(B169="","",IF(OR(G169="",G169=0),"",IF(H169="",0,H169)/G169))</f>
        <v>0</v>
      </c>
      <c r="Q169" s="20">
        <f>IF(B169="","",IFERROR(INDEX(Products!$T$5:$T$304,MATCH(B169,Products!$A$5:$A$304,0)),""))</f>
        <v>0</v>
      </c>
      <c r="R169" s="36">
        <f>IF(B169="","",IFERROR(INDEX(Products!$X$5:$X$304,MATCH(B169,Products!$A$5:$A$304,0)),""))</f>
        <v>0</v>
      </c>
      <c r="S169" s="20">
        <f>IF(B169="","",ROUND(IF(J169&lt;&gt;"",J169,IF(Q169="",0,Q169)*IF(G169="",0,G169)),2))</f>
        <v>0</v>
      </c>
      <c r="T169" s="20">
        <f>IF(B169="","",ROUND(IF(K169&lt;&gt;"",K169,IF(R169="",0,R169)*IF(G169="",0,G169)/60)*LaborCostHour,2))</f>
        <v>0</v>
      </c>
      <c r="U169" s="20">
        <f>IF(B169="","",ROUND(S169+T169+IF(L169="",0,L169)-IF(I169="",0,I169),2))</f>
        <v>0</v>
      </c>
      <c r="V169" s="20">
        <f>IF(B169="","",IF(O169=0,"",ROUND(U169/O169,2)))</f>
        <v>0</v>
      </c>
      <c r="W169" s="20">
        <f>IF(B169="","",IFERROR(INDEX(Products!$AH$5:$AH$304,MATCH(B169,Products!$A$5:$A$304,0)),""))</f>
        <v>0</v>
      </c>
      <c r="X169" s="20">
        <f>IF(B169="","",IF(OR(V169="",W169=""),"",ROUND(V169-W169,2)))</f>
        <v>0</v>
      </c>
      <c r="Y169" s="33">
        <f>IF(B169="","",IF(OR(X169="",W169="",W169=0),"",X169/W169))</f>
        <v>0</v>
      </c>
      <c r="Z169" s="36">
        <f>IF(B169="","",IF(OR(K169="",G169="",G169=0),"",ROUND(K169*60/G169,1)))</f>
        <v>0</v>
      </c>
      <c r="AA169" s="36">
        <f>IF(B169="","",IF(OR(Z169="",R169=""),"",ROUND(Z169-R169,1)))</f>
        <v>0</v>
      </c>
      <c r="AB169" s="20">
        <f>IF(B169="","",IFERROR(ROUND(O169*INDEX(Products!$AR$5:$AR$304,MATCH(B169,Products!$A$5:$A$304,0)),2),""))</f>
        <v>0</v>
      </c>
      <c r="AC169" s="20">
        <f>IF(B169="","",IF(AB169="","",ROUND(AB169-U169,2)))</f>
        <v>0</v>
      </c>
      <c r="AD169" s="32">
        <f>IF(B169="","",IF(OR(D169="",E169=""),"",E169-D169))</f>
        <v>0</v>
      </c>
      <c r="AE169" s="43">
        <f>IF(B169="","",IF(G169="","Planned - nothing made yet",IF(O169=0,"Check - no good units",IF(AND(Y169&lt;&gt;"",Y169&gt;0.15),"Check - costing 15% more than the estimate",IF(AND(P169&lt;&gt;"",P169&gt;DefaultDefect*2),"Check - high failure rate",IF(AND(AA169&lt;&gt;"",AA169&gt;5),"Check - taking longer than estimated",IF(AC169&lt;0,"Loss - this run lost money","OK")))))))</f>
        <v>0</v>
      </c>
    </row>
    <row r="170" spans="1:31">
      <c r="A170" s="38">
        <f>IF(B170="","",BatchPrefix&amp;TEXT(ROW()-4,"0000"))</f>
        <v>0</v>
      </c>
      <c r="C170" s="13">
        <f>IF(B170="","",IFERROR(INDEX(Products!$B$5:$B$304,MATCH(B170,Products!$A$5:$A$304,0)),"Not found"))</f>
        <v>0</v>
      </c>
      <c r="O170" s="32">
        <f>IF(B170="","",MAX(0,IF(G170="",0,G170)-IF(H170="",0,H170)))</f>
        <v>0</v>
      </c>
      <c r="P170" s="33">
        <f>IF(B170="","",IF(OR(G170="",G170=0),"",IF(H170="",0,H170)/G170))</f>
        <v>0</v>
      </c>
      <c r="Q170" s="20">
        <f>IF(B170="","",IFERROR(INDEX(Products!$T$5:$T$304,MATCH(B170,Products!$A$5:$A$304,0)),""))</f>
        <v>0</v>
      </c>
      <c r="R170" s="36">
        <f>IF(B170="","",IFERROR(INDEX(Products!$X$5:$X$304,MATCH(B170,Products!$A$5:$A$304,0)),""))</f>
        <v>0</v>
      </c>
      <c r="S170" s="20">
        <f>IF(B170="","",ROUND(IF(J170&lt;&gt;"",J170,IF(Q170="",0,Q170)*IF(G170="",0,G170)),2))</f>
        <v>0</v>
      </c>
      <c r="T170" s="20">
        <f>IF(B170="","",ROUND(IF(K170&lt;&gt;"",K170,IF(R170="",0,R170)*IF(G170="",0,G170)/60)*LaborCostHour,2))</f>
        <v>0</v>
      </c>
      <c r="U170" s="20">
        <f>IF(B170="","",ROUND(S170+T170+IF(L170="",0,L170)-IF(I170="",0,I170),2))</f>
        <v>0</v>
      </c>
      <c r="V170" s="20">
        <f>IF(B170="","",IF(O170=0,"",ROUND(U170/O170,2)))</f>
        <v>0</v>
      </c>
      <c r="W170" s="20">
        <f>IF(B170="","",IFERROR(INDEX(Products!$AH$5:$AH$304,MATCH(B170,Products!$A$5:$A$304,0)),""))</f>
        <v>0</v>
      </c>
      <c r="X170" s="20">
        <f>IF(B170="","",IF(OR(V170="",W170=""),"",ROUND(V170-W170,2)))</f>
        <v>0</v>
      </c>
      <c r="Y170" s="33">
        <f>IF(B170="","",IF(OR(X170="",W170="",W170=0),"",X170/W170))</f>
        <v>0</v>
      </c>
      <c r="Z170" s="36">
        <f>IF(B170="","",IF(OR(K170="",G170="",G170=0),"",ROUND(K170*60/G170,1)))</f>
        <v>0</v>
      </c>
      <c r="AA170" s="36">
        <f>IF(B170="","",IF(OR(Z170="",R170=""),"",ROUND(Z170-R170,1)))</f>
        <v>0</v>
      </c>
      <c r="AB170" s="20">
        <f>IF(B170="","",IFERROR(ROUND(O170*INDEX(Products!$AR$5:$AR$304,MATCH(B170,Products!$A$5:$A$304,0)),2),""))</f>
        <v>0</v>
      </c>
      <c r="AC170" s="20">
        <f>IF(B170="","",IF(AB170="","",ROUND(AB170-U170,2)))</f>
        <v>0</v>
      </c>
      <c r="AD170" s="32">
        <f>IF(B170="","",IF(OR(D170="",E170=""),"",E170-D170))</f>
        <v>0</v>
      </c>
      <c r="AE170" s="43">
        <f>IF(B170="","",IF(G170="","Planned - nothing made yet",IF(O170=0,"Check - no good units",IF(AND(Y170&lt;&gt;"",Y170&gt;0.15),"Check - costing 15% more than the estimate",IF(AND(P170&lt;&gt;"",P170&gt;DefaultDefect*2),"Check - high failure rate",IF(AND(AA170&lt;&gt;"",AA170&gt;5),"Check - taking longer than estimated",IF(AC170&lt;0,"Loss - this run lost money","OK")))))))</f>
        <v>0</v>
      </c>
    </row>
    <row r="171" spans="1:31">
      <c r="A171" s="38">
        <f>IF(B171="","",BatchPrefix&amp;TEXT(ROW()-4,"0000"))</f>
        <v>0</v>
      </c>
      <c r="C171" s="13">
        <f>IF(B171="","",IFERROR(INDEX(Products!$B$5:$B$304,MATCH(B171,Products!$A$5:$A$304,0)),"Not found"))</f>
        <v>0</v>
      </c>
      <c r="O171" s="32">
        <f>IF(B171="","",MAX(0,IF(G171="",0,G171)-IF(H171="",0,H171)))</f>
        <v>0</v>
      </c>
      <c r="P171" s="33">
        <f>IF(B171="","",IF(OR(G171="",G171=0),"",IF(H171="",0,H171)/G171))</f>
        <v>0</v>
      </c>
      <c r="Q171" s="20">
        <f>IF(B171="","",IFERROR(INDEX(Products!$T$5:$T$304,MATCH(B171,Products!$A$5:$A$304,0)),""))</f>
        <v>0</v>
      </c>
      <c r="R171" s="36">
        <f>IF(B171="","",IFERROR(INDEX(Products!$X$5:$X$304,MATCH(B171,Products!$A$5:$A$304,0)),""))</f>
        <v>0</v>
      </c>
      <c r="S171" s="20">
        <f>IF(B171="","",ROUND(IF(J171&lt;&gt;"",J171,IF(Q171="",0,Q171)*IF(G171="",0,G171)),2))</f>
        <v>0</v>
      </c>
      <c r="T171" s="20">
        <f>IF(B171="","",ROUND(IF(K171&lt;&gt;"",K171,IF(R171="",0,R171)*IF(G171="",0,G171)/60)*LaborCostHour,2))</f>
        <v>0</v>
      </c>
      <c r="U171" s="20">
        <f>IF(B171="","",ROUND(S171+T171+IF(L171="",0,L171)-IF(I171="",0,I171),2))</f>
        <v>0</v>
      </c>
      <c r="V171" s="20">
        <f>IF(B171="","",IF(O171=0,"",ROUND(U171/O171,2)))</f>
        <v>0</v>
      </c>
      <c r="W171" s="20">
        <f>IF(B171="","",IFERROR(INDEX(Products!$AH$5:$AH$304,MATCH(B171,Products!$A$5:$A$304,0)),""))</f>
        <v>0</v>
      </c>
      <c r="X171" s="20">
        <f>IF(B171="","",IF(OR(V171="",W171=""),"",ROUND(V171-W171,2)))</f>
        <v>0</v>
      </c>
      <c r="Y171" s="33">
        <f>IF(B171="","",IF(OR(X171="",W171="",W171=0),"",X171/W171))</f>
        <v>0</v>
      </c>
      <c r="Z171" s="36">
        <f>IF(B171="","",IF(OR(K171="",G171="",G171=0),"",ROUND(K171*60/G171,1)))</f>
        <v>0</v>
      </c>
      <c r="AA171" s="36">
        <f>IF(B171="","",IF(OR(Z171="",R171=""),"",ROUND(Z171-R171,1)))</f>
        <v>0</v>
      </c>
      <c r="AB171" s="20">
        <f>IF(B171="","",IFERROR(ROUND(O171*INDEX(Products!$AR$5:$AR$304,MATCH(B171,Products!$A$5:$A$304,0)),2),""))</f>
        <v>0</v>
      </c>
      <c r="AC171" s="20">
        <f>IF(B171="","",IF(AB171="","",ROUND(AB171-U171,2)))</f>
        <v>0</v>
      </c>
      <c r="AD171" s="32">
        <f>IF(B171="","",IF(OR(D171="",E171=""),"",E171-D171))</f>
        <v>0</v>
      </c>
      <c r="AE171" s="43">
        <f>IF(B171="","",IF(G171="","Planned - nothing made yet",IF(O171=0,"Check - no good units",IF(AND(Y171&lt;&gt;"",Y171&gt;0.15),"Check - costing 15% more than the estimate",IF(AND(P171&lt;&gt;"",P171&gt;DefaultDefect*2),"Check - high failure rate",IF(AND(AA171&lt;&gt;"",AA171&gt;5),"Check - taking longer than estimated",IF(AC171&lt;0,"Loss - this run lost money","OK")))))))</f>
        <v>0</v>
      </c>
    </row>
    <row r="172" spans="1:31">
      <c r="A172" s="38">
        <f>IF(B172="","",BatchPrefix&amp;TEXT(ROW()-4,"0000"))</f>
        <v>0</v>
      </c>
      <c r="C172" s="13">
        <f>IF(B172="","",IFERROR(INDEX(Products!$B$5:$B$304,MATCH(B172,Products!$A$5:$A$304,0)),"Not found"))</f>
        <v>0</v>
      </c>
      <c r="O172" s="32">
        <f>IF(B172="","",MAX(0,IF(G172="",0,G172)-IF(H172="",0,H172)))</f>
        <v>0</v>
      </c>
      <c r="P172" s="33">
        <f>IF(B172="","",IF(OR(G172="",G172=0),"",IF(H172="",0,H172)/G172))</f>
        <v>0</v>
      </c>
      <c r="Q172" s="20">
        <f>IF(B172="","",IFERROR(INDEX(Products!$T$5:$T$304,MATCH(B172,Products!$A$5:$A$304,0)),""))</f>
        <v>0</v>
      </c>
      <c r="R172" s="36">
        <f>IF(B172="","",IFERROR(INDEX(Products!$X$5:$X$304,MATCH(B172,Products!$A$5:$A$304,0)),""))</f>
        <v>0</v>
      </c>
      <c r="S172" s="20">
        <f>IF(B172="","",ROUND(IF(J172&lt;&gt;"",J172,IF(Q172="",0,Q172)*IF(G172="",0,G172)),2))</f>
        <v>0</v>
      </c>
      <c r="T172" s="20">
        <f>IF(B172="","",ROUND(IF(K172&lt;&gt;"",K172,IF(R172="",0,R172)*IF(G172="",0,G172)/60)*LaborCostHour,2))</f>
        <v>0</v>
      </c>
      <c r="U172" s="20">
        <f>IF(B172="","",ROUND(S172+T172+IF(L172="",0,L172)-IF(I172="",0,I172),2))</f>
        <v>0</v>
      </c>
      <c r="V172" s="20">
        <f>IF(B172="","",IF(O172=0,"",ROUND(U172/O172,2)))</f>
        <v>0</v>
      </c>
      <c r="W172" s="20">
        <f>IF(B172="","",IFERROR(INDEX(Products!$AH$5:$AH$304,MATCH(B172,Products!$A$5:$A$304,0)),""))</f>
        <v>0</v>
      </c>
      <c r="X172" s="20">
        <f>IF(B172="","",IF(OR(V172="",W172=""),"",ROUND(V172-W172,2)))</f>
        <v>0</v>
      </c>
      <c r="Y172" s="33">
        <f>IF(B172="","",IF(OR(X172="",W172="",W172=0),"",X172/W172))</f>
        <v>0</v>
      </c>
      <c r="Z172" s="36">
        <f>IF(B172="","",IF(OR(K172="",G172="",G172=0),"",ROUND(K172*60/G172,1)))</f>
        <v>0</v>
      </c>
      <c r="AA172" s="36">
        <f>IF(B172="","",IF(OR(Z172="",R172=""),"",ROUND(Z172-R172,1)))</f>
        <v>0</v>
      </c>
      <c r="AB172" s="20">
        <f>IF(B172="","",IFERROR(ROUND(O172*INDEX(Products!$AR$5:$AR$304,MATCH(B172,Products!$A$5:$A$304,0)),2),""))</f>
        <v>0</v>
      </c>
      <c r="AC172" s="20">
        <f>IF(B172="","",IF(AB172="","",ROUND(AB172-U172,2)))</f>
        <v>0</v>
      </c>
      <c r="AD172" s="32">
        <f>IF(B172="","",IF(OR(D172="",E172=""),"",E172-D172))</f>
        <v>0</v>
      </c>
      <c r="AE172" s="43">
        <f>IF(B172="","",IF(G172="","Planned - nothing made yet",IF(O172=0,"Check - no good units",IF(AND(Y172&lt;&gt;"",Y172&gt;0.15),"Check - costing 15% more than the estimate",IF(AND(P172&lt;&gt;"",P172&gt;DefaultDefect*2),"Check - high failure rate",IF(AND(AA172&lt;&gt;"",AA172&gt;5),"Check - taking longer than estimated",IF(AC172&lt;0,"Loss - this run lost money","OK")))))))</f>
        <v>0</v>
      </c>
    </row>
    <row r="173" spans="1:31">
      <c r="A173" s="38">
        <f>IF(B173="","",BatchPrefix&amp;TEXT(ROW()-4,"0000"))</f>
        <v>0</v>
      </c>
      <c r="C173" s="13">
        <f>IF(B173="","",IFERROR(INDEX(Products!$B$5:$B$304,MATCH(B173,Products!$A$5:$A$304,0)),"Not found"))</f>
        <v>0</v>
      </c>
      <c r="O173" s="32">
        <f>IF(B173="","",MAX(0,IF(G173="",0,G173)-IF(H173="",0,H173)))</f>
        <v>0</v>
      </c>
      <c r="P173" s="33">
        <f>IF(B173="","",IF(OR(G173="",G173=0),"",IF(H173="",0,H173)/G173))</f>
        <v>0</v>
      </c>
      <c r="Q173" s="20">
        <f>IF(B173="","",IFERROR(INDEX(Products!$T$5:$T$304,MATCH(B173,Products!$A$5:$A$304,0)),""))</f>
        <v>0</v>
      </c>
      <c r="R173" s="36">
        <f>IF(B173="","",IFERROR(INDEX(Products!$X$5:$X$304,MATCH(B173,Products!$A$5:$A$304,0)),""))</f>
        <v>0</v>
      </c>
      <c r="S173" s="20">
        <f>IF(B173="","",ROUND(IF(J173&lt;&gt;"",J173,IF(Q173="",0,Q173)*IF(G173="",0,G173)),2))</f>
        <v>0</v>
      </c>
      <c r="T173" s="20">
        <f>IF(B173="","",ROUND(IF(K173&lt;&gt;"",K173,IF(R173="",0,R173)*IF(G173="",0,G173)/60)*LaborCostHour,2))</f>
        <v>0</v>
      </c>
      <c r="U173" s="20">
        <f>IF(B173="","",ROUND(S173+T173+IF(L173="",0,L173)-IF(I173="",0,I173),2))</f>
        <v>0</v>
      </c>
      <c r="V173" s="20">
        <f>IF(B173="","",IF(O173=0,"",ROUND(U173/O173,2)))</f>
        <v>0</v>
      </c>
      <c r="W173" s="20">
        <f>IF(B173="","",IFERROR(INDEX(Products!$AH$5:$AH$304,MATCH(B173,Products!$A$5:$A$304,0)),""))</f>
        <v>0</v>
      </c>
      <c r="X173" s="20">
        <f>IF(B173="","",IF(OR(V173="",W173=""),"",ROUND(V173-W173,2)))</f>
        <v>0</v>
      </c>
      <c r="Y173" s="33">
        <f>IF(B173="","",IF(OR(X173="",W173="",W173=0),"",X173/W173))</f>
        <v>0</v>
      </c>
      <c r="Z173" s="36">
        <f>IF(B173="","",IF(OR(K173="",G173="",G173=0),"",ROUND(K173*60/G173,1)))</f>
        <v>0</v>
      </c>
      <c r="AA173" s="36">
        <f>IF(B173="","",IF(OR(Z173="",R173=""),"",ROUND(Z173-R173,1)))</f>
        <v>0</v>
      </c>
      <c r="AB173" s="20">
        <f>IF(B173="","",IFERROR(ROUND(O173*INDEX(Products!$AR$5:$AR$304,MATCH(B173,Products!$A$5:$A$304,0)),2),""))</f>
        <v>0</v>
      </c>
      <c r="AC173" s="20">
        <f>IF(B173="","",IF(AB173="","",ROUND(AB173-U173,2)))</f>
        <v>0</v>
      </c>
      <c r="AD173" s="32">
        <f>IF(B173="","",IF(OR(D173="",E173=""),"",E173-D173))</f>
        <v>0</v>
      </c>
      <c r="AE173" s="43">
        <f>IF(B173="","",IF(G173="","Planned - nothing made yet",IF(O173=0,"Check - no good units",IF(AND(Y173&lt;&gt;"",Y173&gt;0.15),"Check - costing 15% more than the estimate",IF(AND(P173&lt;&gt;"",P173&gt;DefaultDefect*2),"Check - high failure rate",IF(AND(AA173&lt;&gt;"",AA173&gt;5),"Check - taking longer than estimated",IF(AC173&lt;0,"Loss - this run lost money","OK")))))))</f>
        <v>0</v>
      </c>
    </row>
    <row r="174" spans="1:31">
      <c r="A174" s="38">
        <f>IF(B174="","",BatchPrefix&amp;TEXT(ROW()-4,"0000"))</f>
        <v>0</v>
      </c>
      <c r="C174" s="13">
        <f>IF(B174="","",IFERROR(INDEX(Products!$B$5:$B$304,MATCH(B174,Products!$A$5:$A$304,0)),"Not found"))</f>
        <v>0</v>
      </c>
      <c r="O174" s="32">
        <f>IF(B174="","",MAX(0,IF(G174="",0,G174)-IF(H174="",0,H174)))</f>
        <v>0</v>
      </c>
      <c r="P174" s="33">
        <f>IF(B174="","",IF(OR(G174="",G174=0),"",IF(H174="",0,H174)/G174))</f>
        <v>0</v>
      </c>
      <c r="Q174" s="20">
        <f>IF(B174="","",IFERROR(INDEX(Products!$T$5:$T$304,MATCH(B174,Products!$A$5:$A$304,0)),""))</f>
        <v>0</v>
      </c>
      <c r="R174" s="36">
        <f>IF(B174="","",IFERROR(INDEX(Products!$X$5:$X$304,MATCH(B174,Products!$A$5:$A$304,0)),""))</f>
        <v>0</v>
      </c>
      <c r="S174" s="20">
        <f>IF(B174="","",ROUND(IF(J174&lt;&gt;"",J174,IF(Q174="",0,Q174)*IF(G174="",0,G174)),2))</f>
        <v>0</v>
      </c>
      <c r="T174" s="20">
        <f>IF(B174="","",ROUND(IF(K174&lt;&gt;"",K174,IF(R174="",0,R174)*IF(G174="",0,G174)/60)*LaborCostHour,2))</f>
        <v>0</v>
      </c>
      <c r="U174" s="20">
        <f>IF(B174="","",ROUND(S174+T174+IF(L174="",0,L174)-IF(I174="",0,I174),2))</f>
        <v>0</v>
      </c>
      <c r="V174" s="20">
        <f>IF(B174="","",IF(O174=0,"",ROUND(U174/O174,2)))</f>
        <v>0</v>
      </c>
      <c r="W174" s="20">
        <f>IF(B174="","",IFERROR(INDEX(Products!$AH$5:$AH$304,MATCH(B174,Products!$A$5:$A$304,0)),""))</f>
        <v>0</v>
      </c>
      <c r="X174" s="20">
        <f>IF(B174="","",IF(OR(V174="",W174=""),"",ROUND(V174-W174,2)))</f>
        <v>0</v>
      </c>
      <c r="Y174" s="33">
        <f>IF(B174="","",IF(OR(X174="",W174="",W174=0),"",X174/W174))</f>
        <v>0</v>
      </c>
      <c r="Z174" s="36">
        <f>IF(B174="","",IF(OR(K174="",G174="",G174=0),"",ROUND(K174*60/G174,1)))</f>
        <v>0</v>
      </c>
      <c r="AA174" s="36">
        <f>IF(B174="","",IF(OR(Z174="",R174=""),"",ROUND(Z174-R174,1)))</f>
        <v>0</v>
      </c>
      <c r="AB174" s="20">
        <f>IF(B174="","",IFERROR(ROUND(O174*INDEX(Products!$AR$5:$AR$304,MATCH(B174,Products!$A$5:$A$304,0)),2),""))</f>
        <v>0</v>
      </c>
      <c r="AC174" s="20">
        <f>IF(B174="","",IF(AB174="","",ROUND(AB174-U174,2)))</f>
        <v>0</v>
      </c>
      <c r="AD174" s="32">
        <f>IF(B174="","",IF(OR(D174="",E174=""),"",E174-D174))</f>
        <v>0</v>
      </c>
      <c r="AE174" s="43">
        <f>IF(B174="","",IF(G174="","Planned - nothing made yet",IF(O174=0,"Check - no good units",IF(AND(Y174&lt;&gt;"",Y174&gt;0.15),"Check - costing 15% more than the estimate",IF(AND(P174&lt;&gt;"",P174&gt;DefaultDefect*2),"Check - high failure rate",IF(AND(AA174&lt;&gt;"",AA174&gt;5),"Check - taking longer than estimated",IF(AC174&lt;0,"Loss - this run lost money","OK")))))))</f>
        <v>0</v>
      </c>
    </row>
    <row r="175" spans="1:31">
      <c r="A175" s="38">
        <f>IF(B175="","",BatchPrefix&amp;TEXT(ROW()-4,"0000"))</f>
        <v>0</v>
      </c>
      <c r="C175" s="13">
        <f>IF(B175="","",IFERROR(INDEX(Products!$B$5:$B$304,MATCH(B175,Products!$A$5:$A$304,0)),"Not found"))</f>
        <v>0</v>
      </c>
      <c r="O175" s="32">
        <f>IF(B175="","",MAX(0,IF(G175="",0,G175)-IF(H175="",0,H175)))</f>
        <v>0</v>
      </c>
      <c r="P175" s="33">
        <f>IF(B175="","",IF(OR(G175="",G175=0),"",IF(H175="",0,H175)/G175))</f>
        <v>0</v>
      </c>
      <c r="Q175" s="20">
        <f>IF(B175="","",IFERROR(INDEX(Products!$T$5:$T$304,MATCH(B175,Products!$A$5:$A$304,0)),""))</f>
        <v>0</v>
      </c>
      <c r="R175" s="36">
        <f>IF(B175="","",IFERROR(INDEX(Products!$X$5:$X$304,MATCH(B175,Products!$A$5:$A$304,0)),""))</f>
        <v>0</v>
      </c>
      <c r="S175" s="20">
        <f>IF(B175="","",ROUND(IF(J175&lt;&gt;"",J175,IF(Q175="",0,Q175)*IF(G175="",0,G175)),2))</f>
        <v>0</v>
      </c>
      <c r="T175" s="20">
        <f>IF(B175="","",ROUND(IF(K175&lt;&gt;"",K175,IF(R175="",0,R175)*IF(G175="",0,G175)/60)*LaborCostHour,2))</f>
        <v>0</v>
      </c>
      <c r="U175" s="20">
        <f>IF(B175="","",ROUND(S175+T175+IF(L175="",0,L175)-IF(I175="",0,I175),2))</f>
        <v>0</v>
      </c>
      <c r="V175" s="20">
        <f>IF(B175="","",IF(O175=0,"",ROUND(U175/O175,2)))</f>
        <v>0</v>
      </c>
      <c r="W175" s="20">
        <f>IF(B175="","",IFERROR(INDEX(Products!$AH$5:$AH$304,MATCH(B175,Products!$A$5:$A$304,0)),""))</f>
        <v>0</v>
      </c>
      <c r="X175" s="20">
        <f>IF(B175="","",IF(OR(V175="",W175=""),"",ROUND(V175-W175,2)))</f>
        <v>0</v>
      </c>
      <c r="Y175" s="33">
        <f>IF(B175="","",IF(OR(X175="",W175="",W175=0),"",X175/W175))</f>
        <v>0</v>
      </c>
      <c r="Z175" s="36">
        <f>IF(B175="","",IF(OR(K175="",G175="",G175=0),"",ROUND(K175*60/G175,1)))</f>
        <v>0</v>
      </c>
      <c r="AA175" s="36">
        <f>IF(B175="","",IF(OR(Z175="",R175=""),"",ROUND(Z175-R175,1)))</f>
        <v>0</v>
      </c>
      <c r="AB175" s="20">
        <f>IF(B175="","",IFERROR(ROUND(O175*INDEX(Products!$AR$5:$AR$304,MATCH(B175,Products!$A$5:$A$304,0)),2),""))</f>
        <v>0</v>
      </c>
      <c r="AC175" s="20">
        <f>IF(B175="","",IF(AB175="","",ROUND(AB175-U175,2)))</f>
        <v>0</v>
      </c>
      <c r="AD175" s="32">
        <f>IF(B175="","",IF(OR(D175="",E175=""),"",E175-D175))</f>
        <v>0</v>
      </c>
      <c r="AE175" s="43">
        <f>IF(B175="","",IF(G175="","Planned - nothing made yet",IF(O175=0,"Check - no good units",IF(AND(Y175&lt;&gt;"",Y175&gt;0.15),"Check - costing 15% more than the estimate",IF(AND(P175&lt;&gt;"",P175&gt;DefaultDefect*2),"Check - high failure rate",IF(AND(AA175&lt;&gt;"",AA175&gt;5),"Check - taking longer than estimated",IF(AC175&lt;0,"Loss - this run lost money","OK")))))))</f>
        <v>0</v>
      </c>
    </row>
    <row r="176" spans="1:31">
      <c r="A176" s="38">
        <f>IF(B176="","",BatchPrefix&amp;TEXT(ROW()-4,"0000"))</f>
        <v>0</v>
      </c>
      <c r="C176" s="13">
        <f>IF(B176="","",IFERROR(INDEX(Products!$B$5:$B$304,MATCH(B176,Products!$A$5:$A$304,0)),"Not found"))</f>
        <v>0</v>
      </c>
      <c r="O176" s="32">
        <f>IF(B176="","",MAX(0,IF(G176="",0,G176)-IF(H176="",0,H176)))</f>
        <v>0</v>
      </c>
      <c r="P176" s="33">
        <f>IF(B176="","",IF(OR(G176="",G176=0),"",IF(H176="",0,H176)/G176))</f>
        <v>0</v>
      </c>
      <c r="Q176" s="20">
        <f>IF(B176="","",IFERROR(INDEX(Products!$T$5:$T$304,MATCH(B176,Products!$A$5:$A$304,0)),""))</f>
        <v>0</v>
      </c>
      <c r="R176" s="36">
        <f>IF(B176="","",IFERROR(INDEX(Products!$X$5:$X$304,MATCH(B176,Products!$A$5:$A$304,0)),""))</f>
        <v>0</v>
      </c>
      <c r="S176" s="20">
        <f>IF(B176="","",ROUND(IF(J176&lt;&gt;"",J176,IF(Q176="",0,Q176)*IF(G176="",0,G176)),2))</f>
        <v>0</v>
      </c>
      <c r="T176" s="20">
        <f>IF(B176="","",ROUND(IF(K176&lt;&gt;"",K176,IF(R176="",0,R176)*IF(G176="",0,G176)/60)*LaborCostHour,2))</f>
        <v>0</v>
      </c>
      <c r="U176" s="20">
        <f>IF(B176="","",ROUND(S176+T176+IF(L176="",0,L176)-IF(I176="",0,I176),2))</f>
        <v>0</v>
      </c>
      <c r="V176" s="20">
        <f>IF(B176="","",IF(O176=0,"",ROUND(U176/O176,2)))</f>
        <v>0</v>
      </c>
      <c r="W176" s="20">
        <f>IF(B176="","",IFERROR(INDEX(Products!$AH$5:$AH$304,MATCH(B176,Products!$A$5:$A$304,0)),""))</f>
        <v>0</v>
      </c>
      <c r="X176" s="20">
        <f>IF(B176="","",IF(OR(V176="",W176=""),"",ROUND(V176-W176,2)))</f>
        <v>0</v>
      </c>
      <c r="Y176" s="33">
        <f>IF(B176="","",IF(OR(X176="",W176="",W176=0),"",X176/W176))</f>
        <v>0</v>
      </c>
      <c r="Z176" s="36">
        <f>IF(B176="","",IF(OR(K176="",G176="",G176=0),"",ROUND(K176*60/G176,1)))</f>
        <v>0</v>
      </c>
      <c r="AA176" s="36">
        <f>IF(B176="","",IF(OR(Z176="",R176=""),"",ROUND(Z176-R176,1)))</f>
        <v>0</v>
      </c>
      <c r="AB176" s="20">
        <f>IF(B176="","",IFERROR(ROUND(O176*INDEX(Products!$AR$5:$AR$304,MATCH(B176,Products!$A$5:$A$304,0)),2),""))</f>
        <v>0</v>
      </c>
      <c r="AC176" s="20">
        <f>IF(B176="","",IF(AB176="","",ROUND(AB176-U176,2)))</f>
        <v>0</v>
      </c>
      <c r="AD176" s="32">
        <f>IF(B176="","",IF(OR(D176="",E176=""),"",E176-D176))</f>
        <v>0</v>
      </c>
      <c r="AE176" s="43">
        <f>IF(B176="","",IF(G176="","Planned - nothing made yet",IF(O176=0,"Check - no good units",IF(AND(Y176&lt;&gt;"",Y176&gt;0.15),"Check - costing 15% more than the estimate",IF(AND(P176&lt;&gt;"",P176&gt;DefaultDefect*2),"Check - high failure rate",IF(AND(AA176&lt;&gt;"",AA176&gt;5),"Check - taking longer than estimated",IF(AC176&lt;0,"Loss - this run lost money","OK")))))))</f>
        <v>0</v>
      </c>
    </row>
    <row r="177" spans="1:31">
      <c r="A177" s="38">
        <f>IF(B177="","",BatchPrefix&amp;TEXT(ROW()-4,"0000"))</f>
        <v>0</v>
      </c>
      <c r="C177" s="13">
        <f>IF(B177="","",IFERROR(INDEX(Products!$B$5:$B$304,MATCH(B177,Products!$A$5:$A$304,0)),"Not found"))</f>
        <v>0</v>
      </c>
      <c r="O177" s="32">
        <f>IF(B177="","",MAX(0,IF(G177="",0,G177)-IF(H177="",0,H177)))</f>
        <v>0</v>
      </c>
      <c r="P177" s="33">
        <f>IF(B177="","",IF(OR(G177="",G177=0),"",IF(H177="",0,H177)/G177))</f>
        <v>0</v>
      </c>
      <c r="Q177" s="20">
        <f>IF(B177="","",IFERROR(INDEX(Products!$T$5:$T$304,MATCH(B177,Products!$A$5:$A$304,0)),""))</f>
        <v>0</v>
      </c>
      <c r="R177" s="36">
        <f>IF(B177="","",IFERROR(INDEX(Products!$X$5:$X$304,MATCH(B177,Products!$A$5:$A$304,0)),""))</f>
        <v>0</v>
      </c>
      <c r="S177" s="20">
        <f>IF(B177="","",ROUND(IF(J177&lt;&gt;"",J177,IF(Q177="",0,Q177)*IF(G177="",0,G177)),2))</f>
        <v>0</v>
      </c>
      <c r="T177" s="20">
        <f>IF(B177="","",ROUND(IF(K177&lt;&gt;"",K177,IF(R177="",0,R177)*IF(G177="",0,G177)/60)*LaborCostHour,2))</f>
        <v>0</v>
      </c>
      <c r="U177" s="20">
        <f>IF(B177="","",ROUND(S177+T177+IF(L177="",0,L177)-IF(I177="",0,I177),2))</f>
        <v>0</v>
      </c>
      <c r="V177" s="20">
        <f>IF(B177="","",IF(O177=0,"",ROUND(U177/O177,2)))</f>
        <v>0</v>
      </c>
      <c r="W177" s="20">
        <f>IF(B177="","",IFERROR(INDEX(Products!$AH$5:$AH$304,MATCH(B177,Products!$A$5:$A$304,0)),""))</f>
        <v>0</v>
      </c>
      <c r="X177" s="20">
        <f>IF(B177="","",IF(OR(V177="",W177=""),"",ROUND(V177-W177,2)))</f>
        <v>0</v>
      </c>
      <c r="Y177" s="33">
        <f>IF(B177="","",IF(OR(X177="",W177="",W177=0),"",X177/W177))</f>
        <v>0</v>
      </c>
      <c r="Z177" s="36">
        <f>IF(B177="","",IF(OR(K177="",G177="",G177=0),"",ROUND(K177*60/G177,1)))</f>
        <v>0</v>
      </c>
      <c r="AA177" s="36">
        <f>IF(B177="","",IF(OR(Z177="",R177=""),"",ROUND(Z177-R177,1)))</f>
        <v>0</v>
      </c>
      <c r="AB177" s="20">
        <f>IF(B177="","",IFERROR(ROUND(O177*INDEX(Products!$AR$5:$AR$304,MATCH(B177,Products!$A$5:$A$304,0)),2),""))</f>
        <v>0</v>
      </c>
      <c r="AC177" s="20">
        <f>IF(B177="","",IF(AB177="","",ROUND(AB177-U177,2)))</f>
        <v>0</v>
      </c>
      <c r="AD177" s="32">
        <f>IF(B177="","",IF(OR(D177="",E177=""),"",E177-D177))</f>
        <v>0</v>
      </c>
      <c r="AE177" s="43">
        <f>IF(B177="","",IF(G177="","Planned - nothing made yet",IF(O177=0,"Check - no good units",IF(AND(Y177&lt;&gt;"",Y177&gt;0.15),"Check - costing 15% more than the estimate",IF(AND(P177&lt;&gt;"",P177&gt;DefaultDefect*2),"Check - high failure rate",IF(AND(AA177&lt;&gt;"",AA177&gt;5),"Check - taking longer than estimated",IF(AC177&lt;0,"Loss - this run lost money","OK")))))))</f>
        <v>0</v>
      </c>
    </row>
    <row r="178" spans="1:31">
      <c r="A178" s="38">
        <f>IF(B178="","",BatchPrefix&amp;TEXT(ROW()-4,"0000"))</f>
        <v>0</v>
      </c>
      <c r="C178" s="13">
        <f>IF(B178="","",IFERROR(INDEX(Products!$B$5:$B$304,MATCH(B178,Products!$A$5:$A$304,0)),"Not found"))</f>
        <v>0</v>
      </c>
      <c r="O178" s="32">
        <f>IF(B178="","",MAX(0,IF(G178="",0,G178)-IF(H178="",0,H178)))</f>
        <v>0</v>
      </c>
      <c r="P178" s="33">
        <f>IF(B178="","",IF(OR(G178="",G178=0),"",IF(H178="",0,H178)/G178))</f>
        <v>0</v>
      </c>
      <c r="Q178" s="20">
        <f>IF(B178="","",IFERROR(INDEX(Products!$T$5:$T$304,MATCH(B178,Products!$A$5:$A$304,0)),""))</f>
        <v>0</v>
      </c>
      <c r="R178" s="36">
        <f>IF(B178="","",IFERROR(INDEX(Products!$X$5:$X$304,MATCH(B178,Products!$A$5:$A$304,0)),""))</f>
        <v>0</v>
      </c>
      <c r="S178" s="20">
        <f>IF(B178="","",ROUND(IF(J178&lt;&gt;"",J178,IF(Q178="",0,Q178)*IF(G178="",0,G178)),2))</f>
        <v>0</v>
      </c>
      <c r="T178" s="20">
        <f>IF(B178="","",ROUND(IF(K178&lt;&gt;"",K178,IF(R178="",0,R178)*IF(G178="",0,G178)/60)*LaborCostHour,2))</f>
        <v>0</v>
      </c>
      <c r="U178" s="20">
        <f>IF(B178="","",ROUND(S178+T178+IF(L178="",0,L178)-IF(I178="",0,I178),2))</f>
        <v>0</v>
      </c>
      <c r="V178" s="20">
        <f>IF(B178="","",IF(O178=0,"",ROUND(U178/O178,2)))</f>
        <v>0</v>
      </c>
      <c r="W178" s="20">
        <f>IF(B178="","",IFERROR(INDEX(Products!$AH$5:$AH$304,MATCH(B178,Products!$A$5:$A$304,0)),""))</f>
        <v>0</v>
      </c>
      <c r="X178" s="20">
        <f>IF(B178="","",IF(OR(V178="",W178=""),"",ROUND(V178-W178,2)))</f>
        <v>0</v>
      </c>
      <c r="Y178" s="33">
        <f>IF(B178="","",IF(OR(X178="",W178="",W178=0),"",X178/W178))</f>
        <v>0</v>
      </c>
      <c r="Z178" s="36">
        <f>IF(B178="","",IF(OR(K178="",G178="",G178=0),"",ROUND(K178*60/G178,1)))</f>
        <v>0</v>
      </c>
      <c r="AA178" s="36">
        <f>IF(B178="","",IF(OR(Z178="",R178=""),"",ROUND(Z178-R178,1)))</f>
        <v>0</v>
      </c>
      <c r="AB178" s="20">
        <f>IF(B178="","",IFERROR(ROUND(O178*INDEX(Products!$AR$5:$AR$304,MATCH(B178,Products!$A$5:$A$304,0)),2),""))</f>
        <v>0</v>
      </c>
      <c r="AC178" s="20">
        <f>IF(B178="","",IF(AB178="","",ROUND(AB178-U178,2)))</f>
        <v>0</v>
      </c>
      <c r="AD178" s="32">
        <f>IF(B178="","",IF(OR(D178="",E178=""),"",E178-D178))</f>
        <v>0</v>
      </c>
      <c r="AE178" s="43">
        <f>IF(B178="","",IF(G178="","Planned - nothing made yet",IF(O178=0,"Check - no good units",IF(AND(Y178&lt;&gt;"",Y178&gt;0.15),"Check - costing 15% more than the estimate",IF(AND(P178&lt;&gt;"",P178&gt;DefaultDefect*2),"Check - high failure rate",IF(AND(AA178&lt;&gt;"",AA178&gt;5),"Check - taking longer than estimated",IF(AC178&lt;0,"Loss - this run lost money","OK")))))))</f>
        <v>0</v>
      </c>
    </row>
    <row r="179" spans="1:31">
      <c r="A179" s="38">
        <f>IF(B179="","",BatchPrefix&amp;TEXT(ROW()-4,"0000"))</f>
        <v>0</v>
      </c>
      <c r="C179" s="13">
        <f>IF(B179="","",IFERROR(INDEX(Products!$B$5:$B$304,MATCH(B179,Products!$A$5:$A$304,0)),"Not found"))</f>
        <v>0</v>
      </c>
      <c r="O179" s="32">
        <f>IF(B179="","",MAX(0,IF(G179="",0,G179)-IF(H179="",0,H179)))</f>
        <v>0</v>
      </c>
      <c r="P179" s="33">
        <f>IF(B179="","",IF(OR(G179="",G179=0),"",IF(H179="",0,H179)/G179))</f>
        <v>0</v>
      </c>
      <c r="Q179" s="20">
        <f>IF(B179="","",IFERROR(INDEX(Products!$T$5:$T$304,MATCH(B179,Products!$A$5:$A$304,0)),""))</f>
        <v>0</v>
      </c>
      <c r="R179" s="36">
        <f>IF(B179="","",IFERROR(INDEX(Products!$X$5:$X$304,MATCH(B179,Products!$A$5:$A$304,0)),""))</f>
        <v>0</v>
      </c>
      <c r="S179" s="20">
        <f>IF(B179="","",ROUND(IF(J179&lt;&gt;"",J179,IF(Q179="",0,Q179)*IF(G179="",0,G179)),2))</f>
        <v>0</v>
      </c>
      <c r="T179" s="20">
        <f>IF(B179="","",ROUND(IF(K179&lt;&gt;"",K179,IF(R179="",0,R179)*IF(G179="",0,G179)/60)*LaborCostHour,2))</f>
        <v>0</v>
      </c>
      <c r="U179" s="20">
        <f>IF(B179="","",ROUND(S179+T179+IF(L179="",0,L179)-IF(I179="",0,I179),2))</f>
        <v>0</v>
      </c>
      <c r="V179" s="20">
        <f>IF(B179="","",IF(O179=0,"",ROUND(U179/O179,2)))</f>
        <v>0</v>
      </c>
      <c r="W179" s="20">
        <f>IF(B179="","",IFERROR(INDEX(Products!$AH$5:$AH$304,MATCH(B179,Products!$A$5:$A$304,0)),""))</f>
        <v>0</v>
      </c>
      <c r="X179" s="20">
        <f>IF(B179="","",IF(OR(V179="",W179=""),"",ROUND(V179-W179,2)))</f>
        <v>0</v>
      </c>
      <c r="Y179" s="33">
        <f>IF(B179="","",IF(OR(X179="",W179="",W179=0),"",X179/W179))</f>
        <v>0</v>
      </c>
      <c r="Z179" s="36">
        <f>IF(B179="","",IF(OR(K179="",G179="",G179=0),"",ROUND(K179*60/G179,1)))</f>
        <v>0</v>
      </c>
      <c r="AA179" s="36">
        <f>IF(B179="","",IF(OR(Z179="",R179=""),"",ROUND(Z179-R179,1)))</f>
        <v>0</v>
      </c>
      <c r="AB179" s="20">
        <f>IF(B179="","",IFERROR(ROUND(O179*INDEX(Products!$AR$5:$AR$304,MATCH(B179,Products!$A$5:$A$304,0)),2),""))</f>
        <v>0</v>
      </c>
      <c r="AC179" s="20">
        <f>IF(B179="","",IF(AB179="","",ROUND(AB179-U179,2)))</f>
        <v>0</v>
      </c>
      <c r="AD179" s="32">
        <f>IF(B179="","",IF(OR(D179="",E179=""),"",E179-D179))</f>
        <v>0</v>
      </c>
      <c r="AE179" s="43">
        <f>IF(B179="","",IF(G179="","Planned - nothing made yet",IF(O179=0,"Check - no good units",IF(AND(Y179&lt;&gt;"",Y179&gt;0.15),"Check - costing 15% more than the estimate",IF(AND(P179&lt;&gt;"",P179&gt;DefaultDefect*2),"Check - high failure rate",IF(AND(AA179&lt;&gt;"",AA179&gt;5),"Check - taking longer than estimated",IF(AC179&lt;0,"Loss - this run lost money","OK")))))))</f>
        <v>0</v>
      </c>
    </row>
    <row r="180" spans="1:31">
      <c r="A180" s="38">
        <f>IF(B180="","",BatchPrefix&amp;TEXT(ROW()-4,"0000"))</f>
        <v>0</v>
      </c>
      <c r="C180" s="13">
        <f>IF(B180="","",IFERROR(INDEX(Products!$B$5:$B$304,MATCH(B180,Products!$A$5:$A$304,0)),"Not found"))</f>
        <v>0</v>
      </c>
      <c r="O180" s="32">
        <f>IF(B180="","",MAX(0,IF(G180="",0,G180)-IF(H180="",0,H180)))</f>
        <v>0</v>
      </c>
      <c r="P180" s="33">
        <f>IF(B180="","",IF(OR(G180="",G180=0),"",IF(H180="",0,H180)/G180))</f>
        <v>0</v>
      </c>
      <c r="Q180" s="20">
        <f>IF(B180="","",IFERROR(INDEX(Products!$T$5:$T$304,MATCH(B180,Products!$A$5:$A$304,0)),""))</f>
        <v>0</v>
      </c>
      <c r="R180" s="36">
        <f>IF(B180="","",IFERROR(INDEX(Products!$X$5:$X$304,MATCH(B180,Products!$A$5:$A$304,0)),""))</f>
        <v>0</v>
      </c>
      <c r="S180" s="20">
        <f>IF(B180="","",ROUND(IF(J180&lt;&gt;"",J180,IF(Q180="",0,Q180)*IF(G180="",0,G180)),2))</f>
        <v>0</v>
      </c>
      <c r="T180" s="20">
        <f>IF(B180="","",ROUND(IF(K180&lt;&gt;"",K180,IF(R180="",0,R180)*IF(G180="",0,G180)/60)*LaborCostHour,2))</f>
        <v>0</v>
      </c>
      <c r="U180" s="20">
        <f>IF(B180="","",ROUND(S180+T180+IF(L180="",0,L180)-IF(I180="",0,I180),2))</f>
        <v>0</v>
      </c>
      <c r="V180" s="20">
        <f>IF(B180="","",IF(O180=0,"",ROUND(U180/O180,2)))</f>
        <v>0</v>
      </c>
      <c r="W180" s="20">
        <f>IF(B180="","",IFERROR(INDEX(Products!$AH$5:$AH$304,MATCH(B180,Products!$A$5:$A$304,0)),""))</f>
        <v>0</v>
      </c>
      <c r="X180" s="20">
        <f>IF(B180="","",IF(OR(V180="",W180=""),"",ROUND(V180-W180,2)))</f>
        <v>0</v>
      </c>
      <c r="Y180" s="33">
        <f>IF(B180="","",IF(OR(X180="",W180="",W180=0),"",X180/W180))</f>
        <v>0</v>
      </c>
      <c r="Z180" s="36">
        <f>IF(B180="","",IF(OR(K180="",G180="",G180=0),"",ROUND(K180*60/G180,1)))</f>
        <v>0</v>
      </c>
      <c r="AA180" s="36">
        <f>IF(B180="","",IF(OR(Z180="",R180=""),"",ROUND(Z180-R180,1)))</f>
        <v>0</v>
      </c>
      <c r="AB180" s="20">
        <f>IF(B180="","",IFERROR(ROUND(O180*INDEX(Products!$AR$5:$AR$304,MATCH(B180,Products!$A$5:$A$304,0)),2),""))</f>
        <v>0</v>
      </c>
      <c r="AC180" s="20">
        <f>IF(B180="","",IF(AB180="","",ROUND(AB180-U180,2)))</f>
        <v>0</v>
      </c>
      <c r="AD180" s="32">
        <f>IF(B180="","",IF(OR(D180="",E180=""),"",E180-D180))</f>
        <v>0</v>
      </c>
      <c r="AE180" s="43">
        <f>IF(B180="","",IF(G180="","Planned - nothing made yet",IF(O180=0,"Check - no good units",IF(AND(Y180&lt;&gt;"",Y180&gt;0.15),"Check - costing 15% more than the estimate",IF(AND(P180&lt;&gt;"",P180&gt;DefaultDefect*2),"Check - high failure rate",IF(AND(AA180&lt;&gt;"",AA180&gt;5),"Check - taking longer than estimated",IF(AC180&lt;0,"Loss - this run lost money","OK")))))))</f>
        <v>0</v>
      </c>
    </row>
    <row r="181" spans="1:31">
      <c r="A181" s="38">
        <f>IF(B181="","",BatchPrefix&amp;TEXT(ROW()-4,"0000"))</f>
        <v>0</v>
      </c>
      <c r="C181" s="13">
        <f>IF(B181="","",IFERROR(INDEX(Products!$B$5:$B$304,MATCH(B181,Products!$A$5:$A$304,0)),"Not found"))</f>
        <v>0</v>
      </c>
      <c r="O181" s="32">
        <f>IF(B181="","",MAX(0,IF(G181="",0,G181)-IF(H181="",0,H181)))</f>
        <v>0</v>
      </c>
      <c r="P181" s="33">
        <f>IF(B181="","",IF(OR(G181="",G181=0),"",IF(H181="",0,H181)/G181))</f>
        <v>0</v>
      </c>
      <c r="Q181" s="20">
        <f>IF(B181="","",IFERROR(INDEX(Products!$T$5:$T$304,MATCH(B181,Products!$A$5:$A$304,0)),""))</f>
        <v>0</v>
      </c>
      <c r="R181" s="36">
        <f>IF(B181="","",IFERROR(INDEX(Products!$X$5:$X$304,MATCH(B181,Products!$A$5:$A$304,0)),""))</f>
        <v>0</v>
      </c>
      <c r="S181" s="20">
        <f>IF(B181="","",ROUND(IF(J181&lt;&gt;"",J181,IF(Q181="",0,Q181)*IF(G181="",0,G181)),2))</f>
        <v>0</v>
      </c>
      <c r="T181" s="20">
        <f>IF(B181="","",ROUND(IF(K181&lt;&gt;"",K181,IF(R181="",0,R181)*IF(G181="",0,G181)/60)*LaborCostHour,2))</f>
        <v>0</v>
      </c>
      <c r="U181" s="20">
        <f>IF(B181="","",ROUND(S181+T181+IF(L181="",0,L181)-IF(I181="",0,I181),2))</f>
        <v>0</v>
      </c>
      <c r="V181" s="20">
        <f>IF(B181="","",IF(O181=0,"",ROUND(U181/O181,2)))</f>
        <v>0</v>
      </c>
      <c r="W181" s="20">
        <f>IF(B181="","",IFERROR(INDEX(Products!$AH$5:$AH$304,MATCH(B181,Products!$A$5:$A$304,0)),""))</f>
        <v>0</v>
      </c>
      <c r="X181" s="20">
        <f>IF(B181="","",IF(OR(V181="",W181=""),"",ROUND(V181-W181,2)))</f>
        <v>0</v>
      </c>
      <c r="Y181" s="33">
        <f>IF(B181="","",IF(OR(X181="",W181="",W181=0),"",X181/W181))</f>
        <v>0</v>
      </c>
      <c r="Z181" s="36">
        <f>IF(B181="","",IF(OR(K181="",G181="",G181=0),"",ROUND(K181*60/G181,1)))</f>
        <v>0</v>
      </c>
      <c r="AA181" s="36">
        <f>IF(B181="","",IF(OR(Z181="",R181=""),"",ROUND(Z181-R181,1)))</f>
        <v>0</v>
      </c>
      <c r="AB181" s="20">
        <f>IF(B181="","",IFERROR(ROUND(O181*INDEX(Products!$AR$5:$AR$304,MATCH(B181,Products!$A$5:$A$304,0)),2),""))</f>
        <v>0</v>
      </c>
      <c r="AC181" s="20">
        <f>IF(B181="","",IF(AB181="","",ROUND(AB181-U181,2)))</f>
        <v>0</v>
      </c>
      <c r="AD181" s="32">
        <f>IF(B181="","",IF(OR(D181="",E181=""),"",E181-D181))</f>
        <v>0</v>
      </c>
      <c r="AE181" s="43">
        <f>IF(B181="","",IF(G181="","Planned - nothing made yet",IF(O181=0,"Check - no good units",IF(AND(Y181&lt;&gt;"",Y181&gt;0.15),"Check - costing 15% more than the estimate",IF(AND(P181&lt;&gt;"",P181&gt;DefaultDefect*2),"Check - high failure rate",IF(AND(AA181&lt;&gt;"",AA181&gt;5),"Check - taking longer than estimated",IF(AC181&lt;0,"Loss - this run lost money","OK")))))))</f>
        <v>0</v>
      </c>
    </row>
    <row r="182" spans="1:31">
      <c r="A182" s="38">
        <f>IF(B182="","",BatchPrefix&amp;TEXT(ROW()-4,"0000"))</f>
        <v>0</v>
      </c>
      <c r="C182" s="13">
        <f>IF(B182="","",IFERROR(INDEX(Products!$B$5:$B$304,MATCH(B182,Products!$A$5:$A$304,0)),"Not found"))</f>
        <v>0</v>
      </c>
      <c r="O182" s="32">
        <f>IF(B182="","",MAX(0,IF(G182="",0,G182)-IF(H182="",0,H182)))</f>
        <v>0</v>
      </c>
      <c r="P182" s="33">
        <f>IF(B182="","",IF(OR(G182="",G182=0),"",IF(H182="",0,H182)/G182))</f>
        <v>0</v>
      </c>
      <c r="Q182" s="20">
        <f>IF(B182="","",IFERROR(INDEX(Products!$T$5:$T$304,MATCH(B182,Products!$A$5:$A$304,0)),""))</f>
        <v>0</v>
      </c>
      <c r="R182" s="36">
        <f>IF(B182="","",IFERROR(INDEX(Products!$X$5:$X$304,MATCH(B182,Products!$A$5:$A$304,0)),""))</f>
        <v>0</v>
      </c>
      <c r="S182" s="20">
        <f>IF(B182="","",ROUND(IF(J182&lt;&gt;"",J182,IF(Q182="",0,Q182)*IF(G182="",0,G182)),2))</f>
        <v>0</v>
      </c>
      <c r="T182" s="20">
        <f>IF(B182="","",ROUND(IF(K182&lt;&gt;"",K182,IF(R182="",0,R182)*IF(G182="",0,G182)/60)*LaborCostHour,2))</f>
        <v>0</v>
      </c>
      <c r="U182" s="20">
        <f>IF(B182="","",ROUND(S182+T182+IF(L182="",0,L182)-IF(I182="",0,I182),2))</f>
        <v>0</v>
      </c>
      <c r="V182" s="20">
        <f>IF(B182="","",IF(O182=0,"",ROUND(U182/O182,2)))</f>
        <v>0</v>
      </c>
      <c r="W182" s="20">
        <f>IF(B182="","",IFERROR(INDEX(Products!$AH$5:$AH$304,MATCH(B182,Products!$A$5:$A$304,0)),""))</f>
        <v>0</v>
      </c>
      <c r="X182" s="20">
        <f>IF(B182="","",IF(OR(V182="",W182=""),"",ROUND(V182-W182,2)))</f>
        <v>0</v>
      </c>
      <c r="Y182" s="33">
        <f>IF(B182="","",IF(OR(X182="",W182="",W182=0),"",X182/W182))</f>
        <v>0</v>
      </c>
      <c r="Z182" s="36">
        <f>IF(B182="","",IF(OR(K182="",G182="",G182=0),"",ROUND(K182*60/G182,1)))</f>
        <v>0</v>
      </c>
      <c r="AA182" s="36">
        <f>IF(B182="","",IF(OR(Z182="",R182=""),"",ROUND(Z182-R182,1)))</f>
        <v>0</v>
      </c>
      <c r="AB182" s="20">
        <f>IF(B182="","",IFERROR(ROUND(O182*INDEX(Products!$AR$5:$AR$304,MATCH(B182,Products!$A$5:$A$304,0)),2),""))</f>
        <v>0</v>
      </c>
      <c r="AC182" s="20">
        <f>IF(B182="","",IF(AB182="","",ROUND(AB182-U182,2)))</f>
        <v>0</v>
      </c>
      <c r="AD182" s="32">
        <f>IF(B182="","",IF(OR(D182="",E182=""),"",E182-D182))</f>
        <v>0</v>
      </c>
      <c r="AE182" s="43">
        <f>IF(B182="","",IF(G182="","Planned - nothing made yet",IF(O182=0,"Check - no good units",IF(AND(Y182&lt;&gt;"",Y182&gt;0.15),"Check - costing 15% more than the estimate",IF(AND(P182&lt;&gt;"",P182&gt;DefaultDefect*2),"Check - high failure rate",IF(AND(AA182&lt;&gt;"",AA182&gt;5),"Check - taking longer than estimated",IF(AC182&lt;0,"Loss - this run lost money","OK")))))))</f>
        <v>0</v>
      </c>
    </row>
    <row r="183" spans="1:31">
      <c r="A183" s="38">
        <f>IF(B183="","",BatchPrefix&amp;TEXT(ROW()-4,"0000"))</f>
        <v>0</v>
      </c>
      <c r="C183" s="13">
        <f>IF(B183="","",IFERROR(INDEX(Products!$B$5:$B$304,MATCH(B183,Products!$A$5:$A$304,0)),"Not found"))</f>
        <v>0</v>
      </c>
      <c r="O183" s="32">
        <f>IF(B183="","",MAX(0,IF(G183="",0,G183)-IF(H183="",0,H183)))</f>
        <v>0</v>
      </c>
      <c r="P183" s="33">
        <f>IF(B183="","",IF(OR(G183="",G183=0),"",IF(H183="",0,H183)/G183))</f>
        <v>0</v>
      </c>
      <c r="Q183" s="20">
        <f>IF(B183="","",IFERROR(INDEX(Products!$T$5:$T$304,MATCH(B183,Products!$A$5:$A$304,0)),""))</f>
        <v>0</v>
      </c>
      <c r="R183" s="36">
        <f>IF(B183="","",IFERROR(INDEX(Products!$X$5:$X$304,MATCH(B183,Products!$A$5:$A$304,0)),""))</f>
        <v>0</v>
      </c>
      <c r="S183" s="20">
        <f>IF(B183="","",ROUND(IF(J183&lt;&gt;"",J183,IF(Q183="",0,Q183)*IF(G183="",0,G183)),2))</f>
        <v>0</v>
      </c>
      <c r="T183" s="20">
        <f>IF(B183="","",ROUND(IF(K183&lt;&gt;"",K183,IF(R183="",0,R183)*IF(G183="",0,G183)/60)*LaborCostHour,2))</f>
        <v>0</v>
      </c>
      <c r="U183" s="20">
        <f>IF(B183="","",ROUND(S183+T183+IF(L183="",0,L183)-IF(I183="",0,I183),2))</f>
        <v>0</v>
      </c>
      <c r="V183" s="20">
        <f>IF(B183="","",IF(O183=0,"",ROUND(U183/O183,2)))</f>
        <v>0</v>
      </c>
      <c r="W183" s="20">
        <f>IF(B183="","",IFERROR(INDEX(Products!$AH$5:$AH$304,MATCH(B183,Products!$A$5:$A$304,0)),""))</f>
        <v>0</v>
      </c>
      <c r="X183" s="20">
        <f>IF(B183="","",IF(OR(V183="",W183=""),"",ROUND(V183-W183,2)))</f>
        <v>0</v>
      </c>
      <c r="Y183" s="33">
        <f>IF(B183="","",IF(OR(X183="",W183="",W183=0),"",X183/W183))</f>
        <v>0</v>
      </c>
      <c r="Z183" s="36">
        <f>IF(B183="","",IF(OR(K183="",G183="",G183=0),"",ROUND(K183*60/G183,1)))</f>
        <v>0</v>
      </c>
      <c r="AA183" s="36">
        <f>IF(B183="","",IF(OR(Z183="",R183=""),"",ROUND(Z183-R183,1)))</f>
        <v>0</v>
      </c>
      <c r="AB183" s="20">
        <f>IF(B183="","",IFERROR(ROUND(O183*INDEX(Products!$AR$5:$AR$304,MATCH(B183,Products!$A$5:$A$304,0)),2),""))</f>
        <v>0</v>
      </c>
      <c r="AC183" s="20">
        <f>IF(B183="","",IF(AB183="","",ROUND(AB183-U183,2)))</f>
        <v>0</v>
      </c>
      <c r="AD183" s="32">
        <f>IF(B183="","",IF(OR(D183="",E183=""),"",E183-D183))</f>
        <v>0</v>
      </c>
      <c r="AE183" s="43">
        <f>IF(B183="","",IF(G183="","Planned - nothing made yet",IF(O183=0,"Check - no good units",IF(AND(Y183&lt;&gt;"",Y183&gt;0.15),"Check - costing 15% more than the estimate",IF(AND(P183&lt;&gt;"",P183&gt;DefaultDefect*2),"Check - high failure rate",IF(AND(AA183&lt;&gt;"",AA183&gt;5),"Check - taking longer than estimated",IF(AC183&lt;0,"Loss - this run lost money","OK")))))))</f>
        <v>0</v>
      </c>
    </row>
    <row r="184" spans="1:31">
      <c r="A184" s="38">
        <f>IF(B184="","",BatchPrefix&amp;TEXT(ROW()-4,"0000"))</f>
        <v>0</v>
      </c>
      <c r="C184" s="13">
        <f>IF(B184="","",IFERROR(INDEX(Products!$B$5:$B$304,MATCH(B184,Products!$A$5:$A$304,0)),"Not found"))</f>
        <v>0</v>
      </c>
      <c r="O184" s="32">
        <f>IF(B184="","",MAX(0,IF(G184="",0,G184)-IF(H184="",0,H184)))</f>
        <v>0</v>
      </c>
      <c r="P184" s="33">
        <f>IF(B184="","",IF(OR(G184="",G184=0),"",IF(H184="",0,H184)/G184))</f>
        <v>0</v>
      </c>
      <c r="Q184" s="20">
        <f>IF(B184="","",IFERROR(INDEX(Products!$T$5:$T$304,MATCH(B184,Products!$A$5:$A$304,0)),""))</f>
        <v>0</v>
      </c>
      <c r="R184" s="36">
        <f>IF(B184="","",IFERROR(INDEX(Products!$X$5:$X$304,MATCH(B184,Products!$A$5:$A$304,0)),""))</f>
        <v>0</v>
      </c>
      <c r="S184" s="20">
        <f>IF(B184="","",ROUND(IF(J184&lt;&gt;"",J184,IF(Q184="",0,Q184)*IF(G184="",0,G184)),2))</f>
        <v>0</v>
      </c>
      <c r="T184" s="20">
        <f>IF(B184="","",ROUND(IF(K184&lt;&gt;"",K184,IF(R184="",0,R184)*IF(G184="",0,G184)/60)*LaborCostHour,2))</f>
        <v>0</v>
      </c>
      <c r="U184" s="20">
        <f>IF(B184="","",ROUND(S184+T184+IF(L184="",0,L184)-IF(I184="",0,I184),2))</f>
        <v>0</v>
      </c>
      <c r="V184" s="20">
        <f>IF(B184="","",IF(O184=0,"",ROUND(U184/O184,2)))</f>
        <v>0</v>
      </c>
      <c r="W184" s="20">
        <f>IF(B184="","",IFERROR(INDEX(Products!$AH$5:$AH$304,MATCH(B184,Products!$A$5:$A$304,0)),""))</f>
        <v>0</v>
      </c>
      <c r="X184" s="20">
        <f>IF(B184="","",IF(OR(V184="",W184=""),"",ROUND(V184-W184,2)))</f>
        <v>0</v>
      </c>
      <c r="Y184" s="33">
        <f>IF(B184="","",IF(OR(X184="",W184="",W184=0),"",X184/W184))</f>
        <v>0</v>
      </c>
      <c r="Z184" s="36">
        <f>IF(B184="","",IF(OR(K184="",G184="",G184=0),"",ROUND(K184*60/G184,1)))</f>
        <v>0</v>
      </c>
      <c r="AA184" s="36">
        <f>IF(B184="","",IF(OR(Z184="",R184=""),"",ROUND(Z184-R184,1)))</f>
        <v>0</v>
      </c>
      <c r="AB184" s="20">
        <f>IF(B184="","",IFERROR(ROUND(O184*INDEX(Products!$AR$5:$AR$304,MATCH(B184,Products!$A$5:$A$304,0)),2),""))</f>
        <v>0</v>
      </c>
      <c r="AC184" s="20">
        <f>IF(B184="","",IF(AB184="","",ROUND(AB184-U184,2)))</f>
        <v>0</v>
      </c>
      <c r="AD184" s="32">
        <f>IF(B184="","",IF(OR(D184="",E184=""),"",E184-D184))</f>
        <v>0</v>
      </c>
      <c r="AE184" s="43">
        <f>IF(B184="","",IF(G184="","Planned - nothing made yet",IF(O184=0,"Check - no good units",IF(AND(Y184&lt;&gt;"",Y184&gt;0.15),"Check - costing 15% more than the estimate",IF(AND(P184&lt;&gt;"",P184&gt;DefaultDefect*2),"Check - high failure rate",IF(AND(AA184&lt;&gt;"",AA184&gt;5),"Check - taking longer than estimated",IF(AC184&lt;0,"Loss - this run lost money","OK")))))))</f>
        <v>0</v>
      </c>
    </row>
    <row r="185" spans="1:31">
      <c r="A185" s="38">
        <f>IF(B185="","",BatchPrefix&amp;TEXT(ROW()-4,"0000"))</f>
        <v>0</v>
      </c>
      <c r="C185" s="13">
        <f>IF(B185="","",IFERROR(INDEX(Products!$B$5:$B$304,MATCH(B185,Products!$A$5:$A$304,0)),"Not found"))</f>
        <v>0</v>
      </c>
      <c r="O185" s="32">
        <f>IF(B185="","",MAX(0,IF(G185="",0,G185)-IF(H185="",0,H185)))</f>
        <v>0</v>
      </c>
      <c r="P185" s="33">
        <f>IF(B185="","",IF(OR(G185="",G185=0),"",IF(H185="",0,H185)/G185))</f>
        <v>0</v>
      </c>
      <c r="Q185" s="20">
        <f>IF(B185="","",IFERROR(INDEX(Products!$T$5:$T$304,MATCH(B185,Products!$A$5:$A$304,0)),""))</f>
        <v>0</v>
      </c>
      <c r="R185" s="36">
        <f>IF(B185="","",IFERROR(INDEX(Products!$X$5:$X$304,MATCH(B185,Products!$A$5:$A$304,0)),""))</f>
        <v>0</v>
      </c>
      <c r="S185" s="20">
        <f>IF(B185="","",ROUND(IF(J185&lt;&gt;"",J185,IF(Q185="",0,Q185)*IF(G185="",0,G185)),2))</f>
        <v>0</v>
      </c>
      <c r="T185" s="20">
        <f>IF(B185="","",ROUND(IF(K185&lt;&gt;"",K185,IF(R185="",0,R185)*IF(G185="",0,G185)/60)*LaborCostHour,2))</f>
        <v>0</v>
      </c>
      <c r="U185" s="20">
        <f>IF(B185="","",ROUND(S185+T185+IF(L185="",0,L185)-IF(I185="",0,I185),2))</f>
        <v>0</v>
      </c>
      <c r="V185" s="20">
        <f>IF(B185="","",IF(O185=0,"",ROUND(U185/O185,2)))</f>
        <v>0</v>
      </c>
      <c r="W185" s="20">
        <f>IF(B185="","",IFERROR(INDEX(Products!$AH$5:$AH$304,MATCH(B185,Products!$A$5:$A$304,0)),""))</f>
        <v>0</v>
      </c>
      <c r="X185" s="20">
        <f>IF(B185="","",IF(OR(V185="",W185=""),"",ROUND(V185-W185,2)))</f>
        <v>0</v>
      </c>
      <c r="Y185" s="33">
        <f>IF(B185="","",IF(OR(X185="",W185="",W185=0),"",X185/W185))</f>
        <v>0</v>
      </c>
      <c r="Z185" s="36">
        <f>IF(B185="","",IF(OR(K185="",G185="",G185=0),"",ROUND(K185*60/G185,1)))</f>
        <v>0</v>
      </c>
      <c r="AA185" s="36">
        <f>IF(B185="","",IF(OR(Z185="",R185=""),"",ROUND(Z185-R185,1)))</f>
        <v>0</v>
      </c>
      <c r="AB185" s="20">
        <f>IF(B185="","",IFERROR(ROUND(O185*INDEX(Products!$AR$5:$AR$304,MATCH(B185,Products!$A$5:$A$304,0)),2),""))</f>
        <v>0</v>
      </c>
      <c r="AC185" s="20">
        <f>IF(B185="","",IF(AB185="","",ROUND(AB185-U185,2)))</f>
        <v>0</v>
      </c>
      <c r="AD185" s="32">
        <f>IF(B185="","",IF(OR(D185="",E185=""),"",E185-D185))</f>
        <v>0</v>
      </c>
      <c r="AE185" s="43">
        <f>IF(B185="","",IF(G185="","Planned - nothing made yet",IF(O185=0,"Check - no good units",IF(AND(Y185&lt;&gt;"",Y185&gt;0.15),"Check - costing 15% more than the estimate",IF(AND(P185&lt;&gt;"",P185&gt;DefaultDefect*2),"Check - high failure rate",IF(AND(AA185&lt;&gt;"",AA185&gt;5),"Check - taking longer than estimated",IF(AC185&lt;0,"Loss - this run lost money","OK")))))))</f>
        <v>0</v>
      </c>
    </row>
    <row r="186" spans="1:31">
      <c r="A186" s="38">
        <f>IF(B186="","",BatchPrefix&amp;TEXT(ROW()-4,"0000"))</f>
        <v>0</v>
      </c>
      <c r="C186" s="13">
        <f>IF(B186="","",IFERROR(INDEX(Products!$B$5:$B$304,MATCH(B186,Products!$A$5:$A$304,0)),"Not found"))</f>
        <v>0</v>
      </c>
      <c r="O186" s="32">
        <f>IF(B186="","",MAX(0,IF(G186="",0,G186)-IF(H186="",0,H186)))</f>
        <v>0</v>
      </c>
      <c r="P186" s="33">
        <f>IF(B186="","",IF(OR(G186="",G186=0),"",IF(H186="",0,H186)/G186))</f>
        <v>0</v>
      </c>
      <c r="Q186" s="20">
        <f>IF(B186="","",IFERROR(INDEX(Products!$T$5:$T$304,MATCH(B186,Products!$A$5:$A$304,0)),""))</f>
        <v>0</v>
      </c>
      <c r="R186" s="36">
        <f>IF(B186="","",IFERROR(INDEX(Products!$X$5:$X$304,MATCH(B186,Products!$A$5:$A$304,0)),""))</f>
        <v>0</v>
      </c>
      <c r="S186" s="20">
        <f>IF(B186="","",ROUND(IF(J186&lt;&gt;"",J186,IF(Q186="",0,Q186)*IF(G186="",0,G186)),2))</f>
        <v>0</v>
      </c>
      <c r="T186" s="20">
        <f>IF(B186="","",ROUND(IF(K186&lt;&gt;"",K186,IF(R186="",0,R186)*IF(G186="",0,G186)/60)*LaborCostHour,2))</f>
        <v>0</v>
      </c>
      <c r="U186" s="20">
        <f>IF(B186="","",ROUND(S186+T186+IF(L186="",0,L186)-IF(I186="",0,I186),2))</f>
        <v>0</v>
      </c>
      <c r="V186" s="20">
        <f>IF(B186="","",IF(O186=0,"",ROUND(U186/O186,2)))</f>
        <v>0</v>
      </c>
      <c r="W186" s="20">
        <f>IF(B186="","",IFERROR(INDEX(Products!$AH$5:$AH$304,MATCH(B186,Products!$A$5:$A$304,0)),""))</f>
        <v>0</v>
      </c>
      <c r="X186" s="20">
        <f>IF(B186="","",IF(OR(V186="",W186=""),"",ROUND(V186-W186,2)))</f>
        <v>0</v>
      </c>
      <c r="Y186" s="33">
        <f>IF(B186="","",IF(OR(X186="",W186="",W186=0),"",X186/W186))</f>
        <v>0</v>
      </c>
      <c r="Z186" s="36">
        <f>IF(B186="","",IF(OR(K186="",G186="",G186=0),"",ROUND(K186*60/G186,1)))</f>
        <v>0</v>
      </c>
      <c r="AA186" s="36">
        <f>IF(B186="","",IF(OR(Z186="",R186=""),"",ROUND(Z186-R186,1)))</f>
        <v>0</v>
      </c>
      <c r="AB186" s="20">
        <f>IF(B186="","",IFERROR(ROUND(O186*INDEX(Products!$AR$5:$AR$304,MATCH(B186,Products!$A$5:$A$304,0)),2),""))</f>
        <v>0</v>
      </c>
      <c r="AC186" s="20">
        <f>IF(B186="","",IF(AB186="","",ROUND(AB186-U186,2)))</f>
        <v>0</v>
      </c>
      <c r="AD186" s="32">
        <f>IF(B186="","",IF(OR(D186="",E186=""),"",E186-D186))</f>
        <v>0</v>
      </c>
      <c r="AE186" s="43">
        <f>IF(B186="","",IF(G186="","Planned - nothing made yet",IF(O186=0,"Check - no good units",IF(AND(Y186&lt;&gt;"",Y186&gt;0.15),"Check - costing 15% more than the estimate",IF(AND(P186&lt;&gt;"",P186&gt;DefaultDefect*2),"Check - high failure rate",IF(AND(AA186&lt;&gt;"",AA186&gt;5),"Check - taking longer than estimated",IF(AC186&lt;0,"Loss - this run lost money","OK")))))))</f>
        <v>0</v>
      </c>
    </row>
    <row r="187" spans="1:31">
      <c r="A187" s="38">
        <f>IF(B187="","",BatchPrefix&amp;TEXT(ROW()-4,"0000"))</f>
        <v>0</v>
      </c>
      <c r="C187" s="13">
        <f>IF(B187="","",IFERROR(INDEX(Products!$B$5:$B$304,MATCH(B187,Products!$A$5:$A$304,0)),"Not found"))</f>
        <v>0</v>
      </c>
      <c r="O187" s="32">
        <f>IF(B187="","",MAX(0,IF(G187="",0,G187)-IF(H187="",0,H187)))</f>
        <v>0</v>
      </c>
      <c r="P187" s="33">
        <f>IF(B187="","",IF(OR(G187="",G187=0),"",IF(H187="",0,H187)/G187))</f>
        <v>0</v>
      </c>
      <c r="Q187" s="20">
        <f>IF(B187="","",IFERROR(INDEX(Products!$T$5:$T$304,MATCH(B187,Products!$A$5:$A$304,0)),""))</f>
        <v>0</v>
      </c>
      <c r="R187" s="36">
        <f>IF(B187="","",IFERROR(INDEX(Products!$X$5:$X$304,MATCH(B187,Products!$A$5:$A$304,0)),""))</f>
        <v>0</v>
      </c>
      <c r="S187" s="20">
        <f>IF(B187="","",ROUND(IF(J187&lt;&gt;"",J187,IF(Q187="",0,Q187)*IF(G187="",0,G187)),2))</f>
        <v>0</v>
      </c>
      <c r="T187" s="20">
        <f>IF(B187="","",ROUND(IF(K187&lt;&gt;"",K187,IF(R187="",0,R187)*IF(G187="",0,G187)/60)*LaborCostHour,2))</f>
        <v>0</v>
      </c>
      <c r="U187" s="20">
        <f>IF(B187="","",ROUND(S187+T187+IF(L187="",0,L187)-IF(I187="",0,I187),2))</f>
        <v>0</v>
      </c>
      <c r="V187" s="20">
        <f>IF(B187="","",IF(O187=0,"",ROUND(U187/O187,2)))</f>
        <v>0</v>
      </c>
      <c r="W187" s="20">
        <f>IF(B187="","",IFERROR(INDEX(Products!$AH$5:$AH$304,MATCH(B187,Products!$A$5:$A$304,0)),""))</f>
        <v>0</v>
      </c>
      <c r="X187" s="20">
        <f>IF(B187="","",IF(OR(V187="",W187=""),"",ROUND(V187-W187,2)))</f>
        <v>0</v>
      </c>
      <c r="Y187" s="33">
        <f>IF(B187="","",IF(OR(X187="",W187="",W187=0),"",X187/W187))</f>
        <v>0</v>
      </c>
      <c r="Z187" s="36">
        <f>IF(B187="","",IF(OR(K187="",G187="",G187=0),"",ROUND(K187*60/G187,1)))</f>
        <v>0</v>
      </c>
      <c r="AA187" s="36">
        <f>IF(B187="","",IF(OR(Z187="",R187=""),"",ROUND(Z187-R187,1)))</f>
        <v>0</v>
      </c>
      <c r="AB187" s="20">
        <f>IF(B187="","",IFERROR(ROUND(O187*INDEX(Products!$AR$5:$AR$304,MATCH(B187,Products!$A$5:$A$304,0)),2),""))</f>
        <v>0</v>
      </c>
      <c r="AC187" s="20">
        <f>IF(B187="","",IF(AB187="","",ROUND(AB187-U187,2)))</f>
        <v>0</v>
      </c>
      <c r="AD187" s="32">
        <f>IF(B187="","",IF(OR(D187="",E187=""),"",E187-D187))</f>
        <v>0</v>
      </c>
      <c r="AE187" s="43">
        <f>IF(B187="","",IF(G187="","Planned - nothing made yet",IF(O187=0,"Check - no good units",IF(AND(Y187&lt;&gt;"",Y187&gt;0.15),"Check - costing 15% more than the estimate",IF(AND(P187&lt;&gt;"",P187&gt;DefaultDefect*2),"Check - high failure rate",IF(AND(AA187&lt;&gt;"",AA187&gt;5),"Check - taking longer than estimated",IF(AC187&lt;0,"Loss - this run lost money","OK")))))))</f>
        <v>0</v>
      </c>
    </row>
    <row r="188" spans="1:31">
      <c r="A188" s="38">
        <f>IF(B188="","",BatchPrefix&amp;TEXT(ROW()-4,"0000"))</f>
        <v>0</v>
      </c>
      <c r="C188" s="13">
        <f>IF(B188="","",IFERROR(INDEX(Products!$B$5:$B$304,MATCH(B188,Products!$A$5:$A$304,0)),"Not found"))</f>
        <v>0</v>
      </c>
      <c r="O188" s="32">
        <f>IF(B188="","",MAX(0,IF(G188="",0,G188)-IF(H188="",0,H188)))</f>
        <v>0</v>
      </c>
      <c r="P188" s="33">
        <f>IF(B188="","",IF(OR(G188="",G188=0),"",IF(H188="",0,H188)/G188))</f>
        <v>0</v>
      </c>
      <c r="Q188" s="20">
        <f>IF(B188="","",IFERROR(INDEX(Products!$T$5:$T$304,MATCH(B188,Products!$A$5:$A$304,0)),""))</f>
        <v>0</v>
      </c>
      <c r="R188" s="36">
        <f>IF(B188="","",IFERROR(INDEX(Products!$X$5:$X$304,MATCH(B188,Products!$A$5:$A$304,0)),""))</f>
        <v>0</v>
      </c>
      <c r="S188" s="20">
        <f>IF(B188="","",ROUND(IF(J188&lt;&gt;"",J188,IF(Q188="",0,Q188)*IF(G188="",0,G188)),2))</f>
        <v>0</v>
      </c>
      <c r="T188" s="20">
        <f>IF(B188="","",ROUND(IF(K188&lt;&gt;"",K188,IF(R188="",0,R188)*IF(G188="",0,G188)/60)*LaborCostHour,2))</f>
        <v>0</v>
      </c>
      <c r="U188" s="20">
        <f>IF(B188="","",ROUND(S188+T188+IF(L188="",0,L188)-IF(I188="",0,I188),2))</f>
        <v>0</v>
      </c>
      <c r="V188" s="20">
        <f>IF(B188="","",IF(O188=0,"",ROUND(U188/O188,2)))</f>
        <v>0</v>
      </c>
      <c r="W188" s="20">
        <f>IF(B188="","",IFERROR(INDEX(Products!$AH$5:$AH$304,MATCH(B188,Products!$A$5:$A$304,0)),""))</f>
        <v>0</v>
      </c>
      <c r="X188" s="20">
        <f>IF(B188="","",IF(OR(V188="",W188=""),"",ROUND(V188-W188,2)))</f>
        <v>0</v>
      </c>
      <c r="Y188" s="33">
        <f>IF(B188="","",IF(OR(X188="",W188="",W188=0),"",X188/W188))</f>
        <v>0</v>
      </c>
      <c r="Z188" s="36">
        <f>IF(B188="","",IF(OR(K188="",G188="",G188=0),"",ROUND(K188*60/G188,1)))</f>
        <v>0</v>
      </c>
      <c r="AA188" s="36">
        <f>IF(B188="","",IF(OR(Z188="",R188=""),"",ROUND(Z188-R188,1)))</f>
        <v>0</v>
      </c>
      <c r="AB188" s="20">
        <f>IF(B188="","",IFERROR(ROUND(O188*INDEX(Products!$AR$5:$AR$304,MATCH(B188,Products!$A$5:$A$304,0)),2),""))</f>
        <v>0</v>
      </c>
      <c r="AC188" s="20">
        <f>IF(B188="","",IF(AB188="","",ROUND(AB188-U188,2)))</f>
        <v>0</v>
      </c>
      <c r="AD188" s="32">
        <f>IF(B188="","",IF(OR(D188="",E188=""),"",E188-D188))</f>
        <v>0</v>
      </c>
      <c r="AE188" s="43">
        <f>IF(B188="","",IF(G188="","Planned - nothing made yet",IF(O188=0,"Check - no good units",IF(AND(Y188&lt;&gt;"",Y188&gt;0.15),"Check - costing 15% more than the estimate",IF(AND(P188&lt;&gt;"",P188&gt;DefaultDefect*2),"Check - high failure rate",IF(AND(AA188&lt;&gt;"",AA188&gt;5),"Check - taking longer than estimated",IF(AC188&lt;0,"Loss - this run lost money","OK")))))))</f>
        <v>0</v>
      </c>
    </row>
    <row r="189" spans="1:31">
      <c r="A189" s="38">
        <f>IF(B189="","",BatchPrefix&amp;TEXT(ROW()-4,"0000"))</f>
        <v>0</v>
      </c>
      <c r="C189" s="13">
        <f>IF(B189="","",IFERROR(INDEX(Products!$B$5:$B$304,MATCH(B189,Products!$A$5:$A$304,0)),"Not found"))</f>
        <v>0</v>
      </c>
      <c r="O189" s="32">
        <f>IF(B189="","",MAX(0,IF(G189="",0,G189)-IF(H189="",0,H189)))</f>
        <v>0</v>
      </c>
      <c r="P189" s="33">
        <f>IF(B189="","",IF(OR(G189="",G189=0),"",IF(H189="",0,H189)/G189))</f>
        <v>0</v>
      </c>
      <c r="Q189" s="20">
        <f>IF(B189="","",IFERROR(INDEX(Products!$T$5:$T$304,MATCH(B189,Products!$A$5:$A$304,0)),""))</f>
        <v>0</v>
      </c>
      <c r="R189" s="36">
        <f>IF(B189="","",IFERROR(INDEX(Products!$X$5:$X$304,MATCH(B189,Products!$A$5:$A$304,0)),""))</f>
        <v>0</v>
      </c>
      <c r="S189" s="20">
        <f>IF(B189="","",ROUND(IF(J189&lt;&gt;"",J189,IF(Q189="",0,Q189)*IF(G189="",0,G189)),2))</f>
        <v>0</v>
      </c>
      <c r="T189" s="20">
        <f>IF(B189="","",ROUND(IF(K189&lt;&gt;"",K189,IF(R189="",0,R189)*IF(G189="",0,G189)/60)*LaborCostHour,2))</f>
        <v>0</v>
      </c>
      <c r="U189" s="20">
        <f>IF(B189="","",ROUND(S189+T189+IF(L189="",0,L189)-IF(I189="",0,I189),2))</f>
        <v>0</v>
      </c>
      <c r="V189" s="20">
        <f>IF(B189="","",IF(O189=0,"",ROUND(U189/O189,2)))</f>
        <v>0</v>
      </c>
      <c r="W189" s="20">
        <f>IF(B189="","",IFERROR(INDEX(Products!$AH$5:$AH$304,MATCH(B189,Products!$A$5:$A$304,0)),""))</f>
        <v>0</v>
      </c>
      <c r="X189" s="20">
        <f>IF(B189="","",IF(OR(V189="",W189=""),"",ROUND(V189-W189,2)))</f>
        <v>0</v>
      </c>
      <c r="Y189" s="33">
        <f>IF(B189="","",IF(OR(X189="",W189="",W189=0),"",X189/W189))</f>
        <v>0</v>
      </c>
      <c r="Z189" s="36">
        <f>IF(B189="","",IF(OR(K189="",G189="",G189=0),"",ROUND(K189*60/G189,1)))</f>
        <v>0</v>
      </c>
      <c r="AA189" s="36">
        <f>IF(B189="","",IF(OR(Z189="",R189=""),"",ROUND(Z189-R189,1)))</f>
        <v>0</v>
      </c>
      <c r="AB189" s="20">
        <f>IF(B189="","",IFERROR(ROUND(O189*INDEX(Products!$AR$5:$AR$304,MATCH(B189,Products!$A$5:$A$304,0)),2),""))</f>
        <v>0</v>
      </c>
      <c r="AC189" s="20">
        <f>IF(B189="","",IF(AB189="","",ROUND(AB189-U189,2)))</f>
        <v>0</v>
      </c>
      <c r="AD189" s="32">
        <f>IF(B189="","",IF(OR(D189="",E189=""),"",E189-D189))</f>
        <v>0</v>
      </c>
      <c r="AE189" s="43">
        <f>IF(B189="","",IF(G189="","Planned - nothing made yet",IF(O189=0,"Check - no good units",IF(AND(Y189&lt;&gt;"",Y189&gt;0.15),"Check - costing 15% more than the estimate",IF(AND(P189&lt;&gt;"",P189&gt;DefaultDefect*2),"Check - high failure rate",IF(AND(AA189&lt;&gt;"",AA189&gt;5),"Check - taking longer than estimated",IF(AC189&lt;0,"Loss - this run lost money","OK")))))))</f>
        <v>0</v>
      </c>
    </row>
    <row r="190" spans="1:31">
      <c r="A190" s="38">
        <f>IF(B190="","",BatchPrefix&amp;TEXT(ROW()-4,"0000"))</f>
        <v>0</v>
      </c>
      <c r="C190" s="13">
        <f>IF(B190="","",IFERROR(INDEX(Products!$B$5:$B$304,MATCH(B190,Products!$A$5:$A$304,0)),"Not found"))</f>
        <v>0</v>
      </c>
      <c r="O190" s="32">
        <f>IF(B190="","",MAX(0,IF(G190="",0,G190)-IF(H190="",0,H190)))</f>
        <v>0</v>
      </c>
      <c r="P190" s="33">
        <f>IF(B190="","",IF(OR(G190="",G190=0),"",IF(H190="",0,H190)/G190))</f>
        <v>0</v>
      </c>
      <c r="Q190" s="20">
        <f>IF(B190="","",IFERROR(INDEX(Products!$T$5:$T$304,MATCH(B190,Products!$A$5:$A$304,0)),""))</f>
        <v>0</v>
      </c>
      <c r="R190" s="36">
        <f>IF(B190="","",IFERROR(INDEX(Products!$X$5:$X$304,MATCH(B190,Products!$A$5:$A$304,0)),""))</f>
        <v>0</v>
      </c>
      <c r="S190" s="20">
        <f>IF(B190="","",ROUND(IF(J190&lt;&gt;"",J190,IF(Q190="",0,Q190)*IF(G190="",0,G190)),2))</f>
        <v>0</v>
      </c>
      <c r="T190" s="20">
        <f>IF(B190="","",ROUND(IF(K190&lt;&gt;"",K190,IF(R190="",0,R190)*IF(G190="",0,G190)/60)*LaborCostHour,2))</f>
        <v>0</v>
      </c>
      <c r="U190" s="20">
        <f>IF(B190="","",ROUND(S190+T190+IF(L190="",0,L190)-IF(I190="",0,I190),2))</f>
        <v>0</v>
      </c>
      <c r="V190" s="20">
        <f>IF(B190="","",IF(O190=0,"",ROUND(U190/O190,2)))</f>
        <v>0</v>
      </c>
      <c r="W190" s="20">
        <f>IF(B190="","",IFERROR(INDEX(Products!$AH$5:$AH$304,MATCH(B190,Products!$A$5:$A$304,0)),""))</f>
        <v>0</v>
      </c>
      <c r="X190" s="20">
        <f>IF(B190="","",IF(OR(V190="",W190=""),"",ROUND(V190-W190,2)))</f>
        <v>0</v>
      </c>
      <c r="Y190" s="33">
        <f>IF(B190="","",IF(OR(X190="",W190="",W190=0),"",X190/W190))</f>
        <v>0</v>
      </c>
      <c r="Z190" s="36">
        <f>IF(B190="","",IF(OR(K190="",G190="",G190=0),"",ROUND(K190*60/G190,1)))</f>
        <v>0</v>
      </c>
      <c r="AA190" s="36">
        <f>IF(B190="","",IF(OR(Z190="",R190=""),"",ROUND(Z190-R190,1)))</f>
        <v>0</v>
      </c>
      <c r="AB190" s="20">
        <f>IF(B190="","",IFERROR(ROUND(O190*INDEX(Products!$AR$5:$AR$304,MATCH(B190,Products!$A$5:$A$304,0)),2),""))</f>
        <v>0</v>
      </c>
      <c r="AC190" s="20">
        <f>IF(B190="","",IF(AB190="","",ROUND(AB190-U190,2)))</f>
        <v>0</v>
      </c>
      <c r="AD190" s="32">
        <f>IF(B190="","",IF(OR(D190="",E190=""),"",E190-D190))</f>
        <v>0</v>
      </c>
      <c r="AE190" s="43">
        <f>IF(B190="","",IF(G190="","Planned - nothing made yet",IF(O190=0,"Check - no good units",IF(AND(Y190&lt;&gt;"",Y190&gt;0.15),"Check - costing 15% more than the estimate",IF(AND(P190&lt;&gt;"",P190&gt;DefaultDefect*2),"Check - high failure rate",IF(AND(AA190&lt;&gt;"",AA190&gt;5),"Check - taking longer than estimated",IF(AC190&lt;0,"Loss - this run lost money","OK")))))))</f>
        <v>0</v>
      </c>
    </row>
    <row r="191" spans="1:31">
      <c r="A191" s="38">
        <f>IF(B191="","",BatchPrefix&amp;TEXT(ROW()-4,"0000"))</f>
        <v>0</v>
      </c>
      <c r="C191" s="13">
        <f>IF(B191="","",IFERROR(INDEX(Products!$B$5:$B$304,MATCH(B191,Products!$A$5:$A$304,0)),"Not found"))</f>
        <v>0</v>
      </c>
      <c r="O191" s="32">
        <f>IF(B191="","",MAX(0,IF(G191="",0,G191)-IF(H191="",0,H191)))</f>
        <v>0</v>
      </c>
      <c r="P191" s="33">
        <f>IF(B191="","",IF(OR(G191="",G191=0),"",IF(H191="",0,H191)/G191))</f>
        <v>0</v>
      </c>
      <c r="Q191" s="20">
        <f>IF(B191="","",IFERROR(INDEX(Products!$T$5:$T$304,MATCH(B191,Products!$A$5:$A$304,0)),""))</f>
        <v>0</v>
      </c>
      <c r="R191" s="36">
        <f>IF(B191="","",IFERROR(INDEX(Products!$X$5:$X$304,MATCH(B191,Products!$A$5:$A$304,0)),""))</f>
        <v>0</v>
      </c>
      <c r="S191" s="20">
        <f>IF(B191="","",ROUND(IF(J191&lt;&gt;"",J191,IF(Q191="",0,Q191)*IF(G191="",0,G191)),2))</f>
        <v>0</v>
      </c>
      <c r="T191" s="20">
        <f>IF(B191="","",ROUND(IF(K191&lt;&gt;"",K191,IF(R191="",0,R191)*IF(G191="",0,G191)/60)*LaborCostHour,2))</f>
        <v>0</v>
      </c>
      <c r="U191" s="20">
        <f>IF(B191="","",ROUND(S191+T191+IF(L191="",0,L191)-IF(I191="",0,I191),2))</f>
        <v>0</v>
      </c>
      <c r="V191" s="20">
        <f>IF(B191="","",IF(O191=0,"",ROUND(U191/O191,2)))</f>
        <v>0</v>
      </c>
      <c r="W191" s="20">
        <f>IF(B191="","",IFERROR(INDEX(Products!$AH$5:$AH$304,MATCH(B191,Products!$A$5:$A$304,0)),""))</f>
        <v>0</v>
      </c>
      <c r="X191" s="20">
        <f>IF(B191="","",IF(OR(V191="",W191=""),"",ROUND(V191-W191,2)))</f>
        <v>0</v>
      </c>
      <c r="Y191" s="33">
        <f>IF(B191="","",IF(OR(X191="",W191="",W191=0),"",X191/W191))</f>
        <v>0</v>
      </c>
      <c r="Z191" s="36">
        <f>IF(B191="","",IF(OR(K191="",G191="",G191=0),"",ROUND(K191*60/G191,1)))</f>
        <v>0</v>
      </c>
      <c r="AA191" s="36">
        <f>IF(B191="","",IF(OR(Z191="",R191=""),"",ROUND(Z191-R191,1)))</f>
        <v>0</v>
      </c>
      <c r="AB191" s="20">
        <f>IF(B191="","",IFERROR(ROUND(O191*INDEX(Products!$AR$5:$AR$304,MATCH(B191,Products!$A$5:$A$304,0)),2),""))</f>
        <v>0</v>
      </c>
      <c r="AC191" s="20">
        <f>IF(B191="","",IF(AB191="","",ROUND(AB191-U191,2)))</f>
        <v>0</v>
      </c>
      <c r="AD191" s="32">
        <f>IF(B191="","",IF(OR(D191="",E191=""),"",E191-D191))</f>
        <v>0</v>
      </c>
      <c r="AE191" s="43">
        <f>IF(B191="","",IF(G191="","Planned - nothing made yet",IF(O191=0,"Check - no good units",IF(AND(Y191&lt;&gt;"",Y191&gt;0.15),"Check - costing 15% more than the estimate",IF(AND(P191&lt;&gt;"",P191&gt;DefaultDefect*2),"Check - high failure rate",IF(AND(AA191&lt;&gt;"",AA191&gt;5),"Check - taking longer than estimated",IF(AC191&lt;0,"Loss - this run lost money","OK")))))))</f>
        <v>0</v>
      </c>
    </row>
    <row r="192" spans="1:31">
      <c r="A192" s="38">
        <f>IF(B192="","",BatchPrefix&amp;TEXT(ROW()-4,"0000"))</f>
        <v>0</v>
      </c>
      <c r="C192" s="13">
        <f>IF(B192="","",IFERROR(INDEX(Products!$B$5:$B$304,MATCH(B192,Products!$A$5:$A$304,0)),"Not found"))</f>
        <v>0</v>
      </c>
      <c r="O192" s="32">
        <f>IF(B192="","",MAX(0,IF(G192="",0,G192)-IF(H192="",0,H192)))</f>
        <v>0</v>
      </c>
      <c r="P192" s="33">
        <f>IF(B192="","",IF(OR(G192="",G192=0),"",IF(H192="",0,H192)/G192))</f>
        <v>0</v>
      </c>
      <c r="Q192" s="20">
        <f>IF(B192="","",IFERROR(INDEX(Products!$T$5:$T$304,MATCH(B192,Products!$A$5:$A$304,0)),""))</f>
        <v>0</v>
      </c>
      <c r="R192" s="36">
        <f>IF(B192="","",IFERROR(INDEX(Products!$X$5:$X$304,MATCH(B192,Products!$A$5:$A$304,0)),""))</f>
        <v>0</v>
      </c>
      <c r="S192" s="20">
        <f>IF(B192="","",ROUND(IF(J192&lt;&gt;"",J192,IF(Q192="",0,Q192)*IF(G192="",0,G192)),2))</f>
        <v>0</v>
      </c>
      <c r="T192" s="20">
        <f>IF(B192="","",ROUND(IF(K192&lt;&gt;"",K192,IF(R192="",0,R192)*IF(G192="",0,G192)/60)*LaborCostHour,2))</f>
        <v>0</v>
      </c>
      <c r="U192" s="20">
        <f>IF(B192="","",ROUND(S192+T192+IF(L192="",0,L192)-IF(I192="",0,I192),2))</f>
        <v>0</v>
      </c>
      <c r="V192" s="20">
        <f>IF(B192="","",IF(O192=0,"",ROUND(U192/O192,2)))</f>
        <v>0</v>
      </c>
      <c r="W192" s="20">
        <f>IF(B192="","",IFERROR(INDEX(Products!$AH$5:$AH$304,MATCH(B192,Products!$A$5:$A$304,0)),""))</f>
        <v>0</v>
      </c>
      <c r="X192" s="20">
        <f>IF(B192="","",IF(OR(V192="",W192=""),"",ROUND(V192-W192,2)))</f>
        <v>0</v>
      </c>
      <c r="Y192" s="33">
        <f>IF(B192="","",IF(OR(X192="",W192="",W192=0),"",X192/W192))</f>
        <v>0</v>
      </c>
      <c r="Z192" s="36">
        <f>IF(B192="","",IF(OR(K192="",G192="",G192=0),"",ROUND(K192*60/G192,1)))</f>
        <v>0</v>
      </c>
      <c r="AA192" s="36">
        <f>IF(B192="","",IF(OR(Z192="",R192=""),"",ROUND(Z192-R192,1)))</f>
        <v>0</v>
      </c>
      <c r="AB192" s="20">
        <f>IF(B192="","",IFERROR(ROUND(O192*INDEX(Products!$AR$5:$AR$304,MATCH(B192,Products!$A$5:$A$304,0)),2),""))</f>
        <v>0</v>
      </c>
      <c r="AC192" s="20">
        <f>IF(B192="","",IF(AB192="","",ROUND(AB192-U192,2)))</f>
        <v>0</v>
      </c>
      <c r="AD192" s="32">
        <f>IF(B192="","",IF(OR(D192="",E192=""),"",E192-D192))</f>
        <v>0</v>
      </c>
      <c r="AE192" s="43">
        <f>IF(B192="","",IF(G192="","Planned - nothing made yet",IF(O192=0,"Check - no good units",IF(AND(Y192&lt;&gt;"",Y192&gt;0.15),"Check - costing 15% more than the estimate",IF(AND(P192&lt;&gt;"",P192&gt;DefaultDefect*2),"Check - high failure rate",IF(AND(AA192&lt;&gt;"",AA192&gt;5),"Check - taking longer than estimated",IF(AC192&lt;0,"Loss - this run lost money","OK")))))))</f>
        <v>0</v>
      </c>
    </row>
    <row r="193" spans="1:31">
      <c r="A193" s="38">
        <f>IF(B193="","",BatchPrefix&amp;TEXT(ROW()-4,"0000"))</f>
        <v>0</v>
      </c>
      <c r="C193" s="13">
        <f>IF(B193="","",IFERROR(INDEX(Products!$B$5:$B$304,MATCH(B193,Products!$A$5:$A$304,0)),"Not found"))</f>
        <v>0</v>
      </c>
      <c r="O193" s="32">
        <f>IF(B193="","",MAX(0,IF(G193="",0,G193)-IF(H193="",0,H193)))</f>
        <v>0</v>
      </c>
      <c r="P193" s="33">
        <f>IF(B193="","",IF(OR(G193="",G193=0),"",IF(H193="",0,H193)/G193))</f>
        <v>0</v>
      </c>
      <c r="Q193" s="20">
        <f>IF(B193="","",IFERROR(INDEX(Products!$T$5:$T$304,MATCH(B193,Products!$A$5:$A$304,0)),""))</f>
        <v>0</v>
      </c>
      <c r="R193" s="36">
        <f>IF(B193="","",IFERROR(INDEX(Products!$X$5:$X$304,MATCH(B193,Products!$A$5:$A$304,0)),""))</f>
        <v>0</v>
      </c>
      <c r="S193" s="20">
        <f>IF(B193="","",ROUND(IF(J193&lt;&gt;"",J193,IF(Q193="",0,Q193)*IF(G193="",0,G193)),2))</f>
        <v>0</v>
      </c>
      <c r="T193" s="20">
        <f>IF(B193="","",ROUND(IF(K193&lt;&gt;"",K193,IF(R193="",0,R193)*IF(G193="",0,G193)/60)*LaborCostHour,2))</f>
        <v>0</v>
      </c>
      <c r="U193" s="20">
        <f>IF(B193="","",ROUND(S193+T193+IF(L193="",0,L193)-IF(I193="",0,I193),2))</f>
        <v>0</v>
      </c>
      <c r="V193" s="20">
        <f>IF(B193="","",IF(O193=0,"",ROUND(U193/O193,2)))</f>
        <v>0</v>
      </c>
      <c r="W193" s="20">
        <f>IF(B193="","",IFERROR(INDEX(Products!$AH$5:$AH$304,MATCH(B193,Products!$A$5:$A$304,0)),""))</f>
        <v>0</v>
      </c>
      <c r="X193" s="20">
        <f>IF(B193="","",IF(OR(V193="",W193=""),"",ROUND(V193-W193,2)))</f>
        <v>0</v>
      </c>
      <c r="Y193" s="33">
        <f>IF(B193="","",IF(OR(X193="",W193="",W193=0),"",X193/W193))</f>
        <v>0</v>
      </c>
      <c r="Z193" s="36">
        <f>IF(B193="","",IF(OR(K193="",G193="",G193=0),"",ROUND(K193*60/G193,1)))</f>
        <v>0</v>
      </c>
      <c r="AA193" s="36">
        <f>IF(B193="","",IF(OR(Z193="",R193=""),"",ROUND(Z193-R193,1)))</f>
        <v>0</v>
      </c>
      <c r="AB193" s="20">
        <f>IF(B193="","",IFERROR(ROUND(O193*INDEX(Products!$AR$5:$AR$304,MATCH(B193,Products!$A$5:$A$304,0)),2),""))</f>
        <v>0</v>
      </c>
      <c r="AC193" s="20">
        <f>IF(B193="","",IF(AB193="","",ROUND(AB193-U193,2)))</f>
        <v>0</v>
      </c>
      <c r="AD193" s="32">
        <f>IF(B193="","",IF(OR(D193="",E193=""),"",E193-D193))</f>
        <v>0</v>
      </c>
      <c r="AE193" s="43">
        <f>IF(B193="","",IF(G193="","Planned - nothing made yet",IF(O193=0,"Check - no good units",IF(AND(Y193&lt;&gt;"",Y193&gt;0.15),"Check - costing 15% more than the estimate",IF(AND(P193&lt;&gt;"",P193&gt;DefaultDefect*2),"Check - high failure rate",IF(AND(AA193&lt;&gt;"",AA193&gt;5),"Check - taking longer than estimated",IF(AC193&lt;0,"Loss - this run lost money","OK")))))))</f>
        <v>0</v>
      </c>
    </row>
    <row r="194" spans="1:31">
      <c r="A194" s="38">
        <f>IF(B194="","",BatchPrefix&amp;TEXT(ROW()-4,"0000"))</f>
        <v>0</v>
      </c>
      <c r="C194" s="13">
        <f>IF(B194="","",IFERROR(INDEX(Products!$B$5:$B$304,MATCH(B194,Products!$A$5:$A$304,0)),"Not found"))</f>
        <v>0</v>
      </c>
      <c r="O194" s="32">
        <f>IF(B194="","",MAX(0,IF(G194="",0,G194)-IF(H194="",0,H194)))</f>
        <v>0</v>
      </c>
      <c r="P194" s="33">
        <f>IF(B194="","",IF(OR(G194="",G194=0),"",IF(H194="",0,H194)/G194))</f>
        <v>0</v>
      </c>
      <c r="Q194" s="20">
        <f>IF(B194="","",IFERROR(INDEX(Products!$T$5:$T$304,MATCH(B194,Products!$A$5:$A$304,0)),""))</f>
        <v>0</v>
      </c>
      <c r="R194" s="36">
        <f>IF(B194="","",IFERROR(INDEX(Products!$X$5:$X$304,MATCH(B194,Products!$A$5:$A$304,0)),""))</f>
        <v>0</v>
      </c>
      <c r="S194" s="20">
        <f>IF(B194="","",ROUND(IF(J194&lt;&gt;"",J194,IF(Q194="",0,Q194)*IF(G194="",0,G194)),2))</f>
        <v>0</v>
      </c>
      <c r="T194" s="20">
        <f>IF(B194="","",ROUND(IF(K194&lt;&gt;"",K194,IF(R194="",0,R194)*IF(G194="",0,G194)/60)*LaborCostHour,2))</f>
        <v>0</v>
      </c>
      <c r="U194" s="20">
        <f>IF(B194="","",ROUND(S194+T194+IF(L194="",0,L194)-IF(I194="",0,I194),2))</f>
        <v>0</v>
      </c>
      <c r="V194" s="20">
        <f>IF(B194="","",IF(O194=0,"",ROUND(U194/O194,2)))</f>
        <v>0</v>
      </c>
      <c r="W194" s="20">
        <f>IF(B194="","",IFERROR(INDEX(Products!$AH$5:$AH$304,MATCH(B194,Products!$A$5:$A$304,0)),""))</f>
        <v>0</v>
      </c>
      <c r="X194" s="20">
        <f>IF(B194="","",IF(OR(V194="",W194=""),"",ROUND(V194-W194,2)))</f>
        <v>0</v>
      </c>
      <c r="Y194" s="33">
        <f>IF(B194="","",IF(OR(X194="",W194="",W194=0),"",X194/W194))</f>
        <v>0</v>
      </c>
      <c r="Z194" s="36">
        <f>IF(B194="","",IF(OR(K194="",G194="",G194=0),"",ROUND(K194*60/G194,1)))</f>
        <v>0</v>
      </c>
      <c r="AA194" s="36">
        <f>IF(B194="","",IF(OR(Z194="",R194=""),"",ROUND(Z194-R194,1)))</f>
        <v>0</v>
      </c>
      <c r="AB194" s="20">
        <f>IF(B194="","",IFERROR(ROUND(O194*INDEX(Products!$AR$5:$AR$304,MATCH(B194,Products!$A$5:$A$304,0)),2),""))</f>
        <v>0</v>
      </c>
      <c r="AC194" s="20">
        <f>IF(B194="","",IF(AB194="","",ROUND(AB194-U194,2)))</f>
        <v>0</v>
      </c>
      <c r="AD194" s="32">
        <f>IF(B194="","",IF(OR(D194="",E194=""),"",E194-D194))</f>
        <v>0</v>
      </c>
      <c r="AE194" s="43">
        <f>IF(B194="","",IF(G194="","Planned - nothing made yet",IF(O194=0,"Check - no good units",IF(AND(Y194&lt;&gt;"",Y194&gt;0.15),"Check - costing 15% more than the estimate",IF(AND(P194&lt;&gt;"",P194&gt;DefaultDefect*2),"Check - high failure rate",IF(AND(AA194&lt;&gt;"",AA194&gt;5),"Check - taking longer than estimated",IF(AC194&lt;0,"Loss - this run lost money","OK")))))))</f>
        <v>0</v>
      </c>
    </row>
    <row r="195" spans="1:31">
      <c r="A195" s="38">
        <f>IF(B195="","",BatchPrefix&amp;TEXT(ROW()-4,"0000"))</f>
        <v>0</v>
      </c>
      <c r="C195" s="13">
        <f>IF(B195="","",IFERROR(INDEX(Products!$B$5:$B$304,MATCH(B195,Products!$A$5:$A$304,0)),"Not found"))</f>
        <v>0</v>
      </c>
      <c r="O195" s="32">
        <f>IF(B195="","",MAX(0,IF(G195="",0,G195)-IF(H195="",0,H195)))</f>
        <v>0</v>
      </c>
      <c r="P195" s="33">
        <f>IF(B195="","",IF(OR(G195="",G195=0),"",IF(H195="",0,H195)/G195))</f>
        <v>0</v>
      </c>
      <c r="Q195" s="20">
        <f>IF(B195="","",IFERROR(INDEX(Products!$T$5:$T$304,MATCH(B195,Products!$A$5:$A$304,0)),""))</f>
        <v>0</v>
      </c>
      <c r="R195" s="36">
        <f>IF(B195="","",IFERROR(INDEX(Products!$X$5:$X$304,MATCH(B195,Products!$A$5:$A$304,0)),""))</f>
        <v>0</v>
      </c>
      <c r="S195" s="20">
        <f>IF(B195="","",ROUND(IF(J195&lt;&gt;"",J195,IF(Q195="",0,Q195)*IF(G195="",0,G195)),2))</f>
        <v>0</v>
      </c>
      <c r="T195" s="20">
        <f>IF(B195="","",ROUND(IF(K195&lt;&gt;"",K195,IF(R195="",0,R195)*IF(G195="",0,G195)/60)*LaborCostHour,2))</f>
        <v>0</v>
      </c>
      <c r="U195" s="20">
        <f>IF(B195="","",ROUND(S195+T195+IF(L195="",0,L195)-IF(I195="",0,I195),2))</f>
        <v>0</v>
      </c>
      <c r="V195" s="20">
        <f>IF(B195="","",IF(O195=0,"",ROUND(U195/O195,2)))</f>
        <v>0</v>
      </c>
      <c r="W195" s="20">
        <f>IF(B195="","",IFERROR(INDEX(Products!$AH$5:$AH$304,MATCH(B195,Products!$A$5:$A$304,0)),""))</f>
        <v>0</v>
      </c>
      <c r="X195" s="20">
        <f>IF(B195="","",IF(OR(V195="",W195=""),"",ROUND(V195-W195,2)))</f>
        <v>0</v>
      </c>
      <c r="Y195" s="33">
        <f>IF(B195="","",IF(OR(X195="",W195="",W195=0),"",X195/W195))</f>
        <v>0</v>
      </c>
      <c r="Z195" s="36">
        <f>IF(B195="","",IF(OR(K195="",G195="",G195=0),"",ROUND(K195*60/G195,1)))</f>
        <v>0</v>
      </c>
      <c r="AA195" s="36">
        <f>IF(B195="","",IF(OR(Z195="",R195=""),"",ROUND(Z195-R195,1)))</f>
        <v>0</v>
      </c>
      <c r="AB195" s="20">
        <f>IF(B195="","",IFERROR(ROUND(O195*INDEX(Products!$AR$5:$AR$304,MATCH(B195,Products!$A$5:$A$304,0)),2),""))</f>
        <v>0</v>
      </c>
      <c r="AC195" s="20">
        <f>IF(B195="","",IF(AB195="","",ROUND(AB195-U195,2)))</f>
        <v>0</v>
      </c>
      <c r="AD195" s="32">
        <f>IF(B195="","",IF(OR(D195="",E195=""),"",E195-D195))</f>
        <v>0</v>
      </c>
      <c r="AE195" s="43">
        <f>IF(B195="","",IF(G195="","Planned - nothing made yet",IF(O195=0,"Check - no good units",IF(AND(Y195&lt;&gt;"",Y195&gt;0.15),"Check - costing 15% more than the estimate",IF(AND(P195&lt;&gt;"",P195&gt;DefaultDefect*2),"Check - high failure rate",IF(AND(AA195&lt;&gt;"",AA195&gt;5),"Check - taking longer than estimated",IF(AC195&lt;0,"Loss - this run lost money","OK")))))))</f>
        <v>0</v>
      </c>
    </row>
    <row r="196" spans="1:31">
      <c r="A196" s="38">
        <f>IF(B196="","",BatchPrefix&amp;TEXT(ROW()-4,"0000"))</f>
        <v>0</v>
      </c>
      <c r="C196" s="13">
        <f>IF(B196="","",IFERROR(INDEX(Products!$B$5:$B$304,MATCH(B196,Products!$A$5:$A$304,0)),"Not found"))</f>
        <v>0</v>
      </c>
      <c r="O196" s="32">
        <f>IF(B196="","",MAX(0,IF(G196="",0,G196)-IF(H196="",0,H196)))</f>
        <v>0</v>
      </c>
      <c r="P196" s="33">
        <f>IF(B196="","",IF(OR(G196="",G196=0),"",IF(H196="",0,H196)/G196))</f>
        <v>0</v>
      </c>
      <c r="Q196" s="20">
        <f>IF(B196="","",IFERROR(INDEX(Products!$T$5:$T$304,MATCH(B196,Products!$A$5:$A$304,0)),""))</f>
        <v>0</v>
      </c>
      <c r="R196" s="36">
        <f>IF(B196="","",IFERROR(INDEX(Products!$X$5:$X$304,MATCH(B196,Products!$A$5:$A$304,0)),""))</f>
        <v>0</v>
      </c>
      <c r="S196" s="20">
        <f>IF(B196="","",ROUND(IF(J196&lt;&gt;"",J196,IF(Q196="",0,Q196)*IF(G196="",0,G196)),2))</f>
        <v>0</v>
      </c>
      <c r="T196" s="20">
        <f>IF(B196="","",ROUND(IF(K196&lt;&gt;"",K196,IF(R196="",0,R196)*IF(G196="",0,G196)/60)*LaborCostHour,2))</f>
        <v>0</v>
      </c>
      <c r="U196" s="20">
        <f>IF(B196="","",ROUND(S196+T196+IF(L196="",0,L196)-IF(I196="",0,I196),2))</f>
        <v>0</v>
      </c>
      <c r="V196" s="20">
        <f>IF(B196="","",IF(O196=0,"",ROUND(U196/O196,2)))</f>
        <v>0</v>
      </c>
      <c r="W196" s="20">
        <f>IF(B196="","",IFERROR(INDEX(Products!$AH$5:$AH$304,MATCH(B196,Products!$A$5:$A$304,0)),""))</f>
        <v>0</v>
      </c>
      <c r="X196" s="20">
        <f>IF(B196="","",IF(OR(V196="",W196=""),"",ROUND(V196-W196,2)))</f>
        <v>0</v>
      </c>
      <c r="Y196" s="33">
        <f>IF(B196="","",IF(OR(X196="",W196="",W196=0),"",X196/W196))</f>
        <v>0</v>
      </c>
      <c r="Z196" s="36">
        <f>IF(B196="","",IF(OR(K196="",G196="",G196=0),"",ROUND(K196*60/G196,1)))</f>
        <v>0</v>
      </c>
      <c r="AA196" s="36">
        <f>IF(B196="","",IF(OR(Z196="",R196=""),"",ROUND(Z196-R196,1)))</f>
        <v>0</v>
      </c>
      <c r="AB196" s="20">
        <f>IF(B196="","",IFERROR(ROUND(O196*INDEX(Products!$AR$5:$AR$304,MATCH(B196,Products!$A$5:$A$304,0)),2),""))</f>
        <v>0</v>
      </c>
      <c r="AC196" s="20">
        <f>IF(B196="","",IF(AB196="","",ROUND(AB196-U196,2)))</f>
        <v>0</v>
      </c>
      <c r="AD196" s="32">
        <f>IF(B196="","",IF(OR(D196="",E196=""),"",E196-D196))</f>
        <v>0</v>
      </c>
      <c r="AE196" s="43">
        <f>IF(B196="","",IF(G196="","Planned - nothing made yet",IF(O196=0,"Check - no good units",IF(AND(Y196&lt;&gt;"",Y196&gt;0.15),"Check - costing 15% more than the estimate",IF(AND(P196&lt;&gt;"",P196&gt;DefaultDefect*2),"Check - high failure rate",IF(AND(AA196&lt;&gt;"",AA196&gt;5),"Check - taking longer than estimated",IF(AC196&lt;0,"Loss - this run lost money","OK")))))))</f>
        <v>0</v>
      </c>
    </row>
    <row r="197" spans="1:31">
      <c r="A197" s="38">
        <f>IF(B197="","",BatchPrefix&amp;TEXT(ROW()-4,"0000"))</f>
        <v>0</v>
      </c>
      <c r="C197" s="13">
        <f>IF(B197="","",IFERROR(INDEX(Products!$B$5:$B$304,MATCH(B197,Products!$A$5:$A$304,0)),"Not found"))</f>
        <v>0</v>
      </c>
      <c r="O197" s="32">
        <f>IF(B197="","",MAX(0,IF(G197="",0,G197)-IF(H197="",0,H197)))</f>
        <v>0</v>
      </c>
      <c r="P197" s="33">
        <f>IF(B197="","",IF(OR(G197="",G197=0),"",IF(H197="",0,H197)/G197))</f>
        <v>0</v>
      </c>
      <c r="Q197" s="20">
        <f>IF(B197="","",IFERROR(INDEX(Products!$T$5:$T$304,MATCH(B197,Products!$A$5:$A$304,0)),""))</f>
        <v>0</v>
      </c>
      <c r="R197" s="36">
        <f>IF(B197="","",IFERROR(INDEX(Products!$X$5:$X$304,MATCH(B197,Products!$A$5:$A$304,0)),""))</f>
        <v>0</v>
      </c>
      <c r="S197" s="20">
        <f>IF(B197="","",ROUND(IF(J197&lt;&gt;"",J197,IF(Q197="",0,Q197)*IF(G197="",0,G197)),2))</f>
        <v>0</v>
      </c>
      <c r="T197" s="20">
        <f>IF(B197="","",ROUND(IF(K197&lt;&gt;"",K197,IF(R197="",0,R197)*IF(G197="",0,G197)/60)*LaborCostHour,2))</f>
        <v>0</v>
      </c>
      <c r="U197" s="20">
        <f>IF(B197="","",ROUND(S197+T197+IF(L197="",0,L197)-IF(I197="",0,I197),2))</f>
        <v>0</v>
      </c>
      <c r="V197" s="20">
        <f>IF(B197="","",IF(O197=0,"",ROUND(U197/O197,2)))</f>
        <v>0</v>
      </c>
      <c r="W197" s="20">
        <f>IF(B197="","",IFERROR(INDEX(Products!$AH$5:$AH$304,MATCH(B197,Products!$A$5:$A$304,0)),""))</f>
        <v>0</v>
      </c>
      <c r="X197" s="20">
        <f>IF(B197="","",IF(OR(V197="",W197=""),"",ROUND(V197-W197,2)))</f>
        <v>0</v>
      </c>
      <c r="Y197" s="33">
        <f>IF(B197="","",IF(OR(X197="",W197="",W197=0),"",X197/W197))</f>
        <v>0</v>
      </c>
      <c r="Z197" s="36">
        <f>IF(B197="","",IF(OR(K197="",G197="",G197=0),"",ROUND(K197*60/G197,1)))</f>
        <v>0</v>
      </c>
      <c r="AA197" s="36">
        <f>IF(B197="","",IF(OR(Z197="",R197=""),"",ROUND(Z197-R197,1)))</f>
        <v>0</v>
      </c>
      <c r="AB197" s="20">
        <f>IF(B197="","",IFERROR(ROUND(O197*INDEX(Products!$AR$5:$AR$304,MATCH(B197,Products!$A$5:$A$304,0)),2),""))</f>
        <v>0</v>
      </c>
      <c r="AC197" s="20">
        <f>IF(B197="","",IF(AB197="","",ROUND(AB197-U197,2)))</f>
        <v>0</v>
      </c>
      <c r="AD197" s="32">
        <f>IF(B197="","",IF(OR(D197="",E197=""),"",E197-D197))</f>
        <v>0</v>
      </c>
      <c r="AE197" s="43">
        <f>IF(B197="","",IF(G197="","Planned - nothing made yet",IF(O197=0,"Check - no good units",IF(AND(Y197&lt;&gt;"",Y197&gt;0.15),"Check - costing 15% more than the estimate",IF(AND(P197&lt;&gt;"",P197&gt;DefaultDefect*2),"Check - high failure rate",IF(AND(AA197&lt;&gt;"",AA197&gt;5),"Check - taking longer than estimated",IF(AC197&lt;0,"Loss - this run lost money","OK")))))))</f>
        <v>0</v>
      </c>
    </row>
    <row r="198" spans="1:31">
      <c r="A198" s="38">
        <f>IF(B198="","",BatchPrefix&amp;TEXT(ROW()-4,"0000"))</f>
        <v>0</v>
      </c>
      <c r="C198" s="13">
        <f>IF(B198="","",IFERROR(INDEX(Products!$B$5:$B$304,MATCH(B198,Products!$A$5:$A$304,0)),"Not found"))</f>
        <v>0</v>
      </c>
      <c r="O198" s="32">
        <f>IF(B198="","",MAX(0,IF(G198="",0,G198)-IF(H198="",0,H198)))</f>
        <v>0</v>
      </c>
      <c r="P198" s="33">
        <f>IF(B198="","",IF(OR(G198="",G198=0),"",IF(H198="",0,H198)/G198))</f>
        <v>0</v>
      </c>
      <c r="Q198" s="20">
        <f>IF(B198="","",IFERROR(INDEX(Products!$T$5:$T$304,MATCH(B198,Products!$A$5:$A$304,0)),""))</f>
        <v>0</v>
      </c>
      <c r="R198" s="36">
        <f>IF(B198="","",IFERROR(INDEX(Products!$X$5:$X$304,MATCH(B198,Products!$A$5:$A$304,0)),""))</f>
        <v>0</v>
      </c>
      <c r="S198" s="20">
        <f>IF(B198="","",ROUND(IF(J198&lt;&gt;"",J198,IF(Q198="",0,Q198)*IF(G198="",0,G198)),2))</f>
        <v>0</v>
      </c>
      <c r="T198" s="20">
        <f>IF(B198="","",ROUND(IF(K198&lt;&gt;"",K198,IF(R198="",0,R198)*IF(G198="",0,G198)/60)*LaborCostHour,2))</f>
        <v>0</v>
      </c>
      <c r="U198" s="20">
        <f>IF(B198="","",ROUND(S198+T198+IF(L198="",0,L198)-IF(I198="",0,I198),2))</f>
        <v>0</v>
      </c>
      <c r="V198" s="20">
        <f>IF(B198="","",IF(O198=0,"",ROUND(U198/O198,2)))</f>
        <v>0</v>
      </c>
      <c r="W198" s="20">
        <f>IF(B198="","",IFERROR(INDEX(Products!$AH$5:$AH$304,MATCH(B198,Products!$A$5:$A$304,0)),""))</f>
        <v>0</v>
      </c>
      <c r="X198" s="20">
        <f>IF(B198="","",IF(OR(V198="",W198=""),"",ROUND(V198-W198,2)))</f>
        <v>0</v>
      </c>
      <c r="Y198" s="33">
        <f>IF(B198="","",IF(OR(X198="",W198="",W198=0),"",X198/W198))</f>
        <v>0</v>
      </c>
      <c r="Z198" s="36">
        <f>IF(B198="","",IF(OR(K198="",G198="",G198=0),"",ROUND(K198*60/G198,1)))</f>
        <v>0</v>
      </c>
      <c r="AA198" s="36">
        <f>IF(B198="","",IF(OR(Z198="",R198=""),"",ROUND(Z198-R198,1)))</f>
        <v>0</v>
      </c>
      <c r="AB198" s="20">
        <f>IF(B198="","",IFERROR(ROUND(O198*INDEX(Products!$AR$5:$AR$304,MATCH(B198,Products!$A$5:$A$304,0)),2),""))</f>
        <v>0</v>
      </c>
      <c r="AC198" s="20">
        <f>IF(B198="","",IF(AB198="","",ROUND(AB198-U198,2)))</f>
        <v>0</v>
      </c>
      <c r="AD198" s="32">
        <f>IF(B198="","",IF(OR(D198="",E198=""),"",E198-D198))</f>
        <v>0</v>
      </c>
      <c r="AE198" s="43">
        <f>IF(B198="","",IF(G198="","Planned - nothing made yet",IF(O198=0,"Check - no good units",IF(AND(Y198&lt;&gt;"",Y198&gt;0.15),"Check - costing 15% more than the estimate",IF(AND(P198&lt;&gt;"",P198&gt;DefaultDefect*2),"Check - high failure rate",IF(AND(AA198&lt;&gt;"",AA198&gt;5),"Check - taking longer than estimated",IF(AC198&lt;0,"Loss - this run lost money","OK")))))))</f>
        <v>0</v>
      </c>
    </row>
    <row r="199" spans="1:31">
      <c r="A199" s="38">
        <f>IF(B199="","",BatchPrefix&amp;TEXT(ROW()-4,"0000"))</f>
        <v>0</v>
      </c>
      <c r="C199" s="13">
        <f>IF(B199="","",IFERROR(INDEX(Products!$B$5:$B$304,MATCH(B199,Products!$A$5:$A$304,0)),"Not found"))</f>
        <v>0</v>
      </c>
      <c r="O199" s="32">
        <f>IF(B199="","",MAX(0,IF(G199="",0,G199)-IF(H199="",0,H199)))</f>
        <v>0</v>
      </c>
      <c r="P199" s="33">
        <f>IF(B199="","",IF(OR(G199="",G199=0),"",IF(H199="",0,H199)/G199))</f>
        <v>0</v>
      </c>
      <c r="Q199" s="20">
        <f>IF(B199="","",IFERROR(INDEX(Products!$T$5:$T$304,MATCH(B199,Products!$A$5:$A$304,0)),""))</f>
        <v>0</v>
      </c>
      <c r="R199" s="36">
        <f>IF(B199="","",IFERROR(INDEX(Products!$X$5:$X$304,MATCH(B199,Products!$A$5:$A$304,0)),""))</f>
        <v>0</v>
      </c>
      <c r="S199" s="20">
        <f>IF(B199="","",ROUND(IF(J199&lt;&gt;"",J199,IF(Q199="",0,Q199)*IF(G199="",0,G199)),2))</f>
        <v>0</v>
      </c>
      <c r="T199" s="20">
        <f>IF(B199="","",ROUND(IF(K199&lt;&gt;"",K199,IF(R199="",0,R199)*IF(G199="",0,G199)/60)*LaborCostHour,2))</f>
        <v>0</v>
      </c>
      <c r="U199" s="20">
        <f>IF(B199="","",ROUND(S199+T199+IF(L199="",0,L199)-IF(I199="",0,I199),2))</f>
        <v>0</v>
      </c>
      <c r="V199" s="20">
        <f>IF(B199="","",IF(O199=0,"",ROUND(U199/O199,2)))</f>
        <v>0</v>
      </c>
      <c r="W199" s="20">
        <f>IF(B199="","",IFERROR(INDEX(Products!$AH$5:$AH$304,MATCH(B199,Products!$A$5:$A$304,0)),""))</f>
        <v>0</v>
      </c>
      <c r="X199" s="20">
        <f>IF(B199="","",IF(OR(V199="",W199=""),"",ROUND(V199-W199,2)))</f>
        <v>0</v>
      </c>
      <c r="Y199" s="33">
        <f>IF(B199="","",IF(OR(X199="",W199="",W199=0),"",X199/W199))</f>
        <v>0</v>
      </c>
      <c r="Z199" s="36">
        <f>IF(B199="","",IF(OR(K199="",G199="",G199=0),"",ROUND(K199*60/G199,1)))</f>
        <v>0</v>
      </c>
      <c r="AA199" s="36">
        <f>IF(B199="","",IF(OR(Z199="",R199=""),"",ROUND(Z199-R199,1)))</f>
        <v>0</v>
      </c>
      <c r="AB199" s="20">
        <f>IF(B199="","",IFERROR(ROUND(O199*INDEX(Products!$AR$5:$AR$304,MATCH(B199,Products!$A$5:$A$304,0)),2),""))</f>
        <v>0</v>
      </c>
      <c r="AC199" s="20">
        <f>IF(B199="","",IF(AB199="","",ROUND(AB199-U199,2)))</f>
        <v>0</v>
      </c>
      <c r="AD199" s="32">
        <f>IF(B199="","",IF(OR(D199="",E199=""),"",E199-D199))</f>
        <v>0</v>
      </c>
      <c r="AE199" s="43">
        <f>IF(B199="","",IF(G199="","Planned - nothing made yet",IF(O199=0,"Check - no good units",IF(AND(Y199&lt;&gt;"",Y199&gt;0.15),"Check - costing 15% more than the estimate",IF(AND(P199&lt;&gt;"",P199&gt;DefaultDefect*2),"Check - high failure rate",IF(AND(AA199&lt;&gt;"",AA199&gt;5),"Check - taking longer than estimated",IF(AC199&lt;0,"Loss - this run lost money","OK")))))))</f>
        <v>0</v>
      </c>
    </row>
    <row r="200" spans="1:31">
      <c r="A200" s="38">
        <f>IF(B200="","",BatchPrefix&amp;TEXT(ROW()-4,"0000"))</f>
        <v>0</v>
      </c>
      <c r="C200" s="13">
        <f>IF(B200="","",IFERROR(INDEX(Products!$B$5:$B$304,MATCH(B200,Products!$A$5:$A$304,0)),"Not found"))</f>
        <v>0</v>
      </c>
      <c r="O200" s="32">
        <f>IF(B200="","",MAX(0,IF(G200="",0,G200)-IF(H200="",0,H200)))</f>
        <v>0</v>
      </c>
      <c r="P200" s="33">
        <f>IF(B200="","",IF(OR(G200="",G200=0),"",IF(H200="",0,H200)/G200))</f>
        <v>0</v>
      </c>
      <c r="Q200" s="20">
        <f>IF(B200="","",IFERROR(INDEX(Products!$T$5:$T$304,MATCH(B200,Products!$A$5:$A$304,0)),""))</f>
        <v>0</v>
      </c>
      <c r="R200" s="36">
        <f>IF(B200="","",IFERROR(INDEX(Products!$X$5:$X$304,MATCH(B200,Products!$A$5:$A$304,0)),""))</f>
        <v>0</v>
      </c>
      <c r="S200" s="20">
        <f>IF(B200="","",ROUND(IF(J200&lt;&gt;"",J200,IF(Q200="",0,Q200)*IF(G200="",0,G200)),2))</f>
        <v>0</v>
      </c>
      <c r="T200" s="20">
        <f>IF(B200="","",ROUND(IF(K200&lt;&gt;"",K200,IF(R200="",0,R200)*IF(G200="",0,G200)/60)*LaborCostHour,2))</f>
        <v>0</v>
      </c>
      <c r="U200" s="20">
        <f>IF(B200="","",ROUND(S200+T200+IF(L200="",0,L200)-IF(I200="",0,I200),2))</f>
        <v>0</v>
      </c>
      <c r="V200" s="20">
        <f>IF(B200="","",IF(O200=0,"",ROUND(U200/O200,2)))</f>
        <v>0</v>
      </c>
      <c r="W200" s="20">
        <f>IF(B200="","",IFERROR(INDEX(Products!$AH$5:$AH$304,MATCH(B200,Products!$A$5:$A$304,0)),""))</f>
        <v>0</v>
      </c>
      <c r="X200" s="20">
        <f>IF(B200="","",IF(OR(V200="",W200=""),"",ROUND(V200-W200,2)))</f>
        <v>0</v>
      </c>
      <c r="Y200" s="33">
        <f>IF(B200="","",IF(OR(X200="",W200="",W200=0),"",X200/W200))</f>
        <v>0</v>
      </c>
      <c r="Z200" s="36">
        <f>IF(B200="","",IF(OR(K200="",G200="",G200=0),"",ROUND(K200*60/G200,1)))</f>
        <v>0</v>
      </c>
      <c r="AA200" s="36">
        <f>IF(B200="","",IF(OR(Z200="",R200=""),"",ROUND(Z200-R200,1)))</f>
        <v>0</v>
      </c>
      <c r="AB200" s="20">
        <f>IF(B200="","",IFERROR(ROUND(O200*INDEX(Products!$AR$5:$AR$304,MATCH(B200,Products!$A$5:$A$304,0)),2),""))</f>
        <v>0</v>
      </c>
      <c r="AC200" s="20">
        <f>IF(B200="","",IF(AB200="","",ROUND(AB200-U200,2)))</f>
        <v>0</v>
      </c>
      <c r="AD200" s="32">
        <f>IF(B200="","",IF(OR(D200="",E200=""),"",E200-D200))</f>
        <v>0</v>
      </c>
      <c r="AE200" s="43">
        <f>IF(B200="","",IF(G200="","Planned - nothing made yet",IF(O200=0,"Check - no good units",IF(AND(Y200&lt;&gt;"",Y200&gt;0.15),"Check - costing 15% more than the estimate",IF(AND(P200&lt;&gt;"",P200&gt;DefaultDefect*2),"Check - high failure rate",IF(AND(AA200&lt;&gt;"",AA200&gt;5),"Check - taking longer than estimated",IF(AC200&lt;0,"Loss - this run lost money","OK")))))))</f>
        <v>0</v>
      </c>
    </row>
    <row r="201" spans="1:31">
      <c r="A201" s="38">
        <f>IF(B201="","",BatchPrefix&amp;TEXT(ROW()-4,"0000"))</f>
        <v>0</v>
      </c>
      <c r="C201" s="13">
        <f>IF(B201="","",IFERROR(INDEX(Products!$B$5:$B$304,MATCH(B201,Products!$A$5:$A$304,0)),"Not found"))</f>
        <v>0</v>
      </c>
      <c r="O201" s="32">
        <f>IF(B201="","",MAX(0,IF(G201="",0,G201)-IF(H201="",0,H201)))</f>
        <v>0</v>
      </c>
      <c r="P201" s="33">
        <f>IF(B201="","",IF(OR(G201="",G201=0),"",IF(H201="",0,H201)/G201))</f>
        <v>0</v>
      </c>
      <c r="Q201" s="20">
        <f>IF(B201="","",IFERROR(INDEX(Products!$T$5:$T$304,MATCH(B201,Products!$A$5:$A$304,0)),""))</f>
        <v>0</v>
      </c>
      <c r="R201" s="36">
        <f>IF(B201="","",IFERROR(INDEX(Products!$X$5:$X$304,MATCH(B201,Products!$A$5:$A$304,0)),""))</f>
        <v>0</v>
      </c>
      <c r="S201" s="20">
        <f>IF(B201="","",ROUND(IF(J201&lt;&gt;"",J201,IF(Q201="",0,Q201)*IF(G201="",0,G201)),2))</f>
        <v>0</v>
      </c>
      <c r="T201" s="20">
        <f>IF(B201="","",ROUND(IF(K201&lt;&gt;"",K201,IF(R201="",0,R201)*IF(G201="",0,G201)/60)*LaborCostHour,2))</f>
        <v>0</v>
      </c>
      <c r="U201" s="20">
        <f>IF(B201="","",ROUND(S201+T201+IF(L201="",0,L201)-IF(I201="",0,I201),2))</f>
        <v>0</v>
      </c>
      <c r="V201" s="20">
        <f>IF(B201="","",IF(O201=0,"",ROUND(U201/O201,2)))</f>
        <v>0</v>
      </c>
      <c r="W201" s="20">
        <f>IF(B201="","",IFERROR(INDEX(Products!$AH$5:$AH$304,MATCH(B201,Products!$A$5:$A$304,0)),""))</f>
        <v>0</v>
      </c>
      <c r="X201" s="20">
        <f>IF(B201="","",IF(OR(V201="",W201=""),"",ROUND(V201-W201,2)))</f>
        <v>0</v>
      </c>
      <c r="Y201" s="33">
        <f>IF(B201="","",IF(OR(X201="",W201="",W201=0),"",X201/W201))</f>
        <v>0</v>
      </c>
      <c r="Z201" s="36">
        <f>IF(B201="","",IF(OR(K201="",G201="",G201=0),"",ROUND(K201*60/G201,1)))</f>
        <v>0</v>
      </c>
      <c r="AA201" s="36">
        <f>IF(B201="","",IF(OR(Z201="",R201=""),"",ROUND(Z201-R201,1)))</f>
        <v>0</v>
      </c>
      <c r="AB201" s="20">
        <f>IF(B201="","",IFERROR(ROUND(O201*INDEX(Products!$AR$5:$AR$304,MATCH(B201,Products!$A$5:$A$304,0)),2),""))</f>
        <v>0</v>
      </c>
      <c r="AC201" s="20">
        <f>IF(B201="","",IF(AB201="","",ROUND(AB201-U201,2)))</f>
        <v>0</v>
      </c>
      <c r="AD201" s="32">
        <f>IF(B201="","",IF(OR(D201="",E201=""),"",E201-D201))</f>
        <v>0</v>
      </c>
      <c r="AE201" s="43">
        <f>IF(B201="","",IF(G201="","Planned - nothing made yet",IF(O201=0,"Check - no good units",IF(AND(Y201&lt;&gt;"",Y201&gt;0.15),"Check - costing 15% more than the estimate",IF(AND(P201&lt;&gt;"",P201&gt;DefaultDefect*2),"Check - high failure rate",IF(AND(AA201&lt;&gt;"",AA201&gt;5),"Check - taking longer than estimated",IF(AC201&lt;0,"Loss - this run lost money","OK")))))))</f>
        <v>0</v>
      </c>
    </row>
    <row r="202" spans="1:31">
      <c r="A202" s="38">
        <f>IF(B202="","",BatchPrefix&amp;TEXT(ROW()-4,"0000"))</f>
        <v>0</v>
      </c>
      <c r="C202" s="13">
        <f>IF(B202="","",IFERROR(INDEX(Products!$B$5:$B$304,MATCH(B202,Products!$A$5:$A$304,0)),"Not found"))</f>
        <v>0</v>
      </c>
      <c r="O202" s="32">
        <f>IF(B202="","",MAX(0,IF(G202="",0,G202)-IF(H202="",0,H202)))</f>
        <v>0</v>
      </c>
      <c r="P202" s="33">
        <f>IF(B202="","",IF(OR(G202="",G202=0),"",IF(H202="",0,H202)/G202))</f>
        <v>0</v>
      </c>
      <c r="Q202" s="20">
        <f>IF(B202="","",IFERROR(INDEX(Products!$T$5:$T$304,MATCH(B202,Products!$A$5:$A$304,0)),""))</f>
        <v>0</v>
      </c>
      <c r="R202" s="36">
        <f>IF(B202="","",IFERROR(INDEX(Products!$X$5:$X$304,MATCH(B202,Products!$A$5:$A$304,0)),""))</f>
        <v>0</v>
      </c>
      <c r="S202" s="20">
        <f>IF(B202="","",ROUND(IF(J202&lt;&gt;"",J202,IF(Q202="",0,Q202)*IF(G202="",0,G202)),2))</f>
        <v>0</v>
      </c>
      <c r="T202" s="20">
        <f>IF(B202="","",ROUND(IF(K202&lt;&gt;"",K202,IF(R202="",0,R202)*IF(G202="",0,G202)/60)*LaborCostHour,2))</f>
        <v>0</v>
      </c>
      <c r="U202" s="20">
        <f>IF(B202="","",ROUND(S202+T202+IF(L202="",0,L202)-IF(I202="",0,I202),2))</f>
        <v>0</v>
      </c>
      <c r="V202" s="20">
        <f>IF(B202="","",IF(O202=0,"",ROUND(U202/O202,2)))</f>
        <v>0</v>
      </c>
      <c r="W202" s="20">
        <f>IF(B202="","",IFERROR(INDEX(Products!$AH$5:$AH$304,MATCH(B202,Products!$A$5:$A$304,0)),""))</f>
        <v>0</v>
      </c>
      <c r="X202" s="20">
        <f>IF(B202="","",IF(OR(V202="",W202=""),"",ROUND(V202-W202,2)))</f>
        <v>0</v>
      </c>
      <c r="Y202" s="33">
        <f>IF(B202="","",IF(OR(X202="",W202="",W202=0),"",X202/W202))</f>
        <v>0</v>
      </c>
      <c r="Z202" s="36">
        <f>IF(B202="","",IF(OR(K202="",G202="",G202=0),"",ROUND(K202*60/G202,1)))</f>
        <v>0</v>
      </c>
      <c r="AA202" s="36">
        <f>IF(B202="","",IF(OR(Z202="",R202=""),"",ROUND(Z202-R202,1)))</f>
        <v>0</v>
      </c>
      <c r="AB202" s="20">
        <f>IF(B202="","",IFERROR(ROUND(O202*INDEX(Products!$AR$5:$AR$304,MATCH(B202,Products!$A$5:$A$304,0)),2),""))</f>
        <v>0</v>
      </c>
      <c r="AC202" s="20">
        <f>IF(B202="","",IF(AB202="","",ROUND(AB202-U202,2)))</f>
        <v>0</v>
      </c>
      <c r="AD202" s="32">
        <f>IF(B202="","",IF(OR(D202="",E202=""),"",E202-D202))</f>
        <v>0</v>
      </c>
      <c r="AE202" s="43">
        <f>IF(B202="","",IF(G202="","Planned - nothing made yet",IF(O202=0,"Check - no good units",IF(AND(Y202&lt;&gt;"",Y202&gt;0.15),"Check - costing 15% more than the estimate",IF(AND(P202&lt;&gt;"",P202&gt;DefaultDefect*2),"Check - high failure rate",IF(AND(AA202&lt;&gt;"",AA202&gt;5),"Check - taking longer than estimated",IF(AC202&lt;0,"Loss - this run lost money","OK")))))))</f>
        <v>0</v>
      </c>
    </row>
    <row r="203" spans="1:31">
      <c r="A203" s="38">
        <f>IF(B203="","",BatchPrefix&amp;TEXT(ROW()-4,"0000"))</f>
        <v>0</v>
      </c>
      <c r="C203" s="13">
        <f>IF(B203="","",IFERROR(INDEX(Products!$B$5:$B$304,MATCH(B203,Products!$A$5:$A$304,0)),"Not found"))</f>
        <v>0</v>
      </c>
      <c r="O203" s="32">
        <f>IF(B203="","",MAX(0,IF(G203="",0,G203)-IF(H203="",0,H203)))</f>
        <v>0</v>
      </c>
      <c r="P203" s="33">
        <f>IF(B203="","",IF(OR(G203="",G203=0),"",IF(H203="",0,H203)/G203))</f>
        <v>0</v>
      </c>
      <c r="Q203" s="20">
        <f>IF(B203="","",IFERROR(INDEX(Products!$T$5:$T$304,MATCH(B203,Products!$A$5:$A$304,0)),""))</f>
        <v>0</v>
      </c>
      <c r="R203" s="36">
        <f>IF(B203="","",IFERROR(INDEX(Products!$X$5:$X$304,MATCH(B203,Products!$A$5:$A$304,0)),""))</f>
        <v>0</v>
      </c>
      <c r="S203" s="20">
        <f>IF(B203="","",ROUND(IF(J203&lt;&gt;"",J203,IF(Q203="",0,Q203)*IF(G203="",0,G203)),2))</f>
        <v>0</v>
      </c>
      <c r="T203" s="20">
        <f>IF(B203="","",ROUND(IF(K203&lt;&gt;"",K203,IF(R203="",0,R203)*IF(G203="",0,G203)/60)*LaborCostHour,2))</f>
        <v>0</v>
      </c>
      <c r="U203" s="20">
        <f>IF(B203="","",ROUND(S203+T203+IF(L203="",0,L203)-IF(I203="",0,I203),2))</f>
        <v>0</v>
      </c>
      <c r="V203" s="20">
        <f>IF(B203="","",IF(O203=0,"",ROUND(U203/O203,2)))</f>
        <v>0</v>
      </c>
      <c r="W203" s="20">
        <f>IF(B203="","",IFERROR(INDEX(Products!$AH$5:$AH$304,MATCH(B203,Products!$A$5:$A$304,0)),""))</f>
        <v>0</v>
      </c>
      <c r="X203" s="20">
        <f>IF(B203="","",IF(OR(V203="",W203=""),"",ROUND(V203-W203,2)))</f>
        <v>0</v>
      </c>
      <c r="Y203" s="33">
        <f>IF(B203="","",IF(OR(X203="",W203="",W203=0),"",X203/W203))</f>
        <v>0</v>
      </c>
      <c r="Z203" s="36">
        <f>IF(B203="","",IF(OR(K203="",G203="",G203=0),"",ROUND(K203*60/G203,1)))</f>
        <v>0</v>
      </c>
      <c r="AA203" s="36">
        <f>IF(B203="","",IF(OR(Z203="",R203=""),"",ROUND(Z203-R203,1)))</f>
        <v>0</v>
      </c>
      <c r="AB203" s="20">
        <f>IF(B203="","",IFERROR(ROUND(O203*INDEX(Products!$AR$5:$AR$304,MATCH(B203,Products!$A$5:$A$304,0)),2),""))</f>
        <v>0</v>
      </c>
      <c r="AC203" s="20">
        <f>IF(B203="","",IF(AB203="","",ROUND(AB203-U203,2)))</f>
        <v>0</v>
      </c>
      <c r="AD203" s="32">
        <f>IF(B203="","",IF(OR(D203="",E203=""),"",E203-D203))</f>
        <v>0</v>
      </c>
      <c r="AE203" s="43">
        <f>IF(B203="","",IF(G203="","Planned - nothing made yet",IF(O203=0,"Check - no good units",IF(AND(Y203&lt;&gt;"",Y203&gt;0.15),"Check - costing 15% more than the estimate",IF(AND(P203&lt;&gt;"",P203&gt;DefaultDefect*2),"Check - high failure rate",IF(AND(AA203&lt;&gt;"",AA203&gt;5),"Check - taking longer than estimated",IF(AC203&lt;0,"Loss - this run lost money","OK")))))))</f>
        <v>0</v>
      </c>
    </row>
    <row r="204" spans="1:31">
      <c r="A204" s="38">
        <f>IF(B204="","",BatchPrefix&amp;TEXT(ROW()-4,"0000"))</f>
        <v>0</v>
      </c>
      <c r="C204" s="13">
        <f>IF(B204="","",IFERROR(INDEX(Products!$B$5:$B$304,MATCH(B204,Products!$A$5:$A$304,0)),"Not found"))</f>
        <v>0</v>
      </c>
      <c r="O204" s="32">
        <f>IF(B204="","",MAX(0,IF(G204="",0,G204)-IF(H204="",0,H204)))</f>
        <v>0</v>
      </c>
      <c r="P204" s="33">
        <f>IF(B204="","",IF(OR(G204="",G204=0),"",IF(H204="",0,H204)/G204))</f>
        <v>0</v>
      </c>
      <c r="Q204" s="20">
        <f>IF(B204="","",IFERROR(INDEX(Products!$T$5:$T$304,MATCH(B204,Products!$A$5:$A$304,0)),""))</f>
        <v>0</v>
      </c>
      <c r="R204" s="36">
        <f>IF(B204="","",IFERROR(INDEX(Products!$X$5:$X$304,MATCH(B204,Products!$A$5:$A$304,0)),""))</f>
        <v>0</v>
      </c>
      <c r="S204" s="20">
        <f>IF(B204="","",ROUND(IF(J204&lt;&gt;"",J204,IF(Q204="",0,Q204)*IF(G204="",0,G204)),2))</f>
        <v>0</v>
      </c>
      <c r="T204" s="20">
        <f>IF(B204="","",ROUND(IF(K204&lt;&gt;"",K204,IF(R204="",0,R204)*IF(G204="",0,G204)/60)*LaborCostHour,2))</f>
        <v>0</v>
      </c>
      <c r="U204" s="20">
        <f>IF(B204="","",ROUND(S204+T204+IF(L204="",0,L204)-IF(I204="",0,I204),2))</f>
        <v>0</v>
      </c>
      <c r="V204" s="20">
        <f>IF(B204="","",IF(O204=0,"",ROUND(U204/O204,2)))</f>
        <v>0</v>
      </c>
      <c r="W204" s="20">
        <f>IF(B204="","",IFERROR(INDEX(Products!$AH$5:$AH$304,MATCH(B204,Products!$A$5:$A$304,0)),""))</f>
        <v>0</v>
      </c>
      <c r="X204" s="20">
        <f>IF(B204="","",IF(OR(V204="",W204=""),"",ROUND(V204-W204,2)))</f>
        <v>0</v>
      </c>
      <c r="Y204" s="33">
        <f>IF(B204="","",IF(OR(X204="",W204="",W204=0),"",X204/W204))</f>
        <v>0</v>
      </c>
      <c r="Z204" s="36">
        <f>IF(B204="","",IF(OR(K204="",G204="",G204=0),"",ROUND(K204*60/G204,1)))</f>
        <v>0</v>
      </c>
      <c r="AA204" s="36">
        <f>IF(B204="","",IF(OR(Z204="",R204=""),"",ROUND(Z204-R204,1)))</f>
        <v>0</v>
      </c>
      <c r="AB204" s="20">
        <f>IF(B204="","",IFERROR(ROUND(O204*INDEX(Products!$AR$5:$AR$304,MATCH(B204,Products!$A$5:$A$304,0)),2),""))</f>
        <v>0</v>
      </c>
      <c r="AC204" s="20">
        <f>IF(B204="","",IF(AB204="","",ROUND(AB204-U204,2)))</f>
        <v>0</v>
      </c>
      <c r="AD204" s="32">
        <f>IF(B204="","",IF(OR(D204="",E204=""),"",E204-D204))</f>
        <v>0</v>
      </c>
      <c r="AE204" s="43">
        <f>IF(B204="","",IF(G204="","Planned - nothing made yet",IF(O204=0,"Check - no good units",IF(AND(Y204&lt;&gt;"",Y204&gt;0.15),"Check - costing 15% more than the estimate",IF(AND(P204&lt;&gt;"",P204&gt;DefaultDefect*2),"Check - high failure rate",IF(AND(AA204&lt;&gt;"",AA204&gt;5),"Check - taking longer than estimated",IF(AC204&lt;0,"Loss - this run lost money","OK")))))))</f>
        <v>0</v>
      </c>
    </row>
  </sheetData>
  <sheetProtection password="EC7C" sheet="1" objects="1" scenarios="1" formatCells="0" formatColumns="0" formatRows="0" insertRows="0" insertHyperlinks="0" deleteRows="0" autoFilter="0"/>
  <autoFilter ref="A4:AE204"/>
  <mergeCells count="13">
    <mergeCell ref="A1:AB1"/>
    <mergeCell ref="AC1:AE1"/>
    <mergeCell ref="A2:AE2"/>
    <mergeCell ref="A3:B3"/>
    <mergeCell ref="C3:D3"/>
    <mergeCell ref="E3:F3"/>
    <mergeCell ref="G3:H3"/>
    <mergeCell ref="I3:J3"/>
    <mergeCell ref="K3:L3"/>
    <mergeCell ref="M3:N3"/>
    <mergeCell ref="O3:P3"/>
    <mergeCell ref="Q3:R3"/>
    <mergeCell ref="S3:AE3"/>
  </mergeCells>
  <conditionalFormatting sqref="AA5:AA204">
    <cfRule type="cellIs" dxfId="0" priority="50" operator="greaterThan">
      <formula>0</formula>
    </cfRule>
  </conditionalFormatting>
  <conditionalFormatting sqref="AC5:AC204">
    <cfRule type="cellIs" dxfId="5" priority="51" operator="lessThan">
      <formula>0</formula>
    </cfRule>
    <cfRule type="cellIs" dxfId="1" priority="52" operator="greaterThan">
      <formula>0</formula>
    </cfRule>
  </conditionalFormatting>
  <conditionalFormatting sqref="AE5:AE204">
    <cfRule type="beginsWith" dxfId="1" priority="53" operator="beginsWith" text="OK">
      <formula>LEFT(AE5,2)="OK"</formula>
    </cfRule>
    <cfRule type="containsText" dxfId="2" priority="54" operator="containsText" text="Overdue">
      <formula>NOT(ISERROR(SEARCH("Overdue",AE5)))</formula>
    </cfRule>
    <cfRule type="containsText" dxfId="2" priority="55" operator="containsText" text="Late">
      <formula>NOT(ISERROR(SEARCH("Late",AE5)))</formula>
    </cfRule>
    <cfRule type="containsText" dxfId="2" priority="56" operator="containsText" text="Missing">
      <formula>NOT(ISERROR(SEARCH("Missing",AE5)))</formula>
    </cfRule>
    <cfRule type="containsText" dxfId="2" priority="57" operator="containsText" text="Conflict">
      <formula>NOT(ISERROR(SEARCH("Conflict",AE5)))</formula>
    </cfRule>
    <cfRule type="containsText" dxfId="2" priority="58" operator="containsText" text="Clash">
      <formula>NOT(ISERROR(SEARCH("Clash",AE5)))</formula>
    </cfRule>
    <cfRule type="containsText" dxfId="2" priority="59" operator="containsText" text="Expired">
      <formula>NOT(ISERROR(SEARCH("Expired",AE5)))</formula>
    </cfRule>
    <cfRule type="containsText" dxfId="2" priority="60" operator="containsText" text="Duplicate">
      <formula>NOT(ISERROR(SEARCH("Duplicate",AE5)))</formula>
    </cfRule>
    <cfRule type="containsText" dxfId="2" priority="61" operator="containsText" text="Unpaid">
      <formula>NOT(ISERROR(SEARCH("Unpaid",AE5)))</formula>
    </cfRule>
    <cfRule type="containsText" dxfId="2" priority="62" operator="containsText" text="Loss">
      <formula>NOT(ISERROR(SEARCH("Loss",AE5)))</formula>
    </cfRule>
    <cfRule type="containsText" dxfId="2" priority="63" operator="containsText" text="Below">
      <formula>NOT(ISERROR(SEARCH("Below",AE5)))</formula>
    </cfRule>
    <cfRule type="containsText" dxfId="0" priority="64" operator="containsText" text="Action">
      <formula>NOT(ISERROR(SEARCH("Action",AE5)))</formula>
    </cfRule>
    <cfRule type="containsText" dxfId="0" priority="65" operator="containsText" text="Due">
      <formula>NOT(ISERROR(SEARCH("Due",AE5)))</formula>
    </cfRule>
    <cfRule type="containsText" dxfId="0" priority="66" operator="containsText" text="Check">
      <formula>NOT(ISERROR(SEARCH("Check",AE5)))</formula>
    </cfRule>
    <cfRule type="containsText" dxfId="0" priority="67" operator="containsText" text="Chase">
      <formula>NOT(ISERROR(SEARCH("Chase",AE5)))</formula>
    </cfRule>
    <cfRule type="containsText" dxfId="0" priority="68" operator="containsText" text="Assign">
      <formula>NOT(ISERROR(SEARCH("Assign",AE5)))</formula>
    </cfRule>
    <cfRule type="containsText" dxfId="0" priority="69" operator="containsText" text="Confirm">
      <formula>NOT(ISERROR(SEARCH("Confirm",AE5)))</formula>
    </cfRule>
    <cfRule type="containsText" dxfId="0" priority="70" operator="containsText" text="Order">
      <formula>NOT(ISERROR(SEARCH("Order",AE5)))</formula>
    </cfRule>
    <cfRule type="containsText" dxfId="3" priority="71" operator="containsText" text="Today">
      <formula>NOT(ISERROR(SEARCH("Today",AE5)))</formula>
    </cfRule>
    <cfRule type="containsText" dxfId="3" priority="72" operator="containsText" text="Upcoming">
      <formula>NOT(ISERROR(SEARCH("Upcoming",AE5)))</formula>
    </cfRule>
    <cfRule type="containsText" dxfId="3" priority="73" operator="containsText" text="Tomorrow">
      <formula>NOT(ISERROR(SEARCH("Tomorrow",AE5)))</formula>
    </cfRule>
  </conditionalFormatting>
  <conditionalFormatting sqref="M5:M204">
    <cfRule type="containsText" dxfId="1" priority="1" operator="containsText" text="Completed">
      <formula>NOT(ISERROR(SEARCH("Completed",M5)))</formula>
    </cfRule>
    <cfRule type="containsText" dxfId="1" priority="2" operator="containsText" text="Complete">
      <formula>NOT(ISERROR(SEARCH("Complete",M5)))</formula>
    </cfRule>
    <cfRule type="containsText" dxfId="1" priority="3" operator="containsText" text="Done">
      <formula>NOT(ISERROR(SEARCH("Done",M5)))</formula>
    </cfRule>
    <cfRule type="containsText" dxfId="1" priority="4" operator="containsText" text="Paid">
      <formula>NOT(ISERROR(SEARCH("Paid",M5)))</formula>
    </cfRule>
    <cfRule type="containsText" dxfId="1" priority="5" operator="containsText" text="Accepted">
      <formula>NOT(ISERROR(SEARCH("Accepted",M5)))</formula>
    </cfRule>
    <cfRule type="containsText" dxfId="1" priority="6" operator="containsText" text="Won">
      <formula>NOT(ISERROR(SEARCH("Won",M5)))</formula>
    </cfRule>
    <cfRule type="containsText" dxfId="1" priority="7" operator="containsText" text="Active">
      <formula>NOT(ISERROR(SEARCH("Active",M5)))</formula>
    </cfRule>
    <cfRule type="containsText" dxfId="1" priority="8" operator="containsText" text="In stock">
      <formula>NOT(ISERROR(SEARCH("In stock",M5)))</formula>
    </cfRule>
    <cfRule type="containsText" dxfId="1" priority="9" operator="containsText" text="Resolved">
      <formula>NOT(ISERROR(SEARCH("Resolved",M5)))</formula>
    </cfRule>
    <cfRule type="containsText" dxfId="1" priority="10" operator="containsText" text="Signed">
      <formula>NOT(ISERROR(SEARCH("Signed",M5)))</formula>
    </cfRule>
    <cfRule type="containsText" dxfId="1" priority="11" operator="containsText" text="Yes">
      <formula>NOT(ISERROR(SEARCH("Yes",M5)))</formula>
    </cfRule>
    <cfRule type="containsText" dxfId="3" priority="12" operator="containsText" text="Booked">
      <formula>NOT(ISERROR(SEARCH("Booked",M5)))</formula>
    </cfRule>
    <cfRule type="containsText" dxfId="3" priority="13" operator="containsText" text="Confirmed">
      <formula>NOT(ISERROR(SEARCH("Confirmed",M5)))</formula>
    </cfRule>
    <cfRule type="containsText" dxfId="3" priority="14" operator="containsText" text="Scheduled">
      <formula>NOT(ISERROR(SEARCH("Scheduled",M5)))</formula>
    </cfRule>
    <cfRule type="containsText" dxfId="3" priority="15" operator="containsText" text="In progress">
      <formula>NOT(ISERROR(SEARCH("In progress",M5)))</formula>
    </cfRule>
    <cfRule type="containsText" dxfId="3" priority="16" operator="containsText" text="Sent">
      <formula>NOT(ISERROR(SEARCH("Sent",M5)))</formula>
    </cfRule>
    <cfRule type="containsText" dxfId="3" priority="17" operator="containsText" text="Invoiced">
      <formula>NOT(ISERROR(SEARCH("Invoiced",M5)))</formula>
    </cfRule>
    <cfRule type="containsText" dxfId="3" priority="18" operator="containsText" text="Quoted">
      <formula>NOT(ISERROR(SEARCH("Quoted",M5)))</formula>
    </cfRule>
    <cfRule type="containsText" dxfId="3" priority="19" operator="containsText" text="Prospect">
      <formula>NOT(ISERROR(SEARCH("Prospect",M5)))</formula>
    </cfRule>
    <cfRule type="containsText" dxfId="0" priority="20" operator="containsText" text="Draft">
      <formula>NOT(ISERROR(SEARCH("Draft",M5)))</formula>
    </cfRule>
    <cfRule type="containsText" dxfId="0" priority="21" operator="containsText" text="Enquiry">
      <formula>NOT(ISERROR(SEARCH("Enquiry",M5)))</formula>
    </cfRule>
    <cfRule type="containsText" dxfId="0" priority="22" operator="containsText" text="Pending">
      <formula>NOT(ISERROR(SEARCH("Pending",M5)))</formula>
    </cfRule>
    <cfRule type="containsText" dxfId="0" priority="23" operator="containsText" text="Part paid">
      <formula>NOT(ISERROR(SEARCH("Part paid",M5)))</formula>
    </cfRule>
    <cfRule type="containsText" dxfId="0" priority="24" operator="containsText" text="Followed up">
      <formula>NOT(ISERROR(SEARCH("Followed up",M5)))</formula>
    </cfRule>
    <cfRule type="containsText" dxfId="0" priority="25" operator="containsText" text="Low stock">
      <formula>NOT(ISERROR(SEARCH("Low stock",M5)))</formula>
    </cfRule>
    <cfRule type="containsText" dxfId="0" priority="26" operator="containsText" text="Due soon">
      <formula>NOT(ISERROR(SEARCH("Due soon",M5)))</formula>
    </cfRule>
    <cfRule type="containsText" dxfId="0" priority="27" operator="containsText" text="On hold">
      <formula>NOT(ISERROR(SEARCH("On hold",M5)))</formula>
    </cfRule>
    <cfRule type="containsText" dxfId="0" priority="28" operator="containsText" text="Unassigned">
      <formula>NOT(ISERROR(SEARCH("Unassigned",M5)))</formula>
    </cfRule>
    <cfRule type="containsText" dxfId="2" priority="29" operator="containsText" text="Overdue">
      <formula>NOT(ISERROR(SEARCH("Overdue",M5)))</formula>
    </cfRule>
    <cfRule type="containsText" dxfId="2" priority="30" operator="containsText" text="Cancelled">
      <formula>NOT(ISERROR(SEARCH("Cancelled",M5)))</formula>
    </cfRule>
    <cfRule type="containsText" dxfId="2" priority="31" operator="containsText" text="Declined">
      <formula>NOT(ISERROR(SEARCH("Declined",M5)))</formula>
    </cfRule>
    <cfRule type="containsText" dxfId="2" priority="32" operator="containsText" text="Lost">
      <formula>NOT(ISERROR(SEARCH("Lost",M5)))</formula>
    </cfRule>
    <cfRule type="containsText" dxfId="2" priority="33" operator="containsText" text="No access">
      <formula>NOT(ISERROR(SEARCH("No access",M5)))</formula>
    </cfRule>
    <cfRule type="containsText" dxfId="2" priority="34" operator="containsText" text="Out of stock">
      <formula>NOT(ISERROR(SEARCH("Out of stock",M5)))</formula>
    </cfRule>
    <cfRule type="containsText" dxfId="2" priority="35" operator="containsText" text="Written off">
      <formula>NOT(ISERROR(SEARCH("Written off",M5)))</formula>
    </cfRule>
    <cfRule type="containsText" dxfId="2" priority="36" operator="containsText" text="Expired">
      <formula>NOT(ISERROR(SEARCH("Expired",M5)))</formula>
    </cfRule>
    <cfRule type="containsText" dxfId="4" priority="37" operator="containsText" text="Discontinued">
      <formula>NOT(ISERROR(SEARCH("Discontinued",M5)))</formula>
    </cfRule>
    <cfRule type="containsText" dxfId="4" priority="38" operator="containsText" text="Idea">
      <formula>NOT(ISERROR(SEARCH("Idea",M5)))</formula>
    </cfRule>
    <cfRule type="containsText" dxfId="0" priority="39" operator="containsText" text="Prototype">
      <formula>NOT(ISERROR(SEARCH("Prototype",M5)))</formula>
    </cfRule>
    <cfRule type="containsText" dxfId="3" priority="40" operator="containsText" text="Made to order">
      <formula>NOT(ISERROR(SEARCH("Made to order",M5)))</formula>
    </cfRule>
    <cfRule type="containsText" dxfId="3" priority="41" operator="containsText" text="Seasonal">
      <formula>NOT(ISERROR(SEARCH("Seasonal",M5)))</formula>
    </cfRule>
    <cfRule type="containsText" dxfId="0" priority="42" operator="containsText" text="Review">
      <formula>NOT(ISERROR(SEARCH("Review",M5)))</formula>
    </cfRule>
    <cfRule type="containsText" dxfId="0" priority="43" operator="containsText" text="Raise price">
      <formula>NOT(ISERROR(SEARCH("Raise price",M5)))</formula>
    </cfRule>
    <cfRule type="containsText" dxfId="4" priority="44" operator="containsText" text="Inactive">
      <formula>NOT(ISERROR(SEARCH("Inactive",M5)))</formula>
    </cfRule>
    <cfRule type="containsText" dxfId="4" priority="45" operator="containsText" text="Archived">
      <formula>NOT(ISERROR(SEARCH("Archived",M5)))</formula>
    </cfRule>
    <cfRule type="containsText" dxfId="4" priority="46" operator="containsText" text="Not needed">
      <formula>NOT(ISERROR(SEARCH("Not needed",M5)))</formula>
    </cfRule>
  </conditionalFormatting>
  <conditionalFormatting sqref="P5:P204">
    <cfRule type="cellIs" dxfId="0" priority="47" operator="greaterThan">
      <formula>DefaultDefect</formula>
    </cfRule>
  </conditionalFormatting>
  <conditionalFormatting sqref="X5:X204">
    <cfRule type="cellIs" dxfId="2" priority="48" operator="greaterThan">
      <formula>0</formula>
    </cfRule>
    <cfRule type="cellIs" dxfId="1" priority="49" operator="lessThanOrEqual">
      <formula>0</formula>
    </cfRule>
  </conditionalFormatting>
  <dataValidations count="11">
    <dataValidation type="list" allowBlank="1" showInputMessage="1" showErrorMessage="1" sqref="B5:B204">
      <formula1>ProductIDs</formula1>
    </dataValidation>
    <dataValidation type="date" allowBlank="1" showInputMessage="1" showErrorMessage="1" errorTitle="Check the date" error="Enter a real date between 2000 and 2100." sqref="D5:D204">
      <formula1>36526</formula1>
      <formula2>73415</formula2>
    </dataValidation>
    <dataValidation type="date" allowBlank="1" showInputMessage="1" showErrorMessage="1" errorTitle="Check the date" error="Enter a real date between 2000 and 2100." sqref="E5:E204">
      <formula1>36526</formula1>
      <formula2>73415</formula2>
    </dataValidation>
    <dataValidation type="whole" allowBlank="1" showInputMessage="1" showErrorMessage="1" errorTitle="Check the value" error="Enter a number between 0 and 100000." sqref="F5:F204">
      <formula1>0</formula1>
      <formula2>100000</formula2>
    </dataValidation>
    <dataValidation type="whole" allowBlank="1" showInputMessage="1" showErrorMessage="1" errorTitle="Check the value" error="Enter a number between 0 and 100000." sqref="G5:G204">
      <formula1>0</formula1>
      <formula2>100000</formula2>
    </dataValidation>
    <dataValidation type="whole" allowBlank="1" showInputMessage="1" showErrorMessage="1" errorTitle="Check the value" error="Enter a number between 0 and 100000." promptTitle="Seconds / failures" prompt="Pieces that cannot be sold at full price. Their cost belongs to the ones that can." sqref="H5:H204">
      <formula1>0</formula1>
      <formula2>100000</formula2>
    </dataValidation>
    <dataValidation type="decimal" allowBlank="1" showInputMessage="1" showErrorMessage="1" errorTitle="Check the value" error="Enter a number between 0 and 1000000." promptTitle="Seconds sold for" prompt="Total recovered from selling the seconds as seconds. Credited back to the batch." sqref="I5:I204">
      <formula1>0</formula1>
      <formula2>1000000</formula2>
    </dataValidation>
    <dataValidation type="decimal" allowBlank="1" showInputMessage="1" showErrorMessage="1" errorTitle="Check the value" error="Enter a number between 0 and 1000000." promptTitle="Materials actually" prompt="What the run really consumed. Leave blank to use the estimate from the catalog." sqref="J5:J204">
      <formula1>0</formula1>
      <formula2>1000000</formula2>
    </dataValidation>
    <dataValidation type="decimal" allowBlank="1" showInputMessage="1" showErrorMessage="1" errorTitle="Check the value" error="Enter a number between 0 and 10000." promptTitle="Hours actually" prompt="Bench time for the whole run, setup included." sqref="K5:K204">
      <formula1>0</formula1>
      <formula2>10000</formula2>
    </dataValidation>
    <dataValidation type="decimal" allowBlank="1" showInputMessage="1" showErrorMessage="1" errorTitle="Check the value" error="Enter a number between 0 and 1000000." promptTitle="Other costs" prompt="A courier, a rush delivery of supplies, studio hire for the day." sqref="L5:L204">
      <formula1>0</formula1>
      <formula2>1000000</formula2>
    </dataValidation>
    <dataValidation type="list" allowBlank="1" showInputMessage="1" showErrorMessage="1" sqref="M5:M204">
      <formula1>BatchStatusList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&amp;L&amp;"Calibri,Bold"&amp;12&amp;C&amp;"Calibri,Bold"&amp;11Batches&amp;R&amp;"Calibri,Italic"&amp;9Handmade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5.xml><?xml version="1.0" encoding="utf-8"?>
<worksheet xmlns="http://schemas.openxmlformats.org/spreadsheetml/2006/main" xmlns:r="http://schemas.openxmlformats.org/officeDocument/2006/relationships">
  <sheetPr>
    <tabColor rgb="FF8C4A32"/>
    <pageSetUpPr fitToPage="1"/>
  </sheetPr>
  <dimension ref="A1:AM808"/>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style="38" customWidth="1"/>
    <col min="2" max="2" width="11.7109375" style="22" customWidth="1"/>
    <col min="3" max="3" width="12.7109375" style="46" customWidth="1"/>
    <col min="4" max="4" width="7.7109375" style="16" customWidth="1"/>
    <col min="5" max="5" width="16.7109375" style="15" customWidth="1"/>
    <col min="6" max="6" width="11.7109375" style="18" customWidth="1"/>
    <col min="7" max="7" width="12.7109375" style="18" customWidth="1"/>
    <col min="8" max="8" width="12.7109375" style="15" customWidth="1"/>
    <col min="9" max="9" width="12.7109375" style="18" customWidth="1"/>
    <col min="10" max="10" width="11.7109375" style="18" customWidth="1"/>
    <col min="11" max="11" width="14.7109375" style="18" customWidth="1"/>
    <col min="12" max="12" width="10.7109375" style="18" customWidth="1"/>
    <col min="13" max="13" width="14.7109375" style="39" customWidth="1"/>
    <col min="14" max="14" width="18.7109375" style="15" customWidth="1"/>
    <col min="15" max="15" width="16.7109375" style="15" customWidth="1"/>
    <col min="16" max="16" width="24.7109375" style="40" customWidth="1"/>
    <col min="17" max="17" width="24.7109375" style="13" customWidth="1"/>
    <col min="18" max="18" width="10.7109375" style="13" customWidth="1"/>
    <col min="19" max="19" width="11.7109375" style="20" hidden="1" customWidth="1"/>
    <col min="20" max="20" width="11.7109375" style="20" hidden="1" customWidth="1"/>
    <col min="21" max="21" width="11.7109375" style="20" hidden="1" customWidth="1"/>
    <col min="22" max="22" width="11.7109375" style="20" customWidth="1"/>
    <col min="23" max="23" width="11.7109375" style="20" hidden="1" customWidth="1"/>
    <col min="24" max="24" width="11.7109375" style="20" hidden="1" customWidth="1"/>
    <col min="25" max="25" width="13.7109375" style="20" customWidth="1"/>
    <col min="26" max="26" width="14.7109375" style="20" customWidth="1"/>
    <col min="27" max="27" width="9.7109375" style="33" hidden="1" customWidth="1"/>
    <col min="28" max="28" width="9.7109375" style="20" hidden="1" customWidth="1"/>
    <col min="29" max="29" width="10.7109375" style="42" hidden="1" customWidth="1"/>
    <col min="30" max="30" width="12.7109375" style="20" hidden="1" customWidth="1"/>
    <col min="31" max="31" width="11.7109375" style="20" customWidth="1"/>
    <col min="32" max="32" width="13.7109375" style="20" hidden="1" customWidth="1"/>
    <col min="33" max="33" width="11.7109375" style="20" customWidth="1"/>
    <col min="34" max="34" width="9.7109375" style="33" customWidth="1"/>
    <col min="35" max="35" width="12.7109375" style="33" hidden="1" customWidth="1"/>
    <col min="36" max="36" width="10.7109375" style="33" hidden="1" customWidth="1"/>
    <col min="37" max="37" width="12.7109375" style="41" hidden="1" customWidth="1"/>
    <col min="38" max="38" width="11.7109375" style="20" hidden="1" customWidth="1"/>
    <col min="39" max="39" width="28.7109375" style="43" customWidth="1"/>
    <col min="1" max="1" width="10.7109375" customWidth="1"/>
    <col min="2" max="2" width="10.7109375" customWidth="1"/>
    <col min="3" max="3" width="14.7109375" customWidth="1"/>
    <col min="4" max="4" width="15.7109375" customWidth="1"/>
    <col min="5" max="5" width="12.7109375" customWidth="1"/>
    <col min="6" max="6" width="17.7109375" customWidth="1"/>
    <col min="7" max="7" width="13.7109375" customWidth="1"/>
    <col min="8" max="8" width="10.7109375" customWidth="1"/>
    <col min="9" max="9" width="18.7109375" customWidth="1"/>
  </cols>
  <sheetData>
    <row r="1" spans="1:39" ht="34" customHeight="1">
      <c r="A1" s="2" t="s">
        <v>1562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3" t="s">
        <v>1</v>
      </c>
      <c r="AL1" s="3"/>
      <c r="AM1" s="3"/>
    </row>
    <row r="2" spans="1:39" ht="18" customHeight="1">
      <c r="A2" s="4" t="s">
        <v>1563</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1564</v>
      </c>
      <c r="T3" s="44"/>
      <c r="U3" s="44"/>
      <c r="V3" s="44"/>
      <c r="W3" s="44"/>
      <c r="X3" s="44"/>
      <c r="Y3" s="44"/>
      <c r="Z3" s="44"/>
      <c r="AA3" s="44"/>
      <c r="AB3" s="44"/>
      <c r="AC3" s="44"/>
      <c r="AD3" s="44"/>
      <c r="AE3" s="44"/>
      <c r="AF3" s="44"/>
      <c r="AG3" s="44"/>
      <c r="AH3" s="44"/>
      <c r="AI3" s="44"/>
      <c r="AJ3" s="44"/>
      <c r="AK3" s="44"/>
      <c r="AL3" s="44"/>
      <c r="AM3" s="44"/>
    </row>
    <row r="4" spans="1:39" ht="30" customHeight="1">
      <c r="A4" s="8" t="s">
        <v>451</v>
      </c>
      <c r="B4" s="8" t="s">
        <v>1565</v>
      </c>
      <c r="C4" s="9" t="s">
        <v>354</v>
      </c>
      <c r="D4" s="9" t="s">
        <v>1566</v>
      </c>
      <c r="E4" s="9" t="s">
        <v>441</v>
      </c>
      <c r="F4" s="9" t="s">
        <v>1567</v>
      </c>
      <c r="G4" s="9" t="s">
        <v>1568</v>
      </c>
      <c r="H4" s="9" t="s">
        <v>1569</v>
      </c>
      <c r="I4" s="9" t="s">
        <v>476</v>
      </c>
      <c r="J4" s="9" t="s">
        <v>1570</v>
      </c>
      <c r="K4" s="9" t="s">
        <v>1571</v>
      </c>
      <c r="L4" s="9" t="s">
        <v>1572</v>
      </c>
      <c r="M4" s="9" t="s">
        <v>453</v>
      </c>
      <c r="N4" s="9" t="s">
        <v>1573</v>
      </c>
      <c r="O4" s="9" t="s">
        <v>1574</v>
      </c>
      <c r="P4" s="9" t="s">
        <v>466</v>
      </c>
      <c r="Q4" s="9" t="s">
        <v>719</v>
      </c>
      <c r="R4" s="9" t="s">
        <v>370</v>
      </c>
      <c r="S4" s="9" t="s">
        <v>1575</v>
      </c>
      <c r="T4" s="9" t="s">
        <v>488</v>
      </c>
      <c r="U4" s="9" t="s">
        <v>1576</v>
      </c>
      <c r="V4" s="9" t="s">
        <v>432</v>
      </c>
      <c r="W4" s="9" t="s">
        <v>1577</v>
      </c>
      <c r="X4" s="9" t="s">
        <v>1578</v>
      </c>
      <c r="Y4" s="9" t="s">
        <v>1579</v>
      </c>
      <c r="Z4" s="9" t="s">
        <v>1580</v>
      </c>
      <c r="AA4" s="9" t="s">
        <v>443</v>
      </c>
      <c r="AB4" s="9" t="s">
        <v>481</v>
      </c>
      <c r="AC4" s="9" t="s">
        <v>480</v>
      </c>
      <c r="AD4" s="9" t="s">
        <v>1581</v>
      </c>
      <c r="AE4" s="9" t="s">
        <v>436</v>
      </c>
      <c r="AF4" s="9" t="s">
        <v>1582</v>
      </c>
      <c r="AG4" s="9" t="s">
        <v>421</v>
      </c>
      <c r="AH4" s="9" t="s">
        <v>42</v>
      </c>
      <c r="AI4" s="9" t="s">
        <v>1583</v>
      </c>
      <c r="AJ4" s="9" t="s">
        <v>1584</v>
      </c>
      <c r="AK4" s="9" t="s">
        <v>1585</v>
      </c>
      <c r="AL4" s="9" t="s">
        <v>491</v>
      </c>
      <c r="AM4" s="9" t="s">
        <v>510</v>
      </c>
    </row>
    <row r="5" spans="1:39">
      <c r="A5" s="38">
        <f>IF(B5="","",SalePrefix&amp;TEXT(ROW()-4,"0000"))</f>
        <v>0</v>
      </c>
      <c r="B5" s="22">
        <v>46316</v>
      </c>
      <c r="C5" s="46" t="s">
        <v>741</v>
      </c>
      <c r="D5" s="16">
        <v>1</v>
      </c>
      <c r="E5" s="15" t="s">
        <v>545</v>
      </c>
      <c r="F5" s="18">
        <v>195</v>
      </c>
      <c r="I5" s="18">
        <v>8.95</v>
      </c>
      <c r="J5" s="18">
        <v>9.85</v>
      </c>
      <c r="M5" s="39" t="s">
        <v>1586</v>
      </c>
      <c r="N5" s="15" t="s">
        <v>1587</v>
      </c>
      <c r="P5" s="40" t="s">
        <v>1588</v>
      </c>
      <c r="Q5" s="13">
        <f>IF(C5="","",IFERROR(INDEX(Products!$B$5:$B$304,MATCH(C5,Products!$A$5:$A$304,0)),"Bundle or deleted"))</f>
        <v>0</v>
      </c>
      <c r="R5" s="13">
        <f>IF(B5="","",TEXT(B5,"yyyy-mm"))</f>
        <v>0</v>
      </c>
      <c r="S5" s="20">
        <f>IF(C5="","",IFERROR(INDEX(Products!$AR$5:$AR$304,MATCH(C5,Products!$A$5:$A$304,0)),""))</f>
        <v>0</v>
      </c>
      <c r="T5" s="20">
        <f>IF(B5="","",IF(F5&lt;&gt;"",F5,IF(S5="",0,S5)))</f>
        <v>0</v>
      </c>
      <c r="U5" s="20">
        <f>IF(B5="","",ROUND(IF(D5="",0,D5)*T5,2))</f>
        <v>0</v>
      </c>
      <c r="V5" s="20">
        <f>IF(B5="","",ROUND(U5-IF(G5="",0,G5)-IF(L5="",0,L5),2))</f>
        <v>0</v>
      </c>
      <c r="W5" s="20">
        <f>IF(C5="","",IFERROR(INDEX(Products!$AT$5:$AT$304,MATCH(C5,Products!$A$5:$A$304,0)),""))</f>
        <v>0</v>
      </c>
      <c r="X5" s="20">
        <f>IF(C5="","",IFERROR(INDEX(Products!$AG$5:$AG$304,MATCH(C5,Products!$A$5:$A$304,0)),""))</f>
        <v>0</v>
      </c>
      <c r="Y5" s="20">
        <f>IF(B5="","",ROUND(IF(D5="",0,D5)*MAX(0,IF(W5="",0,W5)-IF(X5="",0,X5)),2))</f>
        <v>0</v>
      </c>
      <c r="Z5" s="20">
        <f>IF(B5="","",ROUND(MAX(0,IF(J5="",0,J5)-IF(I5="",0,I5)),2))</f>
        <v>0</v>
      </c>
      <c r="AA5" s="33">
        <f>IF(B5="","",IFERROR(INDEX(Channels!$S$5:$S$18,MATCH(IF(E5="",DefaultChannel,E5),Channels!$A$5:$A$18,0)),0))</f>
        <v>0</v>
      </c>
      <c r="AB5" s="20">
        <f>IF(B5="","",IFERROR(INDEX(Channels!$T$5:$T$18,MATCH(IF(E5="",DefaultChannel,E5),Channels!$A$5:$A$18,0)),0))</f>
        <v>0</v>
      </c>
      <c r="AC5" s="42">
        <f>IF(B5="","",IFERROR(INDEX(Channels!$O$5:$O$18,MATCH(IF(E5="",DefaultChannel,E5),Channels!$A$5:$A$18,0)),"No"))</f>
        <v>0</v>
      </c>
      <c r="AD5" s="20">
        <f>IF(B5="","",ROUND((V5+IF(AC5="Yes",IF(I5="",0,I5),0))*AA5+AB5,2))</f>
        <v>0</v>
      </c>
      <c r="AE5" s="20">
        <f>IF(B5="","",IF(K5&lt;&gt;"",K5,AD5))</f>
        <v>0</v>
      </c>
      <c r="AF5" s="20">
        <f>IF(B5="","",IF(K5="","",ROUND(K5-AD5,2)))</f>
        <v>0</v>
      </c>
      <c r="AG5" s="20">
        <f>IF(B5="","",ROUND(V5-Y5-AE5-Z5,2))</f>
        <v>0</v>
      </c>
      <c r="AH5" s="33">
        <f>IF(B5="","",IF(OR(V5="",V5=0),"",AG5/V5))</f>
        <v>0</v>
      </c>
      <c r="AI5" s="33">
        <f>IF(C5="","",IFERROR(INDEX(Products!$AW$5:$AW$304,MATCH(C5,Products!$A$5:$A$304,0)),""))</f>
        <v>0</v>
      </c>
      <c r="AJ5" s="33">
        <f>IF(B5="","",IF(OR(AH5="",AI5=""),"",AH5-AI5))</f>
        <v>0</v>
      </c>
      <c r="AK5" s="41">
        <f>IF(B5="","",IFERROR(ROUND(IF(D5="",0,D5)*INDEX(Products!$X$5:$X$304,MATCH(C5,Products!$A$5:$A$304,0))/60,2),""))</f>
        <v>0</v>
      </c>
      <c r="AL5" s="20">
        <f>IF(B5="","",IF(OR(AK5="",AK5=0),"",ROUND(AG5/AK5,2)))</f>
        <v>0</v>
      </c>
      <c r="AM5" s="43">
        <f>IF(B5="","",IF(C5="","Add - which product?",IF(AG5&lt;0,"Loss - this order cost you money",IF(M5="Refunded","Refunded - check why",IF(AND(AF5&lt;&gt;"",AF5&gt;0.25),"Check - fees higher than your settings",IF(Z5&gt;1,"Check - postage is eating the margin",IF(AND(AH5&lt;&gt;"",AH5&lt;MarginWarning),"Low margin on this order","OK")))))) )</f>
        <v>0</v>
      </c>
    </row>
    <row r="6" spans="1:39">
      <c r="A6" s="38">
        <f>IF(B6="","",SalePrefix&amp;TEXT(ROW()-4,"0000"))</f>
        <v>0</v>
      </c>
      <c r="B6" s="22">
        <v>46315</v>
      </c>
      <c r="C6" s="46" t="s">
        <v>1344</v>
      </c>
      <c r="D6" s="16">
        <v>1</v>
      </c>
      <c r="E6" s="15" t="s">
        <v>287</v>
      </c>
      <c r="F6" s="18">
        <v>32</v>
      </c>
      <c r="I6" s="18">
        <v>8.95</v>
      </c>
      <c r="J6" s="18">
        <v>9.85</v>
      </c>
      <c r="M6" s="39" t="s">
        <v>1589</v>
      </c>
      <c r="N6" s="15" t="s">
        <v>1590</v>
      </c>
      <c r="Q6" s="13">
        <f>IF(C6="","",IFERROR(INDEX(Products!$B$5:$B$304,MATCH(C6,Products!$A$5:$A$304,0)),"Bundle or deleted"))</f>
        <v>0</v>
      </c>
      <c r="R6" s="13">
        <f>IF(B6="","",TEXT(B6,"yyyy-mm"))</f>
        <v>0</v>
      </c>
      <c r="S6" s="20">
        <f>IF(C6="","",IFERROR(INDEX(Products!$AR$5:$AR$304,MATCH(C6,Products!$A$5:$A$304,0)),""))</f>
        <v>0</v>
      </c>
      <c r="T6" s="20">
        <f>IF(B6="","",IF(F6&lt;&gt;"",F6,IF(S6="",0,S6)))</f>
        <v>0</v>
      </c>
      <c r="U6" s="20">
        <f>IF(B6="","",ROUND(IF(D6="",0,D6)*T6,2))</f>
        <v>0</v>
      </c>
      <c r="V6" s="20">
        <f>IF(B6="","",ROUND(U6-IF(G6="",0,G6)-IF(L6="",0,L6),2))</f>
        <v>0</v>
      </c>
      <c r="W6" s="20">
        <f>IF(C6="","",IFERROR(INDEX(Products!$AT$5:$AT$304,MATCH(C6,Products!$A$5:$A$304,0)),""))</f>
        <v>0</v>
      </c>
      <c r="X6" s="20">
        <f>IF(C6="","",IFERROR(INDEX(Products!$AG$5:$AG$304,MATCH(C6,Products!$A$5:$A$304,0)),""))</f>
        <v>0</v>
      </c>
      <c r="Y6" s="20">
        <f>IF(B6="","",ROUND(IF(D6="",0,D6)*MAX(0,IF(W6="",0,W6)-IF(X6="",0,X6)),2))</f>
        <v>0</v>
      </c>
      <c r="Z6" s="20">
        <f>IF(B6="","",ROUND(MAX(0,IF(J6="",0,J6)-IF(I6="",0,I6)),2))</f>
        <v>0</v>
      </c>
      <c r="AA6" s="33">
        <f>IF(B6="","",IFERROR(INDEX(Channels!$S$5:$S$18,MATCH(IF(E6="",DefaultChannel,E6),Channels!$A$5:$A$18,0)),0))</f>
        <v>0</v>
      </c>
      <c r="AB6" s="20">
        <f>IF(B6="","",IFERROR(INDEX(Channels!$T$5:$T$18,MATCH(IF(E6="",DefaultChannel,E6),Channels!$A$5:$A$18,0)),0))</f>
        <v>0</v>
      </c>
      <c r="AC6" s="42">
        <f>IF(B6="","",IFERROR(INDEX(Channels!$O$5:$O$18,MATCH(IF(E6="",DefaultChannel,E6),Channels!$A$5:$A$18,0)),"No"))</f>
        <v>0</v>
      </c>
      <c r="AD6" s="20">
        <f>IF(B6="","",ROUND((V6+IF(AC6="Yes",IF(I6="",0,I6),0))*AA6+AB6,2))</f>
        <v>0</v>
      </c>
      <c r="AE6" s="20">
        <f>IF(B6="","",IF(K6&lt;&gt;"",K6,AD6))</f>
        <v>0</v>
      </c>
      <c r="AF6" s="20">
        <f>IF(B6="","",IF(K6="","",ROUND(K6-AD6,2)))</f>
        <v>0</v>
      </c>
      <c r="AG6" s="20">
        <f>IF(B6="","",ROUND(V6-Y6-AE6-Z6,2))</f>
        <v>0</v>
      </c>
      <c r="AH6" s="33">
        <f>IF(B6="","",IF(OR(V6="",V6=0),"",AG6/V6))</f>
        <v>0</v>
      </c>
      <c r="AI6" s="33">
        <f>IF(C6="","",IFERROR(INDEX(Products!$AW$5:$AW$304,MATCH(C6,Products!$A$5:$A$304,0)),""))</f>
        <v>0</v>
      </c>
      <c r="AJ6" s="33">
        <f>IF(B6="","",IF(OR(AH6="",AI6=""),"",AH6-AI6))</f>
        <v>0</v>
      </c>
      <c r="AK6" s="41">
        <f>IF(B6="","",IFERROR(ROUND(IF(D6="",0,D6)*INDEX(Products!$X$5:$X$304,MATCH(C6,Products!$A$5:$A$304,0))/60,2),""))</f>
        <v>0</v>
      </c>
      <c r="AL6" s="20">
        <f>IF(B6="","",IF(OR(AK6="",AK6=0),"",ROUND(AG6/AK6,2)))</f>
        <v>0</v>
      </c>
      <c r="AM6" s="43">
        <f>IF(B6="","",IF(C6="","Add - which product?",IF(AG6&lt;0,"Loss - this order cost you money",IF(M6="Refunded","Refunded - check why",IF(AND(AF6&lt;&gt;"",AF6&gt;0.25),"Check - fees higher than your settings",IF(Z6&gt;1,"Check - postage is eating the margin",IF(AND(AH6&lt;&gt;"",AH6&lt;MarginWarning),"Low margin on this order","OK")))))) )</f>
        <v>0</v>
      </c>
    </row>
    <row r="7" spans="1:39">
      <c r="A7" s="38">
        <f>IF(B7="","",SalePrefix&amp;TEXT(ROW()-4,"0000"))</f>
        <v>0</v>
      </c>
      <c r="B7" s="22">
        <v>46314</v>
      </c>
      <c r="C7" s="46" t="s">
        <v>1447</v>
      </c>
      <c r="D7" s="16">
        <v>1</v>
      </c>
      <c r="E7" s="15" t="s">
        <v>287</v>
      </c>
      <c r="F7" s="18">
        <v>8.5</v>
      </c>
      <c r="M7" s="39" t="s">
        <v>1591</v>
      </c>
      <c r="N7" s="15" t="s">
        <v>1592</v>
      </c>
      <c r="P7" s="40" t="s">
        <v>1593</v>
      </c>
      <c r="Q7" s="13">
        <f>IF(C7="","",IFERROR(INDEX(Products!$B$5:$B$304,MATCH(C7,Products!$A$5:$A$304,0)),"Bundle or deleted"))</f>
        <v>0</v>
      </c>
      <c r="R7" s="13">
        <f>IF(B7="","",TEXT(B7,"yyyy-mm"))</f>
        <v>0</v>
      </c>
      <c r="S7" s="20">
        <f>IF(C7="","",IFERROR(INDEX(Products!$AR$5:$AR$304,MATCH(C7,Products!$A$5:$A$304,0)),""))</f>
        <v>0</v>
      </c>
      <c r="T7" s="20">
        <f>IF(B7="","",IF(F7&lt;&gt;"",F7,IF(S7="",0,S7)))</f>
        <v>0</v>
      </c>
      <c r="U7" s="20">
        <f>IF(B7="","",ROUND(IF(D7="",0,D7)*T7,2))</f>
        <v>0</v>
      </c>
      <c r="V7" s="20">
        <f>IF(B7="","",ROUND(U7-IF(G7="",0,G7)-IF(L7="",0,L7),2))</f>
        <v>0</v>
      </c>
      <c r="W7" s="20">
        <f>IF(C7="","",IFERROR(INDEX(Products!$AT$5:$AT$304,MATCH(C7,Products!$A$5:$A$304,0)),""))</f>
        <v>0</v>
      </c>
      <c r="X7" s="20">
        <f>IF(C7="","",IFERROR(INDEX(Products!$AG$5:$AG$304,MATCH(C7,Products!$A$5:$A$304,0)),""))</f>
        <v>0</v>
      </c>
      <c r="Y7" s="20">
        <f>IF(B7="","",ROUND(IF(D7="",0,D7)*MAX(0,IF(W7="",0,W7)-IF(X7="",0,X7)),2))</f>
        <v>0</v>
      </c>
      <c r="Z7" s="20">
        <f>IF(B7="","",ROUND(MAX(0,IF(J7="",0,J7)-IF(I7="",0,I7)),2))</f>
        <v>0</v>
      </c>
      <c r="AA7" s="33">
        <f>IF(B7="","",IFERROR(INDEX(Channels!$S$5:$S$18,MATCH(IF(E7="",DefaultChannel,E7),Channels!$A$5:$A$18,0)),0))</f>
        <v>0</v>
      </c>
      <c r="AB7" s="20">
        <f>IF(B7="","",IFERROR(INDEX(Channels!$T$5:$T$18,MATCH(IF(E7="",DefaultChannel,E7),Channels!$A$5:$A$18,0)),0))</f>
        <v>0</v>
      </c>
      <c r="AC7" s="42">
        <f>IF(B7="","",IFERROR(INDEX(Channels!$O$5:$O$18,MATCH(IF(E7="",DefaultChannel,E7),Channels!$A$5:$A$18,0)),"No"))</f>
        <v>0</v>
      </c>
      <c r="AD7" s="20">
        <f>IF(B7="","",ROUND((V7+IF(AC7="Yes",IF(I7="",0,I7),0))*AA7+AB7,2))</f>
        <v>0</v>
      </c>
      <c r="AE7" s="20">
        <f>IF(B7="","",IF(K7&lt;&gt;"",K7,AD7))</f>
        <v>0</v>
      </c>
      <c r="AF7" s="20">
        <f>IF(B7="","",IF(K7="","",ROUND(K7-AD7,2)))</f>
        <v>0</v>
      </c>
      <c r="AG7" s="20">
        <f>IF(B7="","",ROUND(V7-Y7-AE7-Z7,2))</f>
        <v>0</v>
      </c>
      <c r="AH7" s="33">
        <f>IF(B7="","",IF(OR(V7="",V7=0),"",AG7/V7))</f>
        <v>0</v>
      </c>
      <c r="AI7" s="33">
        <f>IF(C7="","",IFERROR(INDEX(Products!$AW$5:$AW$304,MATCH(C7,Products!$A$5:$A$304,0)),""))</f>
        <v>0</v>
      </c>
      <c r="AJ7" s="33">
        <f>IF(B7="","",IF(OR(AH7="",AI7=""),"",AH7-AI7))</f>
        <v>0</v>
      </c>
      <c r="AK7" s="41">
        <f>IF(B7="","",IFERROR(ROUND(IF(D7="",0,D7)*INDEX(Products!$X$5:$X$304,MATCH(C7,Products!$A$5:$A$304,0))/60,2),""))</f>
        <v>0</v>
      </c>
      <c r="AL7" s="20">
        <f>IF(B7="","",IF(OR(AK7="",AK7=0),"",ROUND(AG7/AK7,2)))</f>
        <v>0</v>
      </c>
      <c r="AM7" s="43">
        <f>IF(B7="","",IF(C7="","Add - which product?",IF(AG7&lt;0,"Loss - this order cost you money",IF(M7="Refunded","Refunded - check why",IF(AND(AF7&lt;&gt;"",AF7&gt;0.25),"Check - fees higher than your settings",IF(Z7&gt;1,"Check - postage is eating the margin",IF(AND(AH7&lt;&gt;"",AH7&lt;MarginWarning),"Low margin on this order","OK")))))) )</f>
        <v>0</v>
      </c>
    </row>
    <row r="8" spans="1:39">
      <c r="A8" s="38">
        <f>IF(B8="","",SalePrefix&amp;TEXT(ROW()-4,"0000"))</f>
        <v>0</v>
      </c>
      <c r="B8" s="22">
        <v>46313</v>
      </c>
      <c r="C8" s="46" t="s">
        <v>1304</v>
      </c>
      <c r="D8" s="16">
        <v>1</v>
      </c>
      <c r="E8" s="15" t="s">
        <v>287</v>
      </c>
      <c r="F8" s="18">
        <v>58</v>
      </c>
      <c r="I8" s="18">
        <v>4.95</v>
      </c>
      <c r="J8" s="18">
        <v>4.25</v>
      </c>
      <c r="K8" s="18">
        <v>8.12</v>
      </c>
      <c r="M8" s="39" t="s">
        <v>1591</v>
      </c>
      <c r="N8" s="15" t="s">
        <v>1594</v>
      </c>
      <c r="P8" s="40" t="s">
        <v>1595</v>
      </c>
      <c r="Q8" s="13">
        <f>IF(C8="","",IFERROR(INDEX(Products!$B$5:$B$304,MATCH(C8,Products!$A$5:$A$304,0)),"Bundle or deleted"))</f>
        <v>0</v>
      </c>
      <c r="R8" s="13">
        <f>IF(B8="","",TEXT(B8,"yyyy-mm"))</f>
        <v>0</v>
      </c>
      <c r="S8" s="20">
        <f>IF(C8="","",IFERROR(INDEX(Products!$AR$5:$AR$304,MATCH(C8,Products!$A$5:$A$304,0)),""))</f>
        <v>0</v>
      </c>
      <c r="T8" s="20">
        <f>IF(B8="","",IF(F8&lt;&gt;"",F8,IF(S8="",0,S8)))</f>
        <v>0</v>
      </c>
      <c r="U8" s="20">
        <f>IF(B8="","",ROUND(IF(D8="",0,D8)*T8,2))</f>
        <v>0</v>
      </c>
      <c r="V8" s="20">
        <f>IF(B8="","",ROUND(U8-IF(G8="",0,G8)-IF(L8="",0,L8),2))</f>
        <v>0</v>
      </c>
      <c r="W8" s="20">
        <f>IF(C8="","",IFERROR(INDEX(Products!$AT$5:$AT$304,MATCH(C8,Products!$A$5:$A$304,0)),""))</f>
        <v>0</v>
      </c>
      <c r="X8" s="20">
        <f>IF(C8="","",IFERROR(INDEX(Products!$AG$5:$AG$304,MATCH(C8,Products!$A$5:$A$304,0)),""))</f>
        <v>0</v>
      </c>
      <c r="Y8" s="20">
        <f>IF(B8="","",ROUND(IF(D8="",0,D8)*MAX(0,IF(W8="",0,W8)-IF(X8="",0,X8)),2))</f>
        <v>0</v>
      </c>
      <c r="Z8" s="20">
        <f>IF(B8="","",ROUND(MAX(0,IF(J8="",0,J8)-IF(I8="",0,I8)),2))</f>
        <v>0</v>
      </c>
      <c r="AA8" s="33">
        <f>IF(B8="","",IFERROR(INDEX(Channels!$S$5:$S$18,MATCH(IF(E8="",DefaultChannel,E8),Channels!$A$5:$A$18,0)),0))</f>
        <v>0</v>
      </c>
      <c r="AB8" s="20">
        <f>IF(B8="","",IFERROR(INDEX(Channels!$T$5:$T$18,MATCH(IF(E8="",DefaultChannel,E8),Channels!$A$5:$A$18,0)),0))</f>
        <v>0</v>
      </c>
      <c r="AC8" s="42">
        <f>IF(B8="","",IFERROR(INDEX(Channels!$O$5:$O$18,MATCH(IF(E8="",DefaultChannel,E8),Channels!$A$5:$A$18,0)),"No"))</f>
        <v>0</v>
      </c>
      <c r="AD8" s="20">
        <f>IF(B8="","",ROUND((V8+IF(AC8="Yes",IF(I8="",0,I8),0))*AA8+AB8,2))</f>
        <v>0</v>
      </c>
      <c r="AE8" s="20">
        <f>IF(B8="","",IF(K8&lt;&gt;"",K8,AD8))</f>
        <v>0</v>
      </c>
      <c r="AF8" s="20">
        <f>IF(B8="","",IF(K8="","",ROUND(K8-AD8,2)))</f>
        <v>0</v>
      </c>
      <c r="AG8" s="20">
        <f>IF(B8="","",ROUND(V8-Y8-AE8-Z8,2))</f>
        <v>0</v>
      </c>
      <c r="AH8" s="33">
        <f>IF(B8="","",IF(OR(V8="",V8=0),"",AG8/V8))</f>
        <v>0</v>
      </c>
      <c r="AI8" s="33">
        <f>IF(C8="","",IFERROR(INDEX(Products!$AW$5:$AW$304,MATCH(C8,Products!$A$5:$A$304,0)),""))</f>
        <v>0</v>
      </c>
      <c r="AJ8" s="33">
        <f>IF(B8="","",IF(OR(AH8="",AI8=""),"",AH8-AI8))</f>
        <v>0</v>
      </c>
      <c r="AK8" s="41">
        <f>IF(B8="","",IFERROR(ROUND(IF(D8="",0,D8)*INDEX(Products!$X$5:$X$304,MATCH(C8,Products!$A$5:$A$304,0))/60,2),""))</f>
        <v>0</v>
      </c>
      <c r="AL8" s="20">
        <f>IF(B8="","",IF(OR(AK8="",AK8=0),"",ROUND(AG8/AK8,2)))</f>
        <v>0</v>
      </c>
      <c r="AM8" s="43">
        <f>IF(B8="","",IF(C8="","Add - which product?",IF(AG8&lt;0,"Loss - this order cost you money",IF(M8="Refunded","Refunded - check why",IF(AND(AF8&lt;&gt;"",AF8&gt;0.25),"Check - fees higher than your settings",IF(Z8&gt;1,"Check - postage is eating the margin",IF(AND(AH8&lt;&gt;"",AH8&lt;MarginWarning),"Low margin on this order","OK")))))) )</f>
        <v>0</v>
      </c>
    </row>
    <row r="9" spans="1:39">
      <c r="A9" s="38">
        <f>IF(B9="","",SalePrefix&amp;TEXT(ROW()-4,"0000"))</f>
        <v>0</v>
      </c>
      <c r="B9" s="22">
        <v>46312</v>
      </c>
      <c r="C9" s="46" t="s">
        <v>1351</v>
      </c>
      <c r="D9" s="16">
        <v>2</v>
      </c>
      <c r="E9" s="15" t="s">
        <v>287</v>
      </c>
      <c r="F9" s="18">
        <v>19</v>
      </c>
      <c r="I9" s="18">
        <v>6.95</v>
      </c>
      <c r="J9" s="18">
        <v>7.1</v>
      </c>
      <c r="M9" s="39" t="s">
        <v>1591</v>
      </c>
      <c r="N9" s="15" t="s">
        <v>1596</v>
      </c>
      <c r="Q9" s="13">
        <f>IF(C9="","",IFERROR(INDEX(Products!$B$5:$B$304,MATCH(C9,Products!$A$5:$A$304,0)),"Bundle or deleted"))</f>
        <v>0</v>
      </c>
      <c r="R9" s="13">
        <f>IF(B9="","",TEXT(B9,"yyyy-mm"))</f>
        <v>0</v>
      </c>
      <c r="S9" s="20">
        <f>IF(C9="","",IFERROR(INDEX(Products!$AR$5:$AR$304,MATCH(C9,Products!$A$5:$A$304,0)),""))</f>
        <v>0</v>
      </c>
      <c r="T9" s="20">
        <f>IF(B9="","",IF(F9&lt;&gt;"",F9,IF(S9="",0,S9)))</f>
        <v>0</v>
      </c>
      <c r="U9" s="20">
        <f>IF(B9="","",ROUND(IF(D9="",0,D9)*T9,2))</f>
        <v>0</v>
      </c>
      <c r="V9" s="20">
        <f>IF(B9="","",ROUND(U9-IF(G9="",0,G9)-IF(L9="",0,L9),2))</f>
        <v>0</v>
      </c>
      <c r="W9" s="20">
        <f>IF(C9="","",IFERROR(INDEX(Products!$AT$5:$AT$304,MATCH(C9,Products!$A$5:$A$304,0)),""))</f>
        <v>0</v>
      </c>
      <c r="X9" s="20">
        <f>IF(C9="","",IFERROR(INDEX(Products!$AG$5:$AG$304,MATCH(C9,Products!$A$5:$A$304,0)),""))</f>
        <v>0</v>
      </c>
      <c r="Y9" s="20">
        <f>IF(B9="","",ROUND(IF(D9="",0,D9)*MAX(0,IF(W9="",0,W9)-IF(X9="",0,X9)),2))</f>
        <v>0</v>
      </c>
      <c r="Z9" s="20">
        <f>IF(B9="","",ROUND(MAX(0,IF(J9="",0,J9)-IF(I9="",0,I9)),2))</f>
        <v>0</v>
      </c>
      <c r="AA9" s="33">
        <f>IF(B9="","",IFERROR(INDEX(Channels!$S$5:$S$18,MATCH(IF(E9="",DefaultChannel,E9),Channels!$A$5:$A$18,0)),0))</f>
        <v>0</v>
      </c>
      <c r="AB9" s="20">
        <f>IF(B9="","",IFERROR(INDEX(Channels!$T$5:$T$18,MATCH(IF(E9="",DefaultChannel,E9),Channels!$A$5:$A$18,0)),0))</f>
        <v>0</v>
      </c>
      <c r="AC9" s="42">
        <f>IF(B9="","",IFERROR(INDEX(Channels!$O$5:$O$18,MATCH(IF(E9="",DefaultChannel,E9),Channels!$A$5:$A$18,0)),"No"))</f>
        <v>0</v>
      </c>
      <c r="AD9" s="20">
        <f>IF(B9="","",ROUND((V9+IF(AC9="Yes",IF(I9="",0,I9),0))*AA9+AB9,2))</f>
        <v>0</v>
      </c>
      <c r="AE9" s="20">
        <f>IF(B9="","",IF(K9&lt;&gt;"",K9,AD9))</f>
        <v>0</v>
      </c>
      <c r="AF9" s="20">
        <f>IF(B9="","",IF(K9="","",ROUND(K9-AD9,2)))</f>
        <v>0</v>
      </c>
      <c r="AG9" s="20">
        <f>IF(B9="","",ROUND(V9-Y9-AE9-Z9,2))</f>
        <v>0</v>
      </c>
      <c r="AH9" s="33">
        <f>IF(B9="","",IF(OR(V9="",V9=0),"",AG9/V9))</f>
        <v>0</v>
      </c>
      <c r="AI9" s="33">
        <f>IF(C9="","",IFERROR(INDEX(Products!$AW$5:$AW$304,MATCH(C9,Products!$A$5:$A$304,0)),""))</f>
        <v>0</v>
      </c>
      <c r="AJ9" s="33">
        <f>IF(B9="","",IF(OR(AH9="",AI9=""),"",AH9-AI9))</f>
        <v>0</v>
      </c>
      <c r="AK9" s="41">
        <f>IF(B9="","",IFERROR(ROUND(IF(D9="",0,D9)*INDEX(Products!$X$5:$X$304,MATCH(C9,Products!$A$5:$A$304,0))/60,2),""))</f>
        <v>0</v>
      </c>
      <c r="AL9" s="20">
        <f>IF(B9="","",IF(OR(AK9="",AK9=0),"",ROUND(AG9/AK9,2)))</f>
        <v>0</v>
      </c>
      <c r="AM9" s="43">
        <f>IF(B9="","",IF(C9="","Add - which product?",IF(AG9&lt;0,"Loss - this order cost you money",IF(M9="Refunded","Refunded - check why",IF(AND(AF9&lt;&gt;"",AF9&gt;0.25),"Check - fees higher than your settings",IF(Z9&gt;1,"Check - postage is eating the margin",IF(AND(AH9&lt;&gt;"",AH9&lt;MarginWarning),"Low margin on this order","OK")))))) )</f>
        <v>0</v>
      </c>
    </row>
    <row r="10" spans="1:39">
      <c r="A10" s="38">
        <f>IF(B10="","",SalePrefix&amp;TEXT(ROW()-4,"0000"))</f>
        <v>0</v>
      </c>
      <c r="B10" s="22">
        <v>46311</v>
      </c>
      <c r="C10" s="46" t="s">
        <v>1256</v>
      </c>
      <c r="D10" s="16">
        <v>1</v>
      </c>
      <c r="E10" s="15" t="s">
        <v>287</v>
      </c>
      <c r="F10" s="18">
        <v>78</v>
      </c>
      <c r="G10" s="18">
        <v>7.8</v>
      </c>
      <c r="H10" s="15" t="s">
        <v>1597</v>
      </c>
      <c r="I10" s="18">
        <v>5.95</v>
      </c>
      <c r="J10" s="18">
        <v>5.4</v>
      </c>
      <c r="M10" s="39" t="s">
        <v>1591</v>
      </c>
      <c r="N10" s="15" t="s">
        <v>1598</v>
      </c>
      <c r="Q10" s="13">
        <f>IF(C10="","",IFERROR(INDEX(Products!$B$5:$B$304,MATCH(C10,Products!$A$5:$A$304,0)),"Bundle or deleted"))</f>
        <v>0</v>
      </c>
      <c r="R10" s="13">
        <f>IF(B10="","",TEXT(B10,"yyyy-mm"))</f>
        <v>0</v>
      </c>
      <c r="S10" s="20">
        <f>IF(C10="","",IFERROR(INDEX(Products!$AR$5:$AR$304,MATCH(C10,Products!$A$5:$A$304,0)),""))</f>
        <v>0</v>
      </c>
      <c r="T10" s="20">
        <f>IF(B10="","",IF(F10&lt;&gt;"",F10,IF(S10="",0,S10)))</f>
        <v>0</v>
      </c>
      <c r="U10" s="20">
        <f>IF(B10="","",ROUND(IF(D10="",0,D10)*T10,2))</f>
        <v>0</v>
      </c>
      <c r="V10" s="20">
        <f>IF(B10="","",ROUND(U10-IF(G10="",0,G10)-IF(L10="",0,L10),2))</f>
        <v>0</v>
      </c>
      <c r="W10" s="20">
        <f>IF(C10="","",IFERROR(INDEX(Products!$AT$5:$AT$304,MATCH(C10,Products!$A$5:$A$304,0)),""))</f>
        <v>0</v>
      </c>
      <c r="X10" s="20">
        <f>IF(C10="","",IFERROR(INDEX(Products!$AG$5:$AG$304,MATCH(C10,Products!$A$5:$A$304,0)),""))</f>
        <v>0</v>
      </c>
      <c r="Y10" s="20">
        <f>IF(B10="","",ROUND(IF(D10="",0,D10)*MAX(0,IF(W10="",0,W10)-IF(X10="",0,X10)),2))</f>
        <v>0</v>
      </c>
      <c r="Z10" s="20">
        <f>IF(B10="","",ROUND(MAX(0,IF(J10="",0,J10)-IF(I10="",0,I10)),2))</f>
        <v>0</v>
      </c>
      <c r="AA10" s="33">
        <f>IF(B10="","",IFERROR(INDEX(Channels!$S$5:$S$18,MATCH(IF(E10="",DefaultChannel,E10),Channels!$A$5:$A$18,0)),0))</f>
        <v>0</v>
      </c>
      <c r="AB10" s="20">
        <f>IF(B10="","",IFERROR(INDEX(Channels!$T$5:$T$18,MATCH(IF(E10="",DefaultChannel,E10),Channels!$A$5:$A$18,0)),0))</f>
        <v>0</v>
      </c>
      <c r="AC10" s="42">
        <f>IF(B10="","",IFERROR(INDEX(Channels!$O$5:$O$18,MATCH(IF(E10="",DefaultChannel,E10),Channels!$A$5:$A$18,0)),"No"))</f>
        <v>0</v>
      </c>
      <c r="AD10" s="20">
        <f>IF(B10="","",ROUND((V10+IF(AC10="Yes",IF(I10="",0,I10),0))*AA10+AB10,2))</f>
        <v>0</v>
      </c>
      <c r="AE10" s="20">
        <f>IF(B10="","",IF(K10&lt;&gt;"",K10,AD10))</f>
        <v>0</v>
      </c>
      <c r="AF10" s="20">
        <f>IF(B10="","",IF(K10="","",ROUND(K10-AD10,2)))</f>
        <v>0</v>
      </c>
      <c r="AG10" s="20">
        <f>IF(B10="","",ROUND(V10-Y10-AE10-Z10,2))</f>
        <v>0</v>
      </c>
      <c r="AH10" s="33">
        <f>IF(B10="","",IF(OR(V10="",V10=0),"",AG10/V10))</f>
        <v>0</v>
      </c>
      <c r="AI10" s="33">
        <f>IF(C10="","",IFERROR(INDEX(Products!$AW$5:$AW$304,MATCH(C10,Products!$A$5:$A$304,0)),""))</f>
        <v>0</v>
      </c>
      <c r="AJ10" s="33">
        <f>IF(B10="","",IF(OR(AH10="",AI10=""),"",AH10-AI10))</f>
        <v>0</v>
      </c>
      <c r="AK10" s="41">
        <f>IF(B10="","",IFERROR(ROUND(IF(D10="",0,D10)*INDEX(Products!$X$5:$X$304,MATCH(C10,Products!$A$5:$A$304,0))/60,2),""))</f>
        <v>0</v>
      </c>
      <c r="AL10" s="20">
        <f>IF(B10="","",IF(OR(AK10="",AK10=0),"",ROUND(AG10/AK10,2)))</f>
        <v>0</v>
      </c>
      <c r="AM10" s="43">
        <f>IF(B10="","",IF(C10="","Add - which product?",IF(AG10&lt;0,"Loss - this order cost you money",IF(M10="Refunded","Refunded - check why",IF(AND(AF10&lt;&gt;"",AF10&gt;0.25),"Check - fees higher than your settings",IF(Z10&gt;1,"Check - postage is eating the margin",IF(AND(AH10&lt;&gt;"",AH10&lt;MarginWarning),"Low margin on this order","OK")))))) )</f>
        <v>0</v>
      </c>
    </row>
    <row r="11" spans="1:39">
      <c r="A11" s="38">
        <f>IF(B11="","",SalePrefix&amp;TEXT(ROW()-4,"0000"))</f>
        <v>0</v>
      </c>
      <c r="B11" s="22">
        <v>46309</v>
      </c>
      <c r="C11" s="46" t="s">
        <v>1344</v>
      </c>
      <c r="D11" s="16">
        <v>2</v>
      </c>
      <c r="E11" s="15" t="s">
        <v>995</v>
      </c>
      <c r="F11" s="18">
        <v>32</v>
      </c>
      <c r="M11" s="39" t="s">
        <v>1591</v>
      </c>
      <c r="N11" s="15" t="s">
        <v>1599</v>
      </c>
      <c r="O11" s="15" t="s">
        <v>1600</v>
      </c>
      <c r="Q11" s="13">
        <f>IF(C11="","",IFERROR(INDEX(Products!$B$5:$B$304,MATCH(C11,Products!$A$5:$A$304,0)),"Bundle or deleted"))</f>
        <v>0</v>
      </c>
      <c r="R11" s="13">
        <f>IF(B11="","",TEXT(B11,"yyyy-mm"))</f>
        <v>0</v>
      </c>
      <c r="S11" s="20">
        <f>IF(C11="","",IFERROR(INDEX(Products!$AR$5:$AR$304,MATCH(C11,Products!$A$5:$A$304,0)),""))</f>
        <v>0</v>
      </c>
      <c r="T11" s="20">
        <f>IF(B11="","",IF(F11&lt;&gt;"",F11,IF(S11="",0,S11)))</f>
        <v>0</v>
      </c>
      <c r="U11" s="20">
        <f>IF(B11="","",ROUND(IF(D11="",0,D11)*T11,2))</f>
        <v>0</v>
      </c>
      <c r="V11" s="20">
        <f>IF(B11="","",ROUND(U11-IF(G11="",0,G11)-IF(L11="",0,L11),2))</f>
        <v>0</v>
      </c>
      <c r="W11" s="20">
        <f>IF(C11="","",IFERROR(INDEX(Products!$AT$5:$AT$304,MATCH(C11,Products!$A$5:$A$304,0)),""))</f>
        <v>0</v>
      </c>
      <c r="X11" s="20">
        <f>IF(C11="","",IFERROR(INDEX(Products!$AG$5:$AG$304,MATCH(C11,Products!$A$5:$A$304,0)),""))</f>
        <v>0</v>
      </c>
      <c r="Y11" s="20">
        <f>IF(B11="","",ROUND(IF(D11="",0,D11)*MAX(0,IF(W11="",0,W11)-IF(X11="",0,X11)),2))</f>
        <v>0</v>
      </c>
      <c r="Z11" s="20">
        <f>IF(B11="","",ROUND(MAX(0,IF(J11="",0,J11)-IF(I11="",0,I11)),2))</f>
        <v>0</v>
      </c>
      <c r="AA11" s="33">
        <f>IF(B11="","",IFERROR(INDEX(Channels!$S$5:$S$18,MATCH(IF(E11="",DefaultChannel,E11),Channels!$A$5:$A$18,0)),0))</f>
        <v>0</v>
      </c>
      <c r="AB11" s="20">
        <f>IF(B11="","",IFERROR(INDEX(Channels!$T$5:$T$18,MATCH(IF(E11="",DefaultChannel,E11),Channels!$A$5:$A$18,0)),0))</f>
        <v>0</v>
      </c>
      <c r="AC11" s="42">
        <f>IF(B11="","",IFERROR(INDEX(Channels!$O$5:$O$18,MATCH(IF(E11="",DefaultChannel,E11),Channels!$A$5:$A$18,0)),"No"))</f>
        <v>0</v>
      </c>
      <c r="AD11" s="20">
        <f>IF(B11="","",ROUND((V11+IF(AC11="Yes",IF(I11="",0,I11),0))*AA11+AB11,2))</f>
        <v>0</v>
      </c>
      <c r="AE11" s="20">
        <f>IF(B11="","",IF(K11&lt;&gt;"",K11,AD11))</f>
        <v>0</v>
      </c>
      <c r="AF11" s="20">
        <f>IF(B11="","",IF(K11="","",ROUND(K11-AD11,2)))</f>
        <v>0</v>
      </c>
      <c r="AG11" s="20">
        <f>IF(B11="","",ROUND(V11-Y11-AE11-Z11,2))</f>
        <v>0</v>
      </c>
      <c r="AH11" s="33">
        <f>IF(B11="","",IF(OR(V11="",V11=0),"",AG11/V11))</f>
        <v>0</v>
      </c>
      <c r="AI11" s="33">
        <f>IF(C11="","",IFERROR(INDEX(Products!$AW$5:$AW$304,MATCH(C11,Products!$A$5:$A$304,0)),""))</f>
        <v>0</v>
      </c>
      <c r="AJ11" s="33">
        <f>IF(B11="","",IF(OR(AH11="",AI11=""),"",AH11-AI11))</f>
        <v>0</v>
      </c>
      <c r="AK11" s="41">
        <f>IF(B11="","",IFERROR(ROUND(IF(D11="",0,D11)*INDEX(Products!$X$5:$X$304,MATCH(C11,Products!$A$5:$A$304,0))/60,2),""))</f>
        <v>0</v>
      </c>
      <c r="AL11" s="20">
        <f>IF(B11="","",IF(OR(AK11="",AK11=0),"",ROUND(AG11/AK11,2)))</f>
        <v>0</v>
      </c>
      <c r="AM11" s="43">
        <f>IF(B11="","",IF(C11="","Add - which product?",IF(AG11&lt;0,"Loss - this order cost you money",IF(M11="Refunded","Refunded - check why",IF(AND(AF11&lt;&gt;"",AF11&gt;0.25),"Check - fees higher than your settings",IF(Z11&gt;1,"Check - postage is eating the margin",IF(AND(AH11&lt;&gt;"",AH11&lt;MarginWarning),"Low margin on this order","OK")))))) )</f>
        <v>0</v>
      </c>
    </row>
    <row r="12" spans="1:39">
      <c r="A12" s="38">
        <f>IF(B12="","",SalePrefix&amp;TEXT(ROW()-4,"0000"))</f>
        <v>0</v>
      </c>
      <c r="B12" s="22">
        <v>46309</v>
      </c>
      <c r="C12" s="46" t="s">
        <v>1351</v>
      </c>
      <c r="D12" s="16">
        <v>3</v>
      </c>
      <c r="E12" s="15" t="s">
        <v>995</v>
      </c>
      <c r="F12" s="18">
        <v>19</v>
      </c>
      <c r="M12" s="39" t="s">
        <v>1591</v>
      </c>
      <c r="N12" s="15" t="s">
        <v>1599</v>
      </c>
      <c r="O12" s="15" t="s">
        <v>1600</v>
      </c>
      <c r="Q12" s="13">
        <f>IF(C12="","",IFERROR(INDEX(Products!$B$5:$B$304,MATCH(C12,Products!$A$5:$A$304,0)),"Bundle or deleted"))</f>
        <v>0</v>
      </c>
      <c r="R12" s="13">
        <f>IF(B12="","",TEXT(B12,"yyyy-mm"))</f>
        <v>0</v>
      </c>
      <c r="S12" s="20">
        <f>IF(C12="","",IFERROR(INDEX(Products!$AR$5:$AR$304,MATCH(C12,Products!$A$5:$A$304,0)),""))</f>
        <v>0</v>
      </c>
      <c r="T12" s="20">
        <f>IF(B12="","",IF(F12&lt;&gt;"",F12,IF(S12="",0,S12)))</f>
        <v>0</v>
      </c>
      <c r="U12" s="20">
        <f>IF(B12="","",ROUND(IF(D12="",0,D12)*T12,2))</f>
        <v>0</v>
      </c>
      <c r="V12" s="20">
        <f>IF(B12="","",ROUND(U12-IF(G12="",0,G12)-IF(L12="",0,L12),2))</f>
        <v>0</v>
      </c>
      <c r="W12" s="20">
        <f>IF(C12="","",IFERROR(INDEX(Products!$AT$5:$AT$304,MATCH(C12,Products!$A$5:$A$304,0)),""))</f>
        <v>0</v>
      </c>
      <c r="X12" s="20">
        <f>IF(C12="","",IFERROR(INDEX(Products!$AG$5:$AG$304,MATCH(C12,Products!$A$5:$A$304,0)),""))</f>
        <v>0</v>
      </c>
      <c r="Y12" s="20">
        <f>IF(B12="","",ROUND(IF(D12="",0,D12)*MAX(0,IF(W12="",0,W12)-IF(X12="",0,X12)),2))</f>
        <v>0</v>
      </c>
      <c r="Z12" s="20">
        <f>IF(B12="","",ROUND(MAX(0,IF(J12="",0,J12)-IF(I12="",0,I12)),2))</f>
        <v>0</v>
      </c>
      <c r="AA12" s="33">
        <f>IF(B12="","",IFERROR(INDEX(Channels!$S$5:$S$18,MATCH(IF(E12="",DefaultChannel,E12),Channels!$A$5:$A$18,0)),0))</f>
        <v>0</v>
      </c>
      <c r="AB12" s="20">
        <f>IF(B12="","",IFERROR(INDEX(Channels!$T$5:$T$18,MATCH(IF(E12="",DefaultChannel,E12),Channels!$A$5:$A$18,0)),0))</f>
        <v>0</v>
      </c>
      <c r="AC12" s="42">
        <f>IF(B12="","",IFERROR(INDEX(Channels!$O$5:$O$18,MATCH(IF(E12="",DefaultChannel,E12),Channels!$A$5:$A$18,0)),"No"))</f>
        <v>0</v>
      </c>
      <c r="AD12" s="20">
        <f>IF(B12="","",ROUND((V12+IF(AC12="Yes",IF(I12="",0,I12),0))*AA12+AB12,2))</f>
        <v>0</v>
      </c>
      <c r="AE12" s="20">
        <f>IF(B12="","",IF(K12&lt;&gt;"",K12,AD12))</f>
        <v>0</v>
      </c>
      <c r="AF12" s="20">
        <f>IF(B12="","",IF(K12="","",ROUND(K12-AD12,2)))</f>
        <v>0</v>
      </c>
      <c r="AG12" s="20">
        <f>IF(B12="","",ROUND(V12-Y12-AE12-Z12,2))</f>
        <v>0</v>
      </c>
      <c r="AH12" s="33">
        <f>IF(B12="","",IF(OR(V12="",V12=0),"",AG12/V12))</f>
        <v>0</v>
      </c>
      <c r="AI12" s="33">
        <f>IF(C12="","",IFERROR(INDEX(Products!$AW$5:$AW$304,MATCH(C12,Products!$A$5:$A$304,0)),""))</f>
        <v>0</v>
      </c>
      <c r="AJ12" s="33">
        <f>IF(B12="","",IF(OR(AH12="",AI12=""),"",AH12-AI12))</f>
        <v>0</v>
      </c>
      <c r="AK12" s="41">
        <f>IF(B12="","",IFERROR(ROUND(IF(D12="",0,D12)*INDEX(Products!$X$5:$X$304,MATCH(C12,Products!$A$5:$A$304,0))/60,2),""))</f>
        <v>0</v>
      </c>
      <c r="AL12" s="20">
        <f>IF(B12="","",IF(OR(AK12="",AK12=0),"",ROUND(AG12/AK12,2)))</f>
        <v>0</v>
      </c>
      <c r="AM12" s="43">
        <f>IF(B12="","",IF(C12="","Add - which product?",IF(AG12&lt;0,"Loss - this order cost you money",IF(M12="Refunded","Refunded - check why",IF(AND(AF12&lt;&gt;"",AF12&gt;0.25),"Check - fees higher than your settings",IF(Z12&gt;1,"Check - postage is eating the margin",IF(AND(AH12&lt;&gt;"",AH12&lt;MarginWarning),"Low margin on this order","OK")))))) )</f>
        <v>0</v>
      </c>
    </row>
    <row r="13" spans="1:39">
      <c r="A13" s="38">
        <f>IF(B13="","",SalePrefix&amp;TEXT(ROW()-4,"0000"))</f>
        <v>0</v>
      </c>
      <c r="B13" s="22">
        <v>46309</v>
      </c>
      <c r="C13" s="46" t="s">
        <v>1256</v>
      </c>
      <c r="D13" s="16">
        <v>1</v>
      </c>
      <c r="E13" s="15" t="s">
        <v>995</v>
      </c>
      <c r="F13" s="18">
        <v>78</v>
      </c>
      <c r="M13" s="39" t="s">
        <v>1591</v>
      </c>
      <c r="N13" s="15" t="s">
        <v>1599</v>
      </c>
      <c r="O13" s="15" t="s">
        <v>1600</v>
      </c>
      <c r="Q13" s="13">
        <f>IF(C13="","",IFERROR(INDEX(Products!$B$5:$B$304,MATCH(C13,Products!$A$5:$A$304,0)),"Bundle or deleted"))</f>
        <v>0</v>
      </c>
      <c r="R13" s="13">
        <f>IF(B13="","",TEXT(B13,"yyyy-mm"))</f>
        <v>0</v>
      </c>
      <c r="S13" s="20">
        <f>IF(C13="","",IFERROR(INDEX(Products!$AR$5:$AR$304,MATCH(C13,Products!$A$5:$A$304,0)),""))</f>
        <v>0</v>
      </c>
      <c r="T13" s="20">
        <f>IF(B13="","",IF(F13&lt;&gt;"",F13,IF(S13="",0,S13)))</f>
        <v>0</v>
      </c>
      <c r="U13" s="20">
        <f>IF(B13="","",ROUND(IF(D13="",0,D13)*T13,2))</f>
        <v>0</v>
      </c>
      <c r="V13" s="20">
        <f>IF(B13="","",ROUND(U13-IF(G13="",0,G13)-IF(L13="",0,L13),2))</f>
        <v>0</v>
      </c>
      <c r="W13" s="20">
        <f>IF(C13="","",IFERROR(INDEX(Products!$AT$5:$AT$304,MATCH(C13,Products!$A$5:$A$304,0)),""))</f>
        <v>0</v>
      </c>
      <c r="X13" s="20">
        <f>IF(C13="","",IFERROR(INDEX(Products!$AG$5:$AG$304,MATCH(C13,Products!$A$5:$A$304,0)),""))</f>
        <v>0</v>
      </c>
      <c r="Y13" s="20">
        <f>IF(B13="","",ROUND(IF(D13="",0,D13)*MAX(0,IF(W13="",0,W13)-IF(X13="",0,X13)),2))</f>
        <v>0</v>
      </c>
      <c r="Z13" s="20">
        <f>IF(B13="","",ROUND(MAX(0,IF(J13="",0,J13)-IF(I13="",0,I13)),2))</f>
        <v>0</v>
      </c>
      <c r="AA13" s="33">
        <f>IF(B13="","",IFERROR(INDEX(Channels!$S$5:$S$18,MATCH(IF(E13="",DefaultChannel,E13),Channels!$A$5:$A$18,0)),0))</f>
        <v>0</v>
      </c>
      <c r="AB13" s="20">
        <f>IF(B13="","",IFERROR(INDEX(Channels!$T$5:$T$18,MATCH(IF(E13="",DefaultChannel,E13),Channels!$A$5:$A$18,0)),0))</f>
        <v>0</v>
      </c>
      <c r="AC13" s="42">
        <f>IF(B13="","",IFERROR(INDEX(Channels!$O$5:$O$18,MATCH(IF(E13="",DefaultChannel,E13),Channels!$A$5:$A$18,0)),"No"))</f>
        <v>0</v>
      </c>
      <c r="AD13" s="20">
        <f>IF(B13="","",ROUND((V13+IF(AC13="Yes",IF(I13="",0,I13),0))*AA13+AB13,2))</f>
        <v>0</v>
      </c>
      <c r="AE13" s="20">
        <f>IF(B13="","",IF(K13&lt;&gt;"",K13,AD13))</f>
        <v>0</v>
      </c>
      <c r="AF13" s="20">
        <f>IF(B13="","",IF(K13="","",ROUND(K13-AD13,2)))</f>
        <v>0</v>
      </c>
      <c r="AG13" s="20">
        <f>IF(B13="","",ROUND(V13-Y13-AE13-Z13,2))</f>
        <v>0</v>
      </c>
      <c r="AH13" s="33">
        <f>IF(B13="","",IF(OR(V13="",V13=0),"",AG13/V13))</f>
        <v>0</v>
      </c>
      <c r="AI13" s="33">
        <f>IF(C13="","",IFERROR(INDEX(Products!$AW$5:$AW$304,MATCH(C13,Products!$A$5:$A$304,0)),""))</f>
        <v>0</v>
      </c>
      <c r="AJ13" s="33">
        <f>IF(B13="","",IF(OR(AH13="",AI13=""),"",AH13-AI13))</f>
        <v>0</v>
      </c>
      <c r="AK13" s="41">
        <f>IF(B13="","",IFERROR(ROUND(IF(D13="",0,D13)*INDEX(Products!$X$5:$X$304,MATCH(C13,Products!$A$5:$A$304,0))/60,2),""))</f>
        <v>0</v>
      </c>
      <c r="AL13" s="20">
        <f>IF(B13="","",IF(OR(AK13="",AK13=0),"",ROUND(AG13/AK13,2)))</f>
        <v>0</v>
      </c>
      <c r="AM13" s="43">
        <f>IF(B13="","",IF(C13="","Add - which product?",IF(AG13&lt;0,"Loss - this order cost you money",IF(M13="Refunded","Refunded - check why",IF(AND(AF13&lt;&gt;"",AF13&gt;0.25),"Check - fees higher than your settings",IF(Z13&gt;1,"Check - postage is eating the margin",IF(AND(AH13&lt;&gt;"",AH13&lt;MarginWarning),"Low margin on this order","OK")))))) )</f>
        <v>0</v>
      </c>
    </row>
    <row r="14" spans="1:39">
      <c r="A14" s="38">
        <f>IF(B14="","",SalePrefix&amp;TEXT(ROW()-4,"0000"))</f>
        <v>0</v>
      </c>
      <c r="B14" s="22">
        <v>46309</v>
      </c>
      <c r="C14" s="46" t="s">
        <v>1308</v>
      </c>
      <c r="D14" s="16">
        <v>1</v>
      </c>
      <c r="E14" s="15" t="s">
        <v>995</v>
      </c>
      <c r="F14" s="18">
        <v>52</v>
      </c>
      <c r="M14" s="39" t="s">
        <v>1591</v>
      </c>
      <c r="N14" s="15" t="s">
        <v>1599</v>
      </c>
      <c r="O14" s="15" t="s">
        <v>1600</v>
      </c>
      <c r="Q14" s="13">
        <f>IF(C14="","",IFERROR(INDEX(Products!$B$5:$B$304,MATCH(C14,Products!$A$5:$A$304,0)),"Bundle or deleted"))</f>
        <v>0</v>
      </c>
      <c r="R14" s="13">
        <f>IF(B14="","",TEXT(B14,"yyyy-mm"))</f>
        <v>0</v>
      </c>
      <c r="S14" s="20">
        <f>IF(C14="","",IFERROR(INDEX(Products!$AR$5:$AR$304,MATCH(C14,Products!$A$5:$A$304,0)),""))</f>
        <v>0</v>
      </c>
      <c r="T14" s="20">
        <f>IF(B14="","",IF(F14&lt;&gt;"",F14,IF(S14="",0,S14)))</f>
        <v>0</v>
      </c>
      <c r="U14" s="20">
        <f>IF(B14="","",ROUND(IF(D14="",0,D14)*T14,2))</f>
        <v>0</v>
      </c>
      <c r="V14" s="20">
        <f>IF(B14="","",ROUND(U14-IF(G14="",0,G14)-IF(L14="",0,L14),2))</f>
        <v>0</v>
      </c>
      <c r="W14" s="20">
        <f>IF(C14="","",IFERROR(INDEX(Products!$AT$5:$AT$304,MATCH(C14,Products!$A$5:$A$304,0)),""))</f>
        <v>0</v>
      </c>
      <c r="X14" s="20">
        <f>IF(C14="","",IFERROR(INDEX(Products!$AG$5:$AG$304,MATCH(C14,Products!$A$5:$A$304,0)),""))</f>
        <v>0</v>
      </c>
      <c r="Y14" s="20">
        <f>IF(B14="","",ROUND(IF(D14="",0,D14)*MAX(0,IF(W14="",0,W14)-IF(X14="",0,X14)),2))</f>
        <v>0</v>
      </c>
      <c r="Z14" s="20">
        <f>IF(B14="","",ROUND(MAX(0,IF(J14="",0,J14)-IF(I14="",0,I14)),2))</f>
        <v>0</v>
      </c>
      <c r="AA14" s="33">
        <f>IF(B14="","",IFERROR(INDEX(Channels!$S$5:$S$18,MATCH(IF(E14="",DefaultChannel,E14),Channels!$A$5:$A$18,0)),0))</f>
        <v>0</v>
      </c>
      <c r="AB14" s="20">
        <f>IF(B14="","",IFERROR(INDEX(Channels!$T$5:$T$18,MATCH(IF(E14="",DefaultChannel,E14),Channels!$A$5:$A$18,0)),0))</f>
        <v>0</v>
      </c>
      <c r="AC14" s="42">
        <f>IF(B14="","",IFERROR(INDEX(Channels!$O$5:$O$18,MATCH(IF(E14="",DefaultChannel,E14),Channels!$A$5:$A$18,0)),"No"))</f>
        <v>0</v>
      </c>
      <c r="AD14" s="20">
        <f>IF(B14="","",ROUND((V14+IF(AC14="Yes",IF(I14="",0,I14),0))*AA14+AB14,2))</f>
        <v>0</v>
      </c>
      <c r="AE14" s="20">
        <f>IF(B14="","",IF(K14&lt;&gt;"",K14,AD14))</f>
        <v>0</v>
      </c>
      <c r="AF14" s="20">
        <f>IF(B14="","",IF(K14="","",ROUND(K14-AD14,2)))</f>
        <v>0</v>
      </c>
      <c r="AG14" s="20">
        <f>IF(B14="","",ROUND(V14-Y14-AE14-Z14,2))</f>
        <v>0</v>
      </c>
      <c r="AH14" s="33">
        <f>IF(B14="","",IF(OR(V14="",V14=0),"",AG14/V14))</f>
        <v>0</v>
      </c>
      <c r="AI14" s="33">
        <f>IF(C14="","",IFERROR(INDEX(Products!$AW$5:$AW$304,MATCH(C14,Products!$A$5:$A$304,0)),""))</f>
        <v>0</v>
      </c>
      <c r="AJ14" s="33">
        <f>IF(B14="","",IF(OR(AH14="",AI14=""),"",AH14-AI14))</f>
        <v>0</v>
      </c>
      <c r="AK14" s="41">
        <f>IF(B14="","",IFERROR(ROUND(IF(D14="",0,D14)*INDEX(Products!$X$5:$X$304,MATCH(C14,Products!$A$5:$A$304,0))/60,2),""))</f>
        <v>0</v>
      </c>
      <c r="AL14" s="20">
        <f>IF(B14="","",IF(OR(AK14="",AK14=0),"",ROUND(AG14/AK14,2)))</f>
        <v>0</v>
      </c>
      <c r="AM14" s="43">
        <f>IF(B14="","",IF(C14="","Add - which product?",IF(AG14&lt;0,"Loss - this order cost you money",IF(M14="Refunded","Refunded - check why",IF(AND(AF14&lt;&gt;"",AF14&gt;0.25),"Check - fees higher than your settings",IF(Z14&gt;1,"Check - postage is eating the margin",IF(AND(AH14&lt;&gt;"",AH14&lt;MarginWarning),"Low margin on this order","OK")))))) )</f>
        <v>0</v>
      </c>
    </row>
    <row r="15" spans="1:39">
      <c r="A15" s="38">
        <f>IF(B15="","",SalePrefix&amp;TEXT(ROW()-4,"0000"))</f>
        <v>0</v>
      </c>
      <c r="B15" s="22">
        <v>46308</v>
      </c>
      <c r="C15" s="46" t="s">
        <v>1452</v>
      </c>
      <c r="D15" s="16">
        <v>1</v>
      </c>
      <c r="E15" s="15" t="s">
        <v>287</v>
      </c>
      <c r="F15" s="18">
        <v>9.5</v>
      </c>
      <c r="M15" s="39" t="s">
        <v>1591</v>
      </c>
      <c r="N15" s="15" t="s">
        <v>1601</v>
      </c>
      <c r="Q15" s="13">
        <f>IF(C15="","",IFERROR(INDEX(Products!$B$5:$B$304,MATCH(C15,Products!$A$5:$A$304,0)),"Bundle or deleted"))</f>
        <v>0</v>
      </c>
      <c r="R15" s="13">
        <f>IF(B15="","",TEXT(B15,"yyyy-mm"))</f>
        <v>0</v>
      </c>
      <c r="S15" s="20">
        <f>IF(C15="","",IFERROR(INDEX(Products!$AR$5:$AR$304,MATCH(C15,Products!$A$5:$A$304,0)),""))</f>
        <v>0</v>
      </c>
      <c r="T15" s="20">
        <f>IF(B15="","",IF(F15&lt;&gt;"",F15,IF(S15="",0,S15)))</f>
        <v>0</v>
      </c>
      <c r="U15" s="20">
        <f>IF(B15="","",ROUND(IF(D15="",0,D15)*T15,2))</f>
        <v>0</v>
      </c>
      <c r="V15" s="20">
        <f>IF(B15="","",ROUND(U15-IF(G15="",0,G15)-IF(L15="",0,L15),2))</f>
        <v>0</v>
      </c>
      <c r="W15" s="20">
        <f>IF(C15="","",IFERROR(INDEX(Products!$AT$5:$AT$304,MATCH(C15,Products!$A$5:$A$304,0)),""))</f>
        <v>0</v>
      </c>
      <c r="X15" s="20">
        <f>IF(C15="","",IFERROR(INDEX(Products!$AG$5:$AG$304,MATCH(C15,Products!$A$5:$A$304,0)),""))</f>
        <v>0</v>
      </c>
      <c r="Y15" s="20">
        <f>IF(B15="","",ROUND(IF(D15="",0,D15)*MAX(0,IF(W15="",0,W15)-IF(X15="",0,X15)),2))</f>
        <v>0</v>
      </c>
      <c r="Z15" s="20">
        <f>IF(B15="","",ROUND(MAX(0,IF(J15="",0,J15)-IF(I15="",0,I15)),2))</f>
        <v>0</v>
      </c>
      <c r="AA15" s="33">
        <f>IF(B15="","",IFERROR(INDEX(Channels!$S$5:$S$18,MATCH(IF(E15="",DefaultChannel,E15),Channels!$A$5:$A$18,0)),0))</f>
        <v>0</v>
      </c>
      <c r="AB15" s="20">
        <f>IF(B15="","",IFERROR(INDEX(Channels!$T$5:$T$18,MATCH(IF(E15="",DefaultChannel,E15),Channels!$A$5:$A$18,0)),0))</f>
        <v>0</v>
      </c>
      <c r="AC15" s="42">
        <f>IF(B15="","",IFERROR(INDEX(Channels!$O$5:$O$18,MATCH(IF(E15="",DefaultChannel,E15),Channels!$A$5:$A$18,0)),"No"))</f>
        <v>0</v>
      </c>
      <c r="AD15" s="20">
        <f>IF(B15="","",ROUND((V15+IF(AC15="Yes",IF(I15="",0,I15),0))*AA15+AB15,2))</f>
        <v>0</v>
      </c>
      <c r="AE15" s="20">
        <f>IF(B15="","",IF(K15&lt;&gt;"",K15,AD15))</f>
        <v>0</v>
      </c>
      <c r="AF15" s="20">
        <f>IF(B15="","",IF(K15="","",ROUND(K15-AD15,2)))</f>
        <v>0</v>
      </c>
      <c r="AG15" s="20">
        <f>IF(B15="","",ROUND(V15-Y15-AE15-Z15,2))</f>
        <v>0</v>
      </c>
      <c r="AH15" s="33">
        <f>IF(B15="","",IF(OR(V15="",V15=0),"",AG15/V15))</f>
        <v>0</v>
      </c>
      <c r="AI15" s="33">
        <f>IF(C15="","",IFERROR(INDEX(Products!$AW$5:$AW$304,MATCH(C15,Products!$A$5:$A$304,0)),""))</f>
        <v>0</v>
      </c>
      <c r="AJ15" s="33">
        <f>IF(B15="","",IF(OR(AH15="",AI15=""),"",AH15-AI15))</f>
        <v>0</v>
      </c>
      <c r="AK15" s="41">
        <f>IF(B15="","",IFERROR(ROUND(IF(D15="",0,D15)*INDEX(Products!$X$5:$X$304,MATCH(C15,Products!$A$5:$A$304,0))/60,2),""))</f>
        <v>0</v>
      </c>
      <c r="AL15" s="20">
        <f>IF(B15="","",IF(OR(AK15="",AK15=0),"",ROUND(AG15/AK15,2)))</f>
        <v>0</v>
      </c>
      <c r="AM15" s="43">
        <f>IF(B15="","",IF(C15="","Add - which product?",IF(AG15&lt;0,"Loss - this order cost you money",IF(M15="Refunded","Refunded - check why",IF(AND(AF15&lt;&gt;"",AF15&gt;0.25),"Check - fees higher than your settings",IF(Z15&gt;1,"Check - postage is eating the margin",IF(AND(AH15&lt;&gt;"",AH15&lt;MarginWarning),"Low margin on this order","OK")))))) )</f>
        <v>0</v>
      </c>
    </row>
    <row r="16" spans="1:39">
      <c r="A16" s="38">
        <f>IF(B16="","",SalePrefix&amp;TEXT(ROW()-4,"0000"))</f>
        <v>0</v>
      </c>
      <c r="B16" s="22">
        <v>46307</v>
      </c>
      <c r="C16" s="46" t="s">
        <v>748</v>
      </c>
      <c r="D16" s="16">
        <v>1</v>
      </c>
      <c r="E16" s="15" t="s">
        <v>545</v>
      </c>
      <c r="F16" s="18">
        <v>135</v>
      </c>
      <c r="I16" s="18">
        <v>16</v>
      </c>
      <c r="J16" s="18">
        <v>18.6</v>
      </c>
      <c r="M16" s="39" t="s">
        <v>1591</v>
      </c>
      <c r="N16" s="15" t="s">
        <v>1602</v>
      </c>
      <c r="P16" s="40" t="s">
        <v>1603</v>
      </c>
      <c r="Q16" s="13">
        <f>IF(C16="","",IFERROR(INDEX(Products!$B$5:$B$304,MATCH(C16,Products!$A$5:$A$304,0)),"Bundle or deleted"))</f>
        <v>0</v>
      </c>
      <c r="R16" s="13">
        <f>IF(B16="","",TEXT(B16,"yyyy-mm"))</f>
        <v>0</v>
      </c>
      <c r="S16" s="20">
        <f>IF(C16="","",IFERROR(INDEX(Products!$AR$5:$AR$304,MATCH(C16,Products!$A$5:$A$304,0)),""))</f>
        <v>0</v>
      </c>
      <c r="T16" s="20">
        <f>IF(B16="","",IF(F16&lt;&gt;"",F16,IF(S16="",0,S16)))</f>
        <v>0</v>
      </c>
      <c r="U16" s="20">
        <f>IF(B16="","",ROUND(IF(D16="",0,D16)*T16,2))</f>
        <v>0</v>
      </c>
      <c r="V16" s="20">
        <f>IF(B16="","",ROUND(U16-IF(G16="",0,G16)-IF(L16="",0,L16),2))</f>
        <v>0</v>
      </c>
      <c r="W16" s="20">
        <f>IF(C16="","",IFERROR(INDEX(Products!$AT$5:$AT$304,MATCH(C16,Products!$A$5:$A$304,0)),""))</f>
        <v>0</v>
      </c>
      <c r="X16" s="20">
        <f>IF(C16="","",IFERROR(INDEX(Products!$AG$5:$AG$304,MATCH(C16,Products!$A$5:$A$304,0)),""))</f>
        <v>0</v>
      </c>
      <c r="Y16" s="20">
        <f>IF(B16="","",ROUND(IF(D16="",0,D16)*MAX(0,IF(W16="",0,W16)-IF(X16="",0,X16)),2))</f>
        <v>0</v>
      </c>
      <c r="Z16" s="20">
        <f>IF(B16="","",ROUND(MAX(0,IF(J16="",0,J16)-IF(I16="",0,I16)),2))</f>
        <v>0</v>
      </c>
      <c r="AA16" s="33">
        <f>IF(B16="","",IFERROR(INDEX(Channels!$S$5:$S$18,MATCH(IF(E16="",DefaultChannel,E16),Channels!$A$5:$A$18,0)),0))</f>
        <v>0</v>
      </c>
      <c r="AB16" s="20">
        <f>IF(B16="","",IFERROR(INDEX(Channels!$T$5:$T$18,MATCH(IF(E16="",DefaultChannel,E16),Channels!$A$5:$A$18,0)),0))</f>
        <v>0</v>
      </c>
      <c r="AC16" s="42">
        <f>IF(B16="","",IFERROR(INDEX(Channels!$O$5:$O$18,MATCH(IF(E16="",DefaultChannel,E16),Channels!$A$5:$A$18,0)),"No"))</f>
        <v>0</v>
      </c>
      <c r="AD16" s="20">
        <f>IF(B16="","",ROUND((V16+IF(AC16="Yes",IF(I16="",0,I16),0))*AA16+AB16,2))</f>
        <v>0</v>
      </c>
      <c r="AE16" s="20">
        <f>IF(B16="","",IF(K16&lt;&gt;"",K16,AD16))</f>
        <v>0</v>
      </c>
      <c r="AF16" s="20">
        <f>IF(B16="","",IF(K16="","",ROUND(K16-AD16,2)))</f>
        <v>0</v>
      </c>
      <c r="AG16" s="20">
        <f>IF(B16="","",ROUND(V16-Y16-AE16-Z16,2))</f>
        <v>0</v>
      </c>
      <c r="AH16" s="33">
        <f>IF(B16="","",IF(OR(V16="",V16=0),"",AG16/V16))</f>
        <v>0</v>
      </c>
      <c r="AI16" s="33">
        <f>IF(C16="","",IFERROR(INDEX(Products!$AW$5:$AW$304,MATCH(C16,Products!$A$5:$A$304,0)),""))</f>
        <v>0</v>
      </c>
      <c r="AJ16" s="33">
        <f>IF(B16="","",IF(OR(AH16="",AI16=""),"",AH16-AI16))</f>
        <v>0</v>
      </c>
      <c r="AK16" s="41">
        <f>IF(B16="","",IFERROR(ROUND(IF(D16="",0,D16)*INDEX(Products!$X$5:$X$304,MATCH(C16,Products!$A$5:$A$304,0))/60,2),""))</f>
        <v>0</v>
      </c>
      <c r="AL16" s="20">
        <f>IF(B16="","",IF(OR(AK16="",AK16=0),"",ROUND(AG16/AK16,2)))</f>
        <v>0</v>
      </c>
      <c r="AM16" s="43">
        <f>IF(B16="","",IF(C16="","Add - which product?",IF(AG16&lt;0,"Loss - this order cost you money",IF(M16="Refunded","Refunded - check why",IF(AND(AF16&lt;&gt;"",AF16&gt;0.25),"Check - fees higher than your settings",IF(Z16&gt;1,"Check - postage is eating the margin",IF(AND(AH16&lt;&gt;"",AH16&lt;MarginWarning),"Low margin on this order","OK")))))) )</f>
        <v>0</v>
      </c>
    </row>
    <row r="17" spans="1:39">
      <c r="A17" s="38">
        <f>IF(B17="","",SalePrefix&amp;TEXT(ROW()-4,"0000"))</f>
        <v>0</v>
      </c>
      <c r="B17" s="22">
        <v>46306</v>
      </c>
      <c r="C17" s="46" t="s">
        <v>1351</v>
      </c>
      <c r="D17" s="16">
        <v>1</v>
      </c>
      <c r="E17" s="15" t="s">
        <v>1007</v>
      </c>
      <c r="F17" s="18">
        <v>0</v>
      </c>
      <c r="M17" s="39" t="s">
        <v>529</v>
      </c>
      <c r="N17" s="15" t="s">
        <v>1604</v>
      </c>
      <c r="P17" s="40" t="s">
        <v>1605</v>
      </c>
      <c r="Q17" s="13">
        <f>IF(C17="","",IFERROR(INDEX(Products!$B$5:$B$304,MATCH(C17,Products!$A$5:$A$304,0)),"Bundle or deleted"))</f>
        <v>0</v>
      </c>
      <c r="R17" s="13">
        <f>IF(B17="","",TEXT(B17,"yyyy-mm"))</f>
        <v>0</v>
      </c>
      <c r="S17" s="20">
        <f>IF(C17="","",IFERROR(INDEX(Products!$AR$5:$AR$304,MATCH(C17,Products!$A$5:$A$304,0)),""))</f>
        <v>0</v>
      </c>
      <c r="T17" s="20">
        <f>IF(B17="","",IF(F17&lt;&gt;"",F17,IF(S17="",0,S17)))</f>
        <v>0</v>
      </c>
      <c r="U17" s="20">
        <f>IF(B17="","",ROUND(IF(D17="",0,D17)*T17,2))</f>
        <v>0</v>
      </c>
      <c r="V17" s="20">
        <f>IF(B17="","",ROUND(U17-IF(G17="",0,G17)-IF(L17="",0,L17),2))</f>
        <v>0</v>
      </c>
      <c r="W17" s="20">
        <f>IF(C17="","",IFERROR(INDEX(Products!$AT$5:$AT$304,MATCH(C17,Products!$A$5:$A$304,0)),""))</f>
        <v>0</v>
      </c>
      <c r="X17" s="20">
        <f>IF(C17="","",IFERROR(INDEX(Products!$AG$5:$AG$304,MATCH(C17,Products!$A$5:$A$304,0)),""))</f>
        <v>0</v>
      </c>
      <c r="Y17" s="20">
        <f>IF(B17="","",ROUND(IF(D17="",0,D17)*MAX(0,IF(W17="",0,W17)-IF(X17="",0,X17)),2))</f>
        <v>0</v>
      </c>
      <c r="Z17" s="20">
        <f>IF(B17="","",ROUND(MAX(0,IF(J17="",0,J17)-IF(I17="",0,I17)),2))</f>
        <v>0</v>
      </c>
      <c r="AA17" s="33">
        <f>IF(B17="","",IFERROR(INDEX(Channels!$S$5:$S$18,MATCH(IF(E17="",DefaultChannel,E17),Channels!$A$5:$A$18,0)),0))</f>
        <v>0</v>
      </c>
      <c r="AB17" s="20">
        <f>IF(B17="","",IFERROR(INDEX(Channels!$T$5:$T$18,MATCH(IF(E17="",DefaultChannel,E17),Channels!$A$5:$A$18,0)),0))</f>
        <v>0</v>
      </c>
      <c r="AC17" s="42">
        <f>IF(B17="","",IFERROR(INDEX(Channels!$O$5:$O$18,MATCH(IF(E17="",DefaultChannel,E17),Channels!$A$5:$A$18,0)),"No"))</f>
        <v>0</v>
      </c>
      <c r="AD17" s="20">
        <f>IF(B17="","",ROUND((V17+IF(AC17="Yes",IF(I17="",0,I17),0))*AA17+AB17,2))</f>
        <v>0</v>
      </c>
      <c r="AE17" s="20">
        <f>IF(B17="","",IF(K17&lt;&gt;"",K17,AD17))</f>
        <v>0</v>
      </c>
      <c r="AF17" s="20">
        <f>IF(B17="","",IF(K17="","",ROUND(K17-AD17,2)))</f>
        <v>0</v>
      </c>
      <c r="AG17" s="20">
        <f>IF(B17="","",ROUND(V17-Y17-AE17-Z17,2))</f>
        <v>0</v>
      </c>
      <c r="AH17" s="33">
        <f>IF(B17="","",IF(OR(V17="",V17=0),"",AG17/V17))</f>
        <v>0</v>
      </c>
      <c r="AI17" s="33">
        <f>IF(C17="","",IFERROR(INDEX(Products!$AW$5:$AW$304,MATCH(C17,Products!$A$5:$A$304,0)),""))</f>
        <v>0</v>
      </c>
      <c r="AJ17" s="33">
        <f>IF(B17="","",IF(OR(AH17="",AI17=""),"",AH17-AI17))</f>
        <v>0</v>
      </c>
      <c r="AK17" s="41">
        <f>IF(B17="","",IFERROR(ROUND(IF(D17="",0,D17)*INDEX(Products!$X$5:$X$304,MATCH(C17,Products!$A$5:$A$304,0))/60,2),""))</f>
        <v>0</v>
      </c>
      <c r="AL17" s="20">
        <f>IF(B17="","",IF(OR(AK17="",AK17=0),"",ROUND(AG17/AK17,2)))</f>
        <v>0</v>
      </c>
      <c r="AM17" s="43">
        <f>IF(B17="","",IF(C17="","Add - which product?",IF(AG17&lt;0,"Loss - this order cost you money",IF(M17="Refunded","Refunded - check why",IF(AND(AF17&lt;&gt;"",AF17&gt;0.25),"Check - fees higher than your settings",IF(Z17&gt;1,"Check - postage is eating the margin",IF(AND(AH17&lt;&gt;"",AH17&lt;MarginWarning),"Low margin on this order","OK")))))) )</f>
        <v>0</v>
      </c>
    </row>
    <row r="18" spans="1:39">
      <c r="A18" s="38">
        <f>IF(B18="","",SalePrefix&amp;TEXT(ROW()-4,"0000"))</f>
        <v>0</v>
      </c>
      <c r="B18" s="22">
        <v>46305</v>
      </c>
      <c r="C18" s="46" t="s">
        <v>730</v>
      </c>
      <c r="D18" s="16">
        <v>1</v>
      </c>
      <c r="E18" s="15" t="s">
        <v>287</v>
      </c>
      <c r="F18" s="18">
        <v>75</v>
      </c>
      <c r="I18" s="18">
        <v>6.95</v>
      </c>
      <c r="J18" s="18">
        <v>7.1</v>
      </c>
      <c r="M18" s="39" t="s">
        <v>1591</v>
      </c>
      <c r="N18" s="15" t="s">
        <v>1606</v>
      </c>
      <c r="Q18" s="13">
        <f>IF(C18="","",IFERROR(INDEX(Products!$B$5:$B$304,MATCH(C18,Products!$A$5:$A$304,0)),"Bundle or deleted"))</f>
        <v>0</v>
      </c>
      <c r="R18" s="13">
        <f>IF(B18="","",TEXT(B18,"yyyy-mm"))</f>
        <v>0</v>
      </c>
      <c r="S18" s="20">
        <f>IF(C18="","",IFERROR(INDEX(Products!$AR$5:$AR$304,MATCH(C18,Products!$A$5:$A$304,0)),""))</f>
        <v>0</v>
      </c>
      <c r="T18" s="20">
        <f>IF(B18="","",IF(F18&lt;&gt;"",F18,IF(S18="",0,S18)))</f>
        <v>0</v>
      </c>
      <c r="U18" s="20">
        <f>IF(B18="","",ROUND(IF(D18="",0,D18)*T18,2))</f>
        <v>0</v>
      </c>
      <c r="V18" s="20">
        <f>IF(B18="","",ROUND(U18-IF(G18="",0,G18)-IF(L18="",0,L18),2))</f>
        <v>0</v>
      </c>
      <c r="W18" s="20">
        <f>IF(C18="","",IFERROR(INDEX(Products!$AT$5:$AT$304,MATCH(C18,Products!$A$5:$A$304,0)),""))</f>
        <v>0</v>
      </c>
      <c r="X18" s="20">
        <f>IF(C18="","",IFERROR(INDEX(Products!$AG$5:$AG$304,MATCH(C18,Products!$A$5:$A$304,0)),""))</f>
        <v>0</v>
      </c>
      <c r="Y18" s="20">
        <f>IF(B18="","",ROUND(IF(D18="",0,D18)*MAX(0,IF(W18="",0,W18)-IF(X18="",0,X18)),2))</f>
        <v>0</v>
      </c>
      <c r="Z18" s="20">
        <f>IF(B18="","",ROUND(MAX(0,IF(J18="",0,J18)-IF(I18="",0,I18)),2))</f>
        <v>0</v>
      </c>
      <c r="AA18" s="33">
        <f>IF(B18="","",IFERROR(INDEX(Channels!$S$5:$S$18,MATCH(IF(E18="",DefaultChannel,E18),Channels!$A$5:$A$18,0)),0))</f>
        <v>0</v>
      </c>
      <c r="AB18" s="20">
        <f>IF(B18="","",IFERROR(INDEX(Channels!$T$5:$T$18,MATCH(IF(E18="",DefaultChannel,E18),Channels!$A$5:$A$18,0)),0))</f>
        <v>0</v>
      </c>
      <c r="AC18" s="42">
        <f>IF(B18="","",IFERROR(INDEX(Channels!$O$5:$O$18,MATCH(IF(E18="",DefaultChannel,E18),Channels!$A$5:$A$18,0)),"No"))</f>
        <v>0</v>
      </c>
      <c r="AD18" s="20">
        <f>IF(B18="","",ROUND((V18+IF(AC18="Yes",IF(I18="",0,I18),0))*AA18+AB18,2))</f>
        <v>0</v>
      </c>
      <c r="AE18" s="20">
        <f>IF(B18="","",IF(K18&lt;&gt;"",K18,AD18))</f>
        <v>0</v>
      </c>
      <c r="AF18" s="20">
        <f>IF(B18="","",IF(K18="","",ROUND(K18-AD18,2)))</f>
        <v>0</v>
      </c>
      <c r="AG18" s="20">
        <f>IF(B18="","",ROUND(V18-Y18-AE18-Z18,2))</f>
        <v>0</v>
      </c>
      <c r="AH18" s="33">
        <f>IF(B18="","",IF(OR(V18="",V18=0),"",AG18/V18))</f>
        <v>0</v>
      </c>
      <c r="AI18" s="33">
        <f>IF(C18="","",IFERROR(INDEX(Products!$AW$5:$AW$304,MATCH(C18,Products!$A$5:$A$304,0)),""))</f>
        <v>0</v>
      </c>
      <c r="AJ18" s="33">
        <f>IF(B18="","",IF(OR(AH18="",AI18=""),"",AH18-AI18))</f>
        <v>0</v>
      </c>
      <c r="AK18" s="41">
        <f>IF(B18="","",IFERROR(ROUND(IF(D18="",0,D18)*INDEX(Products!$X$5:$X$304,MATCH(C18,Products!$A$5:$A$304,0))/60,2),""))</f>
        <v>0</v>
      </c>
      <c r="AL18" s="20">
        <f>IF(B18="","",IF(OR(AK18="",AK18=0),"",ROUND(AG18/AK18,2)))</f>
        <v>0</v>
      </c>
      <c r="AM18" s="43">
        <f>IF(B18="","",IF(C18="","Add - which product?",IF(AG18&lt;0,"Loss - this order cost you money",IF(M18="Refunded","Refunded - check why",IF(AND(AF18&lt;&gt;"",AF18&gt;0.25),"Check - fees higher than your settings",IF(Z18&gt;1,"Check - postage is eating the margin",IF(AND(AH18&lt;&gt;"",AH18&lt;MarginWarning),"Low margin on this order","OK")))))) )</f>
        <v>0</v>
      </c>
    </row>
    <row r="19" spans="1:39">
      <c r="A19" s="38">
        <f>IF(B19="","",SalePrefix&amp;TEXT(ROW()-4,"0000"))</f>
        <v>0</v>
      </c>
      <c r="B19" s="22">
        <v>46304</v>
      </c>
      <c r="C19" s="46" t="s">
        <v>1308</v>
      </c>
      <c r="D19" s="16">
        <v>1</v>
      </c>
      <c r="E19" s="15" t="s">
        <v>287</v>
      </c>
      <c r="F19" s="18">
        <v>52</v>
      </c>
      <c r="I19" s="18">
        <v>4.95</v>
      </c>
      <c r="J19" s="18">
        <v>4.25</v>
      </c>
      <c r="M19" s="39" t="s">
        <v>1591</v>
      </c>
      <c r="N19" s="15" t="s">
        <v>1607</v>
      </c>
      <c r="Q19" s="13">
        <f>IF(C19="","",IFERROR(INDEX(Products!$B$5:$B$304,MATCH(C19,Products!$A$5:$A$304,0)),"Bundle or deleted"))</f>
        <v>0</v>
      </c>
      <c r="R19" s="13">
        <f>IF(B19="","",TEXT(B19,"yyyy-mm"))</f>
        <v>0</v>
      </c>
      <c r="S19" s="20">
        <f>IF(C19="","",IFERROR(INDEX(Products!$AR$5:$AR$304,MATCH(C19,Products!$A$5:$A$304,0)),""))</f>
        <v>0</v>
      </c>
      <c r="T19" s="20">
        <f>IF(B19="","",IF(F19&lt;&gt;"",F19,IF(S19="",0,S19)))</f>
        <v>0</v>
      </c>
      <c r="U19" s="20">
        <f>IF(B19="","",ROUND(IF(D19="",0,D19)*T19,2))</f>
        <v>0</v>
      </c>
      <c r="V19" s="20">
        <f>IF(B19="","",ROUND(U19-IF(G19="",0,G19)-IF(L19="",0,L19),2))</f>
        <v>0</v>
      </c>
      <c r="W19" s="20">
        <f>IF(C19="","",IFERROR(INDEX(Products!$AT$5:$AT$304,MATCH(C19,Products!$A$5:$A$304,0)),""))</f>
        <v>0</v>
      </c>
      <c r="X19" s="20">
        <f>IF(C19="","",IFERROR(INDEX(Products!$AG$5:$AG$304,MATCH(C19,Products!$A$5:$A$304,0)),""))</f>
        <v>0</v>
      </c>
      <c r="Y19" s="20">
        <f>IF(B19="","",ROUND(IF(D19="",0,D19)*MAX(0,IF(W19="",0,W19)-IF(X19="",0,X19)),2))</f>
        <v>0</v>
      </c>
      <c r="Z19" s="20">
        <f>IF(B19="","",ROUND(MAX(0,IF(J19="",0,J19)-IF(I19="",0,I19)),2))</f>
        <v>0</v>
      </c>
      <c r="AA19" s="33">
        <f>IF(B19="","",IFERROR(INDEX(Channels!$S$5:$S$18,MATCH(IF(E19="",DefaultChannel,E19),Channels!$A$5:$A$18,0)),0))</f>
        <v>0</v>
      </c>
      <c r="AB19" s="20">
        <f>IF(B19="","",IFERROR(INDEX(Channels!$T$5:$T$18,MATCH(IF(E19="",DefaultChannel,E19),Channels!$A$5:$A$18,0)),0))</f>
        <v>0</v>
      </c>
      <c r="AC19" s="42">
        <f>IF(B19="","",IFERROR(INDEX(Channels!$O$5:$O$18,MATCH(IF(E19="",DefaultChannel,E19),Channels!$A$5:$A$18,0)),"No"))</f>
        <v>0</v>
      </c>
      <c r="AD19" s="20">
        <f>IF(B19="","",ROUND((V19+IF(AC19="Yes",IF(I19="",0,I19),0))*AA19+AB19,2))</f>
        <v>0</v>
      </c>
      <c r="AE19" s="20">
        <f>IF(B19="","",IF(K19&lt;&gt;"",K19,AD19))</f>
        <v>0</v>
      </c>
      <c r="AF19" s="20">
        <f>IF(B19="","",IF(K19="","",ROUND(K19-AD19,2)))</f>
        <v>0</v>
      </c>
      <c r="AG19" s="20">
        <f>IF(B19="","",ROUND(V19-Y19-AE19-Z19,2))</f>
        <v>0</v>
      </c>
      <c r="AH19" s="33">
        <f>IF(B19="","",IF(OR(V19="",V19=0),"",AG19/V19))</f>
        <v>0</v>
      </c>
      <c r="AI19" s="33">
        <f>IF(C19="","",IFERROR(INDEX(Products!$AW$5:$AW$304,MATCH(C19,Products!$A$5:$A$304,0)),""))</f>
        <v>0</v>
      </c>
      <c r="AJ19" s="33">
        <f>IF(B19="","",IF(OR(AH19="",AI19=""),"",AH19-AI19))</f>
        <v>0</v>
      </c>
      <c r="AK19" s="41">
        <f>IF(B19="","",IFERROR(ROUND(IF(D19="",0,D19)*INDEX(Products!$X$5:$X$304,MATCH(C19,Products!$A$5:$A$304,0))/60,2),""))</f>
        <v>0</v>
      </c>
      <c r="AL19" s="20">
        <f>IF(B19="","",IF(OR(AK19="",AK19=0),"",ROUND(AG19/AK19,2)))</f>
        <v>0</v>
      </c>
      <c r="AM19" s="43">
        <f>IF(B19="","",IF(C19="","Add - which product?",IF(AG19&lt;0,"Loss - this order cost you money",IF(M19="Refunded","Refunded - check why",IF(AND(AF19&lt;&gt;"",AF19&gt;0.25),"Check - fees higher than your settings",IF(Z19&gt;1,"Check - postage is eating the margin",IF(AND(AH19&lt;&gt;"",AH19&lt;MarginWarning),"Low margin on this order","OK")))))) )</f>
        <v>0</v>
      </c>
    </row>
    <row r="20" spans="1:39">
      <c r="A20" s="38">
        <f>IF(B20="","",SalePrefix&amp;TEXT(ROW()-4,"0000"))</f>
        <v>0</v>
      </c>
      <c r="B20" s="22">
        <v>46302</v>
      </c>
      <c r="C20" s="46" t="s">
        <v>1380</v>
      </c>
      <c r="D20" s="16">
        <v>1</v>
      </c>
      <c r="E20" s="15" t="s">
        <v>545</v>
      </c>
      <c r="F20" s="18">
        <v>148</v>
      </c>
      <c r="I20" s="18">
        <v>8.95</v>
      </c>
      <c r="J20" s="18">
        <v>9.85</v>
      </c>
      <c r="M20" s="39" t="s">
        <v>1591</v>
      </c>
      <c r="N20" s="15" t="s">
        <v>1608</v>
      </c>
      <c r="Q20" s="13">
        <f>IF(C20="","",IFERROR(INDEX(Products!$B$5:$B$304,MATCH(C20,Products!$A$5:$A$304,0)),"Bundle or deleted"))</f>
        <v>0</v>
      </c>
      <c r="R20" s="13">
        <f>IF(B20="","",TEXT(B20,"yyyy-mm"))</f>
        <v>0</v>
      </c>
      <c r="S20" s="20">
        <f>IF(C20="","",IFERROR(INDEX(Products!$AR$5:$AR$304,MATCH(C20,Products!$A$5:$A$304,0)),""))</f>
        <v>0</v>
      </c>
      <c r="T20" s="20">
        <f>IF(B20="","",IF(F20&lt;&gt;"",F20,IF(S20="",0,S20)))</f>
        <v>0</v>
      </c>
      <c r="U20" s="20">
        <f>IF(B20="","",ROUND(IF(D20="",0,D20)*T20,2))</f>
        <v>0</v>
      </c>
      <c r="V20" s="20">
        <f>IF(B20="","",ROUND(U20-IF(G20="",0,G20)-IF(L20="",0,L20),2))</f>
        <v>0</v>
      </c>
      <c r="W20" s="20">
        <f>IF(C20="","",IFERROR(INDEX(Products!$AT$5:$AT$304,MATCH(C20,Products!$A$5:$A$304,0)),""))</f>
        <v>0</v>
      </c>
      <c r="X20" s="20">
        <f>IF(C20="","",IFERROR(INDEX(Products!$AG$5:$AG$304,MATCH(C20,Products!$A$5:$A$304,0)),""))</f>
        <v>0</v>
      </c>
      <c r="Y20" s="20">
        <f>IF(B20="","",ROUND(IF(D20="",0,D20)*MAX(0,IF(W20="",0,W20)-IF(X20="",0,X20)),2))</f>
        <v>0</v>
      </c>
      <c r="Z20" s="20">
        <f>IF(B20="","",ROUND(MAX(0,IF(J20="",0,J20)-IF(I20="",0,I20)),2))</f>
        <v>0</v>
      </c>
      <c r="AA20" s="33">
        <f>IF(B20="","",IFERROR(INDEX(Channels!$S$5:$S$18,MATCH(IF(E20="",DefaultChannel,E20),Channels!$A$5:$A$18,0)),0))</f>
        <v>0</v>
      </c>
      <c r="AB20" s="20">
        <f>IF(B20="","",IFERROR(INDEX(Channels!$T$5:$T$18,MATCH(IF(E20="",DefaultChannel,E20),Channels!$A$5:$A$18,0)),0))</f>
        <v>0</v>
      </c>
      <c r="AC20" s="42">
        <f>IF(B20="","",IFERROR(INDEX(Channels!$O$5:$O$18,MATCH(IF(E20="",DefaultChannel,E20),Channels!$A$5:$A$18,0)),"No"))</f>
        <v>0</v>
      </c>
      <c r="AD20" s="20">
        <f>IF(B20="","",ROUND((V20+IF(AC20="Yes",IF(I20="",0,I20),0))*AA20+AB20,2))</f>
        <v>0</v>
      </c>
      <c r="AE20" s="20">
        <f>IF(B20="","",IF(K20&lt;&gt;"",K20,AD20))</f>
        <v>0</v>
      </c>
      <c r="AF20" s="20">
        <f>IF(B20="","",IF(K20="","",ROUND(K20-AD20,2)))</f>
        <v>0</v>
      </c>
      <c r="AG20" s="20">
        <f>IF(B20="","",ROUND(V20-Y20-AE20-Z20,2))</f>
        <v>0</v>
      </c>
      <c r="AH20" s="33">
        <f>IF(B20="","",IF(OR(V20="",V20=0),"",AG20/V20))</f>
        <v>0</v>
      </c>
      <c r="AI20" s="33">
        <f>IF(C20="","",IFERROR(INDEX(Products!$AW$5:$AW$304,MATCH(C20,Products!$A$5:$A$304,0)),""))</f>
        <v>0</v>
      </c>
      <c r="AJ20" s="33">
        <f>IF(B20="","",IF(OR(AH20="",AI20=""),"",AH20-AI20))</f>
        <v>0</v>
      </c>
      <c r="AK20" s="41">
        <f>IF(B20="","",IFERROR(ROUND(IF(D20="",0,D20)*INDEX(Products!$X$5:$X$304,MATCH(C20,Products!$A$5:$A$304,0))/60,2),""))</f>
        <v>0</v>
      </c>
      <c r="AL20" s="20">
        <f>IF(B20="","",IF(OR(AK20="",AK20=0),"",ROUND(AG20/AK20,2)))</f>
        <v>0</v>
      </c>
      <c r="AM20" s="43">
        <f>IF(B20="","",IF(C20="","Add - which product?",IF(AG20&lt;0,"Loss - this order cost you money",IF(M20="Refunded","Refunded - check why",IF(AND(AF20&lt;&gt;"",AF20&gt;0.25),"Check - fees higher than your settings",IF(Z20&gt;1,"Check - postage is eating the margin",IF(AND(AH20&lt;&gt;"",AH20&lt;MarginWarning),"Low margin on this order","OK")))))) )</f>
        <v>0</v>
      </c>
    </row>
    <row r="21" spans="1:39">
      <c r="A21" s="38">
        <f>IF(B21="","",SalePrefix&amp;TEXT(ROW()-4,"0000"))</f>
        <v>0</v>
      </c>
      <c r="B21" s="22">
        <v>46301</v>
      </c>
      <c r="C21" s="46" t="s">
        <v>1447</v>
      </c>
      <c r="D21" s="16">
        <v>2</v>
      </c>
      <c r="E21" s="15" t="s">
        <v>287</v>
      </c>
      <c r="F21" s="18">
        <v>8.5</v>
      </c>
      <c r="M21" s="39" t="s">
        <v>1591</v>
      </c>
      <c r="N21" s="15" t="s">
        <v>1609</v>
      </c>
      <c r="Q21" s="13">
        <f>IF(C21="","",IFERROR(INDEX(Products!$B$5:$B$304,MATCH(C21,Products!$A$5:$A$304,0)),"Bundle or deleted"))</f>
        <v>0</v>
      </c>
      <c r="R21" s="13">
        <f>IF(B21="","",TEXT(B21,"yyyy-mm"))</f>
        <v>0</v>
      </c>
      <c r="S21" s="20">
        <f>IF(C21="","",IFERROR(INDEX(Products!$AR$5:$AR$304,MATCH(C21,Products!$A$5:$A$304,0)),""))</f>
        <v>0</v>
      </c>
      <c r="T21" s="20">
        <f>IF(B21="","",IF(F21&lt;&gt;"",F21,IF(S21="",0,S21)))</f>
        <v>0</v>
      </c>
      <c r="U21" s="20">
        <f>IF(B21="","",ROUND(IF(D21="",0,D21)*T21,2))</f>
        <v>0</v>
      </c>
      <c r="V21" s="20">
        <f>IF(B21="","",ROUND(U21-IF(G21="",0,G21)-IF(L21="",0,L21),2))</f>
        <v>0</v>
      </c>
      <c r="W21" s="20">
        <f>IF(C21="","",IFERROR(INDEX(Products!$AT$5:$AT$304,MATCH(C21,Products!$A$5:$A$304,0)),""))</f>
        <v>0</v>
      </c>
      <c r="X21" s="20">
        <f>IF(C21="","",IFERROR(INDEX(Products!$AG$5:$AG$304,MATCH(C21,Products!$A$5:$A$304,0)),""))</f>
        <v>0</v>
      </c>
      <c r="Y21" s="20">
        <f>IF(B21="","",ROUND(IF(D21="",0,D21)*MAX(0,IF(W21="",0,W21)-IF(X21="",0,X21)),2))</f>
        <v>0</v>
      </c>
      <c r="Z21" s="20">
        <f>IF(B21="","",ROUND(MAX(0,IF(J21="",0,J21)-IF(I21="",0,I21)),2))</f>
        <v>0</v>
      </c>
      <c r="AA21" s="33">
        <f>IF(B21="","",IFERROR(INDEX(Channels!$S$5:$S$18,MATCH(IF(E21="",DefaultChannel,E21),Channels!$A$5:$A$18,0)),0))</f>
        <v>0</v>
      </c>
      <c r="AB21" s="20">
        <f>IF(B21="","",IFERROR(INDEX(Channels!$T$5:$T$18,MATCH(IF(E21="",DefaultChannel,E21),Channels!$A$5:$A$18,0)),0))</f>
        <v>0</v>
      </c>
      <c r="AC21" s="42">
        <f>IF(B21="","",IFERROR(INDEX(Channels!$O$5:$O$18,MATCH(IF(E21="",DefaultChannel,E21),Channels!$A$5:$A$18,0)),"No"))</f>
        <v>0</v>
      </c>
      <c r="AD21" s="20">
        <f>IF(B21="","",ROUND((V21+IF(AC21="Yes",IF(I21="",0,I21),0))*AA21+AB21,2))</f>
        <v>0</v>
      </c>
      <c r="AE21" s="20">
        <f>IF(B21="","",IF(K21&lt;&gt;"",K21,AD21))</f>
        <v>0</v>
      </c>
      <c r="AF21" s="20">
        <f>IF(B21="","",IF(K21="","",ROUND(K21-AD21,2)))</f>
        <v>0</v>
      </c>
      <c r="AG21" s="20">
        <f>IF(B21="","",ROUND(V21-Y21-AE21-Z21,2))</f>
        <v>0</v>
      </c>
      <c r="AH21" s="33">
        <f>IF(B21="","",IF(OR(V21="",V21=0),"",AG21/V21))</f>
        <v>0</v>
      </c>
      <c r="AI21" s="33">
        <f>IF(C21="","",IFERROR(INDEX(Products!$AW$5:$AW$304,MATCH(C21,Products!$A$5:$A$304,0)),""))</f>
        <v>0</v>
      </c>
      <c r="AJ21" s="33">
        <f>IF(B21="","",IF(OR(AH21="",AI21=""),"",AH21-AI21))</f>
        <v>0</v>
      </c>
      <c r="AK21" s="41">
        <f>IF(B21="","",IFERROR(ROUND(IF(D21="",0,D21)*INDEX(Products!$X$5:$X$304,MATCH(C21,Products!$A$5:$A$304,0))/60,2),""))</f>
        <v>0</v>
      </c>
      <c r="AL21" s="20">
        <f>IF(B21="","",IF(OR(AK21="",AK21=0),"",ROUND(AG21/AK21,2)))</f>
        <v>0</v>
      </c>
      <c r="AM21" s="43">
        <f>IF(B21="","",IF(C21="","Add - which product?",IF(AG21&lt;0,"Loss - this order cost you money",IF(M21="Refunded","Refunded - check why",IF(AND(AF21&lt;&gt;"",AF21&gt;0.25),"Check - fees higher than your settings",IF(Z21&gt;1,"Check - postage is eating the margin",IF(AND(AH21&lt;&gt;"",AH21&lt;MarginWarning),"Low margin on this order","OK")))))) )</f>
        <v>0</v>
      </c>
    </row>
    <row r="22" spans="1:39">
      <c r="A22" s="38">
        <f>IF(B22="","",SalePrefix&amp;TEXT(ROW()-4,"0000"))</f>
        <v>0</v>
      </c>
      <c r="B22" s="22">
        <v>46299</v>
      </c>
      <c r="C22" s="46" t="s">
        <v>735</v>
      </c>
      <c r="D22" s="16">
        <v>1</v>
      </c>
      <c r="E22" s="15" t="s">
        <v>287</v>
      </c>
      <c r="F22" s="18">
        <v>78</v>
      </c>
      <c r="I22" s="18">
        <v>6.95</v>
      </c>
      <c r="J22" s="18">
        <v>7.1</v>
      </c>
      <c r="M22" s="39" t="s">
        <v>1591</v>
      </c>
      <c r="N22" s="15" t="s">
        <v>1610</v>
      </c>
      <c r="Q22" s="13">
        <f>IF(C22="","",IFERROR(INDEX(Products!$B$5:$B$304,MATCH(C22,Products!$A$5:$A$304,0)),"Bundle or deleted"))</f>
        <v>0</v>
      </c>
      <c r="R22" s="13">
        <f>IF(B22="","",TEXT(B22,"yyyy-mm"))</f>
        <v>0</v>
      </c>
      <c r="S22" s="20">
        <f>IF(C22="","",IFERROR(INDEX(Products!$AR$5:$AR$304,MATCH(C22,Products!$A$5:$A$304,0)),""))</f>
        <v>0</v>
      </c>
      <c r="T22" s="20">
        <f>IF(B22="","",IF(F22&lt;&gt;"",F22,IF(S22="",0,S22)))</f>
        <v>0</v>
      </c>
      <c r="U22" s="20">
        <f>IF(B22="","",ROUND(IF(D22="",0,D22)*T22,2))</f>
        <v>0</v>
      </c>
      <c r="V22" s="20">
        <f>IF(B22="","",ROUND(U22-IF(G22="",0,G22)-IF(L22="",0,L22),2))</f>
        <v>0</v>
      </c>
      <c r="W22" s="20">
        <f>IF(C22="","",IFERROR(INDEX(Products!$AT$5:$AT$304,MATCH(C22,Products!$A$5:$A$304,0)),""))</f>
        <v>0</v>
      </c>
      <c r="X22" s="20">
        <f>IF(C22="","",IFERROR(INDEX(Products!$AG$5:$AG$304,MATCH(C22,Products!$A$5:$A$304,0)),""))</f>
        <v>0</v>
      </c>
      <c r="Y22" s="20">
        <f>IF(B22="","",ROUND(IF(D22="",0,D22)*MAX(0,IF(W22="",0,W22)-IF(X22="",0,X22)),2))</f>
        <v>0</v>
      </c>
      <c r="Z22" s="20">
        <f>IF(B22="","",ROUND(MAX(0,IF(J22="",0,J22)-IF(I22="",0,I22)),2))</f>
        <v>0</v>
      </c>
      <c r="AA22" s="33">
        <f>IF(B22="","",IFERROR(INDEX(Channels!$S$5:$S$18,MATCH(IF(E22="",DefaultChannel,E22),Channels!$A$5:$A$18,0)),0))</f>
        <v>0</v>
      </c>
      <c r="AB22" s="20">
        <f>IF(B22="","",IFERROR(INDEX(Channels!$T$5:$T$18,MATCH(IF(E22="",DefaultChannel,E22),Channels!$A$5:$A$18,0)),0))</f>
        <v>0</v>
      </c>
      <c r="AC22" s="42">
        <f>IF(B22="","",IFERROR(INDEX(Channels!$O$5:$O$18,MATCH(IF(E22="",DefaultChannel,E22),Channels!$A$5:$A$18,0)),"No"))</f>
        <v>0</v>
      </c>
      <c r="AD22" s="20">
        <f>IF(B22="","",ROUND((V22+IF(AC22="Yes",IF(I22="",0,I22),0))*AA22+AB22,2))</f>
        <v>0</v>
      </c>
      <c r="AE22" s="20">
        <f>IF(B22="","",IF(K22&lt;&gt;"",K22,AD22))</f>
        <v>0</v>
      </c>
      <c r="AF22" s="20">
        <f>IF(B22="","",IF(K22="","",ROUND(K22-AD22,2)))</f>
        <v>0</v>
      </c>
      <c r="AG22" s="20">
        <f>IF(B22="","",ROUND(V22-Y22-AE22-Z22,2))</f>
        <v>0</v>
      </c>
      <c r="AH22" s="33">
        <f>IF(B22="","",IF(OR(V22="",V22=0),"",AG22/V22))</f>
        <v>0</v>
      </c>
      <c r="AI22" s="33">
        <f>IF(C22="","",IFERROR(INDEX(Products!$AW$5:$AW$304,MATCH(C22,Products!$A$5:$A$304,0)),""))</f>
        <v>0</v>
      </c>
      <c r="AJ22" s="33">
        <f>IF(B22="","",IF(OR(AH22="",AI22=""),"",AH22-AI22))</f>
        <v>0</v>
      </c>
      <c r="AK22" s="41">
        <f>IF(B22="","",IFERROR(ROUND(IF(D22="",0,D22)*INDEX(Products!$X$5:$X$304,MATCH(C22,Products!$A$5:$A$304,0))/60,2),""))</f>
        <v>0</v>
      </c>
      <c r="AL22" s="20">
        <f>IF(B22="","",IF(OR(AK22="",AK22=0),"",ROUND(AG22/AK22,2)))</f>
        <v>0</v>
      </c>
      <c r="AM22" s="43">
        <f>IF(B22="","",IF(C22="","Add - which product?",IF(AG22&lt;0,"Loss - this order cost you money",IF(M22="Refunded","Refunded - check why",IF(AND(AF22&lt;&gt;"",AF22&gt;0.25),"Check - fees higher than your settings",IF(Z22&gt;1,"Check - postage is eating the margin",IF(AND(AH22&lt;&gt;"",AH22&lt;MarginWarning),"Low margin on this order","OK")))))) )</f>
        <v>0</v>
      </c>
    </row>
    <row r="23" spans="1:39">
      <c r="A23" s="38">
        <f>IF(B23="","",SalePrefix&amp;TEXT(ROW()-4,"0000"))</f>
        <v>0</v>
      </c>
      <c r="B23" s="22">
        <v>46298</v>
      </c>
      <c r="C23" s="46" t="s">
        <v>1344</v>
      </c>
      <c r="D23" s="16">
        <v>1</v>
      </c>
      <c r="E23" s="15" t="s">
        <v>1001</v>
      </c>
      <c r="F23" s="18">
        <v>32</v>
      </c>
      <c r="I23" s="18">
        <v>8.95</v>
      </c>
      <c r="J23" s="18">
        <v>9.85</v>
      </c>
      <c r="M23" s="39" t="s">
        <v>1591</v>
      </c>
      <c r="N23" s="15" t="s">
        <v>1611</v>
      </c>
      <c r="P23" s="40" t="s">
        <v>1612</v>
      </c>
      <c r="Q23" s="13">
        <f>IF(C23="","",IFERROR(INDEX(Products!$B$5:$B$304,MATCH(C23,Products!$A$5:$A$304,0)),"Bundle or deleted"))</f>
        <v>0</v>
      </c>
      <c r="R23" s="13">
        <f>IF(B23="","",TEXT(B23,"yyyy-mm"))</f>
        <v>0</v>
      </c>
      <c r="S23" s="20">
        <f>IF(C23="","",IFERROR(INDEX(Products!$AR$5:$AR$304,MATCH(C23,Products!$A$5:$A$304,0)),""))</f>
        <v>0</v>
      </c>
      <c r="T23" s="20">
        <f>IF(B23="","",IF(F23&lt;&gt;"",F23,IF(S23="",0,S23)))</f>
        <v>0</v>
      </c>
      <c r="U23" s="20">
        <f>IF(B23="","",ROUND(IF(D23="",0,D23)*T23,2))</f>
        <v>0</v>
      </c>
      <c r="V23" s="20">
        <f>IF(B23="","",ROUND(U23-IF(G23="",0,G23)-IF(L23="",0,L23),2))</f>
        <v>0</v>
      </c>
      <c r="W23" s="20">
        <f>IF(C23="","",IFERROR(INDEX(Products!$AT$5:$AT$304,MATCH(C23,Products!$A$5:$A$304,0)),""))</f>
        <v>0</v>
      </c>
      <c r="X23" s="20">
        <f>IF(C23="","",IFERROR(INDEX(Products!$AG$5:$AG$304,MATCH(C23,Products!$A$5:$A$304,0)),""))</f>
        <v>0</v>
      </c>
      <c r="Y23" s="20">
        <f>IF(B23="","",ROUND(IF(D23="",0,D23)*MAX(0,IF(W23="",0,W23)-IF(X23="",0,X23)),2))</f>
        <v>0</v>
      </c>
      <c r="Z23" s="20">
        <f>IF(B23="","",ROUND(MAX(0,IF(J23="",0,J23)-IF(I23="",0,I23)),2))</f>
        <v>0</v>
      </c>
      <c r="AA23" s="33">
        <f>IF(B23="","",IFERROR(INDEX(Channels!$S$5:$S$18,MATCH(IF(E23="",DefaultChannel,E23),Channels!$A$5:$A$18,0)),0))</f>
        <v>0</v>
      </c>
      <c r="AB23" s="20">
        <f>IF(B23="","",IFERROR(INDEX(Channels!$T$5:$T$18,MATCH(IF(E23="",DefaultChannel,E23),Channels!$A$5:$A$18,0)),0))</f>
        <v>0</v>
      </c>
      <c r="AC23" s="42">
        <f>IF(B23="","",IFERROR(INDEX(Channels!$O$5:$O$18,MATCH(IF(E23="",DefaultChannel,E23),Channels!$A$5:$A$18,0)),"No"))</f>
        <v>0</v>
      </c>
      <c r="AD23" s="20">
        <f>IF(B23="","",ROUND((V23+IF(AC23="Yes",IF(I23="",0,I23),0))*AA23+AB23,2))</f>
        <v>0</v>
      </c>
      <c r="AE23" s="20">
        <f>IF(B23="","",IF(K23&lt;&gt;"",K23,AD23))</f>
        <v>0</v>
      </c>
      <c r="AF23" s="20">
        <f>IF(B23="","",IF(K23="","",ROUND(K23-AD23,2)))</f>
        <v>0</v>
      </c>
      <c r="AG23" s="20">
        <f>IF(B23="","",ROUND(V23-Y23-AE23-Z23,2))</f>
        <v>0</v>
      </c>
      <c r="AH23" s="33">
        <f>IF(B23="","",IF(OR(V23="",V23=0),"",AG23/V23))</f>
        <v>0</v>
      </c>
      <c r="AI23" s="33">
        <f>IF(C23="","",IFERROR(INDEX(Products!$AW$5:$AW$304,MATCH(C23,Products!$A$5:$A$304,0)),""))</f>
        <v>0</v>
      </c>
      <c r="AJ23" s="33">
        <f>IF(B23="","",IF(OR(AH23="",AI23=""),"",AH23-AI23))</f>
        <v>0</v>
      </c>
      <c r="AK23" s="41">
        <f>IF(B23="","",IFERROR(ROUND(IF(D23="",0,D23)*INDEX(Products!$X$5:$X$304,MATCH(C23,Products!$A$5:$A$304,0))/60,2),""))</f>
        <v>0</v>
      </c>
      <c r="AL23" s="20">
        <f>IF(B23="","",IF(OR(AK23="",AK23=0),"",ROUND(AG23/AK23,2)))</f>
        <v>0</v>
      </c>
      <c r="AM23" s="43">
        <f>IF(B23="","",IF(C23="","Add - which product?",IF(AG23&lt;0,"Loss - this order cost you money",IF(M23="Refunded","Refunded - check why",IF(AND(AF23&lt;&gt;"",AF23&gt;0.25),"Check - fees higher than your settings",IF(Z23&gt;1,"Check - postage is eating the margin",IF(AND(AH23&lt;&gt;"",AH23&lt;MarginWarning),"Low margin on this order","OK")))))) )</f>
        <v>0</v>
      </c>
    </row>
    <row r="24" spans="1:39">
      <c r="A24" s="38">
        <f>IF(B24="","",SalePrefix&amp;TEXT(ROW()-4,"0000"))</f>
        <v>0</v>
      </c>
      <c r="B24" s="22">
        <v>46296</v>
      </c>
      <c r="C24" s="46" t="s">
        <v>1344</v>
      </c>
      <c r="D24" s="16">
        <v>1</v>
      </c>
      <c r="E24" s="15" t="s">
        <v>287</v>
      </c>
      <c r="F24" s="18">
        <v>32</v>
      </c>
      <c r="I24" s="18">
        <v>8.95</v>
      </c>
      <c r="J24" s="18">
        <v>9.85</v>
      </c>
      <c r="L24" s="18">
        <v>40.95</v>
      </c>
      <c r="M24" s="39" t="s">
        <v>1572</v>
      </c>
      <c r="N24" s="15" t="s">
        <v>1613</v>
      </c>
      <c r="P24" s="40" t="s">
        <v>1614</v>
      </c>
      <c r="Q24" s="13">
        <f>IF(C24="","",IFERROR(INDEX(Products!$B$5:$B$304,MATCH(C24,Products!$A$5:$A$304,0)),"Bundle or deleted"))</f>
        <v>0</v>
      </c>
      <c r="R24" s="13">
        <f>IF(B24="","",TEXT(B24,"yyyy-mm"))</f>
        <v>0</v>
      </c>
      <c r="S24" s="20">
        <f>IF(C24="","",IFERROR(INDEX(Products!$AR$5:$AR$304,MATCH(C24,Products!$A$5:$A$304,0)),""))</f>
        <v>0</v>
      </c>
      <c r="T24" s="20">
        <f>IF(B24="","",IF(F24&lt;&gt;"",F24,IF(S24="",0,S24)))</f>
        <v>0</v>
      </c>
      <c r="U24" s="20">
        <f>IF(B24="","",ROUND(IF(D24="",0,D24)*T24,2))</f>
        <v>0</v>
      </c>
      <c r="V24" s="20">
        <f>IF(B24="","",ROUND(U24-IF(G24="",0,G24)-IF(L24="",0,L24),2))</f>
        <v>0</v>
      </c>
      <c r="W24" s="20">
        <f>IF(C24="","",IFERROR(INDEX(Products!$AT$5:$AT$304,MATCH(C24,Products!$A$5:$A$304,0)),""))</f>
        <v>0</v>
      </c>
      <c r="X24" s="20">
        <f>IF(C24="","",IFERROR(INDEX(Products!$AG$5:$AG$304,MATCH(C24,Products!$A$5:$A$304,0)),""))</f>
        <v>0</v>
      </c>
      <c r="Y24" s="20">
        <f>IF(B24="","",ROUND(IF(D24="",0,D24)*MAX(0,IF(W24="",0,W24)-IF(X24="",0,X24)),2))</f>
        <v>0</v>
      </c>
      <c r="Z24" s="20">
        <f>IF(B24="","",ROUND(MAX(0,IF(J24="",0,J24)-IF(I24="",0,I24)),2))</f>
        <v>0</v>
      </c>
      <c r="AA24" s="33">
        <f>IF(B24="","",IFERROR(INDEX(Channels!$S$5:$S$18,MATCH(IF(E24="",DefaultChannel,E24),Channels!$A$5:$A$18,0)),0))</f>
        <v>0</v>
      </c>
      <c r="AB24" s="20">
        <f>IF(B24="","",IFERROR(INDEX(Channels!$T$5:$T$18,MATCH(IF(E24="",DefaultChannel,E24),Channels!$A$5:$A$18,0)),0))</f>
        <v>0</v>
      </c>
      <c r="AC24" s="42">
        <f>IF(B24="","",IFERROR(INDEX(Channels!$O$5:$O$18,MATCH(IF(E24="",DefaultChannel,E24),Channels!$A$5:$A$18,0)),"No"))</f>
        <v>0</v>
      </c>
      <c r="AD24" s="20">
        <f>IF(B24="","",ROUND((V24+IF(AC24="Yes",IF(I24="",0,I24),0))*AA24+AB24,2))</f>
        <v>0</v>
      </c>
      <c r="AE24" s="20">
        <f>IF(B24="","",IF(K24&lt;&gt;"",K24,AD24))</f>
        <v>0</v>
      </c>
      <c r="AF24" s="20">
        <f>IF(B24="","",IF(K24="","",ROUND(K24-AD24,2)))</f>
        <v>0</v>
      </c>
      <c r="AG24" s="20">
        <f>IF(B24="","",ROUND(V24-Y24-AE24-Z24,2))</f>
        <v>0</v>
      </c>
      <c r="AH24" s="33">
        <f>IF(B24="","",IF(OR(V24="",V24=0),"",AG24/V24))</f>
        <v>0</v>
      </c>
      <c r="AI24" s="33">
        <f>IF(C24="","",IFERROR(INDEX(Products!$AW$5:$AW$304,MATCH(C24,Products!$A$5:$A$304,0)),""))</f>
        <v>0</v>
      </c>
      <c r="AJ24" s="33">
        <f>IF(B24="","",IF(OR(AH24="",AI24=""),"",AH24-AI24))</f>
        <v>0</v>
      </c>
      <c r="AK24" s="41">
        <f>IF(B24="","",IFERROR(ROUND(IF(D24="",0,D24)*INDEX(Products!$X$5:$X$304,MATCH(C24,Products!$A$5:$A$304,0))/60,2),""))</f>
        <v>0</v>
      </c>
      <c r="AL24" s="20">
        <f>IF(B24="","",IF(OR(AK24="",AK24=0),"",ROUND(AG24/AK24,2)))</f>
        <v>0</v>
      </c>
      <c r="AM24" s="43">
        <f>IF(B24="","",IF(C24="","Add - which product?",IF(AG24&lt;0,"Loss - this order cost you money",IF(M24="Refunded","Refunded - check why",IF(AND(AF24&lt;&gt;"",AF24&gt;0.25),"Check - fees higher than your settings",IF(Z24&gt;1,"Check - postage is eating the margin",IF(AND(AH24&lt;&gt;"",AH24&lt;MarginWarning),"Low margin on this order","OK")))))) )</f>
        <v>0</v>
      </c>
    </row>
    <row r="25" spans="1:39">
      <c r="A25" s="38">
        <f>IF(B25="","",SalePrefix&amp;TEXT(ROW()-4,"0000"))</f>
        <v>0</v>
      </c>
      <c r="B25" s="22">
        <v>46294</v>
      </c>
      <c r="C25" s="46" t="s">
        <v>741</v>
      </c>
      <c r="D25" s="16">
        <v>1</v>
      </c>
      <c r="E25" s="15" t="s">
        <v>287</v>
      </c>
      <c r="F25" s="18">
        <v>195</v>
      </c>
      <c r="I25" s="18">
        <v>8.95</v>
      </c>
      <c r="J25" s="18">
        <v>9.85</v>
      </c>
      <c r="M25" s="39" t="s">
        <v>1591</v>
      </c>
      <c r="N25" s="15" t="s">
        <v>1615</v>
      </c>
      <c r="Q25" s="13">
        <f>IF(C25="","",IFERROR(INDEX(Products!$B$5:$B$304,MATCH(C25,Products!$A$5:$A$304,0)),"Bundle or deleted"))</f>
        <v>0</v>
      </c>
      <c r="R25" s="13">
        <f>IF(B25="","",TEXT(B25,"yyyy-mm"))</f>
        <v>0</v>
      </c>
      <c r="S25" s="20">
        <f>IF(C25="","",IFERROR(INDEX(Products!$AR$5:$AR$304,MATCH(C25,Products!$A$5:$A$304,0)),""))</f>
        <v>0</v>
      </c>
      <c r="T25" s="20">
        <f>IF(B25="","",IF(F25&lt;&gt;"",F25,IF(S25="",0,S25)))</f>
        <v>0</v>
      </c>
      <c r="U25" s="20">
        <f>IF(B25="","",ROUND(IF(D25="",0,D25)*T25,2))</f>
        <v>0</v>
      </c>
      <c r="V25" s="20">
        <f>IF(B25="","",ROUND(U25-IF(G25="",0,G25)-IF(L25="",0,L25),2))</f>
        <v>0</v>
      </c>
      <c r="W25" s="20">
        <f>IF(C25="","",IFERROR(INDEX(Products!$AT$5:$AT$304,MATCH(C25,Products!$A$5:$A$304,0)),""))</f>
        <v>0</v>
      </c>
      <c r="X25" s="20">
        <f>IF(C25="","",IFERROR(INDEX(Products!$AG$5:$AG$304,MATCH(C25,Products!$A$5:$A$304,0)),""))</f>
        <v>0</v>
      </c>
      <c r="Y25" s="20">
        <f>IF(B25="","",ROUND(IF(D25="",0,D25)*MAX(0,IF(W25="",0,W25)-IF(X25="",0,X25)),2))</f>
        <v>0</v>
      </c>
      <c r="Z25" s="20">
        <f>IF(B25="","",ROUND(MAX(0,IF(J25="",0,J25)-IF(I25="",0,I25)),2))</f>
        <v>0</v>
      </c>
      <c r="AA25" s="33">
        <f>IF(B25="","",IFERROR(INDEX(Channels!$S$5:$S$18,MATCH(IF(E25="",DefaultChannel,E25),Channels!$A$5:$A$18,0)),0))</f>
        <v>0</v>
      </c>
      <c r="AB25" s="20">
        <f>IF(B25="","",IFERROR(INDEX(Channels!$T$5:$T$18,MATCH(IF(E25="",DefaultChannel,E25),Channels!$A$5:$A$18,0)),0))</f>
        <v>0</v>
      </c>
      <c r="AC25" s="42">
        <f>IF(B25="","",IFERROR(INDEX(Channels!$O$5:$O$18,MATCH(IF(E25="",DefaultChannel,E25),Channels!$A$5:$A$18,0)),"No"))</f>
        <v>0</v>
      </c>
      <c r="AD25" s="20">
        <f>IF(B25="","",ROUND((V25+IF(AC25="Yes",IF(I25="",0,I25),0))*AA25+AB25,2))</f>
        <v>0</v>
      </c>
      <c r="AE25" s="20">
        <f>IF(B25="","",IF(K25&lt;&gt;"",K25,AD25))</f>
        <v>0</v>
      </c>
      <c r="AF25" s="20">
        <f>IF(B25="","",IF(K25="","",ROUND(K25-AD25,2)))</f>
        <v>0</v>
      </c>
      <c r="AG25" s="20">
        <f>IF(B25="","",ROUND(V25-Y25-AE25-Z25,2))</f>
        <v>0</v>
      </c>
      <c r="AH25" s="33">
        <f>IF(B25="","",IF(OR(V25="",V25=0),"",AG25/V25))</f>
        <v>0</v>
      </c>
      <c r="AI25" s="33">
        <f>IF(C25="","",IFERROR(INDEX(Products!$AW$5:$AW$304,MATCH(C25,Products!$A$5:$A$304,0)),""))</f>
        <v>0</v>
      </c>
      <c r="AJ25" s="33">
        <f>IF(B25="","",IF(OR(AH25="",AI25=""),"",AH25-AI25))</f>
        <v>0</v>
      </c>
      <c r="AK25" s="41">
        <f>IF(B25="","",IFERROR(ROUND(IF(D25="",0,D25)*INDEX(Products!$X$5:$X$304,MATCH(C25,Products!$A$5:$A$304,0))/60,2),""))</f>
        <v>0</v>
      </c>
      <c r="AL25" s="20">
        <f>IF(B25="","",IF(OR(AK25="",AK25=0),"",ROUND(AG25/AK25,2)))</f>
        <v>0</v>
      </c>
      <c r="AM25" s="43">
        <f>IF(B25="","",IF(C25="","Add - which product?",IF(AG25&lt;0,"Loss - this order cost you money",IF(M25="Refunded","Refunded - check why",IF(AND(AF25&lt;&gt;"",AF25&gt;0.25),"Check - fees higher than your settings",IF(Z25&gt;1,"Check - postage is eating the margin",IF(AND(AH25&lt;&gt;"",AH25&lt;MarginWarning),"Low margin on this order","OK")))))) )</f>
        <v>0</v>
      </c>
    </row>
    <row r="26" spans="1:39">
      <c r="A26" s="38">
        <f>IF(B26="","",SalePrefix&amp;TEXT(ROW()-4,"0000"))</f>
        <v>0</v>
      </c>
      <c r="B26" s="22">
        <v>46293</v>
      </c>
      <c r="C26" s="46" t="s">
        <v>1256</v>
      </c>
      <c r="D26" s="16">
        <v>1</v>
      </c>
      <c r="E26" s="15" t="s">
        <v>287</v>
      </c>
      <c r="F26" s="18">
        <v>78</v>
      </c>
      <c r="I26" s="18">
        <v>5.95</v>
      </c>
      <c r="J26" s="18">
        <v>5.4</v>
      </c>
      <c r="K26" s="18">
        <v>21.2</v>
      </c>
      <c r="M26" s="39" t="s">
        <v>1591</v>
      </c>
      <c r="N26" s="15" t="s">
        <v>1616</v>
      </c>
      <c r="P26" s="40" t="s">
        <v>1617</v>
      </c>
      <c r="Q26" s="13">
        <f>IF(C26="","",IFERROR(INDEX(Products!$B$5:$B$304,MATCH(C26,Products!$A$5:$A$304,0)),"Bundle or deleted"))</f>
        <v>0</v>
      </c>
      <c r="R26" s="13">
        <f>IF(B26="","",TEXT(B26,"yyyy-mm"))</f>
        <v>0</v>
      </c>
      <c r="S26" s="20">
        <f>IF(C26="","",IFERROR(INDEX(Products!$AR$5:$AR$304,MATCH(C26,Products!$A$5:$A$304,0)),""))</f>
        <v>0</v>
      </c>
      <c r="T26" s="20">
        <f>IF(B26="","",IF(F26&lt;&gt;"",F26,IF(S26="",0,S26)))</f>
        <v>0</v>
      </c>
      <c r="U26" s="20">
        <f>IF(B26="","",ROUND(IF(D26="",0,D26)*T26,2))</f>
        <v>0</v>
      </c>
      <c r="V26" s="20">
        <f>IF(B26="","",ROUND(U26-IF(G26="",0,G26)-IF(L26="",0,L26),2))</f>
        <v>0</v>
      </c>
      <c r="W26" s="20">
        <f>IF(C26="","",IFERROR(INDEX(Products!$AT$5:$AT$304,MATCH(C26,Products!$A$5:$A$304,0)),""))</f>
        <v>0</v>
      </c>
      <c r="X26" s="20">
        <f>IF(C26="","",IFERROR(INDEX(Products!$AG$5:$AG$304,MATCH(C26,Products!$A$5:$A$304,0)),""))</f>
        <v>0</v>
      </c>
      <c r="Y26" s="20">
        <f>IF(B26="","",ROUND(IF(D26="",0,D26)*MAX(0,IF(W26="",0,W26)-IF(X26="",0,X26)),2))</f>
        <v>0</v>
      </c>
      <c r="Z26" s="20">
        <f>IF(B26="","",ROUND(MAX(0,IF(J26="",0,J26)-IF(I26="",0,I26)),2))</f>
        <v>0</v>
      </c>
      <c r="AA26" s="33">
        <f>IF(B26="","",IFERROR(INDEX(Channels!$S$5:$S$18,MATCH(IF(E26="",DefaultChannel,E26),Channels!$A$5:$A$18,0)),0))</f>
        <v>0</v>
      </c>
      <c r="AB26" s="20">
        <f>IF(B26="","",IFERROR(INDEX(Channels!$T$5:$T$18,MATCH(IF(E26="",DefaultChannel,E26),Channels!$A$5:$A$18,0)),0))</f>
        <v>0</v>
      </c>
      <c r="AC26" s="42">
        <f>IF(B26="","",IFERROR(INDEX(Channels!$O$5:$O$18,MATCH(IF(E26="",DefaultChannel,E26),Channels!$A$5:$A$18,0)),"No"))</f>
        <v>0</v>
      </c>
      <c r="AD26" s="20">
        <f>IF(B26="","",ROUND((V26+IF(AC26="Yes",IF(I26="",0,I26),0))*AA26+AB26,2))</f>
        <v>0</v>
      </c>
      <c r="AE26" s="20">
        <f>IF(B26="","",IF(K26&lt;&gt;"",K26,AD26))</f>
        <v>0</v>
      </c>
      <c r="AF26" s="20">
        <f>IF(B26="","",IF(K26="","",ROUND(K26-AD26,2)))</f>
        <v>0</v>
      </c>
      <c r="AG26" s="20">
        <f>IF(B26="","",ROUND(V26-Y26-AE26-Z26,2))</f>
        <v>0</v>
      </c>
      <c r="AH26" s="33">
        <f>IF(B26="","",IF(OR(V26="",V26=0),"",AG26/V26))</f>
        <v>0</v>
      </c>
      <c r="AI26" s="33">
        <f>IF(C26="","",IFERROR(INDEX(Products!$AW$5:$AW$304,MATCH(C26,Products!$A$5:$A$304,0)),""))</f>
        <v>0</v>
      </c>
      <c r="AJ26" s="33">
        <f>IF(B26="","",IF(OR(AH26="",AI26=""),"",AH26-AI26))</f>
        <v>0</v>
      </c>
      <c r="AK26" s="41">
        <f>IF(B26="","",IFERROR(ROUND(IF(D26="",0,D26)*INDEX(Products!$X$5:$X$304,MATCH(C26,Products!$A$5:$A$304,0))/60,2),""))</f>
        <v>0</v>
      </c>
      <c r="AL26" s="20">
        <f>IF(B26="","",IF(OR(AK26="",AK26=0),"",ROUND(AG26/AK26,2)))</f>
        <v>0</v>
      </c>
      <c r="AM26" s="43">
        <f>IF(B26="","",IF(C26="","Add - which product?",IF(AG26&lt;0,"Loss - this order cost you money",IF(M26="Refunded","Refunded - check why",IF(AND(AF26&lt;&gt;"",AF26&gt;0.25),"Check - fees higher than your settings",IF(Z26&gt;1,"Check - postage is eating the margin",IF(AND(AH26&lt;&gt;"",AH26&lt;MarginWarning),"Low margin on this order","OK")))))) )</f>
        <v>0</v>
      </c>
    </row>
    <row r="27" spans="1:39">
      <c r="A27" s="38">
        <f>IF(B27="","",SalePrefix&amp;TEXT(ROW()-4,"0000"))</f>
        <v>0</v>
      </c>
      <c r="B27" s="22">
        <v>46291</v>
      </c>
      <c r="C27" s="46" t="s">
        <v>1351</v>
      </c>
      <c r="D27" s="16">
        <v>2</v>
      </c>
      <c r="E27" s="15" t="s">
        <v>545</v>
      </c>
      <c r="F27" s="18">
        <v>19</v>
      </c>
      <c r="I27" s="18">
        <v>6.95</v>
      </c>
      <c r="J27" s="18">
        <v>7.1</v>
      </c>
      <c r="M27" s="39" t="s">
        <v>1591</v>
      </c>
      <c r="N27" s="15" t="s">
        <v>1618</v>
      </c>
      <c r="Q27" s="13">
        <f>IF(C27="","",IFERROR(INDEX(Products!$B$5:$B$304,MATCH(C27,Products!$A$5:$A$304,0)),"Bundle or deleted"))</f>
        <v>0</v>
      </c>
      <c r="R27" s="13">
        <f>IF(B27="","",TEXT(B27,"yyyy-mm"))</f>
        <v>0</v>
      </c>
      <c r="S27" s="20">
        <f>IF(C27="","",IFERROR(INDEX(Products!$AR$5:$AR$304,MATCH(C27,Products!$A$5:$A$304,0)),""))</f>
        <v>0</v>
      </c>
      <c r="T27" s="20">
        <f>IF(B27="","",IF(F27&lt;&gt;"",F27,IF(S27="",0,S27)))</f>
        <v>0</v>
      </c>
      <c r="U27" s="20">
        <f>IF(B27="","",ROUND(IF(D27="",0,D27)*T27,2))</f>
        <v>0</v>
      </c>
      <c r="V27" s="20">
        <f>IF(B27="","",ROUND(U27-IF(G27="",0,G27)-IF(L27="",0,L27),2))</f>
        <v>0</v>
      </c>
      <c r="W27" s="20">
        <f>IF(C27="","",IFERROR(INDEX(Products!$AT$5:$AT$304,MATCH(C27,Products!$A$5:$A$304,0)),""))</f>
        <v>0</v>
      </c>
      <c r="X27" s="20">
        <f>IF(C27="","",IFERROR(INDEX(Products!$AG$5:$AG$304,MATCH(C27,Products!$A$5:$A$304,0)),""))</f>
        <v>0</v>
      </c>
      <c r="Y27" s="20">
        <f>IF(B27="","",ROUND(IF(D27="",0,D27)*MAX(0,IF(W27="",0,W27)-IF(X27="",0,X27)),2))</f>
        <v>0</v>
      </c>
      <c r="Z27" s="20">
        <f>IF(B27="","",ROUND(MAX(0,IF(J27="",0,J27)-IF(I27="",0,I27)),2))</f>
        <v>0</v>
      </c>
      <c r="AA27" s="33">
        <f>IF(B27="","",IFERROR(INDEX(Channels!$S$5:$S$18,MATCH(IF(E27="",DefaultChannel,E27),Channels!$A$5:$A$18,0)),0))</f>
        <v>0</v>
      </c>
      <c r="AB27" s="20">
        <f>IF(B27="","",IFERROR(INDEX(Channels!$T$5:$T$18,MATCH(IF(E27="",DefaultChannel,E27),Channels!$A$5:$A$18,0)),0))</f>
        <v>0</v>
      </c>
      <c r="AC27" s="42">
        <f>IF(B27="","",IFERROR(INDEX(Channels!$O$5:$O$18,MATCH(IF(E27="",DefaultChannel,E27),Channels!$A$5:$A$18,0)),"No"))</f>
        <v>0</v>
      </c>
      <c r="AD27" s="20">
        <f>IF(B27="","",ROUND((V27+IF(AC27="Yes",IF(I27="",0,I27),0))*AA27+AB27,2))</f>
        <v>0</v>
      </c>
      <c r="AE27" s="20">
        <f>IF(B27="","",IF(K27&lt;&gt;"",K27,AD27))</f>
        <v>0</v>
      </c>
      <c r="AF27" s="20">
        <f>IF(B27="","",IF(K27="","",ROUND(K27-AD27,2)))</f>
        <v>0</v>
      </c>
      <c r="AG27" s="20">
        <f>IF(B27="","",ROUND(V27-Y27-AE27-Z27,2))</f>
        <v>0</v>
      </c>
      <c r="AH27" s="33">
        <f>IF(B27="","",IF(OR(V27="",V27=0),"",AG27/V27))</f>
        <v>0</v>
      </c>
      <c r="AI27" s="33">
        <f>IF(C27="","",IFERROR(INDEX(Products!$AW$5:$AW$304,MATCH(C27,Products!$A$5:$A$304,0)),""))</f>
        <v>0</v>
      </c>
      <c r="AJ27" s="33">
        <f>IF(B27="","",IF(OR(AH27="",AI27=""),"",AH27-AI27))</f>
        <v>0</v>
      </c>
      <c r="AK27" s="41">
        <f>IF(B27="","",IFERROR(ROUND(IF(D27="",0,D27)*INDEX(Products!$X$5:$X$304,MATCH(C27,Products!$A$5:$A$304,0))/60,2),""))</f>
        <v>0</v>
      </c>
      <c r="AL27" s="20">
        <f>IF(B27="","",IF(OR(AK27="",AK27=0),"",ROUND(AG27/AK27,2)))</f>
        <v>0</v>
      </c>
      <c r="AM27" s="43">
        <f>IF(B27="","",IF(C27="","Add - which product?",IF(AG27&lt;0,"Loss - this order cost you money",IF(M27="Refunded","Refunded - check why",IF(AND(AF27&lt;&gt;"",AF27&gt;0.25),"Check - fees higher than your settings",IF(Z27&gt;1,"Check - postage is eating the margin",IF(AND(AH27&lt;&gt;"",AH27&lt;MarginWarning),"Low margin on this order","OK")))))) )</f>
        <v>0</v>
      </c>
    </row>
    <row r="28" spans="1:39">
      <c r="A28" s="38">
        <f>IF(B28="","",SalePrefix&amp;TEXT(ROW()-4,"0000"))</f>
        <v>0</v>
      </c>
      <c r="B28" s="22">
        <v>46289</v>
      </c>
      <c r="C28" s="46" t="s">
        <v>1452</v>
      </c>
      <c r="D28" s="16">
        <v>1</v>
      </c>
      <c r="E28" s="15" t="s">
        <v>287</v>
      </c>
      <c r="F28" s="18">
        <v>9.5</v>
      </c>
      <c r="M28" s="39" t="s">
        <v>1591</v>
      </c>
      <c r="N28" s="15" t="s">
        <v>1619</v>
      </c>
      <c r="Q28" s="13">
        <f>IF(C28="","",IFERROR(INDEX(Products!$B$5:$B$304,MATCH(C28,Products!$A$5:$A$304,0)),"Bundle or deleted"))</f>
        <v>0</v>
      </c>
      <c r="R28" s="13">
        <f>IF(B28="","",TEXT(B28,"yyyy-mm"))</f>
        <v>0</v>
      </c>
      <c r="S28" s="20">
        <f>IF(C28="","",IFERROR(INDEX(Products!$AR$5:$AR$304,MATCH(C28,Products!$A$5:$A$304,0)),""))</f>
        <v>0</v>
      </c>
      <c r="T28" s="20">
        <f>IF(B28="","",IF(F28&lt;&gt;"",F28,IF(S28="",0,S28)))</f>
        <v>0</v>
      </c>
      <c r="U28" s="20">
        <f>IF(B28="","",ROUND(IF(D28="",0,D28)*T28,2))</f>
        <v>0</v>
      </c>
      <c r="V28" s="20">
        <f>IF(B28="","",ROUND(U28-IF(G28="",0,G28)-IF(L28="",0,L28),2))</f>
        <v>0</v>
      </c>
      <c r="W28" s="20">
        <f>IF(C28="","",IFERROR(INDEX(Products!$AT$5:$AT$304,MATCH(C28,Products!$A$5:$A$304,0)),""))</f>
        <v>0</v>
      </c>
      <c r="X28" s="20">
        <f>IF(C28="","",IFERROR(INDEX(Products!$AG$5:$AG$304,MATCH(C28,Products!$A$5:$A$304,0)),""))</f>
        <v>0</v>
      </c>
      <c r="Y28" s="20">
        <f>IF(B28="","",ROUND(IF(D28="",0,D28)*MAX(0,IF(W28="",0,W28)-IF(X28="",0,X28)),2))</f>
        <v>0</v>
      </c>
      <c r="Z28" s="20">
        <f>IF(B28="","",ROUND(MAX(0,IF(J28="",0,J28)-IF(I28="",0,I28)),2))</f>
        <v>0</v>
      </c>
      <c r="AA28" s="33">
        <f>IF(B28="","",IFERROR(INDEX(Channels!$S$5:$S$18,MATCH(IF(E28="",DefaultChannel,E28),Channels!$A$5:$A$18,0)),0))</f>
        <v>0</v>
      </c>
      <c r="AB28" s="20">
        <f>IF(B28="","",IFERROR(INDEX(Channels!$T$5:$T$18,MATCH(IF(E28="",DefaultChannel,E28),Channels!$A$5:$A$18,0)),0))</f>
        <v>0</v>
      </c>
      <c r="AC28" s="42">
        <f>IF(B28="","",IFERROR(INDEX(Channels!$O$5:$O$18,MATCH(IF(E28="",DefaultChannel,E28),Channels!$A$5:$A$18,0)),"No"))</f>
        <v>0</v>
      </c>
      <c r="AD28" s="20">
        <f>IF(B28="","",ROUND((V28+IF(AC28="Yes",IF(I28="",0,I28),0))*AA28+AB28,2))</f>
        <v>0</v>
      </c>
      <c r="AE28" s="20">
        <f>IF(B28="","",IF(K28&lt;&gt;"",K28,AD28))</f>
        <v>0</v>
      </c>
      <c r="AF28" s="20">
        <f>IF(B28="","",IF(K28="","",ROUND(K28-AD28,2)))</f>
        <v>0</v>
      </c>
      <c r="AG28" s="20">
        <f>IF(B28="","",ROUND(V28-Y28-AE28-Z28,2))</f>
        <v>0</v>
      </c>
      <c r="AH28" s="33">
        <f>IF(B28="","",IF(OR(V28="",V28=0),"",AG28/V28))</f>
        <v>0</v>
      </c>
      <c r="AI28" s="33">
        <f>IF(C28="","",IFERROR(INDEX(Products!$AW$5:$AW$304,MATCH(C28,Products!$A$5:$A$304,0)),""))</f>
        <v>0</v>
      </c>
      <c r="AJ28" s="33">
        <f>IF(B28="","",IF(OR(AH28="",AI28=""),"",AH28-AI28))</f>
        <v>0</v>
      </c>
      <c r="AK28" s="41">
        <f>IF(B28="","",IFERROR(ROUND(IF(D28="",0,D28)*INDEX(Products!$X$5:$X$304,MATCH(C28,Products!$A$5:$A$304,0))/60,2),""))</f>
        <v>0</v>
      </c>
      <c r="AL28" s="20">
        <f>IF(B28="","",IF(OR(AK28="",AK28=0),"",ROUND(AG28/AK28,2)))</f>
        <v>0</v>
      </c>
      <c r="AM28" s="43">
        <f>IF(B28="","",IF(C28="","Add - which product?",IF(AG28&lt;0,"Loss - this order cost you money",IF(M28="Refunded","Refunded - check why",IF(AND(AF28&lt;&gt;"",AF28&gt;0.25),"Check - fees higher than your settings",IF(Z28&gt;1,"Check - postage is eating the margin",IF(AND(AH28&lt;&gt;"",AH28&lt;MarginWarning),"Low margin on this order","OK")))))) )</f>
        <v>0</v>
      </c>
    </row>
    <row r="29" spans="1:39">
      <c r="A29" s="38">
        <f>IF(B29="","",SalePrefix&amp;TEXT(ROW()-4,"0000"))</f>
        <v>0</v>
      </c>
      <c r="B29" s="22">
        <v>46287</v>
      </c>
      <c r="C29" s="46" t="s">
        <v>1308</v>
      </c>
      <c r="D29" s="16">
        <v>1</v>
      </c>
      <c r="E29" s="15" t="s">
        <v>287</v>
      </c>
      <c r="F29" s="18">
        <v>52</v>
      </c>
      <c r="I29" s="18">
        <v>4.95</v>
      </c>
      <c r="J29" s="18">
        <v>4.25</v>
      </c>
      <c r="M29" s="39" t="s">
        <v>1591</v>
      </c>
      <c r="N29" s="15" t="s">
        <v>1620</v>
      </c>
      <c r="Q29" s="13">
        <f>IF(C29="","",IFERROR(INDEX(Products!$B$5:$B$304,MATCH(C29,Products!$A$5:$A$304,0)),"Bundle or deleted"))</f>
        <v>0</v>
      </c>
      <c r="R29" s="13">
        <f>IF(B29="","",TEXT(B29,"yyyy-mm"))</f>
        <v>0</v>
      </c>
      <c r="S29" s="20">
        <f>IF(C29="","",IFERROR(INDEX(Products!$AR$5:$AR$304,MATCH(C29,Products!$A$5:$A$304,0)),""))</f>
        <v>0</v>
      </c>
      <c r="T29" s="20">
        <f>IF(B29="","",IF(F29&lt;&gt;"",F29,IF(S29="",0,S29)))</f>
        <v>0</v>
      </c>
      <c r="U29" s="20">
        <f>IF(B29="","",ROUND(IF(D29="",0,D29)*T29,2))</f>
        <v>0</v>
      </c>
      <c r="V29" s="20">
        <f>IF(B29="","",ROUND(U29-IF(G29="",0,G29)-IF(L29="",0,L29),2))</f>
        <v>0</v>
      </c>
      <c r="W29" s="20">
        <f>IF(C29="","",IFERROR(INDEX(Products!$AT$5:$AT$304,MATCH(C29,Products!$A$5:$A$304,0)),""))</f>
        <v>0</v>
      </c>
      <c r="X29" s="20">
        <f>IF(C29="","",IFERROR(INDEX(Products!$AG$5:$AG$304,MATCH(C29,Products!$A$5:$A$304,0)),""))</f>
        <v>0</v>
      </c>
      <c r="Y29" s="20">
        <f>IF(B29="","",ROUND(IF(D29="",0,D29)*MAX(0,IF(W29="",0,W29)-IF(X29="",0,X29)),2))</f>
        <v>0</v>
      </c>
      <c r="Z29" s="20">
        <f>IF(B29="","",ROUND(MAX(0,IF(J29="",0,J29)-IF(I29="",0,I29)),2))</f>
        <v>0</v>
      </c>
      <c r="AA29" s="33">
        <f>IF(B29="","",IFERROR(INDEX(Channels!$S$5:$S$18,MATCH(IF(E29="",DefaultChannel,E29),Channels!$A$5:$A$18,0)),0))</f>
        <v>0</v>
      </c>
      <c r="AB29" s="20">
        <f>IF(B29="","",IFERROR(INDEX(Channels!$T$5:$T$18,MATCH(IF(E29="",DefaultChannel,E29),Channels!$A$5:$A$18,0)),0))</f>
        <v>0</v>
      </c>
      <c r="AC29" s="42">
        <f>IF(B29="","",IFERROR(INDEX(Channels!$O$5:$O$18,MATCH(IF(E29="",DefaultChannel,E29),Channels!$A$5:$A$18,0)),"No"))</f>
        <v>0</v>
      </c>
      <c r="AD29" s="20">
        <f>IF(B29="","",ROUND((V29+IF(AC29="Yes",IF(I29="",0,I29),0))*AA29+AB29,2))</f>
        <v>0</v>
      </c>
      <c r="AE29" s="20">
        <f>IF(B29="","",IF(K29&lt;&gt;"",K29,AD29))</f>
        <v>0</v>
      </c>
      <c r="AF29" s="20">
        <f>IF(B29="","",IF(K29="","",ROUND(K29-AD29,2)))</f>
        <v>0</v>
      </c>
      <c r="AG29" s="20">
        <f>IF(B29="","",ROUND(V29-Y29-AE29-Z29,2))</f>
        <v>0</v>
      </c>
      <c r="AH29" s="33">
        <f>IF(B29="","",IF(OR(V29="",V29=0),"",AG29/V29))</f>
        <v>0</v>
      </c>
      <c r="AI29" s="33">
        <f>IF(C29="","",IFERROR(INDEX(Products!$AW$5:$AW$304,MATCH(C29,Products!$A$5:$A$304,0)),""))</f>
        <v>0</v>
      </c>
      <c r="AJ29" s="33">
        <f>IF(B29="","",IF(OR(AH29="",AI29=""),"",AH29-AI29))</f>
        <v>0</v>
      </c>
      <c r="AK29" s="41">
        <f>IF(B29="","",IFERROR(ROUND(IF(D29="",0,D29)*INDEX(Products!$X$5:$X$304,MATCH(C29,Products!$A$5:$A$304,0))/60,2),""))</f>
        <v>0</v>
      </c>
      <c r="AL29" s="20">
        <f>IF(B29="","",IF(OR(AK29="",AK29=0),"",ROUND(AG29/AK29,2)))</f>
        <v>0</v>
      </c>
      <c r="AM29" s="43">
        <f>IF(B29="","",IF(C29="","Add - which product?",IF(AG29&lt;0,"Loss - this order cost you money",IF(M29="Refunded","Refunded - check why",IF(AND(AF29&lt;&gt;"",AF29&gt;0.25),"Check - fees higher than your settings",IF(Z29&gt;1,"Check - postage is eating the margin",IF(AND(AH29&lt;&gt;"",AH29&lt;MarginWarning),"Low margin on this order","OK")))))) )</f>
        <v>0</v>
      </c>
    </row>
    <row r="30" spans="1:39">
      <c r="A30" s="38">
        <f>IF(B30="","",SalePrefix&amp;TEXT(ROW()-4,"0000"))</f>
        <v>0</v>
      </c>
      <c r="B30" s="22">
        <v>46286</v>
      </c>
      <c r="C30" s="46" t="s">
        <v>730</v>
      </c>
      <c r="D30" s="16">
        <v>1</v>
      </c>
      <c r="E30" s="15" t="s">
        <v>287</v>
      </c>
      <c r="F30" s="18">
        <v>75</v>
      </c>
      <c r="I30" s="18">
        <v>6.95</v>
      </c>
      <c r="J30" s="18">
        <v>7.1</v>
      </c>
      <c r="M30" s="39" t="s">
        <v>1591</v>
      </c>
      <c r="N30" s="15" t="s">
        <v>1621</v>
      </c>
      <c r="Q30" s="13">
        <f>IF(C30="","",IFERROR(INDEX(Products!$B$5:$B$304,MATCH(C30,Products!$A$5:$A$304,0)),"Bundle or deleted"))</f>
        <v>0</v>
      </c>
      <c r="R30" s="13">
        <f>IF(B30="","",TEXT(B30,"yyyy-mm"))</f>
        <v>0</v>
      </c>
      <c r="S30" s="20">
        <f>IF(C30="","",IFERROR(INDEX(Products!$AR$5:$AR$304,MATCH(C30,Products!$A$5:$A$304,0)),""))</f>
        <v>0</v>
      </c>
      <c r="T30" s="20">
        <f>IF(B30="","",IF(F30&lt;&gt;"",F30,IF(S30="",0,S30)))</f>
        <v>0</v>
      </c>
      <c r="U30" s="20">
        <f>IF(B30="","",ROUND(IF(D30="",0,D30)*T30,2))</f>
        <v>0</v>
      </c>
      <c r="V30" s="20">
        <f>IF(B30="","",ROUND(U30-IF(G30="",0,G30)-IF(L30="",0,L30),2))</f>
        <v>0</v>
      </c>
      <c r="W30" s="20">
        <f>IF(C30="","",IFERROR(INDEX(Products!$AT$5:$AT$304,MATCH(C30,Products!$A$5:$A$304,0)),""))</f>
        <v>0</v>
      </c>
      <c r="X30" s="20">
        <f>IF(C30="","",IFERROR(INDEX(Products!$AG$5:$AG$304,MATCH(C30,Products!$A$5:$A$304,0)),""))</f>
        <v>0</v>
      </c>
      <c r="Y30" s="20">
        <f>IF(B30="","",ROUND(IF(D30="",0,D30)*MAX(0,IF(W30="",0,W30)-IF(X30="",0,X30)),2))</f>
        <v>0</v>
      </c>
      <c r="Z30" s="20">
        <f>IF(B30="","",ROUND(MAX(0,IF(J30="",0,J30)-IF(I30="",0,I30)),2))</f>
        <v>0</v>
      </c>
      <c r="AA30" s="33">
        <f>IF(B30="","",IFERROR(INDEX(Channels!$S$5:$S$18,MATCH(IF(E30="",DefaultChannel,E30),Channels!$A$5:$A$18,0)),0))</f>
        <v>0</v>
      </c>
      <c r="AB30" s="20">
        <f>IF(B30="","",IFERROR(INDEX(Channels!$T$5:$T$18,MATCH(IF(E30="",DefaultChannel,E30),Channels!$A$5:$A$18,0)),0))</f>
        <v>0</v>
      </c>
      <c r="AC30" s="42">
        <f>IF(B30="","",IFERROR(INDEX(Channels!$O$5:$O$18,MATCH(IF(E30="",DefaultChannel,E30),Channels!$A$5:$A$18,0)),"No"))</f>
        <v>0</v>
      </c>
      <c r="AD30" s="20">
        <f>IF(B30="","",ROUND((V30+IF(AC30="Yes",IF(I30="",0,I30),0))*AA30+AB30,2))</f>
        <v>0</v>
      </c>
      <c r="AE30" s="20">
        <f>IF(B30="","",IF(K30&lt;&gt;"",K30,AD30))</f>
        <v>0</v>
      </c>
      <c r="AF30" s="20">
        <f>IF(B30="","",IF(K30="","",ROUND(K30-AD30,2)))</f>
        <v>0</v>
      </c>
      <c r="AG30" s="20">
        <f>IF(B30="","",ROUND(V30-Y30-AE30-Z30,2))</f>
        <v>0</v>
      </c>
      <c r="AH30" s="33">
        <f>IF(B30="","",IF(OR(V30="",V30=0),"",AG30/V30))</f>
        <v>0</v>
      </c>
      <c r="AI30" s="33">
        <f>IF(C30="","",IFERROR(INDEX(Products!$AW$5:$AW$304,MATCH(C30,Products!$A$5:$A$304,0)),""))</f>
        <v>0</v>
      </c>
      <c r="AJ30" s="33">
        <f>IF(B30="","",IF(OR(AH30="",AI30=""),"",AH30-AI30))</f>
        <v>0</v>
      </c>
      <c r="AK30" s="41">
        <f>IF(B30="","",IFERROR(ROUND(IF(D30="",0,D30)*INDEX(Products!$X$5:$X$304,MATCH(C30,Products!$A$5:$A$304,0))/60,2),""))</f>
        <v>0</v>
      </c>
      <c r="AL30" s="20">
        <f>IF(B30="","",IF(OR(AK30="",AK30=0),"",ROUND(AG30/AK30,2)))</f>
        <v>0</v>
      </c>
      <c r="AM30" s="43">
        <f>IF(B30="","",IF(C30="","Add - which product?",IF(AG30&lt;0,"Loss - this order cost you money",IF(M30="Refunded","Refunded - check why",IF(AND(AF30&lt;&gt;"",AF30&gt;0.25),"Check - fees higher than your settings",IF(Z30&gt;1,"Check - postage is eating the margin",IF(AND(AH30&lt;&gt;"",AH30&lt;MarginWarning),"Low margin on this order","OK")))))) )</f>
        <v>0</v>
      </c>
    </row>
    <row r="31" spans="1:39">
      <c r="A31" s="38">
        <f>IF(B31="","",SalePrefix&amp;TEXT(ROW()-4,"0000"))</f>
        <v>0</v>
      </c>
      <c r="B31" s="22">
        <v>46284</v>
      </c>
      <c r="C31" s="46" t="s">
        <v>1447</v>
      </c>
      <c r="D31" s="16">
        <v>1</v>
      </c>
      <c r="E31" s="15" t="s">
        <v>287</v>
      </c>
      <c r="F31" s="18">
        <v>8.5</v>
      </c>
      <c r="M31" s="39" t="s">
        <v>1591</v>
      </c>
      <c r="N31" s="15" t="s">
        <v>1622</v>
      </c>
      <c r="Q31" s="13">
        <f>IF(C31="","",IFERROR(INDEX(Products!$B$5:$B$304,MATCH(C31,Products!$A$5:$A$304,0)),"Bundle or deleted"))</f>
        <v>0</v>
      </c>
      <c r="R31" s="13">
        <f>IF(B31="","",TEXT(B31,"yyyy-mm"))</f>
        <v>0</v>
      </c>
      <c r="S31" s="20">
        <f>IF(C31="","",IFERROR(INDEX(Products!$AR$5:$AR$304,MATCH(C31,Products!$A$5:$A$304,0)),""))</f>
        <v>0</v>
      </c>
      <c r="T31" s="20">
        <f>IF(B31="","",IF(F31&lt;&gt;"",F31,IF(S31="",0,S31)))</f>
        <v>0</v>
      </c>
      <c r="U31" s="20">
        <f>IF(B31="","",ROUND(IF(D31="",0,D31)*T31,2))</f>
        <v>0</v>
      </c>
      <c r="V31" s="20">
        <f>IF(B31="","",ROUND(U31-IF(G31="",0,G31)-IF(L31="",0,L31),2))</f>
        <v>0</v>
      </c>
      <c r="W31" s="20">
        <f>IF(C31="","",IFERROR(INDEX(Products!$AT$5:$AT$304,MATCH(C31,Products!$A$5:$A$304,0)),""))</f>
        <v>0</v>
      </c>
      <c r="X31" s="20">
        <f>IF(C31="","",IFERROR(INDEX(Products!$AG$5:$AG$304,MATCH(C31,Products!$A$5:$A$304,0)),""))</f>
        <v>0</v>
      </c>
      <c r="Y31" s="20">
        <f>IF(B31="","",ROUND(IF(D31="",0,D31)*MAX(0,IF(W31="",0,W31)-IF(X31="",0,X31)),2))</f>
        <v>0</v>
      </c>
      <c r="Z31" s="20">
        <f>IF(B31="","",ROUND(MAX(0,IF(J31="",0,J31)-IF(I31="",0,I31)),2))</f>
        <v>0</v>
      </c>
      <c r="AA31" s="33">
        <f>IF(B31="","",IFERROR(INDEX(Channels!$S$5:$S$18,MATCH(IF(E31="",DefaultChannel,E31),Channels!$A$5:$A$18,0)),0))</f>
        <v>0</v>
      </c>
      <c r="AB31" s="20">
        <f>IF(B31="","",IFERROR(INDEX(Channels!$T$5:$T$18,MATCH(IF(E31="",DefaultChannel,E31),Channels!$A$5:$A$18,0)),0))</f>
        <v>0</v>
      </c>
      <c r="AC31" s="42">
        <f>IF(B31="","",IFERROR(INDEX(Channels!$O$5:$O$18,MATCH(IF(E31="",DefaultChannel,E31),Channels!$A$5:$A$18,0)),"No"))</f>
        <v>0</v>
      </c>
      <c r="AD31" s="20">
        <f>IF(B31="","",ROUND((V31+IF(AC31="Yes",IF(I31="",0,I31),0))*AA31+AB31,2))</f>
        <v>0</v>
      </c>
      <c r="AE31" s="20">
        <f>IF(B31="","",IF(K31&lt;&gt;"",K31,AD31))</f>
        <v>0</v>
      </c>
      <c r="AF31" s="20">
        <f>IF(B31="","",IF(K31="","",ROUND(K31-AD31,2)))</f>
        <v>0</v>
      </c>
      <c r="AG31" s="20">
        <f>IF(B31="","",ROUND(V31-Y31-AE31-Z31,2))</f>
        <v>0</v>
      </c>
      <c r="AH31" s="33">
        <f>IF(B31="","",IF(OR(V31="",V31=0),"",AG31/V31))</f>
        <v>0</v>
      </c>
      <c r="AI31" s="33">
        <f>IF(C31="","",IFERROR(INDEX(Products!$AW$5:$AW$304,MATCH(C31,Products!$A$5:$A$304,0)),""))</f>
        <v>0</v>
      </c>
      <c r="AJ31" s="33">
        <f>IF(B31="","",IF(OR(AH31="",AI31=""),"",AH31-AI31))</f>
        <v>0</v>
      </c>
      <c r="AK31" s="41">
        <f>IF(B31="","",IFERROR(ROUND(IF(D31="",0,D31)*INDEX(Products!$X$5:$X$304,MATCH(C31,Products!$A$5:$A$304,0))/60,2),""))</f>
        <v>0</v>
      </c>
      <c r="AL31" s="20">
        <f>IF(B31="","",IF(OR(AK31="",AK31=0),"",ROUND(AG31/AK31,2)))</f>
        <v>0</v>
      </c>
      <c r="AM31" s="43">
        <f>IF(B31="","",IF(C31="","Add - which product?",IF(AG31&lt;0,"Loss - this order cost you money",IF(M31="Refunded","Refunded - check why",IF(AND(AF31&lt;&gt;"",AF31&gt;0.25),"Check - fees higher than your settings",IF(Z31&gt;1,"Check - postage is eating the margin",IF(AND(AH31&lt;&gt;"",AH31&lt;MarginWarning),"Low margin on this order","OK")))))) )</f>
        <v>0</v>
      </c>
    </row>
    <row r="32" spans="1:39">
      <c r="A32" s="38">
        <f>IF(B32="","",SalePrefix&amp;TEXT(ROW()-4,"0000"))</f>
        <v>0</v>
      </c>
      <c r="B32" s="22">
        <v>46282</v>
      </c>
      <c r="C32" s="46" t="s">
        <v>1351</v>
      </c>
      <c r="D32" s="16">
        <v>4</v>
      </c>
      <c r="E32" s="15" t="s">
        <v>995</v>
      </c>
      <c r="F32" s="18">
        <v>19</v>
      </c>
      <c r="M32" s="39" t="s">
        <v>1591</v>
      </c>
      <c r="N32" s="15" t="s">
        <v>1599</v>
      </c>
      <c r="O32" s="15" t="s">
        <v>1623</v>
      </c>
      <c r="Q32" s="13">
        <f>IF(C32="","",IFERROR(INDEX(Products!$B$5:$B$304,MATCH(C32,Products!$A$5:$A$304,0)),"Bundle or deleted"))</f>
        <v>0</v>
      </c>
      <c r="R32" s="13">
        <f>IF(B32="","",TEXT(B32,"yyyy-mm"))</f>
        <v>0</v>
      </c>
      <c r="S32" s="20">
        <f>IF(C32="","",IFERROR(INDEX(Products!$AR$5:$AR$304,MATCH(C32,Products!$A$5:$A$304,0)),""))</f>
        <v>0</v>
      </c>
      <c r="T32" s="20">
        <f>IF(B32="","",IF(F32&lt;&gt;"",F32,IF(S32="",0,S32)))</f>
        <v>0</v>
      </c>
      <c r="U32" s="20">
        <f>IF(B32="","",ROUND(IF(D32="",0,D32)*T32,2))</f>
        <v>0</v>
      </c>
      <c r="V32" s="20">
        <f>IF(B32="","",ROUND(U32-IF(G32="",0,G32)-IF(L32="",0,L32),2))</f>
        <v>0</v>
      </c>
      <c r="W32" s="20">
        <f>IF(C32="","",IFERROR(INDEX(Products!$AT$5:$AT$304,MATCH(C32,Products!$A$5:$A$304,0)),""))</f>
        <v>0</v>
      </c>
      <c r="X32" s="20">
        <f>IF(C32="","",IFERROR(INDEX(Products!$AG$5:$AG$304,MATCH(C32,Products!$A$5:$A$304,0)),""))</f>
        <v>0</v>
      </c>
      <c r="Y32" s="20">
        <f>IF(B32="","",ROUND(IF(D32="",0,D32)*MAX(0,IF(W32="",0,W32)-IF(X32="",0,X32)),2))</f>
        <v>0</v>
      </c>
      <c r="Z32" s="20">
        <f>IF(B32="","",ROUND(MAX(0,IF(J32="",0,J32)-IF(I32="",0,I32)),2))</f>
        <v>0</v>
      </c>
      <c r="AA32" s="33">
        <f>IF(B32="","",IFERROR(INDEX(Channels!$S$5:$S$18,MATCH(IF(E32="",DefaultChannel,E32),Channels!$A$5:$A$18,0)),0))</f>
        <v>0</v>
      </c>
      <c r="AB32" s="20">
        <f>IF(B32="","",IFERROR(INDEX(Channels!$T$5:$T$18,MATCH(IF(E32="",DefaultChannel,E32),Channels!$A$5:$A$18,0)),0))</f>
        <v>0</v>
      </c>
      <c r="AC32" s="42">
        <f>IF(B32="","",IFERROR(INDEX(Channels!$O$5:$O$18,MATCH(IF(E32="",DefaultChannel,E32),Channels!$A$5:$A$18,0)),"No"))</f>
        <v>0</v>
      </c>
      <c r="AD32" s="20">
        <f>IF(B32="","",ROUND((V32+IF(AC32="Yes",IF(I32="",0,I32),0))*AA32+AB32,2))</f>
        <v>0</v>
      </c>
      <c r="AE32" s="20">
        <f>IF(B32="","",IF(K32&lt;&gt;"",K32,AD32))</f>
        <v>0</v>
      </c>
      <c r="AF32" s="20">
        <f>IF(B32="","",IF(K32="","",ROUND(K32-AD32,2)))</f>
        <v>0</v>
      </c>
      <c r="AG32" s="20">
        <f>IF(B32="","",ROUND(V32-Y32-AE32-Z32,2))</f>
        <v>0</v>
      </c>
      <c r="AH32" s="33">
        <f>IF(B32="","",IF(OR(V32="",V32=0),"",AG32/V32))</f>
        <v>0</v>
      </c>
      <c r="AI32" s="33">
        <f>IF(C32="","",IFERROR(INDEX(Products!$AW$5:$AW$304,MATCH(C32,Products!$A$5:$A$304,0)),""))</f>
        <v>0</v>
      </c>
      <c r="AJ32" s="33">
        <f>IF(B32="","",IF(OR(AH32="",AI32=""),"",AH32-AI32))</f>
        <v>0</v>
      </c>
      <c r="AK32" s="41">
        <f>IF(B32="","",IFERROR(ROUND(IF(D32="",0,D32)*INDEX(Products!$X$5:$X$304,MATCH(C32,Products!$A$5:$A$304,0))/60,2),""))</f>
        <v>0</v>
      </c>
      <c r="AL32" s="20">
        <f>IF(B32="","",IF(OR(AK32="",AK32=0),"",ROUND(AG32/AK32,2)))</f>
        <v>0</v>
      </c>
      <c r="AM32" s="43">
        <f>IF(B32="","",IF(C32="","Add - which product?",IF(AG32&lt;0,"Loss - this order cost you money",IF(M32="Refunded","Refunded - check why",IF(AND(AF32&lt;&gt;"",AF32&gt;0.25),"Check - fees higher than your settings",IF(Z32&gt;1,"Check - postage is eating the margin",IF(AND(AH32&lt;&gt;"",AH32&lt;MarginWarning),"Low margin on this order","OK")))))) )</f>
        <v>0</v>
      </c>
    </row>
    <row r="33" spans="1:39">
      <c r="A33" s="38">
        <f>IF(B33="","",SalePrefix&amp;TEXT(ROW()-4,"0000"))</f>
        <v>0</v>
      </c>
      <c r="B33" s="22">
        <v>46282</v>
      </c>
      <c r="C33" s="46" t="s">
        <v>1344</v>
      </c>
      <c r="D33" s="16">
        <v>2</v>
      </c>
      <c r="E33" s="15" t="s">
        <v>995</v>
      </c>
      <c r="F33" s="18">
        <v>32</v>
      </c>
      <c r="M33" s="39" t="s">
        <v>1591</v>
      </c>
      <c r="N33" s="15" t="s">
        <v>1599</v>
      </c>
      <c r="O33" s="15" t="s">
        <v>1623</v>
      </c>
      <c r="Q33" s="13">
        <f>IF(C33="","",IFERROR(INDEX(Products!$B$5:$B$304,MATCH(C33,Products!$A$5:$A$304,0)),"Bundle or deleted"))</f>
        <v>0</v>
      </c>
      <c r="R33" s="13">
        <f>IF(B33="","",TEXT(B33,"yyyy-mm"))</f>
        <v>0</v>
      </c>
      <c r="S33" s="20">
        <f>IF(C33="","",IFERROR(INDEX(Products!$AR$5:$AR$304,MATCH(C33,Products!$A$5:$A$304,0)),""))</f>
        <v>0</v>
      </c>
      <c r="T33" s="20">
        <f>IF(B33="","",IF(F33&lt;&gt;"",F33,IF(S33="",0,S33)))</f>
        <v>0</v>
      </c>
      <c r="U33" s="20">
        <f>IF(B33="","",ROUND(IF(D33="",0,D33)*T33,2))</f>
        <v>0</v>
      </c>
      <c r="V33" s="20">
        <f>IF(B33="","",ROUND(U33-IF(G33="",0,G33)-IF(L33="",0,L33),2))</f>
        <v>0</v>
      </c>
      <c r="W33" s="20">
        <f>IF(C33="","",IFERROR(INDEX(Products!$AT$5:$AT$304,MATCH(C33,Products!$A$5:$A$304,0)),""))</f>
        <v>0</v>
      </c>
      <c r="X33" s="20">
        <f>IF(C33="","",IFERROR(INDEX(Products!$AG$5:$AG$304,MATCH(C33,Products!$A$5:$A$304,0)),""))</f>
        <v>0</v>
      </c>
      <c r="Y33" s="20">
        <f>IF(B33="","",ROUND(IF(D33="",0,D33)*MAX(0,IF(W33="",0,W33)-IF(X33="",0,X33)),2))</f>
        <v>0</v>
      </c>
      <c r="Z33" s="20">
        <f>IF(B33="","",ROUND(MAX(0,IF(J33="",0,J33)-IF(I33="",0,I33)),2))</f>
        <v>0</v>
      </c>
      <c r="AA33" s="33">
        <f>IF(B33="","",IFERROR(INDEX(Channels!$S$5:$S$18,MATCH(IF(E33="",DefaultChannel,E33),Channels!$A$5:$A$18,0)),0))</f>
        <v>0</v>
      </c>
      <c r="AB33" s="20">
        <f>IF(B33="","",IFERROR(INDEX(Channels!$T$5:$T$18,MATCH(IF(E33="",DefaultChannel,E33),Channels!$A$5:$A$18,0)),0))</f>
        <v>0</v>
      </c>
      <c r="AC33" s="42">
        <f>IF(B33="","",IFERROR(INDEX(Channels!$O$5:$O$18,MATCH(IF(E33="",DefaultChannel,E33),Channels!$A$5:$A$18,0)),"No"))</f>
        <v>0</v>
      </c>
      <c r="AD33" s="20">
        <f>IF(B33="","",ROUND((V33+IF(AC33="Yes",IF(I33="",0,I33),0))*AA33+AB33,2))</f>
        <v>0</v>
      </c>
      <c r="AE33" s="20">
        <f>IF(B33="","",IF(K33&lt;&gt;"",K33,AD33))</f>
        <v>0</v>
      </c>
      <c r="AF33" s="20">
        <f>IF(B33="","",IF(K33="","",ROUND(K33-AD33,2)))</f>
        <v>0</v>
      </c>
      <c r="AG33" s="20">
        <f>IF(B33="","",ROUND(V33-Y33-AE33-Z33,2))</f>
        <v>0</v>
      </c>
      <c r="AH33" s="33">
        <f>IF(B33="","",IF(OR(V33="",V33=0),"",AG33/V33))</f>
        <v>0</v>
      </c>
      <c r="AI33" s="33">
        <f>IF(C33="","",IFERROR(INDEX(Products!$AW$5:$AW$304,MATCH(C33,Products!$A$5:$A$304,0)),""))</f>
        <v>0</v>
      </c>
      <c r="AJ33" s="33">
        <f>IF(B33="","",IF(OR(AH33="",AI33=""),"",AH33-AI33))</f>
        <v>0</v>
      </c>
      <c r="AK33" s="41">
        <f>IF(B33="","",IFERROR(ROUND(IF(D33="",0,D33)*INDEX(Products!$X$5:$X$304,MATCH(C33,Products!$A$5:$A$304,0))/60,2),""))</f>
        <v>0</v>
      </c>
      <c r="AL33" s="20">
        <f>IF(B33="","",IF(OR(AK33="",AK33=0),"",ROUND(AG33/AK33,2)))</f>
        <v>0</v>
      </c>
      <c r="AM33" s="43">
        <f>IF(B33="","",IF(C33="","Add - which product?",IF(AG33&lt;0,"Loss - this order cost you money",IF(M33="Refunded","Refunded - check why",IF(AND(AF33&lt;&gt;"",AF33&gt;0.25),"Check - fees higher than your settings",IF(Z33&gt;1,"Check - postage is eating the margin",IF(AND(AH33&lt;&gt;"",AH33&lt;MarginWarning),"Low margin on this order","OK")))))) )</f>
        <v>0</v>
      </c>
    </row>
    <row r="34" spans="1:39">
      <c r="A34" s="38">
        <f>IF(B34="","",SalePrefix&amp;TEXT(ROW()-4,"0000"))</f>
        <v>0</v>
      </c>
      <c r="B34" s="22">
        <v>46282</v>
      </c>
      <c r="C34" s="46" t="s">
        <v>1256</v>
      </c>
      <c r="D34" s="16">
        <v>2</v>
      </c>
      <c r="E34" s="15" t="s">
        <v>995</v>
      </c>
      <c r="F34" s="18">
        <v>65</v>
      </c>
      <c r="M34" s="39" t="s">
        <v>1591</v>
      </c>
      <c r="N34" s="15" t="s">
        <v>1599</v>
      </c>
      <c r="O34" s="15" t="s">
        <v>1623</v>
      </c>
      <c r="Q34" s="13">
        <f>IF(C34="","",IFERROR(INDEX(Products!$B$5:$B$304,MATCH(C34,Products!$A$5:$A$304,0)),"Bundle or deleted"))</f>
        <v>0</v>
      </c>
      <c r="R34" s="13">
        <f>IF(B34="","",TEXT(B34,"yyyy-mm"))</f>
        <v>0</v>
      </c>
      <c r="S34" s="20">
        <f>IF(C34="","",IFERROR(INDEX(Products!$AR$5:$AR$304,MATCH(C34,Products!$A$5:$A$304,0)),""))</f>
        <v>0</v>
      </c>
      <c r="T34" s="20">
        <f>IF(B34="","",IF(F34&lt;&gt;"",F34,IF(S34="",0,S34)))</f>
        <v>0</v>
      </c>
      <c r="U34" s="20">
        <f>IF(B34="","",ROUND(IF(D34="",0,D34)*T34,2))</f>
        <v>0</v>
      </c>
      <c r="V34" s="20">
        <f>IF(B34="","",ROUND(U34-IF(G34="",0,G34)-IF(L34="",0,L34),2))</f>
        <v>0</v>
      </c>
      <c r="W34" s="20">
        <f>IF(C34="","",IFERROR(INDEX(Products!$AT$5:$AT$304,MATCH(C34,Products!$A$5:$A$304,0)),""))</f>
        <v>0</v>
      </c>
      <c r="X34" s="20">
        <f>IF(C34="","",IFERROR(INDEX(Products!$AG$5:$AG$304,MATCH(C34,Products!$A$5:$A$304,0)),""))</f>
        <v>0</v>
      </c>
      <c r="Y34" s="20">
        <f>IF(B34="","",ROUND(IF(D34="",0,D34)*MAX(0,IF(W34="",0,W34)-IF(X34="",0,X34)),2))</f>
        <v>0</v>
      </c>
      <c r="Z34" s="20">
        <f>IF(B34="","",ROUND(MAX(0,IF(J34="",0,J34)-IF(I34="",0,I34)),2))</f>
        <v>0</v>
      </c>
      <c r="AA34" s="33">
        <f>IF(B34="","",IFERROR(INDEX(Channels!$S$5:$S$18,MATCH(IF(E34="",DefaultChannel,E34),Channels!$A$5:$A$18,0)),0))</f>
        <v>0</v>
      </c>
      <c r="AB34" s="20">
        <f>IF(B34="","",IFERROR(INDEX(Channels!$T$5:$T$18,MATCH(IF(E34="",DefaultChannel,E34),Channels!$A$5:$A$18,0)),0))</f>
        <v>0</v>
      </c>
      <c r="AC34" s="42">
        <f>IF(B34="","",IFERROR(INDEX(Channels!$O$5:$O$18,MATCH(IF(E34="",DefaultChannel,E34),Channels!$A$5:$A$18,0)),"No"))</f>
        <v>0</v>
      </c>
      <c r="AD34" s="20">
        <f>IF(B34="","",ROUND((V34+IF(AC34="Yes",IF(I34="",0,I34),0))*AA34+AB34,2))</f>
        <v>0</v>
      </c>
      <c r="AE34" s="20">
        <f>IF(B34="","",IF(K34&lt;&gt;"",K34,AD34))</f>
        <v>0</v>
      </c>
      <c r="AF34" s="20">
        <f>IF(B34="","",IF(K34="","",ROUND(K34-AD34,2)))</f>
        <v>0</v>
      </c>
      <c r="AG34" s="20">
        <f>IF(B34="","",ROUND(V34-Y34-AE34-Z34,2))</f>
        <v>0</v>
      </c>
      <c r="AH34" s="33">
        <f>IF(B34="","",IF(OR(V34="",V34=0),"",AG34/V34))</f>
        <v>0</v>
      </c>
      <c r="AI34" s="33">
        <f>IF(C34="","",IFERROR(INDEX(Products!$AW$5:$AW$304,MATCH(C34,Products!$A$5:$A$304,0)),""))</f>
        <v>0</v>
      </c>
      <c r="AJ34" s="33">
        <f>IF(B34="","",IF(OR(AH34="",AI34=""),"",AH34-AI34))</f>
        <v>0</v>
      </c>
      <c r="AK34" s="41">
        <f>IF(B34="","",IFERROR(ROUND(IF(D34="",0,D34)*INDEX(Products!$X$5:$X$304,MATCH(C34,Products!$A$5:$A$304,0))/60,2),""))</f>
        <v>0</v>
      </c>
      <c r="AL34" s="20">
        <f>IF(B34="","",IF(OR(AK34="",AK34=0),"",ROUND(AG34/AK34,2)))</f>
        <v>0</v>
      </c>
      <c r="AM34" s="43">
        <f>IF(B34="","",IF(C34="","Add - which product?",IF(AG34&lt;0,"Loss - this order cost you money",IF(M34="Refunded","Refunded - check why",IF(AND(AF34&lt;&gt;"",AF34&gt;0.25),"Check - fees higher than your settings",IF(Z34&gt;1,"Check - postage is eating the margin",IF(AND(AH34&lt;&gt;"",AH34&lt;MarginWarning),"Low margin on this order","OK")))))) )</f>
        <v>0</v>
      </c>
    </row>
    <row r="35" spans="1:39">
      <c r="A35" s="38">
        <f>IF(B35="","",SalePrefix&amp;TEXT(ROW()-4,"0000"))</f>
        <v>0</v>
      </c>
      <c r="B35" s="22">
        <v>46279</v>
      </c>
      <c r="C35" s="46" t="s">
        <v>735</v>
      </c>
      <c r="D35" s="16">
        <v>1</v>
      </c>
      <c r="E35" s="15" t="s">
        <v>287</v>
      </c>
      <c r="F35" s="18">
        <v>62</v>
      </c>
      <c r="I35" s="18">
        <v>6.95</v>
      </c>
      <c r="J35" s="18">
        <v>7.1</v>
      </c>
      <c r="M35" s="39" t="s">
        <v>1591</v>
      </c>
      <c r="N35" s="15" t="s">
        <v>1624</v>
      </c>
      <c r="Q35" s="13">
        <f>IF(C35="","",IFERROR(INDEX(Products!$B$5:$B$304,MATCH(C35,Products!$A$5:$A$304,0)),"Bundle or deleted"))</f>
        <v>0</v>
      </c>
      <c r="R35" s="13">
        <f>IF(B35="","",TEXT(B35,"yyyy-mm"))</f>
        <v>0</v>
      </c>
      <c r="S35" s="20">
        <f>IF(C35="","",IFERROR(INDEX(Products!$AR$5:$AR$304,MATCH(C35,Products!$A$5:$A$304,0)),""))</f>
        <v>0</v>
      </c>
      <c r="T35" s="20">
        <f>IF(B35="","",IF(F35&lt;&gt;"",F35,IF(S35="",0,S35)))</f>
        <v>0</v>
      </c>
      <c r="U35" s="20">
        <f>IF(B35="","",ROUND(IF(D35="",0,D35)*T35,2))</f>
        <v>0</v>
      </c>
      <c r="V35" s="20">
        <f>IF(B35="","",ROUND(U35-IF(G35="",0,G35)-IF(L35="",0,L35),2))</f>
        <v>0</v>
      </c>
      <c r="W35" s="20">
        <f>IF(C35="","",IFERROR(INDEX(Products!$AT$5:$AT$304,MATCH(C35,Products!$A$5:$A$304,0)),""))</f>
        <v>0</v>
      </c>
      <c r="X35" s="20">
        <f>IF(C35="","",IFERROR(INDEX(Products!$AG$5:$AG$304,MATCH(C35,Products!$A$5:$A$304,0)),""))</f>
        <v>0</v>
      </c>
      <c r="Y35" s="20">
        <f>IF(B35="","",ROUND(IF(D35="",0,D35)*MAX(0,IF(W35="",0,W35)-IF(X35="",0,X35)),2))</f>
        <v>0</v>
      </c>
      <c r="Z35" s="20">
        <f>IF(B35="","",ROUND(MAX(0,IF(J35="",0,J35)-IF(I35="",0,I35)),2))</f>
        <v>0</v>
      </c>
      <c r="AA35" s="33">
        <f>IF(B35="","",IFERROR(INDEX(Channels!$S$5:$S$18,MATCH(IF(E35="",DefaultChannel,E35),Channels!$A$5:$A$18,0)),0))</f>
        <v>0</v>
      </c>
      <c r="AB35" s="20">
        <f>IF(B35="","",IFERROR(INDEX(Channels!$T$5:$T$18,MATCH(IF(E35="",DefaultChannel,E35),Channels!$A$5:$A$18,0)),0))</f>
        <v>0</v>
      </c>
      <c r="AC35" s="42">
        <f>IF(B35="","",IFERROR(INDEX(Channels!$O$5:$O$18,MATCH(IF(E35="",DefaultChannel,E35),Channels!$A$5:$A$18,0)),"No"))</f>
        <v>0</v>
      </c>
      <c r="AD35" s="20">
        <f>IF(B35="","",ROUND((V35+IF(AC35="Yes",IF(I35="",0,I35),0))*AA35+AB35,2))</f>
        <v>0</v>
      </c>
      <c r="AE35" s="20">
        <f>IF(B35="","",IF(K35&lt;&gt;"",K35,AD35))</f>
        <v>0</v>
      </c>
      <c r="AF35" s="20">
        <f>IF(B35="","",IF(K35="","",ROUND(K35-AD35,2)))</f>
        <v>0</v>
      </c>
      <c r="AG35" s="20">
        <f>IF(B35="","",ROUND(V35-Y35-AE35-Z35,2))</f>
        <v>0</v>
      </c>
      <c r="AH35" s="33">
        <f>IF(B35="","",IF(OR(V35="",V35=0),"",AG35/V35))</f>
        <v>0</v>
      </c>
      <c r="AI35" s="33">
        <f>IF(C35="","",IFERROR(INDEX(Products!$AW$5:$AW$304,MATCH(C35,Products!$A$5:$A$304,0)),""))</f>
        <v>0</v>
      </c>
      <c r="AJ35" s="33">
        <f>IF(B35="","",IF(OR(AH35="",AI35=""),"",AH35-AI35))</f>
        <v>0</v>
      </c>
      <c r="AK35" s="41">
        <f>IF(B35="","",IFERROR(ROUND(IF(D35="",0,D35)*INDEX(Products!$X$5:$X$304,MATCH(C35,Products!$A$5:$A$304,0))/60,2),""))</f>
        <v>0</v>
      </c>
      <c r="AL35" s="20">
        <f>IF(B35="","",IF(OR(AK35="",AK35=0),"",ROUND(AG35/AK35,2)))</f>
        <v>0</v>
      </c>
      <c r="AM35" s="43">
        <f>IF(B35="","",IF(C35="","Add - which product?",IF(AG35&lt;0,"Loss - this order cost you money",IF(M35="Refunded","Refunded - check why",IF(AND(AF35&lt;&gt;"",AF35&gt;0.25),"Check - fees higher than your settings",IF(Z35&gt;1,"Check - postage is eating the margin",IF(AND(AH35&lt;&gt;"",AH35&lt;MarginWarning),"Low margin on this order","OK")))))) )</f>
        <v>0</v>
      </c>
    </row>
    <row r="36" spans="1:39">
      <c r="A36" s="38">
        <f>IF(B36="","",SalePrefix&amp;TEXT(ROW()-4,"0000"))</f>
        <v>0</v>
      </c>
      <c r="B36" s="22">
        <v>46277</v>
      </c>
      <c r="C36" s="46" t="s">
        <v>1380</v>
      </c>
      <c r="D36" s="16">
        <v>1</v>
      </c>
      <c r="E36" s="15" t="s">
        <v>1001</v>
      </c>
      <c r="F36" s="18">
        <v>148</v>
      </c>
      <c r="I36" s="18">
        <v>8.95</v>
      </c>
      <c r="J36" s="18">
        <v>9.85</v>
      </c>
      <c r="M36" s="39" t="s">
        <v>1591</v>
      </c>
      <c r="N36" s="15" t="s">
        <v>1625</v>
      </c>
      <c r="Q36" s="13">
        <f>IF(C36="","",IFERROR(INDEX(Products!$B$5:$B$304,MATCH(C36,Products!$A$5:$A$304,0)),"Bundle or deleted"))</f>
        <v>0</v>
      </c>
      <c r="R36" s="13">
        <f>IF(B36="","",TEXT(B36,"yyyy-mm"))</f>
        <v>0</v>
      </c>
      <c r="S36" s="20">
        <f>IF(C36="","",IFERROR(INDEX(Products!$AR$5:$AR$304,MATCH(C36,Products!$A$5:$A$304,0)),""))</f>
        <v>0</v>
      </c>
      <c r="T36" s="20">
        <f>IF(B36="","",IF(F36&lt;&gt;"",F36,IF(S36="",0,S36)))</f>
        <v>0</v>
      </c>
      <c r="U36" s="20">
        <f>IF(B36="","",ROUND(IF(D36="",0,D36)*T36,2))</f>
        <v>0</v>
      </c>
      <c r="V36" s="20">
        <f>IF(B36="","",ROUND(U36-IF(G36="",0,G36)-IF(L36="",0,L36),2))</f>
        <v>0</v>
      </c>
      <c r="W36" s="20">
        <f>IF(C36="","",IFERROR(INDEX(Products!$AT$5:$AT$304,MATCH(C36,Products!$A$5:$A$304,0)),""))</f>
        <v>0</v>
      </c>
      <c r="X36" s="20">
        <f>IF(C36="","",IFERROR(INDEX(Products!$AG$5:$AG$304,MATCH(C36,Products!$A$5:$A$304,0)),""))</f>
        <v>0</v>
      </c>
      <c r="Y36" s="20">
        <f>IF(B36="","",ROUND(IF(D36="",0,D36)*MAX(0,IF(W36="",0,W36)-IF(X36="",0,X36)),2))</f>
        <v>0</v>
      </c>
      <c r="Z36" s="20">
        <f>IF(B36="","",ROUND(MAX(0,IF(J36="",0,J36)-IF(I36="",0,I36)),2))</f>
        <v>0</v>
      </c>
      <c r="AA36" s="33">
        <f>IF(B36="","",IFERROR(INDEX(Channels!$S$5:$S$18,MATCH(IF(E36="",DefaultChannel,E36),Channels!$A$5:$A$18,0)),0))</f>
        <v>0</v>
      </c>
      <c r="AB36" s="20">
        <f>IF(B36="","",IFERROR(INDEX(Channels!$T$5:$T$18,MATCH(IF(E36="",DefaultChannel,E36),Channels!$A$5:$A$18,0)),0))</f>
        <v>0</v>
      </c>
      <c r="AC36" s="42">
        <f>IF(B36="","",IFERROR(INDEX(Channels!$O$5:$O$18,MATCH(IF(E36="",DefaultChannel,E36),Channels!$A$5:$A$18,0)),"No"))</f>
        <v>0</v>
      </c>
      <c r="AD36" s="20">
        <f>IF(B36="","",ROUND((V36+IF(AC36="Yes",IF(I36="",0,I36),0))*AA36+AB36,2))</f>
        <v>0</v>
      </c>
      <c r="AE36" s="20">
        <f>IF(B36="","",IF(K36&lt;&gt;"",K36,AD36))</f>
        <v>0</v>
      </c>
      <c r="AF36" s="20">
        <f>IF(B36="","",IF(K36="","",ROUND(K36-AD36,2)))</f>
        <v>0</v>
      </c>
      <c r="AG36" s="20">
        <f>IF(B36="","",ROUND(V36-Y36-AE36-Z36,2))</f>
        <v>0</v>
      </c>
      <c r="AH36" s="33">
        <f>IF(B36="","",IF(OR(V36="",V36=0),"",AG36/V36))</f>
        <v>0</v>
      </c>
      <c r="AI36" s="33">
        <f>IF(C36="","",IFERROR(INDEX(Products!$AW$5:$AW$304,MATCH(C36,Products!$A$5:$A$304,0)),""))</f>
        <v>0</v>
      </c>
      <c r="AJ36" s="33">
        <f>IF(B36="","",IF(OR(AH36="",AI36=""),"",AH36-AI36))</f>
        <v>0</v>
      </c>
      <c r="AK36" s="41">
        <f>IF(B36="","",IFERROR(ROUND(IF(D36="",0,D36)*INDEX(Products!$X$5:$X$304,MATCH(C36,Products!$A$5:$A$304,0))/60,2),""))</f>
        <v>0</v>
      </c>
      <c r="AL36" s="20">
        <f>IF(B36="","",IF(OR(AK36="",AK36=0),"",ROUND(AG36/AK36,2)))</f>
        <v>0</v>
      </c>
      <c r="AM36" s="43">
        <f>IF(B36="","",IF(C36="","Add - which product?",IF(AG36&lt;0,"Loss - this order cost you money",IF(M36="Refunded","Refunded - check why",IF(AND(AF36&lt;&gt;"",AF36&gt;0.25),"Check - fees higher than your settings",IF(Z36&gt;1,"Check - postage is eating the margin",IF(AND(AH36&lt;&gt;"",AH36&lt;MarginWarning),"Low margin on this order","OK")))))) )</f>
        <v>0</v>
      </c>
    </row>
    <row r="37" spans="1:39">
      <c r="A37" s="38">
        <f>IF(B37="","",SalePrefix&amp;TEXT(ROW()-4,"0000"))</f>
        <v>0</v>
      </c>
      <c r="B37" s="22">
        <v>46275</v>
      </c>
      <c r="C37" s="46" t="s">
        <v>1447</v>
      </c>
      <c r="D37" s="16">
        <v>2</v>
      </c>
      <c r="E37" s="15" t="s">
        <v>287</v>
      </c>
      <c r="F37" s="18">
        <v>8.5</v>
      </c>
      <c r="M37" s="39" t="s">
        <v>1591</v>
      </c>
      <c r="N37" s="15" t="s">
        <v>1626</v>
      </c>
      <c r="Q37" s="13">
        <f>IF(C37="","",IFERROR(INDEX(Products!$B$5:$B$304,MATCH(C37,Products!$A$5:$A$304,0)),"Bundle or deleted"))</f>
        <v>0</v>
      </c>
      <c r="R37" s="13">
        <f>IF(B37="","",TEXT(B37,"yyyy-mm"))</f>
        <v>0</v>
      </c>
      <c r="S37" s="20">
        <f>IF(C37="","",IFERROR(INDEX(Products!$AR$5:$AR$304,MATCH(C37,Products!$A$5:$A$304,0)),""))</f>
        <v>0</v>
      </c>
      <c r="T37" s="20">
        <f>IF(B37="","",IF(F37&lt;&gt;"",F37,IF(S37="",0,S37)))</f>
        <v>0</v>
      </c>
      <c r="U37" s="20">
        <f>IF(B37="","",ROUND(IF(D37="",0,D37)*T37,2))</f>
        <v>0</v>
      </c>
      <c r="V37" s="20">
        <f>IF(B37="","",ROUND(U37-IF(G37="",0,G37)-IF(L37="",0,L37),2))</f>
        <v>0</v>
      </c>
      <c r="W37" s="20">
        <f>IF(C37="","",IFERROR(INDEX(Products!$AT$5:$AT$304,MATCH(C37,Products!$A$5:$A$304,0)),""))</f>
        <v>0</v>
      </c>
      <c r="X37" s="20">
        <f>IF(C37="","",IFERROR(INDEX(Products!$AG$5:$AG$304,MATCH(C37,Products!$A$5:$A$304,0)),""))</f>
        <v>0</v>
      </c>
      <c r="Y37" s="20">
        <f>IF(B37="","",ROUND(IF(D37="",0,D37)*MAX(0,IF(W37="",0,W37)-IF(X37="",0,X37)),2))</f>
        <v>0</v>
      </c>
      <c r="Z37" s="20">
        <f>IF(B37="","",ROUND(MAX(0,IF(J37="",0,J37)-IF(I37="",0,I37)),2))</f>
        <v>0</v>
      </c>
      <c r="AA37" s="33">
        <f>IF(B37="","",IFERROR(INDEX(Channels!$S$5:$S$18,MATCH(IF(E37="",DefaultChannel,E37),Channels!$A$5:$A$18,0)),0))</f>
        <v>0</v>
      </c>
      <c r="AB37" s="20">
        <f>IF(B37="","",IFERROR(INDEX(Channels!$T$5:$T$18,MATCH(IF(E37="",DefaultChannel,E37),Channels!$A$5:$A$18,0)),0))</f>
        <v>0</v>
      </c>
      <c r="AC37" s="42">
        <f>IF(B37="","",IFERROR(INDEX(Channels!$O$5:$O$18,MATCH(IF(E37="",DefaultChannel,E37),Channels!$A$5:$A$18,0)),"No"))</f>
        <v>0</v>
      </c>
      <c r="AD37" s="20">
        <f>IF(B37="","",ROUND((V37+IF(AC37="Yes",IF(I37="",0,I37),0))*AA37+AB37,2))</f>
        <v>0</v>
      </c>
      <c r="AE37" s="20">
        <f>IF(B37="","",IF(K37&lt;&gt;"",K37,AD37))</f>
        <v>0</v>
      </c>
      <c r="AF37" s="20">
        <f>IF(B37="","",IF(K37="","",ROUND(K37-AD37,2)))</f>
        <v>0</v>
      </c>
      <c r="AG37" s="20">
        <f>IF(B37="","",ROUND(V37-Y37-AE37-Z37,2))</f>
        <v>0</v>
      </c>
      <c r="AH37" s="33">
        <f>IF(B37="","",IF(OR(V37="",V37=0),"",AG37/V37))</f>
        <v>0</v>
      </c>
      <c r="AI37" s="33">
        <f>IF(C37="","",IFERROR(INDEX(Products!$AW$5:$AW$304,MATCH(C37,Products!$A$5:$A$304,0)),""))</f>
        <v>0</v>
      </c>
      <c r="AJ37" s="33">
        <f>IF(B37="","",IF(OR(AH37="",AI37=""),"",AH37-AI37))</f>
        <v>0</v>
      </c>
      <c r="AK37" s="41">
        <f>IF(B37="","",IFERROR(ROUND(IF(D37="",0,D37)*INDEX(Products!$X$5:$X$304,MATCH(C37,Products!$A$5:$A$304,0))/60,2),""))</f>
        <v>0</v>
      </c>
      <c r="AL37" s="20">
        <f>IF(B37="","",IF(OR(AK37="",AK37=0),"",ROUND(AG37/AK37,2)))</f>
        <v>0</v>
      </c>
      <c r="AM37" s="43">
        <f>IF(B37="","",IF(C37="","Add - which product?",IF(AG37&lt;0,"Loss - this order cost you money",IF(M37="Refunded","Refunded - check why",IF(AND(AF37&lt;&gt;"",AF37&gt;0.25),"Check - fees higher than your settings",IF(Z37&gt;1,"Check - postage is eating the margin",IF(AND(AH37&lt;&gt;"",AH37&lt;MarginWarning),"Low margin on this order","OK")))))) )</f>
        <v>0</v>
      </c>
    </row>
    <row r="38" spans="1:39">
      <c r="A38" s="38">
        <f>IF(B38="","",SalePrefix&amp;TEXT(ROW()-4,"0000"))</f>
        <v>0</v>
      </c>
      <c r="B38" s="22">
        <v>46273</v>
      </c>
      <c r="C38" s="46" t="s">
        <v>1304</v>
      </c>
      <c r="D38" s="16">
        <v>1</v>
      </c>
      <c r="E38" s="15" t="s">
        <v>287</v>
      </c>
      <c r="F38" s="18">
        <v>52</v>
      </c>
      <c r="I38" s="18">
        <v>4.95</v>
      </c>
      <c r="J38" s="18">
        <v>4.25</v>
      </c>
      <c r="M38" s="39" t="s">
        <v>1591</v>
      </c>
      <c r="N38" s="15" t="s">
        <v>1627</v>
      </c>
      <c r="P38" s="40" t="s">
        <v>1628</v>
      </c>
      <c r="Q38" s="13">
        <f>IF(C38="","",IFERROR(INDEX(Products!$B$5:$B$304,MATCH(C38,Products!$A$5:$A$304,0)),"Bundle or deleted"))</f>
        <v>0</v>
      </c>
      <c r="R38" s="13">
        <f>IF(B38="","",TEXT(B38,"yyyy-mm"))</f>
        <v>0</v>
      </c>
      <c r="S38" s="20">
        <f>IF(C38="","",IFERROR(INDEX(Products!$AR$5:$AR$304,MATCH(C38,Products!$A$5:$A$304,0)),""))</f>
        <v>0</v>
      </c>
      <c r="T38" s="20">
        <f>IF(B38="","",IF(F38&lt;&gt;"",F38,IF(S38="",0,S38)))</f>
        <v>0</v>
      </c>
      <c r="U38" s="20">
        <f>IF(B38="","",ROUND(IF(D38="",0,D38)*T38,2))</f>
        <v>0</v>
      </c>
      <c r="V38" s="20">
        <f>IF(B38="","",ROUND(U38-IF(G38="",0,G38)-IF(L38="",0,L38),2))</f>
        <v>0</v>
      </c>
      <c r="W38" s="20">
        <f>IF(C38="","",IFERROR(INDEX(Products!$AT$5:$AT$304,MATCH(C38,Products!$A$5:$A$304,0)),""))</f>
        <v>0</v>
      </c>
      <c r="X38" s="20">
        <f>IF(C38="","",IFERROR(INDEX(Products!$AG$5:$AG$304,MATCH(C38,Products!$A$5:$A$304,0)),""))</f>
        <v>0</v>
      </c>
      <c r="Y38" s="20">
        <f>IF(B38="","",ROUND(IF(D38="",0,D38)*MAX(0,IF(W38="",0,W38)-IF(X38="",0,X38)),2))</f>
        <v>0</v>
      </c>
      <c r="Z38" s="20">
        <f>IF(B38="","",ROUND(MAX(0,IF(J38="",0,J38)-IF(I38="",0,I38)),2))</f>
        <v>0</v>
      </c>
      <c r="AA38" s="33">
        <f>IF(B38="","",IFERROR(INDEX(Channels!$S$5:$S$18,MATCH(IF(E38="",DefaultChannel,E38),Channels!$A$5:$A$18,0)),0))</f>
        <v>0</v>
      </c>
      <c r="AB38" s="20">
        <f>IF(B38="","",IFERROR(INDEX(Channels!$T$5:$T$18,MATCH(IF(E38="",DefaultChannel,E38),Channels!$A$5:$A$18,0)),0))</f>
        <v>0</v>
      </c>
      <c r="AC38" s="42">
        <f>IF(B38="","",IFERROR(INDEX(Channels!$O$5:$O$18,MATCH(IF(E38="",DefaultChannel,E38),Channels!$A$5:$A$18,0)),"No"))</f>
        <v>0</v>
      </c>
      <c r="AD38" s="20">
        <f>IF(B38="","",ROUND((V38+IF(AC38="Yes",IF(I38="",0,I38),0))*AA38+AB38,2))</f>
        <v>0</v>
      </c>
      <c r="AE38" s="20">
        <f>IF(B38="","",IF(K38&lt;&gt;"",K38,AD38))</f>
        <v>0</v>
      </c>
      <c r="AF38" s="20">
        <f>IF(B38="","",IF(K38="","",ROUND(K38-AD38,2)))</f>
        <v>0</v>
      </c>
      <c r="AG38" s="20">
        <f>IF(B38="","",ROUND(V38-Y38-AE38-Z38,2))</f>
        <v>0</v>
      </c>
      <c r="AH38" s="33">
        <f>IF(B38="","",IF(OR(V38="",V38=0),"",AG38/V38))</f>
        <v>0</v>
      </c>
      <c r="AI38" s="33">
        <f>IF(C38="","",IFERROR(INDEX(Products!$AW$5:$AW$304,MATCH(C38,Products!$A$5:$A$304,0)),""))</f>
        <v>0</v>
      </c>
      <c r="AJ38" s="33">
        <f>IF(B38="","",IF(OR(AH38="",AI38=""),"",AH38-AI38))</f>
        <v>0</v>
      </c>
      <c r="AK38" s="41">
        <f>IF(B38="","",IFERROR(ROUND(IF(D38="",0,D38)*INDEX(Products!$X$5:$X$304,MATCH(C38,Products!$A$5:$A$304,0))/60,2),""))</f>
        <v>0</v>
      </c>
      <c r="AL38" s="20">
        <f>IF(B38="","",IF(OR(AK38="",AK38=0),"",ROUND(AG38/AK38,2)))</f>
        <v>0</v>
      </c>
      <c r="AM38" s="43">
        <f>IF(B38="","",IF(C38="","Add - which product?",IF(AG38&lt;0,"Loss - this order cost you money",IF(M38="Refunded","Refunded - check why",IF(AND(AF38&lt;&gt;"",AF38&gt;0.25),"Check - fees higher than your settings",IF(Z38&gt;1,"Check - postage is eating the margin",IF(AND(AH38&lt;&gt;"",AH38&lt;MarginWarning),"Low margin on this order","OK")))))) )</f>
        <v>0</v>
      </c>
    </row>
    <row r="39" spans="1:39">
      <c r="A39" s="38">
        <f>IF(B39="","",SalePrefix&amp;TEXT(ROW()-4,"0000"))</f>
        <v>0</v>
      </c>
      <c r="B39" s="22">
        <v>46271</v>
      </c>
      <c r="C39" s="46" t="s">
        <v>748</v>
      </c>
      <c r="D39" s="16">
        <v>1</v>
      </c>
      <c r="E39" s="15" t="s">
        <v>545</v>
      </c>
      <c r="F39" s="18">
        <v>135</v>
      </c>
      <c r="I39" s="18">
        <v>16</v>
      </c>
      <c r="J39" s="18">
        <v>18.6</v>
      </c>
      <c r="M39" s="39" t="s">
        <v>1591</v>
      </c>
      <c r="N39" s="15" t="s">
        <v>1629</v>
      </c>
      <c r="Q39" s="13">
        <f>IF(C39="","",IFERROR(INDEX(Products!$B$5:$B$304,MATCH(C39,Products!$A$5:$A$304,0)),"Bundle or deleted"))</f>
        <v>0</v>
      </c>
      <c r="R39" s="13">
        <f>IF(B39="","",TEXT(B39,"yyyy-mm"))</f>
        <v>0</v>
      </c>
      <c r="S39" s="20">
        <f>IF(C39="","",IFERROR(INDEX(Products!$AR$5:$AR$304,MATCH(C39,Products!$A$5:$A$304,0)),""))</f>
        <v>0</v>
      </c>
      <c r="T39" s="20">
        <f>IF(B39="","",IF(F39&lt;&gt;"",F39,IF(S39="",0,S39)))</f>
        <v>0</v>
      </c>
      <c r="U39" s="20">
        <f>IF(B39="","",ROUND(IF(D39="",0,D39)*T39,2))</f>
        <v>0</v>
      </c>
      <c r="V39" s="20">
        <f>IF(B39="","",ROUND(U39-IF(G39="",0,G39)-IF(L39="",0,L39),2))</f>
        <v>0</v>
      </c>
      <c r="W39" s="20">
        <f>IF(C39="","",IFERROR(INDEX(Products!$AT$5:$AT$304,MATCH(C39,Products!$A$5:$A$304,0)),""))</f>
        <v>0</v>
      </c>
      <c r="X39" s="20">
        <f>IF(C39="","",IFERROR(INDEX(Products!$AG$5:$AG$304,MATCH(C39,Products!$A$5:$A$304,0)),""))</f>
        <v>0</v>
      </c>
      <c r="Y39" s="20">
        <f>IF(B39="","",ROUND(IF(D39="",0,D39)*MAX(0,IF(W39="",0,W39)-IF(X39="",0,X39)),2))</f>
        <v>0</v>
      </c>
      <c r="Z39" s="20">
        <f>IF(B39="","",ROUND(MAX(0,IF(J39="",0,J39)-IF(I39="",0,I39)),2))</f>
        <v>0</v>
      </c>
      <c r="AA39" s="33">
        <f>IF(B39="","",IFERROR(INDEX(Channels!$S$5:$S$18,MATCH(IF(E39="",DefaultChannel,E39),Channels!$A$5:$A$18,0)),0))</f>
        <v>0</v>
      </c>
      <c r="AB39" s="20">
        <f>IF(B39="","",IFERROR(INDEX(Channels!$T$5:$T$18,MATCH(IF(E39="",DefaultChannel,E39),Channels!$A$5:$A$18,0)),0))</f>
        <v>0</v>
      </c>
      <c r="AC39" s="42">
        <f>IF(B39="","",IFERROR(INDEX(Channels!$O$5:$O$18,MATCH(IF(E39="",DefaultChannel,E39),Channels!$A$5:$A$18,0)),"No"))</f>
        <v>0</v>
      </c>
      <c r="AD39" s="20">
        <f>IF(B39="","",ROUND((V39+IF(AC39="Yes",IF(I39="",0,I39),0))*AA39+AB39,2))</f>
        <v>0</v>
      </c>
      <c r="AE39" s="20">
        <f>IF(B39="","",IF(K39&lt;&gt;"",K39,AD39))</f>
        <v>0</v>
      </c>
      <c r="AF39" s="20">
        <f>IF(B39="","",IF(K39="","",ROUND(K39-AD39,2)))</f>
        <v>0</v>
      </c>
      <c r="AG39" s="20">
        <f>IF(B39="","",ROUND(V39-Y39-AE39-Z39,2))</f>
        <v>0</v>
      </c>
      <c r="AH39" s="33">
        <f>IF(B39="","",IF(OR(V39="",V39=0),"",AG39/V39))</f>
        <v>0</v>
      </c>
      <c r="AI39" s="33">
        <f>IF(C39="","",IFERROR(INDEX(Products!$AW$5:$AW$304,MATCH(C39,Products!$A$5:$A$304,0)),""))</f>
        <v>0</v>
      </c>
      <c r="AJ39" s="33">
        <f>IF(B39="","",IF(OR(AH39="",AI39=""),"",AH39-AI39))</f>
        <v>0</v>
      </c>
      <c r="AK39" s="41">
        <f>IF(B39="","",IFERROR(ROUND(IF(D39="",0,D39)*INDEX(Products!$X$5:$X$304,MATCH(C39,Products!$A$5:$A$304,0))/60,2),""))</f>
        <v>0</v>
      </c>
      <c r="AL39" s="20">
        <f>IF(B39="","",IF(OR(AK39="",AK39=0),"",ROUND(AG39/AK39,2)))</f>
        <v>0</v>
      </c>
      <c r="AM39" s="43">
        <f>IF(B39="","",IF(C39="","Add - which product?",IF(AG39&lt;0,"Loss - this order cost you money",IF(M39="Refunded","Refunded - check why",IF(AND(AF39&lt;&gt;"",AF39&gt;0.25),"Check - fees higher than your settings",IF(Z39&gt;1,"Check - postage is eating the margin",IF(AND(AH39&lt;&gt;"",AH39&lt;MarginWarning),"Low margin on this order","OK")))))) )</f>
        <v>0</v>
      </c>
    </row>
    <row r="40" spans="1:39">
      <c r="A40" s="38">
        <f>IF(B40="","",SalePrefix&amp;TEXT(ROW()-4,"0000"))</f>
        <v>0</v>
      </c>
      <c r="B40" s="22">
        <v>46269</v>
      </c>
      <c r="C40" s="46" t="s">
        <v>1344</v>
      </c>
      <c r="D40" s="16">
        <v>1</v>
      </c>
      <c r="E40" s="15" t="s">
        <v>287</v>
      </c>
      <c r="F40" s="18">
        <v>32</v>
      </c>
      <c r="I40" s="18">
        <v>8.95</v>
      </c>
      <c r="J40" s="18">
        <v>9.85</v>
      </c>
      <c r="M40" s="39" t="s">
        <v>1591</v>
      </c>
      <c r="N40" s="15" t="s">
        <v>1630</v>
      </c>
      <c r="Q40" s="13">
        <f>IF(C40="","",IFERROR(INDEX(Products!$B$5:$B$304,MATCH(C40,Products!$A$5:$A$304,0)),"Bundle or deleted"))</f>
        <v>0</v>
      </c>
      <c r="R40" s="13">
        <f>IF(B40="","",TEXT(B40,"yyyy-mm"))</f>
        <v>0</v>
      </c>
      <c r="S40" s="20">
        <f>IF(C40="","",IFERROR(INDEX(Products!$AR$5:$AR$304,MATCH(C40,Products!$A$5:$A$304,0)),""))</f>
        <v>0</v>
      </c>
      <c r="T40" s="20">
        <f>IF(B40="","",IF(F40&lt;&gt;"",F40,IF(S40="",0,S40)))</f>
        <v>0</v>
      </c>
      <c r="U40" s="20">
        <f>IF(B40="","",ROUND(IF(D40="",0,D40)*T40,2))</f>
        <v>0</v>
      </c>
      <c r="V40" s="20">
        <f>IF(B40="","",ROUND(U40-IF(G40="",0,G40)-IF(L40="",0,L40),2))</f>
        <v>0</v>
      </c>
      <c r="W40" s="20">
        <f>IF(C40="","",IFERROR(INDEX(Products!$AT$5:$AT$304,MATCH(C40,Products!$A$5:$A$304,0)),""))</f>
        <v>0</v>
      </c>
      <c r="X40" s="20">
        <f>IF(C40="","",IFERROR(INDEX(Products!$AG$5:$AG$304,MATCH(C40,Products!$A$5:$A$304,0)),""))</f>
        <v>0</v>
      </c>
      <c r="Y40" s="20">
        <f>IF(B40="","",ROUND(IF(D40="",0,D40)*MAX(0,IF(W40="",0,W40)-IF(X40="",0,X40)),2))</f>
        <v>0</v>
      </c>
      <c r="Z40" s="20">
        <f>IF(B40="","",ROUND(MAX(0,IF(J40="",0,J40)-IF(I40="",0,I40)),2))</f>
        <v>0</v>
      </c>
      <c r="AA40" s="33">
        <f>IF(B40="","",IFERROR(INDEX(Channels!$S$5:$S$18,MATCH(IF(E40="",DefaultChannel,E40),Channels!$A$5:$A$18,0)),0))</f>
        <v>0</v>
      </c>
      <c r="AB40" s="20">
        <f>IF(B40="","",IFERROR(INDEX(Channels!$T$5:$T$18,MATCH(IF(E40="",DefaultChannel,E40),Channels!$A$5:$A$18,0)),0))</f>
        <v>0</v>
      </c>
      <c r="AC40" s="42">
        <f>IF(B40="","",IFERROR(INDEX(Channels!$O$5:$O$18,MATCH(IF(E40="",DefaultChannel,E40),Channels!$A$5:$A$18,0)),"No"))</f>
        <v>0</v>
      </c>
      <c r="AD40" s="20">
        <f>IF(B40="","",ROUND((V40+IF(AC40="Yes",IF(I40="",0,I40),0))*AA40+AB40,2))</f>
        <v>0</v>
      </c>
      <c r="AE40" s="20">
        <f>IF(B40="","",IF(K40&lt;&gt;"",K40,AD40))</f>
        <v>0</v>
      </c>
      <c r="AF40" s="20">
        <f>IF(B40="","",IF(K40="","",ROUND(K40-AD40,2)))</f>
        <v>0</v>
      </c>
      <c r="AG40" s="20">
        <f>IF(B40="","",ROUND(V40-Y40-AE40-Z40,2))</f>
        <v>0</v>
      </c>
      <c r="AH40" s="33">
        <f>IF(B40="","",IF(OR(V40="",V40=0),"",AG40/V40))</f>
        <v>0</v>
      </c>
      <c r="AI40" s="33">
        <f>IF(C40="","",IFERROR(INDEX(Products!$AW$5:$AW$304,MATCH(C40,Products!$A$5:$A$304,0)),""))</f>
        <v>0</v>
      </c>
      <c r="AJ40" s="33">
        <f>IF(B40="","",IF(OR(AH40="",AI40=""),"",AH40-AI40))</f>
        <v>0</v>
      </c>
      <c r="AK40" s="41">
        <f>IF(B40="","",IFERROR(ROUND(IF(D40="",0,D40)*INDEX(Products!$X$5:$X$304,MATCH(C40,Products!$A$5:$A$304,0))/60,2),""))</f>
        <v>0</v>
      </c>
      <c r="AL40" s="20">
        <f>IF(B40="","",IF(OR(AK40="",AK40=0),"",ROUND(AG40/AK40,2)))</f>
        <v>0</v>
      </c>
      <c r="AM40" s="43">
        <f>IF(B40="","",IF(C40="","Add - which product?",IF(AG40&lt;0,"Loss - this order cost you money",IF(M40="Refunded","Refunded - check why",IF(AND(AF40&lt;&gt;"",AF40&gt;0.25),"Check - fees higher than your settings",IF(Z40&gt;1,"Check - postage is eating the margin",IF(AND(AH40&lt;&gt;"",AH40&lt;MarginWarning),"Low margin on this order","OK")))))) )</f>
        <v>0</v>
      </c>
    </row>
    <row r="41" spans="1:39">
      <c r="A41" s="38">
        <f>IF(B41="","",SalePrefix&amp;TEXT(ROW()-4,"0000"))</f>
        <v>0</v>
      </c>
      <c r="B41" s="22">
        <v>46265</v>
      </c>
      <c r="C41" s="46" t="s">
        <v>1256</v>
      </c>
      <c r="D41" s="16">
        <v>1</v>
      </c>
      <c r="E41" s="15" t="s">
        <v>287</v>
      </c>
      <c r="F41" s="18">
        <v>65</v>
      </c>
      <c r="I41" s="18">
        <v>5.95</v>
      </c>
      <c r="J41" s="18">
        <v>5.4</v>
      </c>
      <c r="M41" s="39" t="s">
        <v>1591</v>
      </c>
      <c r="N41" s="15" t="s">
        <v>1631</v>
      </c>
      <c r="P41" s="40" t="s">
        <v>1632</v>
      </c>
      <c r="Q41" s="13">
        <f>IF(C41="","",IFERROR(INDEX(Products!$B$5:$B$304,MATCH(C41,Products!$A$5:$A$304,0)),"Bundle or deleted"))</f>
        <v>0</v>
      </c>
      <c r="R41" s="13">
        <f>IF(B41="","",TEXT(B41,"yyyy-mm"))</f>
        <v>0</v>
      </c>
      <c r="S41" s="20">
        <f>IF(C41="","",IFERROR(INDEX(Products!$AR$5:$AR$304,MATCH(C41,Products!$A$5:$A$304,0)),""))</f>
        <v>0</v>
      </c>
      <c r="T41" s="20">
        <f>IF(B41="","",IF(F41&lt;&gt;"",F41,IF(S41="",0,S41)))</f>
        <v>0</v>
      </c>
      <c r="U41" s="20">
        <f>IF(B41="","",ROUND(IF(D41="",0,D41)*T41,2))</f>
        <v>0</v>
      </c>
      <c r="V41" s="20">
        <f>IF(B41="","",ROUND(U41-IF(G41="",0,G41)-IF(L41="",0,L41),2))</f>
        <v>0</v>
      </c>
      <c r="W41" s="20">
        <f>IF(C41="","",IFERROR(INDEX(Products!$AT$5:$AT$304,MATCH(C41,Products!$A$5:$A$304,0)),""))</f>
        <v>0</v>
      </c>
      <c r="X41" s="20">
        <f>IF(C41="","",IFERROR(INDEX(Products!$AG$5:$AG$304,MATCH(C41,Products!$A$5:$A$304,0)),""))</f>
        <v>0</v>
      </c>
      <c r="Y41" s="20">
        <f>IF(B41="","",ROUND(IF(D41="",0,D41)*MAX(0,IF(W41="",0,W41)-IF(X41="",0,X41)),2))</f>
        <v>0</v>
      </c>
      <c r="Z41" s="20">
        <f>IF(B41="","",ROUND(MAX(0,IF(J41="",0,J41)-IF(I41="",0,I41)),2))</f>
        <v>0</v>
      </c>
      <c r="AA41" s="33">
        <f>IF(B41="","",IFERROR(INDEX(Channels!$S$5:$S$18,MATCH(IF(E41="",DefaultChannel,E41),Channels!$A$5:$A$18,0)),0))</f>
        <v>0</v>
      </c>
      <c r="AB41" s="20">
        <f>IF(B41="","",IFERROR(INDEX(Channels!$T$5:$T$18,MATCH(IF(E41="",DefaultChannel,E41),Channels!$A$5:$A$18,0)),0))</f>
        <v>0</v>
      </c>
      <c r="AC41" s="42">
        <f>IF(B41="","",IFERROR(INDEX(Channels!$O$5:$O$18,MATCH(IF(E41="",DefaultChannel,E41),Channels!$A$5:$A$18,0)),"No"))</f>
        <v>0</v>
      </c>
      <c r="AD41" s="20">
        <f>IF(B41="","",ROUND((V41+IF(AC41="Yes",IF(I41="",0,I41),0))*AA41+AB41,2))</f>
        <v>0</v>
      </c>
      <c r="AE41" s="20">
        <f>IF(B41="","",IF(K41&lt;&gt;"",K41,AD41))</f>
        <v>0</v>
      </c>
      <c r="AF41" s="20">
        <f>IF(B41="","",IF(K41="","",ROUND(K41-AD41,2)))</f>
        <v>0</v>
      </c>
      <c r="AG41" s="20">
        <f>IF(B41="","",ROUND(V41-Y41-AE41-Z41,2))</f>
        <v>0</v>
      </c>
      <c r="AH41" s="33">
        <f>IF(B41="","",IF(OR(V41="",V41=0),"",AG41/V41))</f>
        <v>0</v>
      </c>
      <c r="AI41" s="33">
        <f>IF(C41="","",IFERROR(INDEX(Products!$AW$5:$AW$304,MATCH(C41,Products!$A$5:$A$304,0)),""))</f>
        <v>0</v>
      </c>
      <c r="AJ41" s="33">
        <f>IF(B41="","",IF(OR(AH41="",AI41=""),"",AH41-AI41))</f>
        <v>0</v>
      </c>
      <c r="AK41" s="41">
        <f>IF(B41="","",IFERROR(ROUND(IF(D41="",0,D41)*INDEX(Products!$X$5:$X$304,MATCH(C41,Products!$A$5:$A$304,0))/60,2),""))</f>
        <v>0</v>
      </c>
      <c r="AL41" s="20">
        <f>IF(B41="","",IF(OR(AK41="",AK41=0),"",ROUND(AG41/AK41,2)))</f>
        <v>0</v>
      </c>
      <c r="AM41" s="43">
        <f>IF(B41="","",IF(C41="","Add - which product?",IF(AG41&lt;0,"Loss - this order cost you money",IF(M41="Refunded","Refunded - check why",IF(AND(AF41&lt;&gt;"",AF41&gt;0.25),"Check - fees higher than your settings",IF(Z41&gt;1,"Check - postage is eating the margin",IF(AND(AH41&lt;&gt;"",AH41&lt;MarginWarning),"Low margin on this order","OK")))))) )</f>
        <v>0</v>
      </c>
    </row>
    <row r="42" spans="1:39">
      <c r="A42" s="38">
        <f>IF(B42="","",SalePrefix&amp;TEXT(ROW()-4,"0000"))</f>
        <v>0</v>
      </c>
      <c r="B42" s="22">
        <v>46262</v>
      </c>
      <c r="C42" s="46" t="s">
        <v>1452</v>
      </c>
      <c r="D42" s="16">
        <v>1</v>
      </c>
      <c r="E42" s="15" t="s">
        <v>287</v>
      </c>
      <c r="F42" s="18">
        <v>6.5</v>
      </c>
      <c r="M42" s="39" t="s">
        <v>1591</v>
      </c>
      <c r="N42" s="15" t="s">
        <v>1633</v>
      </c>
      <c r="Q42" s="13">
        <f>IF(C42="","",IFERROR(INDEX(Products!$B$5:$B$304,MATCH(C42,Products!$A$5:$A$304,0)),"Bundle or deleted"))</f>
        <v>0</v>
      </c>
      <c r="R42" s="13">
        <f>IF(B42="","",TEXT(B42,"yyyy-mm"))</f>
        <v>0</v>
      </c>
      <c r="S42" s="20">
        <f>IF(C42="","",IFERROR(INDEX(Products!$AR$5:$AR$304,MATCH(C42,Products!$A$5:$A$304,0)),""))</f>
        <v>0</v>
      </c>
      <c r="T42" s="20">
        <f>IF(B42="","",IF(F42&lt;&gt;"",F42,IF(S42="",0,S42)))</f>
        <v>0</v>
      </c>
      <c r="U42" s="20">
        <f>IF(B42="","",ROUND(IF(D42="",0,D42)*T42,2))</f>
        <v>0</v>
      </c>
      <c r="V42" s="20">
        <f>IF(B42="","",ROUND(U42-IF(G42="",0,G42)-IF(L42="",0,L42),2))</f>
        <v>0</v>
      </c>
      <c r="W42" s="20">
        <f>IF(C42="","",IFERROR(INDEX(Products!$AT$5:$AT$304,MATCH(C42,Products!$A$5:$A$304,0)),""))</f>
        <v>0</v>
      </c>
      <c r="X42" s="20">
        <f>IF(C42="","",IFERROR(INDEX(Products!$AG$5:$AG$304,MATCH(C42,Products!$A$5:$A$304,0)),""))</f>
        <v>0</v>
      </c>
      <c r="Y42" s="20">
        <f>IF(B42="","",ROUND(IF(D42="",0,D42)*MAX(0,IF(W42="",0,W42)-IF(X42="",0,X42)),2))</f>
        <v>0</v>
      </c>
      <c r="Z42" s="20">
        <f>IF(B42="","",ROUND(MAX(0,IF(J42="",0,J42)-IF(I42="",0,I42)),2))</f>
        <v>0</v>
      </c>
      <c r="AA42" s="33">
        <f>IF(B42="","",IFERROR(INDEX(Channels!$S$5:$S$18,MATCH(IF(E42="",DefaultChannel,E42),Channels!$A$5:$A$18,0)),0))</f>
        <v>0</v>
      </c>
      <c r="AB42" s="20">
        <f>IF(B42="","",IFERROR(INDEX(Channels!$T$5:$T$18,MATCH(IF(E42="",DefaultChannel,E42),Channels!$A$5:$A$18,0)),0))</f>
        <v>0</v>
      </c>
      <c r="AC42" s="42">
        <f>IF(B42="","",IFERROR(INDEX(Channels!$O$5:$O$18,MATCH(IF(E42="",DefaultChannel,E42),Channels!$A$5:$A$18,0)),"No"))</f>
        <v>0</v>
      </c>
      <c r="AD42" s="20">
        <f>IF(B42="","",ROUND((V42+IF(AC42="Yes",IF(I42="",0,I42),0))*AA42+AB42,2))</f>
        <v>0</v>
      </c>
      <c r="AE42" s="20">
        <f>IF(B42="","",IF(K42&lt;&gt;"",K42,AD42))</f>
        <v>0</v>
      </c>
      <c r="AF42" s="20">
        <f>IF(B42="","",IF(K42="","",ROUND(K42-AD42,2)))</f>
        <v>0</v>
      </c>
      <c r="AG42" s="20">
        <f>IF(B42="","",ROUND(V42-Y42-AE42-Z42,2))</f>
        <v>0</v>
      </c>
      <c r="AH42" s="33">
        <f>IF(B42="","",IF(OR(V42="",V42=0),"",AG42/V42))</f>
        <v>0</v>
      </c>
      <c r="AI42" s="33">
        <f>IF(C42="","",IFERROR(INDEX(Products!$AW$5:$AW$304,MATCH(C42,Products!$A$5:$A$304,0)),""))</f>
        <v>0</v>
      </c>
      <c r="AJ42" s="33">
        <f>IF(B42="","",IF(OR(AH42="",AI42=""),"",AH42-AI42))</f>
        <v>0</v>
      </c>
      <c r="AK42" s="41">
        <f>IF(B42="","",IFERROR(ROUND(IF(D42="",0,D42)*INDEX(Products!$X$5:$X$304,MATCH(C42,Products!$A$5:$A$304,0))/60,2),""))</f>
        <v>0</v>
      </c>
      <c r="AL42" s="20">
        <f>IF(B42="","",IF(OR(AK42="",AK42=0),"",ROUND(AG42/AK42,2)))</f>
        <v>0</v>
      </c>
      <c r="AM42" s="43">
        <f>IF(B42="","",IF(C42="","Add - which product?",IF(AG42&lt;0,"Loss - this order cost you money",IF(M42="Refunded","Refunded - check why",IF(AND(AF42&lt;&gt;"",AF42&gt;0.25),"Check - fees higher than your settings",IF(Z42&gt;1,"Check - postage is eating the margin",IF(AND(AH42&lt;&gt;"",AH42&lt;MarginWarning),"Low margin on this order","OK")))))) )</f>
        <v>0</v>
      </c>
    </row>
    <row r="43" spans="1:39">
      <c r="A43" s="38">
        <f>IF(B43="","",SalePrefix&amp;TEXT(ROW()-4,"0000"))</f>
        <v>0</v>
      </c>
      <c r="B43" s="22">
        <v>46259</v>
      </c>
      <c r="C43" s="46" t="s">
        <v>1308</v>
      </c>
      <c r="D43" s="16">
        <v>1</v>
      </c>
      <c r="E43" s="15" t="s">
        <v>287</v>
      </c>
      <c r="F43" s="18">
        <v>44</v>
      </c>
      <c r="I43" s="18">
        <v>4.95</v>
      </c>
      <c r="J43" s="18">
        <v>4.25</v>
      </c>
      <c r="L43" s="18">
        <v>8</v>
      </c>
      <c r="M43" s="39" t="s">
        <v>1634</v>
      </c>
      <c r="N43" s="15" t="s">
        <v>1635</v>
      </c>
      <c r="P43" s="40" t="s">
        <v>1636</v>
      </c>
      <c r="Q43" s="13">
        <f>IF(C43="","",IFERROR(INDEX(Products!$B$5:$B$304,MATCH(C43,Products!$A$5:$A$304,0)),"Bundle or deleted"))</f>
        <v>0</v>
      </c>
      <c r="R43" s="13">
        <f>IF(B43="","",TEXT(B43,"yyyy-mm"))</f>
        <v>0</v>
      </c>
      <c r="S43" s="20">
        <f>IF(C43="","",IFERROR(INDEX(Products!$AR$5:$AR$304,MATCH(C43,Products!$A$5:$A$304,0)),""))</f>
        <v>0</v>
      </c>
      <c r="T43" s="20">
        <f>IF(B43="","",IF(F43&lt;&gt;"",F43,IF(S43="",0,S43)))</f>
        <v>0</v>
      </c>
      <c r="U43" s="20">
        <f>IF(B43="","",ROUND(IF(D43="",0,D43)*T43,2))</f>
        <v>0</v>
      </c>
      <c r="V43" s="20">
        <f>IF(B43="","",ROUND(U43-IF(G43="",0,G43)-IF(L43="",0,L43),2))</f>
        <v>0</v>
      </c>
      <c r="W43" s="20">
        <f>IF(C43="","",IFERROR(INDEX(Products!$AT$5:$AT$304,MATCH(C43,Products!$A$5:$A$304,0)),""))</f>
        <v>0</v>
      </c>
      <c r="X43" s="20">
        <f>IF(C43="","",IFERROR(INDEX(Products!$AG$5:$AG$304,MATCH(C43,Products!$A$5:$A$304,0)),""))</f>
        <v>0</v>
      </c>
      <c r="Y43" s="20">
        <f>IF(B43="","",ROUND(IF(D43="",0,D43)*MAX(0,IF(W43="",0,W43)-IF(X43="",0,X43)),2))</f>
        <v>0</v>
      </c>
      <c r="Z43" s="20">
        <f>IF(B43="","",ROUND(MAX(0,IF(J43="",0,J43)-IF(I43="",0,I43)),2))</f>
        <v>0</v>
      </c>
      <c r="AA43" s="33">
        <f>IF(B43="","",IFERROR(INDEX(Channels!$S$5:$S$18,MATCH(IF(E43="",DefaultChannel,E43),Channels!$A$5:$A$18,0)),0))</f>
        <v>0</v>
      </c>
      <c r="AB43" s="20">
        <f>IF(B43="","",IFERROR(INDEX(Channels!$T$5:$T$18,MATCH(IF(E43="",DefaultChannel,E43),Channels!$A$5:$A$18,0)),0))</f>
        <v>0</v>
      </c>
      <c r="AC43" s="42">
        <f>IF(B43="","",IFERROR(INDEX(Channels!$O$5:$O$18,MATCH(IF(E43="",DefaultChannel,E43),Channels!$A$5:$A$18,0)),"No"))</f>
        <v>0</v>
      </c>
      <c r="AD43" s="20">
        <f>IF(B43="","",ROUND((V43+IF(AC43="Yes",IF(I43="",0,I43),0))*AA43+AB43,2))</f>
        <v>0</v>
      </c>
      <c r="AE43" s="20">
        <f>IF(B43="","",IF(K43&lt;&gt;"",K43,AD43))</f>
        <v>0</v>
      </c>
      <c r="AF43" s="20">
        <f>IF(B43="","",IF(K43="","",ROUND(K43-AD43,2)))</f>
        <v>0</v>
      </c>
      <c r="AG43" s="20">
        <f>IF(B43="","",ROUND(V43-Y43-AE43-Z43,2))</f>
        <v>0</v>
      </c>
      <c r="AH43" s="33">
        <f>IF(B43="","",IF(OR(V43="",V43=0),"",AG43/V43))</f>
        <v>0</v>
      </c>
      <c r="AI43" s="33">
        <f>IF(C43="","",IFERROR(INDEX(Products!$AW$5:$AW$304,MATCH(C43,Products!$A$5:$A$304,0)),""))</f>
        <v>0</v>
      </c>
      <c r="AJ43" s="33">
        <f>IF(B43="","",IF(OR(AH43="",AI43=""),"",AH43-AI43))</f>
        <v>0</v>
      </c>
      <c r="AK43" s="41">
        <f>IF(B43="","",IFERROR(ROUND(IF(D43="",0,D43)*INDEX(Products!$X$5:$X$304,MATCH(C43,Products!$A$5:$A$304,0))/60,2),""))</f>
        <v>0</v>
      </c>
      <c r="AL43" s="20">
        <f>IF(B43="","",IF(OR(AK43="",AK43=0),"",ROUND(AG43/AK43,2)))</f>
        <v>0</v>
      </c>
      <c r="AM43" s="43">
        <f>IF(B43="","",IF(C43="","Add - which product?",IF(AG43&lt;0,"Loss - this order cost you money",IF(M43="Refunded","Refunded - check why",IF(AND(AF43&lt;&gt;"",AF43&gt;0.25),"Check - fees higher than your settings",IF(Z43&gt;1,"Check - postage is eating the margin",IF(AND(AH43&lt;&gt;"",AH43&lt;MarginWarning),"Low margin on this order","OK")))))) )</f>
        <v>0</v>
      </c>
    </row>
    <row r="44" spans="1:39">
      <c r="A44" s="38">
        <f>IF(B44="","",SalePrefix&amp;TEXT(ROW()-4,"0000"))</f>
        <v>0</v>
      </c>
      <c r="B44" s="22">
        <v>46257</v>
      </c>
      <c r="C44" s="46" t="s">
        <v>730</v>
      </c>
      <c r="D44" s="16">
        <v>1</v>
      </c>
      <c r="E44" s="15" t="s">
        <v>287</v>
      </c>
      <c r="F44" s="18">
        <v>75</v>
      </c>
      <c r="I44" s="18">
        <v>6.95</v>
      </c>
      <c r="J44" s="18">
        <v>7.1</v>
      </c>
      <c r="M44" s="39" t="s">
        <v>1591</v>
      </c>
      <c r="N44" s="15" t="s">
        <v>1637</v>
      </c>
      <c r="Q44" s="13">
        <f>IF(C44="","",IFERROR(INDEX(Products!$B$5:$B$304,MATCH(C44,Products!$A$5:$A$304,0)),"Bundle or deleted"))</f>
        <v>0</v>
      </c>
      <c r="R44" s="13">
        <f>IF(B44="","",TEXT(B44,"yyyy-mm"))</f>
        <v>0</v>
      </c>
      <c r="S44" s="20">
        <f>IF(C44="","",IFERROR(INDEX(Products!$AR$5:$AR$304,MATCH(C44,Products!$A$5:$A$304,0)),""))</f>
        <v>0</v>
      </c>
      <c r="T44" s="20">
        <f>IF(B44="","",IF(F44&lt;&gt;"",F44,IF(S44="",0,S44)))</f>
        <v>0</v>
      </c>
      <c r="U44" s="20">
        <f>IF(B44="","",ROUND(IF(D44="",0,D44)*T44,2))</f>
        <v>0</v>
      </c>
      <c r="V44" s="20">
        <f>IF(B44="","",ROUND(U44-IF(G44="",0,G44)-IF(L44="",0,L44),2))</f>
        <v>0</v>
      </c>
      <c r="W44" s="20">
        <f>IF(C44="","",IFERROR(INDEX(Products!$AT$5:$AT$304,MATCH(C44,Products!$A$5:$A$304,0)),""))</f>
        <v>0</v>
      </c>
      <c r="X44" s="20">
        <f>IF(C44="","",IFERROR(INDEX(Products!$AG$5:$AG$304,MATCH(C44,Products!$A$5:$A$304,0)),""))</f>
        <v>0</v>
      </c>
      <c r="Y44" s="20">
        <f>IF(B44="","",ROUND(IF(D44="",0,D44)*MAX(0,IF(W44="",0,W44)-IF(X44="",0,X44)),2))</f>
        <v>0</v>
      </c>
      <c r="Z44" s="20">
        <f>IF(B44="","",ROUND(MAX(0,IF(J44="",0,J44)-IF(I44="",0,I44)),2))</f>
        <v>0</v>
      </c>
      <c r="AA44" s="33">
        <f>IF(B44="","",IFERROR(INDEX(Channels!$S$5:$S$18,MATCH(IF(E44="",DefaultChannel,E44),Channels!$A$5:$A$18,0)),0))</f>
        <v>0</v>
      </c>
      <c r="AB44" s="20">
        <f>IF(B44="","",IFERROR(INDEX(Channels!$T$5:$T$18,MATCH(IF(E44="",DefaultChannel,E44),Channels!$A$5:$A$18,0)),0))</f>
        <v>0</v>
      </c>
      <c r="AC44" s="42">
        <f>IF(B44="","",IFERROR(INDEX(Channels!$O$5:$O$18,MATCH(IF(E44="",DefaultChannel,E44),Channels!$A$5:$A$18,0)),"No"))</f>
        <v>0</v>
      </c>
      <c r="AD44" s="20">
        <f>IF(B44="","",ROUND((V44+IF(AC44="Yes",IF(I44="",0,I44),0))*AA44+AB44,2))</f>
        <v>0</v>
      </c>
      <c r="AE44" s="20">
        <f>IF(B44="","",IF(K44&lt;&gt;"",K44,AD44))</f>
        <v>0</v>
      </c>
      <c r="AF44" s="20">
        <f>IF(B44="","",IF(K44="","",ROUND(K44-AD44,2)))</f>
        <v>0</v>
      </c>
      <c r="AG44" s="20">
        <f>IF(B44="","",ROUND(V44-Y44-AE44-Z44,2))</f>
        <v>0</v>
      </c>
      <c r="AH44" s="33">
        <f>IF(B44="","",IF(OR(V44="",V44=0),"",AG44/V44))</f>
        <v>0</v>
      </c>
      <c r="AI44" s="33">
        <f>IF(C44="","",IFERROR(INDEX(Products!$AW$5:$AW$304,MATCH(C44,Products!$A$5:$A$304,0)),""))</f>
        <v>0</v>
      </c>
      <c r="AJ44" s="33">
        <f>IF(B44="","",IF(OR(AH44="",AI44=""),"",AH44-AI44))</f>
        <v>0</v>
      </c>
      <c r="AK44" s="41">
        <f>IF(B44="","",IFERROR(ROUND(IF(D44="",0,D44)*INDEX(Products!$X$5:$X$304,MATCH(C44,Products!$A$5:$A$304,0))/60,2),""))</f>
        <v>0</v>
      </c>
      <c r="AL44" s="20">
        <f>IF(B44="","",IF(OR(AK44="",AK44=0),"",ROUND(AG44/AK44,2)))</f>
        <v>0</v>
      </c>
      <c r="AM44" s="43">
        <f>IF(B44="","",IF(C44="","Add - which product?",IF(AG44&lt;0,"Loss - this order cost you money",IF(M44="Refunded","Refunded - check why",IF(AND(AF44&lt;&gt;"",AF44&gt;0.25),"Check - fees higher than your settings",IF(Z44&gt;1,"Check - postage is eating the margin",IF(AND(AH44&lt;&gt;"",AH44&lt;MarginWarning),"Low margin on this order","OK")))))) )</f>
        <v>0</v>
      </c>
    </row>
    <row r="45" spans="1:39">
      <c r="A45" s="38">
        <f>IF(B45="","",SalePrefix&amp;TEXT(ROW()-4,"0000"))</f>
        <v>0</v>
      </c>
      <c r="B45" s="22">
        <v>46254</v>
      </c>
      <c r="C45" s="46" t="s">
        <v>1351</v>
      </c>
      <c r="D45" s="16">
        <v>1</v>
      </c>
      <c r="E45" s="15" t="s">
        <v>287</v>
      </c>
      <c r="F45" s="18">
        <v>19</v>
      </c>
      <c r="I45" s="18">
        <v>6.95</v>
      </c>
      <c r="J45" s="18">
        <v>7.1</v>
      </c>
      <c r="M45" s="39" t="s">
        <v>1591</v>
      </c>
      <c r="N45" s="15" t="s">
        <v>1638</v>
      </c>
      <c r="Q45" s="13">
        <f>IF(C45="","",IFERROR(INDEX(Products!$B$5:$B$304,MATCH(C45,Products!$A$5:$A$304,0)),"Bundle or deleted"))</f>
        <v>0</v>
      </c>
      <c r="R45" s="13">
        <f>IF(B45="","",TEXT(B45,"yyyy-mm"))</f>
        <v>0</v>
      </c>
      <c r="S45" s="20">
        <f>IF(C45="","",IFERROR(INDEX(Products!$AR$5:$AR$304,MATCH(C45,Products!$A$5:$A$304,0)),""))</f>
        <v>0</v>
      </c>
      <c r="T45" s="20">
        <f>IF(B45="","",IF(F45&lt;&gt;"",F45,IF(S45="",0,S45)))</f>
        <v>0</v>
      </c>
      <c r="U45" s="20">
        <f>IF(B45="","",ROUND(IF(D45="",0,D45)*T45,2))</f>
        <v>0</v>
      </c>
      <c r="V45" s="20">
        <f>IF(B45="","",ROUND(U45-IF(G45="",0,G45)-IF(L45="",0,L45),2))</f>
        <v>0</v>
      </c>
      <c r="W45" s="20">
        <f>IF(C45="","",IFERROR(INDEX(Products!$AT$5:$AT$304,MATCH(C45,Products!$A$5:$A$304,0)),""))</f>
        <v>0</v>
      </c>
      <c r="X45" s="20">
        <f>IF(C45="","",IFERROR(INDEX(Products!$AG$5:$AG$304,MATCH(C45,Products!$A$5:$A$304,0)),""))</f>
        <v>0</v>
      </c>
      <c r="Y45" s="20">
        <f>IF(B45="","",ROUND(IF(D45="",0,D45)*MAX(0,IF(W45="",0,W45)-IF(X45="",0,X45)),2))</f>
        <v>0</v>
      </c>
      <c r="Z45" s="20">
        <f>IF(B45="","",ROUND(MAX(0,IF(J45="",0,J45)-IF(I45="",0,I45)),2))</f>
        <v>0</v>
      </c>
      <c r="AA45" s="33">
        <f>IF(B45="","",IFERROR(INDEX(Channels!$S$5:$S$18,MATCH(IF(E45="",DefaultChannel,E45),Channels!$A$5:$A$18,0)),0))</f>
        <v>0</v>
      </c>
      <c r="AB45" s="20">
        <f>IF(B45="","",IFERROR(INDEX(Channels!$T$5:$T$18,MATCH(IF(E45="",DefaultChannel,E45),Channels!$A$5:$A$18,0)),0))</f>
        <v>0</v>
      </c>
      <c r="AC45" s="42">
        <f>IF(B45="","",IFERROR(INDEX(Channels!$O$5:$O$18,MATCH(IF(E45="",DefaultChannel,E45),Channels!$A$5:$A$18,0)),"No"))</f>
        <v>0</v>
      </c>
      <c r="AD45" s="20">
        <f>IF(B45="","",ROUND((V45+IF(AC45="Yes",IF(I45="",0,I45),0))*AA45+AB45,2))</f>
        <v>0</v>
      </c>
      <c r="AE45" s="20">
        <f>IF(B45="","",IF(K45&lt;&gt;"",K45,AD45))</f>
        <v>0</v>
      </c>
      <c r="AF45" s="20">
        <f>IF(B45="","",IF(K45="","",ROUND(K45-AD45,2)))</f>
        <v>0</v>
      </c>
      <c r="AG45" s="20">
        <f>IF(B45="","",ROUND(V45-Y45-AE45-Z45,2))</f>
        <v>0</v>
      </c>
      <c r="AH45" s="33">
        <f>IF(B45="","",IF(OR(V45="",V45=0),"",AG45/V45))</f>
        <v>0</v>
      </c>
      <c r="AI45" s="33">
        <f>IF(C45="","",IFERROR(INDEX(Products!$AW$5:$AW$304,MATCH(C45,Products!$A$5:$A$304,0)),""))</f>
        <v>0</v>
      </c>
      <c r="AJ45" s="33">
        <f>IF(B45="","",IF(OR(AH45="",AI45=""),"",AH45-AI45))</f>
        <v>0</v>
      </c>
      <c r="AK45" s="41">
        <f>IF(B45="","",IFERROR(ROUND(IF(D45="",0,D45)*INDEX(Products!$X$5:$X$304,MATCH(C45,Products!$A$5:$A$304,0))/60,2),""))</f>
        <v>0</v>
      </c>
      <c r="AL45" s="20">
        <f>IF(B45="","",IF(OR(AK45="",AK45=0),"",ROUND(AG45/AK45,2)))</f>
        <v>0</v>
      </c>
      <c r="AM45" s="43">
        <f>IF(B45="","",IF(C45="","Add - which product?",IF(AG45&lt;0,"Loss - this order cost you money",IF(M45="Refunded","Refunded - check why",IF(AND(AF45&lt;&gt;"",AF45&gt;0.25),"Check - fees higher than your settings",IF(Z45&gt;1,"Check - postage is eating the margin",IF(AND(AH45&lt;&gt;"",AH45&lt;MarginWarning),"Low margin on this order","OK")))))) )</f>
        <v>0</v>
      </c>
    </row>
    <row r="46" spans="1:39">
      <c r="A46" s="38">
        <f>IF(B46="","",SalePrefix&amp;TEXT(ROW()-4,"0000"))</f>
        <v>0</v>
      </c>
      <c r="B46" s="22">
        <v>46251</v>
      </c>
      <c r="C46" s="46" t="s">
        <v>1447</v>
      </c>
      <c r="D46" s="16">
        <v>1</v>
      </c>
      <c r="E46" s="15" t="s">
        <v>287</v>
      </c>
      <c r="F46" s="18">
        <v>8.5</v>
      </c>
      <c r="M46" s="39" t="s">
        <v>1591</v>
      </c>
      <c r="N46" s="15" t="s">
        <v>1639</v>
      </c>
      <c r="Q46" s="13">
        <f>IF(C46="","",IFERROR(INDEX(Products!$B$5:$B$304,MATCH(C46,Products!$A$5:$A$304,0)),"Bundle or deleted"))</f>
        <v>0</v>
      </c>
      <c r="R46" s="13">
        <f>IF(B46="","",TEXT(B46,"yyyy-mm"))</f>
        <v>0</v>
      </c>
      <c r="S46" s="20">
        <f>IF(C46="","",IFERROR(INDEX(Products!$AR$5:$AR$304,MATCH(C46,Products!$A$5:$A$304,0)),""))</f>
        <v>0</v>
      </c>
      <c r="T46" s="20">
        <f>IF(B46="","",IF(F46&lt;&gt;"",F46,IF(S46="",0,S46)))</f>
        <v>0</v>
      </c>
      <c r="U46" s="20">
        <f>IF(B46="","",ROUND(IF(D46="",0,D46)*T46,2))</f>
        <v>0</v>
      </c>
      <c r="V46" s="20">
        <f>IF(B46="","",ROUND(U46-IF(G46="",0,G46)-IF(L46="",0,L46),2))</f>
        <v>0</v>
      </c>
      <c r="W46" s="20">
        <f>IF(C46="","",IFERROR(INDEX(Products!$AT$5:$AT$304,MATCH(C46,Products!$A$5:$A$304,0)),""))</f>
        <v>0</v>
      </c>
      <c r="X46" s="20">
        <f>IF(C46="","",IFERROR(INDEX(Products!$AG$5:$AG$304,MATCH(C46,Products!$A$5:$A$304,0)),""))</f>
        <v>0</v>
      </c>
      <c r="Y46" s="20">
        <f>IF(B46="","",ROUND(IF(D46="",0,D46)*MAX(0,IF(W46="",0,W46)-IF(X46="",0,X46)),2))</f>
        <v>0</v>
      </c>
      <c r="Z46" s="20">
        <f>IF(B46="","",ROUND(MAX(0,IF(J46="",0,J46)-IF(I46="",0,I46)),2))</f>
        <v>0</v>
      </c>
      <c r="AA46" s="33">
        <f>IF(B46="","",IFERROR(INDEX(Channels!$S$5:$S$18,MATCH(IF(E46="",DefaultChannel,E46),Channels!$A$5:$A$18,0)),0))</f>
        <v>0</v>
      </c>
      <c r="AB46" s="20">
        <f>IF(B46="","",IFERROR(INDEX(Channels!$T$5:$T$18,MATCH(IF(E46="",DefaultChannel,E46),Channels!$A$5:$A$18,0)),0))</f>
        <v>0</v>
      </c>
      <c r="AC46" s="42">
        <f>IF(B46="","",IFERROR(INDEX(Channels!$O$5:$O$18,MATCH(IF(E46="",DefaultChannel,E46),Channels!$A$5:$A$18,0)),"No"))</f>
        <v>0</v>
      </c>
      <c r="AD46" s="20">
        <f>IF(B46="","",ROUND((V46+IF(AC46="Yes",IF(I46="",0,I46),0))*AA46+AB46,2))</f>
        <v>0</v>
      </c>
      <c r="AE46" s="20">
        <f>IF(B46="","",IF(K46&lt;&gt;"",K46,AD46))</f>
        <v>0</v>
      </c>
      <c r="AF46" s="20">
        <f>IF(B46="","",IF(K46="","",ROUND(K46-AD46,2)))</f>
        <v>0</v>
      </c>
      <c r="AG46" s="20">
        <f>IF(B46="","",ROUND(V46-Y46-AE46-Z46,2))</f>
        <v>0</v>
      </c>
      <c r="AH46" s="33">
        <f>IF(B46="","",IF(OR(V46="",V46=0),"",AG46/V46))</f>
        <v>0</v>
      </c>
      <c r="AI46" s="33">
        <f>IF(C46="","",IFERROR(INDEX(Products!$AW$5:$AW$304,MATCH(C46,Products!$A$5:$A$304,0)),""))</f>
        <v>0</v>
      </c>
      <c r="AJ46" s="33">
        <f>IF(B46="","",IF(OR(AH46="",AI46=""),"",AH46-AI46))</f>
        <v>0</v>
      </c>
      <c r="AK46" s="41">
        <f>IF(B46="","",IFERROR(ROUND(IF(D46="",0,D46)*INDEX(Products!$X$5:$X$304,MATCH(C46,Products!$A$5:$A$304,0))/60,2),""))</f>
        <v>0</v>
      </c>
      <c r="AL46" s="20">
        <f>IF(B46="","",IF(OR(AK46="",AK46=0),"",ROUND(AG46/AK46,2)))</f>
        <v>0</v>
      </c>
      <c r="AM46" s="43">
        <f>IF(B46="","",IF(C46="","Add - which product?",IF(AG46&lt;0,"Loss - this order cost you money",IF(M46="Refunded","Refunded - check why",IF(AND(AF46&lt;&gt;"",AF46&gt;0.25),"Check - fees higher than your settings",IF(Z46&gt;1,"Check - postage is eating the margin",IF(AND(AH46&lt;&gt;"",AH46&lt;MarginWarning),"Low margin on this order","OK")))))) )</f>
        <v>0</v>
      </c>
    </row>
    <row r="47" spans="1:39">
      <c r="A47" s="38">
        <f>IF(B47="","",SalePrefix&amp;TEXT(ROW()-4,"0000"))</f>
        <v>0</v>
      </c>
      <c r="B47" s="22">
        <v>46247</v>
      </c>
      <c r="C47" s="46" t="s">
        <v>1308</v>
      </c>
      <c r="D47" s="16">
        <v>2</v>
      </c>
      <c r="E47" s="15" t="s">
        <v>995</v>
      </c>
      <c r="F47" s="18">
        <v>44</v>
      </c>
      <c r="M47" s="39" t="s">
        <v>1591</v>
      </c>
      <c r="N47" s="15" t="s">
        <v>1599</v>
      </c>
      <c r="O47" s="15" t="s">
        <v>1640</v>
      </c>
      <c r="Q47" s="13">
        <f>IF(C47="","",IFERROR(INDEX(Products!$B$5:$B$304,MATCH(C47,Products!$A$5:$A$304,0)),"Bundle or deleted"))</f>
        <v>0</v>
      </c>
      <c r="R47" s="13">
        <f>IF(B47="","",TEXT(B47,"yyyy-mm"))</f>
        <v>0</v>
      </c>
      <c r="S47" s="20">
        <f>IF(C47="","",IFERROR(INDEX(Products!$AR$5:$AR$304,MATCH(C47,Products!$A$5:$A$304,0)),""))</f>
        <v>0</v>
      </c>
      <c r="T47" s="20">
        <f>IF(B47="","",IF(F47&lt;&gt;"",F47,IF(S47="",0,S47)))</f>
        <v>0</v>
      </c>
      <c r="U47" s="20">
        <f>IF(B47="","",ROUND(IF(D47="",0,D47)*T47,2))</f>
        <v>0</v>
      </c>
      <c r="V47" s="20">
        <f>IF(B47="","",ROUND(U47-IF(G47="",0,G47)-IF(L47="",0,L47),2))</f>
        <v>0</v>
      </c>
      <c r="W47" s="20">
        <f>IF(C47="","",IFERROR(INDEX(Products!$AT$5:$AT$304,MATCH(C47,Products!$A$5:$A$304,0)),""))</f>
        <v>0</v>
      </c>
      <c r="X47" s="20">
        <f>IF(C47="","",IFERROR(INDEX(Products!$AG$5:$AG$304,MATCH(C47,Products!$A$5:$A$304,0)),""))</f>
        <v>0</v>
      </c>
      <c r="Y47" s="20">
        <f>IF(B47="","",ROUND(IF(D47="",0,D47)*MAX(0,IF(W47="",0,W47)-IF(X47="",0,X47)),2))</f>
        <v>0</v>
      </c>
      <c r="Z47" s="20">
        <f>IF(B47="","",ROUND(MAX(0,IF(J47="",0,J47)-IF(I47="",0,I47)),2))</f>
        <v>0</v>
      </c>
      <c r="AA47" s="33">
        <f>IF(B47="","",IFERROR(INDEX(Channels!$S$5:$S$18,MATCH(IF(E47="",DefaultChannel,E47),Channels!$A$5:$A$18,0)),0))</f>
        <v>0</v>
      </c>
      <c r="AB47" s="20">
        <f>IF(B47="","",IFERROR(INDEX(Channels!$T$5:$T$18,MATCH(IF(E47="",DefaultChannel,E47),Channels!$A$5:$A$18,0)),0))</f>
        <v>0</v>
      </c>
      <c r="AC47" s="42">
        <f>IF(B47="","",IFERROR(INDEX(Channels!$O$5:$O$18,MATCH(IF(E47="",DefaultChannel,E47),Channels!$A$5:$A$18,0)),"No"))</f>
        <v>0</v>
      </c>
      <c r="AD47" s="20">
        <f>IF(B47="","",ROUND((V47+IF(AC47="Yes",IF(I47="",0,I47),0))*AA47+AB47,2))</f>
        <v>0</v>
      </c>
      <c r="AE47" s="20">
        <f>IF(B47="","",IF(K47&lt;&gt;"",K47,AD47))</f>
        <v>0</v>
      </c>
      <c r="AF47" s="20">
        <f>IF(B47="","",IF(K47="","",ROUND(K47-AD47,2)))</f>
        <v>0</v>
      </c>
      <c r="AG47" s="20">
        <f>IF(B47="","",ROUND(V47-Y47-AE47-Z47,2))</f>
        <v>0</v>
      </c>
      <c r="AH47" s="33">
        <f>IF(B47="","",IF(OR(V47="",V47=0),"",AG47/V47))</f>
        <v>0</v>
      </c>
      <c r="AI47" s="33">
        <f>IF(C47="","",IFERROR(INDEX(Products!$AW$5:$AW$304,MATCH(C47,Products!$A$5:$A$304,0)),""))</f>
        <v>0</v>
      </c>
      <c r="AJ47" s="33">
        <f>IF(B47="","",IF(OR(AH47="",AI47=""),"",AH47-AI47))</f>
        <v>0</v>
      </c>
      <c r="AK47" s="41">
        <f>IF(B47="","",IFERROR(ROUND(IF(D47="",0,D47)*INDEX(Products!$X$5:$X$304,MATCH(C47,Products!$A$5:$A$304,0))/60,2),""))</f>
        <v>0</v>
      </c>
      <c r="AL47" s="20">
        <f>IF(B47="","",IF(OR(AK47="",AK47=0),"",ROUND(AG47/AK47,2)))</f>
        <v>0</v>
      </c>
      <c r="AM47" s="43">
        <f>IF(B47="","",IF(C47="","Add - which product?",IF(AG47&lt;0,"Loss - this order cost you money",IF(M47="Refunded","Refunded - check why",IF(AND(AF47&lt;&gt;"",AF47&gt;0.25),"Check - fees higher than your settings",IF(Z47&gt;1,"Check - postage is eating the margin",IF(AND(AH47&lt;&gt;"",AH47&lt;MarginWarning),"Low margin on this order","OK")))))) )</f>
        <v>0</v>
      </c>
    </row>
    <row r="48" spans="1:39">
      <c r="A48" s="38">
        <f>IF(B48="","",SalePrefix&amp;TEXT(ROW()-4,"0000"))</f>
        <v>0</v>
      </c>
      <c r="B48" s="22">
        <v>46247</v>
      </c>
      <c r="C48" s="46" t="s">
        <v>730</v>
      </c>
      <c r="D48" s="16">
        <v>2</v>
      </c>
      <c r="E48" s="15" t="s">
        <v>995</v>
      </c>
      <c r="F48" s="18">
        <v>75</v>
      </c>
      <c r="M48" s="39" t="s">
        <v>1591</v>
      </c>
      <c r="N48" s="15" t="s">
        <v>1599</v>
      </c>
      <c r="O48" s="15" t="s">
        <v>1640</v>
      </c>
      <c r="Q48" s="13">
        <f>IF(C48="","",IFERROR(INDEX(Products!$B$5:$B$304,MATCH(C48,Products!$A$5:$A$304,0)),"Bundle or deleted"))</f>
        <v>0</v>
      </c>
      <c r="R48" s="13">
        <f>IF(B48="","",TEXT(B48,"yyyy-mm"))</f>
        <v>0</v>
      </c>
      <c r="S48" s="20">
        <f>IF(C48="","",IFERROR(INDEX(Products!$AR$5:$AR$304,MATCH(C48,Products!$A$5:$A$304,0)),""))</f>
        <v>0</v>
      </c>
      <c r="T48" s="20">
        <f>IF(B48="","",IF(F48&lt;&gt;"",F48,IF(S48="",0,S48)))</f>
        <v>0</v>
      </c>
      <c r="U48" s="20">
        <f>IF(B48="","",ROUND(IF(D48="",0,D48)*T48,2))</f>
        <v>0</v>
      </c>
      <c r="V48" s="20">
        <f>IF(B48="","",ROUND(U48-IF(G48="",0,G48)-IF(L48="",0,L48),2))</f>
        <v>0</v>
      </c>
      <c r="W48" s="20">
        <f>IF(C48="","",IFERROR(INDEX(Products!$AT$5:$AT$304,MATCH(C48,Products!$A$5:$A$304,0)),""))</f>
        <v>0</v>
      </c>
      <c r="X48" s="20">
        <f>IF(C48="","",IFERROR(INDEX(Products!$AG$5:$AG$304,MATCH(C48,Products!$A$5:$A$304,0)),""))</f>
        <v>0</v>
      </c>
      <c r="Y48" s="20">
        <f>IF(B48="","",ROUND(IF(D48="",0,D48)*MAX(0,IF(W48="",0,W48)-IF(X48="",0,X48)),2))</f>
        <v>0</v>
      </c>
      <c r="Z48" s="20">
        <f>IF(B48="","",ROUND(MAX(0,IF(J48="",0,J48)-IF(I48="",0,I48)),2))</f>
        <v>0</v>
      </c>
      <c r="AA48" s="33">
        <f>IF(B48="","",IFERROR(INDEX(Channels!$S$5:$S$18,MATCH(IF(E48="",DefaultChannel,E48),Channels!$A$5:$A$18,0)),0))</f>
        <v>0</v>
      </c>
      <c r="AB48" s="20">
        <f>IF(B48="","",IFERROR(INDEX(Channels!$T$5:$T$18,MATCH(IF(E48="",DefaultChannel,E48),Channels!$A$5:$A$18,0)),0))</f>
        <v>0</v>
      </c>
      <c r="AC48" s="42">
        <f>IF(B48="","",IFERROR(INDEX(Channels!$O$5:$O$18,MATCH(IF(E48="",DefaultChannel,E48),Channels!$A$5:$A$18,0)),"No"))</f>
        <v>0</v>
      </c>
      <c r="AD48" s="20">
        <f>IF(B48="","",ROUND((V48+IF(AC48="Yes",IF(I48="",0,I48),0))*AA48+AB48,2))</f>
        <v>0</v>
      </c>
      <c r="AE48" s="20">
        <f>IF(B48="","",IF(K48&lt;&gt;"",K48,AD48))</f>
        <v>0</v>
      </c>
      <c r="AF48" s="20">
        <f>IF(B48="","",IF(K48="","",ROUND(K48-AD48,2)))</f>
        <v>0</v>
      </c>
      <c r="AG48" s="20">
        <f>IF(B48="","",ROUND(V48-Y48-AE48-Z48,2))</f>
        <v>0</v>
      </c>
      <c r="AH48" s="33">
        <f>IF(B48="","",IF(OR(V48="",V48=0),"",AG48/V48))</f>
        <v>0</v>
      </c>
      <c r="AI48" s="33">
        <f>IF(C48="","",IFERROR(INDEX(Products!$AW$5:$AW$304,MATCH(C48,Products!$A$5:$A$304,0)),""))</f>
        <v>0</v>
      </c>
      <c r="AJ48" s="33">
        <f>IF(B48="","",IF(OR(AH48="",AI48=""),"",AH48-AI48))</f>
        <v>0</v>
      </c>
      <c r="AK48" s="41">
        <f>IF(B48="","",IFERROR(ROUND(IF(D48="",0,D48)*INDEX(Products!$X$5:$X$304,MATCH(C48,Products!$A$5:$A$304,0))/60,2),""))</f>
        <v>0</v>
      </c>
      <c r="AL48" s="20">
        <f>IF(B48="","",IF(OR(AK48="",AK48=0),"",ROUND(AG48/AK48,2)))</f>
        <v>0</v>
      </c>
      <c r="AM48" s="43">
        <f>IF(B48="","",IF(C48="","Add - which product?",IF(AG48&lt;0,"Loss - this order cost you money",IF(M48="Refunded","Refunded - check why",IF(AND(AF48&lt;&gt;"",AF48&gt;0.25),"Check - fees higher than your settings",IF(Z48&gt;1,"Check - postage is eating the margin",IF(AND(AH48&lt;&gt;"",AH48&lt;MarginWarning),"Low margin on this order","OK")))))) )</f>
        <v>0</v>
      </c>
    </row>
    <row r="49" spans="1:39">
      <c r="A49" s="38">
        <f>IF(B49="","",SalePrefix&amp;TEXT(ROW()-4,"0000"))</f>
        <v>0</v>
      </c>
      <c r="B49" s="22">
        <v>46247</v>
      </c>
      <c r="C49" s="46" t="s">
        <v>1351</v>
      </c>
      <c r="D49" s="16">
        <v>3</v>
      </c>
      <c r="E49" s="15" t="s">
        <v>995</v>
      </c>
      <c r="F49" s="18">
        <v>19</v>
      </c>
      <c r="M49" s="39" t="s">
        <v>1591</v>
      </c>
      <c r="N49" s="15" t="s">
        <v>1599</v>
      </c>
      <c r="O49" s="15" t="s">
        <v>1640</v>
      </c>
      <c r="Q49" s="13">
        <f>IF(C49="","",IFERROR(INDEX(Products!$B$5:$B$304,MATCH(C49,Products!$A$5:$A$304,0)),"Bundle or deleted"))</f>
        <v>0</v>
      </c>
      <c r="R49" s="13">
        <f>IF(B49="","",TEXT(B49,"yyyy-mm"))</f>
        <v>0</v>
      </c>
      <c r="S49" s="20">
        <f>IF(C49="","",IFERROR(INDEX(Products!$AR$5:$AR$304,MATCH(C49,Products!$A$5:$A$304,0)),""))</f>
        <v>0</v>
      </c>
      <c r="T49" s="20">
        <f>IF(B49="","",IF(F49&lt;&gt;"",F49,IF(S49="",0,S49)))</f>
        <v>0</v>
      </c>
      <c r="U49" s="20">
        <f>IF(B49="","",ROUND(IF(D49="",0,D49)*T49,2))</f>
        <v>0</v>
      </c>
      <c r="V49" s="20">
        <f>IF(B49="","",ROUND(U49-IF(G49="",0,G49)-IF(L49="",0,L49),2))</f>
        <v>0</v>
      </c>
      <c r="W49" s="20">
        <f>IF(C49="","",IFERROR(INDEX(Products!$AT$5:$AT$304,MATCH(C49,Products!$A$5:$A$304,0)),""))</f>
        <v>0</v>
      </c>
      <c r="X49" s="20">
        <f>IF(C49="","",IFERROR(INDEX(Products!$AG$5:$AG$304,MATCH(C49,Products!$A$5:$A$304,0)),""))</f>
        <v>0</v>
      </c>
      <c r="Y49" s="20">
        <f>IF(B49="","",ROUND(IF(D49="",0,D49)*MAX(0,IF(W49="",0,W49)-IF(X49="",0,X49)),2))</f>
        <v>0</v>
      </c>
      <c r="Z49" s="20">
        <f>IF(B49="","",ROUND(MAX(0,IF(J49="",0,J49)-IF(I49="",0,I49)),2))</f>
        <v>0</v>
      </c>
      <c r="AA49" s="33">
        <f>IF(B49="","",IFERROR(INDEX(Channels!$S$5:$S$18,MATCH(IF(E49="",DefaultChannel,E49),Channels!$A$5:$A$18,0)),0))</f>
        <v>0</v>
      </c>
      <c r="AB49" s="20">
        <f>IF(B49="","",IFERROR(INDEX(Channels!$T$5:$T$18,MATCH(IF(E49="",DefaultChannel,E49),Channels!$A$5:$A$18,0)),0))</f>
        <v>0</v>
      </c>
      <c r="AC49" s="42">
        <f>IF(B49="","",IFERROR(INDEX(Channels!$O$5:$O$18,MATCH(IF(E49="",DefaultChannel,E49),Channels!$A$5:$A$18,0)),"No"))</f>
        <v>0</v>
      </c>
      <c r="AD49" s="20">
        <f>IF(B49="","",ROUND((V49+IF(AC49="Yes",IF(I49="",0,I49),0))*AA49+AB49,2))</f>
        <v>0</v>
      </c>
      <c r="AE49" s="20">
        <f>IF(B49="","",IF(K49&lt;&gt;"",K49,AD49))</f>
        <v>0</v>
      </c>
      <c r="AF49" s="20">
        <f>IF(B49="","",IF(K49="","",ROUND(K49-AD49,2)))</f>
        <v>0</v>
      </c>
      <c r="AG49" s="20">
        <f>IF(B49="","",ROUND(V49-Y49-AE49-Z49,2))</f>
        <v>0</v>
      </c>
      <c r="AH49" s="33">
        <f>IF(B49="","",IF(OR(V49="",V49=0),"",AG49/V49))</f>
        <v>0</v>
      </c>
      <c r="AI49" s="33">
        <f>IF(C49="","",IFERROR(INDEX(Products!$AW$5:$AW$304,MATCH(C49,Products!$A$5:$A$304,0)),""))</f>
        <v>0</v>
      </c>
      <c r="AJ49" s="33">
        <f>IF(B49="","",IF(OR(AH49="",AI49=""),"",AH49-AI49))</f>
        <v>0</v>
      </c>
      <c r="AK49" s="41">
        <f>IF(B49="","",IFERROR(ROUND(IF(D49="",0,D49)*INDEX(Products!$X$5:$X$304,MATCH(C49,Products!$A$5:$A$304,0))/60,2),""))</f>
        <v>0</v>
      </c>
      <c r="AL49" s="20">
        <f>IF(B49="","",IF(OR(AK49="",AK49=0),"",ROUND(AG49/AK49,2)))</f>
        <v>0</v>
      </c>
      <c r="AM49" s="43">
        <f>IF(B49="","",IF(C49="","Add - which product?",IF(AG49&lt;0,"Loss - this order cost you money",IF(M49="Refunded","Refunded - check why",IF(AND(AF49&lt;&gt;"",AF49&gt;0.25),"Check - fees higher than your settings",IF(Z49&gt;1,"Check - postage is eating the margin",IF(AND(AH49&lt;&gt;"",AH49&lt;MarginWarning),"Low margin on this order","OK")))))) )</f>
        <v>0</v>
      </c>
    </row>
    <row r="50" spans="1:39">
      <c r="A50" s="38">
        <f>IF(B50="","",SalePrefix&amp;TEXT(ROW()-4,"0000"))</f>
        <v>0</v>
      </c>
      <c r="B50" s="22">
        <v>46247</v>
      </c>
      <c r="C50" s="46" t="s">
        <v>1256</v>
      </c>
      <c r="D50" s="16">
        <v>1</v>
      </c>
      <c r="E50" s="15" t="s">
        <v>995</v>
      </c>
      <c r="F50" s="18">
        <v>65</v>
      </c>
      <c r="M50" s="39" t="s">
        <v>1591</v>
      </c>
      <c r="N50" s="15" t="s">
        <v>1599</v>
      </c>
      <c r="O50" s="15" t="s">
        <v>1640</v>
      </c>
      <c r="Q50" s="13">
        <f>IF(C50="","",IFERROR(INDEX(Products!$B$5:$B$304,MATCH(C50,Products!$A$5:$A$304,0)),"Bundle or deleted"))</f>
        <v>0</v>
      </c>
      <c r="R50" s="13">
        <f>IF(B50="","",TEXT(B50,"yyyy-mm"))</f>
        <v>0</v>
      </c>
      <c r="S50" s="20">
        <f>IF(C50="","",IFERROR(INDEX(Products!$AR$5:$AR$304,MATCH(C50,Products!$A$5:$A$304,0)),""))</f>
        <v>0</v>
      </c>
      <c r="T50" s="20">
        <f>IF(B50="","",IF(F50&lt;&gt;"",F50,IF(S50="",0,S50)))</f>
        <v>0</v>
      </c>
      <c r="U50" s="20">
        <f>IF(B50="","",ROUND(IF(D50="",0,D50)*T50,2))</f>
        <v>0</v>
      </c>
      <c r="V50" s="20">
        <f>IF(B50="","",ROUND(U50-IF(G50="",0,G50)-IF(L50="",0,L50),2))</f>
        <v>0</v>
      </c>
      <c r="W50" s="20">
        <f>IF(C50="","",IFERROR(INDEX(Products!$AT$5:$AT$304,MATCH(C50,Products!$A$5:$A$304,0)),""))</f>
        <v>0</v>
      </c>
      <c r="X50" s="20">
        <f>IF(C50="","",IFERROR(INDEX(Products!$AG$5:$AG$304,MATCH(C50,Products!$A$5:$A$304,0)),""))</f>
        <v>0</v>
      </c>
      <c r="Y50" s="20">
        <f>IF(B50="","",ROUND(IF(D50="",0,D50)*MAX(0,IF(W50="",0,W50)-IF(X50="",0,X50)),2))</f>
        <v>0</v>
      </c>
      <c r="Z50" s="20">
        <f>IF(B50="","",ROUND(MAX(0,IF(J50="",0,J50)-IF(I50="",0,I50)),2))</f>
        <v>0</v>
      </c>
      <c r="AA50" s="33">
        <f>IF(B50="","",IFERROR(INDEX(Channels!$S$5:$S$18,MATCH(IF(E50="",DefaultChannel,E50),Channels!$A$5:$A$18,0)),0))</f>
        <v>0</v>
      </c>
      <c r="AB50" s="20">
        <f>IF(B50="","",IFERROR(INDEX(Channels!$T$5:$T$18,MATCH(IF(E50="",DefaultChannel,E50),Channels!$A$5:$A$18,0)),0))</f>
        <v>0</v>
      </c>
      <c r="AC50" s="42">
        <f>IF(B50="","",IFERROR(INDEX(Channels!$O$5:$O$18,MATCH(IF(E50="",DefaultChannel,E50),Channels!$A$5:$A$18,0)),"No"))</f>
        <v>0</v>
      </c>
      <c r="AD50" s="20">
        <f>IF(B50="","",ROUND((V50+IF(AC50="Yes",IF(I50="",0,I50),0))*AA50+AB50,2))</f>
        <v>0</v>
      </c>
      <c r="AE50" s="20">
        <f>IF(B50="","",IF(K50&lt;&gt;"",K50,AD50))</f>
        <v>0</v>
      </c>
      <c r="AF50" s="20">
        <f>IF(B50="","",IF(K50="","",ROUND(K50-AD50,2)))</f>
        <v>0</v>
      </c>
      <c r="AG50" s="20">
        <f>IF(B50="","",ROUND(V50-Y50-AE50-Z50,2))</f>
        <v>0</v>
      </c>
      <c r="AH50" s="33">
        <f>IF(B50="","",IF(OR(V50="",V50=0),"",AG50/V50))</f>
        <v>0</v>
      </c>
      <c r="AI50" s="33">
        <f>IF(C50="","",IFERROR(INDEX(Products!$AW$5:$AW$304,MATCH(C50,Products!$A$5:$A$304,0)),""))</f>
        <v>0</v>
      </c>
      <c r="AJ50" s="33">
        <f>IF(B50="","",IF(OR(AH50="",AI50=""),"",AH50-AI50))</f>
        <v>0</v>
      </c>
      <c r="AK50" s="41">
        <f>IF(B50="","",IFERROR(ROUND(IF(D50="",0,D50)*INDEX(Products!$X$5:$X$304,MATCH(C50,Products!$A$5:$A$304,0))/60,2),""))</f>
        <v>0</v>
      </c>
      <c r="AL50" s="20">
        <f>IF(B50="","",IF(OR(AK50="",AK50=0),"",ROUND(AG50/AK50,2)))</f>
        <v>0</v>
      </c>
      <c r="AM50" s="43">
        <f>IF(B50="","",IF(C50="","Add - which product?",IF(AG50&lt;0,"Loss - this order cost you money",IF(M50="Refunded","Refunded - check why",IF(AND(AF50&lt;&gt;"",AF50&gt;0.25),"Check - fees higher than your settings",IF(Z50&gt;1,"Check - postage is eating the margin",IF(AND(AH50&lt;&gt;"",AH50&lt;MarginWarning),"Low margin on this order","OK")))))) )</f>
        <v>0</v>
      </c>
    </row>
    <row r="51" spans="1:39">
      <c r="A51" s="38">
        <f>IF(B51="","",SalePrefix&amp;TEXT(ROW()-4,"0000"))</f>
        <v>0</v>
      </c>
      <c r="B51" s="22">
        <v>46243</v>
      </c>
      <c r="C51" s="46" t="s">
        <v>741</v>
      </c>
      <c r="D51" s="16">
        <v>1</v>
      </c>
      <c r="E51" s="15" t="s">
        <v>287</v>
      </c>
      <c r="F51" s="18">
        <v>195</v>
      </c>
      <c r="I51" s="18">
        <v>8.95</v>
      </c>
      <c r="J51" s="18">
        <v>9.85</v>
      </c>
      <c r="M51" s="39" t="s">
        <v>1591</v>
      </c>
      <c r="N51" s="15" t="s">
        <v>1641</v>
      </c>
      <c r="Q51" s="13">
        <f>IF(C51="","",IFERROR(INDEX(Products!$B$5:$B$304,MATCH(C51,Products!$A$5:$A$304,0)),"Bundle or deleted"))</f>
        <v>0</v>
      </c>
      <c r="R51" s="13">
        <f>IF(B51="","",TEXT(B51,"yyyy-mm"))</f>
        <v>0</v>
      </c>
      <c r="S51" s="20">
        <f>IF(C51="","",IFERROR(INDEX(Products!$AR$5:$AR$304,MATCH(C51,Products!$A$5:$A$304,0)),""))</f>
        <v>0</v>
      </c>
      <c r="T51" s="20">
        <f>IF(B51="","",IF(F51&lt;&gt;"",F51,IF(S51="",0,S51)))</f>
        <v>0</v>
      </c>
      <c r="U51" s="20">
        <f>IF(B51="","",ROUND(IF(D51="",0,D51)*T51,2))</f>
        <v>0</v>
      </c>
      <c r="V51" s="20">
        <f>IF(B51="","",ROUND(U51-IF(G51="",0,G51)-IF(L51="",0,L51),2))</f>
        <v>0</v>
      </c>
      <c r="W51" s="20">
        <f>IF(C51="","",IFERROR(INDEX(Products!$AT$5:$AT$304,MATCH(C51,Products!$A$5:$A$304,0)),""))</f>
        <v>0</v>
      </c>
      <c r="X51" s="20">
        <f>IF(C51="","",IFERROR(INDEX(Products!$AG$5:$AG$304,MATCH(C51,Products!$A$5:$A$304,0)),""))</f>
        <v>0</v>
      </c>
      <c r="Y51" s="20">
        <f>IF(B51="","",ROUND(IF(D51="",0,D51)*MAX(0,IF(W51="",0,W51)-IF(X51="",0,X51)),2))</f>
        <v>0</v>
      </c>
      <c r="Z51" s="20">
        <f>IF(B51="","",ROUND(MAX(0,IF(J51="",0,J51)-IF(I51="",0,I51)),2))</f>
        <v>0</v>
      </c>
      <c r="AA51" s="33">
        <f>IF(B51="","",IFERROR(INDEX(Channels!$S$5:$S$18,MATCH(IF(E51="",DefaultChannel,E51),Channels!$A$5:$A$18,0)),0))</f>
        <v>0</v>
      </c>
      <c r="AB51" s="20">
        <f>IF(B51="","",IFERROR(INDEX(Channels!$T$5:$T$18,MATCH(IF(E51="",DefaultChannel,E51),Channels!$A$5:$A$18,0)),0))</f>
        <v>0</v>
      </c>
      <c r="AC51" s="42">
        <f>IF(B51="","",IFERROR(INDEX(Channels!$O$5:$O$18,MATCH(IF(E51="",DefaultChannel,E51),Channels!$A$5:$A$18,0)),"No"))</f>
        <v>0</v>
      </c>
      <c r="AD51" s="20">
        <f>IF(B51="","",ROUND((V51+IF(AC51="Yes",IF(I51="",0,I51),0))*AA51+AB51,2))</f>
        <v>0</v>
      </c>
      <c r="AE51" s="20">
        <f>IF(B51="","",IF(K51&lt;&gt;"",K51,AD51))</f>
        <v>0</v>
      </c>
      <c r="AF51" s="20">
        <f>IF(B51="","",IF(K51="","",ROUND(K51-AD51,2)))</f>
        <v>0</v>
      </c>
      <c r="AG51" s="20">
        <f>IF(B51="","",ROUND(V51-Y51-AE51-Z51,2))</f>
        <v>0</v>
      </c>
      <c r="AH51" s="33">
        <f>IF(B51="","",IF(OR(V51="",V51=0),"",AG51/V51))</f>
        <v>0</v>
      </c>
      <c r="AI51" s="33">
        <f>IF(C51="","",IFERROR(INDEX(Products!$AW$5:$AW$304,MATCH(C51,Products!$A$5:$A$304,0)),""))</f>
        <v>0</v>
      </c>
      <c r="AJ51" s="33">
        <f>IF(B51="","",IF(OR(AH51="",AI51=""),"",AH51-AI51))</f>
        <v>0</v>
      </c>
      <c r="AK51" s="41">
        <f>IF(B51="","",IFERROR(ROUND(IF(D51="",0,D51)*INDEX(Products!$X$5:$X$304,MATCH(C51,Products!$A$5:$A$304,0))/60,2),""))</f>
        <v>0</v>
      </c>
      <c r="AL51" s="20">
        <f>IF(B51="","",IF(OR(AK51="",AK51=0),"",ROUND(AG51/AK51,2)))</f>
        <v>0</v>
      </c>
      <c r="AM51" s="43">
        <f>IF(B51="","",IF(C51="","Add - which product?",IF(AG51&lt;0,"Loss - this order cost you money",IF(M51="Refunded","Refunded - check why",IF(AND(AF51&lt;&gt;"",AF51&gt;0.25),"Check - fees higher than your settings",IF(Z51&gt;1,"Check - postage is eating the margin",IF(AND(AH51&lt;&gt;"",AH51&lt;MarginWarning),"Low margin on this order","OK")))))) )</f>
        <v>0</v>
      </c>
    </row>
    <row r="52" spans="1:39">
      <c r="A52" s="38">
        <f>IF(B52="","",SalePrefix&amp;TEXT(ROW()-4,"0000"))</f>
        <v>0</v>
      </c>
      <c r="B52" s="22">
        <v>46239</v>
      </c>
      <c r="C52" s="46" t="s">
        <v>1447</v>
      </c>
      <c r="D52" s="16">
        <v>3</v>
      </c>
      <c r="E52" s="15" t="s">
        <v>287</v>
      </c>
      <c r="F52" s="18">
        <v>8.5</v>
      </c>
      <c r="M52" s="39" t="s">
        <v>1591</v>
      </c>
      <c r="N52" s="15" t="s">
        <v>1642</v>
      </c>
      <c r="P52" s="40" t="s">
        <v>1643</v>
      </c>
      <c r="Q52" s="13">
        <f>IF(C52="","",IFERROR(INDEX(Products!$B$5:$B$304,MATCH(C52,Products!$A$5:$A$304,0)),"Bundle or deleted"))</f>
        <v>0</v>
      </c>
      <c r="R52" s="13">
        <f>IF(B52="","",TEXT(B52,"yyyy-mm"))</f>
        <v>0</v>
      </c>
      <c r="S52" s="20">
        <f>IF(C52="","",IFERROR(INDEX(Products!$AR$5:$AR$304,MATCH(C52,Products!$A$5:$A$304,0)),""))</f>
        <v>0</v>
      </c>
      <c r="T52" s="20">
        <f>IF(B52="","",IF(F52&lt;&gt;"",F52,IF(S52="",0,S52)))</f>
        <v>0</v>
      </c>
      <c r="U52" s="20">
        <f>IF(B52="","",ROUND(IF(D52="",0,D52)*T52,2))</f>
        <v>0</v>
      </c>
      <c r="V52" s="20">
        <f>IF(B52="","",ROUND(U52-IF(G52="",0,G52)-IF(L52="",0,L52),2))</f>
        <v>0</v>
      </c>
      <c r="W52" s="20">
        <f>IF(C52="","",IFERROR(INDEX(Products!$AT$5:$AT$304,MATCH(C52,Products!$A$5:$A$304,0)),""))</f>
        <v>0</v>
      </c>
      <c r="X52" s="20">
        <f>IF(C52="","",IFERROR(INDEX(Products!$AG$5:$AG$304,MATCH(C52,Products!$A$5:$A$304,0)),""))</f>
        <v>0</v>
      </c>
      <c r="Y52" s="20">
        <f>IF(B52="","",ROUND(IF(D52="",0,D52)*MAX(0,IF(W52="",0,W52)-IF(X52="",0,X52)),2))</f>
        <v>0</v>
      </c>
      <c r="Z52" s="20">
        <f>IF(B52="","",ROUND(MAX(0,IF(J52="",0,J52)-IF(I52="",0,I52)),2))</f>
        <v>0</v>
      </c>
      <c r="AA52" s="33">
        <f>IF(B52="","",IFERROR(INDEX(Channels!$S$5:$S$18,MATCH(IF(E52="",DefaultChannel,E52),Channels!$A$5:$A$18,0)),0))</f>
        <v>0</v>
      </c>
      <c r="AB52" s="20">
        <f>IF(B52="","",IFERROR(INDEX(Channels!$T$5:$T$18,MATCH(IF(E52="",DefaultChannel,E52),Channels!$A$5:$A$18,0)),0))</f>
        <v>0</v>
      </c>
      <c r="AC52" s="42">
        <f>IF(B52="","",IFERROR(INDEX(Channels!$O$5:$O$18,MATCH(IF(E52="",DefaultChannel,E52),Channels!$A$5:$A$18,0)),"No"))</f>
        <v>0</v>
      </c>
      <c r="AD52" s="20">
        <f>IF(B52="","",ROUND((V52+IF(AC52="Yes",IF(I52="",0,I52),0))*AA52+AB52,2))</f>
        <v>0</v>
      </c>
      <c r="AE52" s="20">
        <f>IF(B52="","",IF(K52&lt;&gt;"",K52,AD52))</f>
        <v>0</v>
      </c>
      <c r="AF52" s="20">
        <f>IF(B52="","",IF(K52="","",ROUND(K52-AD52,2)))</f>
        <v>0</v>
      </c>
      <c r="AG52" s="20">
        <f>IF(B52="","",ROUND(V52-Y52-AE52-Z52,2))</f>
        <v>0</v>
      </c>
      <c r="AH52" s="33">
        <f>IF(B52="","",IF(OR(V52="",V52=0),"",AG52/V52))</f>
        <v>0</v>
      </c>
      <c r="AI52" s="33">
        <f>IF(C52="","",IFERROR(INDEX(Products!$AW$5:$AW$304,MATCH(C52,Products!$A$5:$A$304,0)),""))</f>
        <v>0</v>
      </c>
      <c r="AJ52" s="33">
        <f>IF(B52="","",IF(OR(AH52="",AI52=""),"",AH52-AI52))</f>
        <v>0</v>
      </c>
      <c r="AK52" s="41">
        <f>IF(B52="","",IFERROR(ROUND(IF(D52="",0,D52)*INDEX(Products!$X$5:$X$304,MATCH(C52,Products!$A$5:$A$304,0))/60,2),""))</f>
        <v>0</v>
      </c>
      <c r="AL52" s="20">
        <f>IF(B52="","",IF(OR(AK52="",AK52=0),"",ROUND(AG52/AK52,2)))</f>
        <v>0</v>
      </c>
      <c r="AM52" s="43">
        <f>IF(B52="","",IF(C52="","Add - which product?",IF(AG52&lt;0,"Loss - this order cost you money",IF(M52="Refunded","Refunded - check why",IF(AND(AF52&lt;&gt;"",AF52&gt;0.25),"Check - fees higher than your settings",IF(Z52&gt;1,"Check - postage is eating the margin",IF(AND(AH52&lt;&gt;"",AH52&lt;MarginWarning),"Low margin on this order","OK")))))) )</f>
        <v>0</v>
      </c>
    </row>
    <row r="53" spans="1:39">
      <c r="A53" s="38">
        <f>IF(B53="","",SalePrefix&amp;TEXT(ROW()-4,"0000"))</f>
        <v>0</v>
      </c>
      <c r="B53" s="22">
        <v>46235</v>
      </c>
      <c r="C53" s="46" t="s">
        <v>1304</v>
      </c>
      <c r="D53" s="16">
        <v>1</v>
      </c>
      <c r="E53" s="15" t="s">
        <v>287</v>
      </c>
      <c r="F53" s="18">
        <v>52</v>
      </c>
      <c r="I53" s="18">
        <v>4.95</v>
      </c>
      <c r="J53" s="18">
        <v>4.25</v>
      </c>
      <c r="M53" s="39" t="s">
        <v>1591</v>
      </c>
      <c r="N53" s="15" t="s">
        <v>1644</v>
      </c>
      <c r="Q53" s="13">
        <f>IF(C53="","",IFERROR(INDEX(Products!$B$5:$B$304,MATCH(C53,Products!$A$5:$A$304,0)),"Bundle or deleted"))</f>
        <v>0</v>
      </c>
      <c r="R53" s="13">
        <f>IF(B53="","",TEXT(B53,"yyyy-mm"))</f>
        <v>0</v>
      </c>
      <c r="S53" s="20">
        <f>IF(C53="","",IFERROR(INDEX(Products!$AR$5:$AR$304,MATCH(C53,Products!$A$5:$A$304,0)),""))</f>
        <v>0</v>
      </c>
      <c r="T53" s="20">
        <f>IF(B53="","",IF(F53&lt;&gt;"",F53,IF(S53="",0,S53)))</f>
        <v>0</v>
      </c>
      <c r="U53" s="20">
        <f>IF(B53="","",ROUND(IF(D53="",0,D53)*T53,2))</f>
        <v>0</v>
      </c>
      <c r="V53" s="20">
        <f>IF(B53="","",ROUND(U53-IF(G53="",0,G53)-IF(L53="",0,L53),2))</f>
        <v>0</v>
      </c>
      <c r="W53" s="20">
        <f>IF(C53="","",IFERROR(INDEX(Products!$AT$5:$AT$304,MATCH(C53,Products!$A$5:$A$304,0)),""))</f>
        <v>0</v>
      </c>
      <c r="X53" s="20">
        <f>IF(C53="","",IFERROR(INDEX(Products!$AG$5:$AG$304,MATCH(C53,Products!$A$5:$A$304,0)),""))</f>
        <v>0</v>
      </c>
      <c r="Y53" s="20">
        <f>IF(B53="","",ROUND(IF(D53="",0,D53)*MAX(0,IF(W53="",0,W53)-IF(X53="",0,X53)),2))</f>
        <v>0</v>
      </c>
      <c r="Z53" s="20">
        <f>IF(B53="","",ROUND(MAX(0,IF(J53="",0,J53)-IF(I53="",0,I53)),2))</f>
        <v>0</v>
      </c>
      <c r="AA53" s="33">
        <f>IF(B53="","",IFERROR(INDEX(Channels!$S$5:$S$18,MATCH(IF(E53="",DefaultChannel,E53),Channels!$A$5:$A$18,0)),0))</f>
        <v>0</v>
      </c>
      <c r="AB53" s="20">
        <f>IF(B53="","",IFERROR(INDEX(Channels!$T$5:$T$18,MATCH(IF(E53="",DefaultChannel,E53),Channels!$A$5:$A$18,0)),0))</f>
        <v>0</v>
      </c>
      <c r="AC53" s="42">
        <f>IF(B53="","",IFERROR(INDEX(Channels!$O$5:$O$18,MATCH(IF(E53="",DefaultChannel,E53),Channels!$A$5:$A$18,0)),"No"))</f>
        <v>0</v>
      </c>
      <c r="AD53" s="20">
        <f>IF(B53="","",ROUND((V53+IF(AC53="Yes",IF(I53="",0,I53),0))*AA53+AB53,2))</f>
        <v>0</v>
      </c>
      <c r="AE53" s="20">
        <f>IF(B53="","",IF(K53&lt;&gt;"",K53,AD53))</f>
        <v>0</v>
      </c>
      <c r="AF53" s="20">
        <f>IF(B53="","",IF(K53="","",ROUND(K53-AD53,2)))</f>
        <v>0</v>
      </c>
      <c r="AG53" s="20">
        <f>IF(B53="","",ROUND(V53-Y53-AE53-Z53,2))</f>
        <v>0</v>
      </c>
      <c r="AH53" s="33">
        <f>IF(B53="","",IF(OR(V53="",V53=0),"",AG53/V53))</f>
        <v>0</v>
      </c>
      <c r="AI53" s="33">
        <f>IF(C53="","",IFERROR(INDEX(Products!$AW$5:$AW$304,MATCH(C53,Products!$A$5:$A$304,0)),""))</f>
        <v>0</v>
      </c>
      <c r="AJ53" s="33">
        <f>IF(B53="","",IF(OR(AH53="",AI53=""),"",AH53-AI53))</f>
        <v>0</v>
      </c>
      <c r="AK53" s="41">
        <f>IF(B53="","",IFERROR(ROUND(IF(D53="",0,D53)*INDEX(Products!$X$5:$X$304,MATCH(C53,Products!$A$5:$A$304,0))/60,2),""))</f>
        <v>0</v>
      </c>
      <c r="AL53" s="20">
        <f>IF(B53="","",IF(OR(AK53="",AK53=0),"",ROUND(AG53/AK53,2)))</f>
        <v>0</v>
      </c>
      <c r="AM53" s="43">
        <f>IF(B53="","",IF(C53="","Add - which product?",IF(AG53&lt;0,"Loss - this order cost you money",IF(M53="Refunded","Refunded - check why",IF(AND(AF53&lt;&gt;"",AF53&gt;0.25),"Check - fees higher than your settings",IF(Z53&gt;1,"Check - postage is eating the margin",IF(AND(AH53&lt;&gt;"",AH53&lt;MarginWarning),"Low margin on this order","OK")))))) )</f>
        <v>0</v>
      </c>
    </row>
    <row r="54" spans="1:39">
      <c r="A54" s="38">
        <f>IF(B54="","",SalePrefix&amp;TEXT(ROW()-4,"0000"))</f>
        <v>0</v>
      </c>
      <c r="B54" s="22">
        <v>46229</v>
      </c>
      <c r="C54" s="46" t="s">
        <v>1344</v>
      </c>
      <c r="D54" s="16">
        <v>1</v>
      </c>
      <c r="E54" s="15" t="s">
        <v>287</v>
      </c>
      <c r="F54" s="18">
        <v>32</v>
      </c>
      <c r="G54" s="18">
        <v>6.4</v>
      </c>
      <c r="H54" s="15" t="s">
        <v>1645</v>
      </c>
      <c r="I54" s="18">
        <v>8.95</v>
      </c>
      <c r="J54" s="18">
        <v>9.85</v>
      </c>
      <c r="M54" s="39" t="s">
        <v>1591</v>
      </c>
      <c r="N54" s="15" t="s">
        <v>1646</v>
      </c>
      <c r="P54" s="40" t="s">
        <v>1647</v>
      </c>
      <c r="Q54" s="13">
        <f>IF(C54="","",IFERROR(INDEX(Products!$B$5:$B$304,MATCH(C54,Products!$A$5:$A$304,0)),"Bundle or deleted"))</f>
        <v>0</v>
      </c>
      <c r="R54" s="13">
        <f>IF(B54="","",TEXT(B54,"yyyy-mm"))</f>
        <v>0</v>
      </c>
      <c r="S54" s="20">
        <f>IF(C54="","",IFERROR(INDEX(Products!$AR$5:$AR$304,MATCH(C54,Products!$A$5:$A$304,0)),""))</f>
        <v>0</v>
      </c>
      <c r="T54" s="20">
        <f>IF(B54="","",IF(F54&lt;&gt;"",F54,IF(S54="",0,S54)))</f>
        <v>0</v>
      </c>
      <c r="U54" s="20">
        <f>IF(B54="","",ROUND(IF(D54="",0,D54)*T54,2))</f>
        <v>0</v>
      </c>
      <c r="V54" s="20">
        <f>IF(B54="","",ROUND(U54-IF(G54="",0,G54)-IF(L54="",0,L54),2))</f>
        <v>0</v>
      </c>
      <c r="W54" s="20">
        <f>IF(C54="","",IFERROR(INDEX(Products!$AT$5:$AT$304,MATCH(C54,Products!$A$5:$A$304,0)),""))</f>
        <v>0</v>
      </c>
      <c r="X54" s="20">
        <f>IF(C54="","",IFERROR(INDEX(Products!$AG$5:$AG$304,MATCH(C54,Products!$A$5:$A$304,0)),""))</f>
        <v>0</v>
      </c>
      <c r="Y54" s="20">
        <f>IF(B54="","",ROUND(IF(D54="",0,D54)*MAX(0,IF(W54="",0,W54)-IF(X54="",0,X54)),2))</f>
        <v>0</v>
      </c>
      <c r="Z54" s="20">
        <f>IF(B54="","",ROUND(MAX(0,IF(J54="",0,J54)-IF(I54="",0,I54)),2))</f>
        <v>0</v>
      </c>
      <c r="AA54" s="33">
        <f>IF(B54="","",IFERROR(INDEX(Channels!$S$5:$S$18,MATCH(IF(E54="",DefaultChannel,E54),Channels!$A$5:$A$18,0)),0))</f>
        <v>0</v>
      </c>
      <c r="AB54" s="20">
        <f>IF(B54="","",IFERROR(INDEX(Channels!$T$5:$T$18,MATCH(IF(E54="",DefaultChannel,E54),Channels!$A$5:$A$18,0)),0))</f>
        <v>0</v>
      </c>
      <c r="AC54" s="42">
        <f>IF(B54="","",IFERROR(INDEX(Channels!$O$5:$O$18,MATCH(IF(E54="",DefaultChannel,E54),Channels!$A$5:$A$18,0)),"No"))</f>
        <v>0</v>
      </c>
      <c r="AD54" s="20">
        <f>IF(B54="","",ROUND((V54+IF(AC54="Yes",IF(I54="",0,I54),0))*AA54+AB54,2))</f>
        <v>0</v>
      </c>
      <c r="AE54" s="20">
        <f>IF(B54="","",IF(K54&lt;&gt;"",K54,AD54))</f>
        <v>0</v>
      </c>
      <c r="AF54" s="20">
        <f>IF(B54="","",IF(K54="","",ROUND(K54-AD54,2)))</f>
        <v>0</v>
      </c>
      <c r="AG54" s="20">
        <f>IF(B54="","",ROUND(V54-Y54-AE54-Z54,2))</f>
        <v>0</v>
      </c>
      <c r="AH54" s="33">
        <f>IF(B54="","",IF(OR(V54="",V54=0),"",AG54/V54))</f>
        <v>0</v>
      </c>
      <c r="AI54" s="33">
        <f>IF(C54="","",IFERROR(INDEX(Products!$AW$5:$AW$304,MATCH(C54,Products!$A$5:$A$304,0)),""))</f>
        <v>0</v>
      </c>
      <c r="AJ54" s="33">
        <f>IF(B54="","",IF(OR(AH54="",AI54=""),"",AH54-AI54))</f>
        <v>0</v>
      </c>
      <c r="AK54" s="41">
        <f>IF(B54="","",IFERROR(ROUND(IF(D54="",0,D54)*INDEX(Products!$X$5:$X$304,MATCH(C54,Products!$A$5:$A$304,0))/60,2),""))</f>
        <v>0</v>
      </c>
      <c r="AL54" s="20">
        <f>IF(B54="","",IF(OR(AK54="",AK54=0),"",ROUND(AG54/AK54,2)))</f>
        <v>0</v>
      </c>
      <c r="AM54" s="43">
        <f>IF(B54="","",IF(C54="","Add - which product?",IF(AG54&lt;0,"Loss - this order cost you money",IF(M54="Refunded","Refunded - check why",IF(AND(AF54&lt;&gt;"",AF54&gt;0.25),"Check - fees higher than your settings",IF(Z54&gt;1,"Check - postage is eating the margin",IF(AND(AH54&lt;&gt;"",AH54&lt;MarginWarning),"Low margin on this order","OK")))))) )</f>
        <v>0</v>
      </c>
    </row>
    <row r="55" spans="1:39">
      <c r="A55" s="38">
        <f>IF(B55="","",SalePrefix&amp;TEXT(ROW()-4,"0000"))</f>
        <v>0</v>
      </c>
      <c r="B55" s="22">
        <v>46225</v>
      </c>
      <c r="C55" s="46" t="s">
        <v>735</v>
      </c>
      <c r="D55" s="16">
        <v>1</v>
      </c>
      <c r="E55" s="15" t="s">
        <v>545</v>
      </c>
      <c r="F55" s="18">
        <v>62</v>
      </c>
      <c r="I55" s="18">
        <v>6.95</v>
      </c>
      <c r="J55" s="18">
        <v>7.1</v>
      </c>
      <c r="M55" s="39" t="s">
        <v>1591</v>
      </c>
      <c r="N55" s="15" t="s">
        <v>1648</v>
      </c>
      <c r="Q55" s="13">
        <f>IF(C55="","",IFERROR(INDEX(Products!$B$5:$B$304,MATCH(C55,Products!$A$5:$A$304,0)),"Bundle or deleted"))</f>
        <v>0</v>
      </c>
      <c r="R55" s="13">
        <f>IF(B55="","",TEXT(B55,"yyyy-mm"))</f>
        <v>0</v>
      </c>
      <c r="S55" s="20">
        <f>IF(C55="","",IFERROR(INDEX(Products!$AR$5:$AR$304,MATCH(C55,Products!$A$5:$A$304,0)),""))</f>
        <v>0</v>
      </c>
      <c r="T55" s="20">
        <f>IF(B55="","",IF(F55&lt;&gt;"",F55,IF(S55="",0,S55)))</f>
        <v>0</v>
      </c>
      <c r="U55" s="20">
        <f>IF(B55="","",ROUND(IF(D55="",0,D55)*T55,2))</f>
        <v>0</v>
      </c>
      <c r="V55" s="20">
        <f>IF(B55="","",ROUND(U55-IF(G55="",0,G55)-IF(L55="",0,L55),2))</f>
        <v>0</v>
      </c>
      <c r="W55" s="20">
        <f>IF(C55="","",IFERROR(INDEX(Products!$AT$5:$AT$304,MATCH(C55,Products!$A$5:$A$304,0)),""))</f>
        <v>0</v>
      </c>
      <c r="X55" s="20">
        <f>IF(C55="","",IFERROR(INDEX(Products!$AG$5:$AG$304,MATCH(C55,Products!$A$5:$A$304,0)),""))</f>
        <v>0</v>
      </c>
      <c r="Y55" s="20">
        <f>IF(B55="","",ROUND(IF(D55="",0,D55)*MAX(0,IF(W55="",0,W55)-IF(X55="",0,X55)),2))</f>
        <v>0</v>
      </c>
      <c r="Z55" s="20">
        <f>IF(B55="","",ROUND(MAX(0,IF(J55="",0,J55)-IF(I55="",0,I55)),2))</f>
        <v>0</v>
      </c>
      <c r="AA55" s="33">
        <f>IF(B55="","",IFERROR(INDEX(Channels!$S$5:$S$18,MATCH(IF(E55="",DefaultChannel,E55),Channels!$A$5:$A$18,0)),0))</f>
        <v>0</v>
      </c>
      <c r="AB55" s="20">
        <f>IF(B55="","",IFERROR(INDEX(Channels!$T$5:$T$18,MATCH(IF(E55="",DefaultChannel,E55),Channels!$A$5:$A$18,0)),0))</f>
        <v>0</v>
      </c>
      <c r="AC55" s="42">
        <f>IF(B55="","",IFERROR(INDEX(Channels!$O$5:$O$18,MATCH(IF(E55="",DefaultChannel,E55),Channels!$A$5:$A$18,0)),"No"))</f>
        <v>0</v>
      </c>
      <c r="AD55" s="20">
        <f>IF(B55="","",ROUND((V55+IF(AC55="Yes",IF(I55="",0,I55),0))*AA55+AB55,2))</f>
        <v>0</v>
      </c>
      <c r="AE55" s="20">
        <f>IF(B55="","",IF(K55&lt;&gt;"",K55,AD55))</f>
        <v>0</v>
      </c>
      <c r="AF55" s="20">
        <f>IF(B55="","",IF(K55="","",ROUND(K55-AD55,2)))</f>
        <v>0</v>
      </c>
      <c r="AG55" s="20">
        <f>IF(B55="","",ROUND(V55-Y55-AE55-Z55,2))</f>
        <v>0</v>
      </c>
      <c r="AH55" s="33">
        <f>IF(B55="","",IF(OR(V55="",V55=0),"",AG55/V55))</f>
        <v>0</v>
      </c>
      <c r="AI55" s="33">
        <f>IF(C55="","",IFERROR(INDEX(Products!$AW$5:$AW$304,MATCH(C55,Products!$A$5:$A$304,0)),""))</f>
        <v>0</v>
      </c>
      <c r="AJ55" s="33">
        <f>IF(B55="","",IF(OR(AH55="",AI55=""),"",AH55-AI55))</f>
        <v>0</v>
      </c>
      <c r="AK55" s="41">
        <f>IF(B55="","",IFERROR(ROUND(IF(D55="",0,D55)*INDEX(Products!$X$5:$X$304,MATCH(C55,Products!$A$5:$A$304,0))/60,2),""))</f>
        <v>0</v>
      </c>
      <c r="AL55" s="20">
        <f>IF(B55="","",IF(OR(AK55="",AK55=0),"",ROUND(AG55/AK55,2)))</f>
        <v>0</v>
      </c>
      <c r="AM55" s="43">
        <f>IF(B55="","",IF(C55="","Add - which product?",IF(AG55&lt;0,"Loss - this order cost you money",IF(M55="Refunded","Refunded - check why",IF(AND(AF55&lt;&gt;"",AF55&gt;0.25),"Check - fees higher than your settings",IF(Z55&gt;1,"Check - postage is eating the margin",IF(AND(AH55&lt;&gt;"",AH55&lt;MarginWarning),"Low margin on this order","OK")))))) )</f>
        <v>0</v>
      </c>
    </row>
    <row r="56" spans="1:39">
      <c r="A56" s="38">
        <f>IF(B56="","",SalePrefix&amp;TEXT(ROW()-4,"0000"))</f>
        <v>0</v>
      </c>
      <c r="B56" s="22">
        <v>46221</v>
      </c>
      <c r="C56" s="46" t="s">
        <v>1380</v>
      </c>
      <c r="D56" s="16">
        <v>1</v>
      </c>
      <c r="E56" s="15" t="s">
        <v>287</v>
      </c>
      <c r="F56" s="18">
        <v>128</v>
      </c>
      <c r="I56" s="18">
        <v>8.95</v>
      </c>
      <c r="J56" s="18">
        <v>9.85</v>
      </c>
      <c r="M56" s="39" t="s">
        <v>1591</v>
      </c>
      <c r="N56" s="15" t="s">
        <v>1649</v>
      </c>
      <c r="Q56" s="13">
        <f>IF(C56="","",IFERROR(INDEX(Products!$B$5:$B$304,MATCH(C56,Products!$A$5:$A$304,0)),"Bundle or deleted"))</f>
        <v>0</v>
      </c>
      <c r="R56" s="13">
        <f>IF(B56="","",TEXT(B56,"yyyy-mm"))</f>
        <v>0</v>
      </c>
      <c r="S56" s="20">
        <f>IF(C56="","",IFERROR(INDEX(Products!$AR$5:$AR$304,MATCH(C56,Products!$A$5:$A$304,0)),""))</f>
        <v>0</v>
      </c>
      <c r="T56" s="20">
        <f>IF(B56="","",IF(F56&lt;&gt;"",F56,IF(S56="",0,S56)))</f>
        <v>0</v>
      </c>
      <c r="U56" s="20">
        <f>IF(B56="","",ROUND(IF(D56="",0,D56)*T56,2))</f>
        <v>0</v>
      </c>
      <c r="V56" s="20">
        <f>IF(B56="","",ROUND(U56-IF(G56="",0,G56)-IF(L56="",0,L56),2))</f>
        <v>0</v>
      </c>
      <c r="W56" s="20">
        <f>IF(C56="","",IFERROR(INDEX(Products!$AT$5:$AT$304,MATCH(C56,Products!$A$5:$A$304,0)),""))</f>
        <v>0</v>
      </c>
      <c r="X56" s="20">
        <f>IF(C56="","",IFERROR(INDEX(Products!$AG$5:$AG$304,MATCH(C56,Products!$A$5:$A$304,0)),""))</f>
        <v>0</v>
      </c>
      <c r="Y56" s="20">
        <f>IF(B56="","",ROUND(IF(D56="",0,D56)*MAX(0,IF(W56="",0,W56)-IF(X56="",0,X56)),2))</f>
        <v>0</v>
      </c>
      <c r="Z56" s="20">
        <f>IF(B56="","",ROUND(MAX(0,IF(J56="",0,J56)-IF(I56="",0,I56)),2))</f>
        <v>0</v>
      </c>
      <c r="AA56" s="33">
        <f>IF(B56="","",IFERROR(INDEX(Channels!$S$5:$S$18,MATCH(IF(E56="",DefaultChannel,E56),Channels!$A$5:$A$18,0)),0))</f>
        <v>0</v>
      </c>
      <c r="AB56" s="20">
        <f>IF(B56="","",IFERROR(INDEX(Channels!$T$5:$T$18,MATCH(IF(E56="",DefaultChannel,E56),Channels!$A$5:$A$18,0)),0))</f>
        <v>0</v>
      </c>
      <c r="AC56" s="42">
        <f>IF(B56="","",IFERROR(INDEX(Channels!$O$5:$O$18,MATCH(IF(E56="",DefaultChannel,E56),Channels!$A$5:$A$18,0)),"No"))</f>
        <v>0</v>
      </c>
      <c r="AD56" s="20">
        <f>IF(B56="","",ROUND((V56+IF(AC56="Yes",IF(I56="",0,I56),0))*AA56+AB56,2))</f>
        <v>0</v>
      </c>
      <c r="AE56" s="20">
        <f>IF(B56="","",IF(K56&lt;&gt;"",K56,AD56))</f>
        <v>0</v>
      </c>
      <c r="AF56" s="20">
        <f>IF(B56="","",IF(K56="","",ROUND(K56-AD56,2)))</f>
        <v>0</v>
      </c>
      <c r="AG56" s="20">
        <f>IF(B56="","",ROUND(V56-Y56-AE56-Z56,2))</f>
        <v>0</v>
      </c>
      <c r="AH56" s="33">
        <f>IF(B56="","",IF(OR(V56="",V56=0),"",AG56/V56))</f>
        <v>0</v>
      </c>
      <c r="AI56" s="33">
        <f>IF(C56="","",IFERROR(INDEX(Products!$AW$5:$AW$304,MATCH(C56,Products!$A$5:$A$304,0)),""))</f>
        <v>0</v>
      </c>
      <c r="AJ56" s="33">
        <f>IF(B56="","",IF(OR(AH56="",AI56=""),"",AH56-AI56))</f>
        <v>0</v>
      </c>
      <c r="AK56" s="41">
        <f>IF(B56="","",IFERROR(ROUND(IF(D56="",0,D56)*INDEX(Products!$X$5:$X$304,MATCH(C56,Products!$A$5:$A$304,0))/60,2),""))</f>
        <v>0</v>
      </c>
      <c r="AL56" s="20">
        <f>IF(B56="","",IF(OR(AK56="",AK56=0),"",ROUND(AG56/AK56,2)))</f>
        <v>0</v>
      </c>
      <c r="AM56" s="43">
        <f>IF(B56="","",IF(C56="","Add - which product?",IF(AG56&lt;0,"Loss - this order cost you money",IF(M56="Refunded","Refunded - check why",IF(AND(AF56&lt;&gt;"",AF56&gt;0.25),"Check - fees higher than your settings",IF(Z56&gt;1,"Check - postage is eating the margin",IF(AND(AH56&lt;&gt;"",AH56&lt;MarginWarning),"Low margin on this order","OK")))))) )</f>
        <v>0</v>
      </c>
    </row>
    <row r="57" spans="1:39">
      <c r="A57" s="38">
        <f>IF(B57="","",SalePrefix&amp;TEXT(ROW()-4,"0000"))</f>
        <v>0</v>
      </c>
      <c r="B57" s="22">
        <v>46213</v>
      </c>
      <c r="C57" s="46" t="s">
        <v>1308</v>
      </c>
      <c r="D57" s="16">
        <v>1</v>
      </c>
      <c r="E57" s="15" t="s">
        <v>287</v>
      </c>
      <c r="F57" s="18">
        <v>44</v>
      </c>
      <c r="I57" s="18">
        <v>24.5</v>
      </c>
      <c r="J57" s="18">
        <v>24.5</v>
      </c>
      <c r="M57" s="39" t="s">
        <v>1591</v>
      </c>
      <c r="N57" s="15" t="s">
        <v>1650</v>
      </c>
      <c r="P57" s="40" t="s">
        <v>1651</v>
      </c>
      <c r="Q57" s="13">
        <f>IF(C57="","",IFERROR(INDEX(Products!$B$5:$B$304,MATCH(C57,Products!$A$5:$A$304,0)),"Bundle or deleted"))</f>
        <v>0</v>
      </c>
      <c r="R57" s="13">
        <f>IF(B57="","",TEXT(B57,"yyyy-mm"))</f>
        <v>0</v>
      </c>
      <c r="S57" s="20">
        <f>IF(C57="","",IFERROR(INDEX(Products!$AR$5:$AR$304,MATCH(C57,Products!$A$5:$A$304,0)),""))</f>
        <v>0</v>
      </c>
      <c r="T57" s="20">
        <f>IF(B57="","",IF(F57&lt;&gt;"",F57,IF(S57="",0,S57)))</f>
        <v>0</v>
      </c>
      <c r="U57" s="20">
        <f>IF(B57="","",ROUND(IF(D57="",0,D57)*T57,2))</f>
        <v>0</v>
      </c>
      <c r="V57" s="20">
        <f>IF(B57="","",ROUND(U57-IF(G57="",0,G57)-IF(L57="",0,L57),2))</f>
        <v>0</v>
      </c>
      <c r="W57" s="20">
        <f>IF(C57="","",IFERROR(INDEX(Products!$AT$5:$AT$304,MATCH(C57,Products!$A$5:$A$304,0)),""))</f>
        <v>0</v>
      </c>
      <c r="X57" s="20">
        <f>IF(C57="","",IFERROR(INDEX(Products!$AG$5:$AG$304,MATCH(C57,Products!$A$5:$A$304,0)),""))</f>
        <v>0</v>
      </c>
      <c r="Y57" s="20">
        <f>IF(B57="","",ROUND(IF(D57="",0,D57)*MAX(0,IF(W57="",0,W57)-IF(X57="",0,X57)),2))</f>
        <v>0</v>
      </c>
      <c r="Z57" s="20">
        <f>IF(B57="","",ROUND(MAX(0,IF(J57="",0,J57)-IF(I57="",0,I57)),2))</f>
        <v>0</v>
      </c>
      <c r="AA57" s="33">
        <f>IF(B57="","",IFERROR(INDEX(Channels!$S$5:$S$18,MATCH(IF(E57="",DefaultChannel,E57),Channels!$A$5:$A$18,0)),0))</f>
        <v>0</v>
      </c>
      <c r="AB57" s="20">
        <f>IF(B57="","",IFERROR(INDEX(Channels!$T$5:$T$18,MATCH(IF(E57="",DefaultChannel,E57),Channels!$A$5:$A$18,0)),0))</f>
        <v>0</v>
      </c>
      <c r="AC57" s="42">
        <f>IF(B57="","",IFERROR(INDEX(Channels!$O$5:$O$18,MATCH(IF(E57="",DefaultChannel,E57),Channels!$A$5:$A$18,0)),"No"))</f>
        <v>0</v>
      </c>
      <c r="AD57" s="20">
        <f>IF(B57="","",ROUND((V57+IF(AC57="Yes",IF(I57="",0,I57),0))*AA57+AB57,2))</f>
        <v>0</v>
      </c>
      <c r="AE57" s="20">
        <f>IF(B57="","",IF(K57&lt;&gt;"",K57,AD57))</f>
        <v>0</v>
      </c>
      <c r="AF57" s="20">
        <f>IF(B57="","",IF(K57="","",ROUND(K57-AD57,2)))</f>
        <v>0</v>
      </c>
      <c r="AG57" s="20">
        <f>IF(B57="","",ROUND(V57-Y57-AE57-Z57,2))</f>
        <v>0</v>
      </c>
      <c r="AH57" s="33">
        <f>IF(B57="","",IF(OR(V57="",V57=0),"",AG57/V57))</f>
        <v>0</v>
      </c>
      <c r="AI57" s="33">
        <f>IF(C57="","",IFERROR(INDEX(Products!$AW$5:$AW$304,MATCH(C57,Products!$A$5:$A$304,0)),""))</f>
        <v>0</v>
      </c>
      <c r="AJ57" s="33">
        <f>IF(B57="","",IF(OR(AH57="",AI57=""),"",AH57-AI57))</f>
        <v>0</v>
      </c>
      <c r="AK57" s="41">
        <f>IF(B57="","",IFERROR(ROUND(IF(D57="",0,D57)*INDEX(Products!$X$5:$X$304,MATCH(C57,Products!$A$5:$A$304,0))/60,2),""))</f>
        <v>0</v>
      </c>
      <c r="AL57" s="20">
        <f>IF(B57="","",IF(OR(AK57="",AK57=0),"",ROUND(AG57/AK57,2)))</f>
        <v>0</v>
      </c>
      <c r="AM57" s="43">
        <f>IF(B57="","",IF(C57="","Add - which product?",IF(AG57&lt;0,"Loss - this order cost you money",IF(M57="Refunded","Refunded - check why",IF(AND(AF57&lt;&gt;"",AF57&gt;0.25),"Check - fees higher than your settings",IF(Z57&gt;1,"Check - postage is eating the margin",IF(AND(AH57&lt;&gt;"",AH57&lt;MarginWarning),"Low margin on this order","OK")))))) )</f>
        <v>0</v>
      </c>
    </row>
    <row r="58" spans="1:39">
      <c r="A58" s="38">
        <f>IF(B58="","",SalePrefix&amp;TEXT(ROW()-4,"0000"))</f>
        <v>0</v>
      </c>
      <c r="B58" s="22">
        <v>46205</v>
      </c>
      <c r="C58" s="46" t="s">
        <v>1256</v>
      </c>
      <c r="D58" s="16">
        <v>1</v>
      </c>
      <c r="E58" s="15" t="s">
        <v>287</v>
      </c>
      <c r="F58" s="18">
        <v>65</v>
      </c>
      <c r="I58" s="18">
        <v>5.95</v>
      </c>
      <c r="J58" s="18">
        <v>5.4</v>
      </c>
      <c r="M58" s="39" t="s">
        <v>1591</v>
      </c>
      <c r="N58" s="15" t="s">
        <v>1652</v>
      </c>
      <c r="Q58" s="13">
        <f>IF(C58="","",IFERROR(INDEX(Products!$B$5:$B$304,MATCH(C58,Products!$A$5:$A$304,0)),"Bundle or deleted"))</f>
        <v>0</v>
      </c>
      <c r="R58" s="13">
        <f>IF(B58="","",TEXT(B58,"yyyy-mm"))</f>
        <v>0</v>
      </c>
      <c r="S58" s="20">
        <f>IF(C58="","",IFERROR(INDEX(Products!$AR$5:$AR$304,MATCH(C58,Products!$A$5:$A$304,0)),""))</f>
        <v>0</v>
      </c>
      <c r="T58" s="20">
        <f>IF(B58="","",IF(F58&lt;&gt;"",F58,IF(S58="",0,S58)))</f>
        <v>0</v>
      </c>
      <c r="U58" s="20">
        <f>IF(B58="","",ROUND(IF(D58="",0,D58)*T58,2))</f>
        <v>0</v>
      </c>
      <c r="V58" s="20">
        <f>IF(B58="","",ROUND(U58-IF(G58="",0,G58)-IF(L58="",0,L58),2))</f>
        <v>0</v>
      </c>
      <c r="W58" s="20">
        <f>IF(C58="","",IFERROR(INDEX(Products!$AT$5:$AT$304,MATCH(C58,Products!$A$5:$A$304,0)),""))</f>
        <v>0</v>
      </c>
      <c r="X58" s="20">
        <f>IF(C58="","",IFERROR(INDEX(Products!$AG$5:$AG$304,MATCH(C58,Products!$A$5:$A$304,0)),""))</f>
        <v>0</v>
      </c>
      <c r="Y58" s="20">
        <f>IF(B58="","",ROUND(IF(D58="",0,D58)*MAX(0,IF(W58="",0,W58)-IF(X58="",0,X58)),2))</f>
        <v>0</v>
      </c>
      <c r="Z58" s="20">
        <f>IF(B58="","",ROUND(MAX(0,IF(J58="",0,J58)-IF(I58="",0,I58)),2))</f>
        <v>0</v>
      </c>
      <c r="AA58" s="33">
        <f>IF(B58="","",IFERROR(INDEX(Channels!$S$5:$S$18,MATCH(IF(E58="",DefaultChannel,E58),Channels!$A$5:$A$18,0)),0))</f>
        <v>0</v>
      </c>
      <c r="AB58" s="20">
        <f>IF(B58="","",IFERROR(INDEX(Channels!$T$5:$T$18,MATCH(IF(E58="",DefaultChannel,E58),Channels!$A$5:$A$18,0)),0))</f>
        <v>0</v>
      </c>
      <c r="AC58" s="42">
        <f>IF(B58="","",IFERROR(INDEX(Channels!$O$5:$O$18,MATCH(IF(E58="",DefaultChannel,E58),Channels!$A$5:$A$18,0)),"No"))</f>
        <v>0</v>
      </c>
      <c r="AD58" s="20">
        <f>IF(B58="","",ROUND((V58+IF(AC58="Yes",IF(I58="",0,I58),0))*AA58+AB58,2))</f>
        <v>0</v>
      </c>
      <c r="AE58" s="20">
        <f>IF(B58="","",IF(K58&lt;&gt;"",K58,AD58))</f>
        <v>0</v>
      </c>
      <c r="AF58" s="20">
        <f>IF(B58="","",IF(K58="","",ROUND(K58-AD58,2)))</f>
        <v>0</v>
      </c>
      <c r="AG58" s="20">
        <f>IF(B58="","",ROUND(V58-Y58-AE58-Z58,2))</f>
        <v>0</v>
      </c>
      <c r="AH58" s="33">
        <f>IF(B58="","",IF(OR(V58="",V58=0),"",AG58/V58))</f>
        <v>0</v>
      </c>
      <c r="AI58" s="33">
        <f>IF(C58="","",IFERROR(INDEX(Products!$AW$5:$AW$304,MATCH(C58,Products!$A$5:$A$304,0)),""))</f>
        <v>0</v>
      </c>
      <c r="AJ58" s="33">
        <f>IF(B58="","",IF(OR(AH58="",AI58=""),"",AH58-AI58))</f>
        <v>0</v>
      </c>
      <c r="AK58" s="41">
        <f>IF(B58="","",IFERROR(ROUND(IF(D58="",0,D58)*INDEX(Products!$X$5:$X$304,MATCH(C58,Products!$A$5:$A$304,0))/60,2),""))</f>
        <v>0</v>
      </c>
      <c r="AL58" s="20">
        <f>IF(B58="","",IF(OR(AK58="",AK58=0),"",ROUND(AG58/AK58,2)))</f>
        <v>0</v>
      </c>
      <c r="AM58" s="43">
        <f>IF(B58="","",IF(C58="","Add - which product?",IF(AG58&lt;0,"Loss - this order cost you money",IF(M58="Refunded","Refunded - check why",IF(AND(AF58&lt;&gt;"",AF58&gt;0.25),"Check - fees higher than your settings",IF(Z58&gt;1,"Check - postage is eating the margin",IF(AND(AH58&lt;&gt;"",AH58&lt;MarginWarning),"Low margin on this order","OK")))))) )</f>
        <v>0</v>
      </c>
    </row>
    <row r="59" spans="1:39">
      <c r="A59" s="38">
        <f>IF(B59="","",SalePrefix&amp;TEXT(ROW()-4,"0000"))</f>
        <v>0</v>
      </c>
      <c r="B59" s="22">
        <v>46197</v>
      </c>
      <c r="C59" s="46" t="s">
        <v>1351</v>
      </c>
      <c r="D59" s="16">
        <v>2</v>
      </c>
      <c r="E59" s="15" t="s">
        <v>287</v>
      </c>
      <c r="F59" s="18">
        <v>19</v>
      </c>
      <c r="I59" s="18">
        <v>6.95</v>
      </c>
      <c r="J59" s="18">
        <v>7.1</v>
      </c>
      <c r="M59" s="39" t="s">
        <v>1591</v>
      </c>
      <c r="N59" s="15" t="s">
        <v>1653</v>
      </c>
      <c r="Q59" s="13">
        <f>IF(C59="","",IFERROR(INDEX(Products!$B$5:$B$304,MATCH(C59,Products!$A$5:$A$304,0)),"Bundle or deleted"))</f>
        <v>0</v>
      </c>
      <c r="R59" s="13">
        <f>IF(B59="","",TEXT(B59,"yyyy-mm"))</f>
        <v>0</v>
      </c>
      <c r="S59" s="20">
        <f>IF(C59="","",IFERROR(INDEX(Products!$AR$5:$AR$304,MATCH(C59,Products!$A$5:$A$304,0)),""))</f>
        <v>0</v>
      </c>
      <c r="T59" s="20">
        <f>IF(B59="","",IF(F59&lt;&gt;"",F59,IF(S59="",0,S59)))</f>
        <v>0</v>
      </c>
      <c r="U59" s="20">
        <f>IF(B59="","",ROUND(IF(D59="",0,D59)*T59,2))</f>
        <v>0</v>
      </c>
      <c r="V59" s="20">
        <f>IF(B59="","",ROUND(U59-IF(G59="",0,G59)-IF(L59="",0,L59),2))</f>
        <v>0</v>
      </c>
      <c r="W59" s="20">
        <f>IF(C59="","",IFERROR(INDEX(Products!$AT$5:$AT$304,MATCH(C59,Products!$A$5:$A$304,0)),""))</f>
        <v>0</v>
      </c>
      <c r="X59" s="20">
        <f>IF(C59="","",IFERROR(INDEX(Products!$AG$5:$AG$304,MATCH(C59,Products!$A$5:$A$304,0)),""))</f>
        <v>0</v>
      </c>
      <c r="Y59" s="20">
        <f>IF(B59="","",ROUND(IF(D59="",0,D59)*MAX(0,IF(W59="",0,W59)-IF(X59="",0,X59)),2))</f>
        <v>0</v>
      </c>
      <c r="Z59" s="20">
        <f>IF(B59="","",ROUND(MAX(0,IF(J59="",0,J59)-IF(I59="",0,I59)),2))</f>
        <v>0</v>
      </c>
      <c r="AA59" s="33">
        <f>IF(B59="","",IFERROR(INDEX(Channels!$S$5:$S$18,MATCH(IF(E59="",DefaultChannel,E59),Channels!$A$5:$A$18,0)),0))</f>
        <v>0</v>
      </c>
      <c r="AB59" s="20">
        <f>IF(B59="","",IFERROR(INDEX(Channels!$T$5:$T$18,MATCH(IF(E59="",DefaultChannel,E59),Channels!$A$5:$A$18,0)),0))</f>
        <v>0</v>
      </c>
      <c r="AC59" s="42">
        <f>IF(B59="","",IFERROR(INDEX(Channels!$O$5:$O$18,MATCH(IF(E59="",DefaultChannel,E59),Channels!$A$5:$A$18,0)),"No"))</f>
        <v>0</v>
      </c>
      <c r="AD59" s="20">
        <f>IF(B59="","",ROUND((V59+IF(AC59="Yes",IF(I59="",0,I59),0))*AA59+AB59,2))</f>
        <v>0</v>
      </c>
      <c r="AE59" s="20">
        <f>IF(B59="","",IF(K59&lt;&gt;"",K59,AD59))</f>
        <v>0</v>
      </c>
      <c r="AF59" s="20">
        <f>IF(B59="","",IF(K59="","",ROUND(K59-AD59,2)))</f>
        <v>0</v>
      </c>
      <c r="AG59" s="20">
        <f>IF(B59="","",ROUND(V59-Y59-AE59-Z59,2))</f>
        <v>0</v>
      </c>
      <c r="AH59" s="33">
        <f>IF(B59="","",IF(OR(V59="",V59=0),"",AG59/V59))</f>
        <v>0</v>
      </c>
      <c r="AI59" s="33">
        <f>IF(C59="","",IFERROR(INDEX(Products!$AW$5:$AW$304,MATCH(C59,Products!$A$5:$A$304,0)),""))</f>
        <v>0</v>
      </c>
      <c r="AJ59" s="33">
        <f>IF(B59="","",IF(OR(AH59="",AI59=""),"",AH59-AI59))</f>
        <v>0</v>
      </c>
      <c r="AK59" s="41">
        <f>IF(B59="","",IFERROR(ROUND(IF(D59="",0,D59)*INDEX(Products!$X$5:$X$304,MATCH(C59,Products!$A$5:$A$304,0))/60,2),""))</f>
        <v>0</v>
      </c>
      <c r="AL59" s="20">
        <f>IF(B59="","",IF(OR(AK59="",AK59=0),"",ROUND(AG59/AK59,2)))</f>
        <v>0</v>
      </c>
      <c r="AM59" s="43">
        <f>IF(B59="","",IF(C59="","Add - which product?",IF(AG59&lt;0,"Loss - this order cost you money",IF(M59="Refunded","Refunded - check why",IF(AND(AF59&lt;&gt;"",AF59&gt;0.25),"Check - fees higher than your settings",IF(Z59&gt;1,"Check - postage is eating the margin",IF(AND(AH59&lt;&gt;"",AH59&lt;MarginWarning),"Low margin on this order","OK")))))) )</f>
        <v>0</v>
      </c>
    </row>
    <row r="60" spans="1:39">
      <c r="A60" s="38">
        <f>IF(B60="","",SalePrefix&amp;TEXT(ROW()-4,"0000"))</f>
        <v>0</v>
      </c>
      <c r="B60" s="22">
        <v>46187</v>
      </c>
      <c r="C60" s="46" t="s">
        <v>1447</v>
      </c>
      <c r="D60" s="16">
        <v>1</v>
      </c>
      <c r="E60" s="15" t="s">
        <v>287</v>
      </c>
      <c r="F60" s="18">
        <v>7.5</v>
      </c>
      <c r="M60" s="39" t="s">
        <v>1591</v>
      </c>
      <c r="N60" s="15" t="s">
        <v>1654</v>
      </c>
      <c r="P60" s="40" t="s">
        <v>1655</v>
      </c>
      <c r="Q60" s="13">
        <f>IF(C60="","",IFERROR(INDEX(Products!$B$5:$B$304,MATCH(C60,Products!$A$5:$A$304,0)),"Bundle or deleted"))</f>
        <v>0</v>
      </c>
      <c r="R60" s="13">
        <f>IF(B60="","",TEXT(B60,"yyyy-mm"))</f>
        <v>0</v>
      </c>
      <c r="S60" s="20">
        <f>IF(C60="","",IFERROR(INDEX(Products!$AR$5:$AR$304,MATCH(C60,Products!$A$5:$A$304,0)),""))</f>
        <v>0</v>
      </c>
      <c r="T60" s="20">
        <f>IF(B60="","",IF(F60&lt;&gt;"",F60,IF(S60="",0,S60)))</f>
        <v>0</v>
      </c>
      <c r="U60" s="20">
        <f>IF(B60="","",ROUND(IF(D60="",0,D60)*T60,2))</f>
        <v>0</v>
      </c>
      <c r="V60" s="20">
        <f>IF(B60="","",ROUND(U60-IF(G60="",0,G60)-IF(L60="",0,L60),2))</f>
        <v>0</v>
      </c>
      <c r="W60" s="20">
        <f>IF(C60="","",IFERROR(INDEX(Products!$AT$5:$AT$304,MATCH(C60,Products!$A$5:$A$304,0)),""))</f>
        <v>0</v>
      </c>
      <c r="X60" s="20">
        <f>IF(C60="","",IFERROR(INDEX(Products!$AG$5:$AG$304,MATCH(C60,Products!$A$5:$A$304,0)),""))</f>
        <v>0</v>
      </c>
      <c r="Y60" s="20">
        <f>IF(B60="","",ROUND(IF(D60="",0,D60)*MAX(0,IF(W60="",0,W60)-IF(X60="",0,X60)),2))</f>
        <v>0</v>
      </c>
      <c r="Z60" s="20">
        <f>IF(B60="","",ROUND(MAX(0,IF(J60="",0,J60)-IF(I60="",0,I60)),2))</f>
        <v>0</v>
      </c>
      <c r="AA60" s="33">
        <f>IF(B60="","",IFERROR(INDEX(Channels!$S$5:$S$18,MATCH(IF(E60="",DefaultChannel,E60),Channels!$A$5:$A$18,0)),0))</f>
        <v>0</v>
      </c>
      <c r="AB60" s="20">
        <f>IF(B60="","",IFERROR(INDEX(Channels!$T$5:$T$18,MATCH(IF(E60="",DefaultChannel,E60),Channels!$A$5:$A$18,0)),0))</f>
        <v>0</v>
      </c>
      <c r="AC60" s="42">
        <f>IF(B60="","",IFERROR(INDEX(Channels!$O$5:$O$18,MATCH(IF(E60="",DefaultChannel,E60),Channels!$A$5:$A$18,0)),"No"))</f>
        <v>0</v>
      </c>
      <c r="AD60" s="20">
        <f>IF(B60="","",ROUND((V60+IF(AC60="Yes",IF(I60="",0,I60),0))*AA60+AB60,2))</f>
        <v>0</v>
      </c>
      <c r="AE60" s="20">
        <f>IF(B60="","",IF(K60&lt;&gt;"",K60,AD60))</f>
        <v>0</v>
      </c>
      <c r="AF60" s="20">
        <f>IF(B60="","",IF(K60="","",ROUND(K60-AD60,2)))</f>
        <v>0</v>
      </c>
      <c r="AG60" s="20">
        <f>IF(B60="","",ROUND(V60-Y60-AE60-Z60,2))</f>
        <v>0</v>
      </c>
      <c r="AH60" s="33">
        <f>IF(B60="","",IF(OR(V60="",V60=0),"",AG60/V60))</f>
        <v>0</v>
      </c>
      <c r="AI60" s="33">
        <f>IF(C60="","",IFERROR(INDEX(Products!$AW$5:$AW$304,MATCH(C60,Products!$A$5:$A$304,0)),""))</f>
        <v>0</v>
      </c>
      <c r="AJ60" s="33">
        <f>IF(B60="","",IF(OR(AH60="",AI60=""),"",AH60-AI60))</f>
        <v>0</v>
      </c>
      <c r="AK60" s="41">
        <f>IF(B60="","",IFERROR(ROUND(IF(D60="",0,D60)*INDEX(Products!$X$5:$X$304,MATCH(C60,Products!$A$5:$A$304,0))/60,2),""))</f>
        <v>0</v>
      </c>
      <c r="AL60" s="20">
        <f>IF(B60="","",IF(OR(AK60="",AK60=0),"",ROUND(AG60/AK60,2)))</f>
        <v>0</v>
      </c>
      <c r="AM60" s="43">
        <f>IF(B60="","",IF(C60="","Add - which product?",IF(AG60&lt;0,"Loss - this order cost you money",IF(M60="Refunded","Refunded - check why",IF(AND(AF60&lt;&gt;"",AF60&gt;0.25),"Check - fees higher than your settings",IF(Z60&gt;1,"Check - postage is eating the margin",IF(AND(AH60&lt;&gt;"",AH60&lt;MarginWarning),"Low margin on this order","OK")))))) )</f>
        <v>0</v>
      </c>
    </row>
    <row r="61" spans="1:39">
      <c r="A61" s="38">
        <f>IF(B61="","",SalePrefix&amp;TEXT(ROW()-4,"0000"))</f>
        <v>0</v>
      </c>
      <c r="B61" s="22">
        <v>46177</v>
      </c>
      <c r="C61" s="46" t="s">
        <v>748</v>
      </c>
      <c r="D61" s="16">
        <v>1</v>
      </c>
      <c r="E61" s="15" t="s">
        <v>545</v>
      </c>
      <c r="F61" s="18">
        <v>118</v>
      </c>
      <c r="I61" s="18">
        <v>16</v>
      </c>
      <c r="J61" s="18">
        <v>18.6</v>
      </c>
      <c r="M61" s="39" t="s">
        <v>1591</v>
      </c>
      <c r="N61" s="15" t="s">
        <v>1656</v>
      </c>
      <c r="Q61" s="13">
        <f>IF(C61="","",IFERROR(INDEX(Products!$B$5:$B$304,MATCH(C61,Products!$A$5:$A$304,0)),"Bundle or deleted"))</f>
        <v>0</v>
      </c>
      <c r="R61" s="13">
        <f>IF(B61="","",TEXT(B61,"yyyy-mm"))</f>
        <v>0</v>
      </c>
      <c r="S61" s="20">
        <f>IF(C61="","",IFERROR(INDEX(Products!$AR$5:$AR$304,MATCH(C61,Products!$A$5:$A$304,0)),""))</f>
        <v>0</v>
      </c>
      <c r="T61" s="20">
        <f>IF(B61="","",IF(F61&lt;&gt;"",F61,IF(S61="",0,S61)))</f>
        <v>0</v>
      </c>
      <c r="U61" s="20">
        <f>IF(B61="","",ROUND(IF(D61="",0,D61)*T61,2))</f>
        <v>0</v>
      </c>
      <c r="V61" s="20">
        <f>IF(B61="","",ROUND(U61-IF(G61="",0,G61)-IF(L61="",0,L61),2))</f>
        <v>0</v>
      </c>
      <c r="W61" s="20">
        <f>IF(C61="","",IFERROR(INDEX(Products!$AT$5:$AT$304,MATCH(C61,Products!$A$5:$A$304,0)),""))</f>
        <v>0</v>
      </c>
      <c r="X61" s="20">
        <f>IF(C61="","",IFERROR(INDEX(Products!$AG$5:$AG$304,MATCH(C61,Products!$A$5:$A$304,0)),""))</f>
        <v>0</v>
      </c>
      <c r="Y61" s="20">
        <f>IF(B61="","",ROUND(IF(D61="",0,D61)*MAX(0,IF(W61="",0,W61)-IF(X61="",0,X61)),2))</f>
        <v>0</v>
      </c>
      <c r="Z61" s="20">
        <f>IF(B61="","",ROUND(MAX(0,IF(J61="",0,J61)-IF(I61="",0,I61)),2))</f>
        <v>0</v>
      </c>
      <c r="AA61" s="33">
        <f>IF(B61="","",IFERROR(INDEX(Channels!$S$5:$S$18,MATCH(IF(E61="",DefaultChannel,E61),Channels!$A$5:$A$18,0)),0))</f>
        <v>0</v>
      </c>
      <c r="AB61" s="20">
        <f>IF(B61="","",IFERROR(INDEX(Channels!$T$5:$T$18,MATCH(IF(E61="",DefaultChannel,E61),Channels!$A$5:$A$18,0)),0))</f>
        <v>0</v>
      </c>
      <c r="AC61" s="42">
        <f>IF(B61="","",IFERROR(INDEX(Channels!$O$5:$O$18,MATCH(IF(E61="",DefaultChannel,E61),Channels!$A$5:$A$18,0)),"No"))</f>
        <v>0</v>
      </c>
      <c r="AD61" s="20">
        <f>IF(B61="","",ROUND((V61+IF(AC61="Yes",IF(I61="",0,I61),0))*AA61+AB61,2))</f>
        <v>0</v>
      </c>
      <c r="AE61" s="20">
        <f>IF(B61="","",IF(K61&lt;&gt;"",K61,AD61))</f>
        <v>0</v>
      </c>
      <c r="AF61" s="20">
        <f>IF(B61="","",IF(K61="","",ROUND(K61-AD61,2)))</f>
        <v>0</v>
      </c>
      <c r="AG61" s="20">
        <f>IF(B61="","",ROUND(V61-Y61-AE61-Z61,2))</f>
        <v>0</v>
      </c>
      <c r="AH61" s="33">
        <f>IF(B61="","",IF(OR(V61="",V61=0),"",AG61/V61))</f>
        <v>0</v>
      </c>
      <c r="AI61" s="33">
        <f>IF(C61="","",IFERROR(INDEX(Products!$AW$5:$AW$304,MATCH(C61,Products!$A$5:$A$304,0)),""))</f>
        <v>0</v>
      </c>
      <c r="AJ61" s="33">
        <f>IF(B61="","",IF(OR(AH61="",AI61=""),"",AH61-AI61))</f>
        <v>0</v>
      </c>
      <c r="AK61" s="41">
        <f>IF(B61="","",IFERROR(ROUND(IF(D61="",0,D61)*INDEX(Products!$X$5:$X$304,MATCH(C61,Products!$A$5:$A$304,0))/60,2),""))</f>
        <v>0</v>
      </c>
      <c r="AL61" s="20">
        <f>IF(B61="","",IF(OR(AK61="",AK61=0),"",ROUND(AG61/AK61,2)))</f>
        <v>0</v>
      </c>
      <c r="AM61" s="43">
        <f>IF(B61="","",IF(C61="","Add - which product?",IF(AG61&lt;0,"Loss - this order cost you money",IF(M61="Refunded","Refunded - check why",IF(AND(AF61&lt;&gt;"",AF61&gt;0.25),"Check - fees higher than your settings",IF(Z61&gt;1,"Check - postage is eating the margin",IF(AND(AH61&lt;&gt;"",AH61&lt;MarginWarning),"Low margin on this order","OK")))))) )</f>
        <v>0</v>
      </c>
    </row>
    <row r="62" spans="1:39">
      <c r="A62" s="38">
        <f>IF(B62="","",SalePrefix&amp;TEXT(ROW()-4,"0000"))</f>
        <v>0</v>
      </c>
      <c r="B62" s="22">
        <v>46167</v>
      </c>
      <c r="C62" s="46" t="s">
        <v>730</v>
      </c>
      <c r="D62" s="16">
        <v>1</v>
      </c>
      <c r="E62" s="15" t="s">
        <v>287</v>
      </c>
      <c r="F62" s="18">
        <v>75</v>
      </c>
      <c r="I62" s="18">
        <v>6.95</v>
      </c>
      <c r="J62" s="18">
        <v>7.1</v>
      </c>
      <c r="M62" s="39" t="s">
        <v>1591</v>
      </c>
      <c r="N62" s="15" t="s">
        <v>1657</v>
      </c>
      <c r="Q62" s="13">
        <f>IF(C62="","",IFERROR(INDEX(Products!$B$5:$B$304,MATCH(C62,Products!$A$5:$A$304,0)),"Bundle or deleted"))</f>
        <v>0</v>
      </c>
      <c r="R62" s="13">
        <f>IF(B62="","",TEXT(B62,"yyyy-mm"))</f>
        <v>0</v>
      </c>
      <c r="S62" s="20">
        <f>IF(C62="","",IFERROR(INDEX(Products!$AR$5:$AR$304,MATCH(C62,Products!$A$5:$A$304,0)),""))</f>
        <v>0</v>
      </c>
      <c r="T62" s="20">
        <f>IF(B62="","",IF(F62&lt;&gt;"",F62,IF(S62="",0,S62)))</f>
        <v>0</v>
      </c>
      <c r="U62" s="20">
        <f>IF(B62="","",ROUND(IF(D62="",0,D62)*T62,2))</f>
        <v>0</v>
      </c>
      <c r="V62" s="20">
        <f>IF(B62="","",ROUND(U62-IF(G62="",0,G62)-IF(L62="",0,L62),2))</f>
        <v>0</v>
      </c>
      <c r="W62" s="20">
        <f>IF(C62="","",IFERROR(INDEX(Products!$AT$5:$AT$304,MATCH(C62,Products!$A$5:$A$304,0)),""))</f>
        <v>0</v>
      </c>
      <c r="X62" s="20">
        <f>IF(C62="","",IFERROR(INDEX(Products!$AG$5:$AG$304,MATCH(C62,Products!$A$5:$A$304,0)),""))</f>
        <v>0</v>
      </c>
      <c r="Y62" s="20">
        <f>IF(B62="","",ROUND(IF(D62="",0,D62)*MAX(0,IF(W62="",0,W62)-IF(X62="",0,X62)),2))</f>
        <v>0</v>
      </c>
      <c r="Z62" s="20">
        <f>IF(B62="","",ROUND(MAX(0,IF(J62="",0,J62)-IF(I62="",0,I62)),2))</f>
        <v>0</v>
      </c>
      <c r="AA62" s="33">
        <f>IF(B62="","",IFERROR(INDEX(Channels!$S$5:$S$18,MATCH(IF(E62="",DefaultChannel,E62),Channels!$A$5:$A$18,0)),0))</f>
        <v>0</v>
      </c>
      <c r="AB62" s="20">
        <f>IF(B62="","",IFERROR(INDEX(Channels!$T$5:$T$18,MATCH(IF(E62="",DefaultChannel,E62),Channels!$A$5:$A$18,0)),0))</f>
        <v>0</v>
      </c>
      <c r="AC62" s="42">
        <f>IF(B62="","",IFERROR(INDEX(Channels!$O$5:$O$18,MATCH(IF(E62="",DefaultChannel,E62),Channels!$A$5:$A$18,0)),"No"))</f>
        <v>0</v>
      </c>
      <c r="AD62" s="20">
        <f>IF(B62="","",ROUND((V62+IF(AC62="Yes",IF(I62="",0,I62),0))*AA62+AB62,2))</f>
        <v>0</v>
      </c>
      <c r="AE62" s="20">
        <f>IF(B62="","",IF(K62&lt;&gt;"",K62,AD62))</f>
        <v>0</v>
      </c>
      <c r="AF62" s="20">
        <f>IF(B62="","",IF(K62="","",ROUND(K62-AD62,2)))</f>
        <v>0</v>
      </c>
      <c r="AG62" s="20">
        <f>IF(B62="","",ROUND(V62-Y62-AE62-Z62,2))</f>
        <v>0</v>
      </c>
      <c r="AH62" s="33">
        <f>IF(B62="","",IF(OR(V62="",V62=0),"",AG62/V62))</f>
        <v>0</v>
      </c>
      <c r="AI62" s="33">
        <f>IF(C62="","",IFERROR(INDEX(Products!$AW$5:$AW$304,MATCH(C62,Products!$A$5:$A$304,0)),""))</f>
        <v>0</v>
      </c>
      <c r="AJ62" s="33">
        <f>IF(B62="","",IF(OR(AH62="",AI62=""),"",AH62-AI62))</f>
        <v>0</v>
      </c>
      <c r="AK62" s="41">
        <f>IF(B62="","",IFERROR(ROUND(IF(D62="",0,D62)*INDEX(Products!$X$5:$X$304,MATCH(C62,Products!$A$5:$A$304,0))/60,2),""))</f>
        <v>0</v>
      </c>
      <c r="AL62" s="20">
        <f>IF(B62="","",IF(OR(AK62="",AK62=0),"",ROUND(AG62/AK62,2)))</f>
        <v>0</v>
      </c>
      <c r="AM62" s="43">
        <f>IF(B62="","",IF(C62="","Add - which product?",IF(AG62&lt;0,"Loss - this order cost you money",IF(M62="Refunded","Refunded - check why",IF(AND(AF62&lt;&gt;"",AF62&gt;0.25),"Check - fees higher than your settings",IF(Z62&gt;1,"Check - postage is eating the margin",IF(AND(AH62&lt;&gt;"",AH62&lt;MarginWarning),"Low margin on this order","OK")))))) )</f>
        <v>0</v>
      </c>
    </row>
    <row r="63" spans="1:39">
      <c r="A63" s="38">
        <f>IF(B63="","",SalePrefix&amp;TEXT(ROW()-4,"0000"))</f>
        <v>0</v>
      </c>
      <c r="Q63" s="13">
        <f>IF(C63="","",IFERROR(INDEX(Products!$B$5:$B$304,MATCH(C63,Products!$A$5:$A$304,0)),"Bundle or deleted"))</f>
        <v>0</v>
      </c>
      <c r="R63" s="13">
        <f>IF(B63="","",TEXT(B63,"yyyy-mm"))</f>
        <v>0</v>
      </c>
      <c r="S63" s="20">
        <f>IF(C63="","",IFERROR(INDEX(Products!$AR$5:$AR$304,MATCH(C63,Products!$A$5:$A$304,0)),""))</f>
        <v>0</v>
      </c>
      <c r="T63" s="20">
        <f>IF(B63="","",IF(F63&lt;&gt;"",F63,IF(S63="",0,S63)))</f>
        <v>0</v>
      </c>
      <c r="U63" s="20">
        <f>IF(B63="","",ROUND(IF(D63="",0,D63)*T63,2))</f>
        <v>0</v>
      </c>
      <c r="V63" s="20">
        <f>IF(B63="","",ROUND(U63-IF(G63="",0,G63)-IF(L63="",0,L63),2))</f>
        <v>0</v>
      </c>
      <c r="W63" s="20">
        <f>IF(C63="","",IFERROR(INDEX(Products!$AT$5:$AT$304,MATCH(C63,Products!$A$5:$A$304,0)),""))</f>
        <v>0</v>
      </c>
      <c r="X63" s="20">
        <f>IF(C63="","",IFERROR(INDEX(Products!$AG$5:$AG$304,MATCH(C63,Products!$A$5:$A$304,0)),""))</f>
        <v>0</v>
      </c>
      <c r="Y63" s="20">
        <f>IF(B63="","",ROUND(IF(D63="",0,D63)*MAX(0,IF(W63="",0,W63)-IF(X63="",0,X63)),2))</f>
        <v>0</v>
      </c>
      <c r="Z63" s="20">
        <f>IF(B63="","",ROUND(MAX(0,IF(J63="",0,J63)-IF(I63="",0,I63)),2))</f>
        <v>0</v>
      </c>
      <c r="AA63" s="33">
        <f>IF(B63="","",IFERROR(INDEX(Channels!$S$5:$S$18,MATCH(IF(E63="",DefaultChannel,E63),Channels!$A$5:$A$18,0)),0))</f>
        <v>0</v>
      </c>
      <c r="AB63" s="20">
        <f>IF(B63="","",IFERROR(INDEX(Channels!$T$5:$T$18,MATCH(IF(E63="",DefaultChannel,E63),Channels!$A$5:$A$18,0)),0))</f>
        <v>0</v>
      </c>
      <c r="AC63" s="42">
        <f>IF(B63="","",IFERROR(INDEX(Channels!$O$5:$O$18,MATCH(IF(E63="",DefaultChannel,E63),Channels!$A$5:$A$18,0)),"No"))</f>
        <v>0</v>
      </c>
      <c r="AD63" s="20">
        <f>IF(B63="","",ROUND((V63+IF(AC63="Yes",IF(I63="",0,I63),0))*AA63+AB63,2))</f>
        <v>0</v>
      </c>
      <c r="AE63" s="20">
        <f>IF(B63="","",IF(K63&lt;&gt;"",K63,AD63))</f>
        <v>0</v>
      </c>
      <c r="AF63" s="20">
        <f>IF(B63="","",IF(K63="","",ROUND(K63-AD63,2)))</f>
        <v>0</v>
      </c>
      <c r="AG63" s="20">
        <f>IF(B63="","",ROUND(V63-Y63-AE63-Z63,2))</f>
        <v>0</v>
      </c>
      <c r="AH63" s="33">
        <f>IF(B63="","",IF(OR(V63="",V63=0),"",AG63/V63))</f>
        <v>0</v>
      </c>
      <c r="AI63" s="33">
        <f>IF(C63="","",IFERROR(INDEX(Products!$AW$5:$AW$304,MATCH(C63,Products!$A$5:$A$304,0)),""))</f>
        <v>0</v>
      </c>
      <c r="AJ63" s="33">
        <f>IF(B63="","",IF(OR(AH63="",AI63=""),"",AH63-AI63))</f>
        <v>0</v>
      </c>
      <c r="AK63" s="41">
        <f>IF(B63="","",IFERROR(ROUND(IF(D63="",0,D63)*INDEX(Products!$X$5:$X$304,MATCH(C63,Products!$A$5:$A$304,0))/60,2),""))</f>
        <v>0</v>
      </c>
      <c r="AL63" s="20">
        <f>IF(B63="","",IF(OR(AK63="",AK63=0),"",ROUND(AG63/AK63,2)))</f>
        <v>0</v>
      </c>
      <c r="AM63" s="43">
        <f>IF(B63="","",IF(C63="","Add - which product?",IF(AG63&lt;0,"Loss - this order cost you money",IF(M63="Refunded","Refunded - check why",IF(AND(AF63&lt;&gt;"",AF63&gt;0.25),"Check - fees higher than your settings",IF(Z63&gt;1,"Check - postage is eating the margin",IF(AND(AH63&lt;&gt;"",AH63&lt;MarginWarning),"Low margin on this order","OK")))))) )</f>
        <v>0</v>
      </c>
    </row>
    <row r="64" spans="1:39">
      <c r="A64" s="38">
        <f>IF(B64="","",SalePrefix&amp;TEXT(ROW()-4,"0000"))</f>
        <v>0</v>
      </c>
      <c r="Q64" s="13">
        <f>IF(C64="","",IFERROR(INDEX(Products!$B$5:$B$304,MATCH(C64,Products!$A$5:$A$304,0)),"Bundle or deleted"))</f>
        <v>0</v>
      </c>
      <c r="R64" s="13">
        <f>IF(B64="","",TEXT(B64,"yyyy-mm"))</f>
        <v>0</v>
      </c>
      <c r="S64" s="20">
        <f>IF(C64="","",IFERROR(INDEX(Products!$AR$5:$AR$304,MATCH(C64,Products!$A$5:$A$304,0)),""))</f>
        <v>0</v>
      </c>
      <c r="T64" s="20">
        <f>IF(B64="","",IF(F64&lt;&gt;"",F64,IF(S64="",0,S64)))</f>
        <v>0</v>
      </c>
      <c r="U64" s="20">
        <f>IF(B64="","",ROUND(IF(D64="",0,D64)*T64,2))</f>
        <v>0</v>
      </c>
      <c r="V64" s="20">
        <f>IF(B64="","",ROUND(U64-IF(G64="",0,G64)-IF(L64="",0,L64),2))</f>
        <v>0</v>
      </c>
      <c r="W64" s="20">
        <f>IF(C64="","",IFERROR(INDEX(Products!$AT$5:$AT$304,MATCH(C64,Products!$A$5:$A$304,0)),""))</f>
        <v>0</v>
      </c>
      <c r="X64" s="20">
        <f>IF(C64="","",IFERROR(INDEX(Products!$AG$5:$AG$304,MATCH(C64,Products!$A$5:$A$304,0)),""))</f>
        <v>0</v>
      </c>
      <c r="Y64" s="20">
        <f>IF(B64="","",ROUND(IF(D64="",0,D64)*MAX(0,IF(W64="",0,W64)-IF(X64="",0,X64)),2))</f>
        <v>0</v>
      </c>
      <c r="Z64" s="20">
        <f>IF(B64="","",ROUND(MAX(0,IF(J64="",0,J64)-IF(I64="",0,I64)),2))</f>
        <v>0</v>
      </c>
      <c r="AA64" s="33">
        <f>IF(B64="","",IFERROR(INDEX(Channels!$S$5:$S$18,MATCH(IF(E64="",DefaultChannel,E64),Channels!$A$5:$A$18,0)),0))</f>
        <v>0</v>
      </c>
      <c r="AB64" s="20">
        <f>IF(B64="","",IFERROR(INDEX(Channels!$T$5:$T$18,MATCH(IF(E64="",DefaultChannel,E64),Channels!$A$5:$A$18,0)),0))</f>
        <v>0</v>
      </c>
      <c r="AC64" s="42">
        <f>IF(B64="","",IFERROR(INDEX(Channels!$O$5:$O$18,MATCH(IF(E64="",DefaultChannel,E64),Channels!$A$5:$A$18,0)),"No"))</f>
        <v>0</v>
      </c>
      <c r="AD64" s="20">
        <f>IF(B64="","",ROUND((V64+IF(AC64="Yes",IF(I64="",0,I64),0))*AA64+AB64,2))</f>
        <v>0</v>
      </c>
      <c r="AE64" s="20">
        <f>IF(B64="","",IF(K64&lt;&gt;"",K64,AD64))</f>
        <v>0</v>
      </c>
      <c r="AF64" s="20">
        <f>IF(B64="","",IF(K64="","",ROUND(K64-AD64,2)))</f>
        <v>0</v>
      </c>
      <c r="AG64" s="20">
        <f>IF(B64="","",ROUND(V64-Y64-AE64-Z64,2))</f>
        <v>0</v>
      </c>
      <c r="AH64" s="33">
        <f>IF(B64="","",IF(OR(V64="",V64=0),"",AG64/V64))</f>
        <v>0</v>
      </c>
      <c r="AI64" s="33">
        <f>IF(C64="","",IFERROR(INDEX(Products!$AW$5:$AW$304,MATCH(C64,Products!$A$5:$A$304,0)),""))</f>
        <v>0</v>
      </c>
      <c r="AJ64" s="33">
        <f>IF(B64="","",IF(OR(AH64="",AI64=""),"",AH64-AI64))</f>
        <v>0</v>
      </c>
      <c r="AK64" s="41">
        <f>IF(B64="","",IFERROR(ROUND(IF(D64="",0,D64)*INDEX(Products!$X$5:$X$304,MATCH(C64,Products!$A$5:$A$304,0))/60,2),""))</f>
        <v>0</v>
      </c>
      <c r="AL64" s="20">
        <f>IF(B64="","",IF(OR(AK64="",AK64=0),"",ROUND(AG64/AK64,2)))</f>
        <v>0</v>
      </c>
      <c r="AM64" s="43">
        <f>IF(B64="","",IF(C64="","Add - which product?",IF(AG64&lt;0,"Loss - this order cost you money",IF(M64="Refunded","Refunded - check why",IF(AND(AF64&lt;&gt;"",AF64&gt;0.25),"Check - fees higher than your settings",IF(Z64&gt;1,"Check - postage is eating the margin",IF(AND(AH64&lt;&gt;"",AH64&lt;MarginWarning),"Low margin on this order","OK")))))) )</f>
        <v>0</v>
      </c>
    </row>
    <row r="65" spans="1:39">
      <c r="A65" s="38">
        <f>IF(B65="","",SalePrefix&amp;TEXT(ROW()-4,"0000"))</f>
        <v>0</v>
      </c>
      <c r="Q65" s="13">
        <f>IF(C65="","",IFERROR(INDEX(Products!$B$5:$B$304,MATCH(C65,Products!$A$5:$A$304,0)),"Bundle or deleted"))</f>
        <v>0</v>
      </c>
      <c r="R65" s="13">
        <f>IF(B65="","",TEXT(B65,"yyyy-mm"))</f>
        <v>0</v>
      </c>
      <c r="S65" s="20">
        <f>IF(C65="","",IFERROR(INDEX(Products!$AR$5:$AR$304,MATCH(C65,Products!$A$5:$A$304,0)),""))</f>
        <v>0</v>
      </c>
      <c r="T65" s="20">
        <f>IF(B65="","",IF(F65&lt;&gt;"",F65,IF(S65="",0,S65)))</f>
        <v>0</v>
      </c>
      <c r="U65" s="20">
        <f>IF(B65="","",ROUND(IF(D65="",0,D65)*T65,2))</f>
        <v>0</v>
      </c>
      <c r="V65" s="20">
        <f>IF(B65="","",ROUND(U65-IF(G65="",0,G65)-IF(L65="",0,L65),2))</f>
        <v>0</v>
      </c>
      <c r="W65" s="20">
        <f>IF(C65="","",IFERROR(INDEX(Products!$AT$5:$AT$304,MATCH(C65,Products!$A$5:$A$304,0)),""))</f>
        <v>0</v>
      </c>
      <c r="X65" s="20">
        <f>IF(C65="","",IFERROR(INDEX(Products!$AG$5:$AG$304,MATCH(C65,Products!$A$5:$A$304,0)),""))</f>
        <v>0</v>
      </c>
      <c r="Y65" s="20">
        <f>IF(B65="","",ROUND(IF(D65="",0,D65)*MAX(0,IF(W65="",0,W65)-IF(X65="",0,X65)),2))</f>
        <v>0</v>
      </c>
      <c r="Z65" s="20">
        <f>IF(B65="","",ROUND(MAX(0,IF(J65="",0,J65)-IF(I65="",0,I65)),2))</f>
        <v>0</v>
      </c>
      <c r="AA65" s="33">
        <f>IF(B65="","",IFERROR(INDEX(Channels!$S$5:$S$18,MATCH(IF(E65="",DefaultChannel,E65),Channels!$A$5:$A$18,0)),0))</f>
        <v>0</v>
      </c>
      <c r="AB65" s="20">
        <f>IF(B65="","",IFERROR(INDEX(Channels!$T$5:$T$18,MATCH(IF(E65="",DefaultChannel,E65),Channels!$A$5:$A$18,0)),0))</f>
        <v>0</v>
      </c>
      <c r="AC65" s="42">
        <f>IF(B65="","",IFERROR(INDEX(Channels!$O$5:$O$18,MATCH(IF(E65="",DefaultChannel,E65),Channels!$A$5:$A$18,0)),"No"))</f>
        <v>0</v>
      </c>
      <c r="AD65" s="20">
        <f>IF(B65="","",ROUND((V65+IF(AC65="Yes",IF(I65="",0,I65),0))*AA65+AB65,2))</f>
        <v>0</v>
      </c>
      <c r="AE65" s="20">
        <f>IF(B65="","",IF(K65&lt;&gt;"",K65,AD65))</f>
        <v>0</v>
      </c>
      <c r="AF65" s="20">
        <f>IF(B65="","",IF(K65="","",ROUND(K65-AD65,2)))</f>
        <v>0</v>
      </c>
      <c r="AG65" s="20">
        <f>IF(B65="","",ROUND(V65-Y65-AE65-Z65,2))</f>
        <v>0</v>
      </c>
      <c r="AH65" s="33">
        <f>IF(B65="","",IF(OR(V65="",V65=0),"",AG65/V65))</f>
        <v>0</v>
      </c>
      <c r="AI65" s="33">
        <f>IF(C65="","",IFERROR(INDEX(Products!$AW$5:$AW$304,MATCH(C65,Products!$A$5:$A$304,0)),""))</f>
        <v>0</v>
      </c>
      <c r="AJ65" s="33">
        <f>IF(B65="","",IF(OR(AH65="",AI65=""),"",AH65-AI65))</f>
        <v>0</v>
      </c>
      <c r="AK65" s="41">
        <f>IF(B65="","",IFERROR(ROUND(IF(D65="",0,D65)*INDEX(Products!$X$5:$X$304,MATCH(C65,Products!$A$5:$A$304,0))/60,2),""))</f>
        <v>0</v>
      </c>
      <c r="AL65" s="20">
        <f>IF(B65="","",IF(OR(AK65="",AK65=0),"",ROUND(AG65/AK65,2)))</f>
        <v>0</v>
      </c>
      <c r="AM65" s="43">
        <f>IF(B65="","",IF(C65="","Add - which product?",IF(AG65&lt;0,"Loss - this order cost you money",IF(M65="Refunded","Refunded - check why",IF(AND(AF65&lt;&gt;"",AF65&gt;0.25),"Check - fees higher than your settings",IF(Z65&gt;1,"Check - postage is eating the margin",IF(AND(AH65&lt;&gt;"",AH65&lt;MarginWarning),"Low margin on this order","OK")))))) )</f>
        <v>0</v>
      </c>
    </row>
    <row r="66" spans="1:39">
      <c r="A66" s="38">
        <f>IF(B66="","",SalePrefix&amp;TEXT(ROW()-4,"0000"))</f>
        <v>0</v>
      </c>
      <c r="Q66" s="13">
        <f>IF(C66="","",IFERROR(INDEX(Products!$B$5:$B$304,MATCH(C66,Products!$A$5:$A$304,0)),"Bundle or deleted"))</f>
        <v>0</v>
      </c>
      <c r="R66" s="13">
        <f>IF(B66="","",TEXT(B66,"yyyy-mm"))</f>
        <v>0</v>
      </c>
      <c r="S66" s="20">
        <f>IF(C66="","",IFERROR(INDEX(Products!$AR$5:$AR$304,MATCH(C66,Products!$A$5:$A$304,0)),""))</f>
        <v>0</v>
      </c>
      <c r="T66" s="20">
        <f>IF(B66="","",IF(F66&lt;&gt;"",F66,IF(S66="",0,S66)))</f>
        <v>0</v>
      </c>
      <c r="U66" s="20">
        <f>IF(B66="","",ROUND(IF(D66="",0,D66)*T66,2))</f>
        <v>0</v>
      </c>
      <c r="V66" s="20">
        <f>IF(B66="","",ROUND(U66-IF(G66="",0,G66)-IF(L66="",0,L66),2))</f>
        <v>0</v>
      </c>
      <c r="W66" s="20">
        <f>IF(C66="","",IFERROR(INDEX(Products!$AT$5:$AT$304,MATCH(C66,Products!$A$5:$A$304,0)),""))</f>
        <v>0</v>
      </c>
      <c r="X66" s="20">
        <f>IF(C66="","",IFERROR(INDEX(Products!$AG$5:$AG$304,MATCH(C66,Products!$A$5:$A$304,0)),""))</f>
        <v>0</v>
      </c>
      <c r="Y66" s="20">
        <f>IF(B66="","",ROUND(IF(D66="",0,D66)*MAX(0,IF(W66="",0,W66)-IF(X66="",0,X66)),2))</f>
        <v>0</v>
      </c>
      <c r="Z66" s="20">
        <f>IF(B66="","",ROUND(MAX(0,IF(J66="",0,J66)-IF(I66="",0,I66)),2))</f>
        <v>0</v>
      </c>
      <c r="AA66" s="33">
        <f>IF(B66="","",IFERROR(INDEX(Channels!$S$5:$S$18,MATCH(IF(E66="",DefaultChannel,E66),Channels!$A$5:$A$18,0)),0))</f>
        <v>0</v>
      </c>
      <c r="AB66" s="20">
        <f>IF(B66="","",IFERROR(INDEX(Channels!$T$5:$T$18,MATCH(IF(E66="",DefaultChannel,E66),Channels!$A$5:$A$18,0)),0))</f>
        <v>0</v>
      </c>
      <c r="AC66" s="42">
        <f>IF(B66="","",IFERROR(INDEX(Channels!$O$5:$O$18,MATCH(IF(E66="",DefaultChannel,E66),Channels!$A$5:$A$18,0)),"No"))</f>
        <v>0</v>
      </c>
      <c r="AD66" s="20">
        <f>IF(B66="","",ROUND((V66+IF(AC66="Yes",IF(I66="",0,I66),0))*AA66+AB66,2))</f>
        <v>0</v>
      </c>
      <c r="AE66" s="20">
        <f>IF(B66="","",IF(K66&lt;&gt;"",K66,AD66))</f>
        <v>0</v>
      </c>
      <c r="AF66" s="20">
        <f>IF(B66="","",IF(K66="","",ROUND(K66-AD66,2)))</f>
        <v>0</v>
      </c>
      <c r="AG66" s="20">
        <f>IF(B66="","",ROUND(V66-Y66-AE66-Z66,2))</f>
        <v>0</v>
      </c>
      <c r="AH66" s="33">
        <f>IF(B66="","",IF(OR(V66="",V66=0),"",AG66/V66))</f>
        <v>0</v>
      </c>
      <c r="AI66" s="33">
        <f>IF(C66="","",IFERROR(INDEX(Products!$AW$5:$AW$304,MATCH(C66,Products!$A$5:$A$304,0)),""))</f>
        <v>0</v>
      </c>
      <c r="AJ66" s="33">
        <f>IF(B66="","",IF(OR(AH66="",AI66=""),"",AH66-AI66))</f>
        <v>0</v>
      </c>
      <c r="AK66" s="41">
        <f>IF(B66="","",IFERROR(ROUND(IF(D66="",0,D66)*INDEX(Products!$X$5:$X$304,MATCH(C66,Products!$A$5:$A$304,0))/60,2),""))</f>
        <v>0</v>
      </c>
      <c r="AL66" s="20">
        <f>IF(B66="","",IF(OR(AK66="",AK66=0),"",ROUND(AG66/AK66,2)))</f>
        <v>0</v>
      </c>
      <c r="AM66" s="43">
        <f>IF(B66="","",IF(C66="","Add - which product?",IF(AG66&lt;0,"Loss - this order cost you money",IF(M66="Refunded","Refunded - check why",IF(AND(AF66&lt;&gt;"",AF66&gt;0.25),"Check - fees higher than your settings",IF(Z66&gt;1,"Check - postage is eating the margin",IF(AND(AH66&lt;&gt;"",AH66&lt;MarginWarning),"Low margin on this order","OK")))))) )</f>
        <v>0</v>
      </c>
    </row>
    <row r="67" spans="1:39">
      <c r="A67" s="38">
        <f>IF(B67="","",SalePrefix&amp;TEXT(ROW()-4,"0000"))</f>
        <v>0</v>
      </c>
      <c r="Q67" s="13">
        <f>IF(C67="","",IFERROR(INDEX(Products!$B$5:$B$304,MATCH(C67,Products!$A$5:$A$304,0)),"Bundle or deleted"))</f>
        <v>0</v>
      </c>
      <c r="R67" s="13">
        <f>IF(B67="","",TEXT(B67,"yyyy-mm"))</f>
        <v>0</v>
      </c>
      <c r="S67" s="20">
        <f>IF(C67="","",IFERROR(INDEX(Products!$AR$5:$AR$304,MATCH(C67,Products!$A$5:$A$304,0)),""))</f>
        <v>0</v>
      </c>
      <c r="T67" s="20">
        <f>IF(B67="","",IF(F67&lt;&gt;"",F67,IF(S67="",0,S67)))</f>
        <v>0</v>
      </c>
      <c r="U67" s="20">
        <f>IF(B67="","",ROUND(IF(D67="",0,D67)*T67,2))</f>
        <v>0</v>
      </c>
      <c r="V67" s="20">
        <f>IF(B67="","",ROUND(U67-IF(G67="",0,G67)-IF(L67="",0,L67),2))</f>
        <v>0</v>
      </c>
      <c r="W67" s="20">
        <f>IF(C67="","",IFERROR(INDEX(Products!$AT$5:$AT$304,MATCH(C67,Products!$A$5:$A$304,0)),""))</f>
        <v>0</v>
      </c>
      <c r="X67" s="20">
        <f>IF(C67="","",IFERROR(INDEX(Products!$AG$5:$AG$304,MATCH(C67,Products!$A$5:$A$304,0)),""))</f>
        <v>0</v>
      </c>
      <c r="Y67" s="20">
        <f>IF(B67="","",ROUND(IF(D67="",0,D67)*MAX(0,IF(W67="",0,W67)-IF(X67="",0,X67)),2))</f>
        <v>0</v>
      </c>
      <c r="Z67" s="20">
        <f>IF(B67="","",ROUND(MAX(0,IF(J67="",0,J67)-IF(I67="",0,I67)),2))</f>
        <v>0</v>
      </c>
      <c r="AA67" s="33">
        <f>IF(B67="","",IFERROR(INDEX(Channels!$S$5:$S$18,MATCH(IF(E67="",DefaultChannel,E67),Channels!$A$5:$A$18,0)),0))</f>
        <v>0</v>
      </c>
      <c r="AB67" s="20">
        <f>IF(B67="","",IFERROR(INDEX(Channels!$T$5:$T$18,MATCH(IF(E67="",DefaultChannel,E67),Channels!$A$5:$A$18,0)),0))</f>
        <v>0</v>
      </c>
      <c r="AC67" s="42">
        <f>IF(B67="","",IFERROR(INDEX(Channels!$O$5:$O$18,MATCH(IF(E67="",DefaultChannel,E67),Channels!$A$5:$A$18,0)),"No"))</f>
        <v>0</v>
      </c>
      <c r="AD67" s="20">
        <f>IF(B67="","",ROUND((V67+IF(AC67="Yes",IF(I67="",0,I67),0))*AA67+AB67,2))</f>
        <v>0</v>
      </c>
      <c r="AE67" s="20">
        <f>IF(B67="","",IF(K67&lt;&gt;"",K67,AD67))</f>
        <v>0</v>
      </c>
      <c r="AF67" s="20">
        <f>IF(B67="","",IF(K67="","",ROUND(K67-AD67,2)))</f>
        <v>0</v>
      </c>
      <c r="AG67" s="20">
        <f>IF(B67="","",ROUND(V67-Y67-AE67-Z67,2))</f>
        <v>0</v>
      </c>
      <c r="AH67" s="33">
        <f>IF(B67="","",IF(OR(V67="",V67=0),"",AG67/V67))</f>
        <v>0</v>
      </c>
      <c r="AI67" s="33">
        <f>IF(C67="","",IFERROR(INDEX(Products!$AW$5:$AW$304,MATCH(C67,Products!$A$5:$A$304,0)),""))</f>
        <v>0</v>
      </c>
      <c r="AJ67" s="33">
        <f>IF(B67="","",IF(OR(AH67="",AI67=""),"",AH67-AI67))</f>
        <v>0</v>
      </c>
      <c r="AK67" s="41">
        <f>IF(B67="","",IFERROR(ROUND(IF(D67="",0,D67)*INDEX(Products!$X$5:$X$304,MATCH(C67,Products!$A$5:$A$304,0))/60,2),""))</f>
        <v>0</v>
      </c>
      <c r="AL67" s="20">
        <f>IF(B67="","",IF(OR(AK67="",AK67=0),"",ROUND(AG67/AK67,2)))</f>
        <v>0</v>
      </c>
      <c r="AM67" s="43">
        <f>IF(B67="","",IF(C67="","Add - which product?",IF(AG67&lt;0,"Loss - this order cost you money",IF(M67="Refunded","Refunded - check why",IF(AND(AF67&lt;&gt;"",AF67&gt;0.25),"Check - fees higher than your settings",IF(Z67&gt;1,"Check - postage is eating the margin",IF(AND(AH67&lt;&gt;"",AH67&lt;MarginWarning),"Low margin on this order","OK")))))) )</f>
        <v>0</v>
      </c>
    </row>
    <row r="68" spans="1:39">
      <c r="A68" s="38">
        <f>IF(B68="","",SalePrefix&amp;TEXT(ROW()-4,"0000"))</f>
        <v>0</v>
      </c>
      <c r="Q68" s="13">
        <f>IF(C68="","",IFERROR(INDEX(Products!$B$5:$B$304,MATCH(C68,Products!$A$5:$A$304,0)),"Bundle or deleted"))</f>
        <v>0</v>
      </c>
      <c r="R68" s="13">
        <f>IF(B68="","",TEXT(B68,"yyyy-mm"))</f>
        <v>0</v>
      </c>
      <c r="S68" s="20">
        <f>IF(C68="","",IFERROR(INDEX(Products!$AR$5:$AR$304,MATCH(C68,Products!$A$5:$A$304,0)),""))</f>
        <v>0</v>
      </c>
      <c r="T68" s="20">
        <f>IF(B68="","",IF(F68&lt;&gt;"",F68,IF(S68="",0,S68)))</f>
        <v>0</v>
      </c>
      <c r="U68" s="20">
        <f>IF(B68="","",ROUND(IF(D68="",0,D68)*T68,2))</f>
        <v>0</v>
      </c>
      <c r="V68" s="20">
        <f>IF(B68="","",ROUND(U68-IF(G68="",0,G68)-IF(L68="",0,L68),2))</f>
        <v>0</v>
      </c>
      <c r="W68" s="20">
        <f>IF(C68="","",IFERROR(INDEX(Products!$AT$5:$AT$304,MATCH(C68,Products!$A$5:$A$304,0)),""))</f>
        <v>0</v>
      </c>
      <c r="X68" s="20">
        <f>IF(C68="","",IFERROR(INDEX(Products!$AG$5:$AG$304,MATCH(C68,Products!$A$5:$A$304,0)),""))</f>
        <v>0</v>
      </c>
      <c r="Y68" s="20">
        <f>IF(B68="","",ROUND(IF(D68="",0,D68)*MAX(0,IF(W68="",0,W68)-IF(X68="",0,X68)),2))</f>
        <v>0</v>
      </c>
      <c r="Z68" s="20">
        <f>IF(B68="","",ROUND(MAX(0,IF(J68="",0,J68)-IF(I68="",0,I68)),2))</f>
        <v>0</v>
      </c>
      <c r="AA68" s="33">
        <f>IF(B68="","",IFERROR(INDEX(Channels!$S$5:$S$18,MATCH(IF(E68="",DefaultChannel,E68),Channels!$A$5:$A$18,0)),0))</f>
        <v>0</v>
      </c>
      <c r="AB68" s="20">
        <f>IF(B68="","",IFERROR(INDEX(Channels!$T$5:$T$18,MATCH(IF(E68="",DefaultChannel,E68),Channels!$A$5:$A$18,0)),0))</f>
        <v>0</v>
      </c>
      <c r="AC68" s="42">
        <f>IF(B68="","",IFERROR(INDEX(Channels!$O$5:$O$18,MATCH(IF(E68="",DefaultChannel,E68),Channels!$A$5:$A$18,0)),"No"))</f>
        <v>0</v>
      </c>
      <c r="AD68" s="20">
        <f>IF(B68="","",ROUND((V68+IF(AC68="Yes",IF(I68="",0,I68),0))*AA68+AB68,2))</f>
        <v>0</v>
      </c>
      <c r="AE68" s="20">
        <f>IF(B68="","",IF(K68&lt;&gt;"",K68,AD68))</f>
        <v>0</v>
      </c>
      <c r="AF68" s="20">
        <f>IF(B68="","",IF(K68="","",ROUND(K68-AD68,2)))</f>
        <v>0</v>
      </c>
      <c r="AG68" s="20">
        <f>IF(B68="","",ROUND(V68-Y68-AE68-Z68,2))</f>
        <v>0</v>
      </c>
      <c r="AH68" s="33">
        <f>IF(B68="","",IF(OR(V68="",V68=0),"",AG68/V68))</f>
        <v>0</v>
      </c>
      <c r="AI68" s="33">
        <f>IF(C68="","",IFERROR(INDEX(Products!$AW$5:$AW$304,MATCH(C68,Products!$A$5:$A$304,0)),""))</f>
        <v>0</v>
      </c>
      <c r="AJ68" s="33">
        <f>IF(B68="","",IF(OR(AH68="",AI68=""),"",AH68-AI68))</f>
        <v>0</v>
      </c>
      <c r="AK68" s="41">
        <f>IF(B68="","",IFERROR(ROUND(IF(D68="",0,D68)*INDEX(Products!$X$5:$X$304,MATCH(C68,Products!$A$5:$A$304,0))/60,2),""))</f>
        <v>0</v>
      </c>
      <c r="AL68" s="20">
        <f>IF(B68="","",IF(OR(AK68="",AK68=0),"",ROUND(AG68/AK68,2)))</f>
        <v>0</v>
      </c>
      <c r="AM68" s="43">
        <f>IF(B68="","",IF(C68="","Add - which product?",IF(AG68&lt;0,"Loss - this order cost you money",IF(M68="Refunded","Refunded - check why",IF(AND(AF68&lt;&gt;"",AF68&gt;0.25),"Check - fees higher than your settings",IF(Z68&gt;1,"Check - postage is eating the margin",IF(AND(AH68&lt;&gt;"",AH68&lt;MarginWarning),"Low margin on this order","OK")))))) )</f>
        <v>0</v>
      </c>
    </row>
    <row r="69" spans="1:39">
      <c r="A69" s="38">
        <f>IF(B69="","",SalePrefix&amp;TEXT(ROW()-4,"0000"))</f>
        <v>0</v>
      </c>
      <c r="Q69" s="13">
        <f>IF(C69="","",IFERROR(INDEX(Products!$B$5:$B$304,MATCH(C69,Products!$A$5:$A$304,0)),"Bundle or deleted"))</f>
        <v>0</v>
      </c>
      <c r="R69" s="13">
        <f>IF(B69="","",TEXT(B69,"yyyy-mm"))</f>
        <v>0</v>
      </c>
      <c r="S69" s="20">
        <f>IF(C69="","",IFERROR(INDEX(Products!$AR$5:$AR$304,MATCH(C69,Products!$A$5:$A$304,0)),""))</f>
        <v>0</v>
      </c>
      <c r="T69" s="20">
        <f>IF(B69="","",IF(F69&lt;&gt;"",F69,IF(S69="",0,S69)))</f>
        <v>0</v>
      </c>
      <c r="U69" s="20">
        <f>IF(B69="","",ROUND(IF(D69="",0,D69)*T69,2))</f>
        <v>0</v>
      </c>
      <c r="V69" s="20">
        <f>IF(B69="","",ROUND(U69-IF(G69="",0,G69)-IF(L69="",0,L69),2))</f>
        <v>0</v>
      </c>
      <c r="W69" s="20">
        <f>IF(C69="","",IFERROR(INDEX(Products!$AT$5:$AT$304,MATCH(C69,Products!$A$5:$A$304,0)),""))</f>
        <v>0</v>
      </c>
      <c r="X69" s="20">
        <f>IF(C69="","",IFERROR(INDEX(Products!$AG$5:$AG$304,MATCH(C69,Products!$A$5:$A$304,0)),""))</f>
        <v>0</v>
      </c>
      <c r="Y69" s="20">
        <f>IF(B69="","",ROUND(IF(D69="",0,D69)*MAX(0,IF(W69="",0,W69)-IF(X69="",0,X69)),2))</f>
        <v>0</v>
      </c>
      <c r="Z69" s="20">
        <f>IF(B69="","",ROUND(MAX(0,IF(J69="",0,J69)-IF(I69="",0,I69)),2))</f>
        <v>0</v>
      </c>
      <c r="AA69" s="33">
        <f>IF(B69="","",IFERROR(INDEX(Channels!$S$5:$S$18,MATCH(IF(E69="",DefaultChannel,E69),Channels!$A$5:$A$18,0)),0))</f>
        <v>0</v>
      </c>
      <c r="AB69" s="20">
        <f>IF(B69="","",IFERROR(INDEX(Channels!$T$5:$T$18,MATCH(IF(E69="",DefaultChannel,E69),Channels!$A$5:$A$18,0)),0))</f>
        <v>0</v>
      </c>
      <c r="AC69" s="42">
        <f>IF(B69="","",IFERROR(INDEX(Channels!$O$5:$O$18,MATCH(IF(E69="",DefaultChannel,E69),Channels!$A$5:$A$18,0)),"No"))</f>
        <v>0</v>
      </c>
      <c r="AD69" s="20">
        <f>IF(B69="","",ROUND((V69+IF(AC69="Yes",IF(I69="",0,I69),0))*AA69+AB69,2))</f>
        <v>0</v>
      </c>
      <c r="AE69" s="20">
        <f>IF(B69="","",IF(K69&lt;&gt;"",K69,AD69))</f>
        <v>0</v>
      </c>
      <c r="AF69" s="20">
        <f>IF(B69="","",IF(K69="","",ROUND(K69-AD69,2)))</f>
        <v>0</v>
      </c>
      <c r="AG69" s="20">
        <f>IF(B69="","",ROUND(V69-Y69-AE69-Z69,2))</f>
        <v>0</v>
      </c>
      <c r="AH69" s="33">
        <f>IF(B69="","",IF(OR(V69="",V69=0),"",AG69/V69))</f>
        <v>0</v>
      </c>
      <c r="AI69" s="33">
        <f>IF(C69="","",IFERROR(INDEX(Products!$AW$5:$AW$304,MATCH(C69,Products!$A$5:$A$304,0)),""))</f>
        <v>0</v>
      </c>
      <c r="AJ69" s="33">
        <f>IF(B69="","",IF(OR(AH69="",AI69=""),"",AH69-AI69))</f>
        <v>0</v>
      </c>
      <c r="AK69" s="41">
        <f>IF(B69="","",IFERROR(ROUND(IF(D69="",0,D69)*INDEX(Products!$X$5:$X$304,MATCH(C69,Products!$A$5:$A$304,0))/60,2),""))</f>
        <v>0</v>
      </c>
      <c r="AL69" s="20">
        <f>IF(B69="","",IF(OR(AK69="",AK69=0),"",ROUND(AG69/AK69,2)))</f>
        <v>0</v>
      </c>
      <c r="AM69" s="43">
        <f>IF(B69="","",IF(C69="","Add - which product?",IF(AG69&lt;0,"Loss - this order cost you money",IF(M69="Refunded","Refunded - check why",IF(AND(AF69&lt;&gt;"",AF69&gt;0.25),"Check - fees higher than your settings",IF(Z69&gt;1,"Check - postage is eating the margin",IF(AND(AH69&lt;&gt;"",AH69&lt;MarginWarning),"Low margin on this order","OK")))))) )</f>
        <v>0</v>
      </c>
    </row>
    <row r="70" spans="1:39">
      <c r="A70" s="38">
        <f>IF(B70="","",SalePrefix&amp;TEXT(ROW()-4,"0000"))</f>
        <v>0</v>
      </c>
      <c r="Q70" s="13">
        <f>IF(C70="","",IFERROR(INDEX(Products!$B$5:$B$304,MATCH(C70,Products!$A$5:$A$304,0)),"Bundle or deleted"))</f>
        <v>0</v>
      </c>
      <c r="R70" s="13">
        <f>IF(B70="","",TEXT(B70,"yyyy-mm"))</f>
        <v>0</v>
      </c>
      <c r="S70" s="20">
        <f>IF(C70="","",IFERROR(INDEX(Products!$AR$5:$AR$304,MATCH(C70,Products!$A$5:$A$304,0)),""))</f>
        <v>0</v>
      </c>
      <c r="T70" s="20">
        <f>IF(B70="","",IF(F70&lt;&gt;"",F70,IF(S70="",0,S70)))</f>
        <v>0</v>
      </c>
      <c r="U70" s="20">
        <f>IF(B70="","",ROUND(IF(D70="",0,D70)*T70,2))</f>
        <v>0</v>
      </c>
      <c r="V70" s="20">
        <f>IF(B70="","",ROUND(U70-IF(G70="",0,G70)-IF(L70="",0,L70),2))</f>
        <v>0</v>
      </c>
      <c r="W70" s="20">
        <f>IF(C70="","",IFERROR(INDEX(Products!$AT$5:$AT$304,MATCH(C70,Products!$A$5:$A$304,0)),""))</f>
        <v>0</v>
      </c>
      <c r="X70" s="20">
        <f>IF(C70="","",IFERROR(INDEX(Products!$AG$5:$AG$304,MATCH(C70,Products!$A$5:$A$304,0)),""))</f>
        <v>0</v>
      </c>
      <c r="Y70" s="20">
        <f>IF(B70="","",ROUND(IF(D70="",0,D70)*MAX(0,IF(W70="",0,W70)-IF(X70="",0,X70)),2))</f>
        <v>0</v>
      </c>
      <c r="Z70" s="20">
        <f>IF(B70="","",ROUND(MAX(0,IF(J70="",0,J70)-IF(I70="",0,I70)),2))</f>
        <v>0</v>
      </c>
      <c r="AA70" s="33">
        <f>IF(B70="","",IFERROR(INDEX(Channels!$S$5:$S$18,MATCH(IF(E70="",DefaultChannel,E70),Channels!$A$5:$A$18,0)),0))</f>
        <v>0</v>
      </c>
      <c r="AB70" s="20">
        <f>IF(B70="","",IFERROR(INDEX(Channels!$T$5:$T$18,MATCH(IF(E70="",DefaultChannel,E70),Channels!$A$5:$A$18,0)),0))</f>
        <v>0</v>
      </c>
      <c r="AC70" s="42">
        <f>IF(B70="","",IFERROR(INDEX(Channels!$O$5:$O$18,MATCH(IF(E70="",DefaultChannel,E70),Channels!$A$5:$A$18,0)),"No"))</f>
        <v>0</v>
      </c>
      <c r="AD70" s="20">
        <f>IF(B70="","",ROUND((V70+IF(AC70="Yes",IF(I70="",0,I70),0))*AA70+AB70,2))</f>
        <v>0</v>
      </c>
      <c r="AE70" s="20">
        <f>IF(B70="","",IF(K70&lt;&gt;"",K70,AD70))</f>
        <v>0</v>
      </c>
      <c r="AF70" s="20">
        <f>IF(B70="","",IF(K70="","",ROUND(K70-AD70,2)))</f>
        <v>0</v>
      </c>
      <c r="AG70" s="20">
        <f>IF(B70="","",ROUND(V70-Y70-AE70-Z70,2))</f>
        <v>0</v>
      </c>
      <c r="AH70" s="33">
        <f>IF(B70="","",IF(OR(V70="",V70=0),"",AG70/V70))</f>
        <v>0</v>
      </c>
      <c r="AI70" s="33">
        <f>IF(C70="","",IFERROR(INDEX(Products!$AW$5:$AW$304,MATCH(C70,Products!$A$5:$A$304,0)),""))</f>
        <v>0</v>
      </c>
      <c r="AJ70" s="33">
        <f>IF(B70="","",IF(OR(AH70="",AI70=""),"",AH70-AI70))</f>
        <v>0</v>
      </c>
      <c r="AK70" s="41">
        <f>IF(B70="","",IFERROR(ROUND(IF(D70="",0,D70)*INDEX(Products!$X$5:$X$304,MATCH(C70,Products!$A$5:$A$304,0))/60,2),""))</f>
        <v>0</v>
      </c>
      <c r="AL70" s="20">
        <f>IF(B70="","",IF(OR(AK70="",AK70=0),"",ROUND(AG70/AK70,2)))</f>
        <v>0</v>
      </c>
      <c r="AM70" s="43">
        <f>IF(B70="","",IF(C70="","Add - which product?",IF(AG70&lt;0,"Loss - this order cost you money",IF(M70="Refunded","Refunded - check why",IF(AND(AF70&lt;&gt;"",AF70&gt;0.25),"Check - fees higher than your settings",IF(Z70&gt;1,"Check - postage is eating the margin",IF(AND(AH70&lt;&gt;"",AH70&lt;MarginWarning),"Low margin on this order","OK")))))) )</f>
        <v>0</v>
      </c>
    </row>
    <row r="71" spans="1:39">
      <c r="A71" s="38">
        <f>IF(B71="","",SalePrefix&amp;TEXT(ROW()-4,"0000"))</f>
        <v>0</v>
      </c>
      <c r="Q71" s="13">
        <f>IF(C71="","",IFERROR(INDEX(Products!$B$5:$B$304,MATCH(C71,Products!$A$5:$A$304,0)),"Bundle or deleted"))</f>
        <v>0</v>
      </c>
      <c r="R71" s="13">
        <f>IF(B71="","",TEXT(B71,"yyyy-mm"))</f>
        <v>0</v>
      </c>
      <c r="S71" s="20">
        <f>IF(C71="","",IFERROR(INDEX(Products!$AR$5:$AR$304,MATCH(C71,Products!$A$5:$A$304,0)),""))</f>
        <v>0</v>
      </c>
      <c r="T71" s="20">
        <f>IF(B71="","",IF(F71&lt;&gt;"",F71,IF(S71="",0,S71)))</f>
        <v>0</v>
      </c>
      <c r="U71" s="20">
        <f>IF(B71="","",ROUND(IF(D71="",0,D71)*T71,2))</f>
        <v>0</v>
      </c>
      <c r="V71" s="20">
        <f>IF(B71="","",ROUND(U71-IF(G71="",0,G71)-IF(L71="",0,L71),2))</f>
        <v>0</v>
      </c>
      <c r="W71" s="20">
        <f>IF(C71="","",IFERROR(INDEX(Products!$AT$5:$AT$304,MATCH(C71,Products!$A$5:$A$304,0)),""))</f>
        <v>0</v>
      </c>
      <c r="X71" s="20">
        <f>IF(C71="","",IFERROR(INDEX(Products!$AG$5:$AG$304,MATCH(C71,Products!$A$5:$A$304,0)),""))</f>
        <v>0</v>
      </c>
      <c r="Y71" s="20">
        <f>IF(B71="","",ROUND(IF(D71="",0,D71)*MAX(0,IF(W71="",0,W71)-IF(X71="",0,X71)),2))</f>
        <v>0</v>
      </c>
      <c r="Z71" s="20">
        <f>IF(B71="","",ROUND(MAX(0,IF(J71="",0,J71)-IF(I71="",0,I71)),2))</f>
        <v>0</v>
      </c>
      <c r="AA71" s="33">
        <f>IF(B71="","",IFERROR(INDEX(Channels!$S$5:$S$18,MATCH(IF(E71="",DefaultChannel,E71),Channels!$A$5:$A$18,0)),0))</f>
        <v>0</v>
      </c>
      <c r="AB71" s="20">
        <f>IF(B71="","",IFERROR(INDEX(Channels!$T$5:$T$18,MATCH(IF(E71="",DefaultChannel,E71),Channels!$A$5:$A$18,0)),0))</f>
        <v>0</v>
      </c>
      <c r="AC71" s="42">
        <f>IF(B71="","",IFERROR(INDEX(Channels!$O$5:$O$18,MATCH(IF(E71="",DefaultChannel,E71),Channels!$A$5:$A$18,0)),"No"))</f>
        <v>0</v>
      </c>
      <c r="AD71" s="20">
        <f>IF(B71="","",ROUND((V71+IF(AC71="Yes",IF(I71="",0,I71),0))*AA71+AB71,2))</f>
        <v>0</v>
      </c>
      <c r="AE71" s="20">
        <f>IF(B71="","",IF(K71&lt;&gt;"",K71,AD71))</f>
        <v>0</v>
      </c>
      <c r="AF71" s="20">
        <f>IF(B71="","",IF(K71="","",ROUND(K71-AD71,2)))</f>
        <v>0</v>
      </c>
      <c r="AG71" s="20">
        <f>IF(B71="","",ROUND(V71-Y71-AE71-Z71,2))</f>
        <v>0</v>
      </c>
      <c r="AH71" s="33">
        <f>IF(B71="","",IF(OR(V71="",V71=0),"",AG71/V71))</f>
        <v>0</v>
      </c>
      <c r="AI71" s="33">
        <f>IF(C71="","",IFERROR(INDEX(Products!$AW$5:$AW$304,MATCH(C71,Products!$A$5:$A$304,0)),""))</f>
        <v>0</v>
      </c>
      <c r="AJ71" s="33">
        <f>IF(B71="","",IF(OR(AH71="",AI71=""),"",AH71-AI71))</f>
        <v>0</v>
      </c>
      <c r="AK71" s="41">
        <f>IF(B71="","",IFERROR(ROUND(IF(D71="",0,D71)*INDEX(Products!$X$5:$X$304,MATCH(C71,Products!$A$5:$A$304,0))/60,2),""))</f>
        <v>0</v>
      </c>
      <c r="AL71" s="20">
        <f>IF(B71="","",IF(OR(AK71="",AK71=0),"",ROUND(AG71/AK71,2)))</f>
        <v>0</v>
      </c>
      <c r="AM71" s="43">
        <f>IF(B71="","",IF(C71="","Add - which product?",IF(AG71&lt;0,"Loss - this order cost you money",IF(M71="Refunded","Refunded - check why",IF(AND(AF71&lt;&gt;"",AF71&gt;0.25),"Check - fees higher than your settings",IF(Z71&gt;1,"Check - postage is eating the margin",IF(AND(AH71&lt;&gt;"",AH71&lt;MarginWarning),"Low margin on this order","OK")))))) )</f>
        <v>0</v>
      </c>
    </row>
    <row r="72" spans="1:39">
      <c r="A72" s="38">
        <f>IF(B72="","",SalePrefix&amp;TEXT(ROW()-4,"0000"))</f>
        <v>0</v>
      </c>
      <c r="Q72" s="13">
        <f>IF(C72="","",IFERROR(INDEX(Products!$B$5:$B$304,MATCH(C72,Products!$A$5:$A$304,0)),"Bundle or deleted"))</f>
        <v>0</v>
      </c>
      <c r="R72" s="13">
        <f>IF(B72="","",TEXT(B72,"yyyy-mm"))</f>
        <v>0</v>
      </c>
      <c r="S72" s="20">
        <f>IF(C72="","",IFERROR(INDEX(Products!$AR$5:$AR$304,MATCH(C72,Products!$A$5:$A$304,0)),""))</f>
        <v>0</v>
      </c>
      <c r="T72" s="20">
        <f>IF(B72="","",IF(F72&lt;&gt;"",F72,IF(S72="",0,S72)))</f>
        <v>0</v>
      </c>
      <c r="U72" s="20">
        <f>IF(B72="","",ROUND(IF(D72="",0,D72)*T72,2))</f>
        <v>0</v>
      </c>
      <c r="V72" s="20">
        <f>IF(B72="","",ROUND(U72-IF(G72="",0,G72)-IF(L72="",0,L72),2))</f>
        <v>0</v>
      </c>
      <c r="W72" s="20">
        <f>IF(C72="","",IFERROR(INDEX(Products!$AT$5:$AT$304,MATCH(C72,Products!$A$5:$A$304,0)),""))</f>
        <v>0</v>
      </c>
      <c r="X72" s="20">
        <f>IF(C72="","",IFERROR(INDEX(Products!$AG$5:$AG$304,MATCH(C72,Products!$A$5:$A$304,0)),""))</f>
        <v>0</v>
      </c>
      <c r="Y72" s="20">
        <f>IF(B72="","",ROUND(IF(D72="",0,D72)*MAX(0,IF(W72="",0,W72)-IF(X72="",0,X72)),2))</f>
        <v>0</v>
      </c>
      <c r="Z72" s="20">
        <f>IF(B72="","",ROUND(MAX(0,IF(J72="",0,J72)-IF(I72="",0,I72)),2))</f>
        <v>0</v>
      </c>
      <c r="AA72" s="33">
        <f>IF(B72="","",IFERROR(INDEX(Channels!$S$5:$S$18,MATCH(IF(E72="",DefaultChannel,E72),Channels!$A$5:$A$18,0)),0))</f>
        <v>0</v>
      </c>
      <c r="AB72" s="20">
        <f>IF(B72="","",IFERROR(INDEX(Channels!$T$5:$T$18,MATCH(IF(E72="",DefaultChannel,E72),Channels!$A$5:$A$18,0)),0))</f>
        <v>0</v>
      </c>
      <c r="AC72" s="42">
        <f>IF(B72="","",IFERROR(INDEX(Channels!$O$5:$O$18,MATCH(IF(E72="",DefaultChannel,E72),Channels!$A$5:$A$18,0)),"No"))</f>
        <v>0</v>
      </c>
      <c r="AD72" s="20">
        <f>IF(B72="","",ROUND((V72+IF(AC72="Yes",IF(I72="",0,I72),0))*AA72+AB72,2))</f>
        <v>0</v>
      </c>
      <c r="AE72" s="20">
        <f>IF(B72="","",IF(K72&lt;&gt;"",K72,AD72))</f>
        <v>0</v>
      </c>
      <c r="AF72" s="20">
        <f>IF(B72="","",IF(K72="","",ROUND(K72-AD72,2)))</f>
        <v>0</v>
      </c>
      <c r="AG72" s="20">
        <f>IF(B72="","",ROUND(V72-Y72-AE72-Z72,2))</f>
        <v>0</v>
      </c>
      <c r="AH72" s="33">
        <f>IF(B72="","",IF(OR(V72="",V72=0),"",AG72/V72))</f>
        <v>0</v>
      </c>
      <c r="AI72" s="33">
        <f>IF(C72="","",IFERROR(INDEX(Products!$AW$5:$AW$304,MATCH(C72,Products!$A$5:$A$304,0)),""))</f>
        <v>0</v>
      </c>
      <c r="AJ72" s="33">
        <f>IF(B72="","",IF(OR(AH72="",AI72=""),"",AH72-AI72))</f>
        <v>0</v>
      </c>
      <c r="AK72" s="41">
        <f>IF(B72="","",IFERROR(ROUND(IF(D72="",0,D72)*INDEX(Products!$X$5:$X$304,MATCH(C72,Products!$A$5:$A$304,0))/60,2),""))</f>
        <v>0</v>
      </c>
      <c r="AL72" s="20">
        <f>IF(B72="","",IF(OR(AK72="",AK72=0),"",ROUND(AG72/AK72,2)))</f>
        <v>0</v>
      </c>
      <c r="AM72" s="43">
        <f>IF(B72="","",IF(C72="","Add - which product?",IF(AG72&lt;0,"Loss - this order cost you money",IF(M72="Refunded","Refunded - check why",IF(AND(AF72&lt;&gt;"",AF72&gt;0.25),"Check - fees higher than your settings",IF(Z72&gt;1,"Check - postage is eating the margin",IF(AND(AH72&lt;&gt;"",AH72&lt;MarginWarning),"Low margin on this order","OK")))))) )</f>
        <v>0</v>
      </c>
    </row>
    <row r="73" spans="1:39">
      <c r="A73" s="38">
        <f>IF(B73="","",SalePrefix&amp;TEXT(ROW()-4,"0000"))</f>
        <v>0</v>
      </c>
      <c r="Q73" s="13">
        <f>IF(C73="","",IFERROR(INDEX(Products!$B$5:$B$304,MATCH(C73,Products!$A$5:$A$304,0)),"Bundle or deleted"))</f>
        <v>0</v>
      </c>
      <c r="R73" s="13">
        <f>IF(B73="","",TEXT(B73,"yyyy-mm"))</f>
        <v>0</v>
      </c>
      <c r="S73" s="20">
        <f>IF(C73="","",IFERROR(INDEX(Products!$AR$5:$AR$304,MATCH(C73,Products!$A$5:$A$304,0)),""))</f>
        <v>0</v>
      </c>
      <c r="T73" s="20">
        <f>IF(B73="","",IF(F73&lt;&gt;"",F73,IF(S73="",0,S73)))</f>
        <v>0</v>
      </c>
      <c r="U73" s="20">
        <f>IF(B73="","",ROUND(IF(D73="",0,D73)*T73,2))</f>
        <v>0</v>
      </c>
      <c r="V73" s="20">
        <f>IF(B73="","",ROUND(U73-IF(G73="",0,G73)-IF(L73="",0,L73),2))</f>
        <v>0</v>
      </c>
      <c r="W73" s="20">
        <f>IF(C73="","",IFERROR(INDEX(Products!$AT$5:$AT$304,MATCH(C73,Products!$A$5:$A$304,0)),""))</f>
        <v>0</v>
      </c>
      <c r="X73" s="20">
        <f>IF(C73="","",IFERROR(INDEX(Products!$AG$5:$AG$304,MATCH(C73,Products!$A$5:$A$304,0)),""))</f>
        <v>0</v>
      </c>
      <c r="Y73" s="20">
        <f>IF(B73="","",ROUND(IF(D73="",0,D73)*MAX(0,IF(W73="",0,W73)-IF(X73="",0,X73)),2))</f>
        <v>0</v>
      </c>
      <c r="Z73" s="20">
        <f>IF(B73="","",ROUND(MAX(0,IF(J73="",0,J73)-IF(I73="",0,I73)),2))</f>
        <v>0</v>
      </c>
      <c r="AA73" s="33">
        <f>IF(B73="","",IFERROR(INDEX(Channels!$S$5:$S$18,MATCH(IF(E73="",DefaultChannel,E73),Channels!$A$5:$A$18,0)),0))</f>
        <v>0</v>
      </c>
      <c r="AB73" s="20">
        <f>IF(B73="","",IFERROR(INDEX(Channels!$T$5:$T$18,MATCH(IF(E73="",DefaultChannel,E73),Channels!$A$5:$A$18,0)),0))</f>
        <v>0</v>
      </c>
      <c r="AC73" s="42">
        <f>IF(B73="","",IFERROR(INDEX(Channels!$O$5:$O$18,MATCH(IF(E73="",DefaultChannel,E73),Channels!$A$5:$A$18,0)),"No"))</f>
        <v>0</v>
      </c>
      <c r="AD73" s="20">
        <f>IF(B73="","",ROUND((V73+IF(AC73="Yes",IF(I73="",0,I73),0))*AA73+AB73,2))</f>
        <v>0</v>
      </c>
      <c r="AE73" s="20">
        <f>IF(B73="","",IF(K73&lt;&gt;"",K73,AD73))</f>
        <v>0</v>
      </c>
      <c r="AF73" s="20">
        <f>IF(B73="","",IF(K73="","",ROUND(K73-AD73,2)))</f>
        <v>0</v>
      </c>
      <c r="AG73" s="20">
        <f>IF(B73="","",ROUND(V73-Y73-AE73-Z73,2))</f>
        <v>0</v>
      </c>
      <c r="AH73" s="33">
        <f>IF(B73="","",IF(OR(V73="",V73=0),"",AG73/V73))</f>
        <v>0</v>
      </c>
      <c r="AI73" s="33">
        <f>IF(C73="","",IFERROR(INDEX(Products!$AW$5:$AW$304,MATCH(C73,Products!$A$5:$A$304,0)),""))</f>
        <v>0</v>
      </c>
      <c r="AJ73" s="33">
        <f>IF(B73="","",IF(OR(AH73="",AI73=""),"",AH73-AI73))</f>
        <v>0</v>
      </c>
      <c r="AK73" s="41">
        <f>IF(B73="","",IFERROR(ROUND(IF(D73="",0,D73)*INDEX(Products!$X$5:$X$304,MATCH(C73,Products!$A$5:$A$304,0))/60,2),""))</f>
        <v>0</v>
      </c>
      <c r="AL73" s="20">
        <f>IF(B73="","",IF(OR(AK73="",AK73=0),"",ROUND(AG73/AK73,2)))</f>
        <v>0</v>
      </c>
      <c r="AM73" s="43">
        <f>IF(B73="","",IF(C73="","Add - which product?",IF(AG73&lt;0,"Loss - this order cost you money",IF(M73="Refunded","Refunded - check why",IF(AND(AF73&lt;&gt;"",AF73&gt;0.25),"Check - fees higher than your settings",IF(Z73&gt;1,"Check - postage is eating the margin",IF(AND(AH73&lt;&gt;"",AH73&lt;MarginWarning),"Low margin on this order","OK")))))) )</f>
        <v>0</v>
      </c>
    </row>
    <row r="74" spans="1:39">
      <c r="A74" s="38">
        <f>IF(B74="","",SalePrefix&amp;TEXT(ROW()-4,"0000"))</f>
        <v>0</v>
      </c>
      <c r="Q74" s="13">
        <f>IF(C74="","",IFERROR(INDEX(Products!$B$5:$B$304,MATCH(C74,Products!$A$5:$A$304,0)),"Bundle or deleted"))</f>
        <v>0</v>
      </c>
      <c r="R74" s="13">
        <f>IF(B74="","",TEXT(B74,"yyyy-mm"))</f>
        <v>0</v>
      </c>
      <c r="S74" s="20">
        <f>IF(C74="","",IFERROR(INDEX(Products!$AR$5:$AR$304,MATCH(C74,Products!$A$5:$A$304,0)),""))</f>
        <v>0</v>
      </c>
      <c r="T74" s="20">
        <f>IF(B74="","",IF(F74&lt;&gt;"",F74,IF(S74="",0,S74)))</f>
        <v>0</v>
      </c>
      <c r="U74" s="20">
        <f>IF(B74="","",ROUND(IF(D74="",0,D74)*T74,2))</f>
        <v>0</v>
      </c>
      <c r="V74" s="20">
        <f>IF(B74="","",ROUND(U74-IF(G74="",0,G74)-IF(L74="",0,L74),2))</f>
        <v>0</v>
      </c>
      <c r="W74" s="20">
        <f>IF(C74="","",IFERROR(INDEX(Products!$AT$5:$AT$304,MATCH(C74,Products!$A$5:$A$304,0)),""))</f>
        <v>0</v>
      </c>
      <c r="X74" s="20">
        <f>IF(C74="","",IFERROR(INDEX(Products!$AG$5:$AG$304,MATCH(C74,Products!$A$5:$A$304,0)),""))</f>
        <v>0</v>
      </c>
      <c r="Y74" s="20">
        <f>IF(B74="","",ROUND(IF(D74="",0,D74)*MAX(0,IF(W74="",0,W74)-IF(X74="",0,X74)),2))</f>
        <v>0</v>
      </c>
      <c r="Z74" s="20">
        <f>IF(B74="","",ROUND(MAX(0,IF(J74="",0,J74)-IF(I74="",0,I74)),2))</f>
        <v>0</v>
      </c>
      <c r="AA74" s="33">
        <f>IF(B74="","",IFERROR(INDEX(Channels!$S$5:$S$18,MATCH(IF(E74="",DefaultChannel,E74),Channels!$A$5:$A$18,0)),0))</f>
        <v>0</v>
      </c>
      <c r="AB74" s="20">
        <f>IF(B74="","",IFERROR(INDEX(Channels!$T$5:$T$18,MATCH(IF(E74="",DefaultChannel,E74),Channels!$A$5:$A$18,0)),0))</f>
        <v>0</v>
      </c>
      <c r="AC74" s="42">
        <f>IF(B74="","",IFERROR(INDEX(Channels!$O$5:$O$18,MATCH(IF(E74="",DefaultChannel,E74),Channels!$A$5:$A$18,0)),"No"))</f>
        <v>0</v>
      </c>
      <c r="AD74" s="20">
        <f>IF(B74="","",ROUND((V74+IF(AC74="Yes",IF(I74="",0,I74),0))*AA74+AB74,2))</f>
        <v>0</v>
      </c>
      <c r="AE74" s="20">
        <f>IF(B74="","",IF(K74&lt;&gt;"",K74,AD74))</f>
        <v>0</v>
      </c>
      <c r="AF74" s="20">
        <f>IF(B74="","",IF(K74="","",ROUND(K74-AD74,2)))</f>
        <v>0</v>
      </c>
      <c r="AG74" s="20">
        <f>IF(B74="","",ROUND(V74-Y74-AE74-Z74,2))</f>
        <v>0</v>
      </c>
      <c r="AH74" s="33">
        <f>IF(B74="","",IF(OR(V74="",V74=0),"",AG74/V74))</f>
        <v>0</v>
      </c>
      <c r="AI74" s="33">
        <f>IF(C74="","",IFERROR(INDEX(Products!$AW$5:$AW$304,MATCH(C74,Products!$A$5:$A$304,0)),""))</f>
        <v>0</v>
      </c>
      <c r="AJ74" s="33">
        <f>IF(B74="","",IF(OR(AH74="",AI74=""),"",AH74-AI74))</f>
        <v>0</v>
      </c>
      <c r="AK74" s="41">
        <f>IF(B74="","",IFERROR(ROUND(IF(D74="",0,D74)*INDEX(Products!$X$5:$X$304,MATCH(C74,Products!$A$5:$A$304,0))/60,2),""))</f>
        <v>0</v>
      </c>
      <c r="AL74" s="20">
        <f>IF(B74="","",IF(OR(AK74="",AK74=0),"",ROUND(AG74/AK74,2)))</f>
        <v>0</v>
      </c>
      <c r="AM74" s="43">
        <f>IF(B74="","",IF(C74="","Add - which product?",IF(AG74&lt;0,"Loss - this order cost you money",IF(M74="Refunded","Refunded - check why",IF(AND(AF74&lt;&gt;"",AF74&gt;0.25),"Check - fees higher than your settings",IF(Z74&gt;1,"Check - postage is eating the margin",IF(AND(AH74&lt;&gt;"",AH74&lt;MarginWarning),"Low margin on this order","OK")))))) )</f>
        <v>0</v>
      </c>
    </row>
    <row r="75" spans="1:39">
      <c r="A75" s="38">
        <f>IF(B75="","",SalePrefix&amp;TEXT(ROW()-4,"0000"))</f>
        <v>0</v>
      </c>
      <c r="Q75" s="13">
        <f>IF(C75="","",IFERROR(INDEX(Products!$B$5:$B$304,MATCH(C75,Products!$A$5:$A$304,0)),"Bundle or deleted"))</f>
        <v>0</v>
      </c>
      <c r="R75" s="13">
        <f>IF(B75="","",TEXT(B75,"yyyy-mm"))</f>
        <v>0</v>
      </c>
      <c r="S75" s="20">
        <f>IF(C75="","",IFERROR(INDEX(Products!$AR$5:$AR$304,MATCH(C75,Products!$A$5:$A$304,0)),""))</f>
        <v>0</v>
      </c>
      <c r="T75" s="20">
        <f>IF(B75="","",IF(F75&lt;&gt;"",F75,IF(S75="",0,S75)))</f>
        <v>0</v>
      </c>
      <c r="U75" s="20">
        <f>IF(B75="","",ROUND(IF(D75="",0,D75)*T75,2))</f>
        <v>0</v>
      </c>
      <c r="V75" s="20">
        <f>IF(B75="","",ROUND(U75-IF(G75="",0,G75)-IF(L75="",0,L75),2))</f>
        <v>0</v>
      </c>
      <c r="W75" s="20">
        <f>IF(C75="","",IFERROR(INDEX(Products!$AT$5:$AT$304,MATCH(C75,Products!$A$5:$A$304,0)),""))</f>
        <v>0</v>
      </c>
      <c r="X75" s="20">
        <f>IF(C75="","",IFERROR(INDEX(Products!$AG$5:$AG$304,MATCH(C75,Products!$A$5:$A$304,0)),""))</f>
        <v>0</v>
      </c>
      <c r="Y75" s="20">
        <f>IF(B75="","",ROUND(IF(D75="",0,D75)*MAX(0,IF(W75="",0,W75)-IF(X75="",0,X75)),2))</f>
        <v>0</v>
      </c>
      <c r="Z75" s="20">
        <f>IF(B75="","",ROUND(MAX(0,IF(J75="",0,J75)-IF(I75="",0,I75)),2))</f>
        <v>0</v>
      </c>
      <c r="AA75" s="33">
        <f>IF(B75="","",IFERROR(INDEX(Channels!$S$5:$S$18,MATCH(IF(E75="",DefaultChannel,E75),Channels!$A$5:$A$18,0)),0))</f>
        <v>0</v>
      </c>
      <c r="AB75" s="20">
        <f>IF(B75="","",IFERROR(INDEX(Channels!$T$5:$T$18,MATCH(IF(E75="",DefaultChannel,E75),Channels!$A$5:$A$18,0)),0))</f>
        <v>0</v>
      </c>
      <c r="AC75" s="42">
        <f>IF(B75="","",IFERROR(INDEX(Channels!$O$5:$O$18,MATCH(IF(E75="",DefaultChannel,E75),Channels!$A$5:$A$18,0)),"No"))</f>
        <v>0</v>
      </c>
      <c r="AD75" s="20">
        <f>IF(B75="","",ROUND((V75+IF(AC75="Yes",IF(I75="",0,I75),0))*AA75+AB75,2))</f>
        <v>0</v>
      </c>
      <c r="AE75" s="20">
        <f>IF(B75="","",IF(K75&lt;&gt;"",K75,AD75))</f>
        <v>0</v>
      </c>
      <c r="AF75" s="20">
        <f>IF(B75="","",IF(K75="","",ROUND(K75-AD75,2)))</f>
        <v>0</v>
      </c>
      <c r="AG75" s="20">
        <f>IF(B75="","",ROUND(V75-Y75-AE75-Z75,2))</f>
        <v>0</v>
      </c>
      <c r="AH75" s="33">
        <f>IF(B75="","",IF(OR(V75="",V75=0),"",AG75/V75))</f>
        <v>0</v>
      </c>
      <c r="AI75" s="33">
        <f>IF(C75="","",IFERROR(INDEX(Products!$AW$5:$AW$304,MATCH(C75,Products!$A$5:$A$304,0)),""))</f>
        <v>0</v>
      </c>
      <c r="AJ75" s="33">
        <f>IF(B75="","",IF(OR(AH75="",AI75=""),"",AH75-AI75))</f>
        <v>0</v>
      </c>
      <c r="AK75" s="41">
        <f>IF(B75="","",IFERROR(ROUND(IF(D75="",0,D75)*INDEX(Products!$X$5:$X$304,MATCH(C75,Products!$A$5:$A$304,0))/60,2),""))</f>
        <v>0</v>
      </c>
      <c r="AL75" s="20">
        <f>IF(B75="","",IF(OR(AK75="",AK75=0),"",ROUND(AG75/AK75,2)))</f>
        <v>0</v>
      </c>
      <c r="AM75" s="43">
        <f>IF(B75="","",IF(C75="","Add - which product?",IF(AG75&lt;0,"Loss - this order cost you money",IF(M75="Refunded","Refunded - check why",IF(AND(AF75&lt;&gt;"",AF75&gt;0.25),"Check - fees higher than your settings",IF(Z75&gt;1,"Check - postage is eating the margin",IF(AND(AH75&lt;&gt;"",AH75&lt;MarginWarning),"Low margin on this order","OK")))))) )</f>
        <v>0</v>
      </c>
    </row>
    <row r="76" spans="1:39">
      <c r="A76" s="38">
        <f>IF(B76="","",SalePrefix&amp;TEXT(ROW()-4,"0000"))</f>
        <v>0</v>
      </c>
      <c r="Q76" s="13">
        <f>IF(C76="","",IFERROR(INDEX(Products!$B$5:$B$304,MATCH(C76,Products!$A$5:$A$304,0)),"Bundle or deleted"))</f>
        <v>0</v>
      </c>
      <c r="R76" s="13">
        <f>IF(B76="","",TEXT(B76,"yyyy-mm"))</f>
        <v>0</v>
      </c>
      <c r="S76" s="20">
        <f>IF(C76="","",IFERROR(INDEX(Products!$AR$5:$AR$304,MATCH(C76,Products!$A$5:$A$304,0)),""))</f>
        <v>0</v>
      </c>
      <c r="T76" s="20">
        <f>IF(B76="","",IF(F76&lt;&gt;"",F76,IF(S76="",0,S76)))</f>
        <v>0</v>
      </c>
      <c r="U76" s="20">
        <f>IF(B76="","",ROUND(IF(D76="",0,D76)*T76,2))</f>
        <v>0</v>
      </c>
      <c r="V76" s="20">
        <f>IF(B76="","",ROUND(U76-IF(G76="",0,G76)-IF(L76="",0,L76),2))</f>
        <v>0</v>
      </c>
      <c r="W76" s="20">
        <f>IF(C76="","",IFERROR(INDEX(Products!$AT$5:$AT$304,MATCH(C76,Products!$A$5:$A$304,0)),""))</f>
        <v>0</v>
      </c>
      <c r="X76" s="20">
        <f>IF(C76="","",IFERROR(INDEX(Products!$AG$5:$AG$304,MATCH(C76,Products!$A$5:$A$304,0)),""))</f>
        <v>0</v>
      </c>
      <c r="Y76" s="20">
        <f>IF(B76="","",ROUND(IF(D76="",0,D76)*MAX(0,IF(W76="",0,W76)-IF(X76="",0,X76)),2))</f>
        <v>0</v>
      </c>
      <c r="Z76" s="20">
        <f>IF(B76="","",ROUND(MAX(0,IF(J76="",0,J76)-IF(I76="",0,I76)),2))</f>
        <v>0</v>
      </c>
      <c r="AA76" s="33">
        <f>IF(B76="","",IFERROR(INDEX(Channels!$S$5:$S$18,MATCH(IF(E76="",DefaultChannel,E76),Channels!$A$5:$A$18,0)),0))</f>
        <v>0</v>
      </c>
      <c r="AB76" s="20">
        <f>IF(B76="","",IFERROR(INDEX(Channels!$T$5:$T$18,MATCH(IF(E76="",DefaultChannel,E76),Channels!$A$5:$A$18,0)),0))</f>
        <v>0</v>
      </c>
      <c r="AC76" s="42">
        <f>IF(B76="","",IFERROR(INDEX(Channels!$O$5:$O$18,MATCH(IF(E76="",DefaultChannel,E76),Channels!$A$5:$A$18,0)),"No"))</f>
        <v>0</v>
      </c>
      <c r="AD76" s="20">
        <f>IF(B76="","",ROUND((V76+IF(AC76="Yes",IF(I76="",0,I76),0))*AA76+AB76,2))</f>
        <v>0</v>
      </c>
      <c r="AE76" s="20">
        <f>IF(B76="","",IF(K76&lt;&gt;"",K76,AD76))</f>
        <v>0</v>
      </c>
      <c r="AF76" s="20">
        <f>IF(B76="","",IF(K76="","",ROUND(K76-AD76,2)))</f>
        <v>0</v>
      </c>
      <c r="AG76" s="20">
        <f>IF(B76="","",ROUND(V76-Y76-AE76-Z76,2))</f>
        <v>0</v>
      </c>
      <c r="AH76" s="33">
        <f>IF(B76="","",IF(OR(V76="",V76=0),"",AG76/V76))</f>
        <v>0</v>
      </c>
      <c r="AI76" s="33">
        <f>IF(C76="","",IFERROR(INDEX(Products!$AW$5:$AW$304,MATCH(C76,Products!$A$5:$A$304,0)),""))</f>
        <v>0</v>
      </c>
      <c r="AJ76" s="33">
        <f>IF(B76="","",IF(OR(AH76="",AI76=""),"",AH76-AI76))</f>
        <v>0</v>
      </c>
      <c r="AK76" s="41">
        <f>IF(B76="","",IFERROR(ROUND(IF(D76="",0,D76)*INDEX(Products!$X$5:$X$304,MATCH(C76,Products!$A$5:$A$304,0))/60,2),""))</f>
        <v>0</v>
      </c>
      <c r="AL76" s="20">
        <f>IF(B76="","",IF(OR(AK76="",AK76=0),"",ROUND(AG76/AK76,2)))</f>
        <v>0</v>
      </c>
      <c r="AM76" s="43">
        <f>IF(B76="","",IF(C76="","Add - which product?",IF(AG76&lt;0,"Loss - this order cost you money",IF(M76="Refunded","Refunded - check why",IF(AND(AF76&lt;&gt;"",AF76&gt;0.25),"Check - fees higher than your settings",IF(Z76&gt;1,"Check - postage is eating the margin",IF(AND(AH76&lt;&gt;"",AH76&lt;MarginWarning),"Low margin on this order","OK")))))) )</f>
        <v>0</v>
      </c>
    </row>
    <row r="77" spans="1:39">
      <c r="A77" s="38">
        <f>IF(B77="","",SalePrefix&amp;TEXT(ROW()-4,"0000"))</f>
        <v>0</v>
      </c>
      <c r="Q77" s="13">
        <f>IF(C77="","",IFERROR(INDEX(Products!$B$5:$B$304,MATCH(C77,Products!$A$5:$A$304,0)),"Bundle or deleted"))</f>
        <v>0</v>
      </c>
      <c r="R77" s="13">
        <f>IF(B77="","",TEXT(B77,"yyyy-mm"))</f>
        <v>0</v>
      </c>
      <c r="S77" s="20">
        <f>IF(C77="","",IFERROR(INDEX(Products!$AR$5:$AR$304,MATCH(C77,Products!$A$5:$A$304,0)),""))</f>
        <v>0</v>
      </c>
      <c r="T77" s="20">
        <f>IF(B77="","",IF(F77&lt;&gt;"",F77,IF(S77="",0,S77)))</f>
        <v>0</v>
      </c>
      <c r="U77" s="20">
        <f>IF(B77="","",ROUND(IF(D77="",0,D77)*T77,2))</f>
        <v>0</v>
      </c>
      <c r="V77" s="20">
        <f>IF(B77="","",ROUND(U77-IF(G77="",0,G77)-IF(L77="",0,L77),2))</f>
        <v>0</v>
      </c>
      <c r="W77" s="20">
        <f>IF(C77="","",IFERROR(INDEX(Products!$AT$5:$AT$304,MATCH(C77,Products!$A$5:$A$304,0)),""))</f>
        <v>0</v>
      </c>
      <c r="X77" s="20">
        <f>IF(C77="","",IFERROR(INDEX(Products!$AG$5:$AG$304,MATCH(C77,Products!$A$5:$A$304,0)),""))</f>
        <v>0</v>
      </c>
      <c r="Y77" s="20">
        <f>IF(B77="","",ROUND(IF(D77="",0,D77)*MAX(0,IF(W77="",0,W77)-IF(X77="",0,X77)),2))</f>
        <v>0</v>
      </c>
      <c r="Z77" s="20">
        <f>IF(B77="","",ROUND(MAX(0,IF(J77="",0,J77)-IF(I77="",0,I77)),2))</f>
        <v>0</v>
      </c>
      <c r="AA77" s="33">
        <f>IF(B77="","",IFERROR(INDEX(Channels!$S$5:$S$18,MATCH(IF(E77="",DefaultChannel,E77),Channels!$A$5:$A$18,0)),0))</f>
        <v>0</v>
      </c>
      <c r="AB77" s="20">
        <f>IF(B77="","",IFERROR(INDEX(Channels!$T$5:$T$18,MATCH(IF(E77="",DefaultChannel,E77),Channels!$A$5:$A$18,0)),0))</f>
        <v>0</v>
      </c>
      <c r="AC77" s="42">
        <f>IF(B77="","",IFERROR(INDEX(Channels!$O$5:$O$18,MATCH(IF(E77="",DefaultChannel,E77),Channels!$A$5:$A$18,0)),"No"))</f>
        <v>0</v>
      </c>
      <c r="AD77" s="20">
        <f>IF(B77="","",ROUND((V77+IF(AC77="Yes",IF(I77="",0,I77),0))*AA77+AB77,2))</f>
        <v>0</v>
      </c>
      <c r="AE77" s="20">
        <f>IF(B77="","",IF(K77&lt;&gt;"",K77,AD77))</f>
        <v>0</v>
      </c>
      <c r="AF77" s="20">
        <f>IF(B77="","",IF(K77="","",ROUND(K77-AD77,2)))</f>
        <v>0</v>
      </c>
      <c r="AG77" s="20">
        <f>IF(B77="","",ROUND(V77-Y77-AE77-Z77,2))</f>
        <v>0</v>
      </c>
      <c r="AH77" s="33">
        <f>IF(B77="","",IF(OR(V77="",V77=0),"",AG77/V77))</f>
        <v>0</v>
      </c>
      <c r="AI77" s="33">
        <f>IF(C77="","",IFERROR(INDEX(Products!$AW$5:$AW$304,MATCH(C77,Products!$A$5:$A$304,0)),""))</f>
        <v>0</v>
      </c>
      <c r="AJ77" s="33">
        <f>IF(B77="","",IF(OR(AH77="",AI77=""),"",AH77-AI77))</f>
        <v>0</v>
      </c>
      <c r="AK77" s="41">
        <f>IF(B77="","",IFERROR(ROUND(IF(D77="",0,D77)*INDEX(Products!$X$5:$X$304,MATCH(C77,Products!$A$5:$A$304,0))/60,2),""))</f>
        <v>0</v>
      </c>
      <c r="AL77" s="20">
        <f>IF(B77="","",IF(OR(AK77="",AK77=0),"",ROUND(AG77/AK77,2)))</f>
        <v>0</v>
      </c>
      <c r="AM77" s="43">
        <f>IF(B77="","",IF(C77="","Add - which product?",IF(AG77&lt;0,"Loss - this order cost you money",IF(M77="Refunded","Refunded - check why",IF(AND(AF77&lt;&gt;"",AF77&gt;0.25),"Check - fees higher than your settings",IF(Z77&gt;1,"Check - postage is eating the margin",IF(AND(AH77&lt;&gt;"",AH77&lt;MarginWarning),"Low margin on this order","OK")))))) )</f>
        <v>0</v>
      </c>
    </row>
    <row r="78" spans="1:39">
      <c r="A78" s="38">
        <f>IF(B78="","",SalePrefix&amp;TEXT(ROW()-4,"0000"))</f>
        <v>0</v>
      </c>
      <c r="Q78" s="13">
        <f>IF(C78="","",IFERROR(INDEX(Products!$B$5:$B$304,MATCH(C78,Products!$A$5:$A$304,0)),"Bundle or deleted"))</f>
        <v>0</v>
      </c>
      <c r="R78" s="13">
        <f>IF(B78="","",TEXT(B78,"yyyy-mm"))</f>
        <v>0</v>
      </c>
      <c r="S78" s="20">
        <f>IF(C78="","",IFERROR(INDEX(Products!$AR$5:$AR$304,MATCH(C78,Products!$A$5:$A$304,0)),""))</f>
        <v>0</v>
      </c>
      <c r="T78" s="20">
        <f>IF(B78="","",IF(F78&lt;&gt;"",F78,IF(S78="",0,S78)))</f>
        <v>0</v>
      </c>
      <c r="U78" s="20">
        <f>IF(B78="","",ROUND(IF(D78="",0,D78)*T78,2))</f>
        <v>0</v>
      </c>
      <c r="V78" s="20">
        <f>IF(B78="","",ROUND(U78-IF(G78="",0,G78)-IF(L78="",0,L78),2))</f>
        <v>0</v>
      </c>
      <c r="W78" s="20">
        <f>IF(C78="","",IFERROR(INDEX(Products!$AT$5:$AT$304,MATCH(C78,Products!$A$5:$A$304,0)),""))</f>
        <v>0</v>
      </c>
      <c r="X78" s="20">
        <f>IF(C78="","",IFERROR(INDEX(Products!$AG$5:$AG$304,MATCH(C78,Products!$A$5:$A$304,0)),""))</f>
        <v>0</v>
      </c>
      <c r="Y78" s="20">
        <f>IF(B78="","",ROUND(IF(D78="",0,D78)*MAX(0,IF(W78="",0,W78)-IF(X78="",0,X78)),2))</f>
        <v>0</v>
      </c>
      <c r="Z78" s="20">
        <f>IF(B78="","",ROUND(MAX(0,IF(J78="",0,J78)-IF(I78="",0,I78)),2))</f>
        <v>0</v>
      </c>
      <c r="AA78" s="33">
        <f>IF(B78="","",IFERROR(INDEX(Channels!$S$5:$S$18,MATCH(IF(E78="",DefaultChannel,E78),Channels!$A$5:$A$18,0)),0))</f>
        <v>0</v>
      </c>
      <c r="AB78" s="20">
        <f>IF(B78="","",IFERROR(INDEX(Channels!$T$5:$T$18,MATCH(IF(E78="",DefaultChannel,E78),Channels!$A$5:$A$18,0)),0))</f>
        <v>0</v>
      </c>
      <c r="AC78" s="42">
        <f>IF(B78="","",IFERROR(INDEX(Channels!$O$5:$O$18,MATCH(IF(E78="",DefaultChannel,E78),Channels!$A$5:$A$18,0)),"No"))</f>
        <v>0</v>
      </c>
      <c r="AD78" s="20">
        <f>IF(B78="","",ROUND((V78+IF(AC78="Yes",IF(I78="",0,I78),0))*AA78+AB78,2))</f>
        <v>0</v>
      </c>
      <c r="AE78" s="20">
        <f>IF(B78="","",IF(K78&lt;&gt;"",K78,AD78))</f>
        <v>0</v>
      </c>
      <c r="AF78" s="20">
        <f>IF(B78="","",IF(K78="","",ROUND(K78-AD78,2)))</f>
        <v>0</v>
      </c>
      <c r="AG78" s="20">
        <f>IF(B78="","",ROUND(V78-Y78-AE78-Z78,2))</f>
        <v>0</v>
      </c>
      <c r="AH78" s="33">
        <f>IF(B78="","",IF(OR(V78="",V78=0),"",AG78/V78))</f>
        <v>0</v>
      </c>
      <c r="AI78" s="33">
        <f>IF(C78="","",IFERROR(INDEX(Products!$AW$5:$AW$304,MATCH(C78,Products!$A$5:$A$304,0)),""))</f>
        <v>0</v>
      </c>
      <c r="AJ78" s="33">
        <f>IF(B78="","",IF(OR(AH78="",AI78=""),"",AH78-AI78))</f>
        <v>0</v>
      </c>
      <c r="AK78" s="41">
        <f>IF(B78="","",IFERROR(ROUND(IF(D78="",0,D78)*INDEX(Products!$X$5:$X$304,MATCH(C78,Products!$A$5:$A$304,0))/60,2),""))</f>
        <v>0</v>
      </c>
      <c r="AL78" s="20">
        <f>IF(B78="","",IF(OR(AK78="",AK78=0),"",ROUND(AG78/AK78,2)))</f>
        <v>0</v>
      </c>
      <c r="AM78" s="43">
        <f>IF(B78="","",IF(C78="","Add - which product?",IF(AG78&lt;0,"Loss - this order cost you money",IF(M78="Refunded","Refunded - check why",IF(AND(AF78&lt;&gt;"",AF78&gt;0.25),"Check - fees higher than your settings",IF(Z78&gt;1,"Check - postage is eating the margin",IF(AND(AH78&lt;&gt;"",AH78&lt;MarginWarning),"Low margin on this order","OK")))))) )</f>
        <v>0</v>
      </c>
    </row>
    <row r="79" spans="1:39">
      <c r="A79" s="38">
        <f>IF(B79="","",SalePrefix&amp;TEXT(ROW()-4,"0000"))</f>
        <v>0</v>
      </c>
      <c r="Q79" s="13">
        <f>IF(C79="","",IFERROR(INDEX(Products!$B$5:$B$304,MATCH(C79,Products!$A$5:$A$304,0)),"Bundle or deleted"))</f>
        <v>0</v>
      </c>
      <c r="R79" s="13">
        <f>IF(B79="","",TEXT(B79,"yyyy-mm"))</f>
        <v>0</v>
      </c>
      <c r="S79" s="20">
        <f>IF(C79="","",IFERROR(INDEX(Products!$AR$5:$AR$304,MATCH(C79,Products!$A$5:$A$304,0)),""))</f>
        <v>0</v>
      </c>
      <c r="T79" s="20">
        <f>IF(B79="","",IF(F79&lt;&gt;"",F79,IF(S79="",0,S79)))</f>
        <v>0</v>
      </c>
      <c r="U79" s="20">
        <f>IF(B79="","",ROUND(IF(D79="",0,D79)*T79,2))</f>
        <v>0</v>
      </c>
      <c r="V79" s="20">
        <f>IF(B79="","",ROUND(U79-IF(G79="",0,G79)-IF(L79="",0,L79),2))</f>
        <v>0</v>
      </c>
      <c r="W79" s="20">
        <f>IF(C79="","",IFERROR(INDEX(Products!$AT$5:$AT$304,MATCH(C79,Products!$A$5:$A$304,0)),""))</f>
        <v>0</v>
      </c>
      <c r="X79" s="20">
        <f>IF(C79="","",IFERROR(INDEX(Products!$AG$5:$AG$304,MATCH(C79,Products!$A$5:$A$304,0)),""))</f>
        <v>0</v>
      </c>
      <c r="Y79" s="20">
        <f>IF(B79="","",ROUND(IF(D79="",0,D79)*MAX(0,IF(W79="",0,W79)-IF(X79="",0,X79)),2))</f>
        <v>0</v>
      </c>
      <c r="Z79" s="20">
        <f>IF(B79="","",ROUND(MAX(0,IF(J79="",0,J79)-IF(I79="",0,I79)),2))</f>
        <v>0</v>
      </c>
      <c r="AA79" s="33">
        <f>IF(B79="","",IFERROR(INDEX(Channels!$S$5:$S$18,MATCH(IF(E79="",DefaultChannel,E79),Channels!$A$5:$A$18,0)),0))</f>
        <v>0</v>
      </c>
      <c r="AB79" s="20">
        <f>IF(B79="","",IFERROR(INDEX(Channels!$T$5:$T$18,MATCH(IF(E79="",DefaultChannel,E79),Channels!$A$5:$A$18,0)),0))</f>
        <v>0</v>
      </c>
      <c r="AC79" s="42">
        <f>IF(B79="","",IFERROR(INDEX(Channels!$O$5:$O$18,MATCH(IF(E79="",DefaultChannel,E79),Channels!$A$5:$A$18,0)),"No"))</f>
        <v>0</v>
      </c>
      <c r="AD79" s="20">
        <f>IF(B79="","",ROUND((V79+IF(AC79="Yes",IF(I79="",0,I79),0))*AA79+AB79,2))</f>
        <v>0</v>
      </c>
      <c r="AE79" s="20">
        <f>IF(B79="","",IF(K79&lt;&gt;"",K79,AD79))</f>
        <v>0</v>
      </c>
      <c r="AF79" s="20">
        <f>IF(B79="","",IF(K79="","",ROUND(K79-AD79,2)))</f>
        <v>0</v>
      </c>
      <c r="AG79" s="20">
        <f>IF(B79="","",ROUND(V79-Y79-AE79-Z79,2))</f>
        <v>0</v>
      </c>
      <c r="AH79" s="33">
        <f>IF(B79="","",IF(OR(V79="",V79=0),"",AG79/V79))</f>
        <v>0</v>
      </c>
      <c r="AI79" s="33">
        <f>IF(C79="","",IFERROR(INDEX(Products!$AW$5:$AW$304,MATCH(C79,Products!$A$5:$A$304,0)),""))</f>
        <v>0</v>
      </c>
      <c r="AJ79" s="33">
        <f>IF(B79="","",IF(OR(AH79="",AI79=""),"",AH79-AI79))</f>
        <v>0</v>
      </c>
      <c r="AK79" s="41">
        <f>IF(B79="","",IFERROR(ROUND(IF(D79="",0,D79)*INDEX(Products!$X$5:$X$304,MATCH(C79,Products!$A$5:$A$304,0))/60,2),""))</f>
        <v>0</v>
      </c>
      <c r="AL79" s="20">
        <f>IF(B79="","",IF(OR(AK79="",AK79=0),"",ROUND(AG79/AK79,2)))</f>
        <v>0</v>
      </c>
      <c r="AM79" s="43">
        <f>IF(B79="","",IF(C79="","Add - which product?",IF(AG79&lt;0,"Loss - this order cost you money",IF(M79="Refunded","Refunded - check why",IF(AND(AF79&lt;&gt;"",AF79&gt;0.25),"Check - fees higher than your settings",IF(Z79&gt;1,"Check - postage is eating the margin",IF(AND(AH79&lt;&gt;"",AH79&lt;MarginWarning),"Low margin on this order","OK")))))) )</f>
        <v>0</v>
      </c>
    </row>
    <row r="80" spans="1:39">
      <c r="A80" s="38">
        <f>IF(B80="","",SalePrefix&amp;TEXT(ROW()-4,"0000"))</f>
        <v>0</v>
      </c>
      <c r="Q80" s="13">
        <f>IF(C80="","",IFERROR(INDEX(Products!$B$5:$B$304,MATCH(C80,Products!$A$5:$A$304,0)),"Bundle or deleted"))</f>
        <v>0</v>
      </c>
      <c r="R80" s="13">
        <f>IF(B80="","",TEXT(B80,"yyyy-mm"))</f>
        <v>0</v>
      </c>
      <c r="S80" s="20">
        <f>IF(C80="","",IFERROR(INDEX(Products!$AR$5:$AR$304,MATCH(C80,Products!$A$5:$A$304,0)),""))</f>
        <v>0</v>
      </c>
      <c r="T80" s="20">
        <f>IF(B80="","",IF(F80&lt;&gt;"",F80,IF(S80="",0,S80)))</f>
        <v>0</v>
      </c>
      <c r="U80" s="20">
        <f>IF(B80="","",ROUND(IF(D80="",0,D80)*T80,2))</f>
        <v>0</v>
      </c>
      <c r="V80" s="20">
        <f>IF(B80="","",ROUND(U80-IF(G80="",0,G80)-IF(L80="",0,L80),2))</f>
        <v>0</v>
      </c>
      <c r="W80" s="20">
        <f>IF(C80="","",IFERROR(INDEX(Products!$AT$5:$AT$304,MATCH(C80,Products!$A$5:$A$304,0)),""))</f>
        <v>0</v>
      </c>
      <c r="X80" s="20">
        <f>IF(C80="","",IFERROR(INDEX(Products!$AG$5:$AG$304,MATCH(C80,Products!$A$5:$A$304,0)),""))</f>
        <v>0</v>
      </c>
      <c r="Y80" s="20">
        <f>IF(B80="","",ROUND(IF(D80="",0,D80)*MAX(0,IF(W80="",0,W80)-IF(X80="",0,X80)),2))</f>
        <v>0</v>
      </c>
      <c r="Z80" s="20">
        <f>IF(B80="","",ROUND(MAX(0,IF(J80="",0,J80)-IF(I80="",0,I80)),2))</f>
        <v>0</v>
      </c>
      <c r="AA80" s="33">
        <f>IF(B80="","",IFERROR(INDEX(Channels!$S$5:$S$18,MATCH(IF(E80="",DefaultChannel,E80),Channels!$A$5:$A$18,0)),0))</f>
        <v>0</v>
      </c>
      <c r="AB80" s="20">
        <f>IF(B80="","",IFERROR(INDEX(Channels!$T$5:$T$18,MATCH(IF(E80="",DefaultChannel,E80),Channels!$A$5:$A$18,0)),0))</f>
        <v>0</v>
      </c>
      <c r="AC80" s="42">
        <f>IF(B80="","",IFERROR(INDEX(Channels!$O$5:$O$18,MATCH(IF(E80="",DefaultChannel,E80),Channels!$A$5:$A$18,0)),"No"))</f>
        <v>0</v>
      </c>
      <c r="AD80" s="20">
        <f>IF(B80="","",ROUND((V80+IF(AC80="Yes",IF(I80="",0,I80),0))*AA80+AB80,2))</f>
        <v>0</v>
      </c>
      <c r="AE80" s="20">
        <f>IF(B80="","",IF(K80&lt;&gt;"",K80,AD80))</f>
        <v>0</v>
      </c>
      <c r="AF80" s="20">
        <f>IF(B80="","",IF(K80="","",ROUND(K80-AD80,2)))</f>
        <v>0</v>
      </c>
      <c r="AG80" s="20">
        <f>IF(B80="","",ROUND(V80-Y80-AE80-Z80,2))</f>
        <v>0</v>
      </c>
      <c r="AH80" s="33">
        <f>IF(B80="","",IF(OR(V80="",V80=0),"",AG80/V80))</f>
        <v>0</v>
      </c>
      <c r="AI80" s="33">
        <f>IF(C80="","",IFERROR(INDEX(Products!$AW$5:$AW$304,MATCH(C80,Products!$A$5:$A$304,0)),""))</f>
        <v>0</v>
      </c>
      <c r="AJ80" s="33">
        <f>IF(B80="","",IF(OR(AH80="",AI80=""),"",AH80-AI80))</f>
        <v>0</v>
      </c>
      <c r="AK80" s="41">
        <f>IF(B80="","",IFERROR(ROUND(IF(D80="",0,D80)*INDEX(Products!$X$5:$X$304,MATCH(C80,Products!$A$5:$A$304,0))/60,2),""))</f>
        <v>0</v>
      </c>
      <c r="AL80" s="20">
        <f>IF(B80="","",IF(OR(AK80="",AK80=0),"",ROUND(AG80/AK80,2)))</f>
        <v>0</v>
      </c>
      <c r="AM80" s="43">
        <f>IF(B80="","",IF(C80="","Add - which product?",IF(AG80&lt;0,"Loss - this order cost you money",IF(M80="Refunded","Refunded - check why",IF(AND(AF80&lt;&gt;"",AF80&gt;0.25),"Check - fees higher than your settings",IF(Z80&gt;1,"Check - postage is eating the margin",IF(AND(AH80&lt;&gt;"",AH80&lt;MarginWarning),"Low margin on this order","OK")))))) )</f>
        <v>0</v>
      </c>
    </row>
    <row r="81" spans="1:39">
      <c r="A81" s="38">
        <f>IF(B81="","",SalePrefix&amp;TEXT(ROW()-4,"0000"))</f>
        <v>0</v>
      </c>
      <c r="Q81" s="13">
        <f>IF(C81="","",IFERROR(INDEX(Products!$B$5:$B$304,MATCH(C81,Products!$A$5:$A$304,0)),"Bundle or deleted"))</f>
        <v>0</v>
      </c>
      <c r="R81" s="13">
        <f>IF(B81="","",TEXT(B81,"yyyy-mm"))</f>
        <v>0</v>
      </c>
      <c r="S81" s="20">
        <f>IF(C81="","",IFERROR(INDEX(Products!$AR$5:$AR$304,MATCH(C81,Products!$A$5:$A$304,0)),""))</f>
        <v>0</v>
      </c>
      <c r="T81" s="20">
        <f>IF(B81="","",IF(F81&lt;&gt;"",F81,IF(S81="",0,S81)))</f>
        <v>0</v>
      </c>
      <c r="U81" s="20">
        <f>IF(B81="","",ROUND(IF(D81="",0,D81)*T81,2))</f>
        <v>0</v>
      </c>
      <c r="V81" s="20">
        <f>IF(B81="","",ROUND(U81-IF(G81="",0,G81)-IF(L81="",0,L81),2))</f>
        <v>0</v>
      </c>
      <c r="W81" s="20">
        <f>IF(C81="","",IFERROR(INDEX(Products!$AT$5:$AT$304,MATCH(C81,Products!$A$5:$A$304,0)),""))</f>
        <v>0</v>
      </c>
      <c r="X81" s="20">
        <f>IF(C81="","",IFERROR(INDEX(Products!$AG$5:$AG$304,MATCH(C81,Products!$A$5:$A$304,0)),""))</f>
        <v>0</v>
      </c>
      <c r="Y81" s="20">
        <f>IF(B81="","",ROUND(IF(D81="",0,D81)*MAX(0,IF(W81="",0,W81)-IF(X81="",0,X81)),2))</f>
        <v>0</v>
      </c>
      <c r="Z81" s="20">
        <f>IF(B81="","",ROUND(MAX(0,IF(J81="",0,J81)-IF(I81="",0,I81)),2))</f>
        <v>0</v>
      </c>
      <c r="AA81" s="33">
        <f>IF(B81="","",IFERROR(INDEX(Channels!$S$5:$S$18,MATCH(IF(E81="",DefaultChannel,E81),Channels!$A$5:$A$18,0)),0))</f>
        <v>0</v>
      </c>
      <c r="AB81" s="20">
        <f>IF(B81="","",IFERROR(INDEX(Channels!$T$5:$T$18,MATCH(IF(E81="",DefaultChannel,E81),Channels!$A$5:$A$18,0)),0))</f>
        <v>0</v>
      </c>
      <c r="AC81" s="42">
        <f>IF(B81="","",IFERROR(INDEX(Channels!$O$5:$O$18,MATCH(IF(E81="",DefaultChannel,E81),Channels!$A$5:$A$18,0)),"No"))</f>
        <v>0</v>
      </c>
      <c r="AD81" s="20">
        <f>IF(B81="","",ROUND((V81+IF(AC81="Yes",IF(I81="",0,I81),0))*AA81+AB81,2))</f>
        <v>0</v>
      </c>
      <c r="AE81" s="20">
        <f>IF(B81="","",IF(K81&lt;&gt;"",K81,AD81))</f>
        <v>0</v>
      </c>
      <c r="AF81" s="20">
        <f>IF(B81="","",IF(K81="","",ROUND(K81-AD81,2)))</f>
        <v>0</v>
      </c>
      <c r="AG81" s="20">
        <f>IF(B81="","",ROUND(V81-Y81-AE81-Z81,2))</f>
        <v>0</v>
      </c>
      <c r="AH81" s="33">
        <f>IF(B81="","",IF(OR(V81="",V81=0),"",AG81/V81))</f>
        <v>0</v>
      </c>
      <c r="AI81" s="33">
        <f>IF(C81="","",IFERROR(INDEX(Products!$AW$5:$AW$304,MATCH(C81,Products!$A$5:$A$304,0)),""))</f>
        <v>0</v>
      </c>
      <c r="AJ81" s="33">
        <f>IF(B81="","",IF(OR(AH81="",AI81=""),"",AH81-AI81))</f>
        <v>0</v>
      </c>
      <c r="AK81" s="41">
        <f>IF(B81="","",IFERROR(ROUND(IF(D81="",0,D81)*INDEX(Products!$X$5:$X$304,MATCH(C81,Products!$A$5:$A$304,0))/60,2),""))</f>
        <v>0</v>
      </c>
      <c r="AL81" s="20">
        <f>IF(B81="","",IF(OR(AK81="",AK81=0),"",ROUND(AG81/AK81,2)))</f>
        <v>0</v>
      </c>
      <c r="AM81" s="43">
        <f>IF(B81="","",IF(C81="","Add - which product?",IF(AG81&lt;0,"Loss - this order cost you money",IF(M81="Refunded","Refunded - check why",IF(AND(AF81&lt;&gt;"",AF81&gt;0.25),"Check - fees higher than your settings",IF(Z81&gt;1,"Check - postage is eating the margin",IF(AND(AH81&lt;&gt;"",AH81&lt;MarginWarning),"Low margin on this order","OK")))))) )</f>
        <v>0</v>
      </c>
    </row>
    <row r="82" spans="1:39">
      <c r="A82" s="38">
        <f>IF(B82="","",SalePrefix&amp;TEXT(ROW()-4,"0000"))</f>
        <v>0</v>
      </c>
      <c r="Q82" s="13">
        <f>IF(C82="","",IFERROR(INDEX(Products!$B$5:$B$304,MATCH(C82,Products!$A$5:$A$304,0)),"Bundle or deleted"))</f>
        <v>0</v>
      </c>
      <c r="R82" s="13">
        <f>IF(B82="","",TEXT(B82,"yyyy-mm"))</f>
        <v>0</v>
      </c>
      <c r="S82" s="20">
        <f>IF(C82="","",IFERROR(INDEX(Products!$AR$5:$AR$304,MATCH(C82,Products!$A$5:$A$304,0)),""))</f>
        <v>0</v>
      </c>
      <c r="T82" s="20">
        <f>IF(B82="","",IF(F82&lt;&gt;"",F82,IF(S82="",0,S82)))</f>
        <v>0</v>
      </c>
      <c r="U82" s="20">
        <f>IF(B82="","",ROUND(IF(D82="",0,D82)*T82,2))</f>
        <v>0</v>
      </c>
      <c r="V82" s="20">
        <f>IF(B82="","",ROUND(U82-IF(G82="",0,G82)-IF(L82="",0,L82),2))</f>
        <v>0</v>
      </c>
      <c r="W82" s="20">
        <f>IF(C82="","",IFERROR(INDEX(Products!$AT$5:$AT$304,MATCH(C82,Products!$A$5:$A$304,0)),""))</f>
        <v>0</v>
      </c>
      <c r="X82" s="20">
        <f>IF(C82="","",IFERROR(INDEX(Products!$AG$5:$AG$304,MATCH(C82,Products!$A$5:$A$304,0)),""))</f>
        <v>0</v>
      </c>
      <c r="Y82" s="20">
        <f>IF(B82="","",ROUND(IF(D82="",0,D82)*MAX(0,IF(W82="",0,W82)-IF(X82="",0,X82)),2))</f>
        <v>0</v>
      </c>
      <c r="Z82" s="20">
        <f>IF(B82="","",ROUND(MAX(0,IF(J82="",0,J82)-IF(I82="",0,I82)),2))</f>
        <v>0</v>
      </c>
      <c r="AA82" s="33">
        <f>IF(B82="","",IFERROR(INDEX(Channels!$S$5:$S$18,MATCH(IF(E82="",DefaultChannel,E82),Channels!$A$5:$A$18,0)),0))</f>
        <v>0</v>
      </c>
      <c r="AB82" s="20">
        <f>IF(B82="","",IFERROR(INDEX(Channels!$T$5:$T$18,MATCH(IF(E82="",DefaultChannel,E82),Channels!$A$5:$A$18,0)),0))</f>
        <v>0</v>
      </c>
      <c r="AC82" s="42">
        <f>IF(B82="","",IFERROR(INDEX(Channels!$O$5:$O$18,MATCH(IF(E82="",DefaultChannel,E82),Channels!$A$5:$A$18,0)),"No"))</f>
        <v>0</v>
      </c>
      <c r="AD82" s="20">
        <f>IF(B82="","",ROUND((V82+IF(AC82="Yes",IF(I82="",0,I82),0))*AA82+AB82,2))</f>
        <v>0</v>
      </c>
      <c r="AE82" s="20">
        <f>IF(B82="","",IF(K82&lt;&gt;"",K82,AD82))</f>
        <v>0</v>
      </c>
      <c r="AF82" s="20">
        <f>IF(B82="","",IF(K82="","",ROUND(K82-AD82,2)))</f>
        <v>0</v>
      </c>
      <c r="AG82" s="20">
        <f>IF(B82="","",ROUND(V82-Y82-AE82-Z82,2))</f>
        <v>0</v>
      </c>
      <c r="AH82" s="33">
        <f>IF(B82="","",IF(OR(V82="",V82=0),"",AG82/V82))</f>
        <v>0</v>
      </c>
      <c r="AI82" s="33">
        <f>IF(C82="","",IFERROR(INDEX(Products!$AW$5:$AW$304,MATCH(C82,Products!$A$5:$A$304,0)),""))</f>
        <v>0</v>
      </c>
      <c r="AJ82" s="33">
        <f>IF(B82="","",IF(OR(AH82="",AI82=""),"",AH82-AI82))</f>
        <v>0</v>
      </c>
      <c r="AK82" s="41">
        <f>IF(B82="","",IFERROR(ROUND(IF(D82="",0,D82)*INDEX(Products!$X$5:$X$304,MATCH(C82,Products!$A$5:$A$304,0))/60,2),""))</f>
        <v>0</v>
      </c>
      <c r="AL82" s="20">
        <f>IF(B82="","",IF(OR(AK82="",AK82=0),"",ROUND(AG82/AK82,2)))</f>
        <v>0</v>
      </c>
      <c r="AM82" s="43">
        <f>IF(B82="","",IF(C82="","Add - which product?",IF(AG82&lt;0,"Loss - this order cost you money",IF(M82="Refunded","Refunded - check why",IF(AND(AF82&lt;&gt;"",AF82&gt;0.25),"Check - fees higher than your settings",IF(Z82&gt;1,"Check - postage is eating the margin",IF(AND(AH82&lt;&gt;"",AH82&lt;MarginWarning),"Low margin on this order","OK")))))) )</f>
        <v>0</v>
      </c>
    </row>
    <row r="83" spans="1:39">
      <c r="A83" s="38">
        <f>IF(B83="","",SalePrefix&amp;TEXT(ROW()-4,"0000"))</f>
        <v>0</v>
      </c>
      <c r="Q83" s="13">
        <f>IF(C83="","",IFERROR(INDEX(Products!$B$5:$B$304,MATCH(C83,Products!$A$5:$A$304,0)),"Bundle or deleted"))</f>
        <v>0</v>
      </c>
      <c r="R83" s="13">
        <f>IF(B83="","",TEXT(B83,"yyyy-mm"))</f>
        <v>0</v>
      </c>
      <c r="S83" s="20">
        <f>IF(C83="","",IFERROR(INDEX(Products!$AR$5:$AR$304,MATCH(C83,Products!$A$5:$A$304,0)),""))</f>
        <v>0</v>
      </c>
      <c r="T83" s="20">
        <f>IF(B83="","",IF(F83&lt;&gt;"",F83,IF(S83="",0,S83)))</f>
        <v>0</v>
      </c>
      <c r="U83" s="20">
        <f>IF(B83="","",ROUND(IF(D83="",0,D83)*T83,2))</f>
        <v>0</v>
      </c>
      <c r="V83" s="20">
        <f>IF(B83="","",ROUND(U83-IF(G83="",0,G83)-IF(L83="",0,L83),2))</f>
        <v>0</v>
      </c>
      <c r="W83" s="20">
        <f>IF(C83="","",IFERROR(INDEX(Products!$AT$5:$AT$304,MATCH(C83,Products!$A$5:$A$304,0)),""))</f>
        <v>0</v>
      </c>
      <c r="X83" s="20">
        <f>IF(C83="","",IFERROR(INDEX(Products!$AG$5:$AG$304,MATCH(C83,Products!$A$5:$A$304,0)),""))</f>
        <v>0</v>
      </c>
      <c r="Y83" s="20">
        <f>IF(B83="","",ROUND(IF(D83="",0,D83)*MAX(0,IF(W83="",0,W83)-IF(X83="",0,X83)),2))</f>
        <v>0</v>
      </c>
      <c r="Z83" s="20">
        <f>IF(B83="","",ROUND(MAX(0,IF(J83="",0,J83)-IF(I83="",0,I83)),2))</f>
        <v>0</v>
      </c>
      <c r="AA83" s="33">
        <f>IF(B83="","",IFERROR(INDEX(Channels!$S$5:$S$18,MATCH(IF(E83="",DefaultChannel,E83),Channels!$A$5:$A$18,0)),0))</f>
        <v>0</v>
      </c>
      <c r="AB83" s="20">
        <f>IF(B83="","",IFERROR(INDEX(Channels!$T$5:$T$18,MATCH(IF(E83="",DefaultChannel,E83),Channels!$A$5:$A$18,0)),0))</f>
        <v>0</v>
      </c>
      <c r="AC83" s="42">
        <f>IF(B83="","",IFERROR(INDEX(Channels!$O$5:$O$18,MATCH(IF(E83="",DefaultChannel,E83),Channels!$A$5:$A$18,0)),"No"))</f>
        <v>0</v>
      </c>
      <c r="AD83" s="20">
        <f>IF(B83="","",ROUND((V83+IF(AC83="Yes",IF(I83="",0,I83),0))*AA83+AB83,2))</f>
        <v>0</v>
      </c>
      <c r="AE83" s="20">
        <f>IF(B83="","",IF(K83&lt;&gt;"",K83,AD83))</f>
        <v>0</v>
      </c>
      <c r="AF83" s="20">
        <f>IF(B83="","",IF(K83="","",ROUND(K83-AD83,2)))</f>
        <v>0</v>
      </c>
      <c r="AG83" s="20">
        <f>IF(B83="","",ROUND(V83-Y83-AE83-Z83,2))</f>
        <v>0</v>
      </c>
      <c r="AH83" s="33">
        <f>IF(B83="","",IF(OR(V83="",V83=0),"",AG83/V83))</f>
        <v>0</v>
      </c>
      <c r="AI83" s="33">
        <f>IF(C83="","",IFERROR(INDEX(Products!$AW$5:$AW$304,MATCH(C83,Products!$A$5:$A$304,0)),""))</f>
        <v>0</v>
      </c>
      <c r="AJ83" s="33">
        <f>IF(B83="","",IF(OR(AH83="",AI83=""),"",AH83-AI83))</f>
        <v>0</v>
      </c>
      <c r="AK83" s="41">
        <f>IF(B83="","",IFERROR(ROUND(IF(D83="",0,D83)*INDEX(Products!$X$5:$X$304,MATCH(C83,Products!$A$5:$A$304,0))/60,2),""))</f>
        <v>0</v>
      </c>
      <c r="AL83" s="20">
        <f>IF(B83="","",IF(OR(AK83="",AK83=0),"",ROUND(AG83/AK83,2)))</f>
        <v>0</v>
      </c>
      <c r="AM83" s="43">
        <f>IF(B83="","",IF(C83="","Add - which product?",IF(AG83&lt;0,"Loss - this order cost you money",IF(M83="Refunded","Refunded - check why",IF(AND(AF83&lt;&gt;"",AF83&gt;0.25),"Check - fees higher than your settings",IF(Z83&gt;1,"Check - postage is eating the margin",IF(AND(AH83&lt;&gt;"",AH83&lt;MarginWarning),"Low margin on this order","OK")))))) )</f>
        <v>0</v>
      </c>
    </row>
    <row r="84" spans="1:39">
      <c r="A84" s="38">
        <f>IF(B84="","",SalePrefix&amp;TEXT(ROW()-4,"0000"))</f>
        <v>0</v>
      </c>
      <c r="Q84" s="13">
        <f>IF(C84="","",IFERROR(INDEX(Products!$B$5:$B$304,MATCH(C84,Products!$A$5:$A$304,0)),"Bundle or deleted"))</f>
        <v>0</v>
      </c>
      <c r="R84" s="13">
        <f>IF(B84="","",TEXT(B84,"yyyy-mm"))</f>
        <v>0</v>
      </c>
      <c r="S84" s="20">
        <f>IF(C84="","",IFERROR(INDEX(Products!$AR$5:$AR$304,MATCH(C84,Products!$A$5:$A$304,0)),""))</f>
        <v>0</v>
      </c>
      <c r="T84" s="20">
        <f>IF(B84="","",IF(F84&lt;&gt;"",F84,IF(S84="",0,S84)))</f>
        <v>0</v>
      </c>
      <c r="U84" s="20">
        <f>IF(B84="","",ROUND(IF(D84="",0,D84)*T84,2))</f>
        <v>0</v>
      </c>
      <c r="V84" s="20">
        <f>IF(B84="","",ROUND(U84-IF(G84="",0,G84)-IF(L84="",0,L84),2))</f>
        <v>0</v>
      </c>
      <c r="W84" s="20">
        <f>IF(C84="","",IFERROR(INDEX(Products!$AT$5:$AT$304,MATCH(C84,Products!$A$5:$A$304,0)),""))</f>
        <v>0</v>
      </c>
      <c r="X84" s="20">
        <f>IF(C84="","",IFERROR(INDEX(Products!$AG$5:$AG$304,MATCH(C84,Products!$A$5:$A$304,0)),""))</f>
        <v>0</v>
      </c>
      <c r="Y84" s="20">
        <f>IF(B84="","",ROUND(IF(D84="",0,D84)*MAX(0,IF(W84="",0,W84)-IF(X84="",0,X84)),2))</f>
        <v>0</v>
      </c>
      <c r="Z84" s="20">
        <f>IF(B84="","",ROUND(MAX(0,IF(J84="",0,J84)-IF(I84="",0,I84)),2))</f>
        <v>0</v>
      </c>
      <c r="AA84" s="33">
        <f>IF(B84="","",IFERROR(INDEX(Channels!$S$5:$S$18,MATCH(IF(E84="",DefaultChannel,E84),Channels!$A$5:$A$18,0)),0))</f>
        <v>0</v>
      </c>
      <c r="AB84" s="20">
        <f>IF(B84="","",IFERROR(INDEX(Channels!$T$5:$T$18,MATCH(IF(E84="",DefaultChannel,E84),Channels!$A$5:$A$18,0)),0))</f>
        <v>0</v>
      </c>
      <c r="AC84" s="42">
        <f>IF(B84="","",IFERROR(INDEX(Channels!$O$5:$O$18,MATCH(IF(E84="",DefaultChannel,E84),Channels!$A$5:$A$18,0)),"No"))</f>
        <v>0</v>
      </c>
      <c r="AD84" s="20">
        <f>IF(B84="","",ROUND((V84+IF(AC84="Yes",IF(I84="",0,I84),0))*AA84+AB84,2))</f>
        <v>0</v>
      </c>
      <c r="AE84" s="20">
        <f>IF(B84="","",IF(K84&lt;&gt;"",K84,AD84))</f>
        <v>0</v>
      </c>
      <c r="AF84" s="20">
        <f>IF(B84="","",IF(K84="","",ROUND(K84-AD84,2)))</f>
        <v>0</v>
      </c>
      <c r="AG84" s="20">
        <f>IF(B84="","",ROUND(V84-Y84-AE84-Z84,2))</f>
        <v>0</v>
      </c>
      <c r="AH84" s="33">
        <f>IF(B84="","",IF(OR(V84="",V84=0),"",AG84/V84))</f>
        <v>0</v>
      </c>
      <c r="AI84" s="33">
        <f>IF(C84="","",IFERROR(INDEX(Products!$AW$5:$AW$304,MATCH(C84,Products!$A$5:$A$304,0)),""))</f>
        <v>0</v>
      </c>
      <c r="AJ84" s="33">
        <f>IF(B84="","",IF(OR(AH84="",AI84=""),"",AH84-AI84))</f>
        <v>0</v>
      </c>
      <c r="AK84" s="41">
        <f>IF(B84="","",IFERROR(ROUND(IF(D84="",0,D84)*INDEX(Products!$X$5:$X$304,MATCH(C84,Products!$A$5:$A$304,0))/60,2),""))</f>
        <v>0</v>
      </c>
      <c r="AL84" s="20">
        <f>IF(B84="","",IF(OR(AK84="",AK84=0),"",ROUND(AG84/AK84,2)))</f>
        <v>0</v>
      </c>
      <c r="AM84" s="43">
        <f>IF(B84="","",IF(C84="","Add - which product?",IF(AG84&lt;0,"Loss - this order cost you money",IF(M84="Refunded","Refunded - check why",IF(AND(AF84&lt;&gt;"",AF84&gt;0.25),"Check - fees higher than your settings",IF(Z84&gt;1,"Check - postage is eating the margin",IF(AND(AH84&lt;&gt;"",AH84&lt;MarginWarning),"Low margin on this order","OK")))))) )</f>
        <v>0</v>
      </c>
    </row>
    <row r="85" spans="1:39">
      <c r="A85" s="38">
        <f>IF(B85="","",SalePrefix&amp;TEXT(ROW()-4,"0000"))</f>
        <v>0</v>
      </c>
      <c r="Q85" s="13">
        <f>IF(C85="","",IFERROR(INDEX(Products!$B$5:$B$304,MATCH(C85,Products!$A$5:$A$304,0)),"Bundle or deleted"))</f>
        <v>0</v>
      </c>
      <c r="R85" s="13">
        <f>IF(B85="","",TEXT(B85,"yyyy-mm"))</f>
        <v>0</v>
      </c>
      <c r="S85" s="20">
        <f>IF(C85="","",IFERROR(INDEX(Products!$AR$5:$AR$304,MATCH(C85,Products!$A$5:$A$304,0)),""))</f>
        <v>0</v>
      </c>
      <c r="T85" s="20">
        <f>IF(B85="","",IF(F85&lt;&gt;"",F85,IF(S85="",0,S85)))</f>
        <v>0</v>
      </c>
      <c r="U85" s="20">
        <f>IF(B85="","",ROUND(IF(D85="",0,D85)*T85,2))</f>
        <v>0</v>
      </c>
      <c r="V85" s="20">
        <f>IF(B85="","",ROUND(U85-IF(G85="",0,G85)-IF(L85="",0,L85),2))</f>
        <v>0</v>
      </c>
      <c r="W85" s="20">
        <f>IF(C85="","",IFERROR(INDEX(Products!$AT$5:$AT$304,MATCH(C85,Products!$A$5:$A$304,0)),""))</f>
        <v>0</v>
      </c>
      <c r="X85" s="20">
        <f>IF(C85="","",IFERROR(INDEX(Products!$AG$5:$AG$304,MATCH(C85,Products!$A$5:$A$304,0)),""))</f>
        <v>0</v>
      </c>
      <c r="Y85" s="20">
        <f>IF(B85="","",ROUND(IF(D85="",0,D85)*MAX(0,IF(W85="",0,W85)-IF(X85="",0,X85)),2))</f>
        <v>0</v>
      </c>
      <c r="Z85" s="20">
        <f>IF(B85="","",ROUND(MAX(0,IF(J85="",0,J85)-IF(I85="",0,I85)),2))</f>
        <v>0</v>
      </c>
      <c r="AA85" s="33">
        <f>IF(B85="","",IFERROR(INDEX(Channels!$S$5:$S$18,MATCH(IF(E85="",DefaultChannel,E85),Channels!$A$5:$A$18,0)),0))</f>
        <v>0</v>
      </c>
      <c r="AB85" s="20">
        <f>IF(B85="","",IFERROR(INDEX(Channels!$T$5:$T$18,MATCH(IF(E85="",DefaultChannel,E85),Channels!$A$5:$A$18,0)),0))</f>
        <v>0</v>
      </c>
      <c r="AC85" s="42">
        <f>IF(B85="","",IFERROR(INDEX(Channels!$O$5:$O$18,MATCH(IF(E85="",DefaultChannel,E85),Channels!$A$5:$A$18,0)),"No"))</f>
        <v>0</v>
      </c>
      <c r="AD85" s="20">
        <f>IF(B85="","",ROUND((V85+IF(AC85="Yes",IF(I85="",0,I85),0))*AA85+AB85,2))</f>
        <v>0</v>
      </c>
      <c r="AE85" s="20">
        <f>IF(B85="","",IF(K85&lt;&gt;"",K85,AD85))</f>
        <v>0</v>
      </c>
      <c r="AF85" s="20">
        <f>IF(B85="","",IF(K85="","",ROUND(K85-AD85,2)))</f>
        <v>0</v>
      </c>
      <c r="AG85" s="20">
        <f>IF(B85="","",ROUND(V85-Y85-AE85-Z85,2))</f>
        <v>0</v>
      </c>
      <c r="AH85" s="33">
        <f>IF(B85="","",IF(OR(V85="",V85=0),"",AG85/V85))</f>
        <v>0</v>
      </c>
      <c r="AI85" s="33">
        <f>IF(C85="","",IFERROR(INDEX(Products!$AW$5:$AW$304,MATCH(C85,Products!$A$5:$A$304,0)),""))</f>
        <v>0</v>
      </c>
      <c r="AJ85" s="33">
        <f>IF(B85="","",IF(OR(AH85="",AI85=""),"",AH85-AI85))</f>
        <v>0</v>
      </c>
      <c r="AK85" s="41">
        <f>IF(B85="","",IFERROR(ROUND(IF(D85="",0,D85)*INDEX(Products!$X$5:$X$304,MATCH(C85,Products!$A$5:$A$304,0))/60,2),""))</f>
        <v>0</v>
      </c>
      <c r="AL85" s="20">
        <f>IF(B85="","",IF(OR(AK85="",AK85=0),"",ROUND(AG85/AK85,2)))</f>
        <v>0</v>
      </c>
      <c r="AM85" s="43">
        <f>IF(B85="","",IF(C85="","Add - which product?",IF(AG85&lt;0,"Loss - this order cost you money",IF(M85="Refunded","Refunded - check why",IF(AND(AF85&lt;&gt;"",AF85&gt;0.25),"Check - fees higher than your settings",IF(Z85&gt;1,"Check - postage is eating the margin",IF(AND(AH85&lt;&gt;"",AH85&lt;MarginWarning),"Low margin on this order","OK")))))) )</f>
        <v>0</v>
      </c>
    </row>
    <row r="86" spans="1:39">
      <c r="A86" s="38">
        <f>IF(B86="","",SalePrefix&amp;TEXT(ROW()-4,"0000"))</f>
        <v>0</v>
      </c>
      <c r="Q86" s="13">
        <f>IF(C86="","",IFERROR(INDEX(Products!$B$5:$B$304,MATCH(C86,Products!$A$5:$A$304,0)),"Bundle or deleted"))</f>
        <v>0</v>
      </c>
      <c r="R86" s="13">
        <f>IF(B86="","",TEXT(B86,"yyyy-mm"))</f>
        <v>0</v>
      </c>
      <c r="S86" s="20">
        <f>IF(C86="","",IFERROR(INDEX(Products!$AR$5:$AR$304,MATCH(C86,Products!$A$5:$A$304,0)),""))</f>
        <v>0</v>
      </c>
      <c r="T86" s="20">
        <f>IF(B86="","",IF(F86&lt;&gt;"",F86,IF(S86="",0,S86)))</f>
        <v>0</v>
      </c>
      <c r="U86" s="20">
        <f>IF(B86="","",ROUND(IF(D86="",0,D86)*T86,2))</f>
        <v>0</v>
      </c>
      <c r="V86" s="20">
        <f>IF(B86="","",ROUND(U86-IF(G86="",0,G86)-IF(L86="",0,L86),2))</f>
        <v>0</v>
      </c>
      <c r="W86" s="20">
        <f>IF(C86="","",IFERROR(INDEX(Products!$AT$5:$AT$304,MATCH(C86,Products!$A$5:$A$304,0)),""))</f>
        <v>0</v>
      </c>
      <c r="X86" s="20">
        <f>IF(C86="","",IFERROR(INDEX(Products!$AG$5:$AG$304,MATCH(C86,Products!$A$5:$A$304,0)),""))</f>
        <v>0</v>
      </c>
      <c r="Y86" s="20">
        <f>IF(B86="","",ROUND(IF(D86="",0,D86)*MAX(0,IF(W86="",0,W86)-IF(X86="",0,X86)),2))</f>
        <v>0</v>
      </c>
      <c r="Z86" s="20">
        <f>IF(B86="","",ROUND(MAX(0,IF(J86="",0,J86)-IF(I86="",0,I86)),2))</f>
        <v>0</v>
      </c>
      <c r="AA86" s="33">
        <f>IF(B86="","",IFERROR(INDEX(Channels!$S$5:$S$18,MATCH(IF(E86="",DefaultChannel,E86),Channels!$A$5:$A$18,0)),0))</f>
        <v>0</v>
      </c>
      <c r="AB86" s="20">
        <f>IF(B86="","",IFERROR(INDEX(Channels!$T$5:$T$18,MATCH(IF(E86="",DefaultChannel,E86),Channels!$A$5:$A$18,0)),0))</f>
        <v>0</v>
      </c>
      <c r="AC86" s="42">
        <f>IF(B86="","",IFERROR(INDEX(Channels!$O$5:$O$18,MATCH(IF(E86="",DefaultChannel,E86),Channels!$A$5:$A$18,0)),"No"))</f>
        <v>0</v>
      </c>
      <c r="AD86" s="20">
        <f>IF(B86="","",ROUND((V86+IF(AC86="Yes",IF(I86="",0,I86),0))*AA86+AB86,2))</f>
        <v>0</v>
      </c>
      <c r="AE86" s="20">
        <f>IF(B86="","",IF(K86&lt;&gt;"",K86,AD86))</f>
        <v>0</v>
      </c>
      <c r="AF86" s="20">
        <f>IF(B86="","",IF(K86="","",ROUND(K86-AD86,2)))</f>
        <v>0</v>
      </c>
      <c r="AG86" s="20">
        <f>IF(B86="","",ROUND(V86-Y86-AE86-Z86,2))</f>
        <v>0</v>
      </c>
      <c r="AH86" s="33">
        <f>IF(B86="","",IF(OR(V86="",V86=0),"",AG86/V86))</f>
        <v>0</v>
      </c>
      <c r="AI86" s="33">
        <f>IF(C86="","",IFERROR(INDEX(Products!$AW$5:$AW$304,MATCH(C86,Products!$A$5:$A$304,0)),""))</f>
        <v>0</v>
      </c>
      <c r="AJ86" s="33">
        <f>IF(B86="","",IF(OR(AH86="",AI86=""),"",AH86-AI86))</f>
        <v>0</v>
      </c>
      <c r="AK86" s="41">
        <f>IF(B86="","",IFERROR(ROUND(IF(D86="",0,D86)*INDEX(Products!$X$5:$X$304,MATCH(C86,Products!$A$5:$A$304,0))/60,2),""))</f>
        <v>0</v>
      </c>
      <c r="AL86" s="20">
        <f>IF(B86="","",IF(OR(AK86="",AK86=0),"",ROUND(AG86/AK86,2)))</f>
        <v>0</v>
      </c>
      <c r="AM86" s="43">
        <f>IF(B86="","",IF(C86="","Add - which product?",IF(AG86&lt;0,"Loss - this order cost you money",IF(M86="Refunded","Refunded - check why",IF(AND(AF86&lt;&gt;"",AF86&gt;0.25),"Check - fees higher than your settings",IF(Z86&gt;1,"Check - postage is eating the margin",IF(AND(AH86&lt;&gt;"",AH86&lt;MarginWarning),"Low margin on this order","OK")))))) )</f>
        <v>0</v>
      </c>
    </row>
    <row r="87" spans="1:39">
      <c r="A87" s="38">
        <f>IF(B87="","",SalePrefix&amp;TEXT(ROW()-4,"0000"))</f>
        <v>0</v>
      </c>
      <c r="Q87" s="13">
        <f>IF(C87="","",IFERROR(INDEX(Products!$B$5:$B$304,MATCH(C87,Products!$A$5:$A$304,0)),"Bundle or deleted"))</f>
        <v>0</v>
      </c>
      <c r="R87" s="13">
        <f>IF(B87="","",TEXT(B87,"yyyy-mm"))</f>
        <v>0</v>
      </c>
      <c r="S87" s="20">
        <f>IF(C87="","",IFERROR(INDEX(Products!$AR$5:$AR$304,MATCH(C87,Products!$A$5:$A$304,0)),""))</f>
        <v>0</v>
      </c>
      <c r="T87" s="20">
        <f>IF(B87="","",IF(F87&lt;&gt;"",F87,IF(S87="",0,S87)))</f>
        <v>0</v>
      </c>
      <c r="U87" s="20">
        <f>IF(B87="","",ROUND(IF(D87="",0,D87)*T87,2))</f>
        <v>0</v>
      </c>
      <c r="V87" s="20">
        <f>IF(B87="","",ROUND(U87-IF(G87="",0,G87)-IF(L87="",0,L87),2))</f>
        <v>0</v>
      </c>
      <c r="W87" s="20">
        <f>IF(C87="","",IFERROR(INDEX(Products!$AT$5:$AT$304,MATCH(C87,Products!$A$5:$A$304,0)),""))</f>
        <v>0</v>
      </c>
      <c r="X87" s="20">
        <f>IF(C87="","",IFERROR(INDEX(Products!$AG$5:$AG$304,MATCH(C87,Products!$A$5:$A$304,0)),""))</f>
        <v>0</v>
      </c>
      <c r="Y87" s="20">
        <f>IF(B87="","",ROUND(IF(D87="",0,D87)*MAX(0,IF(W87="",0,W87)-IF(X87="",0,X87)),2))</f>
        <v>0</v>
      </c>
      <c r="Z87" s="20">
        <f>IF(B87="","",ROUND(MAX(0,IF(J87="",0,J87)-IF(I87="",0,I87)),2))</f>
        <v>0</v>
      </c>
      <c r="AA87" s="33">
        <f>IF(B87="","",IFERROR(INDEX(Channels!$S$5:$S$18,MATCH(IF(E87="",DefaultChannel,E87),Channels!$A$5:$A$18,0)),0))</f>
        <v>0</v>
      </c>
      <c r="AB87" s="20">
        <f>IF(B87="","",IFERROR(INDEX(Channels!$T$5:$T$18,MATCH(IF(E87="",DefaultChannel,E87),Channels!$A$5:$A$18,0)),0))</f>
        <v>0</v>
      </c>
      <c r="AC87" s="42">
        <f>IF(B87="","",IFERROR(INDEX(Channels!$O$5:$O$18,MATCH(IF(E87="",DefaultChannel,E87),Channels!$A$5:$A$18,0)),"No"))</f>
        <v>0</v>
      </c>
      <c r="AD87" s="20">
        <f>IF(B87="","",ROUND((V87+IF(AC87="Yes",IF(I87="",0,I87),0))*AA87+AB87,2))</f>
        <v>0</v>
      </c>
      <c r="AE87" s="20">
        <f>IF(B87="","",IF(K87&lt;&gt;"",K87,AD87))</f>
        <v>0</v>
      </c>
      <c r="AF87" s="20">
        <f>IF(B87="","",IF(K87="","",ROUND(K87-AD87,2)))</f>
        <v>0</v>
      </c>
      <c r="AG87" s="20">
        <f>IF(B87="","",ROUND(V87-Y87-AE87-Z87,2))</f>
        <v>0</v>
      </c>
      <c r="AH87" s="33">
        <f>IF(B87="","",IF(OR(V87="",V87=0),"",AG87/V87))</f>
        <v>0</v>
      </c>
      <c r="AI87" s="33">
        <f>IF(C87="","",IFERROR(INDEX(Products!$AW$5:$AW$304,MATCH(C87,Products!$A$5:$A$304,0)),""))</f>
        <v>0</v>
      </c>
      <c r="AJ87" s="33">
        <f>IF(B87="","",IF(OR(AH87="",AI87=""),"",AH87-AI87))</f>
        <v>0</v>
      </c>
      <c r="AK87" s="41">
        <f>IF(B87="","",IFERROR(ROUND(IF(D87="",0,D87)*INDEX(Products!$X$5:$X$304,MATCH(C87,Products!$A$5:$A$304,0))/60,2),""))</f>
        <v>0</v>
      </c>
      <c r="AL87" s="20">
        <f>IF(B87="","",IF(OR(AK87="",AK87=0),"",ROUND(AG87/AK87,2)))</f>
        <v>0</v>
      </c>
      <c r="AM87" s="43">
        <f>IF(B87="","",IF(C87="","Add - which product?",IF(AG87&lt;0,"Loss - this order cost you money",IF(M87="Refunded","Refunded - check why",IF(AND(AF87&lt;&gt;"",AF87&gt;0.25),"Check - fees higher than your settings",IF(Z87&gt;1,"Check - postage is eating the margin",IF(AND(AH87&lt;&gt;"",AH87&lt;MarginWarning),"Low margin on this order","OK")))))) )</f>
        <v>0</v>
      </c>
    </row>
    <row r="88" spans="1:39">
      <c r="A88" s="38">
        <f>IF(B88="","",SalePrefix&amp;TEXT(ROW()-4,"0000"))</f>
        <v>0</v>
      </c>
      <c r="Q88" s="13">
        <f>IF(C88="","",IFERROR(INDEX(Products!$B$5:$B$304,MATCH(C88,Products!$A$5:$A$304,0)),"Bundle or deleted"))</f>
        <v>0</v>
      </c>
      <c r="R88" s="13">
        <f>IF(B88="","",TEXT(B88,"yyyy-mm"))</f>
        <v>0</v>
      </c>
      <c r="S88" s="20">
        <f>IF(C88="","",IFERROR(INDEX(Products!$AR$5:$AR$304,MATCH(C88,Products!$A$5:$A$304,0)),""))</f>
        <v>0</v>
      </c>
      <c r="T88" s="20">
        <f>IF(B88="","",IF(F88&lt;&gt;"",F88,IF(S88="",0,S88)))</f>
        <v>0</v>
      </c>
      <c r="U88" s="20">
        <f>IF(B88="","",ROUND(IF(D88="",0,D88)*T88,2))</f>
        <v>0</v>
      </c>
      <c r="V88" s="20">
        <f>IF(B88="","",ROUND(U88-IF(G88="",0,G88)-IF(L88="",0,L88),2))</f>
        <v>0</v>
      </c>
      <c r="W88" s="20">
        <f>IF(C88="","",IFERROR(INDEX(Products!$AT$5:$AT$304,MATCH(C88,Products!$A$5:$A$304,0)),""))</f>
        <v>0</v>
      </c>
      <c r="X88" s="20">
        <f>IF(C88="","",IFERROR(INDEX(Products!$AG$5:$AG$304,MATCH(C88,Products!$A$5:$A$304,0)),""))</f>
        <v>0</v>
      </c>
      <c r="Y88" s="20">
        <f>IF(B88="","",ROUND(IF(D88="",0,D88)*MAX(0,IF(W88="",0,W88)-IF(X88="",0,X88)),2))</f>
        <v>0</v>
      </c>
      <c r="Z88" s="20">
        <f>IF(B88="","",ROUND(MAX(0,IF(J88="",0,J88)-IF(I88="",0,I88)),2))</f>
        <v>0</v>
      </c>
      <c r="AA88" s="33">
        <f>IF(B88="","",IFERROR(INDEX(Channels!$S$5:$S$18,MATCH(IF(E88="",DefaultChannel,E88),Channels!$A$5:$A$18,0)),0))</f>
        <v>0</v>
      </c>
      <c r="AB88" s="20">
        <f>IF(B88="","",IFERROR(INDEX(Channels!$T$5:$T$18,MATCH(IF(E88="",DefaultChannel,E88),Channels!$A$5:$A$18,0)),0))</f>
        <v>0</v>
      </c>
      <c r="AC88" s="42">
        <f>IF(B88="","",IFERROR(INDEX(Channels!$O$5:$O$18,MATCH(IF(E88="",DefaultChannel,E88),Channels!$A$5:$A$18,0)),"No"))</f>
        <v>0</v>
      </c>
      <c r="AD88" s="20">
        <f>IF(B88="","",ROUND((V88+IF(AC88="Yes",IF(I88="",0,I88),0))*AA88+AB88,2))</f>
        <v>0</v>
      </c>
      <c r="AE88" s="20">
        <f>IF(B88="","",IF(K88&lt;&gt;"",K88,AD88))</f>
        <v>0</v>
      </c>
      <c r="AF88" s="20">
        <f>IF(B88="","",IF(K88="","",ROUND(K88-AD88,2)))</f>
        <v>0</v>
      </c>
      <c r="AG88" s="20">
        <f>IF(B88="","",ROUND(V88-Y88-AE88-Z88,2))</f>
        <v>0</v>
      </c>
      <c r="AH88" s="33">
        <f>IF(B88="","",IF(OR(V88="",V88=0),"",AG88/V88))</f>
        <v>0</v>
      </c>
      <c r="AI88" s="33">
        <f>IF(C88="","",IFERROR(INDEX(Products!$AW$5:$AW$304,MATCH(C88,Products!$A$5:$A$304,0)),""))</f>
        <v>0</v>
      </c>
      <c r="AJ88" s="33">
        <f>IF(B88="","",IF(OR(AH88="",AI88=""),"",AH88-AI88))</f>
        <v>0</v>
      </c>
      <c r="AK88" s="41">
        <f>IF(B88="","",IFERROR(ROUND(IF(D88="",0,D88)*INDEX(Products!$X$5:$X$304,MATCH(C88,Products!$A$5:$A$304,0))/60,2),""))</f>
        <v>0</v>
      </c>
      <c r="AL88" s="20">
        <f>IF(B88="","",IF(OR(AK88="",AK88=0),"",ROUND(AG88/AK88,2)))</f>
        <v>0</v>
      </c>
      <c r="AM88" s="43">
        <f>IF(B88="","",IF(C88="","Add - which product?",IF(AG88&lt;0,"Loss - this order cost you money",IF(M88="Refunded","Refunded - check why",IF(AND(AF88&lt;&gt;"",AF88&gt;0.25),"Check - fees higher than your settings",IF(Z88&gt;1,"Check - postage is eating the margin",IF(AND(AH88&lt;&gt;"",AH88&lt;MarginWarning),"Low margin on this order","OK")))))) )</f>
        <v>0</v>
      </c>
    </row>
    <row r="89" spans="1:39">
      <c r="A89" s="38">
        <f>IF(B89="","",SalePrefix&amp;TEXT(ROW()-4,"0000"))</f>
        <v>0</v>
      </c>
      <c r="Q89" s="13">
        <f>IF(C89="","",IFERROR(INDEX(Products!$B$5:$B$304,MATCH(C89,Products!$A$5:$A$304,0)),"Bundle or deleted"))</f>
        <v>0</v>
      </c>
      <c r="R89" s="13">
        <f>IF(B89="","",TEXT(B89,"yyyy-mm"))</f>
        <v>0</v>
      </c>
      <c r="S89" s="20">
        <f>IF(C89="","",IFERROR(INDEX(Products!$AR$5:$AR$304,MATCH(C89,Products!$A$5:$A$304,0)),""))</f>
        <v>0</v>
      </c>
      <c r="T89" s="20">
        <f>IF(B89="","",IF(F89&lt;&gt;"",F89,IF(S89="",0,S89)))</f>
        <v>0</v>
      </c>
      <c r="U89" s="20">
        <f>IF(B89="","",ROUND(IF(D89="",0,D89)*T89,2))</f>
        <v>0</v>
      </c>
      <c r="V89" s="20">
        <f>IF(B89="","",ROUND(U89-IF(G89="",0,G89)-IF(L89="",0,L89),2))</f>
        <v>0</v>
      </c>
      <c r="W89" s="20">
        <f>IF(C89="","",IFERROR(INDEX(Products!$AT$5:$AT$304,MATCH(C89,Products!$A$5:$A$304,0)),""))</f>
        <v>0</v>
      </c>
      <c r="X89" s="20">
        <f>IF(C89="","",IFERROR(INDEX(Products!$AG$5:$AG$304,MATCH(C89,Products!$A$5:$A$304,0)),""))</f>
        <v>0</v>
      </c>
      <c r="Y89" s="20">
        <f>IF(B89="","",ROUND(IF(D89="",0,D89)*MAX(0,IF(W89="",0,W89)-IF(X89="",0,X89)),2))</f>
        <v>0</v>
      </c>
      <c r="Z89" s="20">
        <f>IF(B89="","",ROUND(MAX(0,IF(J89="",0,J89)-IF(I89="",0,I89)),2))</f>
        <v>0</v>
      </c>
      <c r="AA89" s="33">
        <f>IF(B89="","",IFERROR(INDEX(Channels!$S$5:$S$18,MATCH(IF(E89="",DefaultChannel,E89),Channels!$A$5:$A$18,0)),0))</f>
        <v>0</v>
      </c>
      <c r="AB89" s="20">
        <f>IF(B89="","",IFERROR(INDEX(Channels!$T$5:$T$18,MATCH(IF(E89="",DefaultChannel,E89),Channels!$A$5:$A$18,0)),0))</f>
        <v>0</v>
      </c>
      <c r="AC89" s="42">
        <f>IF(B89="","",IFERROR(INDEX(Channels!$O$5:$O$18,MATCH(IF(E89="",DefaultChannel,E89),Channels!$A$5:$A$18,0)),"No"))</f>
        <v>0</v>
      </c>
      <c r="AD89" s="20">
        <f>IF(B89="","",ROUND((V89+IF(AC89="Yes",IF(I89="",0,I89),0))*AA89+AB89,2))</f>
        <v>0</v>
      </c>
      <c r="AE89" s="20">
        <f>IF(B89="","",IF(K89&lt;&gt;"",K89,AD89))</f>
        <v>0</v>
      </c>
      <c r="AF89" s="20">
        <f>IF(B89="","",IF(K89="","",ROUND(K89-AD89,2)))</f>
        <v>0</v>
      </c>
      <c r="AG89" s="20">
        <f>IF(B89="","",ROUND(V89-Y89-AE89-Z89,2))</f>
        <v>0</v>
      </c>
      <c r="AH89" s="33">
        <f>IF(B89="","",IF(OR(V89="",V89=0),"",AG89/V89))</f>
        <v>0</v>
      </c>
      <c r="AI89" s="33">
        <f>IF(C89="","",IFERROR(INDEX(Products!$AW$5:$AW$304,MATCH(C89,Products!$A$5:$A$304,0)),""))</f>
        <v>0</v>
      </c>
      <c r="AJ89" s="33">
        <f>IF(B89="","",IF(OR(AH89="",AI89=""),"",AH89-AI89))</f>
        <v>0</v>
      </c>
      <c r="AK89" s="41">
        <f>IF(B89="","",IFERROR(ROUND(IF(D89="",0,D89)*INDEX(Products!$X$5:$X$304,MATCH(C89,Products!$A$5:$A$304,0))/60,2),""))</f>
        <v>0</v>
      </c>
      <c r="AL89" s="20">
        <f>IF(B89="","",IF(OR(AK89="",AK89=0),"",ROUND(AG89/AK89,2)))</f>
        <v>0</v>
      </c>
      <c r="AM89" s="43">
        <f>IF(B89="","",IF(C89="","Add - which product?",IF(AG89&lt;0,"Loss - this order cost you money",IF(M89="Refunded","Refunded - check why",IF(AND(AF89&lt;&gt;"",AF89&gt;0.25),"Check - fees higher than your settings",IF(Z89&gt;1,"Check - postage is eating the margin",IF(AND(AH89&lt;&gt;"",AH89&lt;MarginWarning),"Low margin on this order","OK")))))) )</f>
        <v>0</v>
      </c>
    </row>
    <row r="90" spans="1:39">
      <c r="A90" s="38">
        <f>IF(B90="","",SalePrefix&amp;TEXT(ROW()-4,"0000"))</f>
        <v>0</v>
      </c>
      <c r="Q90" s="13">
        <f>IF(C90="","",IFERROR(INDEX(Products!$B$5:$B$304,MATCH(C90,Products!$A$5:$A$304,0)),"Bundle or deleted"))</f>
        <v>0</v>
      </c>
      <c r="R90" s="13">
        <f>IF(B90="","",TEXT(B90,"yyyy-mm"))</f>
        <v>0</v>
      </c>
      <c r="S90" s="20">
        <f>IF(C90="","",IFERROR(INDEX(Products!$AR$5:$AR$304,MATCH(C90,Products!$A$5:$A$304,0)),""))</f>
        <v>0</v>
      </c>
      <c r="T90" s="20">
        <f>IF(B90="","",IF(F90&lt;&gt;"",F90,IF(S90="",0,S90)))</f>
        <v>0</v>
      </c>
      <c r="U90" s="20">
        <f>IF(B90="","",ROUND(IF(D90="",0,D90)*T90,2))</f>
        <v>0</v>
      </c>
      <c r="V90" s="20">
        <f>IF(B90="","",ROUND(U90-IF(G90="",0,G90)-IF(L90="",0,L90),2))</f>
        <v>0</v>
      </c>
      <c r="W90" s="20">
        <f>IF(C90="","",IFERROR(INDEX(Products!$AT$5:$AT$304,MATCH(C90,Products!$A$5:$A$304,0)),""))</f>
        <v>0</v>
      </c>
      <c r="X90" s="20">
        <f>IF(C90="","",IFERROR(INDEX(Products!$AG$5:$AG$304,MATCH(C90,Products!$A$5:$A$304,0)),""))</f>
        <v>0</v>
      </c>
      <c r="Y90" s="20">
        <f>IF(B90="","",ROUND(IF(D90="",0,D90)*MAX(0,IF(W90="",0,W90)-IF(X90="",0,X90)),2))</f>
        <v>0</v>
      </c>
      <c r="Z90" s="20">
        <f>IF(B90="","",ROUND(MAX(0,IF(J90="",0,J90)-IF(I90="",0,I90)),2))</f>
        <v>0</v>
      </c>
      <c r="AA90" s="33">
        <f>IF(B90="","",IFERROR(INDEX(Channels!$S$5:$S$18,MATCH(IF(E90="",DefaultChannel,E90),Channels!$A$5:$A$18,0)),0))</f>
        <v>0</v>
      </c>
      <c r="AB90" s="20">
        <f>IF(B90="","",IFERROR(INDEX(Channels!$T$5:$T$18,MATCH(IF(E90="",DefaultChannel,E90),Channels!$A$5:$A$18,0)),0))</f>
        <v>0</v>
      </c>
      <c r="AC90" s="42">
        <f>IF(B90="","",IFERROR(INDEX(Channels!$O$5:$O$18,MATCH(IF(E90="",DefaultChannel,E90),Channels!$A$5:$A$18,0)),"No"))</f>
        <v>0</v>
      </c>
      <c r="AD90" s="20">
        <f>IF(B90="","",ROUND((V90+IF(AC90="Yes",IF(I90="",0,I90),0))*AA90+AB90,2))</f>
        <v>0</v>
      </c>
      <c r="AE90" s="20">
        <f>IF(B90="","",IF(K90&lt;&gt;"",K90,AD90))</f>
        <v>0</v>
      </c>
      <c r="AF90" s="20">
        <f>IF(B90="","",IF(K90="","",ROUND(K90-AD90,2)))</f>
        <v>0</v>
      </c>
      <c r="AG90" s="20">
        <f>IF(B90="","",ROUND(V90-Y90-AE90-Z90,2))</f>
        <v>0</v>
      </c>
      <c r="AH90" s="33">
        <f>IF(B90="","",IF(OR(V90="",V90=0),"",AG90/V90))</f>
        <v>0</v>
      </c>
      <c r="AI90" s="33">
        <f>IF(C90="","",IFERROR(INDEX(Products!$AW$5:$AW$304,MATCH(C90,Products!$A$5:$A$304,0)),""))</f>
        <v>0</v>
      </c>
      <c r="AJ90" s="33">
        <f>IF(B90="","",IF(OR(AH90="",AI90=""),"",AH90-AI90))</f>
        <v>0</v>
      </c>
      <c r="AK90" s="41">
        <f>IF(B90="","",IFERROR(ROUND(IF(D90="",0,D90)*INDEX(Products!$X$5:$X$304,MATCH(C90,Products!$A$5:$A$304,0))/60,2),""))</f>
        <v>0</v>
      </c>
      <c r="AL90" s="20">
        <f>IF(B90="","",IF(OR(AK90="",AK90=0),"",ROUND(AG90/AK90,2)))</f>
        <v>0</v>
      </c>
      <c r="AM90" s="43">
        <f>IF(B90="","",IF(C90="","Add - which product?",IF(AG90&lt;0,"Loss - this order cost you money",IF(M90="Refunded","Refunded - check why",IF(AND(AF90&lt;&gt;"",AF90&gt;0.25),"Check - fees higher than your settings",IF(Z90&gt;1,"Check - postage is eating the margin",IF(AND(AH90&lt;&gt;"",AH90&lt;MarginWarning),"Low margin on this order","OK")))))) )</f>
        <v>0</v>
      </c>
    </row>
    <row r="91" spans="1:39">
      <c r="A91" s="38">
        <f>IF(B91="","",SalePrefix&amp;TEXT(ROW()-4,"0000"))</f>
        <v>0</v>
      </c>
      <c r="Q91" s="13">
        <f>IF(C91="","",IFERROR(INDEX(Products!$B$5:$B$304,MATCH(C91,Products!$A$5:$A$304,0)),"Bundle or deleted"))</f>
        <v>0</v>
      </c>
      <c r="R91" s="13">
        <f>IF(B91="","",TEXT(B91,"yyyy-mm"))</f>
        <v>0</v>
      </c>
      <c r="S91" s="20">
        <f>IF(C91="","",IFERROR(INDEX(Products!$AR$5:$AR$304,MATCH(C91,Products!$A$5:$A$304,0)),""))</f>
        <v>0</v>
      </c>
      <c r="T91" s="20">
        <f>IF(B91="","",IF(F91&lt;&gt;"",F91,IF(S91="",0,S91)))</f>
        <v>0</v>
      </c>
      <c r="U91" s="20">
        <f>IF(B91="","",ROUND(IF(D91="",0,D91)*T91,2))</f>
        <v>0</v>
      </c>
      <c r="V91" s="20">
        <f>IF(B91="","",ROUND(U91-IF(G91="",0,G91)-IF(L91="",0,L91),2))</f>
        <v>0</v>
      </c>
      <c r="W91" s="20">
        <f>IF(C91="","",IFERROR(INDEX(Products!$AT$5:$AT$304,MATCH(C91,Products!$A$5:$A$304,0)),""))</f>
        <v>0</v>
      </c>
      <c r="X91" s="20">
        <f>IF(C91="","",IFERROR(INDEX(Products!$AG$5:$AG$304,MATCH(C91,Products!$A$5:$A$304,0)),""))</f>
        <v>0</v>
      </c>
      <c r="Y91" s="20">
        <f>IF(B91="","",ROUND(IF(D91="",0,D91)*MAX(0,IF(W91="",0,W91)-IF(X91="",0,X91)),2))</f>
        <v>0</v>
      </c>
      <c r="Z91" s="20">
        <f>IF(B91="","",ROUND(MAX(0,IF(J91="",0,J91)-IF(I91="",0,I91)),2))</f>
        <v>0</v>
      </c>
      <c r="AA91" s="33">
        <f>IF(B91="","",IFERROR(INDEX(Channels!$S$5:$S$18,MATCH(IF(E91="",DefaultChannel,E91),Channels!$A$5:$A$18,0)),0))</f>
        <v>0</v>
      </c>
      <c r="AB91" s="20">
        <f>IF(B91="","",IFERROR(INDEX(Channels!$T$5:$T$18,MATCH(IF(E91="",DefaultChannel,E91),Channels!$A$5:$A$18,0)),0))</f>
        <v>0</v>
      </c>
      <c r="AC91" s="42">
        <f>IF(B91="","",IFERROR(INDEX(Channels!$O$5:$O$18,MATCH(IF(E91="",DefaultChannel,E91),Channels!$A$5:$A$18,0)),"No"))</f>
        <v>0</v>
      </c>
      <c r="AD91" s="20">
        <f>IF(B91="","",ROUND((V91+IF(AC91="Yes",IF(I91="",0,I91),0))*AA91+AB91,2))</f>
        <v>0</v>
      </c>
      <c r="AE91" s="20">
        <f>IF(B91="","",IF(K91&lt;&gt;"",K91,AD91))</f>
        <v>0</v>
      </c>
      <c r="AF91" s="20">
        <f>IF(B91="","",IF(K91="","",ROUND(K91-AD91,2)))</f>
        <v>0</v>
      </c>
      <c r="AG91" s="20">
        <f>IF(B91="","",ROUND(V91-Y91-AE91-Z91,2))</f>
        <v>0</v>
      </c>
      <c r="AH91" s="33">
        <f>IF(B91="","",IF(OR(V91="",V91=0),"",AG91/V91))</f>
        <v>0</v>
      </c>
      <c r="AI91" s="33">
        <f>IF(C91="","",IFERROR(INDEX(Products!$AW$5:$AW$304,MATCH(C91,Products!$A$5:$A$304,0)),""))</f>
        <v>0</v>
      </c>
      <c r="AJ91" s="33">
        <f>IF(B91="","",IF(OR(AH91="",AI91=""),"",AH91-AI91))</f>
        <v>0</v>
      </c>
      <c r="AK91" s="41">
        <f>IF(B91="","",IFERROR(ROUND(IF(D91="",0,D91)*INDEX(Products!$X$5:$X$304,MATCH(C91,Products!$A$5:$A$304,0))/60,2),""))</f>
        <v>0</v>
      </c>
      <c r="AL91" s="20">
        <f>IF(B91="","",IF(OR(AK91="",AK91=0),"",ROUND(AG91/AK91,2)))</f>
        <v>0</v>
      </c>
      <c r="AM91" s="43">
        <f>IF(B91="","",IF(C91="","Add - which product?",IF(AG91&lt;0,"Loss - this order cost you money",IF(M91="Refunded","Refunded - check why",IF(AND(AF91&lt;&gt;"",AF91&gt;0.25),"Check - fees higher than your settings",IF(Z91&gt;1,"Check - postage is eating the margin",IF(AND(AH91&lt;&gt;"",AH91&lt;MarginWarning),"Low margin on this order","OK")))))) )</f>
        <v>0</v>
      </c>
    </row>
    <row r="92" spans="1:39">
      <c r="A92" s="38">
        <f>IF(B92="","",SalePrefix&amp;TEXT(ROW()-4,"0000"))</f>
        <v>0</v>
      </c>
      <c r="Q92" s="13">
        <f>IF(C92="","",IFERROR(INDEX(Products!$B$5:$B$304,MATCH(C92,Products!$A$5:$A$304,0)),"Bundle or deleted"))</f>
        <v>0</v>
      </c>
      <c r="R92" s="13">
        <f>IF(B92="","",TEXT(B92,"yyyy-mm"))</f>
        <v>0</v>
      </c>
      <c r="S92" s="20">
        <f>IF(C92="","",IFERROR(INDEX(Products!$AR$5:$AR$304,MATCH(C92,Products!$A$5:$A$304,0)),""))</f>
        <v>0</v>
      </c>
      <c r="T92" s="20">
        <f>IF(B92="","",IF(F92&lt;&gt;"",F92,IF(S92="",0,S92)))</f>
        <v>0</v>
      </c>
      <c r="U92" s="20">
        <f>IF(B92="","",ROUND(IF(D92="",0,D92)*T92,2))</f>
        <v>0</v>
      </c>
      <c r="V92" s="20">
        <f>IF(B92="","",ROUND(U92-IF(G92="",0,G92)-IF(L92="",0,L92),2))</f>
        <v>0</v>
      </c>
      <c r="W92" s="20">
        <f>IF(C92="","",IFERROR(INDEX(Products!$AT$5:$AT$304,MATCH(C92,Products!$A$5:$A$304,0)),""))</f>
        <v>0</v>
      </c>
      <c r="X92" s="20">
        <f>IF(C92="","",IFERROR(INDEX(Products!$AG$5:$AG$304,MATCH(C92,Products!$A$5:$A$304,0)),""))</f>
        <v>0</v>
      </c>
      <c r="Y92" s="20">
        <f>IF(B92="","",ROUND(IF(D92="",0,D92)*MAX(0,IF(W92="",0,W92)-IF(X92="",0,X92)),2))</f>
        <v>0</v>
      </c>
      <c r="Z92" s="20">
        <f>IF(B92="","",ROUND(MAX(0,IF(J92="",0,J92)-IF(I92="",0,I92)),2))</f>
        <v>0</v>
      </c>
      <c r="AA92" s="33">
        <f>IF(B92="","",IFERROR(INDEX(Channels!$S$5:$S$18,MATCH(IF(E92="",DefaultChannel,E92),Channels!$A$5:$A$18,0)),0))</f>
        <v>0</v>
      </c>
      <c r="AB92" s="20">
        <f>IF(B92="","",IFERROR(INDEX(Channels!$T$5:$T$18,MATCH(IF(E92="",DefaultChannel,E92),Channels!$A$5:$A$18,0)),0))</f>
        <v>0</v>
      </c>
      <c r="AC92" s="42">
        <f>IF(B92="","",IFERROR(INDEX(Channels!$O$5:$O$18,MATCH(IF(E92="",DefaultChannel,E92),Channels!$A$5:$A$18,0)),"No"))</f>
        <v>0</v>
      </c>
      <c r="AD92" s="20">
        <f>IF(B92="","",ROUND((V92+IF(AC92="Yes",IF(I92="",0,I92),0))*AA92+AB92,2))</f>
        <v>0</v>
      </c>
      <c r="AE92" s="20">
        <f>IF(B92="","",IF(K92&lt;&gt;"",K92,AD92))</f>
        <v>0</v>
      </c>
      <c r="AF92" s="20">
        <f>IF(B92="","",IF(K92="","",ROUND(K92-AD92,2)))</f>
        <v>0</v>
      </c>
      <c r="AG92" s="20">
        <f>IF(B92="","",ROUND(V92-Y92-AE92-Z92,2))</f>
        <v>0</v>
      </c>
      <c r="AH92" s="33">
        <f>IF(B92="","",IF(OR(V92="",V92=0),"",AG92/V92))</f>
        <v>0</v>
      </c>
      <c r="AI92" s="33">
        <f>IF(C92="","",IFERROR(INDEX(Products!$AW$5:$AW$304,MATCH(C92,Products!$A$5:$A$304,0)),""))</f>
        <v>0</v>
      </c>
      <c r="AJ92" s="33">
        <f>IF(B92="","",IF(OR(AH92="",AI92=""),"",AH92-AI92))</f>
        <v>0</v>
      </c>
      <c r="AK92" s="41">
        <f>IF(B92="","",IFERROR(ROUND(IF(D92="",0,D92)*INDEX(Products!$X$5:$X$304,MATCH(C92,Products!$A$5:$A$304,0))/60,2),""))</f>
        <v>0</v>
      </c>
      <c r="AL92" s="20">
        <f>IF(B92="","",IF(OR(AK92="",AK92=0),"",ROUND(AG92/AK92,2)))</f>
        <v>0</v>
      </c>
      <c r="AM92" s="43">
        <f>IF(B92="","",IF(C92="","Add - which product?",IF(AG92&lt;0,"Loss - this order cost you money",IF(M92="Refunded","Refunded - check why",IF(AND(AF92&lt;&gt;"",AF92&gt;0.25),"Check - fees higher than your settings",IF(Z92&gt;1,"Check - postage is eating the margin",IF(AND(AH92&lt;&gt;"",AH92&lt;MarginWarning),"Low margin on this order","OK")))))) )</f>
        <v>0</v>
      </c>
    </row>
    <row r="93" spans="1:39">
      <c r="A93" s="38">
        <f>IF(B93="","",SalePrefix&amp;TEXT(ROW()-4,"0000"))</f>
        <v>0</v>
      </c>
      <c r="Q93" s="13">
        <f>IF(C93="","",IFERROR(INDEX(Products!$B$5:$B$304,MATCH(C93,Products!$A$5:$A$304,0)),"Bundle or deleted"))</f>
        <v>0</v>
      </c>
      <c r="R93" s="13">
        <f>IF(B93="","",TEXT(B93,"yyyy-mm"))</f>
        <v>0</v>
      </c>
      <c r="S93" s="20">
        <f>IF(C93="","",IFERROR(INDEX(Products!$AR$5:$AR$304,MATCH(C93,Products!$A$5:$A$304,0)),""))</f>
        <v>0</v>
      </c>
      <c r="T93" s="20">
        <f>IF(B93="","",IF(F93&lt;&gt;"",F93,IF(S93="",0,S93)))</f>
        <v>0</v>
      </c>
      <c r="U93" s="20">
        <f>IF(B93="","",ROUND(IF(D93="",0,D93)*T93,2))</f>
        <v>0</v>
      </c>
      <c r="V93" s="20">
        <f>IF(B93="","",ROUND(U93-IF(G93="",0,G93)-IF(L93="",0,L93),2))</f>
        <v>0</v>
      </c>
      <c r="W93" s="20">
        <f>IF(C93="","",IFERROR(INDEX(Products!$AT$5:$AT$304,MATCH(C93,Products!$A$5:$A$304,0)),""))</f>
        <v>0</v>
      </c>
      <c r="X93" s="20">
        <f>IF(C93="","",IFERROR(INDEX(Products!$AG$5:$AG$304,MATCH(C93,Products!$A$5:$A$304,0)),""))</f>
        <v>0</v>
      </c>
      <c r="Y93" s="20">
        <f>IF(B93="","",ROUND(IF(D93="",0,D93)*MAX(0,IF(W93="",0,W93)-IF(X93="",0,X93)),2))</f>
        <v>0</v>
      </c>
      <c r="Z93" s="20">
        <f>IF(B93="","",ROUND(MAX(0,IF(J93="",0,J93)-IF(I93="",0,I93)),2))</f>
        <v>0</v>
      </c>
      <c r="AA93" s="33">
        <f>IF(B93="","",IFERROR(INDEX(Channels!$S$5:$S$18,MATCH(IF(E93="",DefaultChannel,E93),Channels!$A$5:$A$18,0)),0))</f>
        <v>0</v>
      </c>
      <c r="AB93" s="20">
        <f>IF(B93="","",IFERROR(INDEX(Channels!$T$5:$T$18,MATCH(IF(E93="",DefaultChannel,E93),Channels!$A$5:$A$18,0)),0))</f>
        <v>0</v>
      </c>
      <c r="AC93" s="42">
        <f>IF(B93="","",IFERROR(INDEX(Channels!$O$5:$O$18,MATCH(IF(E93="",DefaultChannel,E93),Channels!$A$5:$A$18,0)),"No"))</f>
        <v>0</v>
      </c>
      <c r="AD93" s="20">
        <f>IF(B93="","",ROUND((V93+IF(AC93="Yes",IF(I93="",0,I93),0))*AA93+AB93,2))</f>
        <v>0</v>
      </c>
      <c r="AE93" s="20">
        <f>IF(B93="","",IF(K93&lt;&gt;"",K93,AD93))</f>
        <v>0</v>
      </c>
      <c r="AF93" s="20">
        <f>IF(B93="","",IF(K93="","",ROUND(K93-AD93,2)))</f>
        <v>0</v>
      </c>
      <c r="AG93" s="20">
        <f>IF(B93="","",ROUND(V93-Y93-AE93-Z93,2))</f>
        <v>0</v>
      </c>
      <c r="AH93" s="33">
        <f>IF(B93="","",IF(OR(V93="",V93=0),"",AG93/V93))</f>
        <v>0</v>
      </c>
      <c r="AI93" s="33">
        <f>IF(C93="","",IFERROR(INDEX(Products!$AW$5:$AW$304,MATCH(C93,Products!$A$5:$A$304,0)),""))</f>
        <v>0</v>
      </c>
      <c r="AJ93" s="33">
        <f>IF(B93="","",IF(OR(AH93="",AI93=""),"",AH93-AI93))</f>
        <v>0</v>
      </c>
      <c r="AK93" s="41">
        <f>IF(B93="","",IFERROR(ROUND(IF(D93="",0,D93)*INDEX(Products!$X$5:$X$304,MATCH(C93,Products!$A$5:$A$304,0))/60,2),""))</f>
        <v>0</v>
      </c>
      <c r="AL93" s="20">
        <f>IF(B93="","",IF(OR(AK93="",AK93=0),"",ROUND(AG93/AK93,2)))</f>
        <v>0</v>
      </c>
      <c r="AM93" s="43">
        <f>IF(B93="","",IF(C93="","Add - which product?",IF(AG93&lt;0,"Loss - this order cost you money",IF(M93="Refunded","Refunded - check why",IF(AND(AF93&lt;&gt;"",AF93&gt;0.25),"Check - fees higher than your settings",IF(Z93&gt;1,"Check - postage is eating the margin",IF(AND(AH93&lt;&gt;"",AH93&lt;MarginWarning),"Low margin on this order","OK")))))) )</f>
        <v>0</v>
      </c>
    </row>
    <row r="94" spans="1:39">
      <c r="A94" s="38">
        <f>IF(B94="","",SalePrefix&amp;TEXT(ROW()-4,"0000"))</f>
        <v>0</v>
      </c>
      <c r="Q94" s="13">
        <f>IF(C94="","",IFERROR(INDEX(Products!$B$5:$B$304,MATCH(C94,Products!$A$5:$A$304,0)),"Bundle or deleted"))</f>
        <v>0</v>
      </c>
      <c r="R94" s="13">
        <f>IF(B94="","",TEXT(B94,"yyyy-mm"))</f>
        <v>0</v>
      </c>
      <c r="S94" s="20">
        <f>IF(C94="","",IFERROR(INDEX(Products!$AR$5:$AR$304,MATCH(C94,Products!$A$5:$A$304,0)),""))</f>
        <v>0</v>
      </c>
      <c r="T94" s="20">
        <f>IF(B94="","",IF(F94&lt;&gt;"",F94,IF(S94="",0,S94)))</f>
        <v>0</v>
      </c>
      <c r="U94" s="20">
        <f>IF(B94="","",ROUND(IF(D94="",0,D94)*T94,2))</f>
        <v>0</v>
      </c>
      <c r="V94" s="20">
        <f>IF(B94="","",ROUND(U94-IF(G94="",0,G94)-IF(L94="",0,L94),2))</f>
        <v>0</v>
      </c>
      <c r="W94" s="20">
        <f>IF(C94="","",IFERROR(INDEX(Products!$AT$5:$AT$304,MATCH(C94,Products!$A$5:$A$304,0)),""))</f>
        <v>0</v>
      </c>
      <c r="X94" s="20">
        <f>IF(C94="","",IFERROR(INDEX(Products!$AG$5:$AG$304,MATCH(C94,Products!$A$5:$A$304,0)),""))</f>
        <v>0</v>
      </c>
      <c r="Y94" s="20">
        <f>IF(B94="","",ROUND(IF(D94="",0,D94)*MAX(0,IF(W94="",0,W94)-IF(X94="",0,X94)),2))</f>
        <v>0</v>
      </c>
      <c r="Z94" s="20">
        <f>IF(B94="","",ROUND(MAX(0,IF(J94="",0,J94)-IF(I94="",0,I94)),2))</f>
        <v>0</v>
      </c>
      <c r="AA94" s="33">
        <f>IF(B94="","",IFERROR(INDEX(Channels!$S$5:$S$18,MATCH(IF(E94="",DefaultChannel,E94),Channels!$A$5:$A$18,0)),0))</f>
        <v>0</v>
      </c>
      <c r="AB94" s="20">
        <f>IF(B94="","",IFERROR(INDEX(Channels!$T$5:$T$18,MATCH(IF(E94="",DefaultChannel,E94),Channels!$A$5:$A$18,0)),0))</f>
        <v>0</v>
      </c>
      <c r="AC94" s="42">
        <f>IF(B94="","",IFERROR(INDEX(Channels!$O$5:$O$18,MATCH(IF(E94="",DefaultChannel,E94),Channels!$A$5:$A$18,0)),"No"))</f>
        <v>0</v>
      </c>
      <c r="AD94" s="20">
        <f>IF(B94="","",ROUND((V94+IF(AC94="Yes",IF(I94="",0,I94),0))*AA94+AB94,2))</f>
        <v>0</v>
      </c>
      <c r="AE94" s="20">
        <f>IF(B94="","",IF(K94&lt;&gt;"",K94,AD94))</f>
        <v>0</v>
      </c>
      <c r="AF94" s="20">
        <f>IF(B94="","",IF(K94="","",ROUND(K94-AD94,2)))</f>
        <v>0</v>
      </c>
      <c r="AG94" s="20">
        <f>IF(B94="","",ROUND(V94-Y94-AE94-Z94,2))</f>
        <v>0</v>
      </c>
      <c r="AH94" s="33">
        <f>IF(B94="","",IF(OR(V94="",V94=0),"",AG94/V94))</f>
        <v>0</v>
      </c>
      <c r="AI94" s="33">
        <f>IF(C94="","",IFERROR(INDEX(Products!$AW$5:$AW$304,MATCH(C94,Products!$A$5:$A$304,0)),""))</f>
        <v>0</v>
      </c>
      <c r="AJ94" s="33">
        <f>IF(B94="","",IF(OR(AH94="",AI94=""),"",AH94-AI94))</f>
        <v>0</v>
      </c>
      <c r="AK94" s="41">
        <f>IF(B94="","",IFERROR(ROUND(IF(D94="",0,D94)*INDEX(Products!$X$5:$X$304,MATCH(C94,Products!$A$5:$A$304,0))/60,2),""))</f>
        <v>0</v>
      </c>
      <c r="AL94" s="20">
        <f>IF(B94="","",IF(OR(AK94="",AK94=0),"",ROUND(AG94/AK94,2)))</f>
        <v>0</v>
      </c>
      <c r="AM94" s="43">
        <f>IF(B94="","",IF(C94="","Add - which product?",IF(AG94&lt;0,"Loss - this order cost you money",IF(M94="Refunded","Refunded - check why",IF(AND(AF94&lt;&gt;"",AF94&gt;0.25),"Check - fees higher than your settings",IF(Z94&gt;1,"Check - postage is eating the margin",IF(AND(AH94&lt;&gt;"",AH94&lt;MarginWarning),"Low margin on this order","OK")))))) )</f>
        <v>0</v>
      </c>
    </row>
    <row r="95" spans="1:39">
      <c r="A95" s="38">
        <f>IF(B95="","",SalePrefix&amp;TEXT(ROW()-4,"0000"))</f>
        <v>0</v>
      </c>
      <c r="Q95" s="13">
        <f>IF(C95="","",IFERROR(INDEX(Products!$B$5:$B$304,MATCH(C95,Products!$A$5:$A$304,0)),"Bundle or deleted"))</f>
        <v>0</v>
      </c>
      <c r="R95" s="13">
        <f>IF(B95="","",TEXT(B95,"yyyy-mm"))</f>
        <v>0</v>
      </c>
      <c r="S95" s="20">
        <f>IF(C95="","",IFERROR(INDEX(Products!$AR$5:$AR$304,MATCH(C95,Products!$A$5:$A$304,0)),""))</f>
        <v>0</v>
      </c>
      <c r="T95" s="20">
        <f>IF(B95="","",IF(F95&lt;&gt;"",F95,IF(S95="",0,S95)))</f>
        <v>0</v>
      </c>
      <c r="U95" s="20">
        <f>IF(B95="","",ROUND(IF(D95="",0,D95)*T95,2))</f>
        <v>0</v>
      </c>
      <c r="V95" s="20">
        <f>IF(B95="","",ROUND(U95-IF(G95="",0,G95)-IF(L95="",0,L95),2))</f>
        <v>0</v>
      </c>
      <c r="W95" s="20">
        <f>IF(C95="","",IFERROR(INDEX(Products!$AT$5:$AT$304,MATCH(C95,Products!$A$5:$A$304,0)),""))</f>
        <v>0</v>
      </c>
      <c r="X95" s="20">
        <f>IF(C95="","",IFERROR(INDEX(Products!$AG$5:$AG$304,MATCH(C95,Products!$A$5:$A$304,0)),""))</f>
        <v>0</v>
      </c>
      <c r="Y95" s="20">
        <f>IF(B95="","",ROUND(IF(D95="",0,D95)*MAX(0,IF(W95="",0,W95)-IF(X95="",0,X95)),2))</f>
        <v>0</v>
      </c>
      <c r="Z95" s="20">
        <f>IF(B95="","",ROUND(MAX(0,IF(J95="",0,J95)-IF(I95="",0,I95)),2))</f>
        <v>0</v>
      </c>
      <c r="AA95" s="33">
        <f>IF(B95="","",IFERROR(INDEX(Channels!$S$5:$S$18,MATCH(IF(E95="",DefaultChannel,E95),Channels!$A$5:$A$18,0)),0))</f>
        <v>0</v>
      </c>
      <c r="AB95" s="20">
        <f>IF(B95="","",IFERROR(INDEX(Channels!$T$5:$T$18,MATCH(IF(E95="",DefaultChannel,E95),Channels!$A$5:$A$18,0)),0))</f>
        <v>0</v>
      </c>
      <c r="AC95" s="42">
        <f>IF(B95="","",IFERROR(INDEX(Channels!$O$5:$O$18,MATCH(IF(E95="",DefaultChannel,E95),Channels!$A$5:$A$18,0)),"No"))</f>
        <v>0</v>
      </c>
      <c r="AD95" s="20">
        <f>IF(B95="","",ROUND((V95+IF(AC95="Yes",IF(I95="",0,I95),0))*AA95+AB95,2))</f>
        <v>0</v>
      </c>
      <c r="AE95" s="20">
        <f>IF(B95="","",IF(K95&lt;&gt;"",K95,AD95))</f>
        <v>0</v>
      </c>
      <c r="AF95" s="20">
        <f>IF(B95="","",IF(K95="","",ROUND(K95-AD95,2)))</f>
        <v>0</v>
      </c>
      <c r="AG95" s="20">
        <f>IF(B95="","",ROUND(V95-Y95-AE95-Z95,2))</f>
        <v>0</v>
      </c>
      <c r="AH95" s="33">
        <f>IF(B95="","",IF(OR(V95="",V95=0),"",AG95/V95))</f>
        <v>0</v>
      </c>
      <c r="AI95" s="33">
        <f>IF(C95="","",IFERROR(INDEX(Products!$AW$5:$AW$304,MATCH(C95,Products!$A$5:$A$304,0)),""))</f>
        <v>0</v>
      </c>
      <c r="AJ95" s="33">
        <f>IF(B95="","",IF(OR(AH95="",AI95=""),"",AH95-AI95))</f>
        <v>0</v>
      </c>
      <c r="AK95" s="41">
        <f>IF(B95="","",IFERROR(ROUND(IF(D95="",0,D95)*INDEX(Products!$X$5:$X$304,MATCH(C95,Products!$A$5:$A$304,0))/60,2),""))</f>
        <v>0</v>
      </c>
      <c r="AL95" s="20">
        <f>IF(B95="","",IF(OR(AK95="",AK95=0),"",ROUND(AG95/AK95,2)))</f>
        <v>0</v>
      </c>
      <c r="AM95" s="43">
        <f>IF(B95="","",IF(C95="","Add - which product?",IF(AG95&lt;0,"Loss - this order cost you money",IF(M95="Refunded","Refunded - check why",IF(AND(AF95&lt;&gt;"",AF95&gt;0.25),"Check - fees higher than your settings",IF(Z95&gt;1,"Check - postage is eating the margin",IF(AND(AH95&lt;&gt;"",AH95&lt;MarginWarning),"Low margin on this order","OK")))))) )</f>
        <v>0</v>
      </c>
    </row>
    <row r="96" spans="1:39">
      <c r="A96" s="38">
        <f>IF(B96="","",SalePrefix&amp;TEXT(ROW()-4,"0000"))</f>
        <v>0</v>
      </c>
      <c r="Q96" s="13">
        <f>IF(C96="","",IFERROR(INDEX(Products!$B$5:$B$304,MATCH(C96,Products!$A$5:$A$304,0)),"Bundle or deleted"))</f>
        <v>0</v>
      </c>
      <c r="R96" s="13">
        <f>IF(B96="","",TEXT(B96,"yyyy-mm"))</f>
        <v>0</v>
      </c>
      <c r="S96" s="20">
        <f>IF(C96="","",IFERROR(INDEX(Products!$AR$5:$AR$304,MATCH(C96,Products!$A$5:$A$304,0)),""))</f>
        <v>0</v>
      </c>
      <c r="T96" s="20">
        <f>IF(B96="","",IF(F96&lt;&gt;"",F96,IF(S96="",0,S96)))</f>
        <v>0</v>
      </c>
      <c r="U96" s="20">
        <f>IF(B96="","",ROUND(IF(D96="",0,D96)*T96,2))</f>
        <v>0</v>
      </c>
      <c r="V96" s="20">
        <f>IF(B96="","",ROUND(U96-IF(G96="",0,G96)-IF(L96="",0,L96),2))</f>
        <v>0</v>
      </c>
      <c r="W96" s="20">
        <f>IF(C96="","",IFERROR(INDEX(Products!$AT$5:$AT$304,MATCH(C96,Products!$A$5:$A$304,0)),""))</f>
        <v>0</v>
      </c>
      <c r="X96" s="20">
        <f>IF(C96="","",IFERROR(INDEX(Products!$AG$5:$AG$304,MATCH(C96,Products!$A$5:$A$304,0)),""))</f>
        <v>0</v>
      </c>
      <c r="Y96" s="20">
        <f>IF(B96="","",ROUND(IF(D96="",0,D96)*MAX(0,IF(W96="",0,W96)-IF(X96="",0,X96)),2))</f>
        <v>0</v>
      </c>
      <c r="Z96" s="20">
        <f>IF(B96="","",ROUND(MAX(0,IF(J96="",0,J96)-IF(I96="",0,I96)),2))</f>
        <v>0</v>
      </c>
      <c r="AA96" s="33">
        <f>IF(B96="","",IFERROR(INDEX(Channels!$S$5:$S$18,MATCH(IF(E96="",DefaultChannel,E96),Channels!$A$5:$A$18,0)),0))</f>
        <v>0</v>
      </c>
      <c r="AB96" s="20">
        <f>IF(B96="","",IFERROR(INDEX(Channels!$T$5:$T$18,MATCH(IF(E96="",DefaultChannel,E96),Channels!$A$5:$A$18,0)),0))</f>
        <v>0</v>
      </c>
      <c r="AC96" s="42">
        <f>IF(B96="","",IFERROR(INDEX(Channels!$O$5:$O$18,MATCH(IF(E96="",DefaultChannel,E96),Channels!$A$5:$A$18,0)),"No"))</f>
        <v>0</v>
      </c>
      <c r="AD96" s="20">
        <f>IF(B96="","",ROUND((V96+IF(AC96="Yes",IF(I96="",0,I96),0))*AA96+AB96,2))</f>
        <v>0</v>
      </c>
      <c r="AE96" s="20">
        <f>IF(B96="","",IF(K96&lt;&gt;"",K96,AD96))</f>
        <v>0</v>
      </c>
      <c r="AF96" s="20">
        <f>IF(B96="","",IF(K96="","",ROUND(K96-AD96,2)))</f>
        <v>0</v>
      </c>
      <c r="AG96" s="20">
        <f>IF(B96="","",ROUND(V96-Y96-AE96-Z96,2))</f>
        <v>0</v>
      </c>
      <c r="AH96" s="33">
        <f>IF(B96="","",IF(OR(V96="",V96=0),"",AG96/V96))</f>
        <v>0</v>
      </c>
      <c r="AI96" s="33">
        <f>IF(C96="","",IFERROR(INDEX(Products!$AW$5:$AW$304,MATCH(C96,Products!$A$5:$A$304,0)),""))</f>
        <v>0</v>
      </c>
      <c r="AJ96" s="33">
        <f>IF(B96="","",IF(OR(AH96="",AI96=""),"",AH96-AI96))</f>
        <v>0</v>
      </c>
      <c r="AK96" s="41">
        <f>IF(B96="","",IFERROR(ROUND(IF(D96="",0,D96)*INDEX(Products!$X$5:$X$304,MATCH(C96,Products!$A$5:$A$304,0))/60,2),""))</f>
        <v>0</v>
      </c>
      <c r="AL96" s="20">
        <f>IF(B96="","",IF(OR(AK96="",AK96=0),"",ROUND(AG96/AK96,2)))</f>
        <v>0</v>
      </c>
      <c r="AM96" s="43">
        <f>IF(B96="","",IF(C96="","Add - which product?",IF(AG96&lt;0,"Loss - this order cost you money",IF(M96="Refunded","Refunded - check why",IF(AND(AF96&lt;&gt;"",AF96&gt;0.25),"Check - fees higher than your settings",IF(Z96&gt;1,"Check - postage is eating the margin",IF(AND(AH96&lt;&gt;"",AH96&lt;MarginWarning),"Low margin on this order","OK")))))) )</f>
        <v>0</v>
      </c>
    </row>
    <row r="97" spans="1:39">
      <c r="A97" s="38">
        <f>IF(B97="","",SalePrefix&amp;TEXT(ROW()-4,"0000"))</f>
        <v>0</v>
      </c>
      <c r="Q97" s="13">
        <f>IF(C97="","",IFERROR(INDEX(Products!$B$5:$B$304,MATCH(C97,Products!$A$5:$A$304,0)),"Bundle or deleted"))</f>
        <v>0</v>
      </c>
      <c r="R97" s="13">
        <f>IF(B97="","",TEXT(B97,"yyyy-mm"))</f>
        <v>0</v>
      </c>
      <c r="S97" s="20">
        <f>IF(C97="","",IFERROR(INDEX(Products!$AR$5:$AR$304,MATCH(C97,Products!$A$5:$A$304,0)),""))</f>
        <v>0</v>
      </c>
      <c r="T97" s="20">
        <f>IF(B97="","",IF(F97&lt;&gt;"",F97,IF(S97="",0,S97)))</f>
        <v>0</v>
      </c>
      <c r="U97" s="20">
        <f>IF(B97="","",ROUND(IF(D97="",0,D97)*T97,2))</f>
        <v>0</v>
      </c>
      <c r="V97" s="20">
        <f>IF(B97="","",ROUND(U97-IF(G97="",0,G97)-IF(L97="",0,L97),2))</f>
        <v>0</v>
      </c>
      <c r="W97" s="20">
        <f>IF(C97="","",IFERROR(INDEX(Products!$AT$5:$AT$304,MATCH(C97,Products!$A$5:$A$304,0)),""))</f>
        <v>0</v>
      </c>
      <c r="X97" s="20">
        <f>IF(C97="","",IFERROR(INDEX(Products!$AG$5:$AG$304,MATCH(C97,Products!$A$5:$A$304,0)),""))</f>
        <v>0</v>
      </c>
      <c r="Y97" s="20">
        <f>IF(B97="","",ROUND(IF(D97="",0,D97)*MAX(0,IF(W97="",0,W97)-IF(X97="",0,X97)),2))</f>
        <v>0</v>
      </c>
      <c r="Z97" s="20">
        <f>IF(B97="","",ROUND(MAX(0,IF(J97="",0,J97)-IF(I97="",0,I97)),2))</f>
        <v>0</v>
      </c>
      <c r="AA97" s="33">
        <f>IF(B97="","",IFERROR(INDEX(Channels!$S$5:$S$18,MATCH(IF(E97="",DefaultChannel,E97),Channels!$A$5:$A$18,0)),0))</f>
        <v>0</v>
      </c>
      <c r="AB97" s="20">
        <f>IF(B97="","",IFERROR(INDEX(Channels!$T$5:$T$18,MATCH(IF(E97="",DefaultChannel,E97),Channels!$A$5:$A$18,0)),0))</f>
        <v>0</v>
      </c>
      <c r="AC97" s="42">
        <f>IF(B97="","",IFERROR(INDEX(Channels!$O$5:$O$18,MATCH(IF(E97="",DefaultChannel,E97),Channels!$A$5:$A$18,0)),"No"))</f>
        <v>0</v>
      </c>
      <c r="AD97" s="20">
        <f>IF(B97="","",ROUND((V97+IF(AC97="Yes",IF(I97="",0,I97),0))*AA97+AB97,2))</f>
        <v>0</v>
      </c>
      <c r="AE97" s="20">
        <f>IF(B97="","",IF(K97&lt;&gt;"",K97,AD97))</f>
        <v>0</v>
      </c>
      <c r="AF97" s="20">
        <f>IF(B97="","",IF(K97="","",ROUND(K97-AD97,2)))</f>
        <v>0</v>
      </c>
      <c r="AG97" s="20">
        <f>IF(B97="","",ROUND(V97-Y97-AE97-Z97,2))</f>
        <v>0</v>
      </c>
      <c r="AH97" s="33">
        <f>IF(B97="","",IF(OR(V97="",V97=0),"",AG97/V97))</f>
        <v>0</v>
      </c>
      <c r="AI97" s="33">
        <f>IF(C97="","",IFERROR(INDEX(Products!$AW$5:$AW$304,MATCH(C97,Products!$A$5:$A$304,0)),""))</f>
        <v>0</v>
      </c>
      <c r="AJ97" s="33">
        <f>IF(B97="","",IF(OR(AH97="",AI97=""),"",AH97-AI97))</f>
        <v>0</v>
      </c>
      <c r="AK97" s="41">
        <f>IF(B97="","",IFERROR(ROUND(IF(D97="",0,D97)*INDEX(Products!$X$5:$X$304,MATCH(C97,Products!$A$5:$A$304,0))/60,2),""))</f>
        <v>0</v>
      </c>
      <c r="AL97" s="20">
        <f>IF(B97="","",IF(OR(AK97="",AK97=0),"",ROUND(AG97/AK97,2)))</f>
        <v>0</v>
      </c>
      <c r="AM97" s="43">
        <f>IF(B97="","",IF(C97="","Add - which product?",IF(AG97&lt;0,"Loss - this order cost you money",IF(M97="Refunded","Refunded - check why",IF(AND(AF97&lt;&gt;"",AF97&gt;0.25),"Check - fees higher than your settings",IF(Z97&gt;1,"Check - postage is eating the margin",IF(AND(AH97&lt;&gt;"",AH97&lt;MarginWarning),"Low margin on this order","OK")))))) )</f>
        <v>0</v>
      </c>
    </row>
    <row r="98" spans="1:39">
      <c r="A98" s="38">
        <f>IF(B98="","",SalePrefix&amp;TEXT(ROW()-4,"0000"))</f>
        <v>0</v>
      </c>
      <c r="Q98" s="13">
        <f>IF(C98="","",IFERROR(INDEX(Products!$B$5:$B$304,MATCH(C98,Products!$A$5:$A$304,0)),"Bundle or deleted"))</f>
        <v>0</v>
      </c>
      <c r="R98" s="13">
        <f>IF(B98="","",TEXT(B98,"yyyy-mm"))</f>
        <v>0</v>
      </c>
      <c r="S98" s="20">
        <f>IF(C98="","",IFERROR(INDEX(Products!$AR$5:$AR$304,MATCH(C98,Products!$A$5:$A$304,0)),""))</f>
        <v>0</v>
      </c>
      <c r="T98" s="20">
        <f>IF(B98="","",IF(F98&lt;&gt;"",F98,IF(S98="",0,S98)))</f>
        <v>0</v>
      </c>
      <c r="U98" s="20">
        <f>IF(B98="","",ROUND(IF(D98="",0,D98)*T98,2))</f>
        <v>0</v>
      </c>
      <c r="V98" s="20">
        <f>IF(B98="","",ROUND(U98-IF(G98="",0,G98)-IF(L98="",0,L98),2))</f>
        <v>0</v>
      </c>
      <c r="W98" s="20">
        <f>IF(C98="","",IFERROR(INDEX(Products!$AT$5:$AT$304,MATCH(C98,Products!$A$5:$A$304,0)),""))</f>
        <v>0</v>
      </c>
      <c r="X98" s="20">
        <f>IF(C98="","",IFERROR(INDEX(Products!$AG$5:$AG$304,MATCH(C98,Products!$A$5:$A$304,0)),""))</f>
        <v>0</v>
      </c>
      <c r="Y98" s="20">
        <f>IF(B98="","",ROUND(IF(D98="",0,D98)*MAX(0,IF(W98="",0,W98)-IF(X98="",0,X98)),2))</f>
        <v>0</v>
      </c>
      <c r="Z98" s="20">
        <f>IF(B98="","",ROUND(MAX(0,IF(J98="",0,J98)-IF(I98="",0,I98)),2))</f>
        <v>0</v>
      </c>
      <c r="AA98" s="33">
        <f>IF(B98="","",IFERROR(INDEX(Channels!$S$5:$S$18,MATCH(IF(E98="",DefaultChannel,E98),Channels!$A$5:$A$18,0)),0))</f>
        <v>0</v>
      </c>
      <c r="AB98" s="20">
        <f>IF(B98="","",IFERROR(INDEX(Channels!$T$5:$T$18,MATCH(IF(E98="",DefaultChannel,E98),Channels!$A$5:$A$18,0)),0))</f>
        <v>0</v>
      </c>
      <c r="AC98" s="42">
        <f>IF(B98="","",IFERROR(INDEX(Channels!$O$5:$O$18,MATCH(IF(E98="",DefaultChannel,E98),Channels!$A$5:$A$18,0)),"No"))</f>
        <v>0</v>
      </c>
      <c r="AD98" s="20">
        <f>IF(B98="","",ROUND((V98+IF(AC98="Yes",IF(I98="",0,I98),0))*AA98+AB98,2))</f>
        <v>0</v>
      </c>
      <c r="AE98" s="20">
        <f>IF(B98="","",IF(K98&lt;&gt;"",K98,AD98))</f>
        <v>0</v>
      </c>
      <c r="AF98" s="20">
        <f>IF(B98="","",IF(K98="","",ROUND(K98-AD98,2)))</f>
        <v>0</v>
      </c>
      <c r="AG98" s="20">
        <f>IF(B98="","",ROUND(V98-Y98-AE98-Z98,2))</f>
        <v>0</v>
      </c>
      <c r="AH98" s="33">
        <f>IF(B98="","",IF(OR(V98="",V98=0),"",AG98/V98))</f>
        <v>0</v>
      </c>
      <c r="AI98" s="33">
        <f>IF(C98="","",IFERROR(INDEX(Products!$AW$5:$AW$304,MATCH(C98,Products!$A$5:$A$304,0)),""))</f>
        <v>0</v>
      </c>
      <c r="AJ98" s="33">
        <f>IF(B98="","",IF(OR(AH98="",AI98=""),"",AH98-AI98))</f>
        <v>0</v>
      </c>
      <c r="AK98" s="41">
        <f>IF(B98="","",IFERROR(ROUND(IF(D98="",0,D98)*INDEX(Products!$X$5:$X$304,MATCH(C98,Products!$A$5:$A$304,0))/60,2),""))</f>
        <v>0</v>
      </c>
      <c r="AL98" s="20">
        <f>IF(B98="","",IF(OR(AK98="",AK98=0),"",ROUND(AG98/AK98,2)))</f>
        <v>0</v>
      </c>
      <c r="AM98" s="43">
        <f>IF(B98="","",IF(C98="","Add - which product?",IF(AG98&lt;0,"Loss - this order cost you money",IF(M98="Refunded","Refunded - check why",IF(AND(AF98&lt;&gt;"",AF98&gt;0.25),"Check - fees higher than your settings",IF(Z98&gt;1,"Check - postage is eating the margin",IF(AND(AH98&lt;&gt;"",AH98&lt;MarginWarning),"Low margin on this order","OK")))))) )</f>
        <v>0</v>
      </c>
    </row>
    <row r="99" spans="1:39">
      <c r="A99" s="38">
        <f>IF(B99="","",SalePrefix&amp;TEXT(ROW()-4,"0000"))</f>
        <v>0</v>
      </c>
      <c r="Q99" s="13">
        <f>IF(C99="","",IFERROR(INDEX(Products!$B$5:$B$304,MATCH(C99,Products!$A$5:$A$304,0)),"Bundle or deleted"))</f>
        <v>0</v>
      </c>
      <c r="R99" s="13">
        <f>IF(B99="","",TEXT(B99,"yyyy-mm"))</f>
        <v>0</v>
      </c>
      <c r="S99" s="20">
        <f>IF(C99="","",IFERROR(INDEX(Products!$AR$5:$AR$304,MATCH(C99,Products!$A$5:$A$304,0)),""))</f>
        <v>0</v>
      </c>
      <c r="T99" s="20">
        <f>IF(B99="","",IF(F99&lt;&gt;"",F99,IF(S99="",0,S99)))</f>
        <v>0</v>
      </c>
      <c r="U99" s="20">
        <f>IF(B99="","",ROUND(IF(D99="",0,D99)*T99,2))</f>
        <v>0</v>
      </c>
      <c r="V99" s="20">
        <f>IF(B99="","",ROUND(U99-IF(G99="",0,G99)-IF(L99="",0,L99),2))</f>
        <v>0</v>
      </c>
      <c r="W99" s="20">
        <f>IF(C99="","",IFERROR(INDEX(Products!$AT$5:$AT$304,MATCH(C99,Products!$A$5:$A$304,0)),""))</f>
        <v>0</v>
      </c>
      <c r="X99" s="20">
        <f>IF(C99="","",IFERROR(INDEX(Products!$AG$5:$AG$304,MATCH(C99,Products!$A$5:$A$304,0)),""))</f>
        <v>0</v>
      </c>
      <c r="Y99" s="20">
        <f>IF(B99="","",ROUND(IF(D99="",0,D99)*MAX(0,IF(W99="",0,W99)-IF(X99="",0,X99)),2))</f>
        <v>0</v>
      </c>
      <c r="Z99" s="20">
        <f>IF(B99="","",ROUND(MAX(0,IF(J99="",0,J99)-IF(I99="",0,I99)),2))</f>
        <v>0</v>
      </c>
      <c r="AA99" s="33">
        <f>IF(B99="","",IFERROR(INDEX(Channels!$S$5:$S$18,MATCH(IF(E99="",DefaultChannel,E99),Channels!$A$5:$A$18,0)),0))</f>
        <v>0</v>
      </c>
      <c r="AB99" s="20">
        <f>IF(B99="","",IFERROR(INDEX(Channels!$T$5:$T$18,MATCH(IF(E99="",DefaultChannel,E99),Channels!$A$5:$A$18,0)),0))</f>
        <v>0</v>
      </c>
      <c r="AC99" s="42">
        <f>IF(B99="","",IFERROR(INDEX(Channels!$O$5:$O$18,MATCH(IF(E99="",DefaultChannel,E99),Channels!$A$5:$A$18,0)),"No"))</f>
        <v>0</v>
      </c>
      <c r="AD99" s="20">
        <f>IF(B99="","",ROUND((V99+IF(AC99="Yes",IF(I99="",0,I99),0))*AA99+AB99,2))</f>
        <v>0</v>
      </c>
      <c r="AE99" s="20">
        <f>IF(B99="","",IF(K99&lt;&gt;"",K99,AD99))</f>
        <v>0</v>
      </c>
      <c r="AF99" s="20">
        <f>IF(B99="","",IF(K99="","",ROUND(K99-AD99,2)))</f>
        <v>0</v>
      </c>
      <c r="AG99" s="20">
        <f>IF(B99="","",ROUND(V99-Y99-AE99-Z99,2))</f>
        <v>0</v>
      </c>
      <c r="AH99" s="33">
        <f>IF(B99="","",IF(OR(V99="",V99=0),"",AG99/V99))</f>
        <v>0</v>
      </c>
      <c r="AI99" s="33">
        <f>IF(C99="","",IFERROR(INDEX(Products!$AW$5:$AW$304,MATCH(C99,Products!$A$5:$A$304,0)),""))</f>
        <v>0</v>
      </c>
      <c r="AJ99" s="33">
        <f>IF(B99="","",IF(OR(AH99="",AI99=""),"",AH99-AI99))</f>
        <v>0</v>
      </c>
      <c r="AK99" s="41">
        <f>IF(B99="","",IFERROR(ROUND(IF(D99="",0,D99)*INDEX(Products!$X$5:$X$304,MATCH(C99,Products!$A$5:$A$304,0))/60,2),""))</f>
        <v>0</v>
      </c>
      <c r="AL99" s="20">
        <f>IF(B99="","",IF(OR(AK99="",AK99=0),"",ROUND(AG99/AK99,2)))</f>
        <v>0</v>
      </c>
      <c r="AM99" s="43">
        <f>IF(B99="","",IF(C99="","Add - which product?",IF(AG99&lt;0,"Loss - this order cost you money",IF(M99="Refunded","Refunded - check why",IF(AND(AF99&lt;&gt;"",AF99&gt;0.25),"Check - fees higher than your settings",IF(Z99&gt;1,"Check - postage is eating the margin",IF(AND(AH99&lt;&gt;"",AH99&lt;MarginWarning),"Low margin on this order","OK")))))) )</f>
        <v>0</v>
      </c>
    </row>
    <row r="100" spans="1:39">
      <c r="A100" s="38">
        <f>IF(B100="","",SalePrefix&amp;TEXT(ROW()-4,"0000"))</f>
        <v>0</v>
      </c>
      <c r="Q100" s="13">
        <f>IF(C100="","",IFERROR(INDEX(Products!$B$5:$B$304,MATCH(C100,Products!$A$5:$A$304,0)),"Bundle or deleted"))</f>
        <v>0</v>
      </c>
      <c r="R100" s="13">
        <f>IF(B100="","",TEXT(B100,"yyyy-mm"))</f>
        <v>0</v>
      </c>
      <c r="S100" s="20">
        <f>IF(C100="","",IFERROR(INDEX(Products!$AR$5:$AR$304,MATCH(C100,Products!$A$5:$A$304,0)),""))</f>
        <v>0</v>
      </c>
      <c r="T100" s="20">
        <f>IF(B100="","",IF(F100&lt;&gt;"",F100,IF(S100="",0,S100)))</f>
        <v>0</v>
      </c>
      <c r="U100" s="20">
        <f>IF(B100="","",ROUND(IF(D100="",0,D100)*T100,2))</f>
        <v>0</v>
      </c>
      <c r="V100" s="20">
        <f>IF(B100="","",ROUND(U100-IF(G100="",0,G100)-IF(L100="",0,L100),2))</f>
        <v>0</v>
      </c>
      <c r="W100" s="20">
        <f>IF(C100="","",IFERROR(INDEX(Products!$AT$5:$AT$304,MATCH(C100,Products!$A$5:$A$304,0)),""))</f>
        <v>0</v>
      </c>
      <c r="X100" s="20">
        <f>IF(C100="","",IFERROR(INDEX(Products!$AG$5:$AG$304,MATCH(C100,Products!$A$5:$A$304,0)),""))</f>
        <v>0</v>
      </c>
      <c r="Y100" s="20">
        <f>IF(B100="","",ROUND(IF(D100="",0,D100)*MAX(0,IF(W100="",0,W100)-IF(X100="",0,X100)),2))</f>
        <v>0</v>
      </c>
      <c r="Z100" s="20">
        <f>IF(B100="","",ROUND(MAX(0,IF(J100="",0,J100)-IF(I100="",0,I100)),2))</f>
        <v>0</v>
      </c>
      <c r="AA100" s="33">
        <f>IF(B100="","",IFERROR(INDEX(Channels!$S$5:$S$18,MATCH(IF(E100="",DefaultChannel,E100),Channels!$A$5:$A$18,0)),0))</f>
        <v>0</v>
      </c>
      <c r="AB100" s="20">
        <f>IF(B100="","",IFERROR(INDEX(Channels!$T$5:$T$18,MATCH(IF(E100="",DefaultChannel,E100),Channels!$A$5:$A$18,0)),0))</f>
        <v>0</v>
      </c>
      <c r="AC100" s="42">
        <f>IF(B100="","",IFERROR(INDEX(Channels!$O$5:$O$18,MATCH(IF(E100="",DefaultChannel,E100),Channels!$A$5:$A$18,0)),"No"))</f>
        <v>0</v>
      </c>
      <c r="AD100" s="20">
        <f>IF(B100="","",ROUND((V100+IF(AC100="Yes",IF(I100="",0,I100),0))*AA100+AB100,2))</f>
        <v>0</v>
      </c>
      <c r="AE100" s="20">
        <f>IF(B100="","",IF(K100&lt;&gt;"",K100,AD100))</f>
        <v>0</v>
      </c>
      <c r="AF100" s="20">
        <f>IF(B100="","",IF(K100="","",ROUND(K100-AD100,2)))</f>
        <v>0</v>
      </c>
      <c r="AG100" s="20">
        <f>IF(B100="","",ROUND(V100-Y100-AE100-Z100,2))</f>
        <v>0</v>
      </c>
      <c r="AH100" s="33">
        <f>IF(B100="","",IF(OR(V100="",V100=0),"",AG100/V100))</f>
        <v>0</v>
      </c>
      <c r="AI100" s="33">
        <f>IF(C100="","",IFERROR(INDEX(Products!$AW$5:$AW$304,MATCH(C100,Products!$A$5:$A$304,0)),""))</f>
        <v>0</v>
      </c>
      <c r="AJ100" s="33">
        <f>IF(B100="","",IF(OR(AH100="",AI100=""),"",AH100-AI100))</f>
        <v>0</v>
      </c>
      <c r="AK100" s="41">
        <f>IF(B100="","",IFERROR(ROUND(IF(D100="",0,D100)*INDEX(Products!$X$5:$X$304,MATCH(C100,Products!$A$5:$A$304,0))/60,2),""))</f>
        <v>0</v>
      </c>
      <c r="AL100" s="20">
        <f>IF(B100="","",IF(OR(AK100="",AK100=0),"",ROUND(AG100/AK100,2)))</f>
        <v>0</v>
      </c>
      <c r="AM100" s="43">
        <f>IF(B100="","",IF(C100="","Add - which product?",IF(AG100&lt;0,"Loss - this order cost you money",IF(M100="Refunded","Refunded - check why",IF(AND(AF100&lt;&gt;"",AF100&gt;0.25),"Check - fees higher than your settings",IF(Z100&gt;1,"Check - postage is eating the margin",IF(AND(AH100&lt;&gt;"",AH100&lt;MarginWarning),"Low margin on this order","OK")))))) )</f>
        <v>0</v>
      </c>
    </row>
    <row r="101" spans="1:39">
      <c r="A101" s="38">
        <f>IF(B101="","",SalePrefix&amp;TEXT(ROW()-4,"0000"))</f>
        <v>0</v>
      </c>
      <c r="Q101" s="13">
        <f>IF(C101="","",IFERROR(INDEX(Products!$B$5:$B$304,MATCH(C101,Products!$A$5:$A$304,0)),"Bundle or deleted"))</f>
        <v>0</v>
      </c>
      <c r="R101" s="13">
        <f>IF(B101="","",TEXT(B101,"yyyy-mm"))</f>
        <v>0</v>
      </c>
      <c r="S101" s="20">
        <f>IF(C101="","",IFERROR(INDEX(Products!$AR$5:$AR$304,MATCH(C101,Products!$A$5:$A$304,0)),""))</f>
        <v>0</v>
      </c>
      <c r="T101" s="20">
        <f>IF(B101="","",IF(F101&lt;&gt;"",F101,IF(S101="",0,S101)))</f>
        <v>0</v>
      </c>
      <c r="U101" s="20">
        <f>IF(B101="","",ROUND(IF(D101="",0,D101)*T101,2))</f>
        <v>0</v>
      </c>
      <c r="V101" s="20">
        <f>IF(B101="","",ROUND(U101-IF(G101="",0,G101)-IF(L101="",0,L101),2))</f>
        <v>0</v>
      </c>
      <c r="W101" s="20">
        <f>IF(C101="","",IFERROR(INDEX(Products!$AT$5:$AT$304,MATCH(C101,Products!$A$5:$A$304,0)),""))</f>
        <v>0</v>
      </c>
      <c r="X101" s="20">
        <f>IF(C101="","",IFERROR(INDEX(Products!$AG$5:$AG$304,MATCH(C101,Products!$A$5:$A$304,0)),""))</f>
        <v>0</v>
      </c>
      <c r="Y101" s="20">
        <f>IF(B101="","",ROUND(IF(D101="",0,D101)*MAX(0,IF(W101="",0,W101)-IF(X101="",0,X101)),2))</f>
        <v>0</v>
      </c>
      <c r="Z101" s="20">
        <f>IF(B101="","",ROUND(MAX(0,IF(J101="",0,J101)-IF(I101="",0,I101)),2))</f>
        <v>0</v>
      </c>
      <c r="AA101" s="33">
        <f>IF(B101="","",IFERROR(INDEX(Channels!$S$5:$S$18,MATCH(IF(E101="",DefaultChannel,E101),Channels!$A$5:$A$18,0)),0))</f>
        <v>0</v>
      </c>
      <c r="AB101" s="20">
        <f>IF(B101="","",IFERROR(INDEX(Channels!$T$5:$T$18,MATCH(IF(E101="",DefaultChannel,E101),Channels!$A$5:$A$18,0)),0))</f>
        <v>0</v>
      </c>
      <c r="AC101" s="42">
        <f>IF(B101="","",IFERROR(INDEX(Channels!$O$5:$O$18,MATCH(IF(E101="",DefaultChannel,E101),Channels!$A$5:$A$18,0)),"No"))</f>
        <v>0</v>
      </c>
      <c r="AD101" s="20">
        <f>IF(B101="","",ROUND((V101+IF(AC101="Yes",IF(I101="",0,I101),0))*AA101+AB101,2))</f>
        <v>0</v>
      </c>
      <c r="AE101" s="20">
        <f>IF(B101="","",IF(K101&lt;&gt;"",K101,AD101))</f>
        <v>0</v>
      </c>
      <c r="AF101" s="20">
        <f>IF(B101="","",IF(K101="","",ROUND(K101-AD101,2)))</f>
        <v>0</v>
      </c>
      <c r="AG101" s="20">
        <f>IF(B101="","",ROUND(V101-Y101-AE101-Z101,2))</f>
        <v>0</v>
      </c>
      <c r="AH101" s="33">
        <f>IF(B101="","",IF(OR(V101="",V101=0),"",AG101/V101))</f>
        <v>0</v>
      </c>
      <c r="AI101" s="33">
        <f>IF(C101="","",IFERROR(INDEX(Products!$AW$5:$AW$304,MATCH(C101,Products!$A$5:$A$304,0)),""))</f>
        <v>0</v>
      </c>
      <c r="AJ101" s="33">
        <f>IF(B101="","",IF(OR(AH101="",AI101=""),"",AH101-AI101))</f>
        <v>0</v>
      </c>
      <c r="AK101" s="41">
        <f>IF(B101="","",IFERROR(ROUND(IF(D101="",0,D101)*INDEX(Products!$X$5:$X$304,MATCH(C101,Products!$A$5:$A$304,0))/60,2),""))</f>
        <v>0</v>
      </c>
      <c r="AL101" s="20">
        <f>IF(B101="","",IF(OR(AK101="",AK101=0),"",ROUND(AG101/AK101,2)))</f>
        <v>0</v>
      </c>
      <c r="AM101" s="43">
        <f>IF(B101="","",IF(C101="","Add - which product?",IF(AG101&lt;0,"Loss - this order cost you money",IF(M101="Refunded","Refunded - check why",IF(AND(AF101&lt;&gt;"",AF101&gt;0.25),"Check - fees higher than your settings",IF(Z101&gt;1,"Check - postage is eating the margin",IF(AND(AH101&lt;&gt;"",AH101&lt;MarginWarning),"Low margin on this order","OK")))))) )</f>
        <v>0</v>
      </c>
    </row>
    <row r="102" spans="1:39">
      <c r="A102" s="38">
        <f>IF(B102="","",SalePrefix&amp;TEXT(ROW()-4,"0000"))</f>
        <v>0</v>
      </c>
      <c r="Q102" s="13">
        <f>IF(C102="","",IFERROR(INDEX(Products!$B$5:$B$304,MATCH(C102,Products!$A$5:$A$304,0)),"Bundle or deleted"))</f>
        <v>0</v>
      </c>
      <c r="R102" s="13">
        <f>IF(B102="","",TEXT(B102,"yyyy-mm"))</f>
        <v>0</v>
      </c>
      <c r="S102" s="20">
        <f>IF(C102="","",IFERROR(INDEX(Products!$AR$5:$AR$304,MATCH(C102,Products!$A$5:$A$304,0)),""))</f>
        <v>0</v>
      </c>
      <c r="T102" s="20">
        <f>IF(B102="","",IF(F102&lt;&gt;"",F102,IF(S102="",0,S102)))</f>
        <v>0</v>
      </c>
      <c r="U102" s="20">
        <f>IF(B102="","",ROUND(IF(D102="",0,D102)*T102,2))</f>
        <v>0</v>
      </c>
      <c r="V102" s="20">
        <f>IF(B102="","",ROUND(U102-IF(G102="",0,G102)-IF(L102="",0,L102),2))</f>
        <v>0</v>
      </c>
      <c r="W102" s="20">
        <f>IF(C102="","",IFERROR(INDEX(Products!$AT$5:$AT$304,MATCH(C102,Products!$A$5:$A$304,0)),""))</f>
        <v>0</v>
      </c>
      <c r="X102" s="20">
        <f>IF(C102="","",IFERROR(INDEX(Products!$AG$5:$AG$304,MATCH(C102,Products!$A$5:$A$304,0)),""))</f>
        <v>0</v>
      </c>
      <c r="Y102" s="20">
        <f>IF(B102="","",ROUND(IF(D102="",0,D102)*MAX(0,IF(W102="",0,W102)-IF(X102="",0,X102)),2))</f>
        <v>0</v>
      </c>
      <c r="Z102" s="20">
        <f>IF(B102="","",ROUND(MAX(0,IF(J102="",0,J102)-IF(I102="",0,I102)),2))</f>
        <v>0</v>
      </c>
      <c r="AA102" s="33">
        <f>IF(B102="","",IFERROR(INDEX(Channels!$S$5:$S$18,MATCH(IF(E102="",DefaultChannel,E102),Channels!$A$5:$A$18,0)),0))</f>
        <v>0</v>
      </c>
      <c r="AB102" s="20">
        <f>IF(B102="","",IFERROR(INDEX(Channels!$T$5:$T$18,MATCH(IF(E102="",DefaultChannel,E102),Channels!$A$5:$A$18,0)),0))</f>
        <v>0</v>
      </c>
      <c r="AC102" s="42">
        <f>IF(B102="","",IFERROR(INDEX(Channels!$O$5:$O$18,MATCH(IF(E102="",DefaultChannel,E102),Channels!$A$5:$A$18,0)),"No"))</f>
        <v>0</v>
      </c>
      <c r="AD102" s="20">
        <f>IF(B102="","",ROUND((V102+IF(AC102="Yes",IF(I102="",0,I102),0))*AA102+AB102,2))</f>
        <v>0</v>
      </c>
      <c r="AE102" s="20">
        <f>IF(B102="","",IF(K102&lt;&gt;"",K102,AD102))</f>
        <v>0</v>
      </c>
      <c r="AF102" s="20">
        <f>IF(B102="","",IF(K102="","",ROUND(K102-AD102,2)))</f>
        <v>0</v>
      </c>
      <c r="AG102" s="20">
        <f>IF(B102="","",ROUND(V102-Y102-AE102-Z102,2))</f>
        <v>0</v>
      </c>
      <c r="AH102" s="33">
        <f>IF(B102="","",IF(OR(V102="",V102=0),"",AG102/V102))</f>
        <v>0</v>
      </c>
      <c r="AI102" s="33">
        <f>IF(C102="","",IFERROR(INDEX(Products!$AW$5:$AW$304,MATCH(C102,Products!$A$5:$A$304,0)),""))</f>
        <v>0</v>
      </c>
      <c r="AJ102" s="33">
        <f>IF(B102="","",IF(OR(AH102="",AI102=""),"",AH102-AI102))</f>
        <v>0</v>
      </c>
      <c r="AK102" s="41">
        <f>IF(B102="","",IFERROR(ROUND(IF(D102="",0,D102)*INDEX(Products!$X$5:$X$304,MATCH(C102,Products!$A$5:$A$304,0))/60,2),""))</f>
        <v>0</v>
      </c>
      <c r="AL102" s="20">
        <f>IF(B102="","",IF(OR(AK102="",AK102=0),"",ROUND(AG102/AK102,2)))</f>
        <v>0</v>
      </c>
      <c r="AM102" s="43">
        <f>IF(B102="","",IF(C102="","Add - which product?",IF(AG102&lt;0,"Loss - this order cost you money",IF(M102="Refunded","Refunded - check why",IF(AND(AF102&lt;&gt;"",AF102&gt;0.25),"Check - fees higher than your settings",IF(Z102&gt;1,"Check - postage is eating the margin",IF(AND(AH102&lt;&gt;"",AH102&lt;MarginWarning),"Low margin on this order","OK")))))) )</f>
        <v>0</v>
      </c>
    </row>
    <row r="103" spans="1:39">
      <c r="A103" s="38">
        <f>IF(B103="","",SalePrefix&amp;TEXT(ROW()-4,"0000"))</f>
        <v>0</v>
      </c>
      <c r="Q103" s="13">
        <f>IF(C103="","",IFERROR(INDEX(Products!$B$5:$B$304,MATCH(C103,Products!$A$5:$A$304,0)),"Bundle or deleted"))</f>
        <v>0</v>
      </c>
      <c r="R103" s="13">
        <f>IF(B103="","",TEXT(B103,"yyyy-mm"))</f>
        <v>0</v>
      </c>
      <c r="S103" s="20">
        <f>IF(C103="","",IFERROR(INDEX(Products!$AR$5:$AR$304,MATCH(C103,Products!$A$5:$A$304,0)),""))</f>
        <v>0</v>
      </c>
      <c r="T103" s="20">
        <f>IF(B103="","",IF(F103&lt;&gt;"",F103,IF(S103="",0,S103)))</f>
        <v>0</v>
      </c>
      <c r="U103" s="20">
        <f>IF(B103="","",ROUND(IF(D103="",0,D103)*T103,2))</f>
        <v>0</v>
      </c>
      <c r="V103" s="20">
        <f>IF(B103="","",ROUND(U103-IF(G103="",0,G103)-IF(L103="",0,L103),2))</f>
        <v>0</v>
      </c>
      <c r="W103" s="20">
        <f>IF(C103="","",IFERROR(INDEX(Products!$AT$5:$AT$304,MATCH(C103,Products!$A$5:$A$304,0)),""))</f>
        <v>0</v>
      </c>
      <c r="X103" s="20">
        <f>IF(C103="","",IFERROR(INDEX(Products!$AG$5:$AG$304,MATCH(C103,Products!$A$5:$A$304,0)),""))</f>
        <v>0</v>
      </c>
      <c r="Y103" s="20">
        <f>IF(B103="","",ROUND(IF(D103="",0,D103)*MAX(0,IF(W103="",0,W103)-IF(X103="",0,X103)),2))</f>
        <v>0</v>
      </c>
      <c r="Z103" s="20">
        <f>IF(B103="","",ROUND(MAX(0,IF(J103="",0,J103)-IF(I103="",0,I103)),2))</f>
        <v>0</v>
      </c>
      <c r="AA103" s="33">
        <f>IF(B103="","",IFERROR(INDEX(Channels!$S$5:$S$18,MATCH(IF(E103="",DefaultChannel,E103),Channels!$A$5:$A$18,0)),0))</f>
        <v>0</v>
      </c>
      <c r="AB103" s="20">
        <f>IF(B103="","",IFERROR(INDEX(Channels!$T$5:$T$18,MATCH(IF(E103="",DefaultChannel,E103),Channels!$A$5:$A$18,0)),0))</f>
        <v>0</v>
      </c>
      <c r="AC103" s="42">
        <f>IF(B103="","",IFERROR(INDEX(Channels!$O$5:$O$18,MATCH(IF(E103="",DefaultChannel,E103),Channels!$A$5:$A$18,0)),"No"))</f>
        <v>0</v>
      </c>
      <c r="AD103" s="20">
        <f>IF(B103="","",ROUND((V103+IF(AC103="Yes",IF(I103="",0,I103),0))*AA103+AB103,2))</f>
        <v>0</v>
      </c>
      <c r="AE103" s="20">
        <f>IF(B103="","",IF(K103&lt;&gt;"",K103,AD103))</f>
        <v>0</v>
      </c>
      <c r="AF103" s="20">
        <f>IF(B103="","",IF(K103="","",ROUND(K103-AD103,2)))</f>
        <v>0</v>
      </c>
      <c r="AG103" s="20">
        <f>IF(B103="","",ROUND(V103-Y103-AE103-Z103,2))</f>
        <v>0</v>
      </c>
      <c r="AH103" s="33">
        <f>IF(B103="","",IF(OR(V103="",V103=0),"",AG103/V103))</f>
        <v>0</v>
      </c>
      <c r="AI103" s="33">
        <f>IF(C103="","",IFERROR(INDEX(Products!$AW$5:$AW$304,MATCH(C103,Products!$A$5:$A$304,0)),""))</f>
        <v>0</v>
      </c>
      <c r="AJ103" s="33">
        <f>IF(B103="","",IF(OR(AH103="",AI103=""),"",AH103-AI103))</f>
        <v>0</v>
      </c>
      <c r="AK103" s="41">
        <f>IF(B103="","",IFERROR(ROUND(IF(D103="",0,D103)*INDEX(Products!$X$5:$X$304,MATCH(C103,Products!$A$5:$A$304,0))/60,2),""))</f>
        <v>0</v>
      </c>
      <c r="AL103" s="20">
        <f>IF(B103="","",IF(OR(AK103="",AK103=0),"",ROUND(AG103/AK103,2)))</f>
        <v>0</v>
      </c>
      <c r="AM103" s="43">
        <f>IF(B103="","",IF(C103="","Add - which product?",IF(AG103&lt;0,"Loss - this order cost you money",IF(M103="Refunded","Refunded - check why",IF(AND(AF103&lt;&gt;"",AF103&gt;0.25),"Check - fees higher than your settings",IF(Z103&gt;1,"Check - postage is eating the margin",IF(AND(AH103&lt;&gt;"",AH103&lt;MarginWarning),"Low margin on this order","OK")))))) )</f>
        <v>0</v>
      </c>
    </row>
    <row r="104" spans="1:39">
      <c r="A104" s="38">
        <f>IF(B104="","",SalePrefix&amp;TEXT(ROW()-4,"0000"))</f>
        <v>0</v>
      </c>
      <c r="Q104" s="13">
        <f>IF(C104="","",IFERROR(INDEX(Products!$B$5:$B$304,MATCH(C104,Products!$A$5:$A$304,0)),"Bundle or deleted"))</f>
        <v>0</v>
      </c>
      <c r="R104" s="13">
        <f>IF(B104="","",TEXT(B104,"yyyy-mm"))</f>
        <v>0</v>
      </c>
      <c r="S104" s="20">
        <f>IF(C104="","",IFERROR(INDEX(Products!$AR$5:$AR$304,MATCH(C104,Products!$A$5:$A$304,0)),""))</f>
        <v>0</v>
      </c>
      <c r="T104" s="20">
        <f>IF(B104="","",IF(F104&lt;&gt;"",F104,IF(S104="",0,S104)))</f>
        <v>0</v>
      </c>
      <c r="U104" s="20">
        <f>IF(B104="","",ROUND(IF(D104="",0,D104)*T104,2))</f>
        <v>0</v>
      </c>
      <c r="V104" s="20">
        <f>IF(B104="","",ROUND(U104-IF(G104="",0,G104)-IF(L104="",0,L104),2))</f>
        <v>0</v>
      </c>
      <c r="W104" s="20">
        <f>IF(C104="","",IFERROR(INDEX(Products!$AT$5:$AT$304,MATCH(C104,Products!$A$5:$A$304,0)),""))</f>
        <v>0</v>
      </c>
      <c r="X104" s="20">
        <f>IF(C104="","",IFERROR(INDEX(Products!$AG$5:$AG$304,MATCH(C104,Products!$A$5:$A$304,0)),""))</f>
        <v>0</v>
      </c>
      <c r="Y104" s="20">
        <f>IF(B104="","",ROUND(IF(D104="",0,D104)*MAX(0,IF(W104="",0,W104)-IF(X104="",0,X104)),2))</f>
        <v>0</v>
      </c>
      <c r="Z104" s="20">
        <f>IF(B104="","",ROUND(MAX(0,IF(J104="",0,J104)-IF(I104="",0,I104)),2))</f>
        <v>0</v>
      </c>
      <c r="AA104" s="33">
        <f>IF(B104="","",IFERROR(INDEX(Channels!$S$5:$S$18,MATCH(IF(E104="",DefaultChannel,E104),Channels!$A$5:$A$18,0)),0))</f>
        <v>0</v>
      </c>
      <c r="AB104" s="20">
        <f>IF(B104="","",IFERROR(INDEX(Channels!$T$5:$T$18,MATCH(IF(E104="",DefaultChannel,E104),Channels!$A$5:$A$18,0)),0))</f>
        <v>0</v>
      </c>
      <c r="AC104" s="42">
        <f>IF(B104="","",IFERROR(INDEX(Channels!$O$5:$O$18,MATCH(IF(E104="",DefaultChannel,E104),Channels!$A$5:$A$18,0)),"No"))</f>
        <v>0</v>
      </c>
      <c r="AD104" s="20">
        <f>IF(B104="","",ROUND((V104+IF(AC104="Yes",IF(I104="",0,I104),0))*AA104+AB104,2))</f>
        <v>0</v>
      </c>
      <c r="AE104" s="20">
        <f>IF(B104="","",IF(K104&lt;&gt;"",K104,AD104))</f>
        <v>0</v>
      </c>
      <c r="AF104" s="20">
        <f>IF(B104="","",IF(K104="","",ROUND(K104-AD104,2)))</f>
        <v>0</v>
      </c>
      <c r="AG104" s="20">
        <f>IF(B104="","",ROUND(V104-Y104-AE104-Z104,2))</f>
        <v>0</v>
      </c>
      <c r="AH104" s="33">
        <f>IF(B104="","",IF(OR(V104="",V104=0),"",AG104/V104))</f>
        <v>0</v>
      </c>
      <c r="AI104" s="33">
        <f>IF(C104="","",IFERROR(INDEX(Products!$AW$5:$AW$304,MATCH(C104,Products!$A$5:$A$304,0)),""))</f>
        <v>0</v>
      </c>
      <c r="AJ104" s="33">
        <f>IF(B104="","",IF(OR(AH104="",AI104=""),"",AH104-AI104))</f>
        <v>0</v>
      </c>
      <c r="AK104" s="41">
        <f>IF(B104="","",IFERROR(ROUND(IF(D104="",0,D104)*INDEX(Products!$X$5:$X$304,MATCH(C104,Products!$A$5:$A$304,0))/60,2),""))</f>
        <v>0</v>
      </c>
      <c r="AL104" s="20">
        <f>IF(B104="","",IF(OR(AK104="",AK104=0),"",ROUND(AG104/AK104,2)))</f>
        <v>0</v>
      </c>
      <c r="AM104" s="43">
        <f>IF(B104="","",IF(C104="","Add - which product?",IF(AG104&lt;0,"Loss - this order cost you money",IF(M104="Refunded","Refunded - check why",IF(AND(AF104&lt;&gt;"",AF104&gt;0.25),"Check - fees higher than your settings",IF(Z104&gt;1,"Check - postage is eating the margin",IF(AND(AH104&lt;&gt;"",AH104&lt;MarginWarning),"Low margin on this order","OK")))))) )</f>
        <v>0</v>
      </c>
    </row>
    <row r="105" spans="1:39">
      <c r="A105" s="38">
        <f>IF(B105="","",SalePrefix&amp;TEXT(ROW()-4,"0000"))</f>
        <v>0</v>
      </c>
      <c r="Q105" s="13">
        <f>IF(C105="","",IFERROR(INDEX(Products!$B$5:$B$304,MATCH(C105,Products!$A$5:$A$304,0)),"Bundle or deleted"))</f>
        <v>0</v>
      </c>
      <c r="R105" s="13">
        <f>IF(B105="","",TEXT(B105,"yyyy-mm"))</f>
        <v>0</v>
      </c>
      <c r="S105" s="20">
        <f>IF(C105="","",IFERROR(INDEX(Products!$AR$5:$AR$304,MATCH(C105,Products!$A$5:$A$304,0)),""))</f>
        <v>0</v>
      </c>
      <c r="T105" s="20">
        <f>IF(B105="","",IF(F105&lt;&gt;"",F105,IF(S105="",0,S105)))</f>
        <v>0</v>
      </c>
      <c r="U105" s="20">
        <f>IF(B105="","",ROUND(IF(D105="",0,D105)*T105,2))</f>
        <v>0</v>
      </c>
      <c r="V105" s="20">
        <f>IF(B105="","",ROUND(U105-IF(G105="",0,G105)-IF(L105="",0,L105),2))</f>
        <v>0</v>
      </c>
      <c r="W105" s="20">
        <f>IF(C105="","",IFERROR(INDEX(Products!$AT$5:$AT$304,MATCH(C105,Products!$A$5:$A$304,0)),""))</f>
        <v>0</v>
      </c>
      <c r="X105" s="20">
        <f>IF(C105="","",IFERROR(INDEX(Products!$AG$5:$AG$304,MATCH(C105,Products!$A$5:$A$304,0)),""))</f>
        <v>0</v>
      </c>
      <c r="Y105" s="20">
        <f>IF(B105="","",ROUND(IF(D105="",0,D105)*MAX(0,IF(W105="",0,W105)-IF(X105="",0,X105)),2))</f>
        <v>0</v>
      </c>
      <c r="Z105" s="20">
        <f>IF(B105="","",ROUND(MAX(0,IF(J105="",0,J105)-IF(I105="",0,I105)),2))</f>
        <v>0</v>
      </c>
      <c r="AA105" s="33">
        <f>IF(B105="","",IFERROR(INDEX(Channels!$S$5:$S$18,MATCH(IF(E105="",DefaultChannel,E105),Channels!$A$5:$A$18,0)),0))</f>
        <v>0</v>
      </c>
      <c r="AB105" s="20">
        <f>IF(B105="","",IFERROR(INDEX(Channels!$T$5:$T$18,MATCH(IF(E105="",DefaultChannel,E105),Channels!$A$5:$A$18,0)),0))</f>
        <v>0</v>
      </c>
      <c r="AC105" s="42">
        <f>IF(B105="","",IFERROR(INDEX(Channels!$O$5:$O$18,MATCH(IF(E105="",DefaultChannel,E105),Channels!$A$5:$A$18,0)),"No"))</f>
        <v>0</v>
      </c>
      <c r="AD105" s="20">
        <f>IF(B105="","",ROUND((V105+IF(AC105="Yes",IF(I105="",0,I105),0))*AA105+AB105,2))</f>
        <v>0</v>
      </c>
      <c r="AE105" s="20">
        <f>IF(B105="","",IF(K105&lt;&gt;"",K105,AD105))</f>
        <v>0</v>
      </c>
      <c r="AF105" s="20">
        <f>IF(B105="","",IF(K105="","",ROUND(K105-AD105,2)))</f>
        <v>0</v>
      </c>
      <c r="AG105" s="20">
        <f>IF(B105="","",ROUND(V105-Y105-AE105-Z105,2))</f>
        <v>0</v>
      </c>
      <c r="AH105" s="33">
        <f>IF(B105="","",IF(OR(V105="",V105=0),"",AG105/V105))</f>
        <v>0</v>
      </c>
      <c r="AI105" s="33">
        <f>IF(C105="","",IFERROR(INDEX(Products!$AW$5:$AW$304,MATCH(C105,Products!$A$5:$A$304,0)),""))</f>
        <v>0</v>
      </c>
      <c r="AJ105" s="33">
        <f>IF(B105="","",IF(OR(AH105="",AI105=""),"",AH105-AI105))</f>
        <v>0</v>
      </c>
      <c r="AK105" s="41">
        <f>IF(B105="","",IFERROR(ROUND(IF(D105="",0,D105)*INDEX(Products!$X$5:$X$304,MATCH(C105,Products!$A$5:$A$304,0))/60,2),""))</f>
        <v>0</v>
      </c>
      <c r="AL105" s="20">
        <f>IF(B105="","",IF(OR(AK105="",AK105=0),"",ROUND(AG105/AK105,2)))</f>
        <v>0</v>
      </c>
      <c r="AM105" s="43">
        <f>IF(B105="","",IF(C105="","Add - which product?",IF(AG105&lt;0,"Loss - this order cost you money",IF(M105="Refunded","Refunded - check why",IF(AND(AF105&lt;&gt;"",AF105&gt;0.25),"Check - fees higher than your settings",IF(Z105&gt;1,"Check - postage is eating the margin",IF(AND(AH105&lt;&gt;"",AH105&lt;MarginWarning),"Low margin on this order","OK")))))) )</f>
        <v>0</v>
      </c>
    </row>
    <row r="106" spans="1:39">
      <c r="A106" s="38">
        <f>IF(B106="","",SalePrefix&amp;TEXT(ROW()-4,"0000"))</f>
        <v>0</v>
      </c>
      <c r="Q106" s="13">
        <f>IF(C106="","",IFERROR(INDEX(Products!$B$5:$B$304,MATCH(C106,Products!$A$5:$A$304,0)),"Bundle or deleted"))</f>
        <v>0</v>
      </c>
      <c r="R106" s="13">
        <f>IF(B106="","",TEXT(B106,"yyyy-mm"))</f>
        <v>0</v>
      </c>
      <c r="S106" s="20">
        <f>IF(C106="","",IFERROR(INDEX(Products!$AR$5:$AR$304,MATCH(C106,Products!$A$5:$A$304,0)),""))</f>
        <v>0</v>
      </c>
      <c r="T106" s="20">
        <f>IF(B106="","",IF(F106&lt;&gt;"",F106,IF(S106="",0,S106)))</f>
        <v>0</v>
      </c>
      <c r="U106" s="20">
        <f>IF(B106="","",ROUND(IF(D106="",0,D106)*T106,2))</f>
        <v>0</v>
      </c>
      <c r="V106" s="20">
        <f>IF(B106="","",ROUND(U106-IF(G106="",0,G106)-IF(L106="",0,L106),2))</f>
        <v>0</v>
      </c>
      <c r="W106" s="20">
        <f>IF(C106="","",IFERROR(INDEX(Products!$AT$5:$AT$304,MATCH(C106,Products!$A$5:$A$304,0)),""))</f>
        <v>0</v>
      </c>
      <c r="X106" s="20">
        <f>IF(C106="","",IFERROR(INDEX(Products!$AG$5:$AG$304,MATCH(C106,Products!$A$5:$A$304,0)),""))</f>
        <v>0</v>
      </c>
      <c r="Y106" s="20">
        <f>IF(B106="","",ROUND(IF(D106="",0,D106)*MAX(0,IF(W106="",0,W106)-IF(X106="",0,X106)),2))</f>
        <v>0</v>
      </c>
      <c r="Z106" s="20">
        <f>IF(B106="","",ROUND(MAX(0,IF(J106="",0,J106)-IF(I106="",0,I106)),2))</f>
        <v>0</v>
      </c>
      <c r="AA106" s="33">
        <f>IF(B106="","",IFERROR(INDEX(Channels!$S$5:$S$18,MATCH(IF(E106="",DefaultChannel,E106),Channels!$A$5:$A$18,0)),0))</f>
        <v>0</v>
      </c>
      <c r="AB106" s="20">
        <f>IF(B106="","",IFERROR(INDEX(Channels!$T$5:$T$18,MATCH(IF(E106="",DefaultChannel,E106),Channels!$A$5:$A$18,0)),0))</f>
        <v>0</v>
      </c>
      <c r="AC106" s="42">
        <f>IF(B106="","",IFERROR(INDEX(Channels!$O$5:$O$18,MATCH(IF(E106="",DefaultChannel,E106),Channels!$A$5:$A$18,0)),"No"))</f>
        <v>0</v>
      </c>
      <c r="AD106" s="20">
        <f>IF(B106="","",ROUND((V106+IF(AC106="Yes",IF(I106="",0,I106),0))*AA106+AB106,2))</f>
        <v>0</v>
      </c>
      <c r="AE106" s="20">
        <f>IF(B106="","",IF(K106&lt;&gt;"",K106,AD106))</f>
        <v>0</v>
      </c>
      <c r="AF106" s="20">
        <f>IF(B106="","",IF(K106="","",ROUND(K106-AD106,2)))</f>
        <v>0</v>
      </c>
      <c r="AG106" s="20">
        <f>IF(B106="","",ROUND(V106-Y106-AE106-Z106,2))</f>
        <v>0</v>
      </c>
      <c r="AH106" s="33">
        <f>IF(B106="","",IF(OR(V106="",V106=0),"",AG106/V106))</f>
        <v>0</v>
      </c>
      <c r="AI106" s="33">
        <f>IF(C106="","",IFERROR(INDEX(Products!$AW$5:$AW$304,MATCH(C106,Products!$A$5:$A$304,0)),""))</f>
        <v>0</v>
      </c>
      <c r="AJ106" s="33">
        <f>IF(B106="","",IF(OR(AH106="",AI106=""),"",AH106-AI106))</f>
        <v>0</v>
      </c>
      <c r="AK106" s="41">
        <f>IF(B106="","",IFERROR(ROUND(IF(D106="",0,D106)*INDEX(Products!$X$5:$X$304,MATCH(C106,Products!$A$5:$A$304,0))/60,2),""))</f>
        <v>0</v>
      </c>
      <c r="AL106" s="20">
        <f>IF(B106="","",IF(OR(AK106="",AK106=0),"",ROUND(AG106/AK106,2)))</f>
        <v>0</v>
      </c>
      <c r="AM106" s="43">
        <f>IF(B106="","",IF(C106="","Add - which product?",IF(AG106&lt;0,"Loss - this order cost you money",IF(M106="Refunded","Refunded - check why",IF(AND(AF106&lt;&gt;"",AF106&gt;0.25),"Check - fees higher than your settings",IF(Z106&gt;1,"Check - postage is eating the margin",IF(AND(AH106&lt;&gt;"",AH106&lt;MarginWarning),"Low margin on this order","OK")))))) )</f>
        <v>0</v>
      </c>
    </row>
    <row r="107" spans="1:39">
      <c r="A107" s="38">
        <f>IF(B107="","",SalePrefix&amp;TEXT(ROW()-4,"0000"))</f>
        <v>0</v>
      </c>
      <c r="Q107" s="13">
        <f>IF(C107="","",IFERROR(INDEX(Products!$B$5:$B$304,MATCH(C107,Products!$A$5:$A$304,0)),"Bundle or deleted"))</f>
        <v>0</v>
      </c>
      <c r="R107" s="13">
        <f>IF(B107="","",TEXT(B107,"yyyy-mm"))</f>
        <v>0</v>
      </c>
      <c r="S107" s="20">
        <f>IF(C107="","",IFERROR(INDEX(Products!$AR$5:$AR$304,MATCH(C107,Products!$A$5:$A$304,0)),""))</f>
        <v>0</v>
      </c>
      <c r="T107" s="20">
        <f>IF(B107="","",IF(F107&lt;&gt;"",F107,IF(S107="",0,S107)))</f>
        <v>0</v>
      </c>
      <c r="U107" s="20">
        <f>IF(B107="","",ROUND(IF(D107="",0,D107)*T107,2))</f>
        <v>0</v>
      </c>
      <c r="V107" s="20">
        <f>IF(B107="","",ROUND(U107-IF(G107="",0,G107)-IF(L107="",0,L107),2))</f>
        <v>0</v>
      </c>
      <c r="W107" s="20">
        <f>IF(C107="","",IFERROR(INDEX(Products!$AT$5:$AT$304,MATCH(C107,Products!$A$5:$A$304,0)),""))</f>
        <v>0</v>
      </c>
      <c r="X107" s="20">
        <f>IF(C107="","",IFERROR(INDEX(Products!$AG$5:$AG$304,MATCH(C107,Products!$A$5:$A$304,0)),""))</f>
        <v>0</v>
      </c>
      <c r="Y107" s="20">
        <f>IF(B107="","",ROUND(IF(D107="",0,D107)*MAX(0,IF(W107="",0,W107)-IF(X107="",0,X107)),2))</f>
        <v>0</v>
      </c>
      <c r="Z107" s="20">
        <f>IF(B107="","",ROUND(MAX(0,IF(J107="",0,J107)-IF(I107="",0,I107)),2))</f>
        <v>0</v>
      </c>
      <c r="AA107" s="33">
        <f>IF(B107="","",IFERROR(INDEX(Channels!$S$5:$S$18,MATCH(IF(E107="",DefaultChannel,E107),Channels!$A$5:$A$18,0)),0))</f>
        <v>0</v>
      </c>
      <c r="AB107" s="20">
        <f>IF(B107="","",IFERROR(INDEX(Channels!$T$5:$T$18,MATCH(IF(E107="",DefaultChannel,E107),Channels!$A$5:$A$18,0)),0))</f>
        <v>0</v>
      </c>
      <c r="AC107" s="42">
        <f>IF(B107="","",IFERROR(INDEX(Channels!$O$5:$O$18,MATCH(IF(E107="",DefaultChannel,E107),Channels!$A$5:$A$18,0)),"No"))</f>
        <v>0</v>
      </c>
      <c r="AD107" s="20">
        <f>IF(B107="","",ROUND((V107+IF(AC107="Yes",IF(I107="",0,I107),0))*AA107+AB107,2))</f>
        <v>0</v>
      </c>
      <c r="AE107" s="20">
        <f>IF(B107="","",IF(K107&lt;&gt;"",K107,AD107))</f>
        <v>0</v>
      </c>
      <c r="AF107" s="20">
        <f>IF(B107="","",IF(K107="","",ROUND(K107-AD107,2)))</f>
        <v>0</v>
      </c>
      <c r="AG107" s="20">
        <f>IF(B107="","",ROUND(V107-Y107-AE107-Z107,2))</f>
        <v>0</v>
      </c>
      <c r="AH107" s="33">
        <f>IF(B107="","",IF(OR(V107="",V107=0),"",AG107/V107))</f>
        <v>0</v>
      </c>
      <c r="AI107" s="33">
        <f>IF(C107="","",IFERROR(INDEX(Products!$AW$5:$AW$304,MATCH(C107,Products!$A$5:$A$304,0)),""))</f>
        <v>0</v>
      </c>
      <c r="AJ107" s="33">
        <f>IF(B107="","",IF(OR(AH107="",AI107=""),"",AH107-AI107))</f>
        <v>0</v>
      </c>
      <c r="AK107" s="41">
        <f>IF(B107="","",IFERROR(ROUND(IF(D107="",0,D107)*INDEX(Products!$X$5:$X$304,MATCH(C107,Products!$A$5:$A$304,0))/60,2),""))</f>
        <v>0</v>
      </c>
      <c r="AL107" s="20">
        <f>IF(B107="","",IF(OR(AK107="",AK107=0),"",ROUND(AG107/AK107,2)))</f>
        <v>0</v>
      </c>
      <c r="AM107" s="43">
        <f>IF(B107="","",IF(C107="","Add - which product?",IF(AG107&lt;0,"Loss - this order cost you money",IF(M107="Refunded","Refunded - check why",IF(AND(AF107&lt;&gt;"",AF107&gt;0.25),"Check - fees higher than your settings",IF(Z107&gt;1,"Check - postage is eating the margin",IF(AND(AH107&lt;&gt;"",AH107&lt;MarginWarning),"Low margin on this order","OK")))))) )</f>
        <v>0</v>
      </c>
    </row>
    <row r="108" spans="1:39">
      <c r="A108" s="38">
        <f>IF(B108="","",SalePrefix&amp;TEXT(ROW()-4,"0000"))</f>
        <v>0</v>
      </c>
      <c r="Q108" s="13">
        <f>IF(C108="","",IFERROR(INDEX(Products!$B$5:$B$304,MATCH(C108,Products!$A$5:$A$304,0)),"Bundle or deleted"))</f>
        <v>0</v>
      </c>
      <c r="R108" s="13">
        <f>IF(B108="","",TEXT(B108,"yyyy-mm"))</f>
        <v>0</v>
      </c>
      <c r="S108" s="20">
        <f>IF(C108="","",IFERROR(INDEX(Products!$AR$5:$AR$304,MATCH(C108,Products!$A$5:$A$304,0)),""))</f>
        <v>0</v>
      </c>
      <c r="T108" s="20">
        <f>IF(B108="","",IF(F108&lt;&gt;"",F108,IF(S108="",0,S108)))</f>
        <v>0</v>
      </c>
      <c r="U108" s="20">
        <f>IF(B108="","",ROUND(IF(D108="",0,D108)*T108,2))</f>
        <v>0</v>
      </c>
      <c r="V108" s="20">
        <f>IF(B108="","",ROUND(U108-IF(G108="",0,G108)-IF(L108="",0,L108),2))</f>
        <v>0</v>
      </c>
      <c r="W108" s="20">
        <f>IF(C108="","",IFERROR(INDEX(Products!$AT$5:$AT$304,MATCH(C108,Products!$A$5:$A$304,0)),""))</f>
        <v>0</v>
      </c>
      <c r="X108" s="20">
        <f>IF(C108="","",IFERROR(INDEX(Products!$AG$5:$AG$304,MATCH(C108,Products!$A$5:$A$304,0)),""))</f>
        <v>0</v>
      </c>
      <c r="Y108" s="20">
        <f>IF(B108="","",ROUND(IF(D108="",0,D108)*MAX(0,IF(W108="",0,W108)-IF(X108="",0,X108)),2))</f>
        <v>0</v>
      </c>
      <c r="Z108" s="20">
        <f>IF(B108="","",ROUND(MAX(0,IF(J108="",0,J108)-IF(I108="",0,I108)),2))</f>
        <v>0</v>
      </c>
      <c r="AA108" s="33">
        <f>IF(B108="","",IFERROR(INDEX(Channels!$S$5:$S$18,MATCH(IF(E108="",DefaultChannel,E108),Channels!$A$5:$A$18,0)),0))</f>
        <v>0</v>
      </c>
      <c r="AB108" s="20">
        <f>IF(B108="","",IFERROR(INDEX(Channels!$T$5:$T$18,MATCH(IF(E108="",DefaultChannel,E108),Channels!$A$5:$A$18,0)),0))</f>
        <v>0</v>
      </c>
      <c r="AC108" s="42">
        <f>IF(B108="","",IFERROR(INDEX(Channels!$O$5:$O$18,MATCH(IF(E108="",DefaultChannel,E108),Channels!$A$5:$A$18,0)),"No"))</f>
        <v>0</v>
      </c>
      <c r="AD108" s="20">
        <f>IF(B108="","",ROUND((V108+IF(AC108="Yes",IF(I108="",0,I108),0))*AA108+AB108,2))</f>
        <v>0</v>
      </c>
      <c r="AE108" s="20">
        <f>IF(B108="","",IF(K108&lt;&gt;"",K108,AD108))</f>
        <v>0</v>
      </c>
      <c r="AF108" s="20">
        <f>IF(B108="","",IF(K108="","",ROUND(K108-AD108,2)))</f>
        <v>0</v>
      </c>
      <c r="AG108" s="20">
        <f>IF(B108="","",ROUND(V108-Y108-AE108-Z108,2))</f>
        <v>0</v>
      </c>
      <c r="AH108" s="33">
        <f>IF(B108="","",IF(OR(V108="",V108=0),"",AG108/V108))</f>
        <v>0</v>
      </c>
      <c r="AI108" s="33">
        <f>IF(C108="","",IFERROR(INDEX(Products!$AW$5:$AW$304,MATCH(C108,Products!$A$5:$A$304,0)),""))</f>
        <v>0</v>
      </c>
      <c r="AJ108" s="33">
        <f>IF(B108="","",IF(OR(AH108="",AI108=""),"",AH108-AI108))</f>
        <v>0</v>
      </c>
      <c r="AK108" s="41">
        <f>IF(B108="","",IFERROR(ROUND(IF(D108="",0,D108)*INDEX(Products!$X$5:$X$304,MATCH(C108,Products!$A$5:$A$304,0))/60,2),""))</f>
        <v>0</v>
      </c>
      <c r="AL108" s="20">
        <f>IF(B108="","",IF(OR(AK108="",AK108=0),"",ROUND(AG108/AK108,2)))</f>
        <v>0</v>
      </c>
      <c r="AM108" s="43">
        <f>IF(B108="","",IF(C108="","Add - which product?",IF(AG108&lt;0,"Loss - this order cost you money",IF(M108="Refunded","Refunded - check why",IF(AND(AF108&lt;&gt;"",AF108&gt;0.25),"Check - fees higher than your settings",IF(Z108&gt;1,"Check - postage is eating the margin",IF(AND(AH108&lt;&gt;"",AH108&lt;MarginWarning),"Low margin on this order","OK")))))) )</f>
        <v>0</v>
      </c>
    </row>
    <row r="109" spans="1:39">
      <c r="A109" s="38">
        <f>IF(B109="","",SalePrefix&amp;TEXT(ROW()-4,"0000"))</f>
        <v>0</v>
      </c>
      <c r="Q109" s="13">
        <f>IF(C109="","",IFERROR(INDEX(Products!$B$5:$B$304,MATCH(C109,Products!$A$5:$A$304,0)),"Bundle or deleted"))</f>
        <v>0</v>
      </c>
      <c r="R109" s="13">
        <f>IF(B109="","",TEXT(B109,"yyyy-mm"))</f>
        <v>0</v>
      </c>
      <c r="S109" s="20">
        <f>IF(C109="","",IFERROR(INDEX(Products!$AR$5:$AR$304,MATCH(C109,Products!$A$5:$A$304,0)),""))</f>
        <v>0</v>
      </c>
      <c r="T109" s="20">
        <f>IF(B109="","",IF(F109&lt;&gt;"",F109,IF(S109="",0,S109)))</f>
        <v>0</v>
      </c>
      <c r="U109" s="20">
        <f>IF(B109="","",ROUND(IF(D109="",0,D109)*T109,2))</f>
        <v>0</v>
      </c>
      <c r="V109" s="20">
        <f>IF(B109="","",ROUND(U109-IF(G109="",0,G109)-IF(L109="",0,L109),2))</f>
        <v>0</v>
      </c>
      <c r="W109" s="20">
        <f>IF(C109="","",IFERROR(INDEX(Products!$AT$5:$AT$304,MATCH(C109,Products!$A$5:$A$304,0)),""))</f>
        <v>0</v>
      </c>
      <c r="X109" s="20">
        <f>IF(C109="","",IFERROR(INDEX(Products!$AG$5:$AG$304,MATCH(C109,Products!$A$5:$A$304,0)),""))</f>
        <v>0</v>
      </c>
      <c r="Y109" s="20">
        <f>IF(B109="","",ROUND(IF(D109="",0,D109)*MAX(0,IF(W109="",0,W109)-IF(X109="",0,X109)),2))</f>
        <v>0</v>
      </c>
      <c r="Z109" s="20">
        <f>IF(B109="","",ROUND(MAX(0,IF(J109="",0,J109)-IF(I109="",0,I109)),2))</f>
        <v>0</v>
      </c>
      <c r="AA109" s="33">
        <f>IF(B109="","",IFERROR(INDEX(Channels!$S$5:$S$18,MATCH(IF(E109="",DefaultChannel,E109),Channels!$A$5:$A$18,0)),0))</f>
        <v>0</v>
      </c>
      <c r="AB109" s="20">
        <f>IF(B109="","",IFERROR(INDEX(Channels!$T$5:$T$18,MATCH(IF(E109="",DefaultChannel,E109),Channels!$A$5:$A$18,0)),0))</f>
        <v>0</v>
      </c>
      <c r="AC109" s="42">
        <f>IF(B109="","",IFERROR(INDEX(Channels!$O$5:$O$18,MATCH(IF(E109="",DefaultChannel,E109),Channels!$A$5:$A$18,0)),"No"))</f>
        <v>0</v>
      </c>
      <c r="AD109" s="20">
        <f>IF(B109="","",ROUND((V109+IF(AC109="Yes",IF(I109="",0,I109),0))*AA109+AB109,2))</f>
        <v>0</v>
      </c>
      <c r="AE109" s="20">
        <f>IF(B109="","",IF(K109&lt;&gt;"",K109,AD109))</f>
        <v>0</v>
      </c>
      <c r="AF109" s="20">
        <f>IF(B109="","",IF(K109="","",ROUND(K109-AD109,2)))</f>
        <v>0</v>
      </c>
      <c r="AG109" s="20">
        <f>IF(B109="","",ROUND(V109-Y109-AE109-Z109,2))</f>
        <v>0</v>
      </c>
      <c r="AH109" s="33">
        <f>IF(B109="","",IF(OR(V109="",V109=0),"",AG109/V109))</f>
        <v>0</v>
      </c>
      <c r="AI109" s="33">
        <f>IF(C109="","",IFERROR(INDEX(Products!$AW$5:$AW$304,MATCH(C109,Products!$A$5:$A$304,0)),""))</f>
        <v>0</v>
      </c>
      <c r="AJ109" s="33">
        <f>IF(B109="","",IF(OR(AH109="",AI109=""),"",AH109-AI109))</f>
        <v>0</v>
      </c>
      <c r="AK109" s="41">
        <f>IF(B109="","",IFERROR(ROUND(IF(D109="",0,D109)*INDEX(Products!$X$5:$X$304,MATCH(C109,Products!$A$5:$A$304,0))/60,2),""))</f>
        <v>0</v>
      </c>
      <c r="AL109" s="20">
        <f>IF(B109="","",IF(OR(AK109="",AK109=0),"",ROUND(AG109/AK109,2)))</f>
        <v>0</v>
      </c>
      <c r="AM109" s="43">
        <f>IF(B109="","",IF(C109="","Add - which product?",IF(AG109&lt;0,"Loss - this order cost you money",IF(M109="Refunded","Refunded - check why",IF(AND(AF109&lt;&gt;"",AF109&gt;0.25),"Check - fees higher than your settings",IF(Z109&gt;1,"Check - postage is eating the margin",IF(AND(AH109&lt;&gt;"",AH109&lt;MarginWarning),"Low margin on this order","OK")))))) )</f>
        <v>0</v>
      </c>
    </row>
    <row r="110" spans="1:39">
      <c r="A110" s="38">
        <f>IF(B110="","",SalePrefix&amp;TEXT(ROW()-4,"0000"))</f>
        <v>0</v>
      </c>
      <c r="Q110" s="13">
        <f>IF(C110="","",IFERROR(INDEX(Products!$B$5:$B$304,MATCH(C110,Products!$A$5:$A$304,0)),"Bundle or deleted"))</f>
        <v>0</v>
      </c>
      <c r="R110" s="13">
        <f>IF(B110="","",TEXT(B110,"yyyy-mm"))</f>
        <v>0</v>
      </c>
      <c r="S110" s="20">
        <f>IF(C110="","",IFERROR(INDEX(Products!$AR$5:$AR$304,MATCH(C110,Products!$A$5:$A$304,0)),""))</f>
        <v>0</v>
      </c>
      <c r="T110" s="20">
        <f>IF(B110="","",IF(F110&lt;&gt;"",F110,IF(S110="",0,S110)))</f>
        <v>0</v>
      </c>
      <c r="U110" s="20">
        <f>IF(B110="","",ROUND(IF(D110="",0,D110)*T110,2))</f>
        <v>0</v>
      </c>
      <c r="V110" s="20">
        <f>IF(B110="","",ROUND(U110-IF(G110="",0,G110)-IF(L110="",0,L110),2))</f>
        <v>0</v>
      </c>
      <c r="W110" s="20">
        <f>IF(C110="","",IFERROR(INDEX(Products!$AT$5:$AT$304,MATCH(C110,Products!$A$5:$A$304,0)),""))</f>
        <v>0</v>
      </c>
      <c r="X110" s="20">
        <f>IF(C110="","",IFERROR(INDEX(Products!$AG$5:$AG$304,MATCH(C110,Products!$A$5:$A$304,0)),""))</f>
        <v>0</v>
      </c>
      <c r="Y110" s="20">
        <f>IF(B110="","",ROUND(IF(D110="",0,D110)*MAX(0,IF(W110="",0,W110)-IF(X110="",0,X110)),2))</f>
        <v>0</v>
      </c>
      <c r="Z110" s="20">
        <f>IF(B110="","",ROUND(MAX(0,IF(J110="",0,J110)-IF(I110="",0,I110)),2))</f>
        <v>0</v>
      </c>
      <c r="AA110" s="33">
        <f>IF(B110="","",IFERROR(INDEX(Channels!$S$5:$S$18,MATCH(IF(E110="",DefaultChannel,E110),Channels!$A$5:$A$18,0)),0))</f>
        <v>0</v>
      </c>
      <c r="AB110" s="20">
        <f>IF(B110="","",IFERROR(INDEX(Channels!$T$5:$T$18,MATCH(IF(E110="",DefaultChannel,E110),Channels!$A$5:$A$18,0)),0))</f>
        <v>0</v>
      </c>
      <c r="AC110" s="42">
        <f>IF(B110="","",IFERROR(INDEX(Channels!$O$5:$O$18,MATCH(IF(E110="",DefaultChannel,E110),Channels!$A$5:$A$18,0)),"No"))</f>
        <v>0</v>
      </c>
      <c r="AD110" s="20">
        <f>IF(B110="","",ROUND((V110+IF(AC110="Yes",IF(I110="",0,I110),0))*AA110+AB110,2))</f>
        <v>0</v>
      </c>
      <c r="AE110" s="20">
        <f>IF(B110="","",IF(K110&lt;&gt;"",K110,AD110))</f>
        <v>0</v>
      </c>
      <c r="AF110" s="20">
        <f>IF(B110="","",IF(K110="","",ROUND(K110-AD110,2)))</f>
        <v>0</v>
      </c>
      <c r="AG110" s="20">
        <f>IF(B110="","",ROUND(V110-Y110-AE110-Z110,2))</f>
        <v>0</v>
      </c>
      <c r="AH110" s="33">
        <f>IF(B110="","",IF(OR(V110="",V110=0),"",AG110/V110))</f>
        <v>0</v>
      </c>
      <c r="AI110" s="33">
        <f>IF(C110="","",IFERROR(INDEX(Products!$AW$5:$AW$304,MATCH(C110,Products!$A$5:$A$304,0)),""))</f>
        <v>0</v>
      </c>
      <c r="AJ110" s="33">
        <f>IF(B110="","",IF(OR(AH110="",AI110=""),"",AH110-AI110))</f>
        <v>0</v>
      </c>
      <c r="AK110" s="41">
        <f>IF(B110="","",IFERROR(ROUND(IF(D110="",0,D110)*INDEX(Products!$X$5:$X$304,MATCH(C110,Products!$A$5:$A$304,0))/60,2),""))</f>
        <v>0</v>
      </c>
      <c r="AL110" s="20">
        <f>IF(B110="","",IF(OR(AK110="",AK110=0),"",ROUND(AG110/AK110,2)))</f>
        <v>0</v>
      </c>
      <c r="AM110" s="43">
        <f>IF(B110="","",IF(C110="","Add - which product?",IF(AG110&lt;0,"Loss - this order cost you money",IF(M110="Refunded","Refunded - check why",IF(AND(AF110&lt;&gt;"",AF110&gt;0.25),"Check - fees higher than your settings",IF(Z110&gt;1,"Check - postage is eating the margin",IF(AND(AH110&lt;&gt;"",AH110&lt;MarginWarning),"Low margin on this order","OK")))))) )</f>
        <v>0</v>
      </c>
    </row>
    <row r="111" spans="1:39">
      <c r="A111" s="38">
        <f>IF(B111="","",SalePrefix&amp;TEXT(ROW()-4,"0000"))</f>
        <v>0</v>
      </c>
      <c r="Q111" s="13">
        <f>IF(C111="","",IFERROR(INDEX(Products!$B$5:$B$304,MATCH(C111,Products!$A$5:$A$304,0)),"Bundle or deleted"))</f>
        <v>0</v>
      </c>
      <c r="R111" s="13">
        <f>IF(B111="","",TEXT(B111,"yyyy-mm"))</f>
        <v>0</v>
      </c>
      <c r="S111" s="20">
        <f>IF(C111="","",IFERROR(INDEX(Products!$AR$5:$AR$304,MATCH(C111,Products!$A$5:$A$304,0)),""))</f>
        <v>0</v>
      </c>
      <c r="T111" s="20">
        <f>IF(B111="","",IF(F111&lt;&gt;"",F111,IF(S111="",0,S111)))</f>
        <v>0</v>
      </c>
      <c r="U111" s="20">
        <f>IF(B111="","",ROUND(IF(D111="",0,D111)*T111,2))</f>
        <v>0</v>
      </c>
      <c r="V111" s="20">
        <f>IF(B111="","",ROUND(U111-IF(G111="",0,G111)-IF(L111="",0,L111),2))</f>
        <v>0</v>
      </c>
      <c r="W111" s="20">
        <f>IF(C111="","",IFERROR(INDEX(Products!$AT$5:$AT$304,MATCH(C111,Products!$A$5:$A$304,0)),""))</f>
        <v>0</v>
      </c>
      <c r="X111" s="20">
        <f>IF(C111="","",IFERROR(INDEX(Products!$AG$5:$AG$304,MATCH(C111,Products!$A$5:$A$304,0)),""))</f>
        <v>0</v>
      </c>
      <c r="Y111" s="20">
        <f>IF(B111="","",ROUND(IF(D111="",0,D111)*MAX(0,IF(W111="",0,W111)-IF(X111="",0,X111)),2))</f>
        <v>0</v>
      </c>
      <c r="Z111" s="20">
        <f>IF(B111="","",ROUND(MAX(0,IF(J111="",0,J111)-IF(I111="",0,I111)),2))</f>
        <v>0</v>
      </c>
      <c r="AA111" s="33">
        <f>IF(B111="","",IFERROR(INDEX(Channels!$S$5:$S$18,MATCH(IF(E111="",DefaultChannel,E111),Channels!$A$5:$A$18,0)),0))</f>
        <v>0</v>
      </c>
      <c r="AB111" s="20">
        <f>IF(B111="","",IFERROR(INDEX(Channels!$T$5:$T$18,MATCH(IF(E111="",DefaultChannel,E111),Channels!$A$5:$A$18,0)),0))</f>
        <v>0</v>
      </c>
      <c r="AC111" s="42">
        <f>IF(B111="","",IFERROR(INDEX(Channels!$O$5:$O$18,MATCH(IF(E111="",DefaultChannel,E111),Channels!$A$5:$A$18,0)),"No"))</f>
        <v>0</v>
      </c>
      <c r="AD111" s="20">
        <f>IF(B111="","",ROUND((V111+IF(AC111="Yes",IF(I111="",0,I111),0))*AA111+AB111,2))</f>
        <v>0</v>
      </c>
      <c r="AE111" s="20">
        <f>IF(B111="","",IF(K111&lt;&gt;"",K111,AD111))</f>
        <v>0</v>
      </c>
      <c r="AF111" s="20">
        <f>IF(B111="","",IF(K111="","",ROUND(K111-AD111,2)))</f>
        <v>0</v>
      </c>
      <c r="AG111" s="20">
        <f>IF(B111="","",ROUND(V111-Y111-AE111-Z111,2))</f>
        <v>0</v>
      </c>
      <c r="AH111" s="33">
        <f>IF(B111="","",IF(OR(V111="",V111=0),"",AG111/V111))</f>
        <v>0</v>
      </c>
      <c r="AI111" s="33">
        <f>IF(C111="","",IFERROR(INDEX(Products!$AW$5:$AW$304,MATCH(C111,Products!$A$5:$A$304,0)),""))</f>
        <v>0</v>
      </c>
      <c r="AJ111" s="33">
        <f>IF(B111="","",IF(OR(AH111="",AI111=""),"",AH111-AI111))</f>
        <v>0</v>
      </c>
      <c r="AK111" s="41">
        <f>IF(B111="","",IFERROR(ROUND(IF(D111="",0,D111)*INDEX(Products!$X$5:$X$304,MATCH(C111,Products!$A$5:$A$304,0))/60,2),""))</f>
        <v>0</v>
      </c>
      <c r="AL111" s="20">
        <f>IF(B111="","",IF(OR(AK111="",AK111=0),"",ROUND(AG111/AK111,2)))</f>
        <v>0</v>
      </c>
      <c r="AM111" s="43">
        <f>IF(B111="","",IF(C111="","Add - which product?",IF(AG111&lt;0,"Loss - this order cost you money",IF(M111="Refunded","Refunded - check why",IF(AND(AF111&lt;&gt;"",AF111&gt;0.25),"Check - fees higher than your settings",IF(Z111&gt;1,"Check - postage is eating the margin",IF(AND(AH111&lt;&gt;"",AH111&lt;MarginWarning),"Low margin on this order","OK")))))) )</f>
        <v>0</v>
      </c>
    </row>
    <row r="112" spans="1:39">
      <c r="A112" s="38">
        <f>IF(B112="","",SalePrefix&amp;TEXT(ROW()-4,"0000"))</f>
        <v>0</v>
      </c>
      <c r="Q112" s="13">
        <f>IF(C112="","",IFERROR(INDEX(Products!$B$5:$B$304,MATCH(C112,Products!$A$5:$A$304,0)),"Bundle or deleted"))</f>
        <v>0</v>
      </c>
      <c r="R112" s="13">
        <f>IF(B112="","",TEXT(B112,"yyyy-mm"))</f>
        <v>0</v>
      </c>
      <c r="S112" s="20">
        <f>IF(C112="","",IFERROR(INDEX(Products!$AR$5:$AR$304,MATCH(C112,Products!$A$5:$A$304,0)),""))</f>
        <v>0</v>
      </c>
      <c r="T112" s="20">
        <f>IF(B112="","",IF(F112&lt;&gt;"",F112,IF(S112="",0,S112)))</f>
        <v>0</v>
      </c>
      <c r="U112" s="20">
        <f>IF(B112="","",ROUND(IF(D112="",0,D112)*T112,2))</f>
        <v>0</v>
      </c>
      <c r="V112" s="20">
        <f>IF(B112="","",ROUND(U112-IF(G112="",0,G112)-IF(L112="",0,L112),2))</f>
        <v>0</v>
      </c>
      <c r="W112" s="20">
        <f>IF(C112="","",IFERROR(INDEX(Products!$AT$5:$AT$304,MATCH(C112,Products!$A$5:$A$304,0)),""))</f>
        <v>0</v>
      </c>
      <c r="X112" s="20">
        <f>IF(C112="","",IFERROR(INDEX(Products!$AG$5:$AG$304,MATCH(C112,Products!$A$5:$A$304,0)),""))</f>
        <v>0</v>
      </c>
      <c r="Y112" s="20">
        <f>IF(B112="","",ROUND(IF(D112="",0,D112)*MAX(0,IF(W112="",0,W112)-IF(X112="",0,X112)),2))</f>
        <v>0</v>
      </c>
      <c r="Z112" s="20">
        <f>IF(B112="","",ROUND(MAX(0,IF(J112="",0,J112)-IF(I112="",0,I112)),2))</f>
        <v>0</v>
      </c>
      <c r="AA112" s="33">
        <f>IF(B112="","",IFERROR(INDEX(Channels!$S$5:$S$18,MATCH(IF(E112="",DefaultChannel,E112),Channels!$A$5:$A$18,0)),0))</f>
        <v>0</v>
      </c>
      <c r="AB112" s="20">
        <f>IF(B112="","",IFERROR(INDEX(Channels!$T$5:$T$18,MATCH(IF(E112="",DefaultChannel,E112),Channels!$A$5:$A$18,0)),0))</f>
        <v>0</v>
      </c>
      <c r="AC112" s="42">
        <f>IF(B112="","",IFERROR(INDEX(Channels!$O$5:$O$18,MATCH(IF(E112="",DefaultChannel,E112),Channels!$A$5:$A$18,0)),"No"))</f>
        <v>0</v>
      </c>
      <c r="AD112" s="20">
        <f>IF(B112="","",ROUND((V112+IF(AC112="Yes",IF(I112="",0,I112),0))*AA112+AB112,2))</f>
        <v>0</v>
      </c>
      <c r="AE112" s="20">
        <f>IF(B112="","",IF(K112&lt;&gt;"",K112,AD112))</f>
        <v>0</v>
      </c>
      <c r="AF112" s="20">
        <f>IF(B112="","",IF(K112="","",ROUND(K112-AD112,2)))</f>
        <v>0</v>
      </c>
      <c r="AG112" s="20">
        <f>IF(B112="","",ROUND(V112-Y112-AE112-Z112,2))</f>
        <v>0</v>
      </c>
      <c r="AH112" s="33">
        <f>IF(B112="","",IF(OR(V112="",V112=0),"",AG112/V112))</f>
        <v>0</v>
      </c>
      <c r="AI112" s="33">
        <f>IF(C112="","",IFERROR(INDEX(Products!$AW$5:$AW$304,MATCH(C112,Products!$A$5:$A$304,0)),""))</f>
        <v>0</v>
      </c>
      <c r="AJ112" s="33">
        <f>IF(B112="","",IF(OR(AH112="",AI112=""),"",AH112-AI112))</f>
        <v>0</v>
      </c>
      <c r="AK112" s="41">
        <f>IF(B112="","",IFERROR(ROUND(IF(D112="",0,D112)*INDEX(Products!$X$5:$X$304,MATCH(C112,Products!$A$5:$A$304,0))/60,2),""))</f>
        <v>0</v>
      </c>
      <c r="AL112" s="20">
        <f>IF(B112="","",IF(OR(AK112="",AK112=0),"",ROUND(AG112/AK112,2)))</f>
        <v>0</v>
      </c>
      <c r="AM112" s="43">
        <f>IF(B112="","",IF(C112="","Add - which product?",IF(AG112&lt;0,"Loss - this order cost you money",IF(M112="Refunded","Refunded - check why",IF(AND(AF112&lt;&gt;"",AF112&gt;0.25),"Check - fees higher than your settings",IF(Z112&gt;1,"Check - postage is eating the margin",IF(AND(AH112&lt;&gt;"",AH112&lt;MarginWarning),"Low margin on this order","OK")))))) )</f>
        <v>0</v>
      </c>
    </row>
    <row r="113" spans="1:39">
      <c r="A113" s="38">
        <f>IF(B113="","",SalePrefix&amp;TEXT(ROW()-4,"0000"))</f>
        <v>0</v>
      </c>
      <c r="Q113" s="13">
        <f>IF(C113="","",IFERROR(INDEX(Products!$B$5:$B$304,MATCH(C113,Products!$A$5:$A$304,0)),"Bundle or deleted"))</f>
        <v>0</v>
      </c>
      <c r="R113" s="13">
        <f>IF(B113="","",TEXT(B113,"yyyy-mm"))</f>
        <v>0</v>
      </c>
      <c r="S113" s="20">
        <f>IF(C113="","",IFERROR(INDEX(Products!$AR$5:$AR$304,MATCH(C113,Products!$A$5:$A$304,0)),""))</f>
        <v>0</v>
      </c>
      <c r="T113" s="20">
        <f>IF(B113="","",IF(F113&lt;&gt;"",F113,IF(S113="",0,S113)))</f>
        <v>0</v>
      </c>
      <c r="U113" s="20">
        <f>IF(B113="","",ROUND(IF(D113="",0,D113)*T113,2))</f>
        <v>0</v>
      </c>
      <c r="V113" s="20">
        <f>IF(B113="","",ROUND(U113-IF(G113="",0,G113)-IF(L113="",0,L113),2))</f>
        <v>0</v>
      </c>
      <c r="W113" s="20">
        <f>IF(C113="","",IFERROR(INDEX(Products!$AT$5:$AT$304,MATCH(C113,Products!$A$5:$A$304,0)),""))</f>
        <v>0</v>
      </c>
      <c r="X113" s="20">
        <f>IF(C113="","",IFERROR(INDEX(Products!$AG$5:$AG$304,MATCH(C113,Products!$A$5:$A$304,0)),""))</f>
        <v>0</v>
      </c>
      <c r="Y113" s="20">
        <f>IF(B113="","",ROUND(IF(D113="",0,D113)*MAX(0,IF(W113="",0,W113)-IF(X113="",0,X113)),2))</f>
        <v>0</v>
      </c>
      <c r="Z113" s="20">
        <f>IF(B113="","",ROUND(MAX(0,IF(J113="",0,J113)-IF(I113="",0,I113)),2))</f>
        <v>0</v>
      </c>
      <c r="AA113" s="33">
        <f>IF(B113="","",IFERROR(INDEX(Channels!$S$5:$S$18,MATCH(IF(E113="",DefaultChannel,E113),Channels!$A$5:$A$18,0)),0))</f>
        <v>0</v>
      </c>
      <c r="AB113" s="20">
        <f>IF(B113="","",IFERROR(INDEX(Channels!$T$5:$T$18,MATCH(IF(E113="",DefaultChannel,E113),Channels!$A$5:$A$18,0)),0))</f>
        <v>0</v>
      </c>
      <c r="AC113" s="42">
        <f>IF(B113="","",IFERROR(INDEX(Channels!$O$5:$O$18,MATCH(IF(E113="",DefaultChannel,E113),Channels!$A$5:$A$18,0)),"No"))</f>
        <v>0</v>
      </c>
      <c r="AD113" s="20">
        <f>IF(B113="","",ROUND((V113+IF(AC113="Yes",IF(I113="",0,I113),0))*AA113+AB113,2))</f>
        <v>0</v>
      </c>
      <c r="AE113" s="20">
        <f>IF(B113="","",IF(K113&lt;&gt;"",K113,AD113))</f>
        <v>0</v>
      </c>
      <c r="AF113" s="20">
        <f>IF(B113="","",IF(K113="","",ROUND(K113-AD113,2)))</f>
        <v>0</v>
      </c>
      <c r="AG113" s="20">
        <f>IF(B113="","",ROUND(V113-Y113-AE113-Z113,2))</f>
        <v>0</v>
      </c>
      <c r="AH113" s="33">
        <f>IF(B113="","",IF(OR(V113="",V113=0),"",AG113/V113))</f>
        <v>0</v>
      </c>
      <c r="AI113" s="33">
        <f>IF(C113="","",IFERROR(INDEX(Products!$AW$5:$AW$304,MATCH(C113,Products!$A$5:$A$304,0)),""))</f>
        <v>0</v>
      </c>
      <c r="AJ113" s="33">
        <f>IF(B113="","",IF(OR(AH113="",AI113=""),"",AH113-AI113))</f>
        <v>0</v>
      </c>
      <c r="AK113" s="41">
        <f>IF(B113="","",IFERROR(ROUND(IF(D113="",0,D113)*INDEX(Products!$X$5:$X$304,MATCH(C113,Products!$A$5:$A$304,0))/60,2),""))</f>
        <v>0</v>
      </c>
      <c r="AL113" s="20">
        <f>IF(B113="","",IF(OR(AK113="",AK113=0),"",ROUND(AG113/AK113,2)))</f>
        <v>0</v>
      </c>
      <c r="AM113" s="43">
        <f>IF(B113="","",IF(C113="","Add - which product?",IF(AG113&lt;0,"Loss - this order cost you money",IF(M113="Refunded","Refunded - check why",IF(AND(AF113&lt;&gt;"",AF113&gt;0.25),"Check - fees higher than your settings",IF(Z113&gt;1,"Check - postage is eating the margin",IF(AND(AH113&lt;&gt;"",AH113&lt;MarginWarning),"Low margin on this order","OK")))))) )</f>
        <v>0</v>
      </c>
    </row>
    <row r="114" spans="1:39">
      <c r="A114" s="38">
        <f>IF(B114="","",SalePrefix&amp;TEXT(ROW()-4,"0000"))</f>
        <v>0</v>
      </c>
      <c r="Q114" s="13">
        <f>IF(C114="","",IFERROR(INDEX(Products!$B$5:$B$304,MATCH(C114,Products!$A$5:$A$304,0)),"Bundle or deleted"))</f>
        <v>0</v>
      </c>
      <c r="R114" s="13">
        <f>IF(B114="","",TEXT(B114,"yyyy-mm"))</f>
        <v>0</v>
      </c>
      <c r="S114" s="20">
        <f>IF(C114="","",IFERROR(INDEX(Products!$AR$5:$AR$304,MATCH(C114,Products!$A$5:$A$304,0)),""))</f>
        <v>0</v>
      </c>
      <c r="T114" s="20">
        <f>IF(B114="","",IF(F114&lt;&gt;"",F114,IF(S114="",0,S114)))</f>
        <v>0</v>
      </c>
      <c r="U114" s="20">
        <f>IF(B114="","",ROUND(IF(D114="",0,D114)*T114,2))</f>
        <v>0</v>
      </c>
      <c r="V114" s="20">
        <f>IF(B114="","",ROUND(U114-IF(G114="",0,G114)-IF(L114="",0,L114),2))</f>
        <v>0</v>
      </c>
      <c r="W114" s="20">
        <f>IF(C114="","",IFERROR(INDEX(Products!$AT$5:$AT$304,MATCH(C114,Products!$A$5:$A$304,0)),""))</f>
        <v>0</v>
      </c>
      <c r="X114" s="20">
        <f>IF(C114="","",IFERROR(INDEX(Products!$AG$5:$AG$304,MATCH(C114,Products!$A$5:$A$304,0)),""))</f>
        <v>0</v>
      </c>
      <c r="Y114" s="20">
        <f>IF(B114="","",ROUND(IF(D114="",0,D114)*MAX(0,IF(W114="",0,W114)-IF(X114="",0,X114)),2))</f>
        <v>0</v>
      </c>
      <c r="Z114" s="20">
        <f>IF(B114="","",ROUND(MAX(0,IF(J114="",0,J114)-IF(I114="",0,I114)),2))</f>
        <v>0</v>
      </c>
      <c r="AA114" s="33">
        <f>IF(B114="","",IFERROR(INDEX(Channels!$S$5:$S$18,MATCH(IF(E114="",DefaultChannel,E114),Channels!$A$5:$A$18,0)),0))</f>
        <v>0</v>
      </c>
      <c r="AB114" s="20">
        <f>IF(B114="","",IFERROR(INDEX(Channels!$T$5:$T$18,MATCH(IF(E114="",DefaultChannel,E114),Channels!$A$5:$A$18,0)),0))</f>
        <v>0</v>
      </c>
      <c r="AC114" s="42">
        <f>IF(B114="","",IFERROR(INDEX(Channels!$O$5:$O$18,MATCH(IF(E114="",DefaultChannel,E114),Channels!$A$5:$A$18,0)),"No"))</f>
        <v>0</v>
      </c>
      <c r="AD114" s="20">
        <f>IF(B114="","",ROUND((V114+IF(AC114="Yes",IF(I114="",0,I114),0))*AA114+AB114,2))</f>
        <v>0</v>
      </c>
      <c r="AE114" s="20">
        <f>IF(B114="","",IF(K114&lt;&gt;"",K114,AD114))</f>
        <v>0</v>
      </c>
      <c r="AF114" s="20">
        <f>IF(B114="","",IF(K114="","",ROUND(K114-AD114,2)))</f>
        <v>0</v>
      </c>
      <c r="AG114" s="20">
        <f>IF(B114="","",ROUND(V114-Y114-AE114-Z114,2))</f>
        <v>0</v>
      </c>
      <c r="AH114" s="33">
        <f>IF(B114="","",IF(OR(V114="",V114=0),"",AG114/V114))</f>
        <v>0</v>
      </c>
      <c r="AI114" s="33">
        <f>IF(C114="","",IFERROR(INDEX(Products!$AW$5:$AW$304,MATCH(C114,Products!$A$5:$A$304,0)),""))</f>
        <v>0</v>
      </c>
      <c r="AJ114" s="33">
        <f>IF(B114="","",IF(OR(AH114="",AI114=""),"",AH114-AI114))</f>
        <v>0</v>
      </c>
      <c r="AK114" s="41">
        <f>IF(B114="","",IFERROR(ROUND(IF(D114="",0,D114)*INDEX(Products!$X$5:$X$304,MATCH(C114,Products!$A$5:$A$304,0))/60,2),""))</f>
        <v>0</v>
      </c>
      <c r="AL114" s="20">
        <f>IF(B114="","",IF(OR(AK114="",AK114=0),"",ROUND(AG114/AK114,2)))</f>
        <v>0</v>
      </c>
      <c r="AM114" s="43">
        <f>IF(B114="","",IF(C114="","Add - which product?",IF(AG114&lt;0,"Loss - this order cost you money",IF(M114="Refunded","Refunded - check why",IF(AND(AF114&lt;&gt;"",AF114&gt;0.25),"Check - fees higher than your settings",IF(Z114&gt;1,"Check - postage is eating the margin",IF(AND(AH114&lt;&gt;"",AH114&lt;MarginWarning),"Low margin on this order","OK")))))) )</f>
        <v>0</v>
      </c>
    </row>
    <row r="115" spans="1:39">
      <c r="A115" s="38">
        <f>IF(B115="","",SalePrefix&amp;TEXT(ROW()-4,"0000"))</f>
        <v>0</v>
      </c>
      <c r="Q115" s="13">
        <f>IF(C115="","",IFERROR(INDEX(Products!$B$5:$B$304,MATCH(C115,Products!$A$5:$A$304,0)),"Bundle or deleted"))</f>
        <v>0</v>
      </c>
      <c r="R115" s="13">
        <f>IF(B115="","",TEXT(B115,"yyyy-mm"))</f>
        <v>0</v>
      </c>
      <c r="S115" s="20">
        <f>IF(C115="","",IFERROR(INDEX(Products!$AR$5:$AR$304,MATCH(C115,Products!$A$5:$A$304,0)),""))</f>
        <v>0</v>
      </c>
      <c r="T115" s="20">
        <f>IF(B115="","",IF(F115&lt;&gt;"",F115,IF(S115="",0,S115)))</f>
        <v>0</v>
      </c>
      <c r="U115" s="20">
        <f>IF(B115="","",ROUND(IF(D115="",0,D115)*T115,2))</f>
        <v>0</v>
      </c>
      <c r="V115" s="20">
        <f>IF(B115="","",ROUND(U115-IF(G115="",0,G115)-IF(L115="",0,L115),2))</f>
        <v>0</v>
      </c>
      <c r="W115" s="20">
        <f>IF(C115="","",IFERROR(INDEX(Products!$AT$5:$AT$304,MATCH(C115,Products!$A$5:$A$304,0)),""))</f>
        <v>0</v>
      </c>
      <c r="X115" s="20">
        <f>IF(C115="","",IFERROR(INDEX(Products!$AG$5:$AG$304,MATCH(C115,Products!$A$5:$A$304,0)),""))</f>
        <v>0</v>
      </c>
      <c r="Y115" s="20">
        <f>IF(B115="","",ROUND(IF(D115="",0,D115)*MAX(0,IF(W115="",0,W115)-IF(X115="",0,X115)),2))</f>
        <v>0</v>
      </c>
      <c r="Z115" s="20">
        <f>IF(B115="","",ROUND(MAX(0,IF(J115="",0,J115)-IF(I115="",0,I115)),2))</f>
        <v>0</v>
      </c>
      <c r="AA115" s="33">
        <f>IF(B115="","",IFERROR(INDEX(Channels!$S$5:$S$18,MATCH(IF(E115="",DefaultChannel,E115),Channels!$A$5:$A$18,0)),0))</f>
        <v>0</v>
      </c>
      <c r="AB115" s="20">
        <f>IF(B115="","",IFERROR(INDEX(Channels!$T$5:$T$18,MATCH(IF(E115="",DefaultChannel,E115),Channels!$A$5:$A$18,0)),0))</f>
        <v>0</v>
      </c>
      <c r="AC115" s="42">
        <f>IF(B115="","",IFERROR(INDEX(Channels!$O$5:$O$18,MATCH(IF(E115="",DefaultChannel,E115),Channels!$A$5:$A$18,0)),"No"))</f>
        <v>0</v>
      </c>
      <c r="AD115" s="20">
        <f>IF(B115="","",ROUND((V115+IF(AC115="Yes",IF(I115="",0,I115),0))*AA115+AB115,2))</f>
        <v>0</v>
      </c>
      <c r="AE115" s="20">
        <f>IF(B115="","",IF(K115&lt;&gt;"",K115,AD115))</f>
        <v>0</v>
      </c>
      <c r="AF115" s="20">
        <f>IF(B115="","",IF(K115="","",ROUND(K115-AD115,2)))</f>
        <v>0</v>
      </c>
      <c r="AG115" s="20">
        <f>IF(B115="","",ROUND(V115-Y115-AE115-Z115,2))</f>
        <v>0</v>
      </c>
      <c r="AH115" s="33">
        <f>IF(B115="","",IF(OR(V115="",V115=0),"",AG115/V115))</f>
        <v>0</v>
      </c>
      <c r="AI115" s="33">
        <f>IF(C115="","",IFERROR(INDEX(Products!$AW$5:$AW$304,MATCH(C115,Products!$A$5:$A$304,0)),""))</f>
        <v>0</v>
      </c>
      <c r="AJ115" s="33">
        <f>IF(B115="","",IF(OR(AH115="",AI115=""),"",AH115-AI115))</f>
        <v>0</v>
      </c>
      <c r="AK115" s="41">
        <f>IF(B115="","",IFERROR(ROUND(IF(D115="",0,D115)*INDEX(Products!$X$5:$X$304,MATCH(C115,Products!$A$5:$A$304,0))/60,2),""))</f>
        <v>0</v>
      </c>
      <c r="AL115" s="20">
        <f>IF(B115="","",IF(OR(AK115="",AK115=0),"",ROUND(AG115/AK115,2)))</f>
        <v>0</v>
      </c>
      <c r="AM115" s="43">
        <f>IF(B115="","",IF(C115="","Add - which product?",IF(AG115&lt;0,"Loss - this order cost you money",IF(M115="Refunded","Refunded - check why",IF(AND(AF115&lt;&gt;"",AF115&gt;0.25),"Check - fees higher than your settings",IF(Z115&gt;1,"Check - postage is eating the margin",IF(AND(AH115&lt;&gt;"",AH115&lt;MarginWarning),"Low margin on this order","OK")))))) )</f>
        <v>0</v>
      </c>
    </row>
    <row r="116" spans="1:39">
      <c r="A116" s="38">
        <f>IF(B116="","",SalePrefix&amp;TEXT(ROW()-4,"0000"))</f>
        <v>0</v>
      </c>
      <c r="Q116" s="13">
        <f>IF(C116="","",IFERROR(INDEX(Products!$B$5:$B$304,MATCH(C116,Products!$A$5:$A$304,0)),"Bundle or deleted"))</f>
        <v>0</v>
      </c>
      <c r="R116" s="13">
        <f>IF(B116="","",TEXT(B116,"yyyy-mm"))</f>
        <v>0</v>
      </c>
      <c r="S116" s="20">
        <f>IF(C116="","",IFERROR(INDEX(Products!$AR$5:$AR$304,MATCH(C116,Products!$A$5:$A$304,0)),""))</f>
        <v>0</v>
      </c>
      <c r="T116" s="20">
        <f>IF(B116="","",IF(F116&lt;&gt;"",F116,IF(S116="",0,S116)))</f>
        <v>0</v>
      </c>
      <c r="U116" s="20">
        <f>IF(B116="","",ROUND(IF(D116="",0,D116)*T116,2))</f>
        <v>0</v>
      </c>
      <c r="V116" s="20">
        <f>IF(B116="","",ROUND(U116-IF(G116="",0,G116)-IF(L116="",0,L116),2))</f>
        <v>0</v>
      </c>
      <c r="W116" s="20">
        <f>IF(C116="","",IFERROR(INDEX(Products!$AT$5:$AT$304,MATCH(C116,Products!$A$5:$A$304,0)),""))</f>
        <v>0</v>
      </c>
      <c r="X116" s="20">
        <f>IF(C116="","",IFERROR(INDEX(Products!$AG$5:$AG$304,MATCH(C116,Products!$A$5:$A$304,0)),""))</f>
        <v>0</v>
      </c>
      <c r="Y116" s="20">
        <f>IF(B116="","",ROUND(IF(D116="",0,D116)*MAX(0,IF(W116="",0,W116)-IF(X116="",0,X116)),2))</f>
        <v>0</v>
      </c>
      <c r="Z116" s="20">
        <f>IF(B116="","",ROUND(MAX(0,IF(J116="",0,J116)-IF(I116="",0,I116)),2))</f>
        <v>0</v>
      </c>
      <c r="AA116" s="33">
        <f>IF(B116="","",IFERROR(INDEX(Channels!$S$5:$S$18,MATCH(IF(E116="",DefaultChannel,E116),Channels!$A$5:$A$18,0)),0))</f>
        <v>0</v>
      </c>
      <c r="AB116" s="20">
        <f>IF(B116="","",IFERROR(INDEX(Channels!$T$5:$T$18,MATCH(IF(E116="",DefaultChannel,E116),Channels!$A$5:$A$18,0)),0))</f>
        <v>0</v>
      </c>
      <c r="AC116" s="42">
        <f>IF(B116="","",IFERROR(INDEX(Channels!$O$5:$O$18,MATCH(IF(E116="",DefaultChannel,E116),Channels!$A$5:$A$18,0)),"No"))</f>
        <v>0</v>
      </c>
      <c r="AD116" s="20">
        <f>IF(B116="","",ROUND((V116+IF(AC116="Yes",IF(I116="",0,I116),0))*AA116+AB116,2))</f>
        <v>0</v>
      </c>
      <c r="AE116" s="20">
        <f>IF(B116="","",IF(K116&lt;&gt;"",K116,AD116))</f>
        <v>0</v>
      </c>
      <c r="AF116" s="20">
        <f>IF(B116="","",IF(K116="","",ROUND(K116-AD116,2)))</f>
        <v>0</v>
      </c>
      <c r="AG116" s="20">
        <f>IF(B116="","",ROUND(V116-Y116-AE116-Z116,2))</f>
        <v>0</v>
      </c>
      <c r="AH116" s="33">
        <f>IF(B116="","",IF(OR(V116="",V116=0),"",AG116/V116))</f>
        <v>0</v>
      </c>
      <c r="AI116" s="33">
        <f>IF(C116="","",IFERROR(INDEX(Products!$AW$5:$AW$304,MATCH(C116,Products!$A$5:$A$304,0)),""))</f>
        <v>0</v>
      </c>
      <c r="AJ116" s="33">
        <f>IF(B116="","",IF(OR(AH116="",AI116=""),"",AH116-AI116))</f>
        <v>0</v>
      </c>
      <c r="AK116" s="41">
        <f>IF(B116="","",IFERROR(ROUND(IF(D116="",0,D116)*INDEX(Products!$X$5:$X$304,MATCH(C116,Products!$A$5:$A$304,0))/60,2),""))</f>
        <v>0</v>
      </c>
      <c r="AL116" s="20">
        <f>IF(B116="","",IF(OR(AK116="",AK116=0),"",ROUND(AG116/AK116,2)))</f>
        <v>0</v>
      </c>
      <c r="AM116" s="43">
        <f>IF(B116="","",IF(C116="","Add - which product?",IF(AG116&lt;0,"Loss - this order cost you money",IF(M116="Refunded","Refunded - check why",IF(AND(AF116&lt;&gt;"",AF116&gt;0.25),"Check - fees higher than your settings",IF(Z116&gt;1,"Check - postage is eating the margin",IF(AND(AH116&lt;&gt;"",AH116&lt;MarginWarning),"Low margin on this order","OK")))))) )</f>
        <v>0</v>
      </c>
    </row>
    <row r="117" spans="1:39">
      <c r="A117" s="38">
        <f>IF(B117="","",SalePrefix&amp;TEXT(ROW()-4,"0000"))</f>
        <v>0</v>
      </c>
      <c r="Q117" s="13">
        <f>IF(C117="","",IFERROR(INDEX(Products!$B$5:$B$304,MATCH(C117,Products!$A$5:$A$304,0)),"Bundle or deleted"))</f>
        <v>0</v>
      </c>
      <c r="R117" s="13">
        <f>IF(B117="","",TEXT(B117,"yyyy-mm"))</f>
        <v>0</v>
      </c>
      <c r="S117" s="20">
        <f>IF(C117="","",IFERROR(INDEX(Products!$AR$5:$AR$304,MATCH(C117,Products!$A$5:$A$304,0)),""))</f>
        <v>0</v>
      </c>
      <c r="T117" s="20">
        <f>IF(B117="","",IF(F117&lt;&gt;"",F117,IF(S117="",0,S117)))</f>
        <v>0</v>
      </c>
      <c r="U117" s="20">
        <f>IF(B117="","",ROUND(IF(D117="",0,D117)*T117,2))</f>
        <v>0</v>
      </c>
      <c r="V117" s="20">
        <f>IF(B117="","",ROUND(U117-IF(G117="",0,G117)-IF(L117="",0,L117),2))</f>
        <v>0</v>
      </c>
      <c r="W117" s="20">
        <f>IF(C117="","",IFERROR(INDEX(Products!$AT$5:$AT$304,MATCH(C117,Products!$A$5:$A$304,0)),""))</f>
        <v>0</v>
      </c>
      <c r="X117" s="20">
        <f>IF(C117="","",IFERROR(INDEX(Products!$AG$5:$AG$304,MATCH(C117,Products!$A$5:$A$304,0)),""))</f>
        <v>0</v>
      </c>
      <c r="Y117" s="20">
        <f>IF(B117="","",ROUND(IF(D117="",0,D117)*MAX(0,IF(W117="",0,W117)-IF(X117="",0,X117)),2))</f>
        <v>0</v>
      </c>
      <c r="Z117" s="20">
        <f>IF(B117="","",ROUND(MAX(0,IF(J117="",0,J117)-IF(I117="",0,I117)),2))</f>
        <v>0</v>
      </c>
      <c r="AA117" s="33">
        <f>IF(B117="","",IFERROR(INDEX(Channels!$S$5:$S$18,MATCH(IF(E117="",DefaultChannel,E117),Channels!$A$5:$A$18,0)),0))</f>
        <v>0</v>
      </c>
      <c r="AB117" s="20">
        <f>IF(B117="","",IFERROR(INDEX(Channels!$T$5:$T$18,MATCH(IF(E117="",DefaultChannel,E117),Channels!$A$5:$A$18,0)),0))</f>
        <v>0</v>
      </c>
      <c r="AC117" s="42">
        <f>IF(B117="","",IFERROR(INDEX(Channels!$O$5:$O$18,MATCH(IF(E117="",DefaultChannel,E117),Channels!$A$5:$A$18,0)),"No"))</f>
        <v>0</v>
      </c>
      <c r="AD117" s="20">
        <f>IF(B117="","",ROUND((V117+IF(AC117="Yes",IF(I117="",0,I117),0))*AA117+AB117,2))</f>
        <v>0</v>
      </c>
      <c r="AE117" s="20">
        <f>IF(B117="","",IF(K117&lt;&gt;"",K117,AD117))</f>
        <v>0</v>
      </c>
      <c r="AF117" s="20">
        <f>IF(B117="","",IF(K117="","",ROUND(K117-AD117,2)))</f>
        <v>0</v>
      </c>
      <c r="AG117" s="20">
        <f>IF(B117="","",ROUND(V117-Y117-AE117-Z117,2))</f>
        <v>0</v>
      </c>
      <c r="AH117" s="33">
        <f>IF(B117="","",IF(OR(V117="",V117=0),"",AG117/V117))</f>
        <v>0</v>
      </c>
      <c r="AI117" s="33">
        <f>IF(C117="","",IFERROR(INDEX(Products!$AW$5:$AW$304,MATCH(C117,Products!$A$5:$A$304,0)),""))</f>
        <v>0</v>
      </c>
      <c r="AJ117" s="33">
        <f>IF(B117="","",IF(OR(AH117="",AI117=""),"",AH117-AI117))</f>
        <v>0</v>
      </c>
      <c r="AK117" s="41">
        <f>IF(B117="","",IFERROR(ROUND(IF(D117="",0,D117)*INDEX(Products!$X$5:$X$304,MATCH(C117,Products!$A$5:$A$304,0))/60,2),""))</f>
        <v>0</v>
      </c>
      <c r="AL117" s="20">
        <f>IF(B117="","",IF(OR(AK117="",AK117=0),"",ROUND(AG117/AK117,2)))</f>
        <v>0</v>
      </c>
      <c r="AM117" s="43">
        <f>IF(B117="","",IF(C117="","Add - which product?",IF(AG117&lt;0,"Loss - this order cost you money",IF(M117="Refunded","Refunded - check why",IF(AND(AF117&lt;&gt;"",AF117&gt;0.25),"Check - fees higher than your settings",IF(Z117&gt;1,"Check - postage is eating the margin",IF(AND(AH117&lt;&gt;"",AH117&lt;MarginWarning),"Low margin on this order","OK")))))) )</f>
        <v>0</v>
      </c>
    </row>
    <row r="118" spans="1:39">
      <c r="A118" s="38">
        <f>IF(B118="","",SalePrefix&amp;TEXT(ROW()-4,"0000"))</f>
        <v>0</v>
      </c>
      <c r="Q118" s="13">
        <f>IF(C118="","",IFERROR(INDEX(Products!$B$5:$B$304,MATCH(C118,Products!$A$5:$A$304,0)),"Bundle or deleted"))</f>
        <v>0</v>
      </c>
      <c r="R118" s="13">
        <f>IF(B118="","",TEXT(B118,"yyyy-mm"))</f>
        <v>0</v>
      </c>
      <c r="S118" s="20">
        <f>IF(C118="","",IFERROR(INDEX(Products!$AR$5:$AR$304,MATCH(C118,Products!$A$5:$A$304,0)),""))</f>
        <v>0</v>
      </c>
      <c r="T118" s="20">
        <f>IF(B118="","",IF(F118&lt;&gt;"",F118,IF(S118="",0,S118)))</f>
        <v>0</v>
      </c>
      <c r="U118" s="20">
        <f>IF(B118="","",ROUND(IF(D118="",0,D118)*T118,2))</f>
        <v>0</v>
      </c>
      <c r="V118" s="20">
        <f>IF(B118="","",ROUND(U118-IF(G118="",0,G118)-IF(L118="",0,L118),2))</f>
        <v>0</v>
      </c>
      <c r="W118" s="20">
        <f>IF(C118="","",IFERROR(INDEX(Products!$AT$5:$AT$304,MATCH(C118,Products!$A$5:$A$304,0)),""))</f>
        <v>0</v>
      </c>
      <c r="X118" s="20">
        <f>IF(C118="","",IFERROR(INDEX(Products!$AG$5:$AG$304,MATCH(C118,Products!$A$5:$A$304,0)),""))</f>
        <v>0</v>
      </c>
      <c r="Y118" s="20">
        <f>IF(B118="","",ROUND(IF(D118="",0,D118)*MAX(0,IF(W118="",0,W118)-IF(X118="",0,X118)),2))</f>
        <v>0</v>
      </c>
      <c r="Z118" s="20">
        <f>IF(B118="","",ROUND(MAX(0,IF(J118="",0,J118)-IF(I118="",0,I118)),2))</f>
        <v>0</v>
      </c>
      <c r="AA118" s="33">
        <f>IF(B118="","",IFERROR(INDEX(Channels!$S$5:$S$18,MATCH(IF(E118="",DefaultChannel,E118),Channels!$A$5:$A$18,0)),0))</f>
        <v>0</v>
      </c>
      <c r="AB118" s="20">
        <f>IF(B118="","",IFERROR(INDEX(Channels!$T$5:$T$18,MATCH(IF(E118="",DefaultChannel,E118),Channels!$A$5:$A$18,0)),0))</f>
        <v>0</v>
      </c>
      <c r="AC118" s="42">
        <f>IF(B118="","",IFERROR(INDEX(Channels!$O$5:$O$18,MATCH(IF(E118="",DefaultChannel,E118),Channels!$A$5:$A$18,0)),"No"))</f>
        <v>0</v>
      </c>
      <c r="AD118" s="20">
        <f>IF(B118="","",ROUND((V118+IF(AC118="Yes",IF(I118="",0,I118),0))*AA118+AB118,2))</f>
        <v>0</v>
      </c>
      <c r="AE118" s="20">
        <f>IF(B118="","",IF(K118&lt;&gt;"",K118,AD118))</f>
        <v>0</v>
      </c>
      <c r="AF118" s="20">
        <f>IF(B118="","",IF(K118="","",ROUND(K118-AD118,2)))</f>
        <v>0</v>
      </c>
      <c r="AG118" s="20">
        <f>IF(B118="","",ROUND(V118-Y118-AE118-Z118,2))</f>
        <v>0</v>
      </c>
      <c r="AH118" s="33">
        <f>IF(B118="","",IF(OR(V118="",V118=0),"",AG118/V118))</f>
        <v>0</v>
      </c>
      <c r="AI118" s="33">
        <f>IF(C118="","",IFERROR(INDEX(Products!$AW$5:$AW$304,MATCH(C118,Products!$A$5:$A$304,0)),""))</f>
        <v>0</v>
      </c>
      <c r="AJ118" s="33">
        <f>IF(B118="","",IF(OR(AH118="",AI118=""),"",AH118-AI118))</f>
        <v>0</v>
      </c>
      <c r="AK118" s="41">
        <f>IF(B118="","",IFERROR(ROUND(IF(D118="",0,D118)*INDEX(Products!$X$5:$X$304,MATCH(C118,Products!$A$5:$A$304,0))/60,2),""))</f>
        <v>0</v>
      </c>
      <c r="AL118" s="20">
        <f>IF(B118="","",IF(OR(AK118="",AK118=0),"",ROUND(AG118/AK118,2)))</f>
        <v>0</v>
      </c>
      <c r="AM118" s="43">
        <f>IF(B118="","",IF(C118="","Add - which product?",IF(AG118&lt;0,"Loss - this order cost you money",IF(M118="Refunded","Refunded - check why",IF(AND(AF118&lt;&gt;"",AF118&gt;0.25),"Check - fees higher than your settings",IF(Z118&gt;1,"Check - postage is eating the margin",IF(AND(AH118&lt;&gt;"",AH118&lt;MarginWarning),"Low margin on this order","OK")))))) )</f>
        <v>0</v>
      </c>
    </row>
    <row r="119" spans="1:39">
      <c r="A119" s="38">
        <f>IF(B119="","",SalePrefix&amp;TEXT(ROW()-4,"0000"))</f>
        <v>0</v>
      </c>
      <c r="Q119" s="13">
        <f>IF(C119="","",IFERROR(INDEX(Products!$B$5:$B$304,MATCH(C119,Products!$A$5:$A$304,0)),"Bundle or deleted"))</f>
        <v>0</v>
      </c>
      <c r="R119" s="13">
        <f>IF(B119="","",TEXT(B119,"yyyy-mm"))</f>
        <v>0</v>
      </c>
      <c r="S119" s="20">
        <f>IF(C119="","",IFERROR(INDEX(Products!$AR$5:$AR$304,MATCH(C119,Products!$A$5:$A$304,0)),""))</f>
        <v>0</v>
      </c>
      <c r="T119" s="20">
        <f>IF(B119="","",IF(F119&lt;&gt;"",F119,IF(S119="",0,S119)))</f>
        <v>0</v>
      </c>
      <c r="U119" s="20">
        <f>IF(B119="","",ROUND(IF(D119="",0,D119)*T119,2))</f>
        <v>0</v>
      </c>
      <c r="V119" s="20">
        <f>IF(B119="","",ROUND(U119-IF(G119="",0,G119)-IF(L119="",0,L119),2))</f>
        <v>0</v>
      </c>
      <c r="W119" s="20">
        <f>IF(C119="","",IFERROR(INDEX(Products!$AT$5:$AT$304,MATCH(C119,Products!$A$5:$A$304,0)),""))</f>
        <v>0</v>
      </c>
      <c r="X119" s="20">
        <f>IF(C119="","",IFERROR(INDEX(Products!$AG$5:$AG$304,MATCH(C119,Products!$A$5:$A$304,0)),""))</f>
        <v>0</v>
      </c>
      <c r="Y119" s="20">
        <f>IF(B119="","",ROUND(IF(D119="",0,D119)*MAX(0,IF(W119="",0,W119)-IF(X119="",0,X119)),2))</f>
        <v>0</v>
      </c>
      <c r="Z119" s="20">
        <f>IF(B119="","",ROUND(MAX(0,IF(J119="",0,J119)-IF(I119="",0,I119)),2))</f>
        <v>0</v>
      </c>
      <c r="AA119" s="33">
        <f>IF(B119="","",IFERROR(INDEX(Channels!$S$5:$S$18,MATCH(IF(E119="",DefaultChannel,E119),Channels!$A$5:$A$18,0)),0))</f>
        <v>0</v>
      </c>
      <c r="AB119" s="20">
        <f>IF(B119="","",IFERROR(INDEX(Channels!$T$5:$T$18,MATCH(IF(E119="",DefaultChannel,E119),Channels!$A$5:$A$18,0)),0))</f>
        <v>0</v>
      </c>
      <c r="AC119" s="42">
        <f>IF(B119="","",IFERROR(INDEX(Channels!$O$5:$O$18,MATCH(IF(E119="",DefaultChannel,E119),Channels!$A$5:$A$18,0)),"No"))</f>
        <v>0</v>
      </c>
      <c r="AD119" s="20">
        <f>IF(B119="","",ROUND((V119+IF(AC119="Yes",IF(I119="",0,I119),0))*AA119+AB119,2))</f>
        <v>0</v>
      </c>
      <c r="AE119" s="20">
        <f>IF(B119="","",IF(K119&lt;&gt;"",K119,AD119))</f>
        <v>0</v>
      </c>
      <c r="AF119" s="20">
        <f>IF(B119="","",IF(K119="","",ROUND(K119-AD119,2)))</f>
        <v>0</v>
      </c>
      <c r="AG119" s="20">
        <f>IF(B119="","",ROUND(V119-Y119-AE119-Z119,2))</f>
        <v>0</v>
      </c>
      <c r="AH119" s="33">
        <f>IF(B119="","",IF(OR(V119="",V119=0),"",AG119/V119))</f>
        <v>0</v>
      </c>
      <c r="AI119" s="33">
        <f>IF(C119="","",IFERROR(INDEX(Products!$AW$5:$AW$304,MATCH(C119,Products!$A$5:$A$304,0)),""))</f>
        <v>0</v>
      </c>
      <c r="AJ119" s="33">
        <f>IF(B119="","",IF(OR(AH119="",AI119=""),"",AH119-AI119))</f>
        <v>0</v>
      </c>
      <c r="AK119" s="41">
        <f>IF(B119="","",IFERROR(ROUND(IF(D119="",0,D119)*INDEX(Products!$X$5:$X$304,MATCH(C119,Products!$A$5:$A$304,0))/60,2),""))</f>
        <v>0</v>
      </c>
      <c r="AL119" s="20">
        <f>IF(B119="","",IF(OR(AK119="",AK119=0),"",ROUND(AG119/AK119,2)))</f>
        <v>0</v>
      </c>
      <c r="AM119" s="43">
        <f>IF(B119="","",IF(C119="","Add - which product?",IF(AG119&lt;0,"Loss - this order cost you money",IF(M119="Refunded","Refunded - check why",IF(AND(AF119&lt;&gt;"",AF119&gt;0.25),"Check - fees higher than your settings",IF(Z119&gt;1,"Check - postage is eating the margin",IF(AND(AH119&lt;&gt;"",AH119&lt;MarginWarning),"Low margin on this order","OK")))))) )</f>
        <v>0</v>
      </c>
    </row>
    <row r="120" spans="1:39">
      <c r="A120" s="38">
        <f>IF(B120="","",SalePrefix&amp;TEXT(ROW()-4,"0000"))</f>
        <v>0</v>
      </c>
      <c r="Q120" s="13">
        <f>IF(C120="","",IFERROR(INDEX(Products!$B$5:$B$304,MATCH(C120,Products!$A$5:$A$304,0)),"Bundle or deleted"))</f>
        <v>0</v>
      </c>
      <c r="R120" s="13">
        <f>IF(B120="","",TEXT(B120,"yyyy-mm"))</f>
        <v>0</v>
      </c>
      <c r="S120" s="20">
        <f>IF(C120="","",IFERROR(INDEX(Products!$AR$5:$AR$304,MATCH(C120,Products!$A$5:$A$304,0)),""))</f>
        <v>0</v>
      </c>
      <c r="T120" s="20">
        <f>IF(B120="","",IF(F120&lt;&gt;"",F120,IF(S120="",0,S120)))</f>
        <v>0</v>
      </c>
      <c r="U120" s="20">
        <f>IF(B120="","",ROUND(IF(D120="",0,D120)*T120,2))</f>
        <v>0</v>
      </c>
      <c r="V120" s="20">
        <f>IF(B120="","",ROUND(U120-IF(G120="",0,G120)-IF(L120="",0,L120),2))</f>
        <v>0</v>
      </c>
      <c r="W120" s="20">
        <f>IF(C120="","",IFERROR(INDEX(Products!$AT$5:$AT$304,MATCH(C120,Products!$A$5:$A$304,0)),""))</f>
        <v>0</v>
      </c>
      <c r="X120" s="20">
        <f>IF(C120="","",IFERROR(INDEX(Products!$AG$5:$AG$304,MATCH(C120,Products!$A$5:$A$304,0)),""))</f>
        <v>0</v>
      </c>
      <c r="Y120" s="20">
        <f>IF(B120="","",ROUND(IF(D120="",0,D120)*MAX(0,IF(W120="",0,W120)-IF(X120="",0,X120)),2))</f>
        <v>0</v>
      </c>
      <c r="Z120" s="20">
        <f>IF(B120="","",ROUND(MAX(0,IF(J120="",0,J120)-IF(I120="",0,I120)),2))</f>
        <v>0</v>
      </c>
      <c r="AA120" s="33">
        <f>IF(B120="","",IFERROR(INDEX(Channels!$S$5:$S$18,MATCH(IF(E120="",DefaultChannel,E120),Channels!$A$5:$A$18,0)),0))</f>
        <v>0</v>
      </c>
      <c r="AB120" s="20">
        <f>IF(B120="","",IFERROR(INDEX(Channels!$T$5:$T$18,MATCH(IF(E120="",DefaultChannel,E120),Channels!$A$5:$A$18,0)),0))</f>
        <v>0</v>
      </c>
      <c r="AC120" s="42">
        <f>IF(B120="","",IFERROR(INDEX(Channels!$O$5:$O$18,MATCH(IF(E120="",DefaultChannel,E120),Channels!$A$5:$A$18,0)),"No"))</f>
        <v>0</v>
      </c>
      <c r="AD120" s="20">
        <f>IF(B120="","",ROUND((V120+IF(AC120="Yes",IF(I120="",0,I120),0))*AA120+AB120,2))</f>
        <v>0</v>
      </c>
      <c r="AE120" s="20">
        <f>IF(B120="","",IF(K120&lt;&gt;"",K120,AD120))</f>
        <v>0</v>
      </c>
      <c r="AF120" s="20">
        <f>IF(B120="","",IF(K120="","",ROUND(K120-AD120,2)))</f>
        <v>0</v>
      </c>
      <c r="AG120" s="20">
        <f>IF(B120="","",ROUND(V120-Y120-AE120-Z120,2))</f>
        <v>0</v>
      </c>
      <c r="AH120" s="33">
        <f>IF(B120="","",IF(OR(V120="",V120=0),"",AG120/V120))</f>
        <v>0</v>
      </c>
      <c r="AI120" s="33">
        <f>IF(C120="","",IFERROR(INDEX(Products!$AW$5:$AW$304,MATCH(C120,Products!$A$5:$A$304,0)),""))</f>
        <v>0</v>
      </c>
      <c r="AJ120" s="33">
        <f>IF(B120="","",IF(OR(AH120="",AI120=""),"",AH120-AI120))</f>
        <v>0</v>
      </c>
      <c r="AK120" s="41">
        <f>IF(B120="","",IFERROR(ROUND(IF(D120="",0,D120)*INDEX(Products!$X$5:$X$304,MATCH(C120,Products!$A$5:$A$304,0))/60,2),""))</f>
        <v>0</v>
      </c>
      <c r="AL120" s="20">
        <f>IF(B120="","",IF(OR(AK120="",AK120=0),"",ROUND(AG120/AK120,2)))</f>
        <v>0</v>
      </c>
      <c r="AM120" s="43">
        <f>IF(B120="","",IF(C120="","Add - which product?",IF(AG120&lt;0,"Loss - this order cost you money",IF(M120="Refunded","Refunded - check why",IF(AND(AF120&lt;&gt;"",AF120&gt;0.25),"Check - fees higher than your settings",IF(Z120&gt;1,"Check - postage is eating the margin",IF(AND(AH120&lt;&gt;"",AH120&lt;MarginWarning),"Low margin on this order","OK")))))) )</f>
        <v>0</v>
      </c>
    </row>
    <row r="121" spans="1:39">
      <c r="A121" s="38">
        <f>IF(B121="","",SalePrefix&amp;TEXT(ROW()-4,"0000"))</f>
        <v>0</v>
      </c>
      <c r="Q121" s="13">
        <f>IF(C121="","",IFERROR(INDEX(Products!$B$5:$B$304,MATCH(C121,Products!$A$5:$A$304,0)),"Bundle or deleted"))</f>
        <v>0</v>
      </c>
      <c r="R121" s="13">
        <f>IF(B121="","",TEXT(B121,"yyyy-mm"))</f>
        <v>0</v>
      </c>
      <c r="S121" s="20">
        <f>IF(C121="","",IFERROR(INDEX(Products!$AR$5:$AR$304,MATCH(C121,Products!$A$5:$A$304,0)),""))</f>
        <v>0</v>
      </c>
      <c r="T121" s="20">
        <f>IF(B121="","",IF(F121&lt;&gt;"",F121,IF(S121="",0,S121)))</f>
        <v>0</v>
      </c>
      <c r="U121" s="20">
        <f>IF(B121="","",ROUND(IF(D121="",0,D121)*T121,2))</f>
        <v>0</v>
      </c>
      <c r="V121" s="20">
        <f>IF(B121="","",ROUND(U121-IF(G121="",0,G121)-IF(L121="",0,L121),2))</f>
        <v>0</v>
      </c>
      <c r="W121" s="20">
        <f>IF(C121="","",IFERROR(INDEX(Products!$AT$5:$AT$304,MATCH(C121,Products!$A$5:$A$304,0)),""))</f>
        <v>0</v>
      </c>
      <c r="X121" s="20">
        <f>IF(C121="","",IFERROR(INDEX(Products!$AG$5:$AG$304,MATCH(C121,Products!$A$5:$A$304,0)),""))</f>
        <v>0</v>
      </c>
      <c r="Y121" s="20">
        <f>IF(B121="","",ROUND(IF(D121="",0,D121)*MAX(0,IF(W121="",0,W121)-IF(X121="",0,X121)),2))</f>
        <v>0</v>
      </c>
      <c r="Z121" s="20">
        <f>IF(B121="","",ROUND(MAX(0,IF(J121="",0,J121)-IF(I121="",0,I121)),2))</f>
        <v>0</v>
      </c>
      <c r="AA121" s="33">
        <f>IF(B121="","",IFERROR(INDEX(Channels!$S$5:$S$18,MATCH(IF(E121="",DefaultChannel,E121),Channels!$A$5:$A$18,0)),0))</f>
        <v>0</v>
      </c>
      <c r="AB121" s="20">
        <f>IF(B121="","",IFERROR(INDEX(Channels!$T$5:$T$18,MATCH(IF(E121="",DefaultChannel,E121),Channels!$A$5:$A$18,0)),0))</f>
        <v>0</v>
      </c>
      <c r="AC121" s="42">
        <f>IF(B121="","",IFERROR(INDEX(Channels!$O$5:$O$18,MATCH(IF(E121="",DefaultChannel,E121),Channels!$A$5:$A$18,0)),"No"))</f>
        <v>0</v>
      </c>
      <c r="AD121" s="20">
        <f>IF(B121="","",ROUND((V121+IF(AC121="Yes",IF(I121="",0,I121),0))*AA121+AB121,2))</f>
        <v>0</v>
      </c>
      <c r="AE121" s="20">
        <f>IF(B121="","",IF(K121&lt;&gt;"",K121,AD121))</f>
        <v>0</v>
      </c>
      <c r="AF121" s="20">
        <f>IF(B121="","",IF(K121="","",ROUND(K121-AD121,2)))</f>
        <v>0</v>
      </c>
      <c r="AG121" s="20">
        <f>IF(B121="","",ROUND(V121-Y121-AE121-Z121,2))</f>
        <v>0</v>
      </c>
      <c r="AH121" s="33">
        <f>IF(B121="","",IF(OR(V121="",V121=0),"",AG121/V121))</f>
        <v>0</v>
      </c>
      <c r="AI121" s="33">
        <f>IF(C121="","",IFERROR(INDEX(Products!$AW$5:$AW$304,MATCH(C121,Products!$A$5:$A$304,0)),""))</f>
        <v>0</v>
      </c>
      <c r="AJ121" s="33">
        <f>IF(B121="","",IF(OR(AH121="",AI121=""),"",AH121-AI121))</f>
        <v>0</v>
      </c>
      <c r="AK121" s="41">
        <f>IF(B121="","",IFERROR(ROUND(IF(D121="",0,D121)*INDEX(Products!$X$5:$X$304,MATCH(C121,Products!$A$5:$A$304,0))/60,2),""))</f>
        <v>0</v>
      </c>
      <c r="AL121" s="20">
        <f>IF(B121="","",IF(OR(AK121="",AK121=0),"",ROUND(AG121/AK121,2)))</f>
        <v>0</v>
      </c>
      <c r="AM121" s="43">
        <f>IF(B121="","",IF(C121="","Add - which product?",IF(AG121&lt;0,"Loss - this order cost you money",IF(M121="Refunded","Refunded - check why",IF(AND(AF121&lt;&gt;"",AF121&gt;0.25),"Check - fees higher than your settings",IF(Z121&gt;1,"Check - postage is eating the margin",IF(AND(AH121&lt;&gt;"",AH121&lt;MarginWarning),"Low margin on this order","OK")))))) )</f>
        <v>0</v>
      </c>
    </row>
    <row r="122" spans="1:39">
      <c r="A122" s="38">
        <f>IF(B122="","",SalePrefix&amp;TEXT(ROW()-4,"0000"))</f>
        <v>0</v>
      </c>
      <c r="Q122" s="13">
        <f>IF(C122="","",IFERROR(INDEX(Products!$B$5:$B$304,MATCH(C122,Products!$A$5:$A$304,0)),"Bundle or deleted"))</f>
        <v>0</v>
      </c>
      <c r="R122" s="13">
        <f>IF(B122="","",TEXT(B122,"yyyy-mm"))</f>
        <v>0</v>
      </c>
      <c r="S122" s="20">
        <f>IF(C122="","",IFERROR(INDEX(Products!$AR$5:$AR$304,MATCH(C122,Products!$A$5:$A$304,0)),""))</f>
        <v>0</v>
      </c>
      <c r="T122" s="20">
        <f>IF(B122="","",IF(F122&lt;&gt;"",F122,IF(S122="",0,S122)))</f>
        <v>0</v>
      </c>
      <c r="U122" s="20">
        <f>IF(B122="","",ROUND(IF(D122="",0,D122)*T122,2))</f>
        <v>0</v>
      </c>
      <c r="V122" s="20">
        <f>IF(B122="","",ROUND(U122-IF(G122="",0,G122)-IF(L122="",0,L122),2))</f>
        <v>0</v>
      </c>
      <c r="W122" s="20">
        <f>IF(C122="","",IFERROR(INDEX(Products!$AT$5:$AT$304,MATCH(C122,Products!$A$5:$A$304,0)),""))</f>
        <v>0</v>
      </c>
      <c r="X122" s="20">
        <f>IF(C122="","",IFERROR(INDEX(Products!$AG$5:$AG$304,MATCH(C122,Products!$A$5:$A$304,0)),""))</f>
        <v>0</v>
      </c>
      <c r="Y122" s="20">
        <f>IF(B122="","",ROUND(IF(D122="",0,D122)*MAX(0,IF(W122="",0,W122)-IF(X122="",0,X122)),2))</f>
        <v>0</v>
      </c>
      <c r="Z122" s="20">
        <f>IF(B122="","",ROUND(MAX(0,IF(J122="",0,J122)-IF(I122="",0,I122)),2))</f>
        <v>0</v>
      </c>
      <c r="AA122" s="33">
        <f>IF(B122="","",IFERROR(INDEX(Channels!$S$5:$S$18,MATCH(IF(E122="",DefaultChannel,E122),Channels!$A$5:$A$18,0)),0))</f>
        <v>0</v>
      </c>
      <c r="AB122" s="20">
        <f>IF(B122="","",IFERROR(INDEX(Channels!$T$5:$T$18,MATCH(IF(E122="",DefaultChannel,E122),Channels!$A$5:$A$18,0)),0))</f>
        <v>0</v>
      </c>
      <c r="AC122" s="42">
        <f>IF(B122="","",IFERROR(INDEX(Channels!$O$5:$O$18,MATCH(IF(E122="",DefaultChannel,E122),Channels!$A$5:$A$18,0)),"No"))</f>
        <v>0</v>
      </c>
      <c r="AD122" s="20">
        <f>IF(B122="","",ROUND((V122+IF(AC122="Yes",IF(I122="",0,I122),0))*AA122+AB122,2))</f>
        <v>0</v>
      </c>
      <c r="AE122" s="20">
        <f>IF(B122="","",IF(K122&lt;&gt;"",K122,AD122))</f>
        <v>0</v>
      </c>
      <c r="AF122" s="20">
        <f>IF(B122="","",IF(K122="","",ROUND(K122-AD122,2)))</f>
        <v>0</v>
      </c>
      <c r="AG122" s="20">
        <f>IF(B122="","",ROUND(V122-Y122-AE122-Z122,2))</f>
        <v>0</v>
      </c>
      <c r="AH122" s="33">
        <f>IF(B122="","",IF(OR(V122="",V122=0),"",AG122/V122))</f>
        <v>0</v>
      </c>
      <c r="AI122" s="33">
        <f>IF(C122="","",IFERROR(INDEX(Products!$AW$5:$AW$304,MATCH(C122,Products!$A$5:$A$304,0)),""))</f>
        <v>0</v>
      </c>
      <c r="AJ122" s="33">
        <f>IF(B122="","",IF(OR(AH122="",AI122=""),"",AH122-AI122))</f>
        <v>0</v>
      </c>
      <c r="AK122" s="41">
        <f>IF(B122="","",IFERROR(ROUND(IF(D122="",0,D122)*INDEX(Products!$X$5:$X$304,MATCH(C122,Products!$A$5:$A$304,0))/60,2),""))</f>
        <v>0</v>
      </c>
      <c r="AL122" s="20">
        <f>IF(B122="","",IF(OR(AK122="",AK122=0),"",ROUND(AG122/AK122,2)))</f>
        <v>0</v>
      </c>
      <c r="AM122" s="43">
        <f>IF(B122="","",IF(C122="","Add - which product?",IF(AG122&lt;0,"Loss - this order cost you money",IF(M122="Refunded","Refunded - check why",IF(AND(AF122&lt;&gt;"",AF122&gt;0.25),"Check - fees higher than your settings",IF(Z122&gt;1,"Check - postage is eating the margin",IF(AND(AH122&lt;&gt;"",AH122&lt;MarginWarning),"Low margin on this order","OK")))))) )</f>
        <v>0</v>
      </c>
    </row>
    <row r="123" spans="1:39">
      <c r="A123" s="38">
        <f>IF(B123="","",SalePrefix&amp;TEXT(ROW()-4,"0000"))</f>
        <v>0</v>
      </c>
      <c r="Q123" s="13">
        <f>IF(C123="","",IFERROR(INDEX(Products!$B$5:$B$304,MATCH(C123,Products!$A$5:$A$304,0)),"Bundle or deleted"))</f>
        <v>0</v>
      </c>
      <c r="R123" s="13">
        <f>IF(B123="","",TEXT(B123,"yyyy-mm"))</f>
        <v>0</v>
      </c>
      <c r="S123" s="20">
        <f>IF(C123="","",IFERROR(INDEX(Products!$AR$5:$AR$304,MATCH(C123,Products!$A$5:$A$304,0)),""))</f>
        <v>0</v>
      </c>
      <c r="T123" s="20">
        <f>IF(B123="","",IF(F123&lt;&gt;"",F123,IF(S123="",0,S123)))</f>
        <v>0</v>
      </c>
      <c r="U123" s="20">
        <f>IF(B123="","",ROUND(IF(D123="",0,D123)*T123,2))</f>
        <v>0</v>
      </c>
      <c r="V123" s="20">
        <f>IF(B123="","",ROUND(U123-IF(G123="",0,G123)-IF(L123="",0,L123),2))</f>
        <v>0</v>
      </c>
      <c r="W123" s="20">
        <f>IF(C123="","",IFERROR(INDEX(Products!$AT$5:$AT$304,MATCH(C123,Products!$A$5:$A$304,0)),""))</f>
        <v>0</v>
      </c>
      <c r="X123" s="20">
        <f>IF(C123="","",IFERROR(INDEX(Products!$AG$5:$AG$304,MATCH(C123,Products!$A$5:$A$304,0)),""))</f>
        <v>0</v>
      </c>
      <c r="Y123" s="20">
        <f>IF(B123="","",ROUND(IF(D123="",0,D123)*MAX(0,IF(W123="",0,W123)-IF(X123="",0,X123)),2))</f>
        <v>0</v>
      </c>
      <c r="Z123" s="20">
        <f>IF(B123="","",ROUND(MAX(0,IF(J123="",0,J123)-IF(I123="",0,I123)),2))</f>
        <v>0</v>
      </c>
      <c r="AA123" s="33">
        <f>IF(B123="","",IFERROR(INDEX(Channels!$S$5:$S$18,MATCH(IF(E123="",DefaultChannel,E123),Channels!$A$5:$A$18,0)),0))</f>
        <v>0</v>
      </c>
      <c r="AB123" s="20">
        <f>IF(B123="","",IFERROR(INDEX(Channels!$T$5:$T$18,MATCH(IF(E123="",DefaultChannel,E123),Channels!$A$5:$A$18,0)),0))</f>
        <v>0</v>
      </c>
      <c r="AC123" s="42">
        <f>IF(B123="","",IFERROR(INDEX(Channels!$O$5:$O$18,MATCH(IF(E123="",DefaultChannel,E123),Channels!$A$5:$A$18,0)),"No"))</f>
        <v>0</v>
      </c>
      <c r="AD123" s="20">
        <f>IF(B123="","",ROUND((V123+IF(AC123="Yes",IF(I123="",0,I123),0))*AA123+AB123,2))</f>
        <v>0</v>
      </c>
      <c r="AE123" s="20">
        <f>IF(B123="","",IF(K123&lt;&gt;"",K123,AD123))</f>
        <v>0</v>
      </c>
      <c r="AF123" s="20">
        <f>IF(B123="","",IF(K123="","",ROUND(K123-AD123,2)))</f>
        <v>0</v>
      </c>
      <c r="AG123" s="20">
        <f>IF(B123="","",ROUND(V123-Y123-AE123-Z123,2))</f>
        <v>0</v>
      </c>
      <c r="AH123" s="33">
        <f>IF(B123="","",IF(OR(V123="",V123=0),"",AG123/V123))</f>
        <v>0</v>
      </c>
      <c r="AI123" s="33">
        <f>IF(C123="","",IFERROR(INDEX(Products!$AW$5:$AW$304,MATCH(C123,Products!$A$5:$A$304,0)),""))</f>
        <v>0</v>
      </c>
      <c r="AJ123" s="33">
        <f>IF(B123="","",IF(OR(AH123="",AI123=""),"",AH123-AI123))</f>
        <v>0</v>
      </c>
      <c r="AK123" s="41">
        <f>IF(B123="","",IFERROR(ROUND(IF(D123="",0,D123)*INDEX(Products!$X$5:$X$304,MATCH(C123,Products!$A$5:$A$304,0))/60,2),""))</f>
        <v>0</v>
      </c>
      <c r="AL123" s="20">
        <f>IF(B123="","",IF(OR(AK123="",AK123=0),"",ROUND(AG123/AK123,2)))</f>
        <v>0</v>
      </c>
      <c r="AM123" s="43">
        <f>IF(B123="","",IF(C123="","Add - which product?",IF(AG123&lt;0,"Loss - this order cost you money",IF(M123="Refunded","Refunded - check why",IF(AND(AF123&lt;&gt;"",AF123&gt;0.25),"Check - fees higher than your settings",IF(Z123&gt;1,"Check - postage is eating the margin",IF(AND(AH123&lt;&gt;"",AH123&lt;MarginWarning),"Low margin on this order","OK")))))) )</f>
        <v>0</v>
      </c>
    </row>
    <row r="124" spans="1:39">
      <c r="A124" s="38">
        <f>IF(B124="","",SalePrefix&amp;TEXT(ROW()-4,"0000"))</f>
        <v>0</v>
      </c>
      <c r="Q124" s="13">
        <f>IF(C124="","",IFERROR(INDEX(Products!$B$5:$B$304,MATCH(C124,Products!$A$5:$A$304,0)),"Bundle or deleted"))</f>
        <v>0</v>
      </c>
      <c r="R124" s="13">
        <f>IF(B124="","",TEXT(B124,"yyyy-mm"))</f>
        <v>0</v>
      </c>
      <c r="S124" s="20">
        <f>IF(C124="","",IFERROR(INDEX(Products!$AR$5:$AR$304,MATCH(C124,Products!$A$5:$A$304,0)),""))</f>
        <v>0</v>
      </c>
      <c r="T124" s="20">
        <f>IF(B124="","",IF(F124&lt;&gt;"",F124,IF(S124="",0,S124)))</f>
        <v>0</v>
      </c>
      <c r="U124" s="20">
        <f>IF(B124="","",ROUND(IF(D124="",0,D124)*T124,2))</f>
        <v>0</v>
      </c>
      <c r="V124" s="20">
        <f>IF(B124="","",ROUND(U124-IF(G124="",0,G124)-IF(L124="",0,L124),2))</f>
        <v>0</v>
      </c>
      <c r="W124" s="20">
        <f>IF(C124="","",IFERROR(INDEX(Products!$AT$5:$AT$304,MATCH(C124,Products!$A$5:$A$304,0)),""))</f>
        <v>0</v>
      </c>
      <c r="X124" s="20">
        <f>IF(C124="","",IFERROR(INDEX(Products!$AG$5:$AG$304,MATCH(C124,Products!$A$5:$A$304,0)),""))</f>
        <v>0</v>
      </c>
      <c r="Y124" s="20">
        <f>IF(B124="","",ROUND(IF(D124="",0,D124)*MAX(0,IF(W124="",0,W124)-IF(X124="",0,X124)),2))</f>
        <v>0</v>
      </c>
      <c r="Z124" s="20">
        <f>IF(B124="","",ROUND(MAX(0,IF(J124="",0,J124)-IF(I124="",0,I124)),2))</f>
        <v>0</v>
      </c>
      <c r="AA124" s="33">
        <f>IF(B124="","",IFERROR(INDEX(Channels!$S$5:$S$18,MATCH(IF(E124="",DefaultChannel,E124),Channels!$A$5:$A$18,0)),0))</f>
        <v>0</v>
      </c>
      <c r="AB124" s="20">
        <f>IF(B124="","",IFERROR(INDEX(Channels!$T$5:$T$18,MATCH(IF(E124="",DefaultChannel,E124),Channels!$A$5:$A$18,0)),0))</f>
        <v>0</v>
      </c>
      <c r="AC124" s="42">
        <f>IF(B124="","",IFERROR(INDEX(Channels!$O$5:$O$18,MATCH(IF(E124="",DefaultChannel,E124),Channels!$A$5:$A$18,0)),"No"))</f>
        <v>0</v>
      </c>
      <c r="AD124" s="20">
        <f>IF(B124="","",ROUND((V124+IF(AC124="Yes",IF(I124="",0,I124),0))*AA124+AB124,2))</f>
        <v>0</v>
      </c>
      <c r="AE124" s="20">
        <f>IF(B124="","",IF(K124&lt;&gt;"",K124,AD124))</f>
        <v>0</v>
      </c>
      <c r="AF124" s="20">
        <f>IF(B124="","",IF(K124="","",ROUND(K124-AD124,2)))</f>
        <v>0</v>
      </c>
      <c r="AG124" s="20">
        <f>IF(B124="","",ROUND(V124-Y124-AE124-Z124,2))</f>
        <v>0</v>
      </c>
      <c r="AH124" s="33">
        <f>IF(B124="","",IF(OR(V124="",V124=0),"",AG124/V124))</f>
        <v>0</v>
      </c>
      <c r="AI124" s="33">
        <f>IF(C124="","",IFERROR(INDEX(Products!$AW$5:$AW$304,MATCH(C124,Products!$A$5:$A$304,0)),""))</f>
        <v>0</v>
      </c>
      <c r="AJ124" s="33">
        <f>IF(B124="","",IF(OR(AH124="",AI124=""),"",AH124-AI124))</f>
        <v>0</v>
      </c>
      <c r="AK124" s="41">
        <f>IF(B124="","",IFERROR(ROUND(IF(D124="",0,D124)*INDEX(Products!$X$5:$X$304,MATCH(C124,Products!$A$5:$A$304,0))/60,2),""))</f>
        <v>0</v>
      </c>
      <c r="AL124" s="20">
        <f>IF(B124="","",IF(OR(AK124="",AK124=0),"",ROUND(AG124/AK124,2)))</f>
        <v>0</v>
      </c>
      <c r="AM124" s="43">
        <f>IF(B124="","",IF(C124="","Add - which product?",IF(AG124&lt;0,"Loss - this order cost you money",IF(M124="Refunded","Refunded - check why",IF(AND(AF124&lt;&gt;"",AF124&gt;0.25),"Check - fees higher than your settings",IF(Z124&gt;1,"Check - postage is eating the margin",IF(AND(AH124&lt;&gt;"",AH124&lt;MarginWarning),"Low margin on this order","OK")))))) )</f>
        <v>0</v>
      </c>
    </row>
    <row r="125" spans="1:39">
      <c r="A125" s="38">
        <f>IF(B125="","",SalePrefix&amp;TEXT(ROW()-4,"0000"))</f>
        <v>0</v>
      </c>
      <c r="Q125" s="13">
        <f>IF(C125="","",IFERROR(INDEX(Products!$B$5:$B$304,MATCH(C125,Products!$A$5:$A$304,0)),"Bundle or deleted"))</f>
        <v>0</v>
      </c>
      <c r="R125" s="13">
        <f>IF(B125="","",TEXT(B125,"yyyy-mm"))</f>
        <v>0</v>
      </c>
      <c r="S125" s="20">
        <f>IF(C125="","",IFERROR(INDEX(Products!$AR$5:$AR$304,MATCH(C125,Products!$A$5:$A$304,0)),""))</f>
        <v>0</v>
      </c>
      <c r="T125" s="20">
        <f>IF(B125="","",IF(F125&lt;&gt;"",F125,IF(S125="",0,S125)))</f>
        <v>0</v>
      </c>
      <c r="U125" s="20">
        <f>IF(B125="","",ROUND(IF(D125="",0,D125)*T125,2))</f>
        <v>0</v>
      </c>
      <c r="V125" s="20">
        <f>IF(B125="","",ROUND(U125-IF(G125="",0,G125)-IF(L125="",0,L125),2))</f>
        <v>0</v>
      </c>
      <c r="W125" s="20">
        <f>IF(C125="","",IFERROR(INDEX(Products!$AT$5:$AT$304,MATCH(C125,Products!$A$5:$A$304,0)),""))</f>
        <v>0</v>
      </c>
      <c r="X125" s="20">
        <f>IF(C125="","",IFERROR(INDEX(Products!$AG$5:$AG$304,MATCH(C125,Products!$A$5:$A$304,0)),""))</f>
        <v>0</v>
      </c>
      <c r="Y125" s="20">
        <f>IF(B125="","",ROUND(IF(D125="",0,D125)*MAX(0,IF(W125="",0,W125)-IF(X125="",0,X125)),2))</f>
        <v>0</v>
      </c>
      <c r="Z125" s="20">
        <f>IF(B125="","",ROUND(MAX(0,IF(J125="",0,J125)-IF(I125="",0,I125)),2))</f>
        <v>0</v>
      </c>
      <c r="AA125" s="33">
        <f>IF(B125="","",IFERROR(INDEX(Channels!$S$5:$S$18,MATCH(IF(E125="",DefaultChannel,E125),Channels!$A$5:$A$18,0)),0))</f>
        <v>0</v>
      </c>
      <c r="AB125" s="20">
        <f>IF(B125="","",IFERROR(INDEX(Channels!$T$5:$T$18,MATCH(IF(E125="",DefaultChannel,E125),Channels!$A$5:$A$18,0)),0))</f>
        <v>0</v>
      </c>
      <c r="AC125" s="42">
        <f>IF(B125="","",IFERROR(INDEX(Channels!$O$5:$O$18,MATCH(IF(E125="",DefaultChannel,E125),Channels!$A$5:$A$18,0)),"No"))</f>
        <v>0</v>
      </c>
      <c r="AD125" s="20">
        <f>IF(B125="","",ROUND((V125+IF(AC125="Yes",IF(I125="",0,I125),0))*AA125+AB125,2))</f>
        <v>0</v>
      </c>
      <c r="AE125" s="20">
        <f>IF(B125="","",IF(K125&lt;&gt;"",K125,AD125))</f>
        <v>0</v>
      </c>
      <c r="AF125" s="20">
        <f>IF(B125="","",IF(K125="","",ROUND(K125-AD125,2)))</f>
        <v>0</v>
      </c>
      <c r="AG125" s="20">
        <f>IF(B125="","",ROUND(V125-Y125-AE125-Z125,2))</f>
        <v>0</v>
      </c>
      <c r="AH125" s="33">
        <f>IF(B125="","",IF(OR(V125="",V125=0),"",AG125/V125))</f>
        <v>0</v>
      </c>
      <c r="AI125" s="33">
        <f>IF(C125="","",IFERROR(INDEX(Products!$AW$5:$AW$304,MATCH(C125,Products!$A$5:$A$304,0)),""))</f>
        <v>0</v>
      </c>
      <c r="AJ125" s="33">
        <f>IF(B125="","",IF(OR(AH125="",AI125=""),"",AH125-AI125))</f>
        <v>0</v>
      </c>
      <c r="AK125" s="41">
        <f>IF(B125="","",IFERROR(ROUND(IF(D125="",0,D125)*INDEX(Products!$X$5:$X$304,MATCH(C125,Products!$A$5:$A$304,0))/60,2),""))</f>
        <v>0</v>
      </c>
      <c r="AL125" s="20">
        <f>IF(B125="","",IF(OR(AK125="",AK125=0),"",ROUND(AG125/AK125,2)))</f>
        <v>0</v>
      </c>
      <c r="AM125" s="43">
        <f>IF(B125="","",IF(C125="","Add - which product?",IF(AG125&lt;0,"Loss - this order cost you money",IF(M125="Refunded","Refunded - check why",IF(AND(AF125&lt;&gt;"",AF125&gt;0.25),"Check - fees higher than your settings",IF(Z125&gt;1,"Check - postage is eating the margin",IF(AND(AH125&lt;&gt;"",AH125&lt;MarginWarning),"Low margin on this order","OK")))))) )</f>
        <v>0</v>
      </c>
    </row>
    <row r="126" spans="1:39">
      <c r="A126" s="38">
        <f>IF(B126="","",SalePrefix&amp;TEXT(ROW()-4,"0000"))</f>
        <v>0</v>
      </c>
      <c r="Q126" s="13">
        <f>IF(C126="","",IFERROR(INDEX(Products!$B$5:$B$304,MATCH(C126,Products!$A$5:$A$304,0)),"Bundle or deleted"))</f>
        <v>0</v>
      </c>
      <c r="R126" s="13">
        <f>IF(B126="","",TEXT(B126,"yyyy-mm"))</f>
        <v>0</v>
      </c>
      <c r="S126" s="20">
        <f>IF(C126="","",IFERROR(INDEX(Products!$AR$5:$AR$304,MATCH(C126,Products!$A$5:$A$304,0)),""))</f>
        <v>0</v>
      </c>
      <c r="T126" s="20">
        <f>IF(B126="","",IF(F126&lt;&gt;"",F126,IF(S126="",0,S126)))</f>
        <v>0</v>
      </c>
      <c r="U126" s="20">
        <f>IF(B126="","",ROUND(IF(D126="",0,D126)*T126,2))</f>
        <v>0</v>
      </c>
      <c r="V126" s="20">
        <f>IF(B126="","",ROUND(U126-IF(G126="",0,G126)-IF(L126="",0,L126),2))</f>
        <v>0</v>
      </c>
      <c r="W126" s="20">
        <f>IF(C126="","",IFERROR(INDEX(Products!$AT$5:$AT$304,MATCH(C126,Products!$A$5:$A$304,0)),""))</f>
        <v>0</v>
      </c>
      <c r="X126" s="20">
        <f>IF(C126="","",IFERROR(INDEX(Products!$AG$5:$AG$304,MATCH(C126,Products!$A$5:$A$304,0)),""))</f>
        <v>0</v>
      </c>
      <c r="Y126" s="20">
        <f>IF(B126="","",ROUND(IF(D126="",0,D126)*MAX(0,IF(W126="",0,W126)-IF(X126="",0,X126)),2))</f>
        <v>0</v>
      </c>
      <c r="Z126" s="20">
        <f>IF(B126="","",ROUND(MAX(0,IF(J126="",0,J126)-IF(I126="",0,I126)),2))</f>
        <v>0</v>
      </c>
      <c r="AA126" s="33">
        <f>IF(B126="","",IFERROR(INDEX(Channels!$S$5:$S$18,MATCH(IF(E126="",DefaultChannel,E126),Channels!$A$5:$A$18,0)),0))</f>
        <v>0</v>
      </c>
      <c r="AB126" s="20">
        <f>IF(B126="","",IFERROR(INDEX(Channels!$T$5:$T$18,MATCH(IF(E126="",DefaultChannel,E126),Channels!$A$5:$A$18,0)),0))</f>
        <v>0</v>
      </c>
      <c r="AC126" s="42">
        <f>IF(B126="","",IFERROR(INDEX(Channels!$O$5:$O$18,MATCH(IF(E126="",DefaultChannel,E126),Channels!$A$5:$A$18,0)),"No"))</f>
        <v>0</v>
      </c>
      <c r="AD126" s="20">
        <f>IF(B126="","",ROUND((V126+IF(AC126="Yes",IF(I126="",0,I126),0))*AA126+AB126,2))</f>
        <v>0</v>
      </c>
      <c r="AE126" s="20">
        <f>IF(B126="","",IF(K126&lt;&gt;"",K126,AD126))</f>
        <v>0</v>
      </c>
      <c r="AF126" s="20">
        <f>IF(B126="","",IF(K126="","",ROUND(K126-AD126,2)))</f>
        <v>0</v>
      </c>
      <c r="AG126" s="20">
        <f>IF(B126="","",ROUND(V126-Y126-AE126-Z126,2))</f>
        <v>0</v>
      </c>
      <c r="AH126" s="33">
        <f>IF(B126="","",IF(OR(V126="",V126=0),"",AG126/V126))</f>
        <v>0</v>
      </c>
      <c r="AI126" s="33">
        <f>IF(C126="","",IFERROR(INDEX(Products!$AW$5:$AW$304,MATCH(C126,Products!$A$5:$A$304,0)),""))</f>
        <v>0</v>
      </c>
      <c r="AJ126" s="33">
        <f>IF(B126="","",IF(OR(AH126="",AI126=""),"",AH126-AI126))</f>
        <v>0</v>
      </c>
      <c r="AK126" s="41">
        <f>IF(B126="","",IFERROR(ROUND(IF(D126="",0,D126)*INDEX(Products!$X$5:$X$304,MATCH(C126,Products!$A$5:$A$304,0))/60,2),""))</f>
        <v>0</v>
      </c>
      <c r="AL126" s="20">
        <f>IF(B126="","",IF(OR(AK126="",AK126=0),"",ROUND(AG126/AK126,2)))</f>
        <v>0</v>
      </c>
      <c r="AM126" s="43">
        <f>IF(B126="","",IF(C126="","Add - which product?",IF(AG126&lt;0,"Loss - this order cost you money",IF(M126="Refunded","Refunded - check why",IF(AND(AF126&lt;&gt;"",AF126&gt;0.25),"Check - fees higher than your settings",IF(Z126&gt;1,"Check - postage is eating the margin",IF(AND(AH126&lt;&gt;"",AH126&lt;MarginWarning),"Low margin on this order","OK")))))) )</f>
        <v>0</v>
      </c>
    </row>
    <row r="127" spans="1:39">
      <c r="A127" s="38">
        <f>IF(B127="","",SalePrefix&amp;TEXT(ROW()-4,"0000"))</f>
        <v>0</v>
      </c>
      <c r="Q127" s="13">
        <f>IF(C127="","",IFERROR(INDEX(Products!$B$5:$B$304,MATCH(C127,Products!$A$5:$A$304,0)),"Bundle or deleted"))</f>
        <v>0</v>
      </c>
      <c r="R127" s="13">
        <f>IF(B127="","",TEXT(B127,"yyyy-mm"))</f>
        <v>0</v>
      </c>
      <c r="S127" s="20">
        <f>IF(C127="","",IFERROR(INDEX(Products!$AR$5:$AR$304,MATCH(C127,Products!$A$5:$A$304,0)),""))</f>
        <v>0</v>
      </c>
      <c r="T127" s="20">
        <f>IF(B127="","",IF(F127&lt;&gt;"",F127,IF(S127="",0,S127)))</f>
        <v>0</v>
      </c>
      <c r="U127" s="20">
        <f>IF(B127="","",ROUND(IF(D127="",0,D127)*T127,2))</f>
        <v>0</v>
      </c>
      <c r="V127" s="20">
        <f>IF(B127="","",ROUND(U127-IF(G127="",0,G127)-IF(L127="",0,L127),2))</f>
        <v>0</v>
      </c>
      <c r="W127" s="20">
        <f>IF(C127="","",IFERROR(INDEX(Products!$AT$5:$AT$304,MATCH(C127,Products!$A$5:$A$304,0)),""))</f>
        <v>0</v>
      </c>
      <c r="X127" s="20">
        <f>IF(C127="","",IFERROR(INDEX(Products!$AG$5:$AG$304,MATCH(C127,Products!$A$5:$A$304,0)),""))</f>
        <v>0</v>
      </c>
      <c r="Y127" s="20">
        <f>IF(B127="","",ROUND(IF(D127="",0,D127)*MAX(0,IF(W127="",0,W127)-IF(X127="",0,X127)),2))</f>
        <v>0</v>
      </c>
      <c r="Z127" s="20">
        <f>IF(B127="","",ROUND(MAX(0,IF(J127="",0,J127)-IF(I127="",0,I127)),2))</f>
        <v>0</v>
      </c>
      <c r="AA127" s="33">
        <f>IF(B127="","",IFERROR(INDEX(Channels!$S$5:$S$18,MATCH(IF(E127="",DefaultChannel,E127),Channels!$A$5:$A$18,0)),0))</f>
        <v>0</v>
      </c>
      <c r="AB127" s="20">
        <f>IF(B127="","",IFERROR(INDEX(Channels!$T$5:$T$18,MATCH(IF(E127="",DefaultChannel,E127),Channels!$A$5:$A$18,0)),0))</f>
        <v>0</v>
      </c>
      <c r="AC127" s="42">
        <f>IF(B127="","",IFERROR(INDEX(Channels!$O$5:$O$18,MATCH(IF(E127="",DefaultChannel,E127),Channels!$A$5:$A$18,0)),"No"))</f>
        <v>0</v>
      </c>
      <c r="AD127" s="20">
        <f>IF(B127="","",ROUND((V127+IF(AC127="Yes",IF(I127="",0,I127),0))*AA127+AB127,2))</f>
        <v>0</v>
      </c>
      <c r="AE127" s="20">
        <f>IF(B127="","",IF(K127&lt;&gt;"",K127,AD127))</f>
        <v>0</v>
      </c>
      <c r="AF127" s="20">
        <f>IF(B127="","",IF(K127="","",ROUND(K127-AD127,2)))</f>
        <v>0</v>
      </c>
      <c r="AG127" s="20">
        <f>IF(B127="","",ROUND(V127-Y127-AE127-Z127,2))</f>
        <v>0</v>
      </c>
      <c r="AH127" s="33">
        <f>IF(B127="","",IF(OR(V127="",V127=0),"",AG127/V127))</f>
        <v>0</v>
      </c>
      <c r="AI127" s="33">
        <f>IF(C127="","",IFERROR(INDEX(Products!$AW$5:$AW$304,MATCH(C127,Products!$A$5:$A$304,0)),""))</f>
        <v>0</v>
      </c>
      <c r="AJ127" s="33">
        <f>IF(B127="","",IF(OR(AH127="",AI127=""),"",AH127-AI127))</f>
        <v>0</v>
      </c>
      <c r="AK127" s="41">
        <f>IF(B127="","",IFERROR(ROUND(IF(D127="",0,D127)*INDEX(Products!$X$5:$X$304,MATCH(C127,Products!$A$5:$A$304,0))/60,2),""))</f>
        <v>0</v>
      </c>
      <c r="AL127" s="20">
        <f>IF(B127="","",IF(OR(AK127="",AK127=0),"",ROUND(AG127/AK127,2)))</f>
        <v>0</v>
      </c>
      <c r="AM127" s="43">
        <f>IF(B127="","",IF(C127="","Add - which product?",IF(AG127&lt;0,"Loss - this order cost you money",IF(M127="Refunded","Refunded - check why",IF(AND(AF127&lt;&gt;"",AF127&gt;0.25),"Check - fees higher than your settings",IF(Z127&gt;1,"Check - postage is eating the margin",IF(AND(AH127&lt;&gt;"",AH127&lt;MarginWarning),"Low margin on this order","OK")))))) )</f>
        <v>0</v>
      </c>
    </row>
    <row r="128" spans="1:39">
      <c r="A128" s="38">
        <f>IF(B128="","",SalePrefix&amp;TEXT(ROW()-4,"0000"))</f>
        <v>0</v>
      </c>
      <c r="Q128" s="13">
        <f>IF(C128="","",IFERROR(INDEX(Products!$B$5:$B$304,MATCH(C128,Products!$A$5:$A$304,0)),"Bundle or deleted"))</f>
        <v>0</v>
      </c>
      <c r="R128" s="13">
        <f>IF(B128="","",TEXT(B128,"yyyy-mm"))</f>
        <v>0</v>
      </c>
      <c r="S128" s="20">
        <f>IF(C128="","",IFERROR(INDEX(Products!$AR$5:$AR$304,MATCH(C128,Products!$A$5:$A$304,0)),""))</f>
        <v>0</v>
      </c>
      <c r="T128" s="20">
        <f>IF(B128="","",IF(F128&lt;&gt;"",F128,IF(S128="",0,S128)))</f>
        <v>0</v>
      </c>
      <c r="U128" s="20">
        <f>IF(B128="","",ROUND(IF(D128="",0,D128)*T128,2))</f>
        <v>0</v>
      </c>
      <c r="V128" s="20">
        <f>IF(B128="","",ROUND(U128-IF(G128="",0,G128)-IF(L128="",0,L128),2))</f>
        <v>0</v>
      </c>
      <c r="W128" s="20">
        <f>IF(C128="","",IFERROR(INDEX(Products!$AT$5:$AT$304,MATCH(C128,Products!$A$5:$A$304,0)),""))</f>
        <v>0</v>
      </c>
      <c r="X128" s="20">
        <f>IF(C128="","",IFERROR(INDEX(Products!$AG$5:$AG$304,MATCH(C128,Products!$A$5:$A$304,0)),""))</f>
        <v>0</v>
      </c>
      <c r="Y128" s="20">
        <f>IF(B128="","",ROUND(IF(D128="",0,D128)*MAX(0,IF(W128="",0,W128)-IF(X128="",0,X128)),2))</f>
        <v>0</v>
      </c>
      <c r="Z128" s="20">
        <f>IF(B128="","",ROUND(MAX(0,IF(J128="",0,J128)-IF(I128="",0,I128)),2))</f>
        <v>0</v>
      </c>
      <c r="AA128" s="33">
        <f>IF(B128="","",IFERROR(INDEX(Channels!$S$5:$S$18,MATCH(IF(E128="",DefaultChannel,E128),Channels!$A$5:$A$18,0)),0))</f>
        <v>0</v>
      </c>
      <c r="AB128" s="20">
        <f>IF(B128="","",IFERROR(INDEX(Channels!$T$5:$T$18,MATCH(IF(E128="",DefaultChannel,E128),Channels!$A$5:$A$18,0)),0))</f>
        <v>0</v>
      </c>
      <c r="AC128" s="42">
        <f>IF(B128="","",IFERROR(INDEX(Channels!$O$5:$O$18,MATCH(IF(E128="",DefaultChannel,E128),Channels!$A$5:$A$18,0)),"No"))</f>
        <v>0</v>
      </c>
      <c r="AD128" s="20">
        <f>IF(B128="","",ROUND((V128+IF(AC128="Yes",IF(I128="",0,I128),0))*AA128+AB128,2))</f>
        <v>0</v>
      </c>
      <c r="AE128" s="20">
        <f>IF(B128="","",IF(K128&lt;&gt;"",K128,AD128))</f>
        <v>0</v>
      </c>
      <c r="AF128" s="20">
        <f>IF(B128="","",IF(K128="","",ROUND(K128-AD128,2)))</f>
        <v>0</v>
      </c>
      <c r="AG128" s="20">
        <f>IF(B128="","",ROUND(V128-Y128-AE128-Z128,2))</f>
        <v>0</v>
      </c>
      <c r="AH128" s="33">
        <f>IF(B128="","",IF(OR(V128="",V128=0),"",AG128/V128))</f>
        <v>0</v>
      </c>
      <c r="AI128" s="33">
        <f>IF(C128="","",IFERROR(INDEX(Products!$AW$5:$AW$304,MATCH(C128,Products!$A$5:$A$304,0)),""))</f>
        <v>0</v>
      </c>
      <c r="AJ128" s="33">
        <f>IF(B128="","",IF(OR(AH128="",AI128=""),"",AH128-AI128))</f>
        <v>0</v>
      </c>
      <c r="AK128" s="41">
        <f>IF(B128="","",IFERROR(ROUND(IF(D128="",0,D128)*INDEX(Products!$X$5:$X$304,MATCH(C128,Products!$A$5:$A$304,0))/60,2),""))</f>
        <v>0</v>
      </c>
      <c r="AL128" s="20">
        <f>IF(B128="","",IF(OR(AK128="",AK128=0),"",ROUND(AG128/AK128,2)))</f>
        <v>0</v>
      </c>
      <c r="AM128" s="43">
        <f>IF(B128="","",IF(C128="","Add - which product?",IF(AG128&lt;0,"Loss - this order cost you money",IF(M128="Refunded","Refunded - check why",IF(AND(AF128&lt;&gt;"",AF128&gt;0.25),"Check - fees higher than your settings",IF(Z128&gt;1,"Check - postage is eating the margin",IF(AND(AH128&lt;&gt;"",AH128&lt;MarginWarning),"Low margin on this order","OK")))))) )</f>
        <v>0</v>
      </c>
    </row>
    <row r="129" spans="1:39">
      <c r="A129" s="38">
        <f>IF(B129="","",SalePrefix&amp;TEXT(ROW()-4,"0000"))</f>
        <v>0</v>
      </c>
      <c r="Q129" s="13">
        <f>IF(C129="","",IFERROR(INDEX(Products!$B$5:$B$304,MATCH(C129,Products!$A$5:$A$304,0)),"Bundle or deleted"))</f>
        <v>0</v>
      </c>
      <c r="R129" s="13">
        <f>IF(B129="","",TEXT(B129,"yyyy-mm"))</f>
        <v>0</v>
      </c>
      <c r="S129" s="20">
        <f>IF(C129="","",IFERROR(INDEX(Products!$AR$5:$AR$304,MATCH(C129,Products!$A$5:$A$304,0)),""))</f>
        <v>0</v>
      </c>
      <c r="T129" s="20">
        <f>IF(B129="","",IF(F129&lt;&gt;"",F129,IF(S129="",0,S129)))</f>
        <v>0</v>
      </c>
      <c r="U129" s="20">
        <f>IF(B129="","",ROUND(IF(D129="",0,D129)*T129,2))</f>
        <v>0</v>
      </c>
      <c r="V129" s="20">
        <f>IF(B129="","",ROUND(U129-IF(G129="",0,G129)-IF(L129="",0,L129),2))</f>
        <v>0</v>
      </c>
      <c r="W129" s="20">
        <f>IF(C129="","",IFERROR(INDEX(Products!$AT$5:$AT$304,MATCH(C129,Products!$A$5:$A$304,0)),""))</f>
        <v>0</v>
      </c>
      <c r="X129" s="20">
        <f>IF(C129="","",IFERROR(INDEX(Products!$AG$5:$AG$304,MATCH(C129,Products!$A$5:$A$304,0)),""))</f>
        <v>0</v>
      </c>
      <c r="Y129" s="20">
        <f>IF(B129="","",ROUND(IF(D129="",0,D129)*MAX(0,IF(W129="",0,W129)-IF(X129="",0,X129)),2))</f>
        <v>0</v>
      </c>
      <c r="Z129" s="20">
        <f>IF(B129="","",ROUND(MAX(0,IF(J129="",0,J129)-IF(I129="",0,I129)),2))</f>
        <v>0</v>
      </c>
      <c r="AA129" s="33">
        <f>IF(B129="","",IFERROR(INDEX(Channels!$S$5:$S$18,MATCH(IF(E129="",DefaultChannel,E129),Channels!$A$5:$A$18,0)),0))</f>
        <v>0</v>
      </c>
      <c r="AB129" s="20">
        <f>IF(B129="","",IFERROR(INDEX(Channels!$T$5:$T$18,MATCH(IF(E129="",DefaultChannel,E129),Channels!$A$5:$A$18,0)),0))</f>
        <v>0</v>
      </c>
      <c r="AC129" s="42">
        <f>IF(B129="","",IFERROR(INDEX(Channels!$O$5:$O$18,MATCH(IF(E129="",DefaultChannel,E129),Channels!$A$5:$A$18,0)),"No"))</f>
        <v>0</v>
      </c>
      <c r="AD129" s="20">
        <f>IF(B129="","",ROUND((V129+IF(AC129="Yes",IF(I129="",0,I129),0))*AA129+AB129,2))</f>
        <v>0</v>
      </c>
      <c r="AE129" s="20">
        <f>IF(B129="","",IF(K129&lt;&gt;"",K129,AD129))</f>
        <v>0</v>
      </c>
      <c r="AF129" s="20">
        <f>IF(B129="","",IF(K129="","",ROUND(K129-AD129,2)))</f>
        <v>0</v>
      </c>
      <c r="AG129" s="20">
        <f>IF(B129="","",ROUND(V129-Y129-AE129-Z129,2))</f>
        <v>0</v>
      </c>
      <c r="AH129" s="33">
        <f>IF(B129="","",IF(OR(V129="",V129=0),"",AG129/V129))</f>
        <v>0</v>
      </c>
      <c r="AI129" s="33">
        <f>IF(C129="","",IFERROR(INDEX(Products!$AW$5:$AW$304,MATCH(C129,Products!$A$5:$A$304,0)),""))</f>
        <v>0</v>
      </c>
      <c r="AJ129" s="33">
        <f>IF(B129="","",IF(OR(AH129="",AI129=""),"",AH129-AI129))</f>
        <v>0</v>
      </c>
      <c r="AK129" s="41">
        <f>IF(B129="","",IFERROR(ROUND(IF(D129="",0,D129)*INDEX(Products!$X$5:$X$304,MATCH(C129,Products!$A$5:$A$304,0))/60,2),""))</f>
        <v>0</v>
      </c>
      <c r="AL129" s="20">
        <f>IF(B129="","",IF(OR(AK129="",AK129=0),"",ROUND(AG129/AK129,2)))</f>
        <v>0</v>
      </c>
      <c r="AM129" s="43">
        <f>IF(B129="","",IF(C129="","Add - which product?",IF(AG129&lt;0,"Loss - this order cost you money",IF(M129="Refunded","Refunded - check why",IF(AND(AF129&lt;&gt;"",AF129&gt;0.25),"Check - fees higher than your settings",IF(Z129&gt;1,"Check - postage is eating the margin",IF(AND(AH129&lt;&gt;"",AH129&lt;MarginWarning),"Low margin on this order","OK")))))) )</f>
        <v>0</v>
      </c>
    </row>
    <row r="130" spans="1:39">
      <c r="A130" s="38">
        <f>IF(B130="","",SalePrefix&amp;TEXT(ROW()-4,"0000"))</f>
        <v>0</v>
      </c>
      <c r="Q130" s="13">
        <f>IF(C130="","",IFERROR(INDEX(Products!$B$5:$B$304,MATCH(C130,Products!$A$5:$A$304,0)),"Bundle or deleted"))</f>
        <v>0</v>
      </c>
      <c r="R130" s="13">
        <f>IF(B130="","",TEXT(B130,"yyyy-mm"))</f>
        <v>0</v>
      </c>
      <c r="S130" s="20">
        <f>IF(C130="","",IFERROR(INDEX(Products!$AR$5:$AR$304,MATCH(C130,Products!$A$5:$A$304,0)),""))</f>
        <v>0</v>
      </c>
      <c r="T130" s="20">
        <f>IF(B130="","",IF(F130&lt;&gt;"",F130,IF(S130="",0,S130)))</f>
        <v>0</v>
      </c>
      <c r="U130" s="20">
        <f>IF(B130="","",ROUND(IF(D130="",0,D130)*T130,2))</f>
        <v>0</v>
      </c>
      <c r="V130" s="20">
        <f>IF(B130="","",ROUND(U130-IF(G130="",0,G130)-IF(L130="",0,L130),2))</f>
        <v>0</v>
      </c>
      <c r="W130" s="20">
        <f>IF(C130="","",IFERROR(INDEX(Products!$AT$5:$AT$304,MATCH(C130,Products!$A$5:$A$304,0)),""))</f>
        <v>0</v>
      </c>
      <c r="X130" s="20">
        <f>IF(C130="","",IFERROR(INDEX(Products!$AG$5:$AG$304,MATCH(C130,Products!$A$5:$A$304,0)),""))</f>
        <v>0</v>
      </c>
      <c r="Y130" s="20">
        <f>IF(B130="","",ROUND(IF(D130="",0,D130)*MAX(0,IF(W130="",0,W130)-IF(X130="",0,X130)),2))</f>
        <v>0</v>
      </c>
      <c r="Z130" s="20">
        <f>IF(B130="","",ROUND(MAX(0,IF(J130="",0,J130)-IF(I130="",0,I130)),2))</f>
        <v>0</v>
      </c>
      <c r="AA130" s="33">
        <f>IF(B130="","",IFERROR(INDEX(Channels!$S$5:$S$18,MATCH(IF(E130="",DefaultChannel,E130),Channels!$A$5:$A$18,0)),0))</f>
        <v>0</v>
      </c>
      <c r="AB130" s="20">
        <f>IF(B130="","",IFERROR(INDEX(Channels!$T$5:$T$18,MATCH(IF(E130="",DefaultChannel,E130),Channels!$A$5:$A$18,0)),0))</f>
        <v>0</v>
      </c>
      <c r="AC130" s="42">
        <f>IF(B130="","",IFERROR(INDEX(Channels!$O$5:$O$18,MATCH(IF(E130="",DefaultChannel,E130),Channels!$A$5:$A$18,0)),"No"))</f>
        <v>0</v>
      </c>
      <c r="AD130" s="20">
        <f>IF(B130="","",ROUND((V130+IF(AC130="Yes",IF(I130="",0,I130),0))*AA130+AB130,2))</f>
        <v>0</v>
      </c>
      <c r="AE130" s="20">
        <f>IF(B130="","",IF(K130&lt;&gt;"",K130,AD130))</f>
        <v>0</v>
      </c>
      <c r="AF130" s="20">
        <f>IF(B130="","",IF(K130="","",ROUND(K130-AD130,2)))</f>
        <v>0</v>
      </c>
      <c r="AG130" s="20">
        <f>IF(B130="","",ROUND(V130-Y130-AE130-Z130,2))</f>
        <v>0</v>
      </c>
      <c r="AH130" s="33">
        <f>IF(B130="","",IF(OR(V130="",V130=0),"",AG130/V130))</f>
        <v>0</v>
      </c>
      <c r="AI130" s="33">
        <f>IF(C130="","",IFERROR(INDEX(Products!$AW$5:$AW$304,MATCH(C130,Products!$A$5:$A$304,0)),""))</f>
        <v>0</v>
      </c>
      <c r="AJ130" s="33">
        <f>IF(B130="","",IF(OR(AH130="",AI130=""),"",AH130-AI130))</f>
        <v>0</v>
      </c>
      <c r="AK130" s="41">
        <f>IF(B130="","",IFERROR(ROUND(IF(D130="",0,D130)*INDEX(Products!$X$5:$X$304,MATCH(C130,Products!$A$5:$A$304,0))/60,2),""))</f>
        <v>0</v>
      </c>
      <c r="AL130" s="20">
        <f>IF(B130="","",IF(OR(AK130="",AK130=0),"",ROUND(AG130/AK130,2)))</f>
        <v>0</v>
      </c>
      <c r="AM130" s="43">
        <f>IF(B130="","",IF(C130="","Add - which product?",IF(AG130&lt;0,"Loss - this order cost you money",IF(M130="Refunded","Refunded - check why",IF(AND(AF130&lt;&gt;"",AF130&gt;0.25),"Check - fees higher than your settings",IF(Z130&gt;1,"Check - postage is eating the margin",IF(AND(AH130&lt;&gt;"",AH130&lt;MarginWarning),"Low margin on this order","OK")))))) )</f>
        <v>0</v>
      </c>
    </row>
    <row r="131" spans="1:39">
      <c r="A131" s="38">
        <f>IF(B131="","",SalePrefix&amp;TEXT(ROW()-4,"0000"))</f>
        <v>0</v>
      </c>
      <c r="Q131" s="13">
        <f>IF(C131="","",IFERROR(INDEX(Products!$B$5:$B$304,MATCH(C131,Products!$A$5:$A$304,0)),"Bundle or deleted"))</f>
        <v>0</v>
      </c>
      <c r="R131" s="13">
        <f>IF(B131="","",TEXT(B131,"yyyy-mm"))</f>
        <v>0</v>
      </c>
      <c r="S131" s="20">
        <f>IF(C131="","",IFERROR(INDEX(Products!$AR$5:$AR$304,MATCH(C131,Products!$A$5:$A$304,0)),""))</f>
        <v>0</v>
      </c>
      <c r="T131" s="20">
        <f>IF(B131="","",IF(F131&lt;&gt;"",F131,IF(S131="",0,S131)))</f>
        <v>0</v>
      </c>
      <c r="U131" s="20">
        <f>IF(B131="","",ROUND(IF(D131="",0,D131)*T131,2))</f>
        <v>0</v>
      </c>
      <c r="V131" s="20">
        <f>IF(B131="","",ROUND(U131-IF(G131="",0,G131)-IF(L131="",0,L131),2))</f>
        <v>0</v>
      </c>
      <c r="W131" s="20">
        <f>IF(C131="","",IFERROR(INDEX(Products!$AT$5:$AT$304,MATCH(C131,Products!$A$5:$A$304,0)),""))</f>
        <v>0</v>
      </c>
      <c r="X131" s="20">
        <f>IF(C131="","",IFERROR(INDEX(Products!$AG$5:$AG$304,MATCH(C131,Products!$A$5:$A$304,0)),""))</f>
        <v>0</v>
      </c>
      <c r="Y131" s="20">
        <f>IF(B131="","",ROUND(IF(D131="",0,D131)*MAX(0,IF(W131="",0,W131)-IF(X131="",0,X131)),2))</f>
        <v>0</v>
      </c>
      <c r="Z131" s="20">
        <f>IF(B131="","",ROUND(MAX(0,IF(J131="",0,J131)-IF(I131="",0,I131)),2))</f>
        <v>0</v>
      </c>
      <c r="AA131" s="33">
        <f>IF(B131="","",IFERROR(INDEX(Channels!$S$5:$S$18,MATCH(IF(E131="",DefaultChannel,E131),Channels!$A$5:$A$18,0)),0))</f>
        <v>0</v>
      </c>
      <c r="AB131" s="20">
        <f>IF(B131="","",IFERROR(INDEX(Channels!$T$5:$T$18,MATCH(IF(E131="",DefaultChannel,E131),Channels!$A$5:$A$18,0)),0))</f>
        <v>0</v>
      </c>
      <c r="AC131" s="42">
        <f>IF(B131="","",IFERROR(INDEX(Channels!$O$5:$O$18,MATCH(IF(E131="",DefaultChannel,E131),Channels!$A$5:$A$18,0)),"No"))</f>
        <v>0</v>
      </c>
      <c r="AD131" s="20">
        <f>IF(B131="","",ROUND((V131+IF(AC131="Yes",IF(I131="",0,I131),0))*AA131+AB131,2))</f>
        <v>0</v>
      </c>
      <c r="AE131" s="20">
        <f>IF(B131="","",IF(K131&lt;&gt;"",K131,AD131))</f>
        <v>0</v>
      </c>
      <c r="AF131" s="20">
        <f>IF(B131="","",IF(K131="","",ROUND(K131-AD131,2)))</f>
        <v>0</v>
      </c>
      <c r="AG131" s="20">
        <f>IF(B131="","",ROUND(V131-Y131-AE131-Z131,2))</f>
        <v>0</v>
      </c>
      <c r="AH131" s="33">
        <f>IF(B131="","",IF(OR(V131="",V131=0),"",AG131/V131))</f>
        <v>0</v>
      </c>
      <c r="AI131" s="33">
        <f>IF(C131="","",IFERROR(INDEX(Products!$AW$5:$AW$304,MATCH(C131,Products!$A$5:$A$304,0)),""))</f>
        <v>0</v>
      </c>
      <c r="AJ131" s="33">
        <f>IF(B131="","",IF(OR(AH131="",AI131=""),"",AH131-AI131))</f>
        <v>0</v>
      </c>
      <c r="AK131" s="41">
        <f>IF(B131="","",IFERROR(ROUND(IF(D131="",0,D131)*INDEX(Products!$X$5:$X$304,MATCH(C131,Products!$A$5:$A$304,0))/60,2),""))</f>
        <v>0</v>
      </c>
      <c r="AL131" s="20">
        <f>IF(B131="","",IF(OR(AK131="",AK131=0),"",ROUND(AG131/AK131,2)))</f>
        <v>0</v>
      </c>
      <c r="AM131" s="43">
        <f>IF(B131="","",IF(C131="","Add - which product?",IF(AG131&lt;0,"Loss - this order cost you money",IF(M131="Refunded","Refunded - check why",IF(AND(AF131&lt;&gt;"",AF131&gt;0.25),"Check - fees higher than your settings",IF(Z131&gt;1,"Check - postage is eating the margin",IF(AND(AH131&lt;&gt;"",AH131&lt;MarginWarning),"Low margin on this order","OK")))))) )</f>
        <v>0</v>
      </c>
    </row>
    <row r="132" spans="1:39">
      <c r="A132" s="38">
        <f>IF(B132="","",SalePrefix&amp;TEXT(ROW()-4,"0000"))</f>
        <v>0</v>
      </c>
      <c r="Q132" s="13">
        <f>IF(C132="","",IFERROR(INDEX(Products!$B$5:$B$304,MATCH(C132,Products!$A$5:$A$304,0)),"Bundle or deleted"))</f>
        <v>0</v>
      </c>
      <c r="R132" s="13">
        <f>IF(B132="","",TEXT(B132,"yyyy-mm"))</f>
        <v>0</v>
      </c>
      <c r="S132" s="20">
        <f>IF(C132="","",IFERROR(INDEX(Products!$AR$5:$AR$304,MATCH(C132,Products!$A$5:$A$304,0)),""))</f>
        <v>0</v>
      </c>
      <c r="T132" s="20">
        <f>IF(B132="","",IF(F132&lt;&gt;"",F132,IF(S132="",0,S132)))</f>
        <v>0</v>
      </c>
      <c r="U132" s="20">
        <f>IF(B132="","",ROUND(IF(D132="",0,D132)*T132,2))</f>
        <v>0</v>
      </c>
      <c r="V132" s="20">
        <f>IF(B132="","",ROUND(U132-IF(G132="",0,G132)-IF(L132="",0,L132),2))</f>
        <v>0</v>
      </c>
      <c r="W132" s="20">
        <f>IF(C132="","",IFERROR(INDEX(Products!$AT$5:$AT$304,MATCH(C132,Products!$A$5:$A$304,0)),""))</f>
        <v>0</v>
      </c>
      <c r="X132" s="20">
        <f>IF(C132="","",IFERROR(INDEX(Products!$AG$5:$AG$304,MATCH(C132,Products!$A$5:$A$304,0)),""))</f>
        <v>0</v>
      </c>
      <c r="Y132" s="20">
        <f>IF(B132="","",ROUND(IF(D132="",0,D132)*MAX(0,IF(W132="",0,W132)-IF(X132="",0,X132)),2))</f>
        <v>0</v>
      </c>
      <c r="Z132" s="20">
        <f>IF(B132="","",ROUND(MAX(0,IF(J132="",0,J132)-IF(I132="",0,I132)),2))</f>
        <v>0</v>
      </c>
      <c r="AA132" s="33">
        <f>IF(B132="","",IFERROR(INDEX(Channels!$S$5:$S$18,MATCH(IF(E132="",DefaultChannel,E132),Channels!$A$5:$A$18,0)),0))</f>
        <v>0</v>
      </c>
      <c r="AB132" s="20">
        <f>IF(B132="","",IFERROR(INDEX(Channels!$T$5:$T$18,MATCH(IF(E132="",DefaultChannel,E132),Channels!$A$5:$A$18,0)),0))</f>
        <v>0</v>
      </c>
      <c r="AC132" s="42">
        <f>IF(B132="","",IFERROR(INDEX(Channels!$O$5:$O$18,MATCH(IF(E132="",DefaultChannel,E132),Channels!$A$5:$A$18,0)),"No"))</f>
        <v>0</v>
      </c>
      <c r="AD132" s="20">
        <f>IF(B132="","",ROUND((V132+IF(AC132="Yes",IF(I132="",0,I132),0))*AA132+AB132,2))</f>
        <v>0</v>
      </c>
      <c r="AE132" s="20">
        <f>IF(B132="","",IF(K132&lt;&gt;"",K132,AD132))</f>
        <v>0</v>
      </c>
      <c r="AF132" s="20">
        <f>IF(B132="","",IF(K132="","",ROUND(K132-AD132,2)))</f>
        <v>0</v>
      </c>
      <c r="AG132" s="20">
        <f>IF(B132="","",ROUND(V132-Y132-AE132-Z132,2))</f>
        <v>0</v>
      </c>
      <c r="AH132" s="33">
        <f>IF(B132="","",IF(OR(V132="",V132=0),"",AG132/V132))</f>
        <v>0</v>
      </c>
      <c r="AI132" s="33">
        <f>IF(C132="","",IFERROR(INDEX(Products!$AW$5:$AW$304,MATCH(C132,Products!$A$5:$A$304,0)),""))</f>
        <v>0</v>
      </c>
      <c r="AJ132" s="33">
        <f>IF(B132="","",IF(OR(AH132="",AI132=""),"",AH132-AI132))</f>
        <v>0</v>
      </c>
      <c r="AK132" s="41">
        <f>IF(B132="","",IFERROR(ROUND(IF(D132="",0,D132)*INDEX(Products!$X$5:$X$304,MATCH(C132,Products!$A$5:$A$304,0))/60,2),""))</f>
        <v>0</v>
      </c>
      <c r="AL132" s="20">
        <f>IF(B132="","",IF(OR(AK132="",AK132=0),"",ROUND(AG132/AK132,2)))</f>
        <v>0</v>
      </c>
      <c r="AM132" s="43">
        <f>IF(B132="","",IF(C132="","Add - which product?",IF(AG132&lt;0,"Loss - this order cost you money",IF(M132="Refunded","Refunded - check why",IF(AND(AF132&lt;&gt;"",AF132&gt;0.25),"Check - fees higher than your settings",IF(Z132&gt;1,"Check - postage is eating the margin",IF(AND(AH132&lt;&gt;"",AH132&lt;MarginWarning),"Low margin on this order","OK")))))) )</f>
        <v>0</v>
      </c>
    </row>
    <row r="133" spans="1:39">
      <c r="A133" s="38">
        <f>IF(B133="","",SalePrefix&amp;TEXT(ROW()-4,"0000"))</f>
        <v>0</v>
      </c>
      <c r="Q133" s="13">
        <f>IF(C133="","",IFERROR(INDEX(Products!$B$5:$B$304,MATCH(C133,Products!$A$5:$A$304,0)),"Bundle or deleted"))</f>
        <v>0</v>
      </c>
      <c r="R133" s="13">
        <f>IF(B133="","",TEXT(B133,"yyyy-mm"))</f>
        <v>0</v>
      </c>
      <c r="S133" s="20">
        <f>IF(C133="","",IFERROR(INDEX(Products!$AR$5:$AR$304,MATCH(C133,Products!$A$5:$A$304,0)),""))</f>
        <v>0</v>
      </c>
      <c r="T133" s="20">
        <f>IF(B133="","",IF(F133&lt;&gt;"",F133,IF(S133="",0,S133)))</f>
        <v>0</v>
      </c>
      <c r="U133" s="20">
        <f>IF(B133="","",ROUND(IF(D133="",0,D133)*T133,2))</f>
        <v>0</v>
      </c>
      <c r="V133" s="20">
        <f>IF(B133="","",ROUND(U133-IF(G133="",0,G133)-IF(L133="",0,L133),2))</f>
        <v>0</v>
      </c>
      <c r="W133" s="20">
        <f>IF(C133="","",IFERROR(INDEX(Products!$AT$5:$AT$304,MATCH(C133,Products!$A$5:$A$304,0)),""))</f>
        <v>0</v>
      </c>
      <c r="X133" s="20">
        <f>IF(C133="","",IFERROR(INDEX(Products!$AG$5:$AG$304,MATCH(C133,Products!$A$5:$A$304,0)),""))</f>
        <v>0</v>
      </c>
      <c r="Y133" s="20">
        <f>IF(B133="","",ROUND(IF(D133="",0,D133)*MAX(0,IF(W133="",0,W133)-IF(X133="",0,X133)),2))</f>
        <v>0</v>
      </c>
      <c r="Z133" s="20">
        <f>IF(B133="","",ROUND(MAX(0,IF(J133="",0,J133)-IF(I133="",0,I133)),2))</f>
        <v>0</v>
      </c>
      <c r="AA133" s="33">
        <f>IF(B133="","",IFERROR(INDEX(Channels!$S$5:$S$18,MATCH(IF(E133="",DefaultChannel,E133),Channels!$A$5:$A$18,0)),0))</f>
        <v>0</v>
      </c>
      <c r="AB133" s="20">
        <f>IF(B133="","",IFERROR(INDEX(Channels!$T$5:$T$18,MATCH(IF(E133="",DefaultChannel,E133),Channels!$A$5:$A$18,0)),0))</f>
        <v>0</v>
      </c>
      <c r="AC133" s="42">
        <f>IF(B133="","",IFERROR(INDEX(Channels!$O$5:$O$18,MATCH(IF(E133="",DefaultChannel,E133),Channels!$A$5:$A$18,0)),"No"))</f>
        <v>0</v>
      </c>
      <c r="AD133" s="20">
        <f>IF(B133="","",ROUND((V133+IF(AC133="Yes",IF(I133="",0,I133),0))*AA133+AB133,2))</f>
        <v>0</v>
      </c>
      <c r="AE133" s="20">
        <f>IF(B133="","",IF(K133&lt;&gt;"",K133,AD133))</f>
        <v>0</v>
      </c>
      <c r="AF133" s="20">
        <f>IF(B133="","",IF(K133="","",ROUND(K133-AD133,2)))</f>
        <v>0</v>
      </c>
      <c r="AG133" s="20">
        <f>IF(B133="","",ROUND(V133-Y133-AE133-Z133,2))</f>
        <v>0</v>
      </c>
      <c r="AH133" s="33">
        <f>IF(B133="","",IF(OR(V133="",V133=0),"",AG133/V133))</f>
        <v>0</v>
      </c>
      <c r="AI133" s="33">
        <f>IF(C133="","",IFERROR(INDEX(Products!$AW$5:$AW$304,MATCH(C133,Products!$A$5:$A$304,0)),""))</f>
        <v>0</v>
      </c>
      <c r="AJ133" s="33">
        <f>IF(B133="","",IF(OR(AH133="",AI133=""),"",AH133-AI133))</f>
        <v>0</v>
      </c>
      <c r="AK133" s="41">
        <f>IF(B133="","",IFERROR(ROUND(IF(D133="",0,D133)*INDEX(Products!$X$5:$X$304,MATCH(C133,Products!$A$5:$A$304,0))/60,2),""))</f>
        <v>0</v>
      </c>
      <c r="AL133" s="20">
        <f>IF(B133="","",IF(OR(AK133="",AK133=0),"",ROUND(AG133/AK133,2)))</f>
        <v>0</v>
      </c>
      <c r="AM133" s="43">
        <f>IF(B133="","",IF(C133="","Add - which product?",IF(AG133&lt;0,"Loss - this order cost you money",IF(M133="Refunded","Refunded - check why",IF(AND(AF133&lt;&gt;"",AF133&gt;0.25),"Check - fees higher than your settings",IF(Z133&gt;1,"Check - postage is eating the margin",IF(AND(AH133&lt;&gt;"",AH133&lt;MarginWarning),"Low margin on this order","OK")))))) )</f>
        <v>0</v>
      </c>
    </row>
    <row r="134" spans="1:39">
      <c r="A134" s="38">
        <f>IF(B134="","",SalePrefix&amp;TEXT(ROW()-4,"0000"))</f>
        <v>0</v>
      </c>
      <c r="Q134" s="13">
        <f>IF(C134="","",IFERROR(INDEX(Products!$B$5:$B$304,MATCH(C134,Products!$A$5:$A$304,0)),"Bundle or deleted"))</f>
        <v>0</v>
      </c>
      <c r="R134" s="13">
        <f>IF(B134="","",TEXT(B134,"yyyy-mm"))</f>
        <v>0</v>
      </c>
      <c r="S134" s="20">
        <f>IF(C134="","",IFERROR(INDEX(Products!$AR$5:$AR$304,MATCH(C134,Products!$A$5:$A$304,0)),""))</f>
        <v>0</v>
      </c>
      <c r="T134" s="20">
        <f>IF(B134="","",IF(F134&lt;&gt;"",F134,IF(S134="",0,S134)))</f>
        <v>0</v>
      </c>
      <c r="U134" s="20">
        <f>IF(B134="","",ROUND(IF(D134="",0,D134)*T134,2))</f>
        <v>0</v>
      </c>
      <c r="V134" s="20">
        <f>IF(B134="","",ROUND(U134-IF(G134="",0,G134)-IF(L134="",0,L134),2))</f>
        <v>0</v>
      </c>
      <c r="W134" s="20">
        <f>IF(C134="","",IFERROR(INDEX(Products!$AT$5:$AT$304,MATCH(C134,Products!$A$5:$A$304,0)),""))</f>
        <v>0</v>
      </c>
      <c r="X134" s="20">
        <f>IF(C134="","",IFERROR(INDEX(Products!$AG$5:$AG$304,MATCH(C134,Products!$A$5:$A$304,0)),""))</f>
        <v>0</v>
      </c>
      <c r="Y134" s="20">
        <f>IF(B134="","",ROUND(IF(D134="",0,D134)*MAX(0,IF(W134="",0,W134)-IF(X134="",0,X134)),2))</f>
        <v>0</v>
      </c>
      <c r="Z134" s="20">
        <f>IF(B134="","",ROUND(MAX(0,IF(J134="",0,J134)-IF(I134="",0,I134)),2))</f>
        <v>0</v>
      </c>
      <c r="AA134" s="33">
        <f>IF(B134="","",IFERROR(INDEX(Channels!$S$5:$S$18,MATCH(IF(E134="",DefaultChannel,E134),Channels!$A$5:$A$18,0)),0))</f>
        <v>0</v>
      </c>
      <c r="AB134" s="20">
        <f>IF(B134="","",IFERROR(INDEX(Channels!$T$5:$T$18,MATCH(IF(E134="",DefaultChannel,E134),Channels!$A$5:$A$18,0)),0))</f>
        <v>0</v>
      </c>
      <c r="AC134" s="42">
        <f>IF(B134="","",IFERROR(INDEX(Channels!$O$5:$O$18,MATCH(IF(E134="",DefaultChannel,E134),Channels!$A$5:$A$18,0)),"No"))</f>
        <v>0</v>
      </c>
      <c r="AD134" s="20">
        <f>IF(B134="","",ROUND((V134+IF(AC134="Yes",IF(I134="",0,I134),0))*AA134+AB134,2))</f>
        <v>0</v>
      </c>
      <c r="AE134" s="20">
        <f>IF(B134="","",IF(K134&lt;&gt;"",K134,AD134))</f>
        <v>0</v>
      </c>
      <c r="AF134" s="20">
        <f>IF(B134="","",IF(K134="","",ROUND(K134-AD134,2)))</f>
        <v>0</v>
      </c>
      <c r="AG134" s="20">
        <f>IF(B134="","",ROUND(V134-Y134-AE134-Z134,2))</f>
        <v>0</v>
      </c>
      <c r="AH134" s="33">
        <f>IF(B134="","",IF(OR(V134="",V134=0),"",AG134/V134))</f>
        <v>0</v>
      </c>
      <c r="AI134" s="33">
        <f>IF(C134="","",IFERROR(INDEX(Products!$AW$5:$AW$304,MATCH(C134,Products!$A$5:$A$304,0)),""))</f>
        <v>0</v>
      </c>
      <c r="AJ134" s="33">
        <f>IF(B134="","",IF(OR(AH134="",AI134=""),"",AH134-AI134))</f>
        <v>0</v>
      </c>
      <c r="AK134" s="41">
        <f>IF(B134="","",IFERROR(ROUND(IF(D134="",0,D134)*INDEX(Products!$X$5:$X$304,MATCH(C134,Products!$A$5:$A$304,0))/60,2),""))</f>
        <v>0</v>
      </c>
      <c r="AL134" s="20">
        <f>IF(B134="","",IF(OR(AK134="",AK134=0),"",ROUND(AG134/AK134,2)))</f>
        <v>0</v>
      </c>
      <c r="AM134" s="43">
        <f>IF(B134="","",IF(C134="","Add - which product?",IF(AG134&lt;0,"Loss - this order cost you money",IF(M134="Refunded","Refunded - check why",IF(AND(AF134&lt;&gt;"",AF134&gt;0.25),"Check - fees higher than your settings",IF(Z134&gt;1,"Check - postage is eating the margin",IF(AND(AH134&lt;&gt;"",AH134&lt;MarginWarning),"Low margin on this order","OK")))))) )</f>
        <v>0</v>
      </c>
    </row>
    <row r="135" spans="1:39">
      <c r="A135" s="38">
        <f>IF(B135="","",SalePrefix&amp;TEXT(ROW()-4,"0000"))</f>
        <v>0</v>
      </c>
      <c r="Q135" s="13">
        <f>IF(C135="","",IFERROR(INDEX(Products!$B$5:$B$304,MATCH(C135,Products!$A$5:$A$304,0)),"Bundle or deleted"))</f>
        <v>0</v>
      </c>
      <c r="R135" s="13">
        <f>IF(B135="","",TEXT(B135,"yyyy-mm"))</f>
        <v>0</v>
      </c>
      <c r="S135" s="20">
        <f>IF(C135="","",IFERROR(INDEX(Products!$AR$5:$AR$304,MATCH(C135,Products!$A$5:$A$304,0)),""))</f>
        <v>0</v>
      </c>
      <c r="T135" s="20">
        <f>IF(B135="","",IF(F135&lt;&gt;"",F135,IF(S135="",0,S135)))</f>
        <v>0</v>
      </c>
      <c r="U135" s="20">
        <f>IF(B135="","",ROUND(IF(D135="",0,D135)*T135,2))</f>
        <v>0</v>
      </c>
      <c r="V135" s="20">
        <f>IF(B135="","",ROUND(U135-IF(G135="",0,G135)-IF(L135="",0,L135),2))</f>
        <v>0</v>
      </c>
      <c r="W135" s="20">
        <f>IF(C135="","",IFERROR(INDEX(Products!$AT$5:$AT$304,MATCH(C135,Products!$A$5:$A$304,0)),""))</f>
        <v>0</v>
      </c>
      <c r="X135" s="20">
        <f>IF(C135="","",IFERROR(INDEX(Products!$AG$5:$AG$304,MATCH(C135,Products!$A$5:$A$304,0)),""))</f>
        <v>0</v>
      </c>
      <c r="Y135" s="20">
        <f>IF(B135="","",ROUND(IF(D135="",0,D135)*MAX(0,IF(W135="",0,W135)-IF(X135="",0,X135)),2))</f>
        <v>0</v>
      </c>
      <c r="Z135" s="20">
        <f>IF(B135="","",ROUND(MAX(0,IF(J135="",0,J135)-IF(I135="",0,I135)),2))</f>
        <v>0</v>
      </c>
      <c r="AA135" s="33">
        <f>IF(B135="","",IFERROR(INDEX(Channels!$S$5:$S$18,MATCH(IF(E135="",DefaultChannel,E135),Channels!$A$5:$A$18,0)),0))</f>
        <v>0</v>
      </c>
      <c r="AB135" s="20">
        <f>IF(B135="","",IFERROR(INDEX(Channels!$T$5:$T$18,MATCH(IF(E135="",DefaultChannel,E135),Channels!$A$5:$A$18,0)),0))</f>
        <v>0</v>
      </c>
      <c r="AC135" s="42">
        <f>IF(B135="","",IFERROR(INDEX(Channels!$O$5:$O$18,MATCH(IF(E135="",DefaultChannel,E135),Channels!$A$5:$A$18,0)),"No"))</f>
        <v>0</v>
      </c>
      <c r="AD135" s="20">
        <f>IF(B135="","",ROUND((V135+IF(AC135="Yes",IF(I135="",0,I135),0))*AA135+AB135,2))</f>
        <v>0</v>
      </c>
      <c r="AE135" s="20">
        <f>IF(B135="","",IF(K135&lt;&gt;"",K135,AD135))</f>
        <v>0</v>
      </c>
      <c r="AF135" s="20">
        <f>IF(B135="","",IF(K135="","",ROUND(K135-AD135,2)))</f>
        <v>0</v>
      </c>
      <c r="AG135" s="20">
        <f>IF(B135="","",ROUND(V135-Y135-AE135-Z135,2))</f>
        <v>0</v>
      </c>
      <c r="AH135" s="33">
        <f>IF(B135="","",IF(OR(V135="",V135=0),"",AG135/V135))</f>
        <v>0</v>
      </c>
      <c r="AI135" s="33">
        <f>IF(C135="","",IFERROR(INDEX(Products!$AW$5:$AW$304,MATCH(C135,Products!$A$5:$A$304,0)),""))</f>
        <v>0</v>
      </c>
      <c r="AJ135" s="33">
        <f>IF(B135="","",IF(OR(AH135="",AI135=""),"",AH135-AI135))</f>
        <v>0</v>
      </c>
      <c r="AK135" s="41">
        <f>IF(B135="","",IFERROR(ROUND(IF(D135="",0,D135)*INDEX(Products!$X$5:$X$304,MATCH(C135,Products!$A$5:$A$304,0))/60,2),""))</f>
        <v>0</v>
      </c>
      <c r="AL135" s="20">
        <f>IF(B135="","",IF(OR(AK135="",AK135=0),"",ROUND(AG135/AK135,2)))</f>
        <v>0</v>
      </c>
      <c r="AM135" s="43">
        <f>IF(B135="","",IF(C135="","Add - which product?",IF(AG135&lt;0,"Loss - this order cost you money",IF(M135="Refunded","Refunded - check why",IF(AND(AF135&lt;&gt;"",AF135&gt;0.25),"Check - fees higher than your settings",IF(Z135&gt;1,"Check - postage is eating the margin",IF(AND(AH135&lt;&gt;"",AH135&lt;MarginWarning),"Low margin on this order","OK")))))) )</f>
        <v>0</v>
      </c>
    </row>
    <row r="136" spans="1:39">
      <c r="A136" s="38">
        <f>IF(B136="","",SalePrefix&amp;TEXT(ROW()-4,"0000"))</f>
        <v>0</v>
      </c>
      <c r="Q136" s="13">
        <f>IF(C136="","",IFERROR(INDEX(Products!$B$5:$B$304,MATCH(C136,Products!$A$5:$A$304,0)),"Bundle or deleted"))</f>
        <v>0</v>
      </c>
      <c r="R136" s="13">
        <f>IF(B136="","",TEXT(B136,"yyyy-mm"))</f>
        <v>0</v>
      </c>
      <c r="S136" s="20">
        <f>IF(C136="","",IFERROR(INDEX(Products!$AR$5:$AR$304,MATCH(C136,Products!$A$5:$A$304,0)),""))</f>
        <v>0</v>
      </c>
      <c r="T136" s="20">
        <f>IF(B136="","",IF(F136&lt;&gt;"",F136,IF(S136="",0,S136)))</f>
        <v>0</v>
      </c>
      <c r="U136" s="20">
        <f>IF(B136="","",ROUND(IF(D136="",0,D136)*T136,2))</f>
        <v>0</v>
      </c>
      <c r="V136" s="20">
        <f>IF(B136="","",ROUND(U136-IF(G136="",0,G136)-IF(L136="",0,L136),2))</f>
        <v>0</v>
      </c>
      <c r="W136" s="20">
        <f>IF(C136="","",IFERROR(INDEX(Products!$AT$5:$AT$304,MATCH(C136,Products!$A$5:$A$304,0)),""))</f>
        <v>0</v>
      </c>
      <c r="X136" s="20">
        <f>IF(C136="","",IFERROR(INDEX(Products!$AG$5:$AG$304,MATCH(C136,Products!$A$5:$A$304,0)),""))</f>
        <v>0</v>
      </c>
      <c r="Y136" s="20">
        <f>IF(B136="","",ROUND(IF(D136="",0,D136)*MAX(0,IF(W136="",0,W136)-IF(X136="",0,X136)),2))</f>
        <v>0</v>
      </c>
      <c r="Z136" s="20">
        <f>IF(B136="","",ROUND(MAX(0,IF(J136="",0,J136)-IF(I136="",0,I136)),2))</f>
        <v>0</v>
      </c>
      <c r="AA136" s="33">
        <f>IF(B136="","",IFERROR(INDEX(Channels!$S$5:$S$18,MATCH(IF(E136="",DefaultChannel,E136),Channels!$A$5:$A$18,0)),0))</f>
        <v>0</v>
      </c>
      <c r="AB136" s="20">
        <f>IF(B136="","",IFERROR(INDEX(Channels!$T$5:$T$18,MATCH(IF(E136="",DefaultChannel,E136),Channels!$A$5:$A$18,0)),0))</f>
        <v>0</v>
      </c>
      <c r="AC136" s="42">
        <f>IF(B136="","",IFERROR(INDEX(Channels!$O$5:$O$18,MATCH(IF(E136="",DefaultChannel,E136),Channels!$A$5:$A$18,0)),"No"))</f>
        <v>0</v>
      </c>
      <c r="AD136" s="20">
        <f>IF(B136="","",ROUND((V136+IF(AC136="Yes",IF(I136="",0,I136),0))*AA136+AB136,2))</f>
        <v>0</v>
      </c>
      <c r="AE136" s="20">
        <f>IF(B136="","",IF(K136&lt;&gt;"",K136,AD136))</f>
        <v>0</v>
      </c>
      <c r="AF136" s="20">
        <f>IF(B136="","",IF(K136="","",ROUND(K136-AD136,2)))</f>
        <v>0</v>
      </c>
      <c r="AG136" s="20">
        <f>IF(B136="","",ROUND(V136-Y136-AE136-Z136,2))</f>
        <v>0</v>
      </c>
      <c r="AH136" s="33">
        <f>IF(B136="","",IF(OR(V136="",V136=0),"",AG136/V136))</f>
        <v>0</v>
      </c>
      <c r="AI136" s="33">
        <f>IF(C136="","",IFERROR(INDEX(Products!$AW$5:$AW$304,MATCH(C136,Products!$A$5:$A$304,0)),""))</f>
        <v>0</v>
      </c>
      <c r="AJ136" s="33">
        <f>IF(B136="","",IF(OR(AH136="",AI136=""),"",AH136-AI136))</f>
        <v>0</v>
      </c>
      <c r="AK136" s="41">
        <f>IF(B136="","",IFERROR(ROUND(IF(D136="",0,D136)*INDEX(Products!$X$5:$X$304,MATCH(C136,Products!$A$5:$A$304,0))/60,2),""))</f>
        <v>0</v>
      </c>
      <c r="AL136" s="20">
        <f>IF(B136="","",IF(OR(AK136="",AK136=0),"",ROUND(AG136/AK136,2)))</f>
        <v>0</v>
      </c>
      <c r="AM136" s="43">
        <f>IF(B136="","",IF(C136="","Add - which product?",IF(AG136&lt;0,"Loss - this order cost you money",IF(M136="Refunded","Refunded - check why",IF(AND(AF136&lt;&gt;"",AF136&gt;0.25),"Check - fees higher than your settings",IF(Z136&gt;1,"Check - postage is eating the margin",IF(AND(AH136&lt;&gt;"",AH136&lt;MarginWarning),"Low margin on this order","OK")))))) )</f>
        <v>0</v>
      </c>
    </row>
    <row r="137" spans="1:39">
      <c r="A137" s="38">
        <f>IF(B137="","",SalePrefix&amp;TEXT(ROW()-4,"0000"))</f>
        <v>0</v>
      </c>
      <c r="Q137" s="13">
        <f>IF(C137="","",IFERROR(INDEX(Products!$B$5:$B$304,MATCH(C137,Products!$A$5:$A$304,0)),"Bundle or deleted"))</f>
        <v>0</v>
      </c>
      <c r="R137" s="13">
        <f>IF(B137="","",TEXT(B137,"yyyy-mm"))</f>
        <v>0</v>
      </c>
      <c r="S137" s="20">
        <f>IF(C137="","",IFERROR(INDEX(Products!$AR$5:$AR$304,MATCH(C137,Products!$A$5:$A$304,0)),""))</f>
        <v>0</v>
      </c>
      <c r="T137" s="20">
        <f>IF(B137="","",IF(F137&lt;&gt;"",F137,IF(S137="",0,S137)))</f>
        <v>0</v>
      </c>
      <c r="U137" s="20">
        <f>IF(B137="","",ROUND(IF(D137="",0,D137)*T137,2))</f>
        <v>0</v>
      </c>
      <c r="V137" s="20">
        <f>IF(B137="","",ROUND(U137-IF(G137="",0,G137)-IF(L137="",0,L137),2))</f>
        <v>0</v>
      </c>
      <c r="W137" s="20">
        <f>IF(C137="","",IFERROR(INDEX(Products!$AT$5:$AT$304,MATCH(C137,Products!$A$5:$A$304,0)),""))</f>
        <v>0</v>
      </c>
      <c r="X137" s="20">
        <f>IF(C137="","",IFERROR(INDEX(Products!$AG$5:$AG$304,MATCH(C137,Products!$A$5:$A$304,0)),""))</f>
        <v>0</v>
      </c>
      <c r="Y137" s="20">
        <f>IF(B137="","",ROUND(IF(D137="",0,D137)*MAX(0,IF(W137="",0,W137)-IF(X137="",0,X137)),2))</f>
        <v>0</v>
      </c>
      <c r="Z137" s="20">
        <f>IF(B137="","",ROUND(MAX(0,IF(J137="",0,J137)-IF(I137="",0,I137)),2))</f>
        <v>0</v>
      </c>
      <c r="AA137" s="33">
        <f>IF(B137="","",IFERROR(INDEX(Channels!$S$5:$S$18,MATCH(IF(E137="",DefaultChannel,E137),Channels!$A$5:$A$18,0)),0))</f>
        <v>0</v>
      </c>
      <c r="AB137" s="20">
        <f>IF(B137="","",IFERROR(INDEX(Channels!$T$5:$T$18,MATCH(IF(E137="",DefaultChannel,E137),Channels!$A$5:$A$18,0)),0))</f>
        <v>0</v>
      </c>
      <c r="AC137" s="42">
        <f>IF(B137="","",IFERROR(INDEX(Channels!$O$5:$O$18,MATCH(IF(E137="",DefaultChannel,E137),Channels!$A$5:$A$18,0)),"No"))</f>
        <v>0</v>
      </c>
      <c r="AD137" s="20">
        <f>IF(B137="","",ROUND((V137+IF(AC137="Yes",IF(I137="",0,I137),0))*AA137+AB137,2))</f>
        <v>0</v>
      </c>
      <c r="AE137" s="20">
        <f>IF(B137="","",IF(K137&lt;&gt;"",K137,AD137))</f>
        <v>0</v>
      </c>
      <c r="AF137" s="20">
        <f>IF(B137="","",IF(K137="","",ROUND(K137-AD137,2)))</f>
        <v>0</v>
      </c>
      <c r="AG137" s="20">
        <f>IF(B137="","",ROUND(V137-Y137-AE137-Z137,2))</f>
        <v>0</v>
      </c>
      <c r="AH137" s="33">
        <f>IF(B137="","",IF(OR(V137="",V137=0),"",AG137/V137))</f>
        <v>0</v>
      </c>
      <c r="AI137" s="33">
        <f>IF(C137="","",IFERROR(INDEX(Products!$AW$5:$AW$304,MATCH(C137,Products!$A$5:$A$304,0)),""))</f>
        <v>0</v>
      </c>
      <c r="AJ137" s="33">
        <f>IF(B137="","",IF(OR(AH137="",AI137=""),"",AH137-AI137))</f>
        <v>0</v>
      </c>
      <c r="AK137" s="41">
        <f>IF(B137="","",IFERROR(ROUND(IF(D137="",0,D137)*INDEX(Products!$X$5:$X$304,MATCH(C137,Products!$A$5:$A$304,0))/60,2),""))</f>
        <v>0</v>
      </c>
      <c r="AL137" s="20">
        <f>IF(B137="","",IF(OR(AK137="",AK137=0),"",ROUND(AG137/AK137,2)))</f>
        <v>0</v>
      </c>
      <c r="AM137" s="43">
        <f>IF(B137="","",IF(C137="","Add - which product?",IF(AG137&lt;0,"Loss - this order cost you money",IF(M137="Refunded","Refunded - check why",IF(AND(AF137&lt;&gt;"",AF137&gt;0.25),"Check - fees higher than your settings",IF(Z137&gt;1,"Check - postage is eating the margin",IF(AND(AH137&lt;&gt;"",AH137&lt;MarginWarning),"Low margin on this order","OK")))))) )</f>
        <v>0</v>
      </c>
    </row>
    <row r="138" spans="1:39">
      <c r="A138" s="38">
        <f>IF(B138="","",SalePrefix&amp;TEXT(ROW()-4,"0000"))</f>
        <v>0</v>
      </c>
      <c r="Q138" s="13">
        <f>IF(C138="","",IFERROR(INDEX(Products!$B$5:$B$304,MATCH(C138,Products!$A$5:$A$304,0)),"Bundle or deleted"))</f>
        <v>0</v>
      </c>
      <c r="R138" s="13">
        <f>IF(B138="","",TEXT(B138,"yyyy-mm"))</f>
        <v>0</v>
      </c>
      <c r="S138" s="20">
        <f>IF(C138="","",IFERROR(INDEX(Products!$AR$5:$AR$304,MATCH(C138,Products!$A$5:$A$304,0)),""))</f>
        <v>0</v>
      </c>
      <c r="T138" s="20">
        <f>IF(B138="","",IF(F138&lt;&gt;"",F138,IF(S138="",0,S138)))</f>
        <v>0</v>
      </c>
      <c r="U138" s="20">
        <f>IF(B138="","",ROUND(IF(D138="",0,D138)*T138,2))</f>
        <v>0</v>
      </c>
      <c r="V138" s="20">
        <f>IF(B138="","",ROUND(U138-IF(G138="",0,G138)-IF(L138="",0,L138),2))</f>
        <v>0</v>
      </c>
      <c r="W138" s="20">
        <f>IF(C138="","",IFERROR(INDEX(Products!$AT$5:$AT$304,MATCH(C138,Products!$A$5:$A$304,0)),""))</f>
        <v>0</v>
      </c>
      <c r="X138" s="20">
        <f>IF(C138="","",IFERROR(INDEX(Products!$AG$5:$AG$304,MATCH(C138,Products!$A$5:$A$304,0)),""))</f>
        <v>0</v>
      </c>
      <c r="Y138" s="20">
        <f>IF(B138="","",ROUND(IF(D138="",0,D138)*MAX(0,IF(W138="",0,W138)-IF(X138="",0,X138)),2))</f>
        <v>0</v>
      </c>
      <c r="Z138" s="20">
        <f>IF(B138="","",ROUND(MAX(0,IF(J138="",0,J138)-IF(I138="",0,I138)),2))</f>
        <v>0</v>
      </c>
      <c r="AA138" s="33">
        <f>IF(B138="","",IFERROR(INDEX(Channels!$S$5:$S$18,MATCH(IF(E138="",DefaultChannel,E138),Channels!$A$5:$A$18,0)),0))</f>
        <v>0</v>
      </c>
      <c r="AB138" s="20">
        <f>IF(B138="","",IFERROR(INDEX(Channels!$T$5:$T$18,MATCH(IF(E138="",DefaultChannel,E138),Channels!$A$5:$A$18,0)),0))</f>
        <v>0</v>
      </c>
      <c r="AC138" s="42">
        <f>IF(B138="","",IFERROR(INDEX(Channels!$O$5:$O$18,MATCH(IF(E138="",DefaultChannel,E138),Channels!$A$5:$A$18,0)),"No"))</f>
        <v>0</v>
      </c>
      <c r="AD138" s="20">
        <f>IF(B138="","",ROUND((V138+IF(AC138="Yes",IF(I138="",0,I138),0))*AA138+AB138,2))</f>
        <v>0</v>
      </c>
      <c r="AE138" s="20">
        <f>IF(B138="","",IF(K138&lt;&gt;"",K138,AD138))</f>
        <v>0</v>
      </c>
      <c r="AF138" s="20">
        <f>IF(B138="","",IF(K138="","",ROUND(K138-AD138,2)))</f>
        <v>0</v>
      </c>
      <c r="AG138" s="20">
        <f>IF(B138="","",ROUND(V138-Y138-AE138-Z138,2))</f>
        <v>0</v>
      </c>
      <c r="AH138" s="33">
        <f>IF(B138="","",IF(OR(V138="",V138=0),"",AG138/V138))</f>
        <v>0</v>
      </c>
      <c r="AI138" s="33">
        <f>IF(C138="","",IFERROR(INDEX(Products!$AW$5:$AW$304,MATCH(C138,Products!$A$5:$A$304,0)),""))</f>
        <v>0</v>
      </c>
      <c r="AJ138" s="33">
        <f>IF(B138="","",IF(OR(AH138="",AI138=""),"",AH138-AI138))</f>
        <v>0</v>
      </c>
      <c r="AK138" s="41">
        <f>IF(B138="","",IFERROR(ROUND(IF(D138="",0,D138)*INDEX(Products!$X$5:$X$304,MATCH(C138,Products!$A$5:$A$304,0))/60,2),""))</f>
        <v>0</v>
      </c>
      <c r="AL138" s="20">
        <f>IF(B138="","",IF(OR(AK138="",AK138=0),"",ROUND(AG138/AK138,2)))</f>
        <v>0</v>
      </c>
      <c r="AM138" s="43">
        <f>IF(B138="","",IF(C138="","Add - which product?",IF(AG138&lt;0,"Loss - this order cost you money",IF(M138="Refunded","Refunded - check why",IF(AND(AF138&lt;&gt;"",AF138&gt;0.25),"Check - fees higher than your settings",IF(Z138&gt;1,"Check - postage is eating the margin",IF(AND(AH138&lt;&gt;"",AH138&lt;MarginWarning),"Low margin on this order","OK")))))) )</f>
        <v>0</v>
      </c>
    </row>
    <row r="139" spans="1:39">
      <c r="A139" s="38">
        <f>IF(B139="","",SalePrefix&amp;TEXT(ROW()-4,"0000"))</f>
        <v>0</v>
      </c>
      <c r="Q139" s="13">
        <f>IF(C139="","",IFERROR(INDEX(Products!$B$5:$B$304,MATCH(C139,Products!$A$5:$A$304,0)),"Bundle or deleted"))</f>
        <v>0</v>
      </c>
      <c r="R139" s="13">
        <f>IF(B139="","",TEXT(B139,"yyyy-mm"))</f>
        <v>0</v>
      </c>
      <c r="S139" s="20">
        <f>IF(C139="","",IFERROR(INDEX(Products!$AR$5:$AR$304,MATCH(C139,Products!$A$5:$A$304,0)),""))</f>
        <v>0</v>
      </c>
      <c r="T139" s="20">
        <f>IF(B139="","",IF(F139&lt;&gt;"",F139,IF(S139="",0,S139)))</f>
        <v>0</v>
      </c>
      <c r="U139" s="20">
        <f>IF(B139="","",ROUND(IF(D139="",0,D139)*T139,2))</f>
        <v>0</v>
      </c>
      <c r="V139" s="20">
        <f>IF(B139="","",ROUND(U139-IF(G139="",0,G139)-IF(L139="",0,L139),2))</f>
        <v>0</v>
      </c>
      <c r="W139" s="20">
        <f>IF(C139="","",IFERROR(INDEX(Products!$AT$5:$AT$304,MATCH(C139,Products!$A$5:$A$304,0)),""))</f>
        <v>0</v>
      </c>
      <c r="X139" s="20">
        <f>IF(C139="","",IFERROR(INDEX(Products!$AG$5:$AG$304,MATCH(C139,Products!$A$5:$A$304,0)),""))</f>
        <v>0</v>
      </c>
      <c r="Y139" s="20">
        <f>IF(B139="","",ROUND(IF(D139="",0,D139)*MAX(0,IF(W139="",0,W139)-IF(X139="",0,X139)),2))</f>
        <v>0</v>
      </c>
      <c r="Z139" s="20">
        <f>IF(B139="","",ROUND(MAX(0,IF(J139="",0,J139)-IF(I139="",0,I139)),2))</f>
        <v>0</v>
      </c>
      <c r="AA139" s="33">
        <f>IF(B139="","",IFERROR(INDEX(Channels!$S$5:$S$18,MATCH(IF(E139="",DefaultChannel,E139),Channels!$A$5:$A$18,0)),0))</f>
        <v>0</v>
      </c>
      <c r="AB139" s="20">
        <f>IF(B139="","",IFERROR(INDEX(Channels!$T$5:$T$18,MATCH(IF(E139="",DefaultChannel,E139),Channels!$A$5:$A$18,0)),0))</f>
        <v>0</v>
      </c>
      <c r="AC139" s="42">
        <f>IF(B139="","",IFERROR(INDEX(Channels!$O$5:$O$18,MATCH(IF(E139="",DefaultChannel,E139),Channels!$A$5:$A$18,0)),"No"))</f>
        <v>0</v>
      </c>
      <c r="AD139" s="20">
        <f>IF(B139="","",ROUND((V139+IF(AC139="Yes",IF(I139="",0,I139),0))*AA139+AB139,2))</f>
        <v>0</v>
      </c>
      <c r="AE139" s="20">
        <f>IF(B139="","",IF(K139&lt;&gt;"",K139,AD139))</f>
        <v>0</v>
      </c>
      <c r="AF139" s="20">
        <f>IF(B139="","",IF(K139="","",ROUND(K139-AD139,2)))</f>
        <v>0</v>
      </c>
      <c r="AG139" s="20">
        <f>IF(B139="","",ROUND(V139-Y139-AE139-Z139,2))</f>
        <v>0</v>
      </c>
      <c r="AH139" s="33">
        <f>IF(B139="","",IF(OR(V139="",V139=0),"",AG139/V139))</f>
        <v>0</v>
      </c>
      <c r="AI139" s="33">
        <f>IF(C139="","",IFERROR(INDEX(Products!$AW$5:$AW$304,MATCH(C139,Products!$A$5:$A$304,0)),""))</f>
        <v>0</v>
      </c>
      <c r="AJ139" s="33">
        <f>IF(B139="","",IF(OR(AH139="",AI139=""),"",AH139-AI139))</f>
        <v>0</v>
      </c>
      <c r="AK139" s="41">
        <f>IF(B139="","",IFERROR(ROUND(IF(D139="",0,D139)*INDEX(Products!$X$5:$X$304,MATCH(C139,Products!$A$5:$A$304,0))/60,2),""))</f>
        <v>0</v>
      </c>
      <c r="AL139" s="20">
        <f>IF(B139="","",IF(OR(AK139="",AK139=0),"",ROUND(AG139/AK139,2)))</f>
        <v>0</v>
      </c>
      <c r="AM139" s="43">
        <f>IF(B139="","",IF(C139="","Add - which product?",IF(AG139&lt;0,"Loss - this order cost you money",IF(M139="Refunded","Refunded - check why",IF(AND(AF139&lt;&gt;"",AF139&gt;0.25),"Check - fees higher than your settings",IF(Z139&gt;1,"Check - postage is eating the margin",IF(AND(AH139&lt;&gt;"",AH139&lt;MarginWarning),"Low margin on this order","OK")))))) )</f>
        <v>0</v>
      </c>
    </row>
    <row r="140" spans="1:39">
      <c r="A140" s="38">
        <f>IF(B140="","",SalePrefix&amp;TEXT(ROW()-4,"0000"))</f>
        <v>0</v>
      </c>
      <c r="Q140" s="13">
        <f>IF(C140="","",IFERROR(INDEX(Products!$B$5:$B$304,MATCH(C140,Products!$A$5:$A$304,0)),"Bundle or deleted"))</f>
        <v>0</v>
      </c>
      <c r="R140" s="13">
        <f>IF(B140="","",TEXT(B140,"yyyy-mm"))</f>
        <v>0</v>
      </c>
      <c r="S140" s="20">
        <f>IF(C140="","",IFERROR(INDEX(Products!$AR$5:$AR$304,MATCH(C140,Products!$A$5:$A$304,0)),""))</f>
        <v>0</v>
      </c>
      <c r="T140" s="20">
        <f>IF(B140="","",IF(F140&lt;&gt;"",F140,IF(S140="",0,S140)))</f>
        <v>0</v>
      </c>
      <c r="U140" s="20">
        <f>IF(B140="","",ROUND(IF(D140="",0,D140)*T140,2))</f>
        <v>0</v>
      </c>
      <c r="V140" s="20">
        <f>IF(B140="","",ROUND(U140-IF(G140="",0,G140)-IF(L140="",0,L140),2))</f>
        <v>0</v>
      </c>
      <c r="W140" s="20">
        <f>IF(C140="","",IFERROR(INDEX(Products!$AT$5:$AT$304,MATCH(C140,Products!$A$5:$A$304,0)),""))</f>
        <v>0</v>
      </c>
      <c r="X140" s="20">
        <f>IF(C140="","",IFERROR(INDEX(Products!$AG$5:$AG$304,MATCH(C140,Products!$A$5:$A$304,0)),""))</f>
        <v>0</v>
      </c>
      <c r="Y140" s="20">
        <f>IF(B140="","",ROUND(IF(D140="",0,D140)*MAX(0,IF(W140="",0,W140)-IF(X140="",0,X140)),2))</f>
        <v>0</v>
      </c>
      <c r="Z140" s="20">
        <f>IF(B140="","",ROUND(MAX(0,IF(J140="",0,J140)-IF(I140="",0,I140)),2))</f>
        <v>0</v>
      </c>
      <c r="AA140" s="33">
        <f>IF(B140="","",IFERROR(INDEX(Channels!$S$5:$S$18,MATCH(IF(E140="",DefaultChannel,E140),Channels!$A$5:$A$18,0)),0))</f>
        <v>0</v>
      </c>
      <c r="AB140" s="20">
        <f>IF(B140="","",IFERROR(INDEX(Channels!$T$5:$T$18,MATCH(IF(E140="",DefaultChannel,E140),Channels!$A$5:$A$18,0)),0))</f>
        <v>0</v>
      </c>
      <c r="AC140" s="42">
        <f>IF(B140="","",IFERROR(INDEX(Channels!$O$5:$O$18,MATCH(IF(E140="",DefaultChannel,E140),Channels!$A$5:$A$18,0)),"No"))</f>
        <v>0</v>
      </c>
      <c r="AD140" s="20">
        <f>IF(B140="","",ROUND((V140+IF(AC140="Yes",IF(I140="",0,I140),0))*AA140+AB140,2))</f>
        <v>0</v>
      </c>
      <c r="AE140" s="20">
        <f>IF(B140="","",IF(K140&lt;&gt;"",K140,AD140))</f>
        <v>0</v>
      </c>
      <c r="AF140" s="20">
        <f>IF(B140="","",IF(K140="","",ROUND(K140-AD140,2)))</f>
        <v>0</v>
      </c>
      <c r="AG140" s="20">
        <f>IF(B140="","",ROUND(V140-Y140-AE140-Z140,2))</f>
        <v>0</v>
      </c>
      <c r="AH140" s="33">
        <f>IF(B140="","",IF(OR(V140="",V140=0),"",AG140/V140))</f>
        <v>0</v>
      </c>
      <c r="AI140" s="33">
        <f>IF(C140="","",IFERROR(INDEX(Products!$AW$5:$AW$304,MATCH(C140,Products!$A$5:$A$304,0)),""))</f>
        <v>0</v>
      </c>
      <c r="AJ140" s="33">
        <f>IF(B140="","",IF(OR(AH140="",AI140=""),"",AH140-AI140))</f>
        <v>0</v>
      </c>
      <c r="AK140" s="41">
        <f>IF(B140="","",IFERROR(ROUND(IF(D140="",0,D140)*INDEX(Products!$X$5:$X$304,MATCH(C140,Products!$A$5:$A$304,0))/60,2),""))</f>
        <v>0</v>
      </c>
      <c r="AL140" s="20">
        <f>IF(B140="","",IF(OR(AK140="",AK140=0),"",ROUND(AG140/AK140,2)))</f>
        <v>0</v>
      </c>
      <c r="AM140" s="43">
        <f>IF(B140="","",IF(C140="","Add - which product?",IF(AG140&lt;0,"Loss - this order cost you money",IF(M140="Refunded","Refunded - check why",IF(AND(AF140&lt;&gt;"",AF140&gt;0.25),"Check - fees higher than your settings",IF(Z140&gt;1,"Check - postage is eating the margin",IF(AND(AH140&lt;&gt;"",AH140&lt;MarginWarning),"Low margin on this order","OK")))))) )</f>
        <v>0</v>
      </c>
    </row>
    <row r="141" spans="1:39">
      <c r="A141" s="38">
        <f>IF(B141="","",SalePrefix&amp;TEXT(ROW()-4,"0000"))</f>
        <v>0</v>
      </c>
      <c r="Q141" s="13">
        <f>IF(C141="","",IFERROR(INDEX(Products!$B$5:$B$304,MATCH(C141,Products!$A$5:$A$304,0)),"Bundle or deleted"))</f>
        <v>0</v>
      </c>
      <c r="R141" s="13">
        <f>IF(B141="","",TEXT(B141,"yyyy-mm"))</f>
        <v>0</v>
      </c>
      <c r="S141" s="20">
        <f>IF(C141="","",IFERROR(INDEX(Products!$AR$5:$AR$304,MATCH(C141,Products!$A$5:$A$304,0)),""))</f>
        <v>0</v>
      </c>
      <c r="T141" s="20">
        <f>IF(B141="","",IF(F141&lt;&gt;"",F141,IF(S141="",0,S141)))</f>
        <v>0</v>
      </c>
      <c r="U141" s="20">
        <f>IF(B141="","",ROUND(IF(D141="",0,D141)*T141,2))</f>
        <v>0</v>
      </c>
      <c r="V141" s="20">
        <f>IF(B141="","",ROUND(U141-IF(G141="",0,G141)-IF(L141="",0,L141),2))</f>
        <v>0</v>
      </c>
      <c r="W141" s="20">
        <f>IF(C141="","",IFERROR(INDEX(Products!$AT$5:$AT$304,MATCH(C141,Products!$A$5:$A$304,0)),""))</f>
        <v>0</v>
      </c>
      <c r="X141" s="20">
        <f>IF(C141="","",IFERROR(INDEX(Products!$AG$5:$AG$304,MATCH(C141,Products!$A$5:$A$304,0)),""))</f>
        <v>0</v>
      </c>
      <c r="Y141" s="20">
        <f>IF(B141="","",ROUND(IF(D141="",0,D141)*MAX(0,IF(W141="",0,W141)-IF(X141="",0,X141)),2))</f>
        <v>0</v>
      </c>
      <c r="Z141" s="20">
        <f>IF(B141="","",ROUND(MAX(0,IF(J141="",0,J141)-IF(I141="",0,I141)),2))</f>
        <v>0</v>
      </c>
      <c r="AA141" s="33">
        <f>IF(B141="","",IFERROR(INDEX(Channels!$S$5:$S$18,MATCH(IF(E141="",DefaultChannel,E141),Channels!$A$5:$A$18,0)),0))</f>
        <v>0</v>
      </c>
      <c r="AB141" s="20">
        <f>IF(B141="","",IFERROR(INDEX(Channels!$T$5:$T$18,MATCH(IF(E141="",DefaultChannel,E141),Channels!$A$5:$A$18,0)),0))</f>
        <v>0</v>
      </c>
      <c r="AC141" s="42">
        <f>IF(B141="","",IFERROR(INDEX(Channels!$O$5:$O$18,MATCH(IF(E141="",DefaultChannel,E141),Channels!$A$5:$A$18,0)),"No"))</f>
        <v>0</v>
      </c>
      <c r="AD141" s="20">
        <f>IF(B141="","",ROUND((V141+IF(AC141="Yes",IF(I141="",0,I141),0))*AA141+AB141,2))</f>
        <v>0</v>
      </c>
      <c r="AE141" s="20">
        <f>IF(B141="","",IF(K141&lt;&gt;"",K141,AD141))</f>
        <v>0</v>
      </c>
      <c r="AF141" s="20">
        <f>IF(B141="","",IF(K141="","",ROUND(K141-AD141,2)))</f>
        <v>0</v>
      </c>
      <c r="AG141" s="20">
        <f>IF(B141="","",ROUND(V141-Y141-AE141-Z141,2))</f>
        <v>0</v>
      </c>
      <c r="AH141" s="33">
        <f>IF(B141="","",IF(OR(V141="",V141=0),"",AG141/V141))</f>
        <v>0</v>
      </c>
      <c r="AI141" s="33">
        <f>IF(C141="","",IFERROR(INDEX(Products!$AW$5:$AW$304,MATCH(C141,Products!$A$5:$A$304,0)),""))</f>
        <v>0</v>
      </c>
      <c r="AJ141" s="33">
        <f>IF(B141="","",IF(OR(AH141="",AI141=""),"",AH141-AI141))</f>
        <v>0</v>
      </c>
      <c r="AK141" s="41">
        <f>IF(B141="","",IFERROR(ROUND(IF(D141="",0,D141)*INDEX(Products!$X$5:$X$304,MATCH(C141,Products!$A$5:$A$304,0))/60,2),""))</f>
        <v>0</v>
      </c>
      <c r="AL141" s="20">
        <f>IF(B141="","",IF(OR(AK141="",AK141=0),"",ROUND(AG141/AK141,2)))</f>
        <v>0</v>
      </c>
      <c r="AM141" s="43">
        <f>IF(B141="","",IF(C141="","Add - which product?",IF(AG141&lt;0,"Loss - this order cost you money",IF(M141="Refunded","Refunded - check why",IF(AND(AF141&lt;&gt;"",AF141&gt;0.25),"Check - fees higher than your settings",IF(Z141&gt;1,"Check - postage is eating the margin",IF(AND(AH141&lt;&gt;"",AH141&lt;MarginWarning),"Low margin on this order","OK")))))) )</f>
        <v>0</v>
      </c>
    </row>
    <row r="142" spans="1:39">
      <c r="A142" s="38">
        <f>IF(B142="","",SalePrefix&amp;TEXT(ROW()-4,"0000"))</f>
        <v>0</v>
      </c>
      <c r="Q142" s="13">
        <f>IF(C142="","",IFERROR(INDEX(Products!$B$5:$B$304,MATCH(C142,Products!$A$5:$A$304,0)),"Bundle or deleted"))</f>
        <v>0</v>
      </c>
      <c r="R142" s="13">
        <f>IF(B142="","",TEXT(B142,"yyyy-mm"))</f>
        <v>0</v>
      </c>
      <c r="S142" s="20">
        <f>IF(C142="","",IFERROR(INDEX(Products!$AR$5:$AR$304,MATCH(C142,Products!$A$5:$A$304,0)),""))</f>
        <v>0</v>
      </c>
      <c r="T142" s="20">
        <f>IF(B142="","",IF(F142&lt;&gt;"",F142,IF(S142="",0,S142)))</f>
        <v>0</v>
      </c>
      <c r="U142" s="20">
        <f>IF(B142="","",ROUND(IF(D142="",0,D142)*T142,2))</f>
        <v>0</v>
      </c>
      <c r="V142" s="20">
        <f>IF(B142="","",ROUND(U142-IF(G142="",0,G142)-IF(L142="",0,L142),2))</f>
        <v>0</v>
      </c>
      <c r="W142" s="20">
        <f>IF(C142="","",IFERROR(INDEX(Products!$AT$5:$AT$304,MATCH(C142,Products!$A$5:$A$304,0)),""))</f>
        <v>0</v>
      </c>
      <c r="X142" s="20">
        <f>IF(C142="","",IFERROR(INDEX(Products!$AG$5:$AG$304,MATCH(C142,Products!$A$5:$A$304,0)),""))</f>
        <v>0</v>
      </c>
      <c r="Y142" s="20">
        <f>IF(B142="","",ROUND(IF(D142="",0,D142)*MAX(0,IF(W142="",0,W142)-IF(X142="",0,X142)),2))</f>
        <v>0</v>
      </c>
      <c r="Z142" s="20">
        <f>IF(B142="","",ROUND(MAX(0,IF(J142="",0,J142)-IF(I142="",0,I142)),2))</f>
        <v>0</v>
      </c>
      <c r="AA142" s="33">
        <f>IF(B142="","",IFERROR(INDEX(Channels!$S$5:$S$18,MATCH(IF(E142="",DefaultChannel,E142),Channels!$A$5:$A$18,0)),0))</f>
        <v>0</v>
      </c>
      <c r="AB142" s="20">
        <f>IF(B142="","",IFERROR(INDEX(Channels!$T$5:$T$18,MATCH(IF(E142="",DefaultChannel,E142),Channels!$A$5:$A$18,0)),0))</f>
        <v>0</v>
      </c>
      <c r="AC142" s="42">
        <f>IF(B142="","",IFERROR(INDEX(Channels!$O$5:$O$18,MATCH(IF(E142="",DefaultChannel,E142),Channels!$A$5:$A$18,0)),"No"))</f>
        <v>0</v>
      </c>
      <c r="AD142" s="20">
        <f>IF(B142="","",ROUND((V142+IF(AC142="Yes",IF(I142="",0,I142),0))*AA142+AB142,2))</f>
        <v>0</v>
      </c>
      <c r="AE142" s="20">
        <f>IF(B142="","",IF(K142&lt;&gt;"",K142,AD142))</f>
        <v>0</v>
      </c>
      <c r="AF142" s="20">
        <f>IF(B142="","",IF(K142="","",ROUND(K142-AD142,2)))</f>
        <v>0</v>
      </c>
      <c r="AG142" s="20">
        <f>IF(B142="","",ROUND(V142-Y142-AE142-Z142,2))</f>
        <v>0</v>
      </c>
      <c r="AH142" s="33">
        <f>IF(B142="","",IF(OR(V142="",V142=0),"",AG142/V142))</f>
        <v>0</v>
      </c>
      <c r="AI142" s="33">
        <f>IF(C142="","",IFERROR(INDEX(Products!$AW$5:$AW$304,MATCH(C142,Products!$A$5:$A$304,0)),""))</f>
        <v>0</v>
      </c>
      <c r="AJ142" s="33">
        <f>IF(B142="","",IF(OR(AH142="",AI142=""),"",AH142-AI142))</f>
        <v>0</v>
      </c>
      <c r="AK142" s="41">
        <f>IF(B142="","",IFERROR(ROUND(IF(D142="",0,D142)*INDEX(Products!$X$5:$X$304,MATCH(C142,Products!$A$5:$A$304,0))/60,2),""))</f>
        <v>0</v>
      </c>
      <c r="AL142" s="20">
        <f>IF(B142="","",IF(OR(AK142="",AK142=0),"",ROUND(AG142/AK142,2)))</f>
        <v>0</v>
      </c>
      <c r="AM142" s="43">
        <f>IF(B142="","",IF(C142="","Add - which product?",IF(AG142&lt;0,"Loss - this order cost you money",IF(M142="Refunded","Refunded - check why",IF(AND(AF142&lt;&gt;"",AF142&gt;0.25),"Check - fees higher than your settings",IF(Z142&gt;1,"Check - postage is eating the margin",IF(AND(AH142&lt;&gt;"",AH142&lt;MarginWarning),"Low margin on this order","OK")))))) )</f>
        <v>0</v>
      </c>
    </row>
    <row r="143" spans="1:39">
      <c r="A143" s="38">
        <f>IF(B143="","",SalePrefix&amp;TEXT(ROW()-4,"0000"))</f>
        <v>0</v>
      </c>
      <c r="Q143" s="13">
        <f>IF(C143="","",IFERROR(INDEX(Products!$B$5:$B$304,MATCH(C143,Products!$A$5:$A$304,0)),"Bundle or deleted"))</f>
        <v>0</v>
      </c>
      <c r="R143" s="13">
        <f>IF(B143="","",TEXT(B143,"yyyy-mm"))</f>
        <v>0</v>
      </c>
      <c r="S143" s="20">
        <f>IF(C143="","",IFERROR(INDEX(Products!$AR$5:$AR$304,MATCH(C143,Products!$A$5:$A$304,0)),""))</f>
        <v>0</v>
      </c>
      <c r="T143" s="20">
        <f>IF(B143="","",IF(F143&lt;&gt;"",F143,IF(S143="",0,S143)))</f>
        <v>0</v>
      </c>
      <c r="U143" s="20">
        <f>IF(B143="","",ROUND(IF(D143="",0,D143)*T143,2))</f>
        <v>0</v>
      </c>
      <c r="V143" s="20">
        <f>IF(B143="","",ROUND(U143-IF(G143="",0,G143)-IF(L143="",0,L143),2))</f>
        <v>0</v>
      </c>
      <c r="W143" s="20">
        <f>IF(C143="","",IFERROR(INDEX(Products!$AT$5:$AT$304,MATCH(C143,Products!$A$5:$A$304,0)),""))</f>
        <v>0</v>
      </c>
      <c r="X143" s="20">
        <f>IF(C143="","",IFERROR(INDEX(Products!$AG$5:$AG$304,MATCH(C143,Products!$A$5:$A$304,0)),""))</f>
        <v>0</v>
      </c>
      <c r="Y143" s="20">
        <f>IF(B143="","",ROUND(IF(D143="",0,D143)*MAX(0,IF(W143="",0,W143)-IF(X143="",0,X143)),2))</f>
        <v>0</v>
      </c>
      <c r="Z143" s="20">
        <f>IF(B143="","",ROUND(MAX(0,IF(J143="",0,J143)-IF(I143="",0,I143)),2))</f>
        <v>0</v>
      </c>
      <c r="AA143" s="33">
        <f>IF(B143="","",IFERROR(INDEX(Channels!$S$5:$S$18,MATCH(IF(E143="",DefaultChannel,E143),Channels!$A$5:$A$18,0)),0))</f>
        <v>0</v>
      </c>
      <c r="AB143" s="20">
        <f>IF(B143="","",IFERROR(INDEX(Channels!$T$5:$T$18,MATCH(IF(E143="",DefaultChannel,E143),Channels!$A$5:$A$18,0)),0))</f>
        <v>0</v>
      </c>
      <c r="AC143" s="42">
        <f>IF(B143="","",IFERROR(INDEX(Channels!$O$5:$O$18,MATCH(IF(E143="",DefaultChannel,E143),Channels!$A$5:$A$18,0)),"No"))</f>
        <v>0</v>
      </c>
      <c r="AD143" s="20">
        <f>IF(B143="","",ROUND((V143+IF(AC143="Yes",IF(I143="",0,I143),0))*AA143+AB143,2))</f>
        <v>0</v>
      </c>
      <c r="AE143" s="20">
        <f>IF(B143="","",IF(K143&lt;&gt;"",K143,AD143))</f>
        <v>0</v>
      </c>
      <c r="AF143" s="20">
        <f>IF(B143="","",IF(K143="","",ROUND(K143-AD143,2)))</f>
        <v>0</v>
      </c>
      <c r="AG143" s="20">
        <f>IF(B143="","",ROUND(V143-Y143-AE143-Z143,2))</f>
        <v>0</v>
      </c>
      <c r="AH143" s="33">
        <f>IF(B143="","",IF(OR(V143="",V143=0),"",AG143/V143))</f>
        <v>0</v>
      </c>
      <c r="AI143" s="33">
        <f>IF(C143="","",IFERROR(INDEX(Products!$AW$5:$AW$304,MATCH(C143,Products!$A$5:$A$304,0)),""))</f>
        <v>0</v>
      </c>
      <c r="AJ143" s="33">
        <f>IF(B143="","",IF(OR(AH143="",AI143=""),"",AH143-AI143))</f>
        <v>0</v>
      </c>
      <c r="AK143" s="41">
        <f>IF(B143="","",IFERROR(ROUND(IF(D143="",0,D143)*INDEX(Products!$X$5:$X$304,MATCH(C143,Products!$A$5:$A$304,0))/60,2),""))</f>
        <v>0</v>
      </c>
      <c r="AL143" s="20">
        <f>IF(B143="","",IF(OR(AK143="",AK143=0),"",ROUND(AG143/AK143,2)))</f>
        <v>0</v>
      </c>
      <c r="AM143" s="43">
        <f>IF(B143="","",IF(C143="","Add - which product?",IF(AG143&lt;0,"Loss - this order cost you money",IF(M143="Refunded","Refunded - check why",IF(AND(AF143&lt;&gt;"",AF143&gt;0.25),"Check - fees higher than your settings",IF(Z143&gt;1,"Check - postage is eating the margin",IF(AND(AH143&lt;&gt;"",AH143&lt;MarginWarning),"Low margin on this order","OK")))))) )</f>
        <v>0</v>
      </c>
    </row>
    <row r="144" spans="1:39">
      <c r="A144" s="38">
        <f>IF(B144="","",SalePrefix&amp;TEXT(ROW()-4,"0000"))</f>
        <v>0</v>
      </c>
      <c r="Q144" s="13">
        <f>IF(C144="","",IFERROR(INDEX(Products!$B$5:$B$304,MATCH(C144,Products!$A$5:$A$304,0)),"Bundle or deleted"))</f>
        <v>0</v>
      </c>
      <c r="R144" s="13">
        <f>IF(B144="","",TEXT(B144,"yyyy-mm"))</f>
        <v>0</v>
      </c>
      <c r="S144" s="20">
        <f>IF(C144="","",IFERROR(INDEX(Products!$AR$5:$AR$304,MATCH(C144,Products!$A$5:$A$304,0)),""))</f>
        <v>0</v>
      </c>
      <c r="T144" s="20">
        <f>IF(B144="","",IF(F144&lt;&gt;"",F144,IF(S144="",0,S144)))</f>
        <v>0</v>
      </c>
      <c r="U144" s="20">
        <f>IF(B144="","",ROUND(IF(D144="",0,D144)*T144,2))</f>
        <v>0</v>
      </c>
      <c r="V144" s="20">
        <f>IF(B144="","",ROUND(U144-IF(G144="",0,G144)-IF(L144="",0,L144),2))</f>
        <v>0</v>
      </c>
      <c r="W144" s="20">
        <f>IF(C144="","",IFERROR(INDEX(Products!$AT$5:$AT$304,MATCH(C144,Products!$A$5:$A$304,0)),""))</f>
        <v>0</v>
      </c>
      <c r="X144" s="20">
        <f>IF(C144="","",IFERROR(INDEX(Products!$AG$5:$AG$304,MATCH(C144,Products!$A$5:$A$304,0)),""))</f>
        <v>0</v>
      </c>
      <c r="Y144" s="20">
        <f>IF(B144="","",ROUND(IF(D144="",0,D144)*MAX(0,IF(W144="",0,W144)-IF(X144="",0,X144)),2))</f>
        <v>0</v>
      </c>
      <c r="Z144" s="20">
        <f>IF(B144="","",ROUND(MAX(0,IF(J144="",0,J144)-IF(I144="",0,I144)),2))</f>
        <v>0</v>
      </c>
      <c r="AA144" s="33">
        <f>IF(B144="","",IFERROR(INDEX(Channels!$S$5:$S$18,MATCH(IF(E144="",DefaultChannel,E144),Channels!$A$5:$A$18,0)),0))</f>
        <v>0</v>
      </c>
      <c r="AB144" s="20">
        <f>IF(B144="","",IFERROR(INDEX(Channels!$T$5:$T$18,MATCH(IF(E144="",DefaultChannel,E144),Channels!$A$5:$A$18,0)),0))</f>
        <v>0</v>
      </c>
      <c r="AC144" s="42">
        <f>IF(B144="","",IFERROR(INDEX(Channels!$O$5:$O$18,MATCH(IF(E144="",DefaultChannel,E144),Channels!$A$5:$A$18,0)),"No"))</f>
        <v>0</v>
      </c>
      <c r="AD144" s="20">
        <f>IF(B144="","",ROUND((V144+IF(AC144="Yes",IF(I144="",0,I144),0))*AA144+AB144,2))</f>
        <v>0</v>
      </c>
      <c r="AE144" s="20">
        <f>IF(B144="","",IF(K144&lt;&gt;"",K144,AD144))</f>
        <v>0</v>
      </c>
      <c r="AF144" s="20">
        <f>IF(B144="","",IF(K144="","",ROUND(K144-AD144,2)))</f>
        <v>0</v>
      </c>
      <c r="AG144" s="20">
        <f>IF(B144="","",ROUND(V144-Y144-AE144-Z144,2))</f>
        <v>0</v>
      </c>
      <c r="AH144" s="33">
        <f>IF(B144="","",IF(OR(V144="",V144=0),"",AG144/V144))</f>
        <v>0</v>
      </c>
      <c r="AI144" s="33">
        <f>IF(C144="","",IFERROR(INDEX(Products!$AW$5:$AW$304,MATCH(C144,Products!$A$5:$A$304,0)),""))</f>
        <v>0</v>
      </c>
      <c r="AJ144" s="33">
        <f>IF(B144="","",IF(OR(AH144="",AI144=""),"",AH144-AI144))</f>
        <v>0</v>
      </c>
      <c r="AK144" s="41">
        <f>IF(B144="","",IFERROR(ROUND(IF(D144="",0,D144)*INDEX(Products!$X$5:$X$304,MATCH(C144,Products!$A$5:$A$304,0))/60,2),""))</f>
        <v>0</v>
      </c>
      <c r="AL144" s="20">
        <f>IF(B144="","",IF(OR(AK144="",AK144=0),"",ROUND(AG144/AK144,2)))</f>
        <v>0</v>
      </c>
      <c r="AM144" s="43">
        <f>IF(B144="","",IF(C144="","Add - which product?",IF(AG144&lt;0,"Loss - this order cost you money",IF(M144="Refunded","Refunded - check why",IF(AND(AF144&lt;&gt;"",AF144&gt;0.25),"Check - fees higher than your settings",IF(Z144&gt;1,"Check - postage is eating the margin",IF(AND(AH144&lt;&gt;"",AH144&lt;MarginWarning),"Low margin on this order","OK")))))) )</f>
        <v>0</v>
      </c>
    </row>
    <row r="145" spans="1:39">
      <c r="A145" s="38">
        <f>IF(B145="","",SalePrefix&amp;TEXT(ROW()-4,"0000"))</f>
        <v>0</v>
      </c>
      <c r="Q145" s="13">
        <f>IF(C145="","",IFERROR(INDEX(Products!$B$5:$B$304,MATCH(C145,Products!$A$5:$A$304,0)),"Bundle or deleted"))</f>
        <v>0</v>
      </c>
      <c r="R145" s="13">
        <f>IF(B145="","",TEXT(B145,"yyyy-mm"))</f>
        <v>0</v>
      </c>
      <c r="S145" s="20">
        <f>IF(C145="","",IFERROR(INDEX(Products!$AR$5:$AR$304,MATCH(C145,Products!$A$5:$A$304,0)),""))</f>
        <v>0</v>
      </c>
      <c r="T145" s="20">
        <f>IF(B145="","",IF(F145&lt;&gt;"",F145,IF(S145="",0,S145)))</f>
        <v>0</v>
      </c>
      <c r="U145" s="20">
        <f>IF(B145="","",ROUND(IF(D145="",0,D145)*T145,2))</f>
        <v>0</v>
      </c>
      <c r="V145" s="20">
        <f>IF(B145="","",ROUND(U145-IF(G145="",0,G145)-IF(L145="",0,L145),2))</f>
        <v>0</v>
      </c>
      <c r="W145" s="20">
        <f>IF(C145="","",IFERROR(INDEX(Products!$AT$5:$AT$304,MATCH(C145,Products!$A$5:$A$304,0)),""))</f>
        <v>0</v>
      </c>
      <c r="X145" s="20">
        <f>IF(C145="","",IFERROR(INDEX(Products!$AG$5:$AG$304,MATCH(C145,Products!$A$5:$A$304,0)),""))</f>
        <v>0</v>
      </c>
      <c r="Y145" s="20">
        <f>IF(B145="","",ROUND(IF(D145="",0,D145)*MAX(0,IF(W145="",0,W145)-IF(X145="",0,X145)),2))</f>
        <v>0</v>
      </c>
      <c r="Z145" s="20">
        <f>IF(B145="","",ROUND(MAX(0,IF(J145="",0,J145)-IF(I145="",0,I145)),2))</f>
        <v>0</v>
      </c>
      <c r="AA145" s="33">
        <f>IF(B145="","",IFERROR(INDEX(Channels!$S$5:$S$18,MATCH(IF(E145="",DefaultChannel,E145),Channels!$A$5:$A$18,0)),0))</f>
        <v>0</v>
      </c>
      <c r="AB145" s="20">
        <f>IF(B145="","",IFERROR(INDEX(Channels!$T$5:$T$18,MATCH(IF(E145="",DefaultChannel,E145),Channels!$A$5:$A$18,0)),0))</f>
        <v>0</v>
      </c>
      <c r="AC145" s="42">
        <f>IF(B145="","",IFERROR(INDEX(Channels!$O$5:$O$18,MATCH(IF(E145="",DefaultChannel,E145),Channels!$A$5:$A$18,0)),"No"))</f>
        <v>0</v>
      </c>
      <c r="AD145" s="20">
        <f>IF(B145="","",ROUND((V145+IF(AC145="Yes",IF(I145="",0,I145),0))*AA145+AB145,2))</f>
        <v>0</v>
      </c>
      <c r="AE145" s="20">
        <f>IF(B145="","",IF(K145&lt;&gt;"",K145,AD145))</f>
        <v>0</v>
      </c>
      <c r="AF145" s="20">
        <f>IF(B145="","",IF(K145="","",ROUND(K145-AD145,2)))</f>
        <v>0</v>
      </c>
      <c r="AG145" s="20">
        <f>IF(B145="","",ROUND(V145-Y145-AE145-Z145,2))</f>
        <v>0</v>
      </c>
      <c r="AH145" s="33">
        <f>IF(B145="","",IF(OR(V145="",V145=0),"",AG145/V145))</f>
        <v>0</v>
      </c>
      <c r="AI145" s="33">
        <f>IF(C145="","",IFERROR(INDEX(Products!$AW$5:$AW$304,MATCH(C145,Products!$A$5:$A$304,0)),""))</f>
        <v>0</v>
      </c>
      <c r="AJ145" s="33">
        <f>IF(B145="","",IF(OR(AH145="",AI145=""),"",AH145-AI145))</f>
        <v>0</v>
      </c>
      <c r="AK145" s="41">
        <f>IF(B145="","",IFERROR(ROUND(IF(D145="",0,D145)*INDEX(Products!$X$5:$X$304,MATCH(C145,Products!$A$5:$A$304,0))/60,2),""))</f>
        <v>0</v>
      </c>
      <c r="AL145" s="20">
        <f>IF(B145="","",IF(OR(AK145="",AK145=0),"",ROUND(AG145/AK145,2)))</f>
        <v>0</v>
      </c>
      <c r="AM145" s="43">
        <f>IF(B145="","",IF(C145="","Add - which product?",IF(AG145&lt;0,"Loss - this order cost you money",IF(M145="Refunded","Refunded - check why",IF(AND(AF145&lt;&gt;"",AF145&gt;0.25),"Check - fees higher than your settings",IF(Z145&gt;1,"Check - postage is eating the margin",IF(AND(AH145&lt;&gt;"",AH145&lt;MarginWarning),"Low margin on this order","OK")))))) )</f>
        <v>0</v>
      </c>
    </row>
    <row r="146" spans="1:39">
      <c r="A146" s="38">
        <f>IF(B146="","",SalePrefix&amp;TEXT(ROW()-4,"0000"))</f>
        <v>0</v>
      </c>
      <c r="Q146" s="13">
        <f>IF(C146="","",IFERROR(INDEX(Products!$B$5:$B$304,MATCH(C146,Products!$A$5:$A$304,0)),"Bundle or deleted"))</f>
        <v>0</v>
      </c>
      <c r="R146" s="13">
        <f>IF(B146="","",TEXT(B146,"yyyy-mm"))</f>
        <v>0</v>
      </c>
      <c r="S146" s="20">
        <f>IF(C146="","",IFERROR(INDEX(Products!$AR$5:$AR$304,MATCH(C146,Products!$A$5:$A$304,0)),""))</f>
        <v>0</v>
      </c>
      <c r="T146" s="20">
        <f>IF(B146="","",IF(F146&lt;&gt;"",F146,IF(S146="",0,S146)))</f>
        <v>0</v>
      </c>
      <c r="U146" s="20">
        <f>IF(B146="","",ROUND(IF(D146="",0,D146)*T146,2))</f>
        <v>0</v>
      </c>
      <c r="V146" s="20">
        <f>IF(B146="","",ROUND(U146-IF(G146="",0,G146)-IF(L146="",0,L146),2))</f>
        <v>0</v>
      </c>
      <c r="W146" s="20">
        <f>IF(C146="","",IFERROR(INDEX(Products!$AT$5:$AT$304,MATCH(C146,Products!$A$5:$A$304,0)),""))</f>
        <v>0</v>
      </c>
      <c r="X146" s="20">
        <f>IF(C146="","",IFERROR(INDEX(Products!$AG$5:$AG$304,MATCH(C146,Products!$A$5:$A$304,0)),""))</f>
        <v>0</v>
      </c>
      <c r="Y146" s="20">
        <f>IF(B146="","",ROUND(IF(D146="",0,D146)*MAX(0,IF(W146="",0,W146)-IF(X146="",0,X146)),2))</f>
        <v>0</v>
      </c>
      <c r="Z146" s="20">
        <f>IF(B146="","",ROUND(MAX(0,IF(J146="",0,J146)-IF(I146="",0,I146)),2))</f>
        <v>0</v>
      </c>
      <c r="AA146" s="33">
        <f>IF(B146="","",IFERROR(INDEX(Channels!$S$5:$S$18,MATCH(IF(E146="",DefaultChannel,E146),Channels!$A$5:$A$18,0)),0))</f>
        <v>0</v>
      </c>
      <c r="AB146" s="20">
        <f>IF(B146="","",IFERROR(INDEX(Channels!$T$5:$T$18,MATCH(IF(E146="",DefaultChannel,E146),Channels!$A$5:$A$18,0)),0))</f>
        <v>0</v>
      </c>
      <c r="AC146" s="42">
        <f>IF(B146="","",IFERROR(INDEX(Channels!$O$5:$O$18,MATCH(IF(E146="",DefaultChannel,E146),Channels!$A$5:$A$18,0)),"No"))</f>
        <v>0</v>
      </c>
      <c r="AD146" s="20">
        <f>IF(B146="","",ROUND((V146+IF(AC146="Yes",IF(I146="",0,I146),0))*AA146+AB146,2))</f>
        <v>0</v>
      </c>
      <c r="AE146" s="20">
        <f>IF(B146="","",IF(K146&lt;&gt;"",K146,AD146))</f>
        <v>0</v>
      </c>
      <c r="AF146" s="20">
        <f>IF(B146="","",IF(K146="","",ROUND(K146-AD146,2)))</f>
        <v>0</v>
      </c>
      <c r="AG146" s="20">
        <f>IF(B146="","",ROUND(V146-Y146-AE146-Z146,2))</f>
        <v>0</v>
      </c>
      <c r="AH146" s="33">
        <f>IF(B146="","",IF(OR(V146="",V146=0),"",AG146/V146))</f>
        <v>0</v>
      </c>
      <c r="AI146" s="33">
        <f>IF(C146="","",IFERROR(INDEX(Products!$AW$5:$AW$304,MATCH(C146,Products!$A$5:$A$304,0)),""))</f>
        <v>0</v>
      </c>
      <c r="AJ146" s="33">
        <f>IF(B146="","",IF(OR(AH146="",AI146=""),"",AH146-AI146))</f>
        <v>0</v>
      </c>
      <c r="AK146" s="41">
        <f>IF(B146="","",IFERROR(ROUND(IF(D146="",0,D146)*INDEX(Products!$X$5:$X$304,MATCH(C146,Products!$A$5:$A$304,0))/60,2),""))</f>
        <v>0</v>
      </c>
      <c r="AL146" s="20">
        <f>IF(B146="","",IF(OR(AK146="",AK146=0),"",ROUND(AG146/AK146,2)))</f>
        <v>0</v>
      </c>
      <c r="AM146" s="43">
        <f>IF(B146="","",IF(C146="","Add - which product?",IF(AG146&lt;0,"Loss - this order cost you money",IF(M146="Refunded","Refunded - check why",IF(AND(AF146&lt;&gt;"",AF146&gt;0.25),"Check - fees higher than your settings",IF(Z146&gt;1,"Check - postage is eating the margin",IF(AND(AH146&lt;&gt;"",AH146&lt;MarginWarning),"Low margin on this order","OK")))))) )</f>
        <v>0</v>
      </c>
    </row>
    <row r="147" spans="1:39">
      <c r="A147" s="38">
        <f>IF(B147="","",SalePrefix&amp;TEXT(ROW()-4,"0000"))</f>
        <v>0</v>
      </c>
      <c r="Q147" s="13">
        <f>IF(C147="","",IFERROR(INDEX(Products!$B$5:$B$304,MATCH(C147,Products!$A$5:$A$304,0)),"Bundle or deleted"))</f>
        <v>0</v>
      </c>
      <c r="R147" s="13">
        <f>IF(B147="","",TEXT(B147,"yyyy-mm"))</f>
        <v>0</v>
      </c>
      <c r="S147" s="20">
        <f>IF(C147="","",IFERROR(INDEX(Products!$AR$5:$AR$304,MATCH(C147,Products!$A$5:$A$304,0)),""))</f>
        <v>0</v>
      </c>
      <c r="T147" s="20">
        <f>IF(B147="","",IF(F147&lt;&gt;"",F147,IF(S147="",0,S147)))</f>
        <v>0</v>
      </c>
      <c r="U147" s="20">
        <f>IF(B147="","",ROUND(IF(D147="",0,D147)*T147,2))</f>
        <v>0</v>
      </c>
      <c r="V147" s="20">
        <f>IF(B147="","",ROUND(U147-IF(G147="",0,G147)-IF(L147="",0,L147),2))</f>
        <v>0</v>
      </c>
      <c r="W147" s="20">
        <f>IF(C147="","",IFERROR(INDEX(Products!$AT$5:$AT$304,MATCH(C147,Products!$A$5:$A$304,0)),""))</f>
        <v>0</v>
      </c>
      <c r="X147" s="20">
        <f>IF(C147="","",IFERROR(INDEX(Products!$AG$5:$AG$304,MATCH(C147,Products!$A$5:$A$304,0)),""))</f>
        <v>0</v>
      </c>
      <c r="Y147" s="20">
        <f>IF(B147="","",ROUND(IF(D147="",0,D147)*MAX(0,IF(W147="",0,W147)-IF(X147="",0,X147)),2))</f>
        <v>0</v>
      </c>
      <c r="Z147" s="20">
        <f>IF(B147="","",ROUND(MAX(0,IF(J147="",0,J147)-IF(I147="",0,I147)),2))</f>
        <v>0</v>
      </c>
      <c r="AA147" s="33">
        <f>IF(B147="","",IFERROR(INDEX(Channels!$S$5:$S$18,MATCH(IF(E147="",DefaultChannel,E147),Channels!$A$5:$A$18,0)),0))</f>
        <v>0</v>
      </c>
      <c r="AB147" s="20">
        <f>IF(B147="","",IFERROR(INDEX(Channels!$T$5:$T$18,MATCH(IF(E147="",DefaultChannel,E147),Channels!$A$5:$A$18,0)),0))</f>
        <v>0</v>
      </c>
      <c r="AC147" s="42">
        <f>IF(B147="","",IFERROR(INDEX(Channels!$O$5:$O$18,MATCH(IF(E147="",DefaultChannel,E147),Channels!$A$5:$A$18,0)),"No"))</f>
        <v>0</v>
      </c>
      <c r="AD147" s="20">
        <f>IF(B147="","",ROUND((V147+IF(AC147="Yes",IF(I147="",0,I147),0))*AA147+AB147,2))</f>
        <v>0</v>
      </c>
      <c r="AE147" s="20">
        <f>IF(B147="","",IF(K147&lt;&gt;"",K147,AD147))</f>
        <v>0</v>
      </c>
      <c r="AF147" s="20">
        <f>IF(B147="","",IF(K147="","",ROUND(K147-AD147,2)))</f>
        <v>0</v>
      </c>
      <c r="AG147" s="20">
        <f>IF(B147="","",ROUND(V147-Y147-AE147-Z147,2))</f>
        <v>0</v>
      </c>
      <c r="AH147" s="33">
        <f>IF(B147="","",IF(OR(V147="",V147=0),"",AG147/V147))</f>
        <v>0</v>
      </c>
      <c r="AI147" s="33">
        <f>IF(C147="","",IFERROR(INDEX(Products!$AW$5:$AW$304,MATCH(C147,Products!$A$5:$A$304,0)),""))</f>
        <v>0</v>
      </c>
      <c r="AJ147" s="33">
        <f>IF(B147="","",IF(OR(AH147="",AI147=""),"",AH147-AI147))</f>
        <v>0</v>
      </c>
      <c r="AK147" s="41">
        <f>IF(B147="","",IFERROR(ROUND(IF(D147="",0,D147)*INDEX(Products!$X$5:$X$304,MATCH(C147,Products!$A$5:$A$304,0))/60,2),""))</f>
        <v>0</v>
      </c>
      <c r="AL147" s="20">
        <f>IF(B147="","",IF(OR(AK147="",AK147=0),"",ROUND(AG147/AK147,2)))</f>
        <v>0</v>
      </c>
      <c r="AM147" s="43">
        <f>IF(B147="","",IF(C147="","Add - which product?",IF(AG147&lt;0,"Loss - this order cost you money",IF(M147="Refunded","Refunded - check why",IF(AND(AF147&lt;&gt;"",AF147&gt;0.25),"Check - fees higher than your settings",IF(Z147&gt;1,"Check - postage is eating the margin",IF(AND(AH147&lt;&gt;"",AH147&lt;MarginWarning),"Low margin on this order","OK")))))) )</f>
        <v>0</v>
      </c>
    </row>
    <row r="148" spans="1:39">
      <c r="A148" s="38">
        <f>IF(B148="","",SalePrefix&amp;TEXT(ROW()-4,"0000"))</f>
        <v>0</v>
      </c>
      <c r="Q148" s="13">
        <f>IF(C148="","",IFERROR(INDEX(Products!$B$5:$B$304,MATCH(C148,Products!$A$5:$A$304,0)),"Bundle or deleted"))</f>
        <v>0</v>
      </c>
      <c r="R148" s="13">
        <f>IF(B148="","",TEXT(B148,"yyyy-mm"))</f>
        <v>0</v>
      </c>
      <c r="S148" s="20">
        <f>IF(C148="","",IFERROR(INDEX(Products!$AR$5:$AR$304,MATCH(C148,Products!$A$5:$A$304,0)),""))</f>
        <v>0</v>
      </c>
      <c r="T148" s="20">
        <f>IF(B148="","",IF(F148&lt;&gt;"",F148,IF(S148="",0,S148)))</f>
        <v>0</v>
      </c>
      <c r="U148" s="20">
        <f>IF(B148="","",ROUND(IF(D148="",0,D148)*T148,2))</f>
        <v>0</v>
      </c>
      <c r="V148" s="20">
        <f>IF(B148="","",ROUND(U148-IF(G148="",0,G148)-IF(L148="",0,L148),2))</f>
        <v>0</v>
      </c>
      <c r="W148" s="20">
        <f>IF(C148="","",IFERROR(INDEX(Products!$AT$5:$AT$304,MATCH(C148,Products!$A$5:$A$304,0)),""))</f>
        <v>0</v>
      </c>
      <c r="X148" s="20">
        <f>IF(C148="","",IFERROR(INDEX(Products!$AG$5:$AG$304,MATCH(C148,Products!$A$5:$A$304,0)),""))</f>
        <v>0</v>
      </c>
      <c r="Y148" s="20">
        <f>IF(B148="","",ROUND(IF(D148="",0,D148)*MAX(0,IF(W148="",0,W148)-IF(X148="",0,X148)),2))</f>
        <v>0</v>
      </c>
      <c r="Z148" s="20">
        <f>IF(B148="","",ROUND(MAX(0,IF(J148="",0,J148)-IF(I148="",0,I148)),2))</f>
        <v>0</v>
      </c>
      <c r="AA148" s="33">
        <f>IF(B148="","",IFERROR(INDEX(Channels!$S$5:$S$18,MATCH(IF(E148="",DefaultChannel,E148),Channels!$A$5:$A$18,0)),0))</f>
        <v>0</v>
      </c>
      <c r="AB148" s="20">
        <f>IF(B148="","",IFERROR(INDEX(Channels!$T$5:$T$18,MATCH(IF(E148="",DefaultChannel,E148),Channels!$A$5:$A$18,0)),0))</f>
        <v>0</v>
      </c>
      <c r="AC148" s="42">
        <f>IF(B148="","",IFERROR(INDEX(Channels!$O$5:$O$18,MATCH(IF(E148="",DefaultChannel,E148),Channels!$A$5:$A$18,0)),"No"))</f>
        <v>0</v>
      </c>
      <c r="AD148" s="20">
        <f>IF(B148="","",ROUND((V148+IF(AC148="Yes",IF(I148="",0,I148),0))*AA148+AB148,2))</f>
        <v>0</v>
      </c>
      <c r="AE148" s="20">
        <f>IF(B148="","",IF(K148&lt;&gt;"",K148,AD148))</f>
        <v>0</v>
      </c>
      <c r="AF148" s="20">
        <f>IF(B148="","",IF(K148="","",ROUND(K148-AD148,2)))</f>
        <v>0</v>
      </c>
      <c r="AG148" s="20">
        <f>IF(B148="","",ROUND(V148-Y148-AE148-Z148,2))</f>
        <v>0</v>
      </c>
      <c r="AH148" s="33">
        <f>IF(B148="","",IF(OR(V148="",V148=0),"",AG148/V148))</f>
        <v>0</v>
      </c>
      <c r="AI148" s="33">
        <f>IF(C148="","",IFERROR(INDEX(Products!$AW$5:$AW$304,MATCH(C148,Products!$A$5:$A$304,0)),""))</f>
        <v>0</v>
      </c>
      <c r="AJ148" s="33">
        <f>IF(B148="","",IF(OR(AH148="",AI148=""),"",AH148-AI148))</f>
        <v>0</v>
      </c>
      <c r="AK148" s="41">
        <f>IF(B148="","",IFERROR(ROUND(IF(D148="",0,D148)*INDEX(Products!$X$5:$X$304,MATCH(C148,Products!$A$5:$A$304,0))/60,2),""))</f>
        <v>0</v>
      </c>
      <c r="AL148" s="20">
        <f>IF(B148="","",IF(OR(AK148="",AK148=0),"",ROUND(AG148/AK148,2)))</f>
        <v>0</v>
      </c>
      <c r="AM148" s="43">
        <f>IF(B148="","",IF(C148="","Add - which product?",IF(AG148&lt;0,"Loss - this order cost you money",IF(M148="Refunded","Refunded - check why",IF(AND(AF148&lt;&gt;"",AF148&gt;0.25),"Check - fees higher than your settings",IF(Z148&gt;1,"Check - postage is eating the margin",IF(AND(AH148&lt;&gt;"",AH148&lt;MarginWarning),"Low margin on this order","OK")))))) )</f>
        <v>0</v>
      </c>
    </row>
    <row r="149" spans="1:39">
      <c r="A149" s="38">
        <f>IF(B149="","",SalePrefix&amp;TEXT(ROW()-4,"0000"))</f>
        <v>0</v>
      </c>
      <c r="Q149" s="13">
        <f>IF(C149="","",IFERROR(INDEX(Products!$B$5:$B$304,MATCH(C149,Products!$A$5:$A$304,0)),"Bundle or deleted"))</f>
        <v>0</v>
      </c>
      <c r="R149" s="13">
        <f>IF(B149="","",TEXT(B149,"yyyy-mm"))</f>
        <v>0</v>
      </c>
      <c r="S149" s="20">
        <f>IF(C149="","",IFERROR(INDEX(Products!$AR$5:$AR$304,MATCH(C149,Products!$A$5:$A$304,0)),""))</f>
        <v>0</v>
      </c>
      <c r="T149" s="20">
        <f>IF(B149="","",IF(F149&lt;&gt;"",F149,IF(S149="",0,S149)))</f>
        <v>0</v>
      </c>
      <c r="U149" s="20">
        <f>IF(B149="","",ROUND(IF(D149="",0,D149)*T149,2))</f>
        <v>0</v>
      </c>
      <c r="V149" s="20">
        <f>IF(B149="","",ROUND(U149-IF(G149="",0,G149)-IF(L149="",0,L149),2))</f>
        <v>0</v>
      </c>
      <c r="W149" s="20">
        <f>IF(C149="","",IFERROR(INDEX(Products!$AT$5:$AT$304,MATCH(C149,Products!$A$5:$A$304,0)),""))</f>
        <v>0</v>
      </c>
      <c r="X149" s="20">
        <f>IF(C149="","",IFERROR(INDEX(Products!$AG$5:$AG$304,MATCH(C149,Products!$A$5:$A$304,0)),""))</f>
        <v>0</v>
      </c>
      <c r="Y149" s="20">
        <f>IF(B149="","",ROUND(IF(D149="",0,D149)*MAX(0,IF(W149="",0,W149)-IF(X149="",0,X149)),2))</f>
        <v>0</v>
      </c>
      <c r="Z149" s="20">
        <f>IF(B149="","",ROUND(MAX(0,IF(J149="",0,J149)-IF(I149="",0,I149)),2))</f>
        <v>0</v>
      </c>
      <c r="AA149" s="33">
        <f>IF(B149="","",IFERROR(INDEX(Channels!$S$5:$S$18,MATCH(IF(E149="",DefaultChannel,E149),Channels!$A$5:$A$18,0)),0))</f>
        <v>0</v>
      </c>
      <c r="AB149" s="20">
        <f>IF(B149="","",IFERROR(INDEX(Channels!$T$5:$T$18,MATCH(IF(E149="",DefaultChannel,E149),Channels!$A$5:$A$18,0)),0))</f>
        <v>0</v>
      </c>
      <c r="AC149" s="42">
        <f>IF(B149="","",IFERROR(INDEX(Channels!$O$5:$O$18,MATCH(IF(E149="",DefaultChannel,E149),Channels!$A$5:$A$18,0)),"No"))</f>
        <v>0</v>
      </c>
      <c r="AD149" s="20">
        <f>IF(B149="","",ROUND((V149+IF(AC149="Yes",IF(I149="",0,I149),0))*AA149+AB149,2))</f>
        <v>0</v>
      </c>
      <c r="AE149" s="20">
        <f>IF(B149="","",IF(K149&lt;&gt;"",K149,AD149))</f>
        <v>0</v>
      </c>
      <c r="AF149" s="20">
        <f>IF(B149="","",IF(K149="","",ROUND(K149-AD149,2)))</f>
        <v>0</v>
      </c>
      <c r="AG149" s="20">
        <f>IF(B149="","",ROUND(V149-Y149-AE149-Z149,2))</f>
        <v>0</v>
      </c>
      <c r="AH149" s="33">
        <f>IF(B149="","",IF(OR(V149="",V149=0),"",AG149/V149))</f>
        <v>0</v>
      </c>
      <c r="AI149" s="33">
        <f>IF(C149="","",IFERROR(INDEX(Products!$AW$5:$AW$304,MATCH(C149,Products!$A$5:$A$304,0)),""))</f>
        <v>0</v>
      </c>
      <c r="AJ149" s="33">
        <f>IF(B149="","",IF(OR(AH149="",AI149=""),"",AH149-AI149))</f>
        <v>0</v>
      </c>
      <c r="AK149" s="41">
        <f>IF(B149="","",IFERROR(ROUND(IF(D149="",0,D149)*INDEX(Products!$X$5:$X$304,MATCH(C149,Products!$A$5:$A$304,0))/60,2),""))</f>
        <v>0</v>
      </c>
      <c r="AL149" s="20">
        <f>IF(B149="","",IF(OR(AK149="",AK149=0),"",ROUND(AG149/AK149,2)))</f>
        <v>0</v>
      </c>
      <c r="AM149" s="43">
        <f>IF(B149="","",IF(C149="","Add - which product?",IF(AG149&lt;0,"Loss - this order cost you money",IF(M149="Refunded","Refunded - check why",IF(AND(AF149&lt;&gt;"",AF149&gt;0.25),"Check - fees higher than your settings",IF(Z149&gt;1,"Check - postage is eating the margin",IF(AND(AH149&lt;&gt;"",AH149&lt;MarginWarning),"Low margin on this order","OK")))))) )</f>
        <v>0</v>
      </c>
    </row>
    <row r="150" spans="1:39">
      <c r="A150" s="38">
        <f>IF(B150="","",SalePrefix&amp;TEXT(ROW()-4,"0000"))</f>
        <v>0</v>
      </c>
      <c r="Q150" s="13">
        <f>IF(C150="","",IFERROR(INDEX(Products!$B$5:$B$304,MATCH(C150,Products!$A$5:$A$304,0)),"Bundle or deleted"))</f>
        <v>0</v>
      </c>
      <c r="R150" s="13">
        <f>IF(B150="","",TEXT(B150,"yyyy-mm"))</f>
        <v>0</v>
      </c>
      <c r="S150" s="20">
        <f>IF(C150="","",IFERROR(INDEX(Products!$AR$5:$AR$304,MATCH(C150,Products!$A$5:$A$304,0)),""))</f>
        <v>0</v>
      </c>
      <c r="T150" s="20">
        <f>IF(B150="","",IF(F150&lt;&gt;"",F150,IF(S150="",0,S150)))</f>
        <v>0</v>
      </c>
      <c r="U150" s="20">
        <f>IF(B150="","",ROUND(IF(D150="",0,D150)*T150,2))</f>
        <v>0</v>
      </c>
      <c r="V150" s="20">
        <f>IF(B150="","",ROUND(U150-IF(G150="",0,G150)-IF(L150="",0,L150),2))</f>
        <v>0</v>
      </c>
      <c r="W150" s="20">
        <f>IF(C150="","",IFERROR(INDEX(Products!$AT$5:$AT$304,MATCH(C150,Products!$A$5:$A$304,0)),""))</f>
        <v>0</v>
      </c>
      <c r="X150" s="20">
        <f>IF(C150="","",IFERROR(INDEX(Products!$AG$5:$AG$304,MATCH(C150,Products!$A$5:$A$304,0)),""))</f>
        <v>0</v>
      </c>
      <c r="Y150" s="20">
        <f>IF(B150="","",ROUND(IF(D150="",0,D150)*MAX(0,IF(W150="",0,W150)-IF(X150="",0,X150)),2))</f>
        <v>0</v>
      </c>
      <c r="Z150" s="20">
        <f>IF(B150="","",ROUND(MAX(0,IF(J150="",0,J150)-IF(I150="",0,I150)),2))</f>
        <v>0</v>
      </c>
      <c r="AA150" s="33">
        <f>IF(B150="","",IFERROR(INDEX(Channels!$S$5:$S$18,MATCH(IF(E150="",DefaultChannel,E150),Channels!$A$5:$A$18,0)),0))</f>
        <v>0</v>
      </c>
      <c r="AB150" s="20">
        <f>IF(B150="","",IFERROR(INDEX(Channels!$T$5:$T$18,MATCH(IF(E150="",DefaultChannel,E150),Channels!$A$5:$A$18,0)),0))</f>
        <v>0</v>
      </c>
      <c r="AC150" s="42">
        <f>IF(B150="","",IFERROR(INDEX(Channels!$O$5:$O$18,MATCH(IF(E150="",DefaultChannel,E150),Channels!$A$5:$A$18,0)),"No"))</f>
        <v>0</v>
      </c>
      <c r="AD150" s="20">
        <f>IF(B150="","",ROUND((V150+IF(AC150="Yes",IF(I150="",0,I150),0))*AA150+AB150,2))</f>
        <v>0</v>
      </c>
      <c r="AE150" s="20">
        <f>IF(B150="","",IF(K150&lt;&gt;"",K150,AD150))</f>
        <v>0</v>
      </c>
      <c r="AF150" s="20">
        <f>IF(B150="","",IF(K150="","",ROUND(K150-AD150,2)))</f>
        <v>0</v>
      </c>
      <c r="AG150" s="20">
        <f>IF(B150="","",ROUND(V150-Y150-AE150-Z150,2))</f>
        <v>0</v>
      </c>
      <c r="AH150" s="33">
        <f>IF(B150="","",IF(OR(V150="",V150=0),"",AG150/V150))</f>
        <v>0</v>
      </c>
      <c r="AI150" s="33">
        <f>IF(C150="","",IFERROR(INDEX(Products!$AW$5:$AW$304,MATCH(C150,Products!$A$5:$A$304,0)),""))</f>
        <v>0</v>
      </c>
      <c r="AJ150" s="33">
        <f>IF(B150="","",IF(OR(AH150="",AI150=""),"",AH150-AI150))</f>
        <v>0</v>
      </c>
      <c r="AK150" s="41">
        <f>IF(B150="","",IFERROR(ROUND(IF(D150="",0,D150)*INDEX(Products!$X$5:$X$304,MATCH(C150,Products!$A$5:$A$304,0))/60,2),""))</f>
        <v>0</v>
      </c>
      <c r="AL150" s="20">
        <f>IF(B150="","",IF(OR(AK150="",AK150=0),"",ROUND(AG150/AK150,2)))</f>
        <v>0</v>
      </c>
      <c r="AM150" s="43">
        <f>IF(B150="","",IF(C150="","Add - which product?",IF(AG150&lt;0,"Loss - this order cost you money",IF(M150="Refunded","Refunded - check why",IF(AND(AF150&lt;&gt;"",AF150&gt;0.25),"Check - fees higher than your settings",IF(Z150&gt;1,"Check - postage is eating the margin",IF(AND(AH150&lt;&gt;"",AH150&lt;MarginWarning),"Low margin on this order","OK")))))) )</f>
        <v>0</v>
      </c>
    </row>
    <row r="151" spans="1:39">
      <c r="A151" s="38">
        <f>IF(B151="","",SalePrefix&amp;TEXT(ROW()-4,"0000"))</f>
        <v>0</v>
      </c>
      <c r="Q151" s="13">
        <f>IF(C151="","",IFERROR(INDEX(Products!$B$5:$B$304,MATCH(C151,Products!$A$5:$A$304,0)),"Bundle or deleted"))</f>
        <v>0</v>
      </c>
      <c r="R151" s="13">
        <f>IF(B151="","",TEXT(B151,"yyyy-mm"))</f>
        <v>0</v>
      </c>
      <c r="S151" s="20">
        <f>IF(C151="","",IFERROR(INDEX(Products!$AR$5:$AR$304,MATCH(C151,Products!$A$5:$A$304,0)),""))</f>
        <v>0</v>
      </c>
      <c r="T151" s="20">
        <f>IF(B151="","",IF(F151&lt;&gt;"",F151,IF(S151="",0,S151)))</f>
        <v>0</v>
      </c>
      <c r="U151" s="20">
        <f>IF(B151="","",ROUND(IF(D151="",0,D151)*T151,2))</f>
        <v>0</v>
      </c>
      <c r="V151" s="20">
        <f>IF(B151="","",ROUND(U151-IF(G151="",0,G151)-IF(L151="",0,L151),2))</f>
        <v>0</v>
      </c>
      <c r="W151" s="20">
        <f>IF(C151="","",IFERROR(INDEX(Products!$AT$5:$AT$304,MATCH(C151,Products!$A$5:$A$304,0)),""))</f>
        <v>0</v>
      </c>
      <c r="X151" s="20">
        <f>IF(C151="","",IFERROR(INDEX(Products!$AG$5:$AG$304,MATCH(C151,Products!$A$5:$A$304,0)),""))</f>
        <v>0</v>
      </c>
      <c r="Y151" s="20">
        <f>IF(B151="","",ROUND(IF(D151="",0,D151)*MAX(0,IF(W151="",0,W151)-IF(X151="",0,X151)),2))</f>
        <v>0</v>
      </c>
      <c r="Z151" s="20">
        <f>IF(B151="","",ROUND(MAX(0,IF(J151="",0,J151)-IF(I151="",0,I151)),2))</f>
        <v>0</v>
      </c>
      <c r="AA151" s="33">
        <f>IF(B151="","",IFERROR(INDEX(Channels!$S$5:$S$18,MATCH(IF(E151="",DefaultChannel,E151),Channels!$A$5:$A$18,0)),0))</f>
        <v>0</v>
      </c>
      <c r="AB151" s="20">
        <f>IF(B151="","",IFERROR(INDEX(Channels!$T$5:$T$18,MATCH(IF(E151="",DefaultChannel,E151),Channels!$A$5:$A$18,0)),0))</f>
        <v>0</v>
      </c>
      <c r="AC151" s="42">
        <f>IF(B151="","",IFERROR(INDEX(Channels!$O$5:$O$18,MATCH(IF(E151="",DefaultChannel,E151),Channels!$A$5:$A$18,0)),"No"))</f>
        <v>0</v>
      </c>
      <c r="AD151" s="20">
        <f>IF(B151="","",ROUND((V151+IF(AC151="Yes",IF(I151="",0,I151),0))*AA151+AB151,2))</f>
        <v>0</v>
      </c>
      <c r="AE151" s="20">
        <f>IF(B151="","",IF(K151&lt;&gt;"",K151,AD151))</f>
        <v>0</v>
      </c>
      <c r="AF151" s="20">
        <f>IF(B151="","",IF(K151="","",ROUND(K151-AD151,2)))</f>
        <v>0</v>
      </c>
      <c r="AG151" s="20">
        <f>IF(B151="","",ROUND(V151-Y151-AE151-Z151,2))</f>
        <v>0</v>
      </c>
      <c r="AH151" s="33">
        <f>IF(B151="","",IF(OR(V151="",V151=0),"",AG151/V151))</f>
        <v>0</v>
      </c>
      <c r="AI151" s="33">
        <f>IF(C151="","",IFERROR(INDEX(Products!$AW$5:$AW$304,MATCH(C151,Products!$A$5:$A$304,0)),""))</f>
        <v>0</v>
      </c>
      <c r="AJ151" s="33">
        <f>IF(B151="","",IF(OR(AH151="",AI151=""),"",AH151-AI151))</f>
        <v>0</v>
      </c>
      <c r="AK151" s="41">
        <f>IF(B151="","",IFERROR(ROUND(IF(D151="",0,D151)*INDEX(Products!$X$5:$X$304,MATCH(C151,Products!$A$5:$A$304,0))/60,2),""))</f>
        <v>0</v>
      </c>
      <c r="AL151" s="20">
        <f>IF(B151="","",IF(OR(AK151="",AK151=0),"",ROUND(AG151/AK151,2)))</f>
        <v>0</v>
      </c>
      <c r="AM151" s="43">
        <f>IF(B151="","",IF(C151="","Add - which product?",IF(AG151&lt;0,"Loss - this order cost you money",IF(M151="Refunded","Refunded - check why",IF(AND(AF151&lt;&gt;"",AF151&gt;0.25),"Check - fees higher than your settings",IF(Z151&gt;1,"Check - postage is eating the margin",IF(AND(AH151&lt;&gt;"",AH151&lt;MarginWarning),"Low margin on this order","OK")))))) )</f>
        <v>0</v>
      </c>
    </row>
    <row r="152" spans="1:39">
      <c r="A152" s="38">
        <f>IF(B152="","",SalePrefix&amp;TEXT(ROW()-4,"0000"))</f>
        <v>0</v>
      </c>
      <c r="Q152" s="13">
        <f>IF(C152="","",IFERROR(INDEX(Products!$B$5:$B$304,MATCH(C152,Products!$A$5:$A$304,0)),"Bundle or deleted"))</f>
        <v>0</v>
      </c>
      <c r="R152" s="13">
        <f>IF(B152="","",TEXT(B152,"yyyy-mm"))</f>
        <v>0</v>
      </c>
      <c r="S152" s="20">
        <f>IF(C152="","",IFERROR(INDEX(Products!$AR$5:$AR$304,MATCH(C152,Products!$A$5:$A$304,0)),""))</f>
        <v>0</v>
      </c>
      <c r="T152" s="20">
        <f>IF(B152="","",IF(F152&lt;&gt;"",F152,IF(S152="",0,S152)))</f>
        <v>0</v>
      </c>
      <c r="U152" s="20">
        <f>IF(B152="","",ROUND(IF(D152="",0,D152)*T152,2))</f>
        <v>0</v>
      </c>
      <c r="V152" s="20">
        <f>IF(B152="","",ROUND(U152-IF(G152="",0,G152)-IF(L152="",0,L152),2))</f>
        <v>0</v>
      </c>
      <c r="W152" s="20">
        <f>IF(C152="","",IFERROR(INDEX(Products!$AT$5:$AT$304,MATCH(C152,Products!$A$5:$A$304,0)),""))</f>
        <v>0</v>
      </c>
      <c r="X152" s="20">
        <f>IF(C152="","",IFERROR(INDEX(Products!$AG$5:$AG$304,MATCH(C152,Products!$A$5:$A$304,0)),""))</f>
        <v>0</v>
      </c>
      <c r="Y152" s="20">
        <f>IF(B152="","",ROUND(IF(D152="",0,D152)*MAX(0,IF(W152="",0,W152)-IF(X152="",0,X152)),2))</f>
        <v>0</v>
      </c>
      <c r="Z152" s="20">
        <f>IF(B152="","",ROUND(MAX(0,IF(J152="",0,J152)-IF(I152="",0,I152)),2))</f>
        <v>0</v>
      </c>
      <c r="AA152" s="33">
        <f>IF(B152="","",IFERROR(INDEX(Channels!$S$5:$S$18,MATCH(IF(E152="",DefaultChannel,E152),Channels!$A$5:$A$18,0)),0))</f>
        <v>0</v>
      </c>
      <c r="AB152" s="20">
        <f>IF(B152="","",IFERROR(INDEX(Channels!$T$5:$T$18,MATCH(IF(E152="",DefaultChannel,E152),Channels!$A$5:$A$18,0)),0))</f>
        <v>0</v>
      </c>
      <c r="AC152" s="42">
        <f>IF(B152="","",IFERROR(INDEX(Channels!$O$5:$O$18,MATCH(IF(E152="",DefaultChannel,E152),Channels!$A$5:$A$18,0)),"No"))</f>
        <v>0</v>
      </c>
      <c r="AD152" s="20">
        <f>IF(B152="","",ROUND((V152+IF(AC152="Yes",IF(I152="",0,I152),0))*AA152+AB152,2))</f>
        <v>0</v>
      </c>
      <c r="AE152" s="20">
        <f>IF(B152="","",IF(K152&lt;&gt;"",K152,AD152))</f>
        <v>0</v>
      </c>
      <c r="AF152" s="20">
        <f>IF(B152="","",IF(K152="","",ROUND(K152-AD152,2)))</f>
        <v>0</v>
      </c>
      <c r="AG152" s="20">
        <f>IF(B152="","",ROUND(V152-Y152-AE152-Z152,2))</f>
        <v>0</v>
      </c>
      <c r="AH152" s="33">
        <f>IF(B152="","",IF(OR(V152="",V152=0),"",AG152/V152))</f>
        <v>0</v>
      </c>
      <c r="AI152" s="33">
        <f>IF(C152="","",IFERROR(INDEX(Products!$AW$5:$AW$304,MATCH(C152,Products!$A$5:$A$304,0)),""))</f>
        <v>0</v>
      </c>
      <c r="AJ152" s="33">
        <f>IF(B152="","",IF(OR(AH152="",AI152=""),"",AH152-AI152))</f>
        <v>0</v>
      </c>
      <c r="AK152" s="41">
        <f>IF(B152="","",IFERROR(ROUND(IF(D152="",0,D152)*INDEX(Products!$X$5:$X$304,MATCH(C152,Products!$A$5:$A$304,0))/60,2),""))</f>
        <v>0</v>
      </c>
      <c r="AL152" s="20">
        <f>IF(B152="","",IF(OR(AK152="",AK152=0),"",ROUND(AG152/AK152,2)))</f>
        <v>0</v>
      </c>
      <c r="AM152" s="43">
        <f>IF(B152="","",IF(C152="","Add - which product?",IF(AG152&lt;0,"Loss - this order cost you money",IF(M152="Refunded","Refunded - check why",IF(AND(AF152&lt;&gt;"",AF152&gt;0.25),"Check - fees higher than your settings",IF(Z152&gt;1,"Check - postage is eating the margin",IF(AND(AH152&lt;&gt;"",AH152&lt;MarginWarning),"Low margin on this order","OK")))))) )</f>
        <v>0</v>
      </c>
    </row>
    <row r="153" spans="1:39">
      <c r="A153" s="38">
        <f>IF(B153="","",SalePrefix&amp;TEXT(ROW()-4,"0000"))</f>
        <v>0</v>
      </c>
      <c r="Q153" s="13">
        <f>IF(C153="","",IFERROR(INDEX(Products!$B$5:$B$304,MATCH(C153,Products!$A$5:$A$304,0)),"Bundle or deleted"))</f>
        <v>0</v>
      </c>
      <c r="R153" s="13">
        <f>IF(B153="","",TEXT(B153,"yyyy-mm"))</f>
        <v>0</v>
      </c>
      <c r="S153" s="20">
        <f>IF(C153="","",IFERROR(INDEX(Products!$AR$5:$AR$304,MATCH(C153,Products!$A$5:$A$304,0)),""))</f>
        <v>0</v>
      </c>
      <c r="T153" s="20">
        <f>IF(B153="","",IF(F153&lt;&gt;"",F153,IF(S153="",0,S153)))</f>
        <v>0</v>
      </c>
      <c r="U153" s="20">
        <f>IF(B153="","",ROUND(IF(D153="",0,D153)*T153,2))</f>
        <v>0</v>
      </c>
      <c r="V153" s="20">
        <f>IF(B153="","",ROUND(U153-IF(G153="",0,G153)-IF(L153="",0,L153),2))</f>
        <v>0</v>
      </c>
      <c r="W153" s="20">
        <f>IF(C153="","",IFERROR(INDEX(Products!$AT$5:$AT$304,MATCH(C153,Products!$A$5:$A$304,0)),""))</f>
        <v>0</v>
      </c>
      <c r="X153" s="20">
        <f>IF(C153="","",IFERROR(INDEX(Products!$AG$5:$AG$304,MATCH(C153,Products!$A$5:$A$304,0)),""))</f>
        <v>0</v>
      </c>
      <c r="Y153" s="20">
        <f>IF(B153="","",ROUND(IF(D153="",0,D153)*MAX(0,IF(W153="",0,W153)-IF(X153="",0,X153)),2))</f>
        <v>0</v>
      </c>
      <c r="Z153" s="20">
        <f>IF(B153="","",ROUND(MAX(0,IF(J153="",0,J153)-IF(I153="",0,I153)),2))</f>
        <v>0</v>
      </c>
      <c r="AA153" s="33">
        <f>IF(B153="","",IFERROR(INDEX(Channels!$S$5:$S$18,MATCH(IF(E153="",DefaultChannel,E153),Channels!$A$5:$A$18,0)),0))</f>
        <v>0</v>
      </c>
      <c r="AB153" s="20">
        <f>IF(B153="","",IFERROR(INDEX(Channels!$T$5:$T$18,MATCH(IF(E153="",DefaultChannel,E153),Channels!$A$5:$A$18,0)),0))</f>
        <v>0</v>
      </c>
      <c r="AC153" s="42">
        <f>IF(B153="","",IFERROR(INDEX(Channels!$O$5:$O$18,MATCH(IF(E153="",DefaultChannel,E153),Channels!$A$5:$A$18,0)),"No"))</f>
        <v>0</v>
      </c>
      <c r="AD153" s="20">
        <f>IF(B153="","",ROUND((V153+IF(AC153="Yes",IF(I153="",0,I153),0))*AA153+AB153,2))</f>
        <v>0</v>
      </c>
      <c r="AE153" s="20">
        <f>IF(B153="","",IF(K153&lt;&gt;"",K153,AD153))</f>
        <v>0</v>
      </c>
      <c r="AF153" s="20">
        <f>IF(B153="","",IF(K153="","",ROUND(K153-AD153,2)))</f>
        <v>0</v>
      </c>
      <c r="AG153" s="20">
        <f>IF(B153="","",ROUND(V153-Y153-AE153-Z153,2))</f>
        <v>0</v>
      </c>
      <c r="AH153" s="33">
        <f>IF(B153="","",IF(OR(V153="",V153=0),"",AG153/V153))</f>
        <v>0</v>
      </c>
      <c r="AI153" s="33">
        <f>IF(C153="","",IFERROR(INDEX(Products!$AW$5:$AW$304,MATCH(C153,Products!$A$5:$A$304,0)),""))</f>
        <v>0</v>
      </c>
      <c r="AJ153" s="33">
        <f>IF(B153="","",IF(OR(AH153="",AI153=""),"",AH153-AI153))</f>
        <v>0</v>
      </c>
      <c r="AK153" s="41">
        <f>IF(B153="","",IFERROR(ROUND(IF(D153="",0,D153)*INDEX(Products!$X$5:$X$304,MATCH(C153,Products!$A$5:$A$304,0))/60,2),""))</f>
        <v>0</v>
      </c>
      <c r="AL153" s="20">
        <f>IF(B153="","",IF(OR(AK153="",AK153=0),"",ROUND(AG153/AK153,2)))</f>
        <v>0</v>
      </c>
      <c r="AM153" s="43">
        <f>IF(B153="","",IF(C153="","Add - which product?",IF(AG153&lt;0,"Loss - this order cost you money",IF(M153="Refunded","Refunded - check why",IF(AND(AF153&lt;&gt;"",AF153&gt;0.25),"Check - fees higher than your settings",IF(Z153&gt;1,"Check - postage is eating the margin",IF(AND(AH153&lt;&gt;"",AH153&lt;MarginWarning),"Low margin on this order","OK")))))) )</f>
        <v>0</v>
      </c>
    </row>
    <row r="154" spans="1:39">
      <c r="A154" s="38">
        <f>IF(B154="","",SalePrefix&amp;TEXT(ROW()-4,"0000"))</f>
        <v>0</v>
      </c>
      <c r="Q154" s="13">
        <f>IF(C154="","",IFERROR(INDEX(Products!$B$5:$B$304,MATCH(C154,Products!$A$5:$A$304,0)),"Bundle or deleted"))</f>
        <v>0</v>
      </c>
      <c r="R154" s="13">
        <f>IF(B154="","",TEXT(B154,"yyyy-mm"))</f>
        <v>0</v>
      </c>
      <c r="S154" s="20">
        <f>IF(C154="","",IFERROR(INDEX(Products!$AR$5:$AR$304,MATCH(C154,Products!$A$5:$A$304,0)),""))</f>
        <v>0</v>
      </c>
      <c r="T154" s="20">
        <f>IF(B154="","",IF(F154&lt;&gt;"",F154,IF(S154="",0,S154)))</f>
        <v>0</v>
      </c>
      <c r="U154" s="20">
        <f>IF(B154="","",ROUND(IF(D154="",0,D154)*T154,2))</f>
        <v>0</v>
      </c>
      <c r="V154" s="20">
        <f>IF(B154="","",ROUND(U154-IF(G154="",0,G154)-IF(L154="",0,L154),2))</f>
        <v>0</v>
      </c>
      <c r="W154" s="20">
        <f>IF(C154="","",IFERROR(INDEX(Products!$AT$5:$AT$304,MATCH(C154,Products!$A$5:$A$304,0)),""))</f>
        <v>0</v>
      </c>
      <c r="X154" s="20">
        <f>IF(C154="","",IFERROR(INDEX(Products!$AG$5:$AG$304,MATCH(C154,Products!$A$5:$A$304,0)),""))</f>
        <v>0</v>
      </c>
      <c r="Y154" s="20">
        <f>IF(B154="","",ROUND(IF(D154="",0,D154)*MAX(0,IF(W154="",0,W154)-IF(X154="",0,X154)),2))</f>
        <v>0</v>
      </c>
      <c r="Z154" s="20">
        <f>IF(B154="","",ROUND(MAX(0,IF(J154="",0,J154)-IF(I154="",0,I154)),2))</f>
        <v>0</v>
      </c>
      <c r="AA154" s="33">
        <f>IF(B154="","",IFERROR(INDEX(Channels!$S$5:$S$18,MATCH(IF(E154="",DefaultChannel,E154),Channels!$A$5:$A$18,0)),0))</f>
        <v>0</v>
      </c>
      <c r="AB154" s="20">
        <f>IF(B154="","",IFERROR(INDEX(Channels!$T$5:$T$18,MATCH(IF(E154="",DefaultChannel,E154),Channels!$A$5:$A$18,0)),0))</f>
        <v>0</v>
      </c>
      <c r="AC154" s="42">
        <f>IF(B154="","",IFERROR(INDEX(Channels!$O$5:$O$18,MATCH(IF(E154="",DefaultChannel,E154),Channels!$A$5:$A$18,0)),"No"))</f>
        <v>0</v>
      </c>
      <c r="AD154" s="20">
        <f>IF(B154="","",ROUND((V154+IF(AC154="Yes",IF(I154="",0,I154),0))*AA154+AB154,2))</f>
        <v>0</v>
      </c>
      <c r="AE154" s="20">
        <f>IF(B154="","",IF(K154&lt;&gt;"",K154,AD154))</f>
        <v>0</v>
      </c>
      <c r="AF154" s="20">
        <f>IF(B154="","",IF(K154="","",ROUND(K154-AD154,2)))</f>
        <v>0</v>
      </c>
      <c r="AG154" s="20">
        <f>IF(B154="","",ROUND(V154-Y154-AE154-Z154,2))</f>
        <v>0</v>
      </c>
      <c r="AH154" s="33">
        <f>IF(B154="","",IF(OR(V154="",V154=0),"",AG154/V154))</f>
        <v>0</v>
      </c>
      <c r="AI154" s="33">
        <f>IF(C154="","",IFERROR(INDEX(Products!$AW$5:$AW$304,MATCH(C154,Products!$A$5:$A$304,0)),""))</f>
        <v>0</v>
      </c>
      <c r="AJ154" s="33">
        <f>IF(B154="","",IF(OR(AH154="",AI154=""),"",AH154-AI154))</f>
        <v>0</v>
      </c>
      <c r="AK154" s="41">
        <f>IF(B154="","",IFERROR(ROUND(IF(D154="",0,D154)*INDEX(Products!$X$5:$X$304,MATCH(C154,Products!$A$5:$A$304,0))/60,2),""))</f>
        <v>0</v>
      </c>
      <c r="AL154" s="20">
        <f>IF(B154="","",IF(OR(AK154="",AK154=0),"",ROUND(AG154/AK154,2)))</f>
        <v>0</v>
      </c>
      <c r="AM154" s="43">
        <f>IF(B154="","",IF(C154="","Add - which product?",IF(AG154&lt;0,"Loss - this order cost you money",IF(M154="Refunded","Refunded - check why",IF(AND(AF154&lt;&gt;"",AF154&gt;0.25),"Check - fees higher than your settings",IF(Z154&gt;1,"Check - postage is eating the margin",IF(AND(AH154&lt;&gt;"",AH154&lt;MarginWarning),"Low margin on this order","OK")))))) )</f>
        <v>0</v>
      </c>
    </row>
    <row r="155" spans="1:39">
      <c r="A155" s="38">
        <f>IF(B155="","",SalePrefix&amp;TEXT(ROW()-4,"0000"))</f>
        <v>0</v>
      </c>
      <c r="Q155" s="13">
        <f>IF(C155="","",IFERROR(INDEX(Products!$B$5:$B$304,MATCH(C155,Products!$A$5:$A$304,0)),"Bundle or deleted"))</f>
        <v>0</v>
      </c>
      <c r="R155" s="13">
        <f>IF(B155="","",TEXT(B155,"yyyy-mm"))</f>
        <v>0</v>
      </c>
      <c r="S155" s="20">
        <f>IF(C155="","",IFERROR(INDEX(Products!$AR$5:$AR$304,MATCH(C155,Products!$A$5:$A$304,0)),""))</f>
        <v>0</v>
      </c>
      <c r="T155" s="20">
        <f>IF(B155="","",IF(F155&lt;&gt;"",F155,IF(S155="",0,S155)))</f>
        <v>0</v>
      </c>
      <c r="U155" s="20">
        <f>IF(B155="","",ROUND(IF(D155="",0,D155)*T155,2))</f>
        <v>0</v>
      </c>
      <c r="V155" s="20">
        <f>IF(B155="","",ROUND(U155-IF(G155="",0,G155)-IF(L155="",0,L155),2))</f>
        <v>0</v>
      </c>
      <c r="W155" s="20">
        <f>IF(C155="","",IFERROR(INDEX(Products!$AT$5:$AT$304,MATCH(C155,Products!$A$5:$A$304,0)),""))</f>
        <v>0</v>
      </c>
      <c r="X155" s="20">
        <f>IF(C155="","",IFERROR(INDEX(Products!$AG$5:$AG$304,MATCH(C155,Products!$A$5:$A$304,0)),""))</f>
        <v>0</v>
      </c>
      <c r="Y155" s="20">
        <f>IF(B155="","",ROUND(IF(D155="",0,D155)*MAX(0,IF(W155="",0,W155)-IF(X155="",0,X155)),2))</f>
        <v>0</v>
      </c>
      <c r="Z155" s="20">
        <f>IF(B155="","",ROUND(MAX(0,IF(J155="",0,J155)-IF(I155="",0,I155)),2))</f>
        <v>0</v>
      </c>
      <c r="AA155" s="33">
        <f>IF(B155="","",IFERROR(INDEX(Channels!$S$5:$S$18,MATCH(IF(E155="",DefaultChannel,E155),Channels!$A$5:$A$18,0)),0))</f>
        <v>0</v>
      </c>
      <c r="AB155" s="20">
        <f>IF(B155="","",IFERROR(INDEX(Channels!$T$5:$T$18,MATCH(IF(E155="",DefaultChannel,E155),Channels!$A$5:$A$18,0)),0))</f>
        <v>0</v>
      </c>
      <c r="AC155" s="42">
        <f>IF(B155="","",IFERROR(INDEX(Channels!$O$5:$O$18,MATCH(IF(E155="",DefaultChannel,E155),Channels!$A$5:$A$18,0)),"No"))</f>
        <v>0</v>
      </c>
      <c r="AD155" s="20">
        <f>IF(B155="","",ROUND((V155+IF(AC155="Yes",IF(I155="",0,I155),0))*AA155+AB155,2))</f>
        <v>0</v>
      </c>
      <c r="AE155" s="20">
        <f>IF(B155="","",IF(K155&lt;&gt;"",K155,AD155))</f>
        <v>0</v>
      </c>
      <c r="AF155" s="20">
        <f>IF(B155="","",IF(K155="","",ROUND(K155-AD155,2)))</f>
        <v>0</v>
      </c>
      <c r="AG155" s="20">
        <f>IF(B155="","",ROUND(V155-Y155-AE155-Z155,2))</f>
        <v>0</v>
      </c>
      <c r="AH155" s="33">
        <f>IF(B155="","",IF(OR(V155="",V155=0),"",AG155/V155))</f>
        <v>0</v>
      </c>
      <c r="AI155" s="33">
        <f>IF(C155="","",IFERROR(INDEX(Products!$AW$5:$AW$304,MATCH(C155,Products!$A$5:$A$304,0)),""))</f>
        <v>0</v>
      </c>
      <c r="AJ155" s="33">
        <f>IF(B155="","",IF(OR(AH155="",AI155=""),"",AH155-AI155))</f>
        <v>0</v>
      </c>
      <c r="AK155" s="41">
        <f>IF(B155="","",IFERROR(ROUND(IF(D155="",0,D155)*INDEX(Products!$X$5:$X$304,MATCH(C155,Products!$A$5:$A$304,0))/60,2),""))</f>
        <v>0</v>
      </c>
      <c r="AL155" s="20">
        <f>IF(B155="","",IF(OR(AK155="",AK155=0),"",ROUND(AG155/AK155,2)))</f>
        <v>0</v>
      </c>
      <c r="AM155" s="43">
        <f>IF(B155="","",IF(C155="","Add - which product?",IF(AG155&lt;0,"Loss - this order cost you money",IF(M155="Refunded","Refunded - check why",IF(AND(AF155&lt;&gt;"",AF155&gt;0.25),"Check - fees higher than your settings",IF(Z155&gt;1,"Check - postage is eating the margin",IF(AND(AH155&lt;&gt;"",AH155&lt;MarginWarning),"Low margin on this order","OK")))))) )</f>
        <v>0</v>
      </c>
    </row>
    <row r="156" spans="1:39">
      <c r="A156" s="38">
        <f>IF(B156="","",SalePrefix&amp;TEXT(ROW()-4,"0000"))</f>
        <v>0</v>
      </c>
      <c r="Q156" s="13">
        <f>IF(C156="","",IFERROR(INDEX(Products!$B$5:$B$304,MATCH(C156,Products!$A$5:$A$304,0)),"Bundle or deleted"))</f>
        <v>0</v>
      </c>
      <c r="R156" s="13">
        <f>IF(B156="","",TEXT(B156,"yyyy-mm"))</f>
        <v>0</v>
      </c>
      <c r="S156" s="20">
        <f>IF(C156="","",IFERROR(INDEX(Products!$AR$5:$AR$304,MATCH(C156,Products!$A$5:$A$304,0)),""))</f>
        <v>0</v>
      </c>
      <c r="T156" s="20">
        <f>IF(B156="","",IF(F156&lt;&gt;"",F156,IF(S156="",0,S156)))</f>
        <v>0</v>
      </c>
      <c r="U156" s="20">
        <f>IF(B156="","",ROUND(IF(D156="",0,D156)*T156,2))</f>
        <v>0</v>
      </c>
      <c r="V156" s="20">
        <f>IF(B156="","",ROUND(U156-IF(G156="",0,G156)-IF(L156="",0,L156),2))</f>
        <v>0</v>
      </c>
      <c r="W156" s="20">
        <f>IF(C156="","",IFERROR(INDEX(Products!$AT$5:$AT$304,MATCH(C156,Products!$A$5:$A$304,0)),""))</f>
        <v>0</v>
      </c>
      <c r="X156" s="20">
        <f>IF(C156="","",IFERROR(INDEX(Products!$AG$5:$AG$304,MATCH(C156,Products!$A$5:$A$304,0)),""))</f>
        <v>0</v>
      </c>
      <c r="Y156" s="20">
        <f>IF(B156="","",ROUND(IF(D156="",0,D156)*MAX(0,IF(W156="",0,W156)-IF(X156="",0,X156)),2))</f>
        <v>0</v>
      </c>
      <c r="Z156" s="20">
        <f>IF(B156="","",ROUND(MAX(0,IF(J156="",0,J156)-IF(I156="",0,I156)),2))</f>
        <v>0</v>
      </c>
      <c r="AA156" s="33">
        <f>IF(B156="","",IFERROR(INDEX(Channels!$S$5:$S$18,MATCH(IF(E156="",DefaultChannel,E156),Channels!$A$5:$A$18,0)),0))</f>
        <v>0</v>
      </c>
      <c r="AB156" s="20">
        <f>IF(B156="","",IFERROR(INDEX(Channels!$T$5:$T$18,MATCH(IF(E156="",DefaultChannel,E156),Channels!$A$5:$A$18,0)),0))</f>
        <v>0</v>
      </c>
      <c r="AC156" s="42">
        <f>IF(B156="","",IFERROR(INDEX(Channels!$O$5:$O$18,MATCH(IF(E156="",DefaultChannel,E156),Channels!$A$5:$A$18,0)),"No"))</f>
        <v>0</v>
      </c>
      <c r="AD156" s="20">
        <f>IF(B156="","",ROUND((V156+IF(AC156="Yes",IF(I156="",0,I156),0))*AA156+AB156,2))</f>
        <v>0</v>
      </c>
      <c r="AE156" s="20">
        <f>IF(B156="","",IF(K156&lt;&gt;"",K156,AD156))</f>
        <v>0</v>
      </c>
      <c r="AF156" s="20">
        <f>IF(B156="","",IF(K156="","",ROUND(K156-AD156,2)))</f>
        <v>0</v>
      </c>
      <c r="AG156" s="20">
        <f>IF(B156="","",ROUND(V156-Y156-AE156-Z156,2))</f>
        <v>0</v>
      </c>
      <c r="AH156" s="33">
        <f>IF(B156="","",IF(OR(V156="",V156=0),"",AG156/V156))</f>
        <v>0</v>
      </c>
      <c r="AI156" s="33">
        <f>IF(C156="","",IFERROR(INDEX(Products!$AW$5:$AW$304,MATCH(C156,Products!$A$5:$A$304,0)),""))</f>
        <v>0</v>
      </c>
      <c r="AJ156" s="33">
        <f>IF(B156="","",IF(OR(AH156="",AI156=""),"",AH156-AI156))</f>
        <v>0</v>
      </c>
      <c r="AK156" s="41">
        <f>IF(B156="","",IFERROR(ROUND(IF(D156="",0,D156)*INDEX(Products!$X$5:$X$304,MATCH(C156,Products!$A$5:$A$304,0))/60,2),""))</f>
        <v>0</v>
      </c>
      <c r="AL156" s="20">
        <f>IF(B156="","",IF(OR(AK156="",AK156=0),"",ROUND(AG156/AK156,2)))</f>
        <v>0</v>
      </c>
      <c r="AM156" s="43">
        <f>IF(B156="","",IF(C156="","Add - which product?",IF(AG156&lt;0,"Loss - this order cost you money",IF(M156="Refunded","Refunded - check why",IF(AND(AF156&lt;&gt;"",AF156&gt;0.25),"Check - fees higher than your settings",IF(Z156&gt;1,"Check - postage is eating the margin",IF(AND(AH156&lt;&gt;"",AH156&lt;MarginWarning),"Low margin on this order","OK")))))) )</f>
        <v>0</v>
      </c>
    </row>
    <row r="157" spans="1:39">
      <c r="A157" s="38">
        <f>IF(B157="","",SalePrefix&amp;TEXT(ROW()-4,"0000"))</f>
        <v>0</v>
      </c>
      <c r="Q157" s="13">
        <f>IF(C157="","",IFERROR(INDEX(Products!$B$5:$B$304,MATCH(C157,Products!$A$5:$A$304,0)),"Bundle or deleted"))</f>
        <v>0</v>
      </c>
      <c r="R157" s="13">
        <f>IF(B157="","",TEXT(B157,"yyyy-mm"))</f>
        <v>0</v>
      </c>
      <c r="S157" s="20">
        <f>IF(C157="","",IFERROR(INDEX(Products!$AR$5:$AR$304,MATCH(C157,Products!$A$5:$A$304,0)),""))</f>
        <v>0</v>
      </c>
      <c r="T157" s="20">
        <f>IF(B157="","",IF(F157&lt;&gt;"",F157,IF(S157="",0,S157)))</f>
        <v>0</v>
      </c>
      <c r="U157" s="20">
        <f>IF(B157="","",ROUND(IF(D157="",0,D157)*T157,2))</f>
        <v>0</v>
      </c>
      <c r="V157" s="20">
        <f>IF(B157="","",ROUND(U157-IF(G157="",0,G157)-IF(L157="",0,L157),2))</f>
        <v>0</v>
      </c>
      <c r="W157" s="20">
        <f>IF(C157="","",IFERROR(INDEX(Products!$AT$5:$AT$304,MATCH(C157,Products!$A$5:$A$304,0)),""))</f>
        <v>0</v>
      </c>
      <c r="X157" s="20">
        <f>IF(C157="","",IFERROR(INDEX(Products!$AG$5:$AG$304,MATCH(C157,Products!$A$5:$A$304,0)),""))</f>
        <v>0</v>
      </c>
      <c r="Y157" s="20">
        <f>IF(B157="","",ROUND(IF(D157="",0,D157)*MAX(0,IF(W157="",0,W157)-IF(X157="",0,X157)),2))</f>
        <v>0</v>
      </c>
      <c r="Z157" s="20">
        <f>IF(B157="","",ROUND(MAX(0,IF(J157="",0,J157)-IF(I157="",0,I157)),2))</f>
        <v>0</v>
      </c>
      <c r="AA157" s="33">
        <f>IF(B157="","",IFERROR(INDEX(Channels!$S$5:$S$18,MATCH(IF(E157="",DefaultChannel,E157),Channels!$A$5:$A$18,0)),0))</f>
        <v>0</v>
      </c>
      <c r="AB157" s="20">
        <f>IF(B157="","",IFERROR(INDEX(Channels!$T$5:$T$18,MATCH(IF(E157="",DefaultChannel,E157),Channels!$A$5:$A$18,0)),0))</f>
        <v>0</v>
      </c>
      <c r="AC157" s="42">
        <f>IF(B157="","",IFERROR(INDEX(Channels!$O$5:$O$18,MATCH(IF(E157="",DefaultChannel,E157),Channels!$A$5:$A$18,0)),"No"))</f>
        <v>0</v>
      </c>
      <c r="AD157" s="20">
        <f>IF(B157="","",ROUND((V157+IF(AC157="Yes",IF(I157="",0,I157),0))*AA157+AB157,2))</f>
        <v>0</v>
      </c>
      <c r="AE157" s="20">
        <f>IF(B157="","",IF(K157&lt;&gt;"",K157,AD157))</f>
        <v>0</v>
      </c>
      <c r="AF157" s="20">
        <f>IF(B157="","",IF(K157="","",ROUND(K157-AD157,2)))</f>
        <v>0</v>
      </c>
      <c r="AG157" s="20">
        <f>IF(B157="","",ROUND(V157-Y157-AE157-Z157,2))</f>
        <v>0</v>
      </c>
      <c r="AH157" s="33">
        <f>IF(B157="","",IF(OR(V157="",V157=0),"",AG157/V157))</f>
        <v>0</v>
      </c>
      <c r="AI157" s="33">
        <f>IF(C157="","",IFERROR(INDEX(Products!$AW$5:$AW$304,MATCH(C157,Products!$A$5:$A$304,0)),""))</f>
        <v>0</v>
      </c>
      <c r="AJ157" s="33">
        <f>IF(B157="","",IF(OR(AH157="",AI157=""),"",AH157-AI157))</f>
        <v>0</v>
      </c>
      <c r="AK157" s="41">
        <f>IF(B157="","",IFERROR(ROUND(IF(D157="",0,D157)*INDEX(Products!$X$5:$X$304,MATCH(C157,Products!$A$5:$A$304,0))/60,2),""))</f>
        <v>0</v>
      </c>
      <c r="AL157" s="20">
        <f>IF(B157="","",IF(OR(AK157="",AK157=0),"",ROUND(AG157/AK157,2)))</f>
        <v>0</v>
      </c>
      <c r="AM157" s="43">
        <f>IF(B157="","",IF(C157="","Add - which product?",IF(AG157&lt;0,"Loss - this order cost you money",IF(M157="Refunded","Refunded - check why",IF(AND(AF157&lt;&gt;"",AF157&gt;0.25),"Check - fees higher than your settings",IF(Z157&gt;1,"Check - postage is eating the margin",IF(AND(AH157&lt;&gt;"",AH157&lt;MarginWarning),"Low margin on this order","OK")))))) )</f>
        <v>0</v>
      </c>
    </row>
    <row r="158" spans="1:39">
      <c r="A158" s="38">
        <f>IF(B158="","",SalePrefix&amp;TEXT(ROW()-4,"0000"))</f>
        <v>0</v>
      </c>
      <c r="Q158" s="13">
        <f>IF(C158="","",IFERROR(INDEX(Products!$B$5:$B$304,MATCH(C158,Products!$A$5:$A$304,0)),"Bundle or deleted"))</f>
        <v>0</v>
      </c>
      <c r="R158" s="13">
        <f>IF(B158="","",TEXT(B158,"yyyy-mm"))</f>
        <v>0</v>
      </c>
      <c r="S158" s="20">
        <f>IF(C158="","",IFERROR(INDEX(Products!$AR$5:$AR$304,MATCH(C158,Products!$A$5:$A$304,0)),""))</f>
        <v>0</v>
      </c>
      <c r="T158" s="20">
        <f>IF(B158="","",IF(F158&lt;&gt;"",F158,IF(S158="",0,S158)))</f>
        <v>0</v>
      </c>
      <c r="U158" s="20">
        <f>IF(B158="","",ROUND(IF(D158="",0,D158)*T158,2))</f>
        <v>0</v>
      </c>
      <c r="V158" s="20">
        <f>IF(B158="","",ROUND(U158-IF(G158="",0,G158)-IF(L158="",0,L158),2))</f>
        <v>0</v>
      </c>
      <c r="W158" s="20">
        <f>IF(C158="","",IFERROR(INDEX(Products!$AT$5:$AT$304,MATCH(C158,Products!$A$5:$A$304,0)),""))</f>
        <v>0</v>
      </c>
      <c r="X158" s="20">
        <f>IF(C158="","",IFERROR(INDEX(Products!$AG$5:$AG$304,MATCH(C158,Products!$A$5:$A$304,0)),""))</f>
        <v>0</v>
      </c>
      <c r="Y158" s="20">
        <f>IF(B158="","",ROUND(IF(D158="",0,D158)*MAX(0,IF(W158="",0,W158)-IF(X158="",0,X158)),2))</f>
        <v>0</v>
      </c>
      <c r="Z158" s="20">
        <f>IF(B158="","",ROUND(MAX(0,IF(J158="",0,J158)-IF(I158="",0,I158)),2))</f>
        <v>0</v>
      </c>
      <c r="AA158" s="33">
        <f>IF(B158="","",IFERROR(INDEX(Channels!$S$5:$S$18,MATCH(IF(E158="",DefaultChannel,E158),Channels!$A$5:$A$18,0)),0))</f>
        <v>0</v>
      </c>
      <c r="AB158" s="20">
        <f>IF(B158="","",IFERROR(INDEX(Channels!$T$5:$T$18,MATCH(IF(E158="",DefaultChannel,E158),Channels!$A$5:$A$18,0)),0))</f>
        <v>0</v>
      </c>
      <c r="AC158" s="42">
        <f>IF(B158="","",IFERROR(INDEX(Channels!$O$5:$O$18,MATCH(IF(E158="",DefaultChannel,E158),Channels!$A$5:$A$18,0)),"No"))</f>
        <v>0</v>
      </c>
      <c r="AD158" s="20">
        <f>IF(B158="","",ROUND((V158+IF(AC158="Yes",IF(I158="",0,I158),0))*AA158+AB158,2))</f>
        <v>0</v>
      </c>
      <c r="AE158" s="20">
        <f>IF(B158="","",IF(K158&lt;&gt;"",K158,AD158))</f>
        <v>0</v>
      </c>
      <c r="AF158" s="20">
        <f>IF(B158="","",IF(K158="","",ROUND(K158-AD158,2)))</f>
        <v>0</v>
      </c>
      <c r="AG158" s="20">
        <f>IF(B158="","",ROUND(V158-Y158-AE158-Z158,2))</f>
        <v>0</v>
      </c>
      <c r="AH158" s="33">
        <f>IF(B158="","",IF(OR(V158="",V158=0),"",AG158/V158))</f>
        <v>0</v>
      </c>
      <c r="AI158" s="33">
        <f>IF(C158="","",IFERROR(INDEX(Products!$AW$5:$AW$304,MATCH(C158,Products!$A$5:$A$304,0)),""))</f>
        <v>0</v>
      </c>
      <c r="AJ158" s="33">
        <f>IF(B158="","",IF(OR(AH158="",AI158=""),"",AH158-AI158))</f>
        <v>0</v>
      </c>
      <c r="AK158" s="41">
        <f>IF(B158="","",IFERROR(ROUND(IF(D158="",0,D158)*INDEX(Products!$X$5:$X$304,MATCH(C158,Products!$A$5:$A$304,0))/60,2),""))</f>
        <v>0</v>
      </c>
      <c r="AL158" s="20">
        <f>IF(B158="","",IF(OR(AK158="",AK158=0),"",ROUND(AG158/AK158,2)))</f>
        <v>0</v>
      </c>
      <c r="AM158" s="43">
        <f>IF(B158="","",IF(C158="","Add - which product?",IF(AG158&lt;0,"Loss - this order cost you money",IF(M158="Refunded","Refunded - check why",IF(AND(AF158&lt;&gt;"",AF158&gt;0.25),"Check - fees higher than your settings",IF(Z158&gt;1,"Check - postage is eating the margin",IF(AND(AH158&lt;&gt;"",AH158&lt;MarginWarning),"Low margin on this order","OK")))))) )</f>
        <v>0</v>
      </c>
    </row>
    <row r="159" spans="1:39">
      <c r="A159" s="38">
        <f>IF(B159="","",SalePrefix&amp;TEXT(ROW()-4,"0000"))</f>
        <v>0</v>
      </c>
      <c r="Q159" s="13">
        <f>IF(C159="","",IFERROR(INDEX(Products!$B$5:$B$304,MATCH(C159,Products!$A$5:$A$304,0)),"Bundle or deleted"))</f>
        <v>0</v>
      </c>
      <c r="R159" s="13">
        <f>IF(B159="","",TEXT(B159,"yyyy-mm"))</f>
        <v>0</v>
      </c>
      <c r="S159" s="20">
        <f>IF(C159="","",IFERROR(INDEX(Products!$AR$5:$AR$304,MATCH(C159,Products!$A$5:$A$304,0)),""))</f>
        <v>0</v>
      </c>
      <c r="T159" s="20">
        <f>IF(B159="","",IF(F159&lt;&gt;"",F159,IF(S159="",0,S159)))</f>
        <v>0</v>
      </c>
      <c r="U159" s="20">
        <f>IF(B159="","",ROUND(IF(D159="",0,D159)*T159,2))</f>
        <v>0</v>
      </c>
      <c r="V159" s="20">
        <f>IF(B159="","",ROUND(U159-IF(G159="",0,G159)-IF(L159="",0,L159),2))</f>
        <v>0</v>
      </c>
      <c r="W159" s="20">
        <f>IF(C159="","",IFERROR(INDEX(Products!$AT$5:$AT$304,MATCH(C159,Products!$A$5:$A$304,0)),""))</f>
        <v>0</v>
      </c>
      <c r="X159" s="20">
        <f>IF(C159="","",IFERROR(INDEX(Products!$AG$5:$AG$304,MATCH(C159,Products!$A$5:$A$304,0)),""))</f>
        <v>0</v>
      </c>
      <c r="Y159" s="20">
        <f>IF(B159="","",ROUND(IF(D159="",0,D159)*MAX(0,IF(W159="",0,W159)-IF(X159="",0,X159)),2))</f>
        <v>0</v>
      </c>
      <c r="Z159" s="20">
        <f>IF(B159="","",ROUND(MAX(0,IF(J159="",0,J159)-IF(I159="",0,I159)),2))</f>
        <v>0</v>
      </c>
      <c r="AA159" s="33">
        <f>IF(B159="","",IFERROR(INDEX(Channels!$S$5:$S$18,MATCH(IF(E159="",DefaultChannel,E159),Channels!$A$5:$A$18,0)),0))</f>
        <v>0</v>
      </c>
      <c r="AB159" s="20">
        <f>IF(B159="","",IFERROR(INDEX(Channels!$T$5:$T$18,MATCH(IF(E159="",DefaultChannel,E159),Channels!$A$5:$A$18,0)),0))</f>
        <v>0</v>
      </c>
      <c r="AC159" s="42">
        <f>IF(B159="","",IFERROR(INDEX(Channels!$O$5:$O$18,MATCH(IF(E159="",DefaultChannel,E159),Channels!$A$5:$A$18,0)),"No"))</f>
        <v>0</v>
      </c>
      <c r="AD159" s="20">
        <f>IF(B159="","",ROUND((V159+IF(AC159="Yes",IF(I159="",0,I159),0))*AA159+AB159,2))</f>
        <v>0</v>
      </c>
      <c r="AE159" s="20">
        <f>IF(B159="","",IF(K159&lt;&gt;"",K159,AD159))</f>
        <v>0</v>
      </c>
      <c r="AF159" s="20">
        <f>IF(B159="","",IF(K159="","",ROUND(K159-AD159,2)))</f>
        <v>0</v>
      </c>
      <c r="AG159" s="20">
        <f>IF(B159="","",ROUND(V159-Y159-AE159-Z159,2))</f>
        <v>0</v>
      </c>
      <c r="AH159" s="33">
        <f>IF(B159="","",IF(OR(V159="",V159=0),"",AG159/V159))</f>
        <v>0</v>
      </c>
      <c r="AI159" s="33">
        <f>IF(C159="","",IFERROR(INDEX(Products!$AW$5:$AW$304,MATCH(C159,Products!$A$5:$A$304,0)),""))</f>
        <v>0</v>
      </c>
      <c r="AJ159" s="33">
        <f>IF(B159="","",IF(OR(AH159="",AI159=""),"",AH159-AI159))</f>
        <v>0</v>
      </c>
      <c r="AK159" s="41">
        <f>IF(B159="","",IFERROR(ROUND(IF(D159="",0,D159)*INDEX(Products!$X$5:$X$304,MATCH(C159,Products!$A$5:$A$304,0))/60,2),""))</f>
        <v>0</v>
      </c>
      <c r="AL159" s="20">
        <f>IF(B159="","",IF(OR(AK159="",AK159=0),"",ROUND(AG159/AK159,2)))</f>
        <v>0</v>
      </c>
      <c r="AM159" s="43">
        <f>IF(B159="","",IF(C159="","Add - which product?",IF(AG159&lt;0,"Loss - this order cost you money",IF(M159="Refunded","Refunded - check why",IF(AND(AF159&lt;&gt;"",AF159&gt;0.25),"Check - fees higher than your settings",IF(Z159&gt;1,"Check - postage is eating the margin",IF(AND(AH159&lt;&gt;"",AH159&lt;MarginWarning),"Low margin on this order","OK")))))) )</f>
        <v>0</v>
      </c>
    </row>
    <row r="160" spans="1:39">
      <c r="A160" s="38">
        <f>IF(B160="","",SalePrefix&amp;TEXT(ROW()-4,"0000"))</f>
        <v>0</v>
      </c>
      <c r="Q160" s="13">
        <f>IF(C160="","",IFERROR(INDEX(Products!$B$5:$B$304,MATCH(C160,Products!$A$5:$A$304,0)),"Bundle or deleted"))</f>
        <v>0</v>
      </c>
      <c r="R160" s="13">
        <f>IF(B160="","",TEXT(B160,"yyyy-mm"))</f>
        <v>0</v>
      </c>
      <c r="S160" s="20">
        <f>IF(C160="","",IFERROR(INDEX(Products!$AR$5:$AR$304,MATCH(C160,Products!$A$5:$A$304,0)),""))</f>
        <v>0</v>
      </c>
      <c r="T160" s="20">
        <f>IF(B160="","",IF(F160&lt;&gt;"",F160,IF(S160="",0,S160)))</f>
        <v>0</v>
      </c>
      <c r="U160" s="20">
        <f>IF(B160="","",ROUND(IF(D160="",0,D160)*T160,2))</f>
        <v>0</v>
      </c>
      <c r="V160" s="20">
        <f>IF(B160="","",ROUND(U160-IF(G160="",0,G160)-IF(L160="",0,L160),2))</f>
        <v>0</v>
      </c>
      <c r="W160" s="20">
        <f>IF(C160="","",IFERROR(INDEX(Products!$AT$5:$AT$304,MATCH(C160,Products!$A$5:$A$304,0)),""))</f>
        <v>0</v>
      </c>
      <c r="X160" s="20">
        <f>IF(C160="","",IFERROR(INDEX(Products!$AG$5:$AG$304,MATCH(C160,Products!$A$5:$A$304,0)),""))</f>
        <v>0</v>
      </c>
      <c r="Y160" s="20">
        <f>IF(B160="","",ROUND(IF(D160="",0,D160)*MAX(0,IF(W160="",0,W160)-IF(X160="",0,X160)),2))</f>
        <v>0</v>
      </c>
      <c r="Z160" s="20">
        <f>IF(B160="","",ROUND(MAX(0,IF(J160="",0,J160)-IF(I160="",0,I160)),2))</f>
        <v>0</v>
      </c>
      <c r="AA160" s="33">
        <f>IF(B160="","",IFERROR(INDEX(Channels!$S$5:$S$18,MATCH(IF(E160="",DefaultChannel,E160),Channels!$A$5:$A$18,0)),0))</f>
        <v>0</v>
      </c>
      <c r="AB160" s="20">
        <f>IF(B160="","",IFERROR(INDEX(Channels!$T$5:$T$18,MATCH(IF(E160="",DefaultChannel,E160),Channels!$A$5:$A$18,0)),0))</f>
        <v>0</v>
      </c>
      <c r="AC160" s="42">
        <f>IF(B160="","",IFERROR(INDEX(Channels!$O$5:$O$18,MATCH(IF(E160="",DefaultChannel,E160),Channels!$A$5:$A$18,0)),"No"))</f>
        <v>0</v>
      </c>
      <c r="AD160" s="20">
        <f>IF(B160="","",ROUND((V160+IF(AC160="Yes",IF(I160="",0,I160),0))*AA160+AB160,2))</f>
        <v>0</v>
      </c>
      <c r="AE160" s="20">
        <f>IF(B160="","",IF(K160&lt;&gt;"",K160,AD160))</f>
        <v>0</v>
      </c>
      <c r="AF160" s="20">
        <f>IF(B160="","",IF(K160="","",ROUND(K160-AD160,2)))</f>
        <v>0</v>
      </c>
      <c r="AG160" s="20">
        <f>IF(B160="","",ROUND(V160-Y160-AE160-Z160,2))</f>
        <v>0</v>
      </c>
      <c r="AH160" s="33">
        <f>IF(B160="","",IF(OR(V160="",V160=0),"",AG160/V160))</f>
        <v>0</v>
      </c>
      <c r="AI160" s="33">
        <f>IF(C160="","",IFERROR(INDEX(Products!$AW$5:$AW$304,MATCH(C160,Products!$A$5:$A$304,0)),""))</f>
        <v>0</v>
      </c>
      <c r="AJ160" s="33">
        <f>IF(B160="","",IF(OR(AH160="",AI160=""),"",AH160-AI160))</f>
        <v>0</v>
      </c>
      <c r="AK160" s="41">
        <f>IF(B160="","",IFERROR(ROUND(IF(D160="",0,D160)*INDEX(Products!$X$5:$X$304,MATCH(C160,Products!$A$5:$A$304,0))/60,2),""))</f>
        <v>0</v>
      </c>
      <c r="AL160" s="20">
        <f>IF(B160="","",IF(OR(AK160="",AK160=0),"",ROUND(AG160/AK160,2)))</f>
        <v>0</v>
      </c>
      <c r="AM160" s="43">
        <f>IF(B160="","",IF(C160="","Add - which product?",IF(AG160&lt;0,"Loss - this order cost you money",IF(M160="Refunded","Refunded - check why",IF(AND(AF160&lt;&gt;"",AF160&gt;0.25),"Check - fees higher than your settings",IF(Z160&gt;1,"Check - postage is eating the margin",IF(AND(AH160&lt;&gt;"",AH160&lt;MarginWarning),"Low margin on this order","OK")))))) )</f>
        <v>0</v>
      </c>
    </row>
    <row r="161" spans="1:39">
      <c r="A161" s="38">
        <f>IF(B161="","",SalePrefix&amp;TEXT(ROW()-4,"0000"))</f>
        <v>0</v>
      </c>
      <c r="Q161" s="13">
        <f>IF(C161="","",IFERROR(INDEX(Products!$B$5:$B$304,MATCH(C161,Products!$A$5:$A$304,0)),"Bundle or deleted"))</f>
        <v>0</v>
      </c>
      <c r="R161" s="13">
        <f>IF(B161="","",TEXT(B161,"yyyy-mm"))</f>
        <v>0</v>
      </c>
      <c r="S161" s="20">
        <f>IF(C161="","",IFERROR(INDEX(Products!$AR$5:$AR$304,MATCH(C161,Products!$A$5:$A$304,0)),""))</f>
        <v>0</v>
      </c>
      <c r="T161" s="20">
        <f>IF(B161="","",IF(F161&lt;&gt;"",F161,IF(S161="",0,S161)))</f>
        <v>0</v>
      </c>
      <c r="U161" s="20">
        <f>IF(B161="","",ROUND(IF(D161="",0,D161)*T161,2))</f>
        <v>0</v>
      </c>
      <c r="V161" s="20">
        <f>IF(B161="","",ROUND(U161-IF(G161="",0,G161)-IF(L161="",0,L161),2))</f>
        <v>0</v>
      </c>
      <c r="W161" s="20">
        <f>IF(C161="","",IFERROR(INDEX(Products!$AT$5:$AT$304,MATCH(C161,Products!$A$5:$A$304,0)),""))</f>
        <v>0</v>
      </c>
      <c r="X161" s="20">
        <f>IF(C161="","",IFERROR(INDEX(Products!$AG$5:$AG$304,MATCH(C161,Products!$A$5:$A$304,0)),""))</f>
        <v>0</v>
      </c>
      <c r="Y161" s="20">
        <f>IF(B161="","",ROUND(IF(D161="",0,D161)*MAX(0,IF(W161="",0,W161)-IF(X161="",0,X161)),2))</f>
        <v>0</v>
      </c>
      <c r="Z161" s="20">
        <f>IF(B161="","",ROUND(MAX(0,IF(J161="",0,J161)-IF(I161="",0,I161)),2))</f>
        <v>0</v>
      </c>
      <c r="AA161" s="33">
        <f>IF(B161="","",IFERROR(INDEX(Channels!$S$5:$S$18,MATCH(IF(E161="",DefaultChannel,E161),Channels!$A$5:$A$18,0)),0))</f>
        <v>0</v>
      </c>
      <c r="AB161" s="20">
        <f>IF(B161="","",IFERROR(INDEX(Channels!$T$5:$T$18,MATCH(IF(E161="",DefaultChannel,E161),Channels!$A$5:$A$18,0)),0))</f>
        <v>0</v>
      </c>
      <c r="AC161" s="42">
        <f>IF(B161="","",IFERROR(INDEX(Channels!$O$5:$O$18,MATCH(IF(E161="",DefaultChannel,E161),Channels!$A$5:$A$18,0)),"No"))</f>
        <v>0</v>
      </c>
      <c r="AD161" s="20">
        <f>IF(B161="","",ROUND((V161+IF(AC161="Yes",IF(I161="",0,I161),0))*AA161+AB161,2))</f>
        <v>0</v>
      </c>
      <c r="AE161" s="20">
        <f>IF(B161="","",IF(K161&lt;&gt;"",K161,AD161))</f>
        <v>0</v>
      </c>
      <c r="AF161" s="20">
        <f>IF(B161="","",IF(K161="","",ROUND(K161-AD161,2)))</f>
        <v>0</v>
      </c>
      <c r="AG161" s="20">
        <f>IF(B161="","",ROUND(V161-Y161-AE161-Z161,2))</f>
        <v>0</v>
      </c>
      <c r="AH161" s="33">
        <f>IF(B161="","",IF(OR(V161="",V161=0),"",AG161/V161))</f>
        <v>0</v>
      </c>
      <c r="AI161" s="33">
        <f>IF(C161="","",IFERROR(INDEX(Products!$AW$5:$AW$304,MATCH(C161,Products!$A$5:$A$304,0)),""))</f>
        <v>0</v>
      </c>
      <c r="AJ161" s="33">
        <f>IF(B161="","",IF(OR(AH161="",AI161=""),"",AH161-AI161))</f>
        <v>0</v>
      </c>
      <c r="AK161" s="41">
        <f>IF(B161="","",IFERROR(ROUND(IF(D161="",0,D161)*INDEX(Products!$X$5:$X$304,MATCH(C161,Products!$A$5:$A$304,0))/60,2),""))</f>
        <v>0</v>
      </c>
      <c r="AL161" s="20">
        <f>IF(B161="","",IF(OR(AK161="",AK161=0),"",ROUND(AG161/AK161,2)))</f>
        <v>0</v>
      </c>
      <c r="AM161" s="43">
        <f>IF(B161="","",IF(C161="","Add - which product?",IF(AG161&lt;0,"Loss - this order cost you money",IF(M161="Refunded","Refunded - check why",IF(AND(AF161&lt;&gt;"",AF161&gt;0.25),"Check - fees higher than your settings",IF(Z161&gt;1,"Check - postage is eating the margin",IF(AND(AH161&lt;&gt;"",AH161&lt;MarginWarning),"Low margin on this order","OK")))))) )</f>
        <v>0</v>
      </c>
    </row>
    <row r="162" spans="1:39">
      <c r="A162" s="38">
        <f>IF(B162="","",SalePrefix&amp;TEXT(ROW()-4,"0000"))</f>
        <v>0</v>
      </c>
      <c r="Q162" s="13">
        <f>IF(C162="","",IFERROR(INDEX(Products!$B$5:$B$304,MATCH(C162,Products!$A$5:$A$304,0)),"Bundle or deleted"))</f>
        <v>0</v>
      </c>
      <c r="R162" s="13">
        <f>IF(B162="","",TEXT(B162,"yyyy-mm"))</f>
        <v>0</v>
      </c>
      <c r="S162" s="20">
        <f>IF(C162="","",IFERROR(INDEX(Products!$AR$5:$AR$304,MATCH(C162,Products!$A$5:$A$304,0)),""))</f>
        <v>0</v>
      </c>
      <c r="T162" s="20">
        <f>IF(B162="","",IF(F162&lt;&gt;"",F162,IF(S162="",0,S162)))</f>
        <v>0</v>
      </c>
      <c r="U162" s="20">
        <f>IF(B162="","",ROUND(IF(D162="",0,D162)*T162,2))</f>
        <v>0</v>
      </c>
      <c r="V162" s="20">
        <f>IF(B162="","",ROUND(U162-IF(G162="",0,G162)-IF(L162="",0,L162),2))</f>
        <v>0</v>
      </c>
      <c r="W162" s="20">
        <f>IF(C162="","",IFERROR(INDEX(Products!$AT$5:$AT$304,MATCH(C162,Products!$A$5:$A$304,0)),""))</f>
        <v>0</v>
      </c>
      <c r="X162" s="20">
        <f>IF(C162="","",IFERROR(INDEX(Products!$AG$5:$AG$304,MATCH(C162,Products!$A$5:$A$304,0)),""))</f>
        <v>0</v>
      </c>
      <c r="Y162" s="20">
        <f>IF(B162="","",ROUND(IF(D162="",0,D162)*MAX(0,IF(W162="",0,W162)-IF(X162="",0,X162)),2))</f>
        <v>0</v>
      </c>
      <c r="Z162" s="20">
        <f>IF(B162="","",ROUND(MAX(0,IF(J162="",0,J162)-IF(I162="",0,I162)),2))</f>
        <v>0</v>
      </c>
      <c r="AA162" s="33">
        <f>IF(B162="","",IFERROR(INDEX(Channels!$S$5:$S$18,MATCH(IF(E162="",DefaultChannel,E162),Channels!$A$5:$A$18,0)),0))</f>
        <v>0</v>
      </c>
      <c r="AB162" s="20">
        <f>IF(B162="","",IFERROR(INDEX(Channels!$T$5:$T$18,MATCH(IF(E162="",DefaultChannel,E162),Channels!$A$5:$A$18,0)),0))</f>
        <v>0</v>
      </c>
      <c r="AC162" s="42">
        <f>IF(B162="","",IFERROR(INDEX(Channels!$O$5:$O$18,MATCH(IF(E162="",DefaultChannel,E162),Channels!$A$5:$A$18,0)),"No"))</f>
        <v>0</v>
      </c>
      <c r="AD162" s="20">
        <f>IF(B162="","",ROUND((V162+IF(AC162="Yes",IF(I162="",0,I162),0))*AA162+AB162,2))</f>
        <v>0</v>
      </c>
      <c r="AE162" s="20">
        <f>IF(B162="","",IF(K162&lt;&gt;"",K162,AD162))</f>
        <v>0</v>
      </c>
      <c r="AF162" s="20">
        <f>IF(B162="","",IF(K162="","",ROUND(K162-AD162,2)))</f>
        <v>0</v>
      </c>
      <c r="AG162" s="20">
        <f>IF(B162="","",ROUND(V162-Y162-AE162-Z162,2))</f>
        <v>0</v>
      </c>
      <c r="AH162" s="33">
        <f>IF(B162="","",IF(OR(V162="",V162=0),"",AG162/V162))</f>
        <v>0</v>
      </c>
      <c r="AI162" s="33">
        <f>IF(C162="","",IFERROR(INDEX(Products!$AW$5:$AW$304,MATCH(C162,Products!$A$5:$A$304,0)),""))</f>
        <v>0</v>
      </c>
      <c r="AJ162" s="33">
        <f>IF(B162="","",IF(OR(AH162="",AI162=""),"",AH162-AI162))</f>
        <v>0</v>
      </c>
      <c r="AK162" s="41">
        <f>IF(B162="","",IFERROR(ROUND(IF(D162="",0,D162)*INDEX(Products!$X$5:$X$304,MATCH(C162,Products!$A$5:$A$304,0))/60,2),""))</f>
        <v>0</v>
      </c>
      <c r="AL162" s="20">
        <f>IF(B162="","",IF(OR(AK162="",AK162=0),"",ROUND(AG162/AK162,2)))</f>
        <v>0</v>
      </c>
      <c r="AM162" s="43">
        <f>IF(B162="","",IF(C162="","Add - which product?",IF(AG162&lt;0,"Loss - this order cost you money",IF(M162="Refunded","Refunded - check why",IF(AND(AF162&lt;&gt;"",AF162&gt;0.25),"Check - fees higher than your settings",IF(Z162&gt;1,"Check - postage is eating the margin",IF(AND(AH162&lt;&gt;"",AH162&lt;MarginWarning),"Low margin on this order","OK")))))) )</f>
        <v>0</v>
      </c>
    </row>
    <row r="163" spans="1:39">
      <c r="A163" s="38">
        <f>IF(B163="","",SalePrefix&amp;TEXT(ROW()-4,"0000"))</f>
        <v>0</v>
      </c>
      <c r="Q163" s="13">
        <f>IF(C163="","",IFERROR(INDEX(Products!$B$5:$B$304,MATCH(C163,Products!$A$5:$A$304,0)),"Bundle or deleted"))</f>
        <v>0</v>
      </c>
      <c r="R163" s="13">
        <f>IF(B163="","",TEXT(B163,"yyyy-mm"))</f>
        <v>0</v>
      </c>
      <c r="S163" s="20">
        <f>IF(C163="","",IFERROR(INDEX(Products!$AR$5:$AR$304,MATCH(C163,Products!$A$5:$A$304,0)),""))</f>
        <v>0</v>
      </c>
      <c r="T163" s="20">
        <f>IF(B163="","",IF(F163&lt;&gt;"",F163,IF(S163="",0,S163)))</f>
        <v>0</v>
      </c>
      <c r="U163" s="20">
        <f>IF(B163="","",ROUND(IF(D163="",0,D163)*T163,2))</f>
        <v>0</v>
      </c>
      <c r="V163" s="20">
        <f>IF(B163="","",ROUND(U163-IF(G163="",0,G163)-IF(L163="",0,L163),2))</f>
        <v>0</v>
      </c>
      <c r="W163" s="20">
        <f>IF(C163="","",IFERROR(INDEX(Products!$AT$5:$AT$304,MATCH(C163,Products!$A$5:$A$304,0)),""))</f>
        <v>0</v>
      </c>
      <c r="X163" s="20">
        <f>IF(C163="","",IFERROR(INDEX(Products!$AG$5:$AG$304,MATCH(C163,Products!$A$5:$A$304,0)),""))</f>
        <v>0</v>
      </c>
      <c r="Y163" s="20">
        <f>IF(B163="","",ROUND(IF(D163="",0,D163)*MAX(0,IF(W163="",0,W163)-IF(X163="",0,X163)),2))</f>
        <v>0</v>
      </c>
      <c r="Z163" s="20">
        <f>IF(B163="","",ROUND(MAX(0,IF(J163="",0,J163)-IF(I163="",0,I163)),2))</f>
        <v>0</v>
      </c>
      <c r="AA163" s="33">
        <f>IF(B163="","",IFERROR(INDEX(Channels!$S$5:$S$18,MATCH(IF(E163="",DefaultChannel,E163),Channels!$A$5:$A$18,0)),0))</f>
        <v>0</v>
      </c>
      <c r="AB163" s="20">
        <f>IF(B163="","",IFERROR(INDEX(Channels!$T$5:$T$18,MATCH(IF(E163="",DefaultChannel,E163),Channels!$A$5:$A$18,0)),0))</f>
        <v>0</v>
      </c>
      <c r="AC163" s="42">
        <f>IF(B163="","",IFERROR(INDEX(Channels!$O$5:$O$18,MATCH(IF(E163="",DefaultChannel,E163),Channels!$A$5:$A$18,0)),"No"))</f>
        <v>0</v>
      </c>
      <c r="AD163" s="20">
        <f>IF(B163="","",ROUND((V163+IF(AC163="Yes",IF(I163="",0,I163),0))*AA163+AB163,2))</f>
        <v>0</v>
      </c>
      <c r="AE163" s="20">
        <f>IF(B163="","",IF(K163&lt;&gt;"",K163,AD163))</f>
        <v>0</v>
      </c>
      <c r="AF163" s="20">
        <f>IF(B163="","",IF(K163="","",ROUND(K163-AD163,2)))</f>
        <v>0</v>
      </c>
      <c r="AG163" s="20">
        <f>IF(B163="","",ROUND(V163-Y163-AE163-Z163,2))</f>
        <v>0</v>
      </c>
      <c r="AH163" s="33">
        <f>IF(B163="","",IF(OR(V163="",V163=0),"",AG163/V163))</f>
        <v>0</v>
      </c>
      <c r="AI163" s="33">
        <f>IF(C163="","",IFERROR(INDEX(Products!$AW$5:$AW$304,MATCH(C163,Products!$A$5:$A$304,0)),""))</f>
        <v>0</v>
      </c>
      <c r="AJ163" s="33">
        <f>IF(B163="","",IF(OR(AH163="",AI163=""),"",AH163-AI163))</f>
        <v>0</v>
      </c>
      <c r="AK163" s="41">
        <f>IF(B163="","",IFERROR(ROUND(IF(D163="",0,D163)*INDEX(Products!$X$5:$X$304,MATCH(C163,Products!$A$5:$A$304,0))/60,2),""))</f>
        <v>0</v>
      </c>
      <c r="AL163" s="20">
        <f>IF(B163="","",IF(OR(AK163="",AK163=0),"",ROUND(AG163/AK163,2)))</f>
        <v>0</v>
      </c>
      <c r="AM163" s="43">
        <f>IF(B163="","",IF(C163="","Add - which product?",IF(AG163&lt;0,"Loss - this order cost you money",IF(M163="Refunded","Refunded - check why",IF(AND(AF163&lt;&gt;"",AF163&gt;0.25),"Check - fees higher than your settings",IF(Z163&gt;1,"Check - postage is eating the margin",IF(AND(AH163&lt;&gt;"",AH163&lt;MarginWarning),"Low margin on this order","OK")))))) )</f>
        <v>0</v>
      </c>
    </row>
    <row r="164" spans="1:39">
      <c r="A164" s="38">
        <f>IF(B164="","",SalePrefix&amp;TEXT(ROW()-4,"0000"))</f>
        <v>0</v>
      </c>
      <c r="Q164" s="13">
        <f>IF(C164="","",IFERROR(INDEX(Products!$B$5:$B$304,MATCH(C164,Products!$A$5:$A$304,0)),"Bundle or deleted"))</f>
        <v>0</v>
      </c>
      <c r="R164" s="13">
        <f>IF(B164="","",TEXT(B164,"yyyy-mm"))</f>
        <v>0</v>
      </c>
      <c r="S164" s="20">
        <f>IF(C164="","",IFERROR(INDEX(Products!$AR$5:$AR$304,MATCH(C164,Products!$A$5:$A$304,0)),""))</f>
        <v>0</v>
      </c>
      <c r="T164" s="20">
        <f>IF(B164="","",IF(F164&lt;&gt;"",F164,IF(S164="",0,S164)))</f>
        <v>0</v>
      </c>
      <c r="U164" s="20">
        <f>IF(B164="","",ROUND(IF(D164="",0,D164)*T164,2))</f>
        <v>0</v>
      </c>
      <c r="V164" s="20">
        <f>IF(B164="","",ROUND(U164-IF(G164="",0,G164)-IF(L164="",0,L164),2))</f>
        <v>0</v>
      </c>
      <c r="W164" s="20">
        <f>IF(C164="","",IFERROR(INDEX(Products!$AT$5:$AT$304,MATCH(C164,Products!$A$5:$A$304,0)),""))</f>
        <v>0</v>
      </c>
      <c r="X164" s="20">
        <f>IF(C164="","",IFERROR(INDEX(Products!$AG$5:$AG$304,MATCH(C164,Products!$A$5:$A$304,0)),""))</f>
        <v>0</v>
      </c>
      <c r="Y164" s="20">
        <f>IF(B164="","",ROUND(IF(D164="",0,D164)*MAX(0,IF(W164="",0,W164)-IF(X164="",0,X164)),2))</f>
        <v>0</v>
      </c>
      <c r="Z164" s="20">
        <f>IF(B164="","",ROUND(MAX(0,IF(J164="",0,J164)-IF(I164="",0,I164)),2))</f>
        <v>0</v>
      </c>
      <c r="AA164" s="33">
        <f>IF(B164="","",IFERROR(INDEX(Channels!$S$5:$S$18,MATCH(IF(E164="",DefaultChannel,E164),Channels!$A$5:$A$18,0)),0))</f>
        <v>0</v>
      </c>
      <c r="AB164" s="20">
        <f>IF(B164="","",IFERROR(INDEX(Channels!$T$5:$T$18,MATCH(IF(E164="",DefaultChannel,E164),Channels!$A$5:$A$18,0)),0))</f>
        <v>0</v>
      </c>
      <c r="AC164" s="42">
        <f>IF(B164="","",IFERROR(INDEX(Channels!$O$5:$O$18,MATCH(IF(E164="",DefaultChannel,E164),Channels!$A$5:$A$18,0)),"No"))</f>
        <v>0</v>
      </c>
      <c r="AD164" s="20">
        <f>IF(B164="","",ROUND((V164+IF(AC164="Yes",IF(I164="",0,I164),0))*AA164+AB164,2))</f>
        <v>0</v>
      </c>
      <c r="AE164" s="20">
        <f>IF(B164="","",IF(K164&lt;&gt;"",K164,AD164))</f>
        <v>0</v>
      </c>
      <c r="AF164" s="20">
        <f>IF(B164="","",IF(K164="","",ROUND(K164-AD164,2)))</f>
        <v>0</v>
      </c>
      <c r="AG164" s="20">
        <f>IF(B164="","",ROUND(V164-Y164-AE164-Z164,2))</f>
        <v>0</v>
      </c>
      <c r="AH164" s="33">
        <f>IF(B164="","",IF(OR(V164="",V164=0),"",AG164/V164))</f>
        <v>0</v>
      </c>
      <c r="AI164" s="33">
        <f>IF(C164="","",IFERROR(INDEX(Products!$AW$5:$AW$304,MATCH(C164,Products!$A$5:$A$304,0)),""))</f>
        <v>0</v>
      </c>
      <c r="AJ164" s="33">
        <f>IF(B164="","",IF(OR(AH164="",AI164=""),"",AH164-AI164))</f>
        <v>0</v>
      </c>
      <c r="AK164" s="41">
        <f>IF(B164="","",IFERROR(ROUND(IF(D164="",0,D164)*INDEX(Products!$X$5:$X$304,MATCH(C164,Products!$A$5:$A$304,0))/60,2),""))</f>
        <v>0</v>
      </c>
      <c r="AL164" s="20">
        <f>IF(B164="","",IF(OR(AK164="",AK164=0),"",ROUND(AG164/AK164,2)))</f>
        <v>0</v>
      </c>
      <c r="AM164" s="43">
        <f>IF(B164="","",IF(C164="","Add - which product?",IF(AG164&lt;0,"Loss - this order cost you money",IF(M164="Refunded","Refunded - check why",IF(AND(AF164&lt;&gt;"",AF164&gt;0.25),"Check - fees higher than your settings",IF(Z164&gt;1,"Check - postage is eating the margin",IF(AND(AH164&lt;&gt;"",AH164&lt;MarginWarning),"Low margin on this order","OK")))))) )</f>
        <v>0</v>
      </c>
    </row>
    <row r="165" spans="1:39">
      <c r="A165" s="38">
        <f>IF(B165="","",SalePrefix&amp;TEXT(ROW()-4,"0000"))</f>
        <v>0</v>
      </c>
      <c r="Q165" s="13">
        <f>IF(C165="","",IFERROR(INDEX(Products!$B$5:$B$304,MATCH(C165,Products!$A$5:$A$304,0)),"Bundle or deleted"))</f>
        <v>0</v>
      </c>
      <c r="R165" s="13">
        <f>IF(B165="","",TEXT(B165,"yyyy-mm"))</f>
        <v>0</v>
      </c>
      <c r="S165" s="20">
        <f>IF(C165="","",IFERROR(INDEX(Products!$AR$5:$AR$304,MATCH(C165,Products!$A$5:$A$304,0)),""))</f>
        <v>0</v>
      </c>
      <c r="T165" s="20">
        <f>IF(B165="","",IF(F165&lt;&gt;"",F165,IF(S165="",0,S165)))</f>
        <v>0</v>
      </c>
      <c r="U165" s="20">
        <f>IF(B165="","",ROUND(IF(D165="",0,D165)*T165,2))</f>
        <v>0</v>
      </c>
      <c r="V165" s="20">
        <f>IF(B165="","",ROUND(U165-IF(G165="",0,G165)-IF(L165="",0,L165),2))</f>
        <v>0</v>
      </c>
      <c r="W165" s="20">
        <f>IF(C165="","",IFERROR(INDEX(Products!$AT$5:$AT$304,MATCH(C165,Products!$A$5:$A$304,0)),""))</f>
        <v>0</v>
      </c>
      <c r="X165" s="20">
        <f>IF(C165="","",IFERROR(INDEX(Products!$AG$5:$AG$304,MATCH(C165,Products!$A$5:$A$304,0)),""))</f>
        <v>0</v>
      </c>
      <c r="Y165" s="20">
        <f>IF(B165="","",ROUND(IF(D165="",0,D165)*MAX(0,IF(W165="",0,W165)-IF(X165="",0,X165)),2))</f>
        <v>0</v>
      </c>
      <c r="Z165" s="20">
        <f>IF(B165="","",ROUND(MAX(0,IF(J165="",0,J165)-IF(I165="",0,I165)),2))</f>
        <v>0</v>
      </c>
      <c r="AA165" s="33">
        <f>IF(B165="","",IFERROR(INDEX(Channels!$S$5:$S$18,MATCH(IF(E165="",DefaultChannel,E165),Channels!$A$5:$A$18,0)),0))</f>
        <v>0</v>
      </c>
      <c r="AB165" s="20">
        <f>IF(B165="","",IFERROR(INDEX(Channels!$T$5:$T$18,MATCH(IF(E165="",DefaultChannel,E165),Channels!$A$5:$A$18,0)),0))</f>
        <v>0</v>
      </c>
      <c r="AC165" s="42">
        <f>IF(B165="","",IFERROR(INDEX(Channels!$O$5:$O$18,MATCH(IF(E165="",DefaultChannel,E165),Channels!$A$5:$A$18,0)),"No"))</f>
        <v>0</v>
      </c>
      <c r="AD165" s="20">
        <f>IF(B165="","",ROUND((V165+IF(AC165="Yes",IF(I165="",0,I165),0))*AA165+AB165,2))</f>
        <v>0</v>
      </c>
      <c r="AE165" s="20">
        <f>IF(B165="","",IF(K165&lt;&gt;"",K165,AD165))</f>
        <v>0</v>
      </c>
      <c r="AF165" s="20">
        <f>IF(B165="","",IF(K165="","",ROUND(K165-AD165,2)))</f>
        <v>0</v>
      </c>
      <c r="AG165" s="20">
        <f>IF(B165="","",ROUND(V165-Y165-AE165-Z165,2))</f>
        <v>0</v>
      </c>
      <c r="AH165" s="33">
        <f>IF(B165="","",IF(OR(V165="",V165=0),"",AG165/V165))</f>
        <v>0</v>
      </c>
      <c r="AI165" s="33">
        <f>IF(C165="","",IFERROR(INDEX(Products!$AW$5:$AW$304,MATCH(C165,Products!$A$5:$A$304,0)),""))</f>
        <v>0</v>
      </c>
      <c r="AJ165" s="33">
        <f>IF(B165="","",IF(OR(AH165="",AI165=""),"",AH165-AI165))</f>
        <v>0</v>
      </c>
      <c r="AK165" s="41">
        <f>IF(B165="","",IFERROR(ROUND(IF(D165="",0,D165)*INDEX(Products!$X$5:$X$304,MATCH(C165,Products!$A$5:$A$304,0))/60,2),""))</f>
        <v>0</v>
      </c>
      <c r="AL165" s="20">
        <f>IF(B165="","",IF(OR(AK165="",AK165=0),"",ROUND(AG165/AK165,2)))</f>
        <v>0</v>
      </c>
      <c r="AM165" s="43">
        <f>IF(B165="","",IF(C165="","Add - which product?",IF(AG165&lt;0,"Loss - this order cost you money",IF(M165="Refunded","Refunded - check why",IF(AND(AF165&lt;&gt;"",AF165&gt;0.25),"Check - fees higher than your settings",IF(Z165&gt;1,"Check - postage is eating the margin",IF(AND(AH165&lt;&gt;"",AH165&lt;MarginWarning),"Low margin on this order","OK")))))) )</f>
        <v>0</v>
      </c>
    </row>
    <row r="166" spans="1:39">
      <c r="A166" s="38">
        <f>IF(B166="","",SalePrefix&amp;TEXT(ROW()-4,"0000"))</f>
        <v>0</v>
      </c>
      <c r="Q166" s="13">
        <f>IF(C166="","",IFERROR(INDEX(Products!$B$5:$B$304,MATCH(C166,Products!$A$5:$A$304,0)),"Bundle or deleted"))</f>
        <v>0</v>
      </c>
      <c r="R166" s="13">
        <f>IF(B166="","",TEXT(B166,"yyyy-mm"))</f>
        <v>0</v>
      </c>
      <c r="S166" s="20">
        <f>IF(C166="","",IFERROR(INDEX(Products!$AR$5:$AR$304,MATCH(C166,Products!$A$5:$A$304,0)),""))</f>
        <v>0</v>
      </c>
      <c r="T166" s="20">
        <f>IF(B166="","",IF(F166&lt;&gt;"",F166,IF(S166="",0,S166)))</f>
        <v>0</v>
      </c>
      <c r="U166" s="20">
        <f>IF(B166="","",ROUND(IF(D166="",0,D166)*T166,2))</f>
        <v>0</v>
      </c>
      <c r="V166" s="20">
        <f>IF(B166="","",ROUND(U166-IF(G166="",0,G166)-IF(L166="",0,L166),2))</f>
        <v>0</v>
      </c>
      <c r="W166" s="20">
        <f>IF(C166="","",IFERROR(INDEX(Products!$AT$5:$AT$304,MATCH(C166,Products!$A$5:$A$304,0)),""))</f>
        <v>0</v>
      </c>
      <c r="X166" s="20">
        <f>IF(C166="","",IFERROR(INDEX(Products!$AG$5:$AG$304,MATCH(C166,Products!$A$5:$A$304,0)),""))</f>
        <v>0</v>
      </c>
      <c r="Y166" s="20">
        <f>IF(B166="","",ROUND(IF(D166="",0,D166)*MAX(0,IF(W166="",0,W166)-IF(X166="",0,X166)),2))</f>
        <v>0</v>
      </c>
      <c r="Z166" s="20">
        <f>IF(B166="","",ROUND(MAX(0,IF(J166="",0,J166)-IF(I166="",0,I166)),2))</f>
        <v>0</v>
      </c>
      <c r="AA166" s="33">
        <f>IF(B166="","",IFERROR(INDEX(Channels!$S$5:$S$18,MATCH(IF(E166="",DefaultChannel,E166),Channels!$A$5:$A$18,0)),0))</f>
        <v>0</v>
      </c>
      <c r="AB166" s="20">
        <f>IF(B166="","",IFERROR(INDEX(Channels!$T$5:$T$18,MATCH(IF(E166="",DefaultChannel,E166),Channels!$A$5:$A$18,0)),0))</f>
        <v>0</v>
      </c>
      <c r="AC166" s="42">
        <f>IF(B166="","",IFERROR(INDEX(Channels!$O$5:$O$18,MATCH(IF(E166="",DefaultChannel,E166),Channels!$A$5:$A$18,0)),"No"))</f>
        <v>0</v>
      </c>
      <c r="AD166" s="20">
        <f>IF(B166="","",ROUND((V166+IF(AC166="Yes",IF(I166="",0,I166),0))*AA166+AB166,2))</f>
        <v>0</v>
      </c>
      <c r="AE166" s="20">
        <f>IF(B166="","",IF(K166&lt;&gt;"",K166,AD166))</f>
        <v>0</v>
      </c>
      <c r="AF166" s="20">
        <f>IF(B166="","",IF(K166="","",ROUND(K166-AD166,2)))</f>
        <v>0</v>
      </c>
      <c r="AG166" s="20">
        <f>IF(B166="","",ROUND(V166-Y166-AE166-Z166,2))</f>
        <v>0</v>
      </c>
      <c r="AH166" s="33">
        <f>IF(B166="","",IF(OR(V166="",V166=0),"",AG166/V166))</f>
        <v>0</v>
      </c>
      <c r="AI166" s="33">
        <f>IF(C166="","",IFERROR(INDEX(Products!$AW$5:$AW$304,MATCH(C166,Products!$A$5:$A$304,0)),""))</f>
        <v>0</v>
      </c>
      <c r="AJ166" s="33">
        <f>IF(B166="","",IF(OR(AH166="",AI166=""),"",AH166-AI166))</f>
        <v>0</v>
      </c>
      <c r="AK166" s="41">
        <f>IF(B166="","",IFERROR(ROUND(IF(D166="",0,D166)*INDEX(Products!$X$5:$X$304,MATCH(C166,Products!$A$5:$A$304,0))/60,2),""))</f>
        <v>0</v>
      </c>
      <c r="AL166" s="20">
        <f>IF(B166="","",IF(OR(AK166="",AK166=0),"",ROUND(AG166/AK166,2)))</f>
        <v>0</v>
      </c>
      <c r="AM166" s="43">
        <f>IF(B166="","",IF(C166="","Add - which product?",IF(AG166&lt;0,"Loss - this order cost you money",IF(M166="Refunded","Refunded - check why",IF(AND(AF166&lt;&gt;"",AF166&gt;0.25),"Check - fees higher than your settings",IF(Z166&gt;1,"Check - postage is eating the margin",IF(AND(AH166&lt;&gt;"",AH166&lt;MarginWarning),"Low margin on this order","OK")))))) )</f>
        <v>0</v>
      </c>
    </row>
    <row r="167" spans="1:39">
      <c r="A167" s="38">
        <f>IF(B167="","",SalePrefix&amp;TEXT(ROW()-4,"0000"))</f>
        <v>0</v>
      </c>
      <c r="Q167" s="13">
        <f>IF(C167="","",IFERROR(INDEX(Products!$B$5:$B$304,MATCH(C167,Products!$A$5:$A$304,0)),"Bundle or deleted"))</f>
        <v>0</v>
      </c>
      <c r="R167" s="13">
        <f>IF(B167="","",TEXT(B167,"yyyy-mm"))</f>
        <v>0</v>
      </c>
      <c r="S167" s="20">
        <f>IF(C167="","",IFERROR(INDEX(Products!$AR$5:$AR$304,MATCH(C167,Products!$A$5:$A$304,0)),""))</f>
        <v>0</v>
      </c>
      <c r="T167" s="20">
        <f>IF(B167="","",IF(F167&lt;&gt;"",F167,IF(S167="",0,S167)))</f>
        <v>0</v>
      </c>
      <c r="U167" s="20">
        <f>IF(B167="","",ROUND(IF(D167="",0,D167)*T167,2))</f>
        <v>0</v>
      </c>
      <c r="V167" s="20">
        <f>IF(B167="","",ROUND(U167-IF(G167="",0,G167)-IF(L167="",0,L167),2))</f>
        <v>0</v>
      </c>
      <c r="W167" s="20">
        <f>IF(C167="","",IFERROR(INDEX(Products!$AT$5:$AT$304,MATCH(C167,Products!$A$5:$A$304,0)),""))</f>
        <v>0</v>
      </c>
      <c r="X167" s="20">
        <f>IF(C167="","",IFERROR(INDEX(Products!$AG$5:$AG$304,MATCH(C167,Products!$A$5:$A$304,0)),""))</f>
        <v>0</v>
      </c>
      <c r="Y167" s="20">
        <f>IF(B167="","",ROUND(IF(D167="",0,D167)*MAX(0,IF(W167="",0,W167)-IF(X167="",0,X167)),2))</f>
        <v>0</v>
      </c>
      <c r="Z167" s="20">
        <f>IF(B167="","",ROUND(MAX(0,IF(J167="",0,J167)-IF(I167="",0,I167)),2))</f>
        <v>0</v>
      </c>
      <c r="AA167" s="33">
        <f>IF(B167="","",IFERROR(INDEX(Channels!$S$5:$S$18,MATCH(IF(E167="",DefaultChannel,E167),Channels!$A$5:$A$18,0)),0))</f>
        <v>0</v>
      </c>
      <c r="AB167" s="20">
        <f>IF(B167="","",IFERROR(INDEX(Channels!$T$5:$T$18,MATCH(IF(E167="",DefaultChannel,E167),Channels!$A$5:$A$18,0)),0))</f>
        <v>0</v>
      </c>
      <c r="AC167" s="42">
        <f>IF(B167="","",IFERROR(INDEX(Channels!$O$5:$O$18,MATCH(IF(E167="",DefaultChannel,E167),Channels!$A$5:$A$18,0)),"No"))</f>
        <v>0</v>
      </c>
      <c r="AD167" s="20">
        <f>IF(B167="","",ROUND((V167+IF(AC167="Yes",IF(I167="",0,I167),0))*AA167+AB167,2))</f>
        <v>0</v>
      </c>
      <c r="AE167" s="20">
        <f>IF(B167="","",IF(K167&lt;&gt;"",K167,AD167))</f>
        <v>0</v>
      </c>
      <c r="AF167" s="20">
        <f>IF(B167="","",IF(K167="","",ROUND(K167-AD167,2)))</f>
        <v>0</v>
      </c>
      <c r="AG167" s="20">
        <f>IF(B167="","",ROUND(V167-Y167-AE167-Z167,2))</f>
        <v>0</v>
      </c>
      <c r="AH167" s="33">
        <f>IF(B167="","",IF(OR(V167="",V167=0),"",AG167/V167))</f>
        <v>0</v>
      </c>
      <c r="AI167" s="33">
        <f>IF(C167="","",IFERROR(INDEX(Products!$AW$5:$AW$304,MATCH(C167,Products!$A$5:$A$304,0)),""))</f>
        <v>0</v>
      </c>
      <c r="AJ167" s="33">
        <f>IF(B167="","",IF(OR(AH167="",AI167=""),"",AH167-AI167))</f>
        <v>0</v>
      </c>
      <c r="AK167" s="41">
        <f>IF(B167="","",IFERROR(ROUND(IF(D167="",0,D167)*INDEX(Products!$X$5:$X$304,MATCH(C167,Products!$A$5:$A$304,0))/60,2),""))</f>
        <v>0</v>
      </c>
      <c r="AL167" s="20">
        <f>IF(B167="","",IF(OR(AK167="",AK167=0),"",ROUND(AG167/AK167,2)))</f>
        <v>0</v>
      </c>
      <c r="AM167" s="43">
        <f>IF(B167="","",IF(C167="","Add - which product?",IF(AG167&lt;0,"Loss - this order cost you money",IF(M167="Refunded","Refunded - check why",IF(AND(AF167&lt;&gt;"",AF167&gt;0.25),"Check - fees higher than your settings",IF(Z167&gt;1,"Check - postage is eating the margin",IF(AND(AH167&lt;&gt;"",AH167&lt;MarginWarning),"Low margin on this order","OK")))))) )</f>
        <v>0</v>
      </c>
    </row>
    <row r="168" spans="1:39">
      <c r="A168" s="38">
        <f>IF(B168="","",SalePrefix&amp;TEXT(ROW()-4,"0000"))</f>
        <v>0</v>
      </c>
      <c r="Q168" s="13">
        <f>IF(C168="","",IFERROR(INDEX(Products!$B$5:$B$304,MATCH(C168,Products!$A$5:$A$304,0)),"Bundle or deleted"))</f>
        <v>0</v>
      </c>
      <c r="R168" s="13">
        <f>IF(B168="","",TEXT(B168,"yyyy-mm"))</f>
        <v>0</v>
      </c>
      <c r="S168" s="20">
        <f>IF(C168="","",IFERROR(INDEX(Products!$AR$5:$AR$304,MATCH(C168,Products!$A$5:$A$304,0)),""))</f>
        <v>0</v>
      </c>
      <c r="T168" s="20">
        <f>IF(B168="","",IF(F168&lt;&gt;"",F168,IF(S168="",0,S168)))</f>
        <v>0</v>
      </c>
      <c r="U168" s="20">
        <f>IF(B168="","",ROUND(IF(D168="",0,D168)*T168,2))</f>
        <v>0</v>
      </c>
      <c r="V168" s="20">
        <f>IF(B168="","",ROUND(U168-IF(G168="",0,G168)-IF(L168="",0,L168),2))</f>
        <v>0</v>
      </c>
      <c r="W168" s="20">
        <f>IF(C168="","",IFERROR(INDEX(Products!$AT$5:$AT$304,MATCH(C168,Products!$A$5:$A$304,0)),""))</f>
        <v>0</v>
      </c>
      <c r="X168" s="20">
        <f>IF(C168="","",IFERROR(INDEX(Products!$AG$5:$AG$304,MATCH(C168,Products!$A$5:$A$304,0)),""))</f>
        <v>0</v>
      </c>
      <c r="Y168" s="20">
        <f>IF(B168="","",ROUND(IF(D168="",0,D168)*MAX(0,IF(W168="",0,W168)-IF(X168="",0,X168)),2))</f>
        <v>0</v>
      </c>
      <c r="Z168" s="20">
        <f>IF(B168="","",ROUND(MAX(0,IF(J168="",0,J168)-IF(I168="",0,I168)),2))</f>
        <v>0</v>
      </c>
      <c r="AA168" s="33">
        <f>IF(B168="","",IFERROR(INDEX(Channels!$S$5:$S$18,MATCH(IF(E168="",DefaultChannel,E168),Channels!$A$5:$A$18,0)),0))</f>
        <v>0</v>
      </c>
      <c r="AB168" s="20">
        <f>IF(B168="","",IFERROR(INDEX(Channels!$T$5:$T$18,MATCH(IF(E168="",DefaultChannel,E168),Channels!$A$5:$A$18,0)),0))</f>
        <v>0</v>
      </c>
      <c r="AC168" s="42">
        <f>IF(B168="","",IFERROR(INDEX(Channels!$O$5:$O$18,MATCH(IF(E168="",DefaultChannel,E168),Channels!$A$5:$A$18,0)),"No"))</f>
        <v>0</v>
      </c>
      <c r="AD168" s="20">
        <f>IF(B168="","",ROUND((V168+IF(AC168="Yes",IF(I168="",0,I168),0))*AA168+AB168,2))</f>
        <v>0</v>
      </c>
      <c r="AE168" s="20">
        <f>IF(B168="","",IF(K168&lt;&gt;"",K168,AD168))</f>
        <v>0</v>
      </c>
      <c r="AF168" s="20">
        <f>IF(B168="","",IF(K168="","",ROUND(K168-AD168,2)))</f>
        <v>0</v>
      </c>
      <c r="AG168" s="20">
        <f>IF(B168="","",ROUND(V168-Y168-AE168-Z168,2))</f>
        <v>0</v>
      </c>
      <c r="AH168" s="33">
        <f>IF(B168="","",IF(OR(V168="",V168=0),"",AG168/V168))</f>
        <v>0</v>
      </c>
      <c r="AI168" s="33">
        <f>IF(C168="","",IFERROR(INDEX(Products!$AW$5:$AW$304,MATCH(C168,Products!$A$5:$A$304,0)),""))</f>
        <v>0</v>
      </c>
      <c r="AJ168" s="33">
        <f>IF(B168="","",IF(OR(AH168="",AI168=""),"",AH168-AI168))</f>
        <v>0</v>
      </c>
      <c r="AK168" s="41">
        <f>IF(B168="","",IFERROR(ROUND(IF(D168="",0,D168)*INDEX(Products!$X$5:$X$304,MATCH(C168,Products!$A$5:$A$304,0))/60,2),""))</f>
        <v>0</v>
      </c>
      <c r="AL168" s="20">
        <f>IF(B168="","",IF(OR(AK168="",AK168=0),"",ROUND(AG168/AK168,2)))</f>
        <v>0</v>
      </c>
      <c r="AM168" s="43">
        <f>IF(B168="","",IF(C168="","Add - which product?",IF(AG168&lt;0,"Loss - this order cost you money",IF(M168="Refunded","Refunded - check why",IF(AND(AF168&lt;&gt;"",AF168&gt;0.25),"Check - fees higher than your settings",IF(Z168&gt;1,"Check - postage is eating the margin",IF(AND(AH168&lt;&gt;"",AH168&lt;MarginWarning),"Low margin on this order","OK")))))) )</f>
        <v>0</v>
      </c>
    </row>
    <row r="169" spans="1:39">
      <c r="A169" s="38">
        <f>IF(B169="","",SalePrefix&amp;TEXT(ROW()-4,"0000"))</f>
        <v>0</v>
      </c>
      <c r="Q169" s="13">
        <f>IF(C169="","",IFERROR(INDEX(Products!$B$5:$B$304,MATCH(C169,Products!$A$5:$A$304,0)),"Bundle or deleted"))</f>
        <v>0</v>
      </c>
      <c r="R169" s="13">
        <f>IF(B169="","",TEXT(B169,"yyyy-mm"))</f>
        <v>0</v>
      </c>
      <c r="S169" s="20">
        <f>IF(C169="","",IFERROR(INDEX(Products!$AR$5:$AR$304,MATCH(C169,Products!$A$5:$A$304,0)),""))</f>
        <v>0</v>
      </c>
      <c r="T169" s="20">
        <f>IF(B169="","",IF(F169&lt;&gt;"",F169,IF(S169="",0,S169)))</f>
        <v>0</v>
      </c>
      <c r="U169" s="20">
        <f>IF(B169="","",ROUND(IF(D169="",0,D169)*T169,2))</f>
        <v>0</v>
      </c>
      <c r="V169" s="20">
        <f>IF(B169="","",ROUND(U169-IF(G169="",0,G169)-IF(L169="",0,L169),2))</f>
        <v>0</v>
      </c>
      <c r="W169" s="20">
        <f>IF(C169="","",IFERROR(INDEX(Products!$AT$5:$AT$304,MATCH(C169,Products!$A$5:$A$304,0)),""))</f>
        <v>0</v>
      </c>
      <c r="X169" s="20">
        <f>IF(C169="","",IFERROR(INDEX(Products!$AG$5:$AG$304,MATCH(C169,Products!$A$5:$A$304,0)),""))</f>
        <v>0</v>
      </c>
      <c r="Y169" s="20">
        <f>IF(B169="","",ROUND(IF(D169="",0,D169)*MAX(0,IF(W169="",0,W169)-IF(X169="",0,X169)),2))</f>
        <v>0</v>
      </c>
      <c r="Z169" s="20">
        <f>IF(B169="","",ROUND(MAX(0,IF(J169="",0,J169)-IF(I169="",0,I169)),2))</f>
        <v>0</v>
      </c>
      <c r="AA169" s="33">
        <f>IF(B169="","",IFERROR(INDEX(Channels!$S$5:$S$18,MATCH(IF(E169="",DefaultChannel,E169),Channels!$A$5:$A$18,0)),0))</f>
        <v>0</v>
      </c>
      <c r="AB169" s="20">
        <f>IF(B169="","",IFERROR(INDEX(Channels!$T$5:$T$18,MATCH(IF(E169="",DefaultChannel,E169),Channels!$A$5:$A$18,0)),0))</f>
        <v>0</v>
      </c>
      <c r="AC169" s="42">
        <f>IF(B169="","",IFERROR(INDEX(Channels!$O$5:$O$18,MATCH(IF(E169="",DefaultChannel,E169),Channels!$A$5:$A$18,0)),"No"))</f>
        <v>0</v>
      </c>
      <c r="AD169" s="20">
        <f>IF(B169="","",ROUND((V169+IF(AC169="Yes",IF(I169="",0,I169),0))*AA169+AB169,2))</f>
        <v>0</v>
      </c>
      <c r="AE169" s="20">
        <f>IF(B169="","",IF(K169&lt;&gt;"",K169,AD169))</f>
        <v>0</v>
      </c>
      <c r="AF169" s="20">
        <f>IF(B169="","",IF(K169="","",ROUND(K169-AD169,2)))</f>
        <v>0</v>
      </c>
      <c r="AG169" s="20">
        <f>IF(B169="","",ROUND(V169-Y169-AE169-Z169,2))</f>
        <v>0</v>
      </c>
      <c r="AH169" s="33">
        <f>IF(B169="","",IF(OR(V169="",V169=0),"",AG169/V169))</f>
        <v>0</v>
      </c>
      <c r="AI169" s="33">
        <f>IF(C169="","",IFERROR(INDEX(Products!$AW$5:$AW$304,MATCH(C169,Products!$A$5:$A$304,0)),""))</f>
        <v>0</v>
      </c>
      <c r="AJ169" s="33">
        <f>IF(B169="","",IF(OR(AH169="",AI169=""),"",AH169-AI169))</f>
        <v>0</v>
      </c>
      <c r="AK169" s="41">
        <f>IF(B169="","",IFERROR(ROUND(IF(D169="",0,D169)*INDEX(Products!$X$5:$X$304,MATCH(C169,Products!$A$5:$A$304,0))/60,2),""))</f>
        <v>0</v>
      </c>
      <c r="AL169" s="20">
        <f>IF(B169="","",IF(OR(AK169="",AK169=0),"",ROUND(AG169/AK169,2)))</f>
        <v>0</v>
      </c>
      <c r="AM169" s="43">
        <f>IF(B169="","",IF(C169="","Add - which product?",IF(AG169&lt;0,"Loss - this order cost you money",IF(M169="Refunded","Refunded - check why",IF(AND(AF169&lt;&gt;"",AF169&gt;0.25),"Check - fees higher than your settings",IF(Z169&gt;1,"Check - postage is eating the margin",IF(AND(AH169&lt;&gt;"",AH169&lt;MarginWarning),"Low margin on this order","OK")))))) )</f>
        <v>0</v>
      </c>
    </row>
    <row r="170" spans="1:39">
      <c r="A170" s="38">
        <f>IF(B170="","",SalePrefix&amp;TEXT(ROW()-4,"0000"))</f>
        <v>0</v>
      </c>
      <c r="Q170" s="13">
        <f>IF(C170="","",IFERROR(INDEX(Products!$B$5:$B$304,MATCH(C170,Products!$A$5:$A$304,0)),"Bundle or deleted"))</f>
        <v>0</v>
      </c>
      <c r="R170" s="13">
        <f>IF(B170="","",TEXT(B170,"yyyy-mm"))</f>
        <v>0</v>
      </c>
      <c r="S170" s="20">
        <f>IF(C170="","",IFERROR(INDEX(Products!$AR$5:$AR$304,MATCH(C170,Products!$A$5:$A$304,0)),""))</f>
        <v>0</v>
      </c>
      <c r="T170" s="20">
        <f>IF(B170="","",IF(F170&lt;&gt;"",F170,IF(S170="",0,S170)))</f>
        <v>0</v>
      </c>
      <c r="U170" s="20">
        <f>IF(B170="","",ROUND(IF(D170="",0,D170)*T170,2))</f>
        <v>0</v>
      </c>
      <c r="V170" s="20">
        <f>IF(B170="","",ROUND(U170-IF(G170="",0,G170)-IF(L170="",0,L170),2))</f>
        <v>0</v>
      </c>
      <c r="W170" s="20">
        <f>IF(C170="","",IFERROR(INDEX(Products!$AT$5:$AT$304,MATCH(C170,Products!$A$5:$A$304,0)),""))</f>
        <v>0</v>
      </c>
      <c r="X170" s="20">
        <f>IF(C170="","",IFERROR(INDEX(Products!$AG$5:$AG$304,MATCH(C170,Products!$A$5:$A$304,0)),""))</f>
        <v>0</v>
      </c>
      <c r="Y170" s="20">
        <f>IF(B170="","",ROUND(IF(D170="",0,D170)*MAX(0,IF(W170="",0,W170)-IF(X170="",0,X170)),2))</f>
        <v>0</v>
      </c>
      <c r="Z170" s="20">
        <f>IF(B170="","",ROUND(MAX(0,IF(J170="",0,J170)-IF(I170="",0,I170)),2))</f>
        <v>0</v>
      </c>
      <c r="AA170" s="33">
        <f>IF(B170="","",IFERROR(INDEX(Channels!$S$5:$S$18,MATCH(IF(E170="",DefaultChannel,E170),Channels!$A$5:$A$18,0)),0))</f>
        <v>0</v>
      </c>
      <c r="AB170" s="20">
        <f>IF(B170="","",IFERROR(INDEX(Channels!$T$5:$T$18,MATCH(IF(E170="",DefaultChannel,E170),Channels!$A$5:$A$18,0)),0))</f>
        <v>0</v>
      </c>
      <c r="AC170" s="42">
        <f>IF(B170="","",IFERROR(INDEX(Channels!$O$5:$O$18,MATCH(IF(E170="",DefaultChannel,E170),Channels!$A$5:$A$18,0)),"No"))</f>
        <v>0</v>
      </c>
      <c r="AD170" s="20">
        <f>IF(B170="","",ROUND((V170+IF(AC170="Yes",IF(I170="",0,I170),0))*AA170+AB170,2))</f>
        <v>0</v>
      </c>
      <c r="AE170" s="20">
        <f>IF(B170="","",IF(K170&lt;&gt;"",K170,AD170))</f>
        <v>0</v>
      </c>
      <c r="AF170" s="20">
        <f>IF(B170="","",IF(K170="","",ROUND(K170-AD170,2)))</f>
        <v>0</v>
      </c>
      <c r="AG170" s="20">
        <f>IF(B170="","",ROUND(V170-Y170-AE170-Z170,2))</f>
        <v>0</v>
      </c>
      <c r="AH170" s="33">
        <f>IF(B170="","",IF(OR(V170="",V170=0),"",AG170/V170))</f>
        <v>0</v>
      </c>
      <c r="AI170" s="33">
        <f>IF(C170="","",IFERROR(INDEX(Products!$AW$5:$AW$304,MATCH(C170,Products!$A$5:$A$304,0)),""))</f>
        <v>0</v>
      </c>
      <c r="AJ170" s="33">
        <f>IF(B170="","",IF(OR(AH170="",AI170=""),"",AH170-AI170))</f>
        <v>0</v>
      </c>
      <c r="AK170" s="41">
        <f>IF(B170="","",IFERROR(ROUND(IF(D170="",0,D170)*INDEX(Products!$X$5:$X$304,MATCH(C170,Products!$A$5:$A$304,0))/60,2),""))</f>
        <v>0</v>
      </c>
      <c r="AL170" s="20">
        <f>IF(B170="","",IF(OR(AK170="",AK170=0),"",ROUND(AG170/AK170,2)))</f>
        <v>0</v>
      </c>
      <c r="AM170" s="43">
        <f>IF(B170="","",IF(C170="","Add - which product?",IF(AG170&lt;0,"Loss - this order cost you money",IF(M170="Refunded","Refunded - check why",IF(AND(AF170&lt;&gt;"",AF170&gt;0.25),"Check - fees higher than your settings",IF(Z170&gt;1,"Check - postage is eating the margin",IF(AND(AH170&lt;&gt;"",AH170&lt;MarginWarning),"Low margin on this order","OK")))))) )</f>
        <v>0</v>
      </c>
    </row>
    <row r="171" spans="1:39">
      <c r="A171" s="38">
        <f>IF(B171="","",SalePrefix&amp;TEXT(ROW()-4,"0000"))</f>
        <v>0</v>
      </c>
      <c r="Q171" s="13">
        <f>IF(C171="","",IFERROR(INDEX(Products!$B$5:$B$304,MATCH(C171,Products!$A$5:$A$304,0)),"Bundle or deleted"))</f>
        <v>0</v>
      </c>
      <c r="R171" s="13">
        <f>IF(B171="","",TEXT(B171,"yyyy-mm"))</f>
        <v>0</v>
      </c>
      <c r="S171" s="20">
        <f>IF(C171="","",IFERROR(INDEX(Products!$AR$5:$AR$304,MATCH(C171,Products!$A$5:$A$304,0)),""))</f>
        <v>0</v>
      </c>
      <c r="T171" s="20">
        <f>IF(B171="","",IF(F171&lt;&gt;"",F171,IF(S171="",0,S171)))</f>
        <v>0</v>
      </c>
      <c r="U171" s="20">
        <f>IF(B171="","",ROUND(IF(D171="",0,D171)*T171,2))</f>
        <v>0</v>
      </c>
      <c r="V171" s="20">
        <f>IF(B171="","",ROUND(U171-IF(G171="",0,G171)-IF(L171="",0,L171),2))</f>
        <v>0</v>
      </c>
      <c r="W171" s="20">
        <f>IF(C171="","",IFERROR(INDEX(Products!$AT$5:$AT$304,MATCH(C171,Products!$A$5:$A$304,0)),""))</f>
        <v>0</v>
      </c>
      <c r="X171" s="20">
        <f>IF(C171="","",IFERROR(INDEX(Products!$AG$5:$AG$304,MATCH(C171,Products!$A$5:$A$304,0)),""))</f>
        <v>0</v>
      </c>
      <c r="Y171" s="20">
        <f>IF(B171="","",ROUND(IF(D171="",0,D171)*MAX(0,IF(W171="",0,W171)-IF(X171="",0,X171)),2))</f>
        <v>0</v>
      </c>
      <c r="Z171" s="20">
        <f>IF(B171="","",ROUND(MAX(0,IF(J171="",0,J171)-IF(I171="",0,I171)),2))</f>
        <v>0</v>
      </c>
      <c r="AA171" s="33">
        <f>IF(B171="","",IFERROR(INDEX(Channels!$S$5:$S$18,MATCH(IF(E171="",DefaultChannel,E171),Channels!$A$5:$A$18,0)),0))</f>
        <v>0</v>
      </c>
      <c r="AB171" s="20">
        <f>IF(B171="","",IFERROR(INDEX(Channels!$T$5:$T$18,MATCH(IF(E171="",DefaultChannel,E171),Channels!$A$5:$A$18,0)),0))</f>
        <v>0</v>
      </c>
      <c r="AC171" s="42">
        <f>IF(B171="","",IFERROR(INDEX(Channels!$O$5:$O$18,MATCH(IF(E171="",DefaultChannel,E171),Channels!$A$5:$A$18,0)),"No"))</f>
        <v>0</v>
      </c>
      <c r="AD171" s="20">
        <f>IF(B171="","",ROUND((V171+IF(AC171="Yes",IF(I171="",0,I171),0))*AA171+AB171,2))</f>
        <v>0</v>
      </c>
      <c r="AE171" s="20">
        <f>IF(B171="","",IF(K171&lt;&gt;"",K171,AD171))</f>
        <v>0</v>
      </c>
      <c r="AF171" s="20">
        <f>IF(B171="","",IF(K171="","",ROUND(K171-AD171,2)))</f>
        <v>0</v>
      </c>
      <c r="AG171" s="20">
        <f>IF(B171="","",ROUND(V171-Y171-AE171-Z171,2))</f>
        <v>0</v>
      </c>
      <c r="AH171" s="33">
        <f>IF(B171="","",IF(OR(V171="",V171=0),"",AG171/V171))</f>
        <v>0</v>
      </c>
      <c r="AI171" s="33">
        <f>IF(C171="","",IFERROR(INDEX(Products!$AW$5:$AW$304,MATCH(C171,Products!$A$5:$A$304,0)),""))</f>
        <v>0</v>
      </c>
      <c r="AJ171" s="33">
        <f>IF(B171="","",IF(OR(AH171="",AI171=""),"",AH171-AI171))</f>
        <v>0</v>
      </c>
      <c r="AK171" s="41">
        <f>IF(B171="","",IFERROR(ROUND(IF(D171="",0,D171)*INDEX(Products!$X$5:$X$304,MATCH(C171,Products!$A$5:$A$304,0))/60,2),""))</f>
        <v>0</v>
      </c>
      <c r="AL171" s="20">
        <f>IF(B171="","",IF(OR(AK171="",AK171=0),"",ROUND(AG171/AK171,2)))</f>
        <v>0</v>
      </c>
      <c r="AM171" s="43">
        <f>IF(B171="","",IF(C171="","Add - which product?",IF(AG171&lt;0,"Loss - this order cost you money",IF(M171="Refunded","Refunded - check why",IF(AND(AF171&lt;&gt;"",AF171&gt;0.25),"Check - fees higher than your settings",IF(Z171&gt;1,"Check - postage is eating the margin",IF(AND(AH171&lt;&gt;"",AH171&lt;MarginWarning),"Low margin on this order","OK")))))) )</f>
        <v>0</v>
      </c>
    </row>
    <row r="172" spans="1:39">
      <c r="A172" s="38">
        <f>IF(B172="","",SalePrefix&amp;TEXT(ROW()-4,"0000"))</f>
        <v>0</v>
      </c>
      <c r="Q172" s="13">
        <f>IF(C172="","",IFERROR(INDEX(Products!$B$5:$B$304,MATCH(C172,Products!$A$5:$A$304,0)),"Bundle or deleted"))</f>
        <v>0</v>
      </c>
      <c r="R172" s="13">
        <f>IF(B172="","",TEXT(B172,"yyyy-mm"))</f>
        <v>0</v>
      </c>
      <c r="S172" s="20">
        <f>IF(C172="","",IFERROR(INDEX(Products!$AR$5:$AR$304,MATCH(C172,Products!$A$5:$A$304,0)),""))</f>
        <v>0</v>
      </c>
      <c r="T172" s="20">
        <f>IF(B172="","",IF(F172&lt;&gt;"",F172,IF(S172="",0,S172)))</f>
        <v>0</v>
      </c>
      <c r="U172" s="20">
        <f>IF(B172="","",ROUND(IF(D172="",0,D172)*T172,2))</f>
        <v>0</v>
      </c>
      <c r="V172" s="20">
        <f>IF(B172="","",ROUND(U172-IF(G172="",0,G172)-IF(L172="",0,L172),2))</f>
        <v>0</v>
      </c>
      <c r="W172" s="20">
        <f>IF(C172="","",IFERROR(INDEX(Products!$AT$5:$AT$304,MATCH(C172,Products!$A$5:$A$304,0)),""))</f>
        <v>0</v>
      </c>
      <c r="X172" s="20">
        <f>IF(C172="","",IFERROR(INDEX(Products!$AG$5:$AG$304,MATCH(C172,Products!$A$5:$A$304,0)),""))</f>
        <v>0</v>
      </c>
      <c r="Y172" s="20">
        <f>IF(B172="","",ROUND(IF(D172="",0,D172)*MAX(0,IF(W172="",0,W172)-IF(X172="",0,X172)),2))</f>
        <v>0</v>
      </c>
      <c r="Z172" s="20">
        <f>IF(B172="","",ROUND(MAX(0,IF(J172="",0,J172)-IF(I172="",0,I172)),2))</f>
        <v>0</v>
      </c>
      <c r="AA172" s="33">
        <f>IF(B172="","",IFERROR(INDEX(Channels!$S$5:$S$18,MATCH(IF(E172="",DefaultChannel,E172),Channels!$A$5:$A$18,0)),0))</f>
        <v>0</v>
      </c>
      <c r="AB172" s="20">
        <f>IF(B172="","",IFERROR(INDEX(Channels!$T$5:$T$18,MATCH(IF(E172="",DefaultChannel,E172),Channels!$A$5:$A$18,0)),0))</f>
        <v>0</v>
      </c>
      <c r="AC172" s="42">
        <f>IF(B172="","",IFERROR(INDEX(Channels!$O$5:$O$18,MATCH(IF(E172="",DefaultChannel,E172),Channels!$A$5:$A$18,0)),"No"))</f>
        <v>0</v>
      </c>
      <c r="AD172" s="20">
        <f>IF(B172="","",ROUND((V172+IF(AC172="Yes",IF(I172="",0,I172),0))*AA172+AB172,2))</f>
        <v>0</v>
      </c>
      <c r="AE172" s="20">
        <f>IF(B172="","",IF(K172&lt;&gt;"",K172,AD172))</f>
        <v>0</v>
      </c>
      <c r="AF172" s="20">
        <f>IF(B172="","",IF(K172="","",ROUND(K172-AD172,2)))</f>
        <v>0</v>
      </c>
      <c r="AG172" s="20">
        <f>IF(B172="","",ROUND(V172-Y172-AE172-Z172,2))</f>
        <v>0</v>
      </c>
      <c r="AH172" s="33">
        <f>IF(B172="","",IF(OR(V172="",V172=0),"",AG172/V172))</f>
        <v>0</v>
      </c>
      <c r="AI172" s="33">
        <f>IF(C172="","",IFERROR(INDEX(Products!$AW$5:$AW$304,MATCH(C172,Products!$A$5:$A$304,0)),""))</f>
        <v>0</v>
      </c>
      <c r="AJ172" s="33">
        <f>IF(B172="","",IF(OR(AH172="",AI172=""),"",AH172-AI172))</f>
        <v>0</v>
      </c>
      <c r="AK172" s="41">
        <f>IF(B172="","",IFERROR(ROUND(IF(D172="",0,D172)*INDEX(Products!$X$5:$X$304,MATCH(C172,Products!$A$5:$A$304,0))/60,2),""))</f>
        <v>0</v>
      </c>
      <c r="AL172" s="20">
        <f>IF(B172="","",IF(OR(AK172="",AK172=0),"",ROUND(AG172/AK172,2)))</f>
        <v>0</v>
      </c>
      <c r="AM172" s="43">
        <f>IF(B172="","",IF(C172="","Add - which product?",IF(AG172&lt;0,"Loss - this order cost you money",IF(M172="Refunded","Refunded - check why",IF(AND(AF172&lt;&gt;"",AF172&gt;0.25),"Check - fees higher than your settings",IF(Z172&gt;1,"Check - postage is eating the margin",IF(AND(AH172&lt;&gt;"",AH172&lt;MarginWarning),"Low margin on this order","OK")))))) )</f>
        <v>0</v>
      </c>
    </row>
    <row r="173" spans="1:39">
      <c r="A173" s="38">
        <f>IF(B173="","",SalePrefix&amp;TEXT(ROW()-4,"0000"))</f>
        <v>0</v>
      </c>
      <c r="Q173" s="13">
        <f>IF(C173="","",IFERROR(INDEX(Products!$B$5:$B$304,MATCH(C173,Products!$A$5:$A$304,0)),"Bundle or deleted"))</f>
        <v>0</v>
      </c>
      <c r="R173" s="13">
        <f>IF(B173="","",TEXT(B173,"yyyy-mm"))</f>
        <v>0</v>
      </c>
      <c r="S173" s="20">
        <f>IF(C173="","",IFERROR(INDEX(Products!$AR$5:$AR$304,MATCH(C173,Products!$A$5:$A$304,0)),""))</f>
        <v>0</v>
      </c>
      <c r="T173" s="20">
        <f>IF(B173="","",IF(F173&lt;&gt;"",F173,IF(S173="",0,S173)))</f>
        <v>0</v>
      </c>
      <c r="U173" s="20">
        <f>IF(B173="","",ROUND(IF(D173="",0,D173)*T173,2))</f>
        <v>0</v>
      </c>
      <c r="V173" s="20">
        <f>IF(B173="","",ROUND(U173-IF(G173="",0,G173)-IF(L173="",0,L173),2))</f>
        <v>0</v>
      </c>
      <c r="W173" s="20">
        <f>IF(C173="","",IFERROR(INDEX(Products!$AT$5:$AT$304,MATCH(C173,Products!$A$5:$A$304,0)),""))</f>
        <v>0</v>
      </c>
      <c r="X173" s="20">
        <f>IF(C173="","",IFERROR(INDEX(Products!$AG$5:$AG$304,MATCH(C173,Products!$A$5:$A$304,0)),""))</f>
        <v>0</v>
      </c>
      <c r="Y173" s="20">
        <f>IF(B173="","",ROUND(IF(D173="",0,D173)*MAX(0,IF(W173="",0,W173)-IF(X173="",0,X173)),2))</f>
        <v>0</v>
      </c>
      <c r="Z173" s="20">
        <f>IF(B173="","",ROUND(MAX(0,IF(J173="",0,J173)-IF(I173="",0,I173)),2))</f>
        <v>0</v>
      </c>
      <c r="AA173" s="33">
        <f>IF(B173="","",IFERROR(INDEX(Channels!$S$5:$S$18,MATCH(IF(E173="",DefaultChannel,E173),Channels!$A$5:$A$18,0)),0))</f>
        <v>0</v>
      </c>
      <c r="AB173" s="20">
        <f>IF(B173="","",IFERROR(INDEX(Channels!$T$5:$T$18,MATCH(IF(E173="",DefaultChannel,E173),Channels!$A$5:$A$18,0)),0))</f>
        <v>0</v>
      </c>
      <c r="AC173" s="42">
        <f>IF(B173="","",IFERROR(INDEX(Channels!$O$5:$O$18,MATCH(IF(E173="",DefaultChannel,E173),Channels!$A$5:$A$18,0)),"No"))</f>
        <v>0</v>
      </c>
      <c r="AD173" s="20">
        <f>IF(B173="","",ROUND((V173+IF(AC173="Yes",IF(I173="",0,I173),0))*AA173+AB173,2))</f>
        <v>0</v>
      </c>
      <c r="AE173" s="20">
        <f>IF(B173="","",IF(K173&lt;&gt;"",K173,AD173))</f>
        <v>0</v>
      </c>
      <c r="AF173" s="20">
        <f>IF(B173="","",IF(K173="","",ROUND(K173-AD173,2)))</f>
        <v>0</v>
      </c>
      <c r="AG173" s="20">
        <f>IF(B173="","",ROUND(V173-Y173-AE173-Z173,2))</f>
        <v>0</v>
      </c>
      <c r="AH173" s="33">
        <f>IF(B173="","",IF(OR(V173="",V173=0),"",AG173/V173))</f>
        <v>0</v>
      </c>
      <c r="AI173" s="33">
        <f>IF(C173="","",IFERROR(INDEX(Products!$AW$5:$AW$304,MATCH(C173,Products!$A$5:$A$304,0)),""))</f>
        <v>0</v>
      </c>
      <c r="AJ173" s="33">
        <f>IF(B173="","",IF(OR(AH173="",AI173=""),"",AH173-AI173))</f>
        <v>0</v>
      </c>
      <c r="AK173" s="41">
        <f>IF(B173="","",IFERROR(ROUND(IF(D173="",0,D173)*INDEX(Products!$X$5:$X$304,MATCH(C173,Products!$A$5:$A$304,0))/60,2),""))</f>
        <v>0</v>
      </c>
      <c r="AL173" s="20">
        <f>IF(B173="","",IF(OR(AK173="",AK173=0),"",ROUND(AG173/AK173,2)))</f>
        <v>0</v>
      </c>
      <c r="AM173" s="43">
        <f>IF(B173="","",IF(C173="","Add - which product?",IF(AG173&lt;0,"Loss - this order cost you money",IF(M173="Refunded","Refunded - check why",IF(AND(AF173&lt;&gt;"",AF173&gt;0.25),"Check - fees higher than your settings",IF(Z173&gt;1,"Check - postage is eating the margin",IF(AND(AH173&lt;&gt;"",AH173&lt;MarginWarning),"Low margin on this order","OK")))))) )</f>
        <v>0</v>
      </c>
    </row>
    <row r="174" spans="1:39">
      <c r="A174" s="38">
        <f>IF(B174="","",SalePrefix&amp;TEXT(ROW()-4,"0000"))</f>
        <v>0</v>
      </c>
      <c r="Q174" s="13">
        <f>IF(C174="","",IFERROR(INDEX(Products!$B$5:$B$304,MATCH(C174,Products!$A$5:$A$304,0)),"Bundle or deleted"))</f>
        <v>0</v>
      </c>
      <c r="R174" s="13">
        <f>IF(B174="","",TEXT(B174,"yyyy-mm"))</f>
        <v>0</v>
      </c>
      <c r="S174" s="20">
        <f>IF(C174="","",IFERROR(INDEX(Products!$AR$5:$AR$304,MATCH(C174,Products!$A$5:$A$304,0)),""))</f>
        <v>0</v>
      </c>
      <c r="T174" s="20">
        <f>IF(B174="","",IF(F174&lt;&gt;"",F174,IF(S174="",0,S174)))</f>
        <v>0</v>
      </c>
      <c r="U174" s="20">
        <f>IF(B174="","",ROUND(IF(D174="",0,D174)*T174,2))</f>
        <v>0</v>
      </c>
      <c r="V174" s="20">
        <f>IF(B174="","",ROUND(U174-IF(G174="",0,G174)-IF(L174="",0,L174),2))</f>
        <v>0</v>
      </c>
      <c r="W174" s="20">
        <f>IF(C174="","",IFERROR(INDEX(Products!$AT$5:$AT$304,MATCH(C174,Products!$A$5:$A$304,0)),""))</f>
        <v>0</v>
      </c>
      <c r="X174" s="20">
        <f>IF(C174="","",IFERROR(INDEX(Products!$AG$5:$AG$304,MATCH(C174,Products!$A$5:$A$304,0)),""))</f>
        <v>0</v>
      </c>
      <c r="Y174" s="20">
        <f>IF(B174="","",ROUND(IF(D174="",0,D174)*MAX(0,IF(W174="",0,W174)-IF(X174="",0,X174)),2))</f>
        <v>0</v>
      </c>
      <c r="Z174" s="20">
        <f>IF(B174="","",ROUND(MAX(0,IF(J174="",0,J174)-IF(I174="",0,I174)),2))</f>
        <v>0</v>
      </c>
      <c r="AA174" s="33">
        <f>IF(B174="","",IFERROR(INDEX(Channels!$S$5:$S$18,MATCH(IF(E174="",DefaultChannel,E174),Channels!$A$5:$A$18,0)),0))</f>
        <v>0</v>
      </c>
      <c r="AB174" s="20">
        <f>IF(B174="","",IFERROR(INDEX(Channels!$T$5:$T$18,MATCH(IF(E174="",DefaultChannel,E174),Channels!$A$5:$A$18,0)),0))</f>
        <v>0</v>
      </c>
      <c r="AC174" s="42">
        <f>IF(B174="","",IFERROR(INDEX(Channels!$O$5:$O$18,MATCH(IF(E174="",DefaultChannel,E174),Channels!$A$5:$A$18,0)),"No"))</f>
        <v>0</v>
      </c>
      <c r="AD174" s="20">
        <f>IF(B174="","",ROUND((V174+IF(AC174="Yes",IF(I174="",0,I174),0))*AA174+AB174,2))</f>
        <v>0</v>
      </c>
      <c r="AE174" s="20">
        <f>IF(B174="","",IF(K174&lt;&gt;"",K174,AD174))</f>
        <v>0</v>
      </c>
      <c r="AF174" s="20">
        <f>IF(B174="","",IF(K174="","",ROUND(K174-AD174,2)))</f>
        <v>0</v>
      </c>
      <c r="AG174" s="20">
        <f>IF(B174="","",ROUND(V174-Y174-AE174-Z174,2))</f>
        <v>0</v>
      </c>
      <c r="AH174" s="33">
        <f>IF(B174="","",IF(OR(V174="",V174=0),"",AG174/V174))</f>
        <v>0</v>
      </c>
      <c r="AI174" s="33">
        <f>IF(C174="","",IFERROR(INDEX(Products!$AW$5:$AW$304,MATCH(C174,Products!$A$5:$A$304,0)),""))</f>
        <v>0</v>
      </c>
      <c r="AJ174" s="33">
        <f>IF(B174="","",IF(OR(AH174="",AI174=""),"",AH174-AI174))</f>
        <v>0</v>
      </c>
      <c r="AK174" s="41">
        <f>IF(B174="","",IFERROR(ROUND(IF(D174="",0,D174)*INDEX(Products!$X$5:$X$304,MATCH(C174,Products!$A$5:$A$304,0))/60,2),""))</f>
        <v>0</v>
      </c>
      <c r="AL174" s="20">
        <f>IF(B174="","",IF(OR(AK174="",AK174=0),"",ROUND(AG174/AK174,2)))</f>
        <v>0</v>
      </c>
      <c r="AM174" s="43">
        <f>IF(B174="","",IF(C174="","Add - which product?",IF(AG174&lt;0,"Loss - this order cost you money",IF(M174="Refunded","Refunded - check why",IF(AND(AF174&lt;&gt;"",AF174&gt;0.25),"Check - fees higher than your settings",IF(Z174&gt;1,"Check - postage is eating the margin",IF(AND(AH174&lt;&gt;"",AH174&lt;MarginWarning),"Low margin on this order","OK")))))) )</f>
        <v>0</v>
      </c>
    </row>
    <row r="175" spans="1:39">
      <c r="A175" s="38">
        <f>IF(B175="","",SalePrefix&amp;TEXT(ROW()-4,"0000"))</f>
        <v>0</v>
      </c>
      <c r="Q175" s="13">
        <f>IF(C175="","",IFERROR(INDEX(Products!$B$5:$B$304,MATCH(C175,Products!$A$5:$A$304,0)),"Bundle or deleted"))</f>
        <v>0</v>
      </c>
      <c r="R175" s="13">
        <f>IF(B175="","",TEXT(B175,"yyyy-mm"))</f>
        <v>0</v>
      </c>
      <c r="S175" s="20">
        <f>IF(C175="","",IFERROR(INDEX(Products!$AR$5:$AR$304,MATCH(C175,Products!$A$5:$A$304,0)),""))</f>
        <v>0</v>
      </c>
      <c r="T175" s="20">
        <f>IF(B175="","",IF(F175&lt;&gt;"",F175,IF(S175="",0,S175)))</f>
        <v>0</v>
      </c>
      <c r="U175" s="20">
        <f>IF(B175="","",ROUND(IF(D175="",0,D175)*T175,2))</f>
        <v>0</v>
      </c>
      <c r="V175" s="20">
        <f>IF(B175="","",ROUND(U175-IF(G175="",0,G175)-IF(L175="",0,L175),2))</f>
        <v>0</v>
      </c>
      <c r="W175" s="20">
        <f>IF(C175="","",IFERROR(INDEX(Products!$AT$5:$AT$304,MATCH(C175,Products!$A$5:$A$304,0)),""))</f>
        <v>0</v>
      </c>
      <c r="X175" s="20">
        <f>IF(C175="","",IFERROR(INDEX(Products!$AG$5:$AG$304,MATCH(C175,Products!$A$5:$A$304,0)),""))</f>
        <v>0</v>
      </c>
      <c r="Y175" s="20">
        <f>IF(B175="","",ROUND(IF(D175="",0,D175)*MAX(0,IF(W175="",0,W175)-IF(X175="",0,X175)),2))</f>
        <v>0</v>
      </c>
      <c r="Z175" s="20">
        <f>IF(B175="","",ROUND(MAX(0,IF(J175="",0,J175)-IF(I175="",0,I175)),2))</f>
        <v>0</v>
      </c>
      <c r="AA175" s="33">
        <f>IF(B175="","",IFERROR(INDEX(Channels!$S$5:$S$18,MATCH(IF(E175="",DefaultChannel,E175),Channels!$A$5:$A$18,0)),0))</f>
        <v>0</v>
      </c>
      <c r="AB175" s="20">
        <f>IF(B175="","",IFERROR(INDEX(Channels!$T$5:$T$18,MATCH(IF(E175="",DefaultChannel,E175),Channels!$A$5:$A$18,0)),0))</f>
        <v>0</v>
      </c>
      <c r="AC175" s="42">
        <f>IF(B175="","",IFERROR(INDEX(Channels!$O$5:$O$18,MATCH(IF(E175="",DefaultChannel,E175),Channels!$A$5:$A$18,0)),"No"))</f>
        <v>0</v>
      </c>
      <c r="AD175" s="20">
        <f>IF(B175="","",ROUND((V175+IF(AC175="Yes",IF(I175="",0,I175),0))*AA175+AB175,2))</f>
        <v>0</v>
      </c>
      <c r="AE175" s="20">
        <f>IF(B175="","",IF(K175&lt;&gt;"",K175,AD175))</f>
        <v>0</v>
      </c>
      <c r="AF175" s="20">
        <f>IF(B175="","",IF(K175="","",ROUND(K175-AD175,2)))</f>
        <v>0</v>
      </c>
      <c r="AG175" s="20">
        <f>IF(B175="","",ROUND(V175-Y175-AE175-Z175,2))</f>
        <v>0</v>
      </c>
      <c r="AH175" s="33">
        <f>IF(B175="","",IF(OR(V175="",V175=0),"",AG175/V175))</f>
        <v>0</v>
      </c>
      <c r="AI175" s="33">
        <f>IF(C175="","",IFERROR(INDEX(Products!$AW$5:$AW$304,MATCH(C175,Products!$A$5:$A$304,0)),""))</f>
        <v>0</v>
      </c>
      <c r="AJ175" s="33">
        <f>IF(B175="","",IF(OR(AH175="",AI175=""),"",AH175-AI175))</f>
        <v>0</v>
      </c>
      <c r="AK175" s="41">
        <f>IF(B175="","",IFERROR(ROUND(IF(D175="",0,D175)*INDEX(Products!$X$5:$X$304,MATCH(C175,Products!$A$5:$A$304,0))/60,2),""))</f>
        <v>0</v>
      </c>
      <c r="AL175" s="20">
        <f>IF(B175="","",IF(OR(AK175="",AK175=0),"",ROUND(AG175/AK175,2)))</f>
        <v>0</v>
      </c>
      <c r="AM175" s="43">
        <f>IF(B175="","",IF(C175="","Add - which product?",IF(AG175&lt;0,"Loss - this order cost you money",IF(M175="Refunded","Refunded - check why",IF(AND(AF175&lt;&gt;"",AF175&gt;0.25),"Check - fees higher than your settings",IF(Z175&gt;1,"Check - postage is eating the margin",IF(AND(AH175&lt;&gt;"",AH175&lt;MarginWarning),"Low margin on this order","OK")))))) )</f>
        <v>0</v>
      </c>
    </row>
    <row r="176" spans="1:39">
      <c r="A176" s="38">
        <f>IF(B176="","",SalePrefix&amp;TEXT(ROW()-4,"0000"))</f>
        <v>0</v>
      </c>
      <c r="Q176" s="13">
        <f>IF(C176="","",IFERROR(INDEX(Products!$B$5:$B$304,MATCH(C176,Products!$A$5:$A$304,0)),"Bundle or deleted"))</f>
        <v>0</v>
      </c>
      <c r="R176" s="13">
        <f>IF(B176="","",TEXT(B176,"yyyy-mm"))</f>
        <v>0</v>
      </c>
      <c r="S176" s="20">
        <f>IF(C176="","",IFERROR(INDEX(Products!$AR$5:$AR$304,MATCH(C176,Products!$A$5:$A$304,0)),""))</f>
        <v>0</v>
      </c>
      <c r="T176" s="20">
        <f>IF(B176="","",IF(F176&lt;&gt;"",F176,IF(S176="",0,S176)))</f>
        <v>0</v>
      </c>
      <c r="U176" s="20">
        <f>IF(B176="","",ROUND(IF(D176="",0,D176)*T176,2))</f>
        <v>0</v>
      </c>
      <c r="V176" s="20">
        <f>IF(B176="","",ROUND(U176-IF(G176="",0,G176)-IF(L176="",0,L176),2))</f>
        <v>0</v>
      </c>
      <c r="W176" s="20">
        <f>IF(C176="","",IFERROR(INDEX(Products!$AT$5:$AT$304,MATCH(C176,Products!$A$5:$A$304,0)),""))</f>
        <v>0</v>
      </c>
      <c r="X176" s="20">
        <f>IF(C176="","",IFERROR(INDEX(Products!$AG$5:$AG$304,MATCH(C176,Products!$A$5:$A$304,0)),""))</f>
        <v>0</v>
      </c>
      <c r="Y176" s="20">
        <f>IF(B176="","",ROUND(IF(D176="",0,D176)*MAX(0,IF(W176="",0,W176)-IF(X176="",0,X176)),2))</f>
        <v>0</v>
      </c>
      <c r="Z176" s="20">
        <f>IF(B176="","",ROUND(MAX(0,IF(J176="",0,J176)-IF(I176="",0,I176)),2))</f>
        <v>0</v>
      </c>
      <c r="AA176" s="33">
        <f>IF(B176="","",IFERROR(INDEX(Channels!$S$5:$S$18,MATCH(IF(E176="",DefaultChannel,E176),Channels!$A$5:$A$18,0)),0))</f>
        <v>0</v>
      </c>
      <c r="AB176" s="20">
        <f>IF(B176="","",IFERROR(INDEX(Channels!$T$5:$T$18,MATCH(IF(E176="",DefaultChannel,E176),Channels!$A$5:$A$18,0)),0))</f>
        <v>0</v>
      </c>
      <c r="AC176" s="42">
        <f>IF(B176="","",IFERROR(INDEX(Channels!$O$5:$O$18,MATCH(IF(E176="",DefaultChannel,E176),Channels!$A$5:$A$18,0)),"No"))</f>
        <v>0</v>
      </c>
      <c r="AD176" s="20">
        <f>IF(B176="","",ROUND((V176+IF(AC176="Yes",IF(I176="",0,I176),0))*AA176+AB176,2))</f>
        <v>0</v>
      </c>
      <c r="AE176" s="20">
        <f>IF(B176="","",IF(K176&lt;&gt;"",K176,AD176))</f>
        <v>0</v>
      </c>
      <c r="AF176" s="20">
        <f>IF(B176="","",IF(K176="","",ROUND(K176-AD176,2)))</f>
        <v>0</v>
      </c>
      <c r="AG176" s="20">
        <f>IF(B176="","",ROUND(V176-Y176-AE176-Z176,2))</f>
        <v>0</v>
      </c>
      <c r="AH176" s="33">
        <f>IF(B176="","",IF(OR(V176="",V176=0),"",AG176/V176))</f>
        <v>0</v>
      </c>
      <c r="AI176" s="33">
        <f>IF(C176="","",IFERROR(INDEX(Products!$AW$5:$AW$304,MATCH(C176,Products!$A$5:$A$304,0)),""))</f>
        <v>0</v>
      </c>
      <c r="AJ176" s="33">
        <f>IF(B176="","",IF(OR(AH176="",AI176=""),"",AH176-AI176))</f>
        <v>0</v>
      </c>
      <c r="AK176" s="41">
        <f>IF(B176="","",IFERROR(ROUND(IF(D176="",0,D176)*INDEX(Products!$X$5:$X$304,MATCH(C176,Products!$A$5:$A$304,0))/60,2),""))</f>
        <v>0</v>
      </c>
      <c r="AL176" s="20">
        <f>IF(B176="","",IF(OR(AK176="",AK176=0),"",ROUND(AG176/AK176,2)))</f>
        <v>0</v>
      </c>
      <c r="AM176" s="43">
        <f>IF(B176="","",IF(C176="","Add - which product?",IF(AG176&lt;0,"Loss - this order cost you money",IF(M176="Refunded","Refunded - check why",IF(AND(AF176&lt;&gt;"",AF176&gt;0.25),"Check - fees higher than your settings",IF(Z176&gt;1,"Check - postage is eating the margin",IF(AND(AH176&lt;&gt;"",AH176&lt;MarginWarning),"Low margin on this order","OK")))))) )</f>
        <v>0</v>
      </c>
    </row>
    <row r="177" spans="1:39">
      <c r="A177" s="38">
        <f>IF(B177="","",SalePrefix&amp;TEXT(ROW()-4,"0000"))</f>
        <v>0</v>
      </c>
      <c r="Q177" s="13">
        <f>IF(C177="","",IFERROR(INDEX(Products!$B$5:$B$304,MATCH(C177,Products!$A$5:$A$304,0)),"Bundle or deleted"))</f>
        <v>0</v>
      </c>
      <c r="R177" s="13">
        <f>IF(B177="","",TEXT(B177,"yyyy-mm"))</f>
        <v>0</v>
      </c>
      <c r="S177" s="20">
        <f>IF(C177="","",IFERROR(INDEX(Products!$AR$5:$AR$304,MATCH(C177,Products!$A$5:$A$304,0)),""))</f>
        <v>0</v>
      </c>
      <c r="T177" s="20">
        <f>IF(B177="","",IF(F177&lt;&gt;"",F177,IF(S177="",0,S177)))</f>
        <v>0</v>
      </c>
      <c r="U177" s="20">
        <f>IF(B177="","",ROUND(IF(D177="",0,D177)*T177,2))</f>
        <v>0</v>
      </c>
      <c r="V177" s="20">
        <f>IF(B177="","",ROUND(U177-IF(G177="",0,G177)-IF(L177="",0,L177),2))</f>
        <v>0</v>
      </c>
      <c r="W177" s="20">
        <f>IF(C177="","",IFERROR(INDEX(Products!$AT$5:$AT$304,MATCH(C177,Products!$A$5:$A$304,0)),""))</f>
        <v>0</v>
      </c>
      <c r="X177" s="20">
        <f>IF(C177="","",IFERROR(INDEX(Products!$AG$5:$AG$304,MATCH(C177,Products!$A$5:$A$304,0)),""))</f>
        <v>0</v>
      </c>
      <c r="Y177" s="20">
        <f>IF(B177="","",ROUND(IF(D177="",0,D177)*MAX(0,IF(W177="",0,W177)-IF(X177="",0,X177)),2))</f>
        <v>0</v>
      </c>
      <c r="Z177" s="20">
        <f>IF(B177="","",ROUND(MAX(0,IF(J177="",0,J177)-IF(I177="",0,I177)),2))</f>
        <v>0</v>
      </c>
      <c r="AA177" s="33">
        <f>IF(B177="","",IFERROR(INDEX(Channels!$S$5:$S$18,MATCH(IF(E177="",DefaultChannel,E177),Channels!$A$5:$A$18,0)),0))</f>
        <v>0</v>
      </c>
      <c r="AB177" s="20">
        <f>IF(B177="","",IFERROR(INDEX(Channels!$T$5:$T$18,MATCH(IF(E177="",DefaultChannel,E177),Channels!$A$5:$A$18,0)),0))</f>
        <v>0</v>
      </c>
      <c r="AC177" s="42">
        <f>IF(B177="","",IFERROR(INDEX(Channels!$O$5:$O$18,MATCH(IF(E177="",DefaultChannel,E177),Channels!$A$5:$A$18,0)),"No"))</f>
        <v>0</v>
      </c>
      <c r="AD177" s="20">
        <f>IF(B177="","",ROUND((V177+IF(AC177="Yes",IF(I177="",0,I177),0))*AA177+AB177,2))</f>
        <v>0</v>
      </c>
      <c r="AE177" s="20">
        <f>IF(B177="","",IF(K177&lt;&gt;"",K177,AD177))</f>
        <v>0</v>
      </c>
      <c r="AF177" s="20">
        <f>IF(B177="","",IF(K177="","",ROUND(K177-AD177,2)))</f>
        <v>0</v>
      </c>
      <c r="AG177" s="20">
        <f>IF(B177="","",ROUND(V177-Y177-AE177-Z177,2))</f>
        <v>0</v>
      </c>
      <c r="AH177" s="33">
        <f>IF(B177="","",IF(OR(V177="",V177=0),"",AG177/V177))</f>
        <v>0</v>
      </c>
      <c r="AI177" s="33">
        <f>IF(C177="","",IFERROR(INDEX(Products!$AW$5:$AW$304,MATCH(C177,Products!$A$5:$A$304,0)),""))</f>
        <v>0</v>
      </c>
      <c r="AJ177" s="33">
        <f>IF(B177="","",IF(OR(AH177="",AI177=""),"",AH177-AI177))</f>
        <v>0</v>
      </c>
      <c r="AK177" s="41">
        <f>IF(B177="","",IFERROR(ROUND(IF(D177="",0,D177)*INDEX(Products!$X$5:$X$304,MATCH(C177,Products!$A$5:$A$304,0))/60,2),""))</f>
        <v>0</v>
      </c>
      <c r="AL177" s="20">
        <f>IF(B177="","",IF(OR(AK177="",AK177=0),"",ROUND(AG177/AK177,2)))</f>
        <v>0</v>
      </c>
      <c r="AM177" s="43">
        <f>IF(B177="","",IF(C177="","Add - which product?",IF(AG177&lt;0,"Loss - this order cost you money",IF(M177="Refunded","Refunded - check why",IF(AND(AF177&lt;&gt;"",AF177&gt;0.25),"Check - fees higher than your settings",IF(Z177&gt;1,"Check - postage is eating the margin",IF(AND(AH177&lt;&gt;"",AH177&lt;MarginWarning),"Low margin on this order","OK")))))) )</f>
        <v>0</v>
      </c>
    </row>
    <row r="178" spans="1:39">
      <c r="A178" s="38">
        <f>IF(B178="","",SalePrefix&amp;TEXT(ROW()-4,"0000"))</f>
        <v>0</v>
      </c>
      <c r="Q178" s="13">
        <f>IF(C178="","",IFERROR(INDEX(Products!$B$5:$B$304,MATCH(C178,Products!$A$5:$A$304,0)),"Bundle or deleted"))</f>
        <v>0</v>
      </c>
      <c r="R178" s="13">
        <f>IF(B178="","",TEXT(B178,"yyyy-mm"))</f>
        <v>0</v>
      </c>
      <c r="S178" s="20">
        <f>IF(C178="","",IFERROR(INDEX(Products!$AR$5:$AR$304,MATCH(C178,Products!$A$5:$A$304,0)),""))</f>
        <v>0</v>
      </c>
      <c r="T178" s="20">
        <f>IF(B178="","",IF(F178&lt;&gt;"",F178,IF(S178="",0,S178)))</f>
        <v>0</v>
      </c>
      <c r="U178" s="20">
        <f>IF(B178="","",ROUND(IF(D178="",0,D178)*T178,2))</f>
        <v>0</v>
      </c>
      <c r="V178" s="20">
        <f>IF(B178="","",ROUND(U178-IF(G178="",0,G178)-IF(L178="",0,L178),2))</f>
        <v>0</v>
      </c>
      <c r="W178" s="20">
        <f>IF(C178="","",IFERROR(INDEX(Products!$AT$5:$AT$304,MATCH(C178,Products!$A$5:$A$304,0)),""))</f>
        <v>0</v>
      </c>
      <c r="X178" s="20">
        <f>IF(C178="","",IFERROR(INDEX(Products!$AG$5:$AG$304,MATCH(C178,Products!$A$5:$A$304,0)),""))</f>
        <v>0</v>
      </c>
      <c r="Y178" s="20">
        <f>IF(B178="","",ROUND(IF(D178="",0,D178)*MAX(0,IF(W178="",0,W178)-IF(X178="",0,X178)),2))</f>
        <v>0</v>
      </c>
      <c r="Z178" s="20">
        <f>IF(B178="","",ROUND(MAX(0,IF(J178="",0,J178)-IF(I178="",0,I178)),2))</f>
        <v>0</v>
      </c>
      <c r="AA178" s="33">
        <f>IF(B178="","",IFERROR(INDEX(Channels!$S$5:$S$18,MATCH(IF(E178="",DefaultChannel,E178),Channels!$A$5:$A$18,0)),0))</f>
        <v>0</v>
      </c>
      <c r="AB178" s="20">
        <f>IF(B178="","",IFERROR(INDEX(Channels!$T$5:$T$18,MATCH(IF(E178="",DefaultChannel,E178),Channels!$A$5:$A$18,0)),0))</f>
        <v>0</v>
      </c>
      <c r="AC178" s="42">
        <f>IF(B178="","",IFERROR(INDEX(Channels!$O$5:$O$18,MATCH(IF(E178="",DefaultChannel,E178),Channels!$A$5:$A$18,0)),"No"))</f>
        <v>0</v>
      </c>
      <c r="AD178" s="20">
        <f>IF(B178="","",ROUND((V178+IF(AC178="Yes",IF(I178="",0,I178),0))*AA178+AB178,2))</f>
        <v>0</v>
      </c>
      <c r="AE178" s="20">
        <f>IF(B178="","",IF(K178&lt;&gt;"",K178,AD178))</f>
        <v>0</v>
      </c>
      <c r="AF178" s="20">
        <f>IF(B178="","",IF(K178="","",ROUND(K178-AD178,2)))</f>
        <v>0</v>
      </c>
      <c r="AG178" s="20">
        <f>IF(B178="","",ROUND(V178-Y178-AE178-Z178,2))</f>
        <v>0</v>
      </c>
      <c r="AH178" s="33">
        <f>IF(B178="","",IF(OR(V178="",V178=0),"",AG178/V178))</f>
        <v>0</v>
      </c>
      <c r="AI178" s="33">
        <f>IF(C178="","",IFERROR(INDEX(Products!$AW$5:$AW$304,MATCH(C178,Products!$A$5:$A$304,0)),""))</f>
        <v>0</v>
      </c>
      <c r="AJ178" s="33">
        <f>IF(B178="","",IF(OR(AH178="",AI178=""),"",AH178-AI178))</f>
        <v>0</v>
      </c>
      <c r="AK178" s="41">
        <f>IF(B178="","",IFERROR(ROUND(IF(D178="",0,D178)*INDEX(Products!$X$5:$X$304,MATCH(C178,Products!$A$5:$A$304,0))/60,2),""))</f>
        <v>0</v>
      </c>
      <c r="AL178" s="20">
        <f>IF(B178="","",IF(OR(AK178="",AK178=0),"",ROUND(AG178/AK178,2)))</f>
        <v>0</v>
      </c>
      <c r="AM178" s="43">
        <f>IF(B178="","",IF(C178="","Add - which product?",IF(AG178&lt;0,"Loss - this order cost you money",IF(M178="Refunded","Refunded - check why",IF(AND(AF178&lt;&gt;"",AF178&gt;0.25),"Check - fees higher than your settings",IF(Z178&gt;1,"Check - postage is eating the margin",IF(AND(AH178&lt;&gt;"",AH178&lt;MarginWarning),"Low margin on this order","OK")))))) )</f>
        <v>0</v>
      </c>
    </row>
    <row r="179" spans="1:39">
      <c r="A179" s="38">
        <f>IF(B179="","",SalePrefix&amp;TEXT(ROW()-4,"0000"))</f>
        <v>0</v>
      </c>
      <c r="Q179" s="13">
        <f>IF(C179="","",IFERROR(INDEX(Products!$B$5:$B$304,MATCH(C179,Products!$A$5:$A$304,0)),"Bundle or deleted"))</f>
        <v>0</v>
      </c>
      <c r="R179" s="13">
        <f>IF(B179="","",TEXT(B179,"yyyy-mm"))</f>
        <v>0</v>
      </c>
      <c r="S179" s="20">
        <f>IF(C179="","",IFERROR(INDEX(Products!$AR$5:$AR$304,MATCH(C179,Products!$A$5:$A$304,0)),""))</f>
        <v>0</v>
      </c>
      <c r="T179" s="20">
        <f>IF(B179="","",IF(F179&lt;&gt;"",F179,IF(S179="",0,S179)))</f>
        <v>0</v>
      </c>
      <c r="U179" s="20">
        <f>IF(B179="","",ROUND(IF(D179="",0,D179)*T179,2))</f>
        <v>0</v>
      </c>
      <c r="V179" s="20">
        <f>IF(B179="","",ROUND(U179-IF(G179="",0,G179)-IF(L179="",0,L179),2))</f>
        <v>0</v>
      </c>
      <c r="W179" s="20">
        <f>IF(C179="","",IFERROR(INDEX(Products!$AT$5:$AT$304,MATCH(C179,Products!$A$5:$A$304,0)),""))</f>
        <v>0</v>
      </c>
      <c r="X179" s="20">
        <f>IF(C179="","",IFERROR(INDEX(Products!$AG$5:$AG$304,MATCH(C179,Products!$A$5:$A$304,0)),""))</f>
        <v>0</v>
      </c>
      <c r="Y179" s="20">
        <f>IF(B179="","",ROUND(IF(D179="",0,D179)*MAX(0,IF(W179="",0,W179)-IF(X179="",0,X179)),2))</f>
        <v>0</v>
      </c>
      <c r="Z179" s="20">
        <f>IF(B179="","",ROUND(MAX(0,IF(J179="",0,J179)-IF(I179="",0,I179)),2))</f>
        <v>0</v>
      </c>
      <c r="AA179" s="33">
        <f>IF(B179="","",IFERROR(INDEX(Channels!$S$5:$S$18,MATCH(IF(E179="",DefaultChannel,E179),Channels!$A$5:$A$18,0)),0))</f>
        <v>0</v>
      </c>
      <c r="AB179" s="20">
        <f>IF(B179="","",IFERROR(INDEX(Channels!$T$5:$T$18,MATCH(IF(E179="",DefaultChannel,E179),Channels!$A$5:$A$18,0)),0))</f>
        <v>0</v>
      </c>
      <c r="AC179" s="42">
        <f>IF(B179="","",IFERROR(INDEX(Channels!$O$5:$O$18,MATCH(IF(E179="",DefaultChannel,E179),Channels!$A$5:$A$18,0)),"No"))</f>
        <v>0</v>
      </c>
      <c r="AD179" s="20">
        <f>IF(B179="","",ROUND((V179+IF(AC179="Yes",IF(I179="",0,I179),0))*AA179+AB179,2))</f>
        <v>0</v>
      </c>
      <c r="AE179" s="20">
        <f>IF(B179="","",IF(K179&lt;&gt;"",K179,AD179))</f>
        <v>0</v>
      </c>
      <c r="AF179" s="20">
        <f>IF(B179="","",IF(K179="","",ROUND(K179-AD179,2)))</f>
        <v>0</v>
      </c>
      <c r="AG179" s="20">
        <f>IF(B179="","",ROUND(V179-Y179-AE179-Z179,2))</f>
        <v>0</v>
      </c>
      <c r="AH179" s="33">
        <f>IF(B179="","",IF(OR(V179="",V179=0),"",AG179/V179))</f>
        <v>0</v>
      </c>
      <c r="AI179" s="33">
        <f>IF(C179="","",IFERROR(INDEX(Products!$AW$5:$AW$304,MATCH(C179,Products!$A$5:$A$304,0)),""))</f>
        <v>0</v>
      </c>
      <c r="AJ179" s="33">
        <f>IF(B179="","",IF(OR(AH179="",AI179=""),"",AH179-AI179))</f>
        <v>0</v>
      </c>
      <c r="AK179" s="41">
        <f>IF(B179="","",IFERROR(ROUND(IF(D179="",0,D179)*INDEX(Products!$X$5:$X$304,MATCH(C179,Products!$A$5:$A$304,0))/60,2),""))</f>
        <v>0</v>
      </c>
      <c r="AL179" s="20">
        <f>IF(B179="","",IF(OR(AK179="",AK179=0),"",ROUND(AG179/AK179,2)))</f>
        <v>0</v>
      </c>
      <c r="AM179" s="43">
        <f>IF(B179="","",IF(C179="","Add - which product?",IF(AG179&lt;0,"Loss - this order cost you money",IF(M179="Refunded","Refunded - check why",IF(AND(AF179&lt;&gt;"",AF179&gt;0.25),"Check - fees higher than your settings",IF(Z179&gt;1,"Check - postage is eating the margin",IF(AND(AH179&lt;&gt;"",AH179&lt;MarginWarning),"Low margin on this order","OK")))))) )</f>
        <v>0</v>
      </c>
    </row>
    <row r="180" spans="1:39">
      <c r="A180" s="38">
        <f>IF(B180="","",SalePrefix&amp;TEXT(ROW()-4,"0000"))</f>
        <v>0</v>
      </c>
      <c r="Q180" s="13">
        <f>IF(C180="","",IFERROR(INDEX(Products!$B$5:$B$304,MATCH(C180,Products!$A$5:$A$304,0)),"Bundle or deleted"))</f>
        <v>0</v>
      </c>
      <c r="R180" s="13">
        <f>IF(B180="","",TEXT(B180,"yyyy-mm"))</f>
        <v>0</v>
      </c>
      <c r="S180" s="20">
        <f>IF(C180="","",IFERROR(INDEX(Products!$AR$5:$AR$304,MATCH(C180,Products!$A$5:$A$304,0)),""))</f>
        <v>0</v>
      </c>
      <c r="T180" s="20">
        <f>IF(B180="","",IF(F180&lt;&gt;"",F180,IF(S180="",0,S180)))</f>
        <v>0</v>
      </c>
      <c r="U180" s="20">
        <f>IF(B180="","",ROUND(IF(D180="",0,D180)*T180,2))</f>
        <v>0</v>
      </c>
      <c r="V180" s="20">
        <f>IF(B180="","",ROUND(U180-IF(G180="",0,G180)-IF(L180="",0,L180),2))</f>
        <v>0</v>
      </c>
      <c r="W180" s="20">
        <f>IF(C180="","",IFERROR(INDEX(Products!$AT$5:$AT$304,MATCH(C180,Products!$A$5:$A$304,0)),""))</f>
        <v>0</v>
      </c>
      <c r="X180" s="20">
        <f>IF(C180="","",IFERROR(INDEX(Products!$AG$5:$AG$304,MATCH(C180,Products!$A$5:$A$304,0)),""))</f>
        <v>0</v>
      </c>
      <c r="Y180" s="20">
        <f>IF(B180="","",ROUND(IF(D180="",0,D180)*MAX(0,IF(W180="",0,W180)-IF(X180="",0,X180)),2))</f>
        <v>0</v>
      </c>
      <c r="Z180" s="20">
        <f>IF(B180="","",ROUND(MAX(0,IF(J180="",0,J180)-IF(I180="",0,I180)),2))</f>
        <v>0</v>
      </c>
      <c r="AA180" s="33">
        <f>IF(B180="","",IFERROR(INDEX(Channels!$S$5:$S$18,MATCH(IF(E180="",DefaultChannel,E180),Channels!$A$5:$A$18,0)),0))</f>
        <v>0</v>
      </c>
      <c r="AB180" s="20">
        <f>IF(B180="","",IFERROR(INDEX(Channels!$T$5:$T$18,MATCH(IF(E180="",DefaultChannel,E180),Channels!$A$5:$A$18,0)),0))</f>
        <v>0</v>
      </c>
      <c r="AC180" s="42">
        <f>IF(B180="","",IFERROR(INDEX(Channels!$O$5:$O$18,MATCH(IF(E180="",DefaultChannel,E180),Channels!$A$5:$A$18,0)),"No"))</f>
        <v>0</v>
      </c>
      <c r="AD180" s="20">
        <f>IF(B180="","",ROUND((V180+IF(AC180="Yes",IF(I180="",0,I180),0))*AA180+AB180,2))</f>
        <v>0</v>
      </c>
      <c r="AE180" s="20">
        <f>IF(B180="","",IF(K180&lt;&gt;"",K180,AD180))</f>
        <v>0</v>
      </c>
      <c r="AF180" s="20">
        <f>IF(B180="","",IF(K180="","",ROUND(K180-AD180,2)))</f>
        <v>0</v>
      </c>
      <c r="AG180" s="20">
        <f>IF(B180="","",ROUND(V180-Y180-AE180-Z180,2))</f>
        <v>0</v>
      </c>
      <c r="AH180" s="33">
        <f>IF(B180="","",IF(OR(V180="",V180=0),"",AG180/V180))</f>
        <v>0</v>
      </c>
      <c r="AI180" s="33">
        <f>IF(C180="","",IFERROR(INDEX(Products!$AW$5:$AW$304,MATCH(C180,Products!$A$5:$A$304,0)),""))</f>
        <v>0</v>
      </c>
      <c r="AJ180" s="33">
        <f>IF(B180="","",IF(OR(AH180="",AI180=""),"",AH180-AI180))</f>
        <v>0</v>
      </c>
      <c r="AK180" s="41">
        <f>IF(B180="","",IFERROR(ROUND(IF(D180="",0,D180)*INDEX(Products!$X$5:$X$304,MATCH(C180,Products!$A$5:$A$304,0))/60,2),""))</f>
        <v>0</v>
      </c>
      <c r="AL180" s="20">
        <f>IF(B180="","",IF(OR(AK180="",AK180=0),"",ROUND(AG180/AK180,2)))</f>
        <v>0</v>
      </c>
      <c r="AM180" s="43">
        <f>IF(B180="","",IF(C180="","Add - which product?",IF(AG180&lt;0,"Loss - this order cost you money",IF(M180="Refunded","Refunded - check why",IF(AND(AF180&lt;&gt;"",AF180&gt;0.25),"Check - fees higher than your settings",IF(Z180&gt;1,"Check - postage is eating the margin",IF(AND(AH180&lt;&gt;"",AH180&lt;MarginWarning),"Low margin on this order","OK")))))) )</f>
        <v>0</v>
      </c>
    </row>
    <row r="181" spans="1:39">
      <c r="A181" s="38">
        <f>IF(B181="","",SalePrefix&amp;TEXT(ROW()-4,"0000"))</f>
        <v>0</v>
      </c>
      <c r="Q181" s="13">
        <f>IF(C181="","",IFERROR(INDEX(Products!$B$5:$B$304,MATCH(C181,Products!$A$5:$A$304,0)),"Bundle or deleted"))</f>
        <v>0</v>
      </c>
      <c r="R181" s="13">
        <f>IF(B181="","",TEXT(B181,"yyyy-mm"))</f>
        <v>0</v>
      </c>
      <c r="S181" s="20">
        <f>IF(C181="","",IFERROR(INDEX(Products!$AR$5:$AR$304,MATCH(C181,Products!$A$5:$A$304,0)),""))</f>
        <v>0</v>
      </c>
      <c r="T181" s="20">
        <f>IF(B181="","",IF(F181&lt;&gt;"",F181,IF(S181="",0,S181)))</f>
        <v>0</v>
      </c>
      <c r="U181" s="20">
        <f>IF(B181="","",ROUND(IF(D181="",0,D181)*T181,2))</f>
        <v>0</v>
      </c>
      <c r="V181" s="20">
        <f>IF(B181="","",ROUND(U181-IF(G181="",0,G181)-IF(L181="",0,L181),2))</f>
        <v>0</v>
      </c>
      <c r="W181" s="20">
        <f>IF(C181="","",IFERROR(INDEX(Products!$AT$5:$AT$304,MATCH(C181,Products!$A$5:$A$304,0)),""))</f>
        <v>0</v>
      </c>
      <c r="X181" s="20">
        <f>IF(C181="","",IFERROR(INDEX(Products!$AG$5:$AG$304,MATCH(C181,Products!$A$5:$A$304,0)),""))</f>
        <v>0</v>
      </c>
      <c r="Y181" s="20">
        <f>IF(B181="","",ROUND(IF(D181="",0,D181)*MAX(0,IF(W181="",0,W181)-IF(X181="",0,X181)),2))</f>
        <v>0</v>
      </c>
      <c r="Z181" s="20">
        <f>IF(B181="","",ROUND(MAX(0,IF(J181="",0,J181)-IF(I181="",0,I181)),2))</f>
        <v>0</v>
      </c>
      <c r="AA181" s="33">
        <f>IF(B181="","",IFERROR(INDEX(Channels!$S$5:$S$18,MATCH(IF(E181="",DefaultChannel,E181),Channels!$A$5:$A$18,0)),0))</f>
        <v>0</v>
      </c>
      <c r="AB181" s="20">
        <f>IF(B181="","",IFERROR(INDEX(Channels!$T$5:$T$18,MATCH(IF(E181="",DefaultChannel,E181),Channels!$A$5:$A$18,0)),0))</f>
        <v>0</v>
      </c>
      <c r="AC181" s="42">
        <f>IF(B181="","",IFERROR(INDEX(Channels!$O$5:$O$18,MATCH(IF(E181="",DefaultChannel,E181),Channels!$A$5:$A$18,0)),"No"))</f>
        <v>0</v>
      </c>
      <c r="AD181" s="20">
        <f>IF(B181="","",ROUND((V181+IF(AC181="Yes",IF(I181="",0,I181),0))*AA181+AB181,2))</f>
        <v>0</v>
      </c>
      <c r="AE181" s="20">
        <f>IF(B181="","",IF(K181&lt;&gt;"",K181,AD181))</f>
        <v>0</v>
      </c>
      <c r="AF181" s="20">
        <f>IF(B181="","",IF(K181="","",ROUND(K181-AD181,2)))</f>
        <v>0</v>
      </c>
      <c r="AG181" s="20">
        <f>IF(B181="","",ROUND(V181-Y181-AE181-Z181,2))</f>
        <v>0</v>
      </c>
      <c r="AH181" s="33">
        <f>IF(B181="","",IF(OR(V181="",V181=0),"",AG181/V181))</f>
        <v>0</v>
      </c>
      <c r="AI181" s="33">
        <f>IF(C181="","",IFERROR(INDEX(Products!$AW$5:$AW$304,MATCH(C181,Products!$A$5:$A$304,0)),""))</f>
        <v>0</v>
      </c>
      <c r="AJ181" s="33">
        <f>IF(B181="","",IF(OR(AH181="",AI181=""),"",AH181-AI181))</f>
        <v>0</v>
      </c>
      <c r="AK181" s="41">
        <f>IF(B181="","",IFERROR(ROUND(IF(D181="",0,D181)*INDEX(Products!$X$5:$X$304,MATCH(C181,Products!$A$5:$A$304,0))/60,2),""))</f>
        <v>0</v>
      </c>
      <c r="AL181" s="20">
        <f>IF(B181="","",IF(OR(AK181="",AK181=0),"",ROUND(AG181/AK181,2)))</f>
        <v>0</v>
      </c>
      <c r="AM181" s="43">
        <f>IF(B181="","",IF(C181="","Add - which product?",IF(AG181&lt;0,"Loss - this order cost you money",IF(M181="Refunded","Refunded - check why",IF(AND(AF181&lt;&gt;"",AF181&gt;0.25),"Check - fees higher than your settings",IF(Z181&gt;1,"Check - postage is eating the margin",IF(AND(AH181&lt;&gt;"",AH181&lt;MarginWarning),"Low margin on this order","OK")))))) )</f>
        <v>0</v>
      </c>
    </row>
    <row r="182" spans="1:39">
      <c r="A182" s="38">
        <f>IF(B182="","",SalePrefix&amp;TEXT(ROW()-4,"0000"))</f>
        <v>0</v>
      </c>
      <c r="Q182" s="13">
        <f>IF(C182="","",IFERROR(INDEX(Products!$B$5:$B$304,MATCH(C182,Products!$A$5:$A$304,0)),"Bundle or deleted"))</f>
        <v>0</v>
      </c>
      <c r="R182" s="13">
        <f>IF(B182="","",TEXT(B182,"yyyy-mm"))</f>
        <v>0</v>
      </c>
      <c r="S182" s="20">
        <f>IF(C182="","",IFERROR(INDEX(Products!$AR$5:$AR$304,MATCH(C182,Products!$A$5:$A$304,0)),""))</f>
        <v>0</v>
      </c>
      <c r="T182" s="20">
        <f>IF(B182="","",IF(F182&lt;&gt;"",F182,IF(S182="",0,S182)))</f>
        <v>0</v>
      </c>
      <c r="U182" s="20">
        <f>IF(B182="","",ROUND(IF(D182="",0,D182)*T182,2))</f>
        <v>0</v>
      </c>
      <c r="V182" s="20">
        <f>IF(B182="","",ROUND(U182-IF(G182="",0,G182)-IF(L182="",0,L182),2))</f>
        <v>0</v>
      </c>
      <c r="W182" s="20">
        <f>IF(C182="","",IFERROR(INDEX(Products!$AT$5:$AT$304,MATCH(C182,Products!$A$5:$A$304,0)),""))</f>
        <v>0</v>
      </c>
      <c r="X182" s="20">
        <f>IF(C182="","",IFERROR(INDEX(Products!$AG$5:$AG$304,MATCH(C182,Products!$A$5:$A$304,0)),""))</f>
        <v>0</v>
      </c>
      <c r="Y182" s="20">
        <f>IF(B182="","",ROUND(IF(D182="",0,D182)*MAX(0,IF(W182="",0,W182)-IF(X182="",0,X182)),2))</f>
        <v>0</v>
      </c>
      <c r="Z182" s="20">
        <f>IF(B182="","",ROUND(MAX(0,IF(J182="",0,J182)-IF(I182="",0,I182)),2))</f>
        <v>0</v>
      </c>
      <c r="AA182" s="33">
        <f>IF(B182="","",IFERROR(INDEX(Channels!$S$5:$S$18,MATCH(IF(E182="",DefaultChannel,E182),Channels!$A$5:$A$18,0)),0))</f>
        <v>0</v>
      </c>
      <c r="AB182" s="20">
        <f>IF(B182="","",IFERROR(INDEX(Channels!$T$5:$T$18,MATCH(IF(E182="",DefaultChannel,E182),Channels!$A$5:$A$18,0)),0))</f>
        <v>0</v>
      </c>
      <c r="AC182" s="42">
        <f>IF(B182="","",IFERROR(INDEX(Channels!$O$5:$O$18,MATCH(IF(E182="",DefaultChannel,E182),Channels!$A$5:$A$18,0)),"No"))</f>
        <v>0</v>
      </c>
      <c r="AD182" s="20">
        <f>IF(B182="","",ROUND((V182+IF(AC182="Yes",IF(I182="",0,I182),0))*AA182+AB182,2))</f>
        <v>0</v>
      </c>
      <c r="AE182" s="20">
        <f>IF(B182="","",IF(K182&lt;&gt;"",K182,AD182))</f>
        <v>0</v>
      </c>
      <c r="AF182" s="20">
        <f>IF(B182="","",IF(K182="","",ROUND(K182-AD182,2)))</f>
        <v>0</v>
      </c>
      <c r="AG182" s="20">
        <f>IF(B182="","",ROUND(V182-Y182-AE182-Z182,2))</f>
        <v>0</v>
      </c>
      <c r="AH182" s="33">
        <f>IF(B182="","",IF(OR(V182="",V182=0),"",AG182/V182))</f>
        <v>0</v>
      </c>
      <c r="AI182" s="33">
        <f>IF(C182="","",IFERROR(INDEX(Products!$AW$5:$AW$304,MATCH(C182,Products!$A$5:$A$304,0)),""))</f>
        <v>0</v>
      </c>
      <c r="AJ182" s="33">
        <f>IF(B182="","",IF(OR(AH182="",AI182=""),"",AH182-AI182))</f>
        <v>0</v>
      </c>
      <c r="AK182" s="41">
        <f>IF(B182="","",IFERROR(ROUND(IF(D182="",0,D182)*INDEX(Products!$X$5:$X$304,MATCH(C182,Products!$A$5:$A$304,0))/60,2),""))</f>
        <v>0</v>
      </c>
      <c r="AL182" s="20">
        <f>IF(B182="","",IF(OR(AK182="",AK182=0),"",ROUND(AG182/AK182,2)))</f>
        <v>0</v>
      </c>
      <c r="AM182" s="43">
        <f>IF(B182="","",IF(C182="","Add - which product?",IF(AG182&lt;0,"Loss - this order cost you money",IF(M182="Refunded","Refunded - check why",IF(AND(AF182&lt;&gt;"",AF182&gt;0.25),"Check - fees higher than your settings",IF(Z182&gt;1,"Check - postage is eating the margin",IF(AND(AH182&lt;&gt;"",AH182&lt;MarginWarning),"Low margin on this order","OK")))))) )</f>
        <v>0</v>
      </c>
    </row>
    <row r="183" spans="1:39">
      <c r="A183" s="38">
        <f>IF(B183="","",SalePrefix&amp;TEXT(ROW()-4,"0000"))</f>
        <v>0</v>
      </c>
      <c r="Q183" s="13">
        <f>IF(C183="","",IFERROR(INDEX(Products!$B$5:$B$304,MATCH(C183,Products!$A$5:$A$304,0)),"Bundle or deleted"))</f>
        <v>0</v>
      </c>
      <c r="R183" s="13">
        <f>IF(B183="","",TEXT(B183,"yyyy-mm"))</f>
        <v>0</v>
      </c>
      <c r="S183" s="20">
        <f>IF(C183="","",IFERROR(INDEX(Products!$AR$5:$AR$304,MATCH(C183,Products!$A$5:$A$304,0)),""))</f>
        <v>0</v>
      </c>
      <c r="T183" s="20">
        <f>IF(B183="","",IF(F183&lt;&gt;"",F183,IF(S183="",0,S183)))</f>
        <v>0</v>
      </c>
      <c r="U183" s="20">
        <f>IF(B183="","",ROUND(IF(D183="",0,D183)*T183,2))</f>
        <v>0</v>
      </c>
      <c r="V183" s="20">
        <f>IF(B183="","",ROUND(U183-IF(G183="",0,G183)-IF(L183="",0,L183),2))</f>
        <v>0</v>
      </c>
      <c r="W183" s="20">
        <f>IF(C183="","",IFERROR(INDEX(Products!$AT$5:$AT$304,MATCH(C183,Products!$A$5:$A$304,0)),""))</f>
        <v>0</v>
      </c>
      <c r="X183" s="20">
        <f>IF(C183="","",IFERROR(INDEX(Products!$AG$5:$AG$304,MATCH(C183,Products!$A$5:$A$304,0)),""))</f>
        <v>0</v>
      </c>
      <c r="Y183" s="20">
        <f>IF(B183="","",ROUND(IF(D183="",0,D183)*MAX(0,IF(W183="",0,W183)-IF(X183="",0,X183)),2))</f>
        <v>0</v>
      </c>
      <c r="Z183" s="20">
        <f>IF(B183="","",ROUND(MAX(0,IF(J183="",0,J183)-IF(I183="",0,I183)),2))</f>
        <v>0</v>
      </c>
      <c r="AA183" s="33">
        <f>IF(B183="","",IFERROR(INDEX(Channels!$S$5:$S$18,MATCH(IF(E183="",DefaultChannel,E183),Channels!$A$5:$A$18,0)),0))</f>
        <v>0</v>
      </c>
      <c r="AB183" s="20">
        <f>IF(B183="","",IFERROR(INDEX(Channels!$T$5:$T$18,MATCH(IF(E183="",DefaultChannel,E183),Channels!$A$5:$A$18,0)),0))</f>
        <v>0</v>
      </c>
      <c r="AC183" s="42">
        <f>IF(B183="","",IFERROR(INDEX(Channels!$O$5:$O$18,MATCH(IF(E183="",DefaultChannel,E183),Channels!$A$5:$A$18,0)),"No"))</f>
        <v>0</v>
      </c>
      <c r="AD183" s="20">
        <f>IF(B183="","",ROUND((V183+IF(AC183="Yes",IF(I183="",0,I183),0))*AA183+AB183,2))</f>
        <v>0</v>
      </c>
      <c r="AE183" s="20">
        <f>IF(B183="","",IF(K183&lt;&gt;"",K183,AD183))</f>
        <v>0</v>
      </c>
      <c r="AF183" s="20">
        <f>IF(B183="","",IF(K183="","",ROUND(K183-AD183,2)))</f>
        <v>0</v>
      </c>
      <c r="AG183" s="20">
        <f>IF(B183="","",ROUND(V183-Y183-AE183-Z183,2))</f>
        <v>0</v>
      </c>
      <c r="AH183" s="33">
        <f>IF(B183="","",IF(OR(V183="",V183=0),"",AG183/V183))</f>
        <v>0</v>
      </c>
      <c r="AI183" s="33">
        <f>IF(C183="","",IFERROR(INDEX(Products!$AW$5:$AW$304,MATCH(C183,Products!$A$5:$A$304,0)),""))</f>
        <v>0</v>
      </c>
      <c r="AJ183" s="33">
        <f>IF(B183="","",IF(OR(AH183="",AI183=""),"",AH183-AI183))</f>
        <v>0</v>
      </c>
      <c r="AK183" s="41">
        <f>IF(B183="","",IFERROR(ROUND(IF(D183="",0,D183)*INDEX(Products!$X$5:$X$304,MATCH(C183,Products!$A$5:$A$304,0))/60,2),""))</f>
        <v>0</v>
      </c>
      <c r="AL183" s="20">
        <f>IF(B183="","",IF(OR(AK183="",AK183=0),"",ROUND(AG183/AK183,2)))</f>
        <v>0</v>
      </c>
      <c r="AM183" s="43">
        <f>IF(B183="","",IF(C183="","Add - which product?",IF(AG183&lt;0,"Loss - this order cost you money",IF(M183="Refunded","Refunded - check why",IF(AND(AF183&lt;&gt;"",AF183&gt;0.25),"Check - fees higher than your settings",IF(Z183&gt;1,"Check - postage is eating the margin",IF(AND(AH183&lt;&gt;"",AH183&lt;MarginWarning),"Low margin on this order","OK")))))) )</f>
        <v>0</v>
      </c>
    </row>
    <row r="184" spans="1:39">
      <c r="A184" s="38">
        <f>IF(B184="","",SalePrefix&amp;TEXT(ROW()-4,"0000"))</f>
        <v>0</v>
      </c>
      <c r="Q184" s="13">
        <f>IF(C184="","",IFERROR(INDEX(Products!$B$5:$B$304,MATCH(C184,Products!$A$5:$A$304,0)),"Bundle or deleted"))</f>
        <v>0</v>
      </c>
      <c r="R184" s="13">
        <f>IF(B184="","",TEXT(B184,"yyyy-mm"))</f>
        <v>0</v>
      </c>
      <c r="S184" s="20">
        <f>IF(C184="","",IFERROR(INDEX(Products!$AR$5:$AR$304,MATCH(C184,Products!$A$5:$A$304,0)),""))</f>
        <v>0</v>
      </c>
      <c r="T184" s="20">
        <f>IF(B184="","",IF(F184&lt;&gt;"",F184,IF(S184="",0,S184)))</f>
        <v>0</v>
      </c>
      <c r="U184" s="20">
        <f>IF(B184="","",ROUND(IF(D184="",0,D184)*T184,2))</f>
        <v>0</v>
      </c>
      <c r="V184" s="20">
        <f>IF(B184="","",ROUND(U184-IF(G184="",0,G184)-IF(L184="",0,L184),2))</f>
        <v>0</v>
      </c>
      <c r="W184" s="20">
        <f>IF(C184="","",IFERROR(INDEX(Products!$AT$5:$AT$304,MATCH(C184,Products!$A$5:$A$304,0)),""))</f>
        <v>0</v>
      </c>
      <c r="X184" s="20">
        <f>IF(C184="","",IFERROR(INDEX(Products!$AG$5:$AG$304,MATCH(C184,Products!$A$5:$A$304,0)),""))</f>
        <v>0</v>
      </c>
      <c r="Y184" s="20">
        <f>IF(B184="","",ROUND(IF(D184="",0,D184)*MAX(0,IF(W184="",0,W184)-IF(X184="",0,X184)),2))</f>
        <v>0</v>
      </c>
      <c r="Z184" s="20">
        <f>IF(B184="","",ROUND(MAX(0,IF(J184="",0,J184)-IF(I184="",0,I184)),2))</f>
        <v>0</v>
      </c>
      <c r="AA184" s="33">
        <f>IF(B184="","",IFERROR(INDEX(Channels!$S$5:$S$18,MATCH(IF(E184="",DefaultChannel,E184),Channels!$A$5:$A$18,0)),0))</f>
        <v>0</v>
      </c>
      <c r="AB184" s="20">
        <f>IF(B184="","",IFERROR(INDEX(Channels!$T$5:$T$18,MATCH(IF(E184="",DefaultChannel,E184),Channels!$A$5:$A$18,0)),0))</f>
        <v>0</v>
      </c>
      <c r="AC184" s="42">
        <f>IF(B184="","",IFERROR(INDEX(Channels!$O$5:$O$18,MATCH(IF(E184="",DefaultChannel,E184),Channels!$A$5:$A$18,0)),"No"))</f>
        <v>0</v>
      </c>
      <c r="AD184" s="20">
        <f>IF(B184="","",ROUND((V184+IF(AC184="Yes",IF(I184="",0,I184),0))*AA184+AB184,2))</f>
        <v>0</v>
      </c>
      <c r="AE184" s="20">
        <f>IF(B184="","",IF(K184&lt;&gt;"",K184,AD184))</f>
        <v>0</v>
      </c>
      <c r="AF184" s="20">
        <f>IF(B184="","",IF(K184="","",ROUND(K184-AD184,2)))</f>
        <v>0</v>
      </c>
      <c r="AG184" s="20">
        <f>IF(B184="","",ROUND(V184-Y184-AE184-Z184,2))</f>
        <v>0</v>
      </c>
      <c r="AH184" s="33">
        <f>IF(B184="","",IF(OR(V184="",V184=0),"",AG184/V184))</f>
        <v>0</v>
      </c>
      <c r="AI184" s="33">
        <f>IF(C184="","",IFERROR(INDEX(Products!$AW$5:$AW$304,MATCH(C184,Products!$A$5:$A$304,0)),""))</f>
        <v>0</v>
      </c>
      <c r="AJ184" s="33">
        <f>IF(B184="","",IF(OR(AH184="",AI184=""),"",AH184-AI184))</f>
        <v>0</v>
      </c>
      <c r="AK184" s="41">
        <f>IF(B184="","",IFERROR(ROUND(IF(D184="",0,D184)*INDEX(Products!$X$5:$X$304,MATCH(C184,Products!$A$5:$A$304,0))/60,2),""))</f>
        <v>0</v>
      </c>
      <c r="AL184" s="20">
        <f>IF(B184="","",IF(OR(AK184="",AK184=0),"",ROUND(AG184/AK184,2)))</f>
        <v>0</v>
      </c>
      <c r="AM184" s="43">
        <f>IF(B184="","",IF(C184="","Add - which product?",IF(AG184&lt;0,"Loss - this order cost you money",IF(M184="Refunded","Refunded - check why",IF(AND(AF184&lt;&gt;"",AF184&gt;0.25),"Check - fees higher than your settings",IF(Z184&gt;1,"Check - postage is eating the margin",IF(AND(AH184&lt;&gt;"",AH184&lt;MarginWarning),"Low margin on this order","OK")))))) )</f>
        <v>0</v>
      </c>
    </row>
    <row r="185" spans="1:39">
      <c r="A185" s="38">
        <f>IF(B185="","",SalePrefix&amp;TEXT(ROW()-4,"0000"))</f>
        <v>0</v>
      </c>
      <c r="Q185" s="13">
        <f>IF(C185="","",IFERROR(INDEX(Products!$B$5:$B$304,MATCH(C185,Products!$A$5:$A$304,0)),"Bundle or deleted"))</f>
        <v>0</v>
      </c>
      <c r="R185" s="13">
        <f>IF(B185="","",TEXT(B185,"yyyy-mm"))</f>
        <v>0</v>
      </c>
      <c r="S185" s="20">
        <f>IF(C185="","",IFERROR(INDEX(Products!$AR$5:$AR$304,MATCH(C185,Products!$A$5:$A$304,0)),""))</f>
        <v>0</v>
      </c>
      <c r="T185" s="20">
        <f>IF(B185="","",IF(F185&lt;&gt;"",F185,IF(S185="",0,S185)))</f>
        <v>0</v>
      </c>
      <c r="U185" s="20">
        <f>IF(B185="","",ROUND(IF(D185="",0,D185)*T185,2))</f>
        <v>0</v>
      </c>
      <c r="V185" s="20">
        <f>IF(B185="","",ROUND(U185-IF(G185="",0,G185)-IF(L185="",0,L185),2))</f>
        <v>0</v>
      </c>
      <c r="W185" s="20">
        <f>IF(C185="","",IFERROR(INDEX(Products!$AT$5:$AT$304,MATCH(C185,Products!$A$5:$A$304,0)),""))</f>
        <v>0</v>
      </c>
      <c r="X185" s="20">
        <f>IF(C185="","",IFERROR(INDEX(Products!$AG$5:$AG$304,MATCH(C185,Products!$A$5:$A$304,0)),""))</f>
        <v>0</v>
      </c>
      <c r="Y185" s="20">
        <f>IF(B185="","",ROUND(IF(D185="",0,D185)*MAX(0,IF(W185="",0,W185)-IF(X185="",0,X185)),2))</f>
        <v>0</v>
      </c>
      <c r="Z185" s="20">
        <f>IF(B185="","",ROUND(MAX(0,IF(J185="",0,J185)-IF(I185="",0,I185)),2))</f>
        <v>0</v>
      </c>
      <c r="AA185" s="33">
        <f>IF(B185="","",IFERROR(INDEX(Channels!$S$5:$S$18,MATCH(IF(E185="",DefaultChannel,E185),Channels!$A$5:$A$18,0)),0))</f>
        <v>0</v>
      </c>
      <c r="AB185" s="20">
        <f>IF(B185="","",IFERROR(INDEX(Channels!$T$5:$T$18,MATCH(IF(E185="",DefaultChannel,E185),Channels!$A$5:$A$18,0)),0))</f>
        <v>0</v>
      </c>
      <c r="AC185" s="42">
        <f>IF(B185="","",IFERROR(INDEX(Channels!$O$5:$O$18,MATCH(IF(E185="",DefaultChannel,E185),Channels!$A$5:$A$18,0)),"No"))</f>
        <v>0</v>
      </c>
      <c r="AD185" s="20">
        <f>IF(B185="","",ROUND((V185+IF(AC185="Yes",IF(I185="",0,I185),0))*AA185+AB185,2))</f>
        <v>0</v>
      </c>
      <c r="AE185" s="20">
        <f>IF(B185="","",IF(K185&lt;&gt;"",K185,AD185))</f>
        <v>0</v>
      </c>
      <c r="AF185" s="20">
        <f>IF(B185="","",IF(K185="","",ROUND(K185-AD185,2)))</f>
        <v>0</v>
      </c>
      <c r="AG185" s="20">
        <f>IF(B185="","",ROUND(V185-Y185-AE185-Z185,2))</f>
        <v>0</v>
      </c>
      <c r="AH185" s="33">
        <f>IF(B185="","",IF(OR(V185="",V185=0),"",AG185/V185))</f>
        <v>0</v>
      </c>
      <c r="AI185" s="33">
        <f>IF(C185="","",IFERROR(INDEX(Products!$AW$5:$AW$304,MATCH(C185,Products!$A$5:$A$304,0)),""))</f>
        <v>0</v>
      </c>
      <c r="AJ185" s="33">
        <f>IF(B185="","",IF(OR(AH185="",AI185=""),"",AH185-AI185))</f>
        <v>0</v>
      </c>
      <c r="AK185" s="41">
        <f>IF(B185="","",IFERROR(ROUND(IF(D185="",0,D185)*INDEX(Products!$X$5:$X$304,MATCH(C185,Products!$A$5:$A$304,0))/60,2),""))</f>
        <v>0</v>
      </c>
      <c r="AL185" s="20">
        <f>IF(B185="","",IF(OR(AK185="",AK185=0),"",ROUND(AG185/AK185,2)))</f>
        <v>0</v>
      </c>
      <c r="AM185" s="43">
        <f>IF(B185="","",IF(C185="","Add - which product?",IF(AG185&lt;0,"Loss - this order cost you money",IF(M185="Refunded","Refunded - check why",IF(AND(AF185&lt;&gt;"",AF185&gt;0.25),"Check - fees higher than your settings",IF(Z185&gt;1,"Check - postage is eating the margin",IF(AND(AH185&lt;&gt;"",AH185&lt;MarginWarning),"Low margin on this order","OK")))))) )</f>
        <v>0</v>
      </c>
    </row>
    <row r="186" spans="1:39">
      <c r="A186" s="38">
        <f>IF(B186="","",SalePrefix&amp;TEXT(ROW()-4,"0000"))</f>
        <v>0</v>
      </c>
      <c r="Q186" s="13">
        <f>IF(C186="","",IFERROR(INDEX(Products!$B$5:$B$304,MATCH(C186,Products!$A$5:$A$304,0)),"Bundle or deleted"))</f>
        <v>0</v>
      </c>
      <c r="R186" s="13">
        <f>IF(B186="","",TEXT(B186,"yyyy-mm"))</f>
        <v>0</v>
      </c>
      <c r="S186" s="20">
        <f>IF(C186="","",IFERROR(INDEX(Products!$AR$5:$AR$304,MATCH(C186,Products!$A$5:$A$304,0)),""))</f>
        <v>0</v>
      </c>
      <c r="T186" s="20">
        <f>IF(B186="","",IF(F186&lt;&gt;"",F186,IF(S186="",0,S186)))</f>
        <v>0</v>
      </c>
      <c r="U186" s="20">
        <f>IF(B186="","",ROUND(IF(D186="",0,D186)*T186,2))</f>
        <v>0</v>
      </c>
      <c r="V186" s="20">
        <f>IF(B186="","",ROUND(U186-IF(G186="",0,G186)-IF(L186="",0,L186),2))</f>
        <v>0</v>
      </c>
      <c r="W186" s="20">
        <f>IF(C186="","",IFERROR(INDEX(Products!$AT$5:$AT$304,MATCH(C186,Products!$A$5:$A$304,0)),""))</f>
        <v>0</v>
      </c>
      <c r="X186" s="20">
        <f>IF(C186="","",IFERROR(INDEX(Products!$AG$5:$AG$304,MATCH(C186,Products!$A$5:$A$304,0)),""))</f>
        <v>0</v>
      </c>
      <c r="Y186" s="20">
        <f>IF(B186="","",ROUND(IF(D186="",0,D186)*MAX(0,IF(W186="",0,W186)-IF(X186="",0,X186)),2))</f>
        <v>0</v>
      </c>
      <c r="Z186" s="20">
        <f>IF(B186="","",ROUND(MAX(0,IF(J186="",0,J186)-IF(I186="",0,I186)),2))</f>
        <v>0</v>
      </c>
      <c r="AA186" s="33">
        <f>IF(B186="","",IFERROR(INDEX(Channels!$S$5:$S$18,MATCH(IF(E186="",DefaultChannel,E186),Channels!$A$5:$A$18,0)),0))</f>
        <v>0</v>
      </c>
      <c r="AB186" s="20">
        <f>IF(B186="","",IFERROR(INDEX(Channels!$T$5:$T$18,MATCH(IF(E186="",DefaultChannel,E186),Channels!$A$5:$A$18,0)),0))</f>
        <v>0</v>
      </c>
      <c r="AC186" s="42">
        <f>IF(B186="","",IFERROR(INDEX(Channels!$O$5:$O$18,MATCH(IF(E186="",DefaultChannel,E186),Channels!$A$5:$A$18,0)),"No"))</f>
        <v>0</v>
      </c>
      <c r="AD186" s="20">
        <f>IF(B186="","",ROUND((V186+IF(AC186="Yes",IF(I186="",0,I186),0))*AA186+AB186,2))</f>
        <v>0</v>
      </c>
      <c r="AE186" s="20">
        <f>IF(B186="","",IF(K186&lt;&gt;"",K186,AD186))</f>
        <v>0</v>
      </c>
      <c r="AF186" s="20">
        <f>IF(B186="","",IF(K186="","",ROUND(K186-AD186,2)))</f>
        <v>0</v>
      </c>
      <c r="AG186" s="20">
        <f>IF(B186="","",ROUND(V186-Y186-AE186-Z186,2))</f>
        <v>0</v>
      </c>
      <c r="AH186" s="33">
        <f>IF(B186="","",IF(OR(V186="",V186=0),"",AG186/V186))</f>
        <v>0</v>
      </c>
      <c r="AI186" s="33">
        <f>IF(C186="","",IFERROR(INDEX(Products!$AW$5:$AW$304,MATCH(C186,Products!$A$5:$A$304,0)),""))</f>
        <v>0</v>
      </c>
      <c r="AJ186" s="33">
        <f>IF(B186="","",IF(OR(AH186="",AI186=""),"",AH186-AI186))</f>
        <v>0</v>
      </c>
      <c r="AK186" s="41">
        <f>IF(B186="","",IFERROR(ROUND(IF(D186="",0,D186)*INDEX(Products!$X$5:$X$304,MATCH(C186,Products!$A$5:$A$304,0))/60,2),""))</f>
        <v>0</v>
      </c>
      <c r="AL186" s="20">
        <f>IF(B186="","",IF(OR(AK186="",AK186=0),"",ROUND(AG186/AK186,2)))</f>
        <v>0</v>
      </c>
      <c r="AM186" s="43">
        <f>IF(B186="","",IF(C186="","Add - which product?",IF(AG186&lt;0,"Loss - this order cost you money",IF(M186="Refunded","Refunded - check why",IF(AND(AF186&lt;&gt;"",AF186&gt;0.25),"Check - fees higher than your settings",IF(Z186&gt;1,"Check - postage is eating the margin",IF(AND(AH186&lt;&gt;"",AH186&lt;MarginWarning),"Low margin on this order","OK")))))) )</f>
        <v>0</v>
      </c>
    </row>
    <row r="187" spans="1:39">
      <c r="A187" s="38">
        <f>IF(B187="","",SalePrefix&amp;TEXT(ROW()-4,"0000"))</f>
        <v>0</v>
      </c>
      <c r="Q187" s="13">
        <f>IF(C187="","",IFERROR(INDEX(Products!$B$5:$B$304,MATCH(C187,Products!$A$5:$A$304,0)),"Bundle or deleted"))</f>
        <v>0</v>
      </c>
      <c r="R187" s="13">
        <f>IF(B187="","",TEXT(B187,"yyyy-mm"))</f>
        <v>0</v>
      </c>
      <c r="S187" s="20">
        <f>IF(C187="","",IFERROR(INDEX(Products!$AR$5:$AR$304,MATCH(C187,Products!$A$5:$A$304,0)),""))</f>
        <v>0</v>
      </c>
      <c r="T187" s="20">
        <f>IF(B187="","",IF(F187&lt;&gt;"",F187,IF(S187="",0,S187)))</f>
        <v>0</v>
      </c>
      <c r="U187" s="20">
        <f>IF(B187="","",ROUND(IF(D187="",0,D187)*T187,2))</f>
        <v>0</v>
      </c>
      <c r="V187" s="20">
        <f>IF(B187="","",ROUND(U187-IF(G187="",0,G187)-IF(L187="",0,L187),2))</f>
        <v>0</v>
      </c>
      <c r="W187" s="20">
        <f>IF(C187="","",IFERROR(INDEX(Products!$AT$5:$AT$304,MATCH(C187,Products!$A$5:$A$304,0)),""))</f>
        <v>0</v>
      </c>
      <c r="X187" s="20">
        <f>IF(C187="","",IFERROR(INDEX(Products!$AG$5:$AG$304,MATCH(C187,Products!$A$5:$A$304,0)),""))</f>
        <v>0</v>
      </c>
      <c r="Y187" s="20">
        <f>IF(B187="","",ROUND(IF(D187="",0,D187)*MAX(0,IF(W187="",0,W187)-IF(X187="",0,X187)),2))</f>
        <v>0</v>
      </c>
      <c r="Z187" s="20">
        <f>IF(B187="","",ROUND(MAX(0,IF(J187="",0,J187)-IF(I187="",0,I187)),2))</f>
        <v>0</v>
      </c>
      <c r="AA187" s="33">
        <f>IF(B187="","",IFERROR(INDEX(Channels!$S$5:$S$18,MATCH(IF(E187="",DefaultChannel,E187),Channels!$A$5:$A$18,0)),0))</f>
        <v>0</v>
      </c>
      <c r="AB187" s="20">
        <f>IF(B187="","",IFERROR(INDEX(Channels!$T$5:$T$18,MATCH(IF(E187="",DefaultChannel,E187),Channels!$A$5:$A$18,0)),0))</f>
        <v>0</v>
      </c>
      <c r="AC187" s="42">
        <f>IF(B187="","",IFERROR(INDEX(Channels!$O$5:$O$18,MATCH(IF(E187="",DefaultChannel,E187),Channels!$A$5:$A$18,0)),"No"))</f>
        <v>0</v>
      </c>
      <c r="AD187" s="20">
        <f>IF(B187="","",ROUND((V187+IF(AC187="Yes",IF(I187="",0,I187),0))*AA187+AB187,2))</f>
        <v>0</v>
      </c>
      <c r="AE187" s="20">
        <f>IF(B187="","",IF(K187&lt;&gt;"",K187,AD187))</f>
        <v>0</v>
      </c>
      <c r="AF187" s="20">
        <f>IF(B187="","",IF(K187="","",ROUND(K187-AD187,2)))</f>
        <v>0</v>
      </c>
      <c r="AG187" s="20">
        <f>IF(B187="","",ROUND(V187-Y187-AE187-Z187,2))</f>
        <v>0</v>
      </c>
      <c r="AH187" s="33">
        <f>IF(B187="","",IF(OR(V187="",V187=0),"",AG187/V187))</f>
        <v>0</v>
      </c>
      <c r="AI187" s="33">
        <f>IF(C187="","",IFERROR(INDEX(Products!$AW$5:$AW$304,MATCH(C187,Products!$A$5:$A$304,0)),""))</f>
        <v>0</v>
      </c>
      <c r="AJ187" s="33">
        <f>IF(B187="","",IF(OR(AH187="",AI187=""),"",AH187-AI187))</f>
        <v>0</v>
      </c>
      <c r="AK187" s="41">
        <f>IF(B187="","",IFERROR(ROUND(IF(D187="",0,D187)*INDEX(Products!$X$5:$X$304,MATCH(C187,Products!$A$5:$A$304,0))/60,2),""))</f>
        <v>0</v>
      </c>
      <c r="AL187" s="20">
        <f>IF(B187="","",IF(OR(AK187="",AK187=0),"",ROUND(AG187/AK187,2)))</f>
        <v>0</v>
      </c>
      <c r="AM187" s="43">
        <f>IF(B187="","",IF(C187="","Add - which product?",IF(AG187&lt;0,"Loss - this order cost you money",IF(M187="Refunded","Refunded - check why",IF(AND(AF187&lt;&gt;"",AF187&gt;0.25),"Check - fees higher than your settings",IF(Z187&gt;1,"Check - postage is eating the margin",IF(AND(AH187&lt;&gt;"",AH187&lt;MarginWarning),"Low margin on this order","OK")))))) )</f>
        <v>0</v>
      </c>
    </row>
    <row r="188" spans="1:39">
      <c r="A188" s="38">
        <f>IF(B188="","",SalePrefix&amp;TEXT(ROW()-4,"0000"))</f>
        <v>0</v>
      </c>
      <c r="Q188" s="13">
        <f>IF(C188="","",IFERROR(INDEX(Products!$B$5:$B$304,MATCH(C188,Products!$A$5:$A$304,0)),"Bundle or deleted"))</f>
        <v>0</v>
      </c>
      <c r="R188" s="13">
        <f>IF(B188="","",TEXT(B188,"yyyy-mm"))</f>
        <v>0</v>
      </c>
      <c r="S188" s="20">
        <f>IF(C188="","",IFERROR(INDEX(Products!$AR$5:$AR$304,MATCH(C188,Products!$A$5:$A$304,0)),""))</f>
        <v>0</v>
      </c>
      <c r="T188" s="20">
        <f>IF(B188="","",IF(F188&lt;&gt;"",F188,IF(S188="",0,S188)))</f>
        <v>0</v>
      </c>
      <c r="U188" s="20">
        <f>IF(B188="","",ROUND(IF(D188="",0,D188)*T188,2))</f>
        <v>0</v>
      </c>
      <c r="V188" s="20">
        <f>IF(B188="","",ROUND(U188-IF(G188="",0,G188)-IF(L188="",0,L188),2))</f>
        <v>0</v>
      </c>
      <c r="W188" s="20">
        <f>IF(C188="","",IFERROR(INDEX(Products!$AT$5:$AT$304,MATCH(C188,Products!$A$5:$A$304,0)),""))</f>
        <v>0</v>
      </c>
      <c r="X188" s="20">
        <f>IF(C188="","",IFERROR(INDEX(Products!$AG$5:$AG$304,MATCH(C188,Products!$A$5:$A$304,0)),""))</f>
        <v>0</v>
      </c>
      <c r="Y188" s="20">
        <f>IF(B188="","",ROUND(IF(D188="",0,D188)*MAX(0,IF(W188="",0,W188)-IF(X188="",0,X188)),2))</f>
        <v>0</v>
      </c>
      <c r="Z188" s="20">
        <f>IF(B188="","",ROUND(MAX(0,IF(J188="",0,J188)-IF(I188="",0,I188)),2))</f>
        <v>0</v>
      </c>
      <c r="AA188" s="33">
        <f>IF(B188="","",IFERROR(INDEX(Channels!$S$5:$S$18,MATCH(IF(E188="",DefaultChannel,E188),Channels!$A$5:$A$18,0)),0))</f>
        <v>0</v>
      </c>
      <c r="AB188" s="20">
        <f>IF(B188="","",IFERROR(INDEX(Channels!$T$5:$T$18,MATCH(IF(E188="",DefaultChannel,E188),Channels!$A$5:$A$18,0)),0))</f>
        <v>0</v>
      </c>
      <c r="AC188" s="42">
        <f>IF(B188="","",IFERROR(INDEX(Channels!$O$5:$O$18,MATCH(IF(E188="",DefaultChannel,E188),Channels!$A$5:$A$18,0)),"No"))</f>
        <v>0</v>
      </c>
      <c r="AD188" s="20">
        <f>IF(B188="","",ROUND((V188+IF(AC188="Yes",IF(I188="",0,I188),0))*AA188+AB188,2))</f>
        <v>0</v>
      </c>
      <c r="AE188" s="20">
        <f>IF(B188="","",IF(K188&lt;&gt;"",K188,AD188))</f>
        <v>0</v>
      </c>
      <c r="AF188" s="20">
        <f>IF(B188="","",IF(K188="","",ROUND(K188-AD188,2)))</f>
        <v>0</v>
      </c>
      <c r="AG188" s="20">
        <f>IF(B188="","",ROUND(V188-Y188-AE188-Z188,2))</f>
        <v>0</v>
      </c>
      <c r="AH188" s="33">
        <f>IF(B188="","",IF(OR(V188="",V188=0),"",AG188/V188))</f>
        <v>0</v>
      </c>
      <c r="AI188" s="33">
        <f>IF(C188="","",IFERROR(INDEX(Products!$AW$5:$AW$304,MATCH(C188,Products!$A$5:$A$304,0)),""))</f>
        <v>0</v>
      </c>
      <c r="AJ188" s="33">
        <f>IF(B188="","",IF(OR(AH188="",AI188=""),"",AH188-AI188))</f>
        <v>0</v>
      </c>
      <c r="AK188" s="41">
        <f>IF(B188="","",IFERROR(ROUND(IF(D188="",0,D188)*INDEX(Products!$X$5:$X$304,MATCH(C188,Products!$A$5:$A$304,0))/60,2),""))</f>
        <v>0</v>
      </c>
      <c r="AL188" s="20">
        <f>IF(B188="","",IF(OR(AK188="",AK188=0),"",ROUND(AG188/AK188,2)))</f>
        <v>0</v>
      </c>
      <c r="AM188" s="43">
        <f>IF(B188="","",IF(C188="","Add - which product?",IF(AG188&lt;0,"Loss - this order cost you money",IF(M188="Refunded","Refunded - check why",IF(AND(AF188&lt;&gt;"",AF188&gt;0.25),"Check - fees higher than your settings",IF(Z188&gt;1,"Check - postage is eating the margin",IF(AND(AH188&lt;&gt;"",AH188&lt;MarginWarning),"Low margin on this order","OK")))))) )</f>
        <v>0</v>
      </c>
    </row>
    <row r="189" spans="1:39">
      <c r="A189" s="38">
        <f>IF(B189="","",SalePrefix&amp;TEXT(ROW()-4,"0000"))</f>
        <v>0</v>
      </c>
      <c r="Q189" s="13">
        <f>IF(C189="","",IFERROR(INDEX(Products!$B$5:$B$304,MATCH(C189,Products!$A$5:$A$304,0)),"Bundle or deleted"))</f>
        <v>0</v>
      </c>
      <c r="R189" s="13">
        <f>IF(B189="","",TEXT(B189,"yyyy-mm"))</f>
        <v>0</v>
      </c>
      <c r="S189" s="20">
        <f>IF(C189="","",IFERROR(INDEX(Products!$AR$5:$AR$304,MATCH(C189,Products!$A$5:$A$304,0)),""))</f>
        <v>0</v>
      </c>
      <c r="T189" s="20">
        <f>IF(B189="","",IF(F189&lt;&gt;"",F189,IF(S189="",0,S189)))</f>
        <v>0</v>
      </c>
      <c r="U189" s="20">
        <f>IF(B189="","",ROUND(IF(D189="",0,D189)*T189,2))</f>
        <v>0</v>
      </c>
      <c r="V189" s="20">
        <f>IF(B189="","",ROUND(U189-IF(G189="",0,G189)-IF(L189="",0,L189),2))</f>
        <v>0</v>
      </c>
      <c r="W189" s="20">
        <f>IF(C189="","",IFERROR(INDEX(Products!$AT$5:$AT$304,MATCH(C189,Products!$A$5:$A$304,0)),""))</f>
        <v>0</v>
      </c>
      <c r="X189" s="20">
        <f>IF(C189="","",IFERROR(INDEX(Products!$AG$5:$AG$304,MATCH(C189,Products!$A$5:$A$304,0)),""))</f>
        <v>0</v>
      </c>
      <c r="Y189" s="20">
        <f>IF(B189="","",ROUND(IF(D189="",0,D189)*MAX(0,IF(W189="",0,W189)-IF(X189="",0,X189)),2))</f>
        <v>0</v>
      </c>
      <c r="Z189" s="20">
        <f>IF(B189="","",ROUND(MAX(0,IF(J189="",0,J189)-IF(I189="",0,I189)),2))</f>
        <v>0</v>
      </c>
      <c r="AA189" s="33">
        <f>IF(B189="","",IFERROR(INDEX(Channels!$S$5:$S$18,MATCH(IF(E189="",DefaultChannel,E189),Channels!$A$5:$A$18,0)),0))</f>
        <v>0</v>
      </c>
      <c r="AB189" s="20">
        <f>IF(B189="","",IFERROR(INDEX(Channels!$T$5:$T$18,MATCH(IF(E189="",DefaultChannel,E189),Channels!$A$5:$A$18,0)),0))</f>
        <v>0</v>
      </c>
      <c r="AC189" s="42">
        <f>IF(B189="","",IFERROR(INDEX(Channels!$O$5:$O$18,MATCH(IF(E189="",DefaultChannel,E189),Channels!$A$5:$A$18,0)),"No"))</f>
        <v>0</v>
      </c>
      <c r="AD189" s="20">
        <f>IF(B189="","",ROUND((V189+IF(AC189="Yes",IF(I189="",0,I189),0))*AA189+AB189,2))</f>
        <v>0</v>
      </c>
      <c r="AE189" s="20">
        <f>IF(B189="","",IF(K189&lt;&gt;"",K189,AD189))</f>
        <v>0</v>
      </c>
      <c r="AF189" s="20">
        <f>IF(B189="","",IF(K189="","",ROUND(K189-AD189,2)))</f>
        <v>0</v>
      </c>
      <c r="AG189" s="20">
        <f>IF(B189="","",ROUND(V189-Y189-AE189-Z189,2))</f>
        <v>0</v>
      </c>
      <c r="AH189" s="33">
        <f>IF(B189="","",IF(OR(V189="",V189=0),"",AG189/V189))</f>
        <v>0</v>
      </c>
      <c r="AI189" s="33">
        <f>IF(C189="","",IFERROR(INDEX(Products!$AW$5:$AW$304,MATCH(C189,Products!$A$5:$A$304,0)),""))</f>
        <v>0</v>
      </c>
      <c r="AJ189" s="33">
        <f>IF(B189="","",IF(OR(AH189="",AI189=""),"",AH189-AI189))</f>
        <v>0</v>
      </c>
      <c r="AK189" s="41">
        <f>IF(B189="","",IFERROR(ROUND(IF(D189="",0,D189)*INDEX(Products!$X$5:$X$304,MATCH(C189,Products!$A$5:$A$304,0))/60,2),""))</f>
        <v>0</v>
      </c>
      <c r="AL189" s="20">
        <f>IF(B189="","",IF(OR(AK189="",AK189=0),"",ROUND(AG189/AK189,2)))</f>
        <v>0</v>
      </c>
      <c r="AM189" s="43">
        <f>IF(B189="","",IF(C189="","Add - which product?",IF(AG189&lt;0,"Loss - this order cost you money",IF(M189="Refunded","Refunded - check why",IF(AND(AF189&lt;&gt;"",AF189&gt;0.25),"Check - fees higher than your settings",IF(Z189&gt;1,"Check - postage is eating the margin",IF(AND(AH189&lt;&gt;"",AH189&lt;MarginWarning),"Low margin on this order","OK")))))) )</f>
        <v>0</v>
      </c>
    </row>
    <row r="190" spans="1:39">
      <c r="A190" s="38">
        <f>IF(B190="","",SalePrefix&amp;TEXT(ROW()-4,"0000"))</f>
        <v>0</v>
      </c>
      <c r="Q190" s="13">
        <f>IF(C190="","",IFERROR(INDEX(Products!$B$5:$B$304,MATCH(C190,Products!$A$5:$A$304,0)),"Bundle or deleted"))</f>
        <v>0</v>
      </c>
      <c r="R190" s="13">
        <f>IF(B190="","",TEXT(B190,"yyyy-mm"))</f>
        <v>0</v>
      </c>
      <c r="S190" s="20">
        <f>IF(C190="","",IFERROR(INDEX(Products!$AR$5:$AR$304,MATCH(C190,Products!$A$5:$A$304,0)),""))</f>
        <v>0</v>
      </c>
      <c r="T190" s="20">
        <f>IF(B190="","",IF(F190&lt;&gt;"",F190,IF(S190="",0,S190)))</f>
        <v>0</v>
      </c>
      <c r="U190" s="20">
        <f>IF(B190="","",ROUND(IF(D190="",0,D190)*T190,2))</f>
        <v>0</v>
      </c>
      <c r="V190" s="20">
        <f>IF(B190="","",ROUND(U190-IF(G190="",0,G190)-IF(L190="",0,L190),2))</f>
        <v>0</v>
      </c>
      <c r="W190" s="20">
        <f>IF(C190="","",IFERROR(INDEX(Products!$AT$5:$AT$304,MATCH(C190,Products!$A$5:$A$304,0)),""))</f>
        <v>0</v>
      </c>
      <c r="X190" s="20">
        <f>IF(C190="","",IFERROR(INDEX(Products!$AG$5:$AG$304,MATCH(C190,Products!$A$5:$A$304,0)),""))</f>
        <v>0</v>
      </c>
      <c r="Y190" s="20">
        <f>IF(B190="","",ROUND(IF(D190="",0,D190)*MAX(0,IF(W190="",0,W190)-IF(X190="",0,X190)),2))</f>
        <v>0</v>
      </c>
      <c r="Z190" s="20">
        <f>IF(B190="","",ROUND(MAX(0,IF(J190="",0,J190)-IF(I190="",0,I190)),2))</f>
        <v>0</v>
      </c>
      <c r="AA190" s="33">
        <f>IF(B190="","",IFERROR(INDEX(Channels!$S$5:$S$18,MATCH(IF(E190="",DefaultChannel,E190),Channels!$A$5:$A$18,0)),0))</f>
        <v>0</v>
      </c>
      <c r="AB190" s="20">
        <f>IF(B190="","",IFERROR(INDEX(Channels!$T$5:$T$18,MATCH(IF(E190="",DefaultChannel,E190),Channels!$A$5:$A$18,0)),0))</f>
        <v>0</v>
      </c>
      <c r="AC190" s="42">
        <f>IF(B190="","",IFERROR(INDEX(Channels!$O$5:$O$18,MATCH(IF(E190="",DefaultChannel,E190),Channels!$A$5:$A$18,0)),"No"))</f>
        <v>0</v>
      </c>
      <c r="AD190" s="20">
        <f>IF(B190="","",ROUND((V190+IF(AC190="Yes",IF(I190="",0,I190),0))*AA190+AB190,2))</f>
        <v>0</v>
      </c>
      <c r="AE190" s="20">
        <f>IF(B190="","",IF(K190&lt;&gt;"",K190,AD190))</f>
        <v>0</v>
      </c>
      <c r="AF190" s="20">
        <f>IF(B190="","",IF(K190="","",ROUND(K190-AD190,2)))</f>
        <v>0</v>
      </c>
      <c r="AG190" s="20">
        <f>IF(B190="","",ROUND(V190-Y190-AE190-Z190,2))</f>
        <v>0</v>
      </c>
      <c r="AH190" s="33">
        <f>IF(B190="","",IF(OR(V190="",V190=0),"",AG190/V190))</f>
        <v>0</v>
      </c>
      <c r="AI190" s="33">
        <f>IF(C190="","",IFERROR(INDEX(Products!$AW$5:$AW$304,MATCH(C190,Products!$A$5:$A$304,0)),""))</f>
        <v>0</v>
      </c>
      <c r="AJ190" s="33">
        <f>IF(B190="","",IF(OR(AH190="",AI190=""),"",AH190-AI190))</f>
        <v>0</v>
      </c>
      <c r="AK190" s="41">
        <f>IF(B190="","",IFERROR(ROUND(IF(D190="",0,D190)*INDEX(Products!$X$5:$X$304,MATCH(C190,Products!$A$5:$A$304,0))/60,2),""))</f>
        <v>0</v>
      </c>
      <c r="AL190" s="20">
        <f>IF(B190="","",IF(OR(AK190="",AK190=0),"",ROUND(AG190/AK190,2)))</f>
        <v>0</v>
      </c>
      <c r="AM190" s="43">
        <f>IF(B190="","",IF(C190="","Add - which product?",IF(AG190&lt;0,"Loss - this order cost you money",IF(M190="Refunded","Refunded - check why",IF(AND(AF190&lt;&gt;"",AF190&gt;0.25),"Check - fees higher than your settings",IF(Z190&gt;1,"Check - postage is eating the margin",IF(AND(AH190&lt;&gt;"",AH190&lt;MarginWarning),"Low margin on this order","OK")))))) )</f>
        <v>0</v>
      </c>
    </row>
    <row r="191" spans="1:39">
      <c r="A191" s="38">
        <f>IF(B191="","",SalePrefix&amp;TEXT(ROW()-4,"0000"))</f>
        <v>0</v>
      </c>
      <c r="Q191" s="13">
        <f>IF(C191="","",IFERROR(INDEX(Products!$B$5:$B$304,MATCH(C191,Products!$A$5:$A$304,0)),"Bundle or deleted"))</f>
        <v>0</v>
      </c>
      <c r="R191" s="13">
        <f>IF(B191="","",TEXT(B191,"yyyy-mm"))</f>
        <v>0</v>
      </c>
      <c r="S191" s="20">
        <f>IF(C191="","",IFERROR(INDEX(Products!$AR$5:$AR$304,MATCH(C191,Products!$A$5:$A$304,0)),""))</f>
        <v>0</v>
      </c>
      <c r="T191" s="20">
        <f>IF(B191="","",IF(F191&lt;&gt;"",F191,IF(S191="",0,S191)))</f>
        <v>0</v>
      </c>
      <c r="U191" s="20">
        <f>IF(B191="","",ROUND(IF(D191="",0,D191)*T191,2))</f>
        <v>0</v>
      </c>
      <c r="V191" s="20">
        <f>IF(B191="","",ROUND(U191-IF(G191="",0,G191)-IF(L191="",0,L191),2))</f>
        <v>0</v>
      </c>
      <c r="W191" s="20">
        <f>IF(C191="","",IFERROR(INDEX(Products!$AT$5:$AT$304,MATCH(C191,Products!$A$5:$A$304,0)),""))</f>
        <v>0</v>
      </c>
      <c r="X191" s="20">
        <f>IF(C191="","",IFERROR(INDEX(Products!$AG$5:$AG$304,MATCH(C191,Products!$A$5:$A$304,0)),""))</f>
        <v>0</v>
      </c>
      <c r="Y191" s="20">
        <f>IF(B191="","",ROUND(IF(D191="",0,D191)*MAX(0,IF(W191="",0,W191)-IF(X191="",0,X191)),2))</f>
        <v>0</v>
      </c>
      <c r="Z191" s="20">
        <f>IF(B191="","",ROUND(MAX(0,IF(J191="",0,J191)-IF(I191="",0,I191)),2))</f>
        <v>0</v>
      </c>
      <c r="AA191" s="33">
        <f>IF(B191="","",IFERROR(INDEX(Channels!$S$5:$S$18,MATCH(IF(E191="",DefaultChannel,E191),Channels!$A$5:$A$18,0)),0))</f>
        <v>0</v>
      </c>
      <c r="AB191" s="20">
        <f>IF(B191="","",IFERROR(INDEX(Channels!$T$5:$T$18,MATCH(IF(E191="",DefaultChannel,E191),Channels!$A$5:$A$18,0)),0))</f>
        <v>0</v>
      </c>
      <c r="AC191" s="42">
        <f>IF(B191="","",IFERROR(INDEX(Channels!$O$5:$O$18,MATCH(IF(E191="",DefaultChannel,E191),Channels!$A$5:$A$18,0)),"No"))</f>
        <v>0</v>
      </c>
      <c r="AD191" s="20">
        <f>IF(B191="","",ROUND((V191+IF(AC191="Yes",IF(I191="",0,I191),0))*AA191+AB191,2))</f>
        <v>0</v>
      </c>
      <c r="AE191" s="20">
        <f>IF(B191="","",IF(K191&lt;&gt;"",K191,AD191))</f>
        <v>0</v>
      </c>
      <c r="AF191" s="20">
        <f>IF(B191="","",IF(K191="","",ROUND(K191-AD191,2)))</f>
        <v>0</v>
      </c>
      <c r="AG191" s="20">
        <f>IF(B191="","",ROUND(V191-Y191-AE191-Z191,2))</f>
        <v>0</v>
      </c>
      <c r="AH191" s="33">
        <f>IF(B191="","",IF(OR(V191="",V191=0),"",AG191/V191))</f>
        <v>0</v>
      </c>
      <c r="AI191" s="33">
        <f>IF(C191="","",IFERROR(INDEX(Products!$AW$5:$AW$304,MATCH(C191,Products!$A$5:$A$304,0)),""))</f>
        <v>0</v>
      </c>
      <c r="AJ191" s="33">
        <f>IF(B191="","",IF(OR(AH191="",AI191=""),"",AH191-AI191))</f>
        <v>0</v>
      </c>
      <c r="AK191" s="41">
        <f>IF(B191="","",IFERROR(ROUND(IF(D191="",0,D191)*INDEX(Products!$X$5:$X$304,MATCH(C191,Products!$A$5:$A$304,0))/60,2),""))</f>
        <v>0</v>
      </c>
      <c r="AL191" s="20">
        <f>IF(B191="","",IF(OR(AK191="",AK191=0),"",ROUND(AG191/AK191,2)))</f>
        <v>0</v>
      </c>
      <c r="AM191" s="43">
        <f>IF(B191="","",IF(C191="","Add - which product?",IF(AG191&lt;0,"Loss - this order cost you money",IF(M191="Refunded","Refunded - check why",IF(AND(AF191&lt;&gt;"",AF191&gt;0.25),"Check - fees higher than your settings",IF(Z191&gt;1,"Check - postage is eating the margin",IF(AND(AH191&lt;&gt;"",AH191&lt;MarginWarning),"Low margin on this order","OK")))))) )</f>
        <v>0</v>
      </c>
    </row>
    <row r="192" spans="1:39">
      <c r="A192" s="38">
        <f>IF(B192="","",SalePrefix&amp;TEXT(ROW()-4,"0000"))</f>
        <v>0</v>
      </c>
      <c r="Q192" s="13">
        <f>IF(C192="","",IFERROR(INDEX(Products!$B$5:$B$304,MATCH(C192,Products!$A$5:$A$304,0)),"Bundle or deleted"))</f>
        <v>0</v>
      </c>
      <c r="R192" s="13">
        <f>IF(B192="","",TEXT(B192,"yyyy-mm"))</f>
        <v>0</v>
      </c>
      <c r="S192" s="20">
        <f>IF(C192="","",IFERROR(INDEX(Products!$AR$5:$AR$304,MATCH(C192,Products!$A$5:$A$304,0)),""))</f>
        <v>0</v>
      </c>
      <c r="T192" s="20">
        <f>IF(B192="","",IF(F192&lt;&gt;"",F192,IF(S192="",0,S192)))</f>
        <v>0</v>
      </c>
      <c r="U192" s="20">
        <f>IF(B192="","",ROUND(IF(D192="",0,D192)*T192,2))</f>
        <v>0</v>
      </c>
      <c r="V192" s="20">
        <f>IF(B192="","",ROUND(U192-IF(G192="",0,G192)-IF(L192="",0,L192),2))</f>
        <v>0</v>
      </c>
      <c r="W192" s="20">
        <f>IF(C192="","",IFERROR(INDEX(Products!$AT$5:$AT$304,MATCH(C192,Products!$A$5:$A$304,0)),""))</f>
        <v>0</v>
      </c>
      <c r="X192" s="20">
        <f>IF(C192="","",IFERROR(INDEX(Products!$AG$5:$AG$304,MATCH(C192,Products!$A$5:$A$304,0)),""))</f>
        <v>0</v>
      </c>
      <c r="Y192" s="20">
        <f>IF(B192="","",ROUND(IF(D192="",0,D192)*MAX(0,IF(W192="",0,W192)-IF(X192="",0,X192)),2))</f>
        <v>0</v>
      </c>
      <c r="Z192" s="20">
        <f>IF(B192="","",ROUND(MAX(0,IF(J192="",0,J192)-IF(I192="",0,I192)),2))</f>
        <v>0</v>
      </c>
      <c r="AA192" s="33">
        <f>IF(B192="","",IFERROR(INDEX(Channels!$S$5:$S$18,MATCH(IF(E192="",DefaultChannel,E192),Channels!$A$5:$A$18,0)),0))</f>
        <v>0</v>
      </c>
      <c r="AB192" s="20">
        <f>IF(B192="","",IFERROR(INDEX(Channels!$T$5:$T$18,MATCH(IF(E192="",DefaultChannel,E192),Channels!$A$5:$A$18,0)),0))</f>
        <v>0</v>
      </c>
      <c r="AC192" s="42">
        <f>IF(B192="","",IFERROR(INDEX(Channels!$O$5:$O$18,MATCH(IF(E192="",DefaultChannel,E192),Channels!$A$5:$A$18,0)),"No"))</f>
        <v>0</v>
      </c>
      <c r="AD192" s="20">
        <f>IF(B192="","",ROUND((V192+IF(AC192="Yes",IF(I192="",0,I192),0))*AA192+AB192,2))</f>
        <v>0</v>
      </c>
      <c r="AE192" s="20">
        <f>IF(B192="","",IF(K192&lt;&gt;"",K192,AD192))</f>
        <v>0</v>
      </c>
      <c r="AF192" s="20">
        <f>IF(B192="","",IF(K192="","",ROUND(K192-AD192,2)))</f>
        <v>0</v>
      </c>
      <c r="AG192" s="20">
        <f>IF(B192="","",ROUND(V192-Y192-AE192-Z192,2))</f>
        <v>0</v>
      </c>
      <c r="AH192" s="33">
        <f>IF(B192="","",IF(OR(V192="",V192=0),"",AG192/V192))</f>
        <v>0</v>
      </c>
      <c r="AI192" s="33">
        <f>IF(C192="","",IFERROR(INDEX(Products!$AW$5:$AW$304,MATCH(C192,Products!$A$5:$A$304,0)),""))</f>
        <v>0</v>
      </c>
      <c r="AJ192" s="33">
        <f>IF(B192="","",IF(OR(AH192="",AI192=""),"",AH192-AI192))</f>
        <v>0</v>
      </c>
      <c r="AK192" s="41">
        <f>IF(B192="","",IFERROR(ROUND(IF(D192="",0,D192)*INDEX(Products!$X$5:$X$304,MATCH(C192,Products!$A$5:$A$304,0))/60,2),""))</f>
        <v>0</v>
      </c>
      <c r="AL192" s="20">
        <f>IF(B192="","",IF(OR(AK192="",AK192=0),"",ROUND(AG192/AK192,2)))</f>
        <v>0</v>
      </c>
      <c r="AM192" s="43">
        <f>IF(B192="","",IF(C192="","Add - which product?",IF(AG192&lt;0,"Loss - this order cost you money",IF(M192="Refunded","Refunded - check why",IF(AND(AF192&lt;&gt;"",AF192&gt;0.25),"Check - fees higher than your settings",IF(Z192&gt;1,"Check - postage is eating the margin",IF(AND(AH192&lt;&gt;"",AH192&lt;MarginWarning),"Low margin on this order","OK")))))) )</f>
        <v>0</v>
      </c>
    </row>
    <row r="193" spans="1:39">
      <c r="A193" s="38">
        <f>IF(B193="","",SalePrefix&amp;TEXT(ROW()-4,"0000"))</f>
        <v>0</v>
      </c>
      <c r="Q193" s="13">
        <f>IF(C193="","",IFERROR(INDEX(Products!$B$5:$B$304,MATCH(C193,Products!$A$5:$A$304,0)),"Bundle or deleted"))</f>
        <v>0</v>
      </c>
      <c r="R193" s="13">
        <f>IF(B193="","",TEXT(B193,"yyyy-mm"))</f>
        <v>0</v>
      </c>
      <c r="S193" s="20">
        <f>IF(C193="","",IFERROR(INDEX(Products!$AR$5:$AR$304,MATCH(C193,Products!$A$5:$A$304,0)),""))</f>
        <v>0</v>
      </c>
      <c r="T193" s="20">
        <f>IF(B193="","",IF(F193&lt;&gt;"",F193,IF(S193="",0,S193)))</f>
        <v>0</v>
      </c>
      <c r="U193" s="20">
        <f>IF(B193="","",ROUND(IF(D193="",0,D193)*T193,2))</f>
        <v>0</v>
      </c>
      <c r="V193" s="20">
        <f>IF(B193="","",ROUND(U193-IF(G193="",0,G193)-IF(L193="",0,L193),2))</f>
        <v>0</v>
      </c>
      <c r="W193" s="20">
        <f>IF(C193="","",IFERROR(INDEX(Products!$AT$5:$AT$304,MATCH(C193,Products!$A$5:$A$304,0)),""))</f>
        <v>0</v>
      </c>
      <c r="X193" s="20">
        <f>IF(C193="","",IFERROR(INDEX(Products!$AG$5:$AG$304,MATCH(C193,Products!$A$5:$A$304,0)),""))</f>
        <v>0</v>
      </c>
      <c r="Y193" s="20">
        <f>IF(B193="","",ROUND(IF(D193="",0,D193)*MAX(0,IF(W193="",0,W193)-IF(X193="",0,X193)),2))</f>
        <v>0</v>
      </c>
      <c r="Z193" s="20">
        <f>IF(B193="","",ROUND(MAX(0,IF(J193="",0,J193)-IF(I193="",0,I193)),2))</f>
        <v>0</v>
      </c>
      <c r="AA193" s="33">
        <f>IF(B193="","",IFERROR(INDEX(Channels!$S$5:$S$18,MATCH(IF(E193="",DefaultChannel,E193),Channels!$A$5:$A$18,0)),0))</f>
        <v>0</v>
      </c>
      <c r="AB193" s="20">
        <f>IF(B193="","",IFERROR(INDEX(Channels!$T$5:$T$18,MATCH(IF(E193="",DefaultChannel,E193),Channels!$A$5:$A$18,0)),0))</f>
        <v>0</v>
      </c>
      <c r="AC193" s="42">
        <f>IF(B193="","",IFERROR(INDEX(Channels!$O$5:$O$18,MATCH(IF(E193="",DefaultChannel,E193),Channels!$A$5:$A$18,0)),"No"))</f>
        <v>0</v>
      </c>
      <c r="AD193" s="20">
        <f>IF(B193="","",ROUND((V193+IF(AC193="Yes",IF(I193="",0,I193),0))*AA193+AB193,2))</f>
        <v>0</v>
      </c>
      <c r="AE193" s="20">
        <f>IF(B193="","",IF(K193&lt;&gt;"",K193,AD193))</f>
        <v>0</v>
      </c>
      <c r="AF193" s="20">
        <f>IF(B193="","",IF(K193="","",ROUND(K193-AD193,2)))</f>
        <v>0</v>
      </c>
      <c r="AG193" s="20">
        <f>IF(B193="","",ROUND(V193-Y193-AE193-Z193,2))</f>
        <v>0</v>
      </c>
      <c r="AH193" s="33">
        <f>IF(B193="","",IF(OR(V193="",V193=0),"",AG193/V193))</f>
        <v>0</v>
      </c>
      <c r="AI193" s="33">
        <f>IF(C193="","",IFERROR(INDEX(Products!$AW$5:$AW$304,MATCH(C193,Products!$A$5:$A$304,0)),""))</f>
        <v>0</v>
      </c>
      <c r="AJ193" s="33">
        <f>IF(B193="","",IF(OR(AH193="",AI193=""),"",AH193-AI193))</f>
        <v>0</v>
      </c>
      <c r="AK193" s="41">
        <f>IF(B193="","",IFERROR(ROUND(IF(D193="",0,D193)*INDEX(Products!$X$5:$X$304,MATCH(C193,Products!$A$5:$A$304,0))/60,2),""))</f>
        <v>0</v>
      </c>
      <c r="AL193" s="20">
        <f>IF(B193="","",IF(OR(AK193="",AK193=0),"",ROUND(AG193/AK193,2)))</f>
        <v>0</v>
      </c>
      <c r="AM193" s="43">
        <f>IF(B193="","",IF(C193="","Add - which product?",IF(AG193&lt;0,"Loss - this order cost you money",IF(M193="Refunded","Refunded - check why",IF(AND(AF193&lt;&gt;"",AF193&gt;0.25),"Check - fees higher than your settings",IF(Z193&gt;1,"Check - postage is eating the margin",IF(AND(AH193&lt;&gt;"",AH193&lt;MarginWarning),"Low margin on this order","OK")))))) )</f>
        <v>0</v>
      </c>
    </row>
    <row r="194" spans="1:39">
      <c r="A194" s="38">
        <f>IF(B194="","",SalePrefix&amp;TEXT(ROW()-4,"0000"))</f>
        <v>0</v>
      </c>
      <c r="Q194" s="13">
        <f>IF(C194="","",IFERROR(INDEX(Products!$B$5:$B$304,MATCH(C194,Products!$A$5:$A$304,0)),"Bundle or deleted"))</f>
        <v>0</v>
      </c>
      <c r="R194" s="13">
        <f>IF(B194="","",TEXT(B194,"yyyy-mm"))</f>
        <v>0</v>
      </c>
      <c r="S194" s="20">
        <f>IF(C194="","",IFERROR(INDEX(Products!$AR$5:$AR$304,MATCH(C194,Products!$A$5:$A$304,0)),""))</f>
        <v>0</v>
      </c>
      <c r="T194" s="20">
        <f>IF(B194="","",IF(F194&lt;&gt;"",F194,IF(S194="",0,S194)))</f>
        <v>0</v>
      </c>
      <c r="U194" s="20">
        <f>IF(B194="","",ROUND(IF(D194="",0,D194)*T194,2))</f>
        <v>0</v>
      </c>
      <c r="V194" s="20">
        <f>IF(B194="","",ROUND(U194-IF(G194="",0,G194)-IF(L194="",0,L194),2))</f>
        <v>0</v>
      </c>
      <c r="W194" s="20">
        <f>IF(C194="","",IFERROR(INDEX(Products!$AT$5:$AT$304,MATCH(C194,Products!$A$5:$A$304,0)),""))</f>
        <v>0</v>
      </c>
      <c r="X194" s="20">
        <f>IF(C194="","",IFERROR(INDEX(Products!$AG$5:$AG$304,MATCH(C194,Products!$A$5:$A$304,0)),""))</f>
        <v>0</v>
      </c>
      <c r="Y194" s="20">
        <f>IF(B194="","",ROUND(IF(D194="",0,D194)*MAX(0,IF(W194="",0,W194)-IF(X194="",0,X194)),2))</f>
        <v>0</v>
      </c>
      <c r="Z194" s="20">
        <f>IF(B194="","",ROUND(MAX(0,IF(J194="",0,J194)-IF(I194="",0,I194)),2))</f>
        <v>0</v>
      </c>
      <c r="AA194" s="33">
        <f>IF(B194="","",IFERROR(INDEX(Channels!$S$5:$S$18,MATCH(IF(E194="",DefaultChannel,E194),Channels!$A$5:$A$18,0)),0))</f>
        <v>0</v>
      </c>
      <c r="AB194" s="20">
        <f>IF(B194="","",IFERROR(INDEX(Channels!$T$5:$T$18,MATCH(IF(E194="",DefaultChannel,E194),Channels!$A$5:$A$18,0)),0))</f>
        <v>0</v>
      </c>
      <c r="AC194" s="42">
        <f>IF(B194="","",IFERROR(INDEX(Channels!$O$5:$O$18,MATCH(IF(E194="",DefaultChannel,E194),Channels!$A$5:$A$18,0)),"No"))</f>
        <v>0</v>
      </c>
      <c r="AD194" s="20">
        <f>IF(B194="","",ROUND((V194+IF(AC194="Yes",IF(I194="",0,I194),0))*AA194+AB194,2))</f>
        <v>0</v>
      </c>
      <c r="AE194" s="20">
        <f>IF(B194="","",IF(K194&lt;&gt;"",K194,AD194))</f>
        <v>0</v>
      </c>
      <c r="AF194" s="20">
        <f>IF(B194="","",IF(K194="","",ROUND(K194-AD194,2)))</f>
        <v>0</v>
      </c>
      <c r="AG194" s="20">
        <f>IF(B194="","",ROUND(V194-Y194-AE194-Z194,2))</f>
        <v>0</v>
      </c>
      <c r="AH194" s="33">
        <f>IF(B194="","",IF(OR(V194="",V194=0),"",AG194/V194))</f>
        <v>0</v>
      </c>
      <c r="AI194" s="33">
        <f>IF(C194="","",IFERROR(INDEX(Products!$AW$5:$AW$304,MATCH(C194,Products!$A$5:$A$304,0)),""))</f>
        <v>0</v>
      </c>
      <c r="AJ194" s="33">
        <f>IF(B194="","",IF(OR(AH194="",AI194=""),"",AH194-AI194))</f>
        <v>0</v>
      </c>
      <c r="AK194" s="41">
        <f>IF(B194="","",IFERROR(ROUND(IF(D194="",0,D194)*INDEX(Products!$X$5:$X$304,MATCH(C194,Products!$A$5:$A$304,0))/60,2),""))</f>
        <v>0</v>
      </c>
      <c r="AL194" s="20">
        <f>IF(B194="","",IF(OR(AK194="",AK194=0),"",ROUND(AG194/AK194,2)))</f>
        <v>0</v>
      </c>
      <c r="AM194" s="43">
        <f>IF(B194="","",IF(C194="","Add - which product?",IF(AG194&lt;0,"Loss - this order cost you money",IF(M194="Refunded","Refunded - check why",IF(AND(AF194&lt;&gt;"",AF194&gt;0.25),"Check - fees higher than your settings",IF(Z194&gt;1,"Check - postage is eating the margin",IF(AND(AH194&lt;&gt;"",AH194&lt;MarginWarning),"Low margin on this order","OK")))))) )</f>
        <v>0</v>
      </c>
    </row>
    <row r="195" spans="1:39">
      <c r="A195" s="38">
        <f>IF(B195="","",SalePrefix&amp;TEXT(ROW()-4,"0000"))</f>
        <v>0</v>
      </c>
      <c r="Q195" s="13">
        <f>IF(C195="","",IFERROR(INDEX(Products!$B$5:$B$304,MATCH(C195,Products!$A$5:$A$304,0)),"Bundle or deleted"))</f>
        <v>0</v>
      </c>
      <c r="R195" s="13">
        <f>IF(B195="","",TEXT(B195,"yyyy-mm"))</f>
        <v>0</v>
      </c>
      <c r="S195" s="20">
        <f>IF(C195="","",IFERROR(INDEX(Products!$AR$5:$AR$304,MATCH(C195,Products!$A$5:$A$304,0)),""))</f>
        <v>0</v>
      </c>
      <c r="T195" s="20">
        <f>IF(B195="","",IF(F195&lt;&gt;"",F195,IF(S195="",0,S195)))</f>
        <v>0</v>
      </c>
      <c r="U195" s="20">
        <f>IF(B195="","",ROUND(IF(D195="",0,D195)*T195,2))</f>
        <v>0</v>
      </c>
      <c r="V195" s="20">
        <f>IF(B195="","",ROUND(U195-IF(G195="",0,G195)-IF(L195="",0,L195),2))</f>
        <v>0</v>
      </c>
      <c r="W195" s="20">
        <f>IF(C195="","",IFERROR(INDEX(Products!$AT$5:$AT$304,MATCH(C195,Products!$A$5:$A$304,0)),""))</f>
        <v>0</v>
      </c>
      <c r="X195" s="20">
        <f>IF(C195="","",IFERROR(INDEX(Products!$AG$5:$AG$304,MATCH(C195,Products!$A$5:$A$304,0)),""))</f>
        <v>0</v>
      </c>
      <c r="Y195" s="20">
        <f>IF(B195="","",ROUND(IF(D195="",0,D195)*MAX(0,IF(W195="",0,W195)-IF(X195="",0,X195)),2))</f>
        <v>0</v>
      </c>
      <c r="Z195" s="20">
        <f>IF(B195="","",ROUND(MAX(0,IF(J195="",0,J195)-IF(I195="",0,I195)),2))</f>
        <v>0</v>
      </c>
      <c r="AA195" s="33">
        <f>IF(B195="","",IFERROR(INDEX(Channels!$S$5:$S$18,MATCH(IF(E195="",DefaultChannel,E195),Channels!$A$5:$A$18,0)),0))</f>
        <v>0</v>
      </c>
      <c r="AB195" s="20">
        <f>IF(B195="","",IFERROR(INDEX(Channels!$T$5:$T$18,MATCH(IF(E195="",DefaultChannel,E195),Channels!$A$5:$A$18,0)),0))</f>
        <v>0</v>
      </c>
      <c r="AC195" s="42">
        <f>IF(B195="","",IFERROR(INDEX(Channels!$O$5:$O$18,MATCH(IF(E195="",DefaultChannel,E195),Channels!$A$5:$A$18,0)),"No"))</f>
        <v>0</v>
      </c>
      <c r="AD195" s="20">
        <f>IF(B195="","",ROUND((V195+IF(AC195="Yes",IF(I195="",0,I195),0))*AA195+AB195,2))</f>
        <v>0</v>
      </c>
      <c r="AE195" s="20">
        <f>IF(B195="","",IF(K195&lt;&gt;"",K195,AD195))</f>
        <v>0</v>
      </c>
      <c r="AF195" s="20">
        <f>IF(B195="","",IF(K195="","",ROUND(K195-AD195,2)))</f>
        <v>0</v>
      </c>
      <c r="AG195" s="20">
        <f>IF(B195="","",ROUND(V195-Y195-AE195-Z195,2))</f>
        <v>0</v>
      </c>
      <c r="AH195" s="33">
        <f>IF(B195="","",IF(OR(V195="",V195=0),"",AG195/V195))</f>
        <v>0</v>
      </c>
      <c r="AI195" s="33">
        <f>IF(C195="","",IFERROR(INDEX(Products!$AW$5:$AW$304,MATCH(C195,Products!$A$5:$A$304,0)),""))</f>
        <v>0</v>
      </c>
      <c r="AJ195" s="33">
        <f>IF(B195="","",IF(OR(AH195="",AI195=""),"",AH195-AI195))</f>
        <v>0</v>
      </c>
      <c r="AK195" s="41">
        <f>IF(B195="","",IFERROR(ROUND(IF(D195="",0,D195)*INDEX(Products!$X$5:$X$304,MATCH(C195,Products!$A$5:$A$304,0))/60,2),""))</f>
        <v>0</v>
      </c>
      <c r="AL195" s="20">
        <f>IF(B195="","",IF(OR(AK195="",AK195=0),"",ROUND(AG195/AK195,2)))</f>
        <v>0</v>
      </c>
      <c r="AM195" s="43">
        <f>IF(B195="","",IF(C195="","Add - which product?",IF(AG195&lt;0,"Loss - this order cost you money",IF(M195="Refunded","Refunded - check why",IF(AND(AF195&lt;&gt;"",AF195&gt;0.25),"Check - fees higher than your settings",IF(Z195&gt;1,"Check - postage is eating the margin",IF(AND(AH195&lt;&gt;"",AH195&lt;MarginWarning),"Low margin on this order","OK")))))) )</f>
        <v>0</v>
      </c>
    </row>
    <row r="196" spans="1:39">
      <c r="A196" s="38">
        <f>IF(B196="","",SalePrefix&amp;TEXT(ROW()-4,"0000"))</f>
        <v>0</v>
      </c>
      <c r="Q196" s="13">
        <f>IF(C196="","",IFERROR(INDEX(Products!$B$5:$B$304,MATCH(C196,Products!$A$5:$A$304,0)),"Bundle or deleted"))</f>
        <v>0</v>
      </c>
      <c r="R196" s="13">
        <f>IF(B196="","",TEXT(B196,"yyyy-mm"))</f>
        <v>0</v>
      </c>
      <c r="S196" s="20">
        <f>IF(C196="","",IFERROR(INDEX(Products!$AR$5:$AR$304,MATCH(C196,Products!$A$5:$A$304,0)),""))</f>
        <v>0</v>
      </c>
      <c r="T196" s="20">
        <f>IF(B196="","",IF(F196&lt;&gt;"",F196,IF(S196="",0,S196)))</f>
        <v>0</v>
      </c>
      <c r="U196" s="20">
        <f>IF(B196="","",ROUND(IF(D196="",0,D196)*T196,2))</f>
        <v>0</v>
      </c>
      <c r="V196" s="20">
        <f>IF(B196="","",ROUND(U196-IF(G196="",0,G196)-IF(L196="",0,L196),2))</f>
        <v>0</v>
      </c>
      <c r="W196" s="20">
        <f>IF(C196="","",IFERROR(INDEX(Products!$AT$5:$AT$304,MATCH(C196,Products!$A$5:$A$304,0)),""))</f>
        <v>0</v>
      </c>
      <c r="X196" s="20">
        <f>IF(C196="","",IFERROR(INDEX(Products!$AG$5:$AG$304,MATCH(C196,Products!$A$5:$A$304,0)),""))</f>
        <v>0</v>
      </c>
      <c r="Y196" s="20">
        <f>IF(B196="","",ROUND(IF(D196="",0,D196)*MAX(0,IF(W196="",0,W196)-IF(X196="",0,X196)),2))</f>
        <v>0</v>
      </c>
      <c r="Z196" s="20">
        <f>IF(B196="","",ROUND(MAX(0,IF(J196="",0,J196)-IF(I196="",0,I196)),2))</f>
        <v>0</v>
      </c>
      <c r="AA196" s="33">
        <f>IF(B196="","",IFERROR(INDEX(Channels!$S$5:$S$18,MATCH(IF(E196="",DefaultChannel,E196),Channels!$A$5:$A$18,0)),0))</f>
        <v>0</v>
      </c>
      <c r="AB196" s="20">
        <f>IF(B196="","",IFERROR(INDEX(Channels!$T$5:$T$18,MATCH(IF(E196="",DefaultChannel,E196),Channels!$A$5:$A$18,0)),0))</f>
        <v>0</v>
      </c>
      <c r="AC196" s="42">
        <f>IF(B196="","",IFERROR(INDEX(Channels!$O$5:$O$18,MATCH(IF(E196="",DefaultChannel,E196),Channels!$A$5:$A$18,0)),"No"))</f>
        <v>0</v>
      </c>
      <c r="AD196" s="20">
        <f>IF(B196="","",ROUND((V196+IF(AC196="Yes",IF(I196="",0,I196),0))*AA196+AB196,2))</f>
        <v>0</v>
      </c>
      <c r="AE196" s="20">
        <f>IF(B196="","",IF(K196&lt;&gt;"",K196,AD196))</f>
        <v>0</v>
      </c>
      <c r="AF196" s="20">
        <f>IF(B196="","",IF(K196="","",ROUND(K196-AD196,2)))</f>
        <v>0</v>
      </c>
      <c r="AG196" s="20">
        <f>IF(B196="","",ROUND(V196-Y196-AE196-Z196,2))</f>
        <v>0</v>
      </c>
      <c r="AH196" s="33">
        <f>IF(B196="","",IF(OR(V196="",V196=0),"",AG196/V196))</f>
        <v>0</v>
      </c>
      <c r="AI196" s="33">
        <f>IF(C196="","",IFERROR(INDEX(Products!$AW$5:$AW$304,MATCH(C196,Products!$A$5:$A$304,0)),""))</f>
        <v>0</v>
      </c>
      <c r="AJ196" s="33">
        <f>IF(B196="","",IF(OR(AH196="",AI196=""),"",AH196-AI196))</f>
        <v>0</v>
      </c>
      <c r="AK196" s="41">
        <f>IF(B196="","",IFERROR(ROUND(IF(D196="",0,D196)*INDEX(Products!$X$5:$X$304,MATCH(C196,Products!$A$5:$A$304,0))/60,2),""))</f>
        <v>0</v>
      </c>
      <c r="AL196" s="20">
        <f>IF(B196="","",IF(OR(AK196="",AK196=0),"",ROUND(AG196/AK196,2)))</f>
        <v>0</v>
      </c>
      <c r="AM196" s="43">
        <f>IF(B196="","",IF(C196="","Add - which product?",IF(AG196&lt;0,"Loss - this order cost you money",IF(M196="Refunded","Refunded - check why",IF(AND(AF196&lt;&gt;"",AF196&gt;0.25),"Check - fees higher than your settings",IF(Z196&gt;1,"Check - postage is eating the margin",IF(AND(AH196&lt;&gt;"",AH196&lt;MarginWarning),"Low margin on this order","OK")))))) )</f>
        <v>0</v>
      </c>
    </row>
    <row r="197" spans="1:39">
      <c r="A197" s="38">
        <f>IF(B197="","",SalePrefix&amp;TEXT(ROW()-4,"0000"))</f>
        <v>0</v>
      </c>
      <c r="Q197" s="13">
        <f>IF(C197="","",IFERROR(INDEX(Products!$B$5:$B$304,MATCH(C197,Products!$A$5:$A$304,0)),"Bundle or deleted"))</f>
        <v>0</v>
      </c>
      <c r="R197" s="13">
        <f>IF(B197="","",TEXT(B197,"yyyy-mm"))</f>
        <v>0</v>
      </c>
      <c r="S197" s="20">
        <f>IF(C197="","",IFERROR(INDEX(Products!$AR$5:$AR$304,MATCH(C197,Products!$A$5:$A$304,0)),""))</f>
        <v>0</v>
      </c>
      <c r="T197" s="20">
        <f>IF(B197="","",IF(F197&lt;&gt;"",F197,IF(S197="",0,S197)))</f>
        <v>0</v>
      </c>
      <c r="U197" s="20">
        <f>IF(B197="","",ROUND(IF(D197="",0,D197)*T197,2))</f>
        <v>0</v>
      </c>
      <c r="V197" s="20">
        <f>IF(B197="","",ROUND(U197-IF(G197="",0,G197)-IF(L197="",0,L197),2))</f>
        <v>0</v>
      </c>
      <c r="W197" s="20">
        <f>IF(C197="","",IFERROR(INDEX(Products!$AT$5:$AT$304,MATCH(C197,Products!$A$5:$A$304,0)),""))</f>
        <v>0</v>
      </c>
      <c r="X197" s="20">
        <f>IF(C197="","",IFERROR(INDEX(Products!$AG$5:$AG$304,MATCH(C197,Products!$A$5:$A$304,0)),""))</f>
        <v>0</v>
      </c>
      <c r="Y197" s="20">
        <f>IF(B197="","",ROUND(IF(D197="",0,D197)*MAX(0,IF(W197="",0,W197)-IF(X197="",0,X197)),2))</f>
        <v>0</v>
      </c>
      <c r="Z197" s="20">
        <f>IF(B197="","",ROUND(MAX(0,IF(J197="",0,J197)-IF(I197="",0,I197)),2))</f>
        <v>0</v>
      </c>
      <c r="AA197" s="33">
        <f>IF(B197="","",IFERROR(INDEX(Channels!$S$5:$S$18,MATCH(IF(E197="",DefaultChannel,E197),Channels!$A$5:$A$18,0)),0))</f>
        <v>0</v>
      </c>
      <c r="AB197" s="20">
        <f>IF(B197="","",IFERROR(INDEX(Channels!$T$5:$T$18,MATCH(IF(E197="",DefaultChannel,E197),Channels!$A$5:$A$18,0)),0))</f>
        <v>0</v>
      </c>
      <c r="AC197" s="42">
        <f>IF(B197="","",IFERROR(INDEX(Channels!$O$5:$O$18,MATCH(IF(E197="",DefaultChannel,E197),Channels!$A$5:$A$18,0)),"No"))</f>
        <v>0</v>
      </c>
      <c r="AD197" s="20">
        <f>IF(B197="","",ROUND((V197+IF(AC197="Yes",IF(I197="",0,I197),0))*AA197+AB197,2))</f>
        <v>0</v>
      </c>
      <c r="AE197" s="20">
        <f>IF(B197="","",IF(K197&lt;&gt;"",K197,AD197))</f>
        <v>0</v>
      </c>
      <c r="AF197" s="20">
        <f>IF(B197="","",IF(K197="","",ROUND(K197-AD197,2)))</f>
        <v>0</v>
      </c>
      <c r="AG197" s="20">
        <f>IF(B197="","",ROUND(V197-Y197-AE197-Z197,2))</f>
        <v>0</v>
      </c>
      <c r="AH197" s="33">
        <f>IF(B197="","",IF(OR(V197="",V197=0),"",AG197/V197))</f>
        <v>0</v>
      </c>
      <c r="AI197" s="33">
        <f>IF(C197="","",IFERROR(INDEX(Products!$AW$5:$AW$304,MATCH(C197,Products!$A$5:$A$304,0)),""))</f>
        <v>0</v>
      </c>
      <c r="AJ197" s="33">
        <f>IF(B197="","",IF(OR(AH197="",AI197=""),"",AH197-AI197))</f>
        <v>0</v>
      </c>
      <c r="AK197" s="41">
        <f>IF(B197="","",IFERROR(ROUND(IF(D197="",0,D197)*INDEX(Products!$X$5:$X$304,MATCH(C197,Products!$A$5:$A$304,0))/60,2),""))</f>
        <v>0</v>
      </c>
      <c r="AL197" s="20">
        <f>IF(B197="","",IF(OR(AK197="",AK197=0),"",ROUND(AG197/AK197,2)))</f>
        <v>0</v>
      </c>
      <c r="AM197" s="43">
        <f>IF(B197="","",IF(C197="","Add - which product?",IF(AG197&lt;0,"Loss - this order cost you money",IF(M197="Refunded","Refunded - check why",IF(AND(AF197&lt;&gt;"",AF197&gt;0.25),"Check - fees higher than your settings",IF(Z197&gt;1,"Check - postage is eating the margin",IF(AND(AH197&lt;&gt;"",AH197&lt;MarginWarning),"Low margin on this order","OK")))))) )</f>
        <v>0</v>
      </c>
    </row>
    <row r="198" spans="1:39">
      <c r="A198" s="38">
        <f>IF(B198="","",SalePrefix&amp;TEXT(ROW()-4,"0000"))</f>
        <v>0</v>
      </c>
      <c r="Q198" s="13">
        <f>IF(C198="","",IFERROR(INDEX(Products!$B$5:$B$304,MATCH(C198,Products!$A$5:$A$304,0)),"Bundle or deleted"))</f>
        <v>0</v>
      </c>
      <c r="R198" s="13">
        <f>IF(B198="","",TEXT(B198,"yyyy-mm"))</f>
        <v>0</v>
      </c>
      <c r="S198" s="20">
        <f>IF(C198="","",IFERROR(INDEX(Products!$AR$5:$AR$304,MATCH(C198,Products!$A$5:$A$304,0)),""))</f>
        <v>0</v>
      </c>
      <c r="T198" s="20">
        <f>IF(B198="","",IF(F198&lt;&gt;"",F198,IF(S198="",0,S198)))</f>
        <v>0</v>
      </c>
      <c r="U198" s="20">
        <f>IF(B198="","",ROUND(IF(D198="",0,D198)*T198,2))</f>
        <v>0</v>
      </c>
      <c r="V198" s="20">
        <f>IF(B198="","",ROUND(U198-IF(G198="",0,G198)-IF(L198="",0,L198),2))</f>
        <v>0</v>
      </c>
      <c r="W198" s="20">
        <f>IF(C198="","",IFERROR(INDEX(Products!$AT$5:$AT$304,MATCH(C198,Products!$A$5:$A$304,0)),""))</f>
        <v>0</v>
      </c>
      <c r="X198" s="20">
        <f>IF(C198="","",IFERROR(INDEX(Products!$AG$5:$AG$304,MATCH(C198,Products!$A$5:$A$304,0)),""))</f>
        <v>0</v>
      </c>
      <c r="Y198" s="20">
        <f>IF(B198="","",ROUND(IF(D198="",0,D198)*MAX(0,IF(W198="",0,W198)-IF(X198="",0,X198)),2))</f>
        <v>0</v>
      </c>
      <c r="Z198" s="20">
        <f>IF(B198="","",ROUND(MAX(0,IF(J198="",0,J198)-IF(I198="",0,I198)),2))</f>
        <v>0</v>
      </c>
      <c r="AA198" s="33">
        <f>IF(B198="","",IFERROR(INDEX(Channels!$S$5:$S$18,MATCH(IF(E198="",DefaultChannel,E198),Channels!$A$5:$A$18,0)),0))</f>
        <v>0</v>
      </c>
      <c r="AB198" s="20">
        <f>IF(B198="","",IFERROR(INDEX(Channels!$T$5:$T$18,MATCH(IF(E198="",DefaultChannel,E198),Channels!$A$5:$A$18,0)),0))</f>
        <v>0</v>
      </c>
      <c r="AC198" s="42">
        <f>IF(B198="","",IFERROR(INDEX(Channels!$O$5:$O$18,MATCH(IF(E198="",DefaultChannel,E198),Channels!$A$5:$A$18,0)),"No"))</f>
        <v>0</v>
      </c>
      <c r="AD198" s="20">
        <f>IF(B198="","",ROUND((V198+IF(AC198="Yes",IF(I198="",0,I198),0))*AA198+AB198,2))</f>
        <v>0</v>
      </c>
      <c r="AE198" s="20">
        <f>IF(B198="","",IF(K198&lt;&gt;"",K198,AD198))</f>
        <v>0</v>
      </c>
      <c r="AF198" s="20">
        <f>IF(B198="","",IF(K198="","",ROUND(K198-AD198,2)))</f>
        <v>0</v>
      </c>
      <c r="AG198" s="20">
        <f>IF(B198="","",ROUND(V198-Y198-AE198-Z198,2))</f>
        <v>0</v>
      </c>
      <c r="AH198" s="33">
        <f>IF(B198="","",IF(OR(V198="",V198=0),"",AG198/V198))</f>
        <v>0</v>
      </c>
      <c r="AI198" s="33">
        <f>IF(C198="","",IFERROR(INDEX(Products!$AW$5:$AW$304,MATCH(C198,Products!$A$5:$A$304,0)),""))</f>
        <v>0</v>
      </c>
      <c r="AJ198" s="33">
        <f>IF(B198="","",IF(OR(AH198="",AI198=""),"",AH198-AI198))</f>
        <v>0</v>
      </c>
      <c r="AK198" s="41">
        <f>IF(B198="","",IFERROR(ROUND(IF(D198="",0,D198)*INDEX(Products!$X$5:$X$304,MATCH(C198,Products!$A$5:$A$304,0))/60,2),""))</f>
        <v>0</v>
      </c>
      <c r="AL198" s="20">
        <f>IF(B198="","",IF(OR(AK198="",AK198=0),"",ROUND(AG198/AK198,2)))</f>
        <v>0</v>
      </c>
      <c r="AM198" s="43">
        <f>IF(B198="","",IF(C198="","Add - which product?",IF(AG198&lt;0,"Loss - this order cost you money",IF(M198="Refunded","Refunded - check why",IF(AND(AF198&lt;&gt;"",AF198&gt;0.25),"Check - fees higher than your settings",IF(Z198&gt;1,"Check - postage is eating the margin",IF(AND(AH198&lt;&gt;"",AH198&lt;MarginWarning),"Low margin on this order","OK")))))) )</f>
        <v>0</v>
      </c>
    </row>
    <row r="199" spans="1:39">
      <c r="A199" s="38">
        <f>IF(B199="","",SalePrefix&amp;TEXT(ROW()-4,"0000"))</f>
        <v>0</v>
      </c>
      <c r="Q199" s="13">
        <f>IF(C199="","",IFERROR(INDEX(Products!$B$5:$B$304,MATCH(C199,Products!$A$5:$A$304,0)),"Bundle or deleted"))</f>
        <v>0</v>
      </c>
      <c r="R199" s="13">
        <f>IF(B199="","",TEXT(B199,"yyyy-mm"))</f>
        <v>0</v>
      </c>
      <c r="S199" s="20">
        <f>IF(C199="","",IFERROR(INDEX(Products!$AR$5:$AR$304,MATCH(C199,Products!$A$5:$A$304,0)),""))</f>
        <v>0</v>
      </c>
      <c r="T199" s="20">
        <f>IF(B199="","",IF(F199&lt;&gt;"",F199,IF(S199="",0,S199)))</f>
        <v>0</v>
      </c>
      <c r="U199" s="20">
        <f>IF(B199="","",ROUND(IF(D199="",0,D199)*T199,2))</f>
        <v>0</v>
      </c>
      <c r="V199" s="20">
        <f>IF(B199="","",ROUND(U199-IF(G199="",0,G199)-IF(L199="",0,L199),2))</f>
        <v>0</v>
      </c>
      <c r="W199" s="20">
        <f>IF(C199="","",IFERROR(INDEX(Products!$AT$5:$AT$304,MATCH(C199,Products!$A$5:$A$304,0)),""))</f>
        <v>0</v>
      </c>
      <c r="X199" s="20">
        <f>IF(C199="","",IFERROR(INDEX(Products!$AG$5:$AG$304,MATCH(C199,Products!$A$5:$A$304,0)),""))</f>
        <v>0</v>
      </c>
      <c r="Y199" s="20">
        <f>IF(B199="","",ROUND(IF(D199="",0,D199)*MAX(0,IF(W199="",0,W199)-IF(X199="",0,X199)),2))</f>
        <v>0</v>
      </c>
      <c r="Z199" s="20">
        <f>IF(B199="","",ROUND(MAX(0,IF(J199="",0,J199)-IF(I199="",0,I199)),2))</f>
        <v>0</v>
      </c>
      <c r="AA199" s="33">
        <f>IF(B199="","",IFERROR(INDEX(Channels!$S$5:$S$18,MATCH(IF(E199="",DefaultChannel,E199),Channels!$A$5:$A$18,0)),0))</f>
        <v>0</v>
      </c>
      <c r="AB199" s="20">
        <f>IF(B199="","",IFERROR(INDEX(Channels!$T$5:$T$18,MATCH(IF(E199="",DefaultChannel,E199),Channels!$A$5:$A$18,0)),0))</f>
        <v>0</v>
      </c>
      <c r="AC199" s="42">
        <f>IF(B199="","",IFERROR(INDEX(Channels!$O$5:$O$18,MATCH(IF(E199="",DefaultChannel,E199),Channels!$A$5:$A$18,0)),"No"))</f>
        <v>0</v>
      </c>
      <c r="AD199" s="20">
        <f>IF(B199="","",ROUND((V199+IF(AC199="Yes",IF(I199="",0,I199),0))*AA199+AB199,2))</f>
        <v>0</v>
      </c>
      <c r="AE199" s="20">
        <f>IF(B199="","",IF(K199&lt;&gt;"",K199,AD199))</f>
        <v>0</v>
      </c>
      <c r="AF199" s="20">
        <f>IF(B199="","",IF(K199="","",ROUND(K199-AD199,2)))</f>
        <v>0</v>
      </c>
      <c r="AG199" s="20">
        <f>IF(B199="","",ROUND(V199-Y199-AE199-Z199,2))</f>
        <v>0</v>
      </c>
      <c r="AH199" s="33">
        <f>IF(B199="","",IF(OR(V199="",V199=0),"",AG199/V199))</f>
        <v>0</v>
      </c>
      <c r="AI199" s="33">
        <f>IF(C199="","",IFERROR(INDEX(Products!$AW$5:$AW$304,MATCH(C199,Products!$A$5:$A$304,0)),""))</f>
        <v>0</v>
      </c>
      <c r="AJ199" s="33">
        <f>IF(B199="","",IF(OR(AH199="",AI199=""),"",AH199-AI199))</f>
        <v>0</v>
      </c>
      <c r="AK199" s="41">
        <f>IF(B199="","",IFERROR(ROUND(IF(D199="",0,D199)*INDEX(Products!$X$5:$X$304,MATCH(C199,Products!$A$5:$A$304,0))/60,2),""))</f>
        <v>0</v>
      </c>
      <c r="AL199" s="20">
        <f>IF(B199="","",IF(OR(AK199="",AK199=0),"",ROUND(AG199/AK199,2)))</f>
        <v>0</v>
      </c>
      <c r="AM199" s="43">
        <f>IF(B199="","",IF(C199="","Add - which product?",IF(AG199&lt;0,"Loss - this order cost you money",IF(M199="Refunded","Refunded - check why",IF(AND(AF199&lt;&gt;"",AF199&gt;0.25),"Check - fees higher than your settings",IF(Z199&gt;1,"Check - postage is eating the margin",IF(AND(AH199&lt;&gt;"",AH199&lt;MarginWarning),"Low margin on this order","OK")))))) )</f>
        <v>0</v>
      </c>
    </row>
    <row r="200" spans="1:39">
      <c r="A200" s="38">
        <f>IF(B200="","",SalePrefix&amp;TEXT(ROW()-4,"0000"))</f>
        <v>0</v>
      </c>
      <c r="Q200" s="13">
        <f>IF(C200="","",IFERROR(INDEX(Products!$B$5:$B$304,MATCH(C200,Products!$A$5:$A$304,0)),"Bundle or deleted"))</f>
        <v>0</v>
      </c>
      <c r="R200" s="13">
        <f>IF(B200="","",TEXT(B200,"yyyy-mm"))</f>
        <v>0</v>
      </c>
      <c r="S200" s="20">
        <f>IF(C200="","",IFERROR(INDEX(Products!$AR$5:$AR$304,MATCH(C200,Products!$A$5:$A$304,0)),""))</f>
        <v>0</v>
      </c>
      <c r="T200" s="20">
        <f>IF(B200="","",IF(F200&lt;&gt;"",F200,IF(S200="",0,S200)))</f>
        <v>0</v>
      </c>
      <c r="U200" s="20">
        <f>IF(B200="","",ROUND(IF(D200="",0,D200)*T200,2))</f>
        <v>0</v>
      </c>
      <c r="V200" s="20">
        <f>IF(B200="","",ROUND(U200-IF(G200="",0,G200)-IF(L200="",0,L200),2))</f>
        <v>0</v>
      </c>
      <c r="W200" s="20">
        <f>IF(C200="","",IFERROR(INDEX(Products!$AT$5:$AT$304,MATCH(C200,Products!$A$5:$A$304,0)),""))</f>
        <v>0</v>
      </c>
      <c r="X200" s="20">
        <f>IF(C200="","",IFERROR(INDEX(Products!$AG$5:$AG$304,MATCH(C200,Products!$A$5:$A$304,0)),""))</f>
        <v>0</v>
      </c>
      <c r="Y200" s="20">
        <f>IF(B200="","",ROUND(IF(D200="",0,D200)*MAX(0,IF(W200="",0,W200)-IF(X200="",0,X200)),2))</f>
        <v>0</v>
      </c>
      <c r="Z200" s="20">
        <f>IF(B200="","",ROUND(MAX(0,IF(J200="",0,J200)-IF(I200="",0,I200)),2))</f>
        <v>0</v>
      </c>
      <c r="AA200" s="33">
        <f>IF(B200="","",IFERROR(INDEX(Channels!$S$5:$S$18,MATCH(IF(E200="",DefaultChannel,E200),Channels!$A$5:$A$18,0)),0))</f>
        <v>0</v>
      </c>
      <c r="AB200" s="20">
        <f>IF(B200="","",IFERROR(INDEX(Channels!$T$5:$T$18,MATCH(IF(E200="",DefaultChannel,E200),Channels!$A$5:$A$18,0)),0))</f>
        <v>0</v>
      </c>
      <c r="AC200" s="42">
        <f>IF(B200="","",IFERROR(INDEX(Channels!$O$5:$O$18,MATCH(IF(E200="",DefaultChannel,E200),Channels!$A$5:$A$18,0)),"No"))</f>
        <v>0</v>
      </c>
      <c r="AD200" s="20">
        <f>IF(B200="","",ROUND((V200+IF(AC200="Yes",IF(I200="",0,I200),0))*AA200+AB200,2))</f>
        <v>0</v>
      </c>
      <c r="AE200" s="20">
        <f>IF(B200="","",IF(K200&lt;&gt;"",K200,AD200))</f>
        <v>0</v>
      </c>
      <c r="AF200" s="20">
        <f>IF(B200="","",IF(K200="","",ROUND(K200-AD200,2)))</f>
        <v>0</v>
      </c>
      <c r="AG200" s="20">
        <f>IF(B200="","",ROUND(V200-Y200-AE200-Z200,2))</f>
        <v>0</v>
      </c>
      <c r="AH200" s="33">
        <f>IF(B200="","",IF(OR(V200="",V200=0),"",AG200/V200))</f>
        <v>0</v>
      </c>
      <c r="AI200" s="33">
        <f>IF(C200="","",IFERROR(INDEX(Products!$AW$5:$AW$304,MATCH(C200,Products!$A$5:$A$304,0)),""))</f>
        <v>0</v>
      </c>
      <c r="AJ200" s="33">
        <f>IF(B200="","",IF(OR(AH200="",AI200=""),"",AH200-AI200))</f>
        <v>0</v>
      </c>
      <c r="AK200" s="41">
        <f>IF(B200="","",IFERROR(ROUND(IF(D200="",0,D200)*INDEX(Products!$X$5:$X$304,MATCH(C200,Products!$A$5:$A$304,0))/60,2),""))</f>
        <v>0</v>
      </c>
      <c r="AL200" s="20">
        <f>IF(B200="","",IF(OR(AK200="",AK200=0),"",ROUND(AG200/AK200,2)))</f>
        <v>0</v>
      </c>
      <c r="AM200" s="43">
        <f>IF(B200="","",IF(C200="","Add - which product?",IF(AG200&lt;0,"Loss - this order cost you money",IF(M200="Refunded","Refunded - check why",IF(AND(AF200&lt;&gt;"",AF200&gt;0.25),"Check - fees higher than your settings",IF(Z200&gt;1,"Check - postage is eating the margin",IF(AND(AH200&lt;&gt;"",AH200&lt;MarginWarning),"Low margin on this order","OK")))))) )</f>
        <v>0</v>
      </c>
    </row>
    <row r="201" spans="1:39">
      <c r="A201" s="38">
        <f>IF(B201="","",SalePrefix&amp;TEXT(ROW()-4,"0000"))</f>
        <v>0</v>
      </c>
      <c r="Q201" s="13">
        <f>IF(C201="","",IFERROR(INDEX(Products!$B$5:$B$304,MATCH(C201,Products!$A$5:$A$304,0)),"Bundle or deleted"))</f>
        <v>0</v>
      </c>
      <c r="R201" s="13">
        <f>IF(B201="","",TEXT(B201,"yyyy-mm"))</f>
        <v>0</v>
      </c>
      <c r="S201" s="20">
        <f>IF(C201="","",IFERROR(INDEX(Products!$AR$5:$AR$304,MATCH(C201,Products!$A$5:$A$304,0)),""))</f>
        <v>0</v>
      </c>
      <c r="T201" s="20">
        <f>IF(B201="","",IF(F201&lt;&gt;"",F201,IF(S201="",0,S201)))</f>
        <v>0</v>
      </c>
      <c r="U201" s="20">
        <f>IF(B201="","",ROUND(IF(D201="",0,D201)*T201,2))</f>
        <v>0</v>
      </c>
      <c r="V201" s="20">
        <f>IF(B201="","",ROUND(U201-IF(G201="",0,G201)-IF(L201="",0,L201),2))</f>
        <v>0</v>
      </c>
      <c r="W201" s="20">
        <f>IF(C201="","",IFERROR(INDEX(Products!$AT$5:$AT$304,MATCH(C201,Products!$A$5:$A$304,0)),""))</f>
        <v>0</v>
      </c>
      <c r="X201" s="20">
        <f>IF(C201="","",IFERROR(INDEX(Products!$AG$5:$AG$304,MATCH(C201,Products!$A$5:$A$304,0)),""))</f>
        <v>0</v>
      </c>
      <c r="Y201" s="20">
        <f>IF(B201="","",ROUND(IF(D201="",0,D201)*MAX(0,IF(W201="",0,W201)-IF(X201="",0,X201)),2))</f>
        <v>0</v>
      </c>
      <c r="Z201" s="20">
        <f>IF(B201="","",ROUND(MAX(0,IF(J201="",0,J201)-IF(I201="",0,I201)),2))</f>
        <v>0</v>
      </c>
      <c r="AA201" s="33">
        <f>IF(B201="","",IFERROR(INDEX(Channels!$S$5:$S$18,MATCH(IF(E201="",DefaultChannel,E201),Channels!$A$5:$A$18,0)),0))</f>
        <v>0</v>
      </c>
      <c r="AB201" s="20">
        <f>IF(B201="","",IFERROR(INDEX(Channels!$T$5:$T$18,MATCH(IF(E201="",DefaultChannel,E201),Channels!$A$5:$A$18,0)),0))</f>
        <v>0</v>
      </c>
      <c r="AC201" s="42">
        <f>IF(B201="","",IFERROR(INDEX(Channels!$O$5:$O$18,MATCH(IF(E201="",DefaultChannel,E201),Channels!$A$5:$A$18,0)),"No"))</f>
        <v>0</v>
      </c>
      <c r="AD201" s="20">
        <f>IF(B201="","",ROUND((V201+IF(AC201="Yes",IF(I201="",0,I201),0))*AA201+AB201,2))</f>
        <v>0</v>
      </c>
      <c r="AE201" s="20">
        <f>IF(B201="","",IF(K201&lt;&gt;"",K201,AD201))</f>
        <v>0</v>
      </c>
      <c r="AF201" s="20">
        <f>IF(B201="","",IF(K201="","",ROUND(K201-AD201,2)))</f>
        <v>0</v>
      </c>
      <c r="AG201" s="20">
        <f>IF(B201="","",ROUND(V201-Y201-AE201-Z201,2))</f>
        <v>0</v>
      </c>
      <c r="AH201" s="33">
        <f>IF(B201="","",IF(OR(V201="",V201=0),"",AG201/V201))</f>
        <v>0</v>
      </c>
      <c r="AI201" s="33">
        <f>IF(C201="","",IFERROR(INDEX(Products!$AW$5:$AW$304,MATCH(C201,Products!$A$5:$A$304,0)),""))</f>
        <v>0</v>
      </c>
      <c r="AJ201" s="33">
        <f>IF(B201="","",IF(OR(AH201="",AI201=""),"",AH201-AI201))</f>
        <v>0</v>
      </c>
      <c r="AK201" s="41">
        <f>IF(B201="","",IFERROR(ROUND(IF(D201="",0,D201)*INDEX(Products!$X$5:$X$304,MATCH(C201,Products!$A$5:$A$304,0))/60,2),""))</f>
        <v>0</v>
      </c>
      <c r="AL201" s="20">
        <f>IF(B201="","",IF(OR(AK201="",AK201=0),"",ROUND(AG201/AK201,2)))</f>
        <v>0</v>
      </c>
      <c r="AM201" s="43">
        <f>IF(B201="","",IF(C201="","Add - which product?",IF(AG201&lt;0,"Loss - this order cost you money",IF(M201="Refunded","Refunded - check why",IF(AND(AF201&lt;&gt;"",AF201&gt;0.25),"Check - fees higher than your settings",IF(Z201&gt;1,"Check - postage is eating the margin",IF(AND(AH201&lt;&gt;"",AH201&lt;MarginWarning),"Low margin on this order","OK")))))) )</f>
        <v>0</v>
      </c>
    </row>
    <row r="202" spans="1:39">
      <c r="A202" s="38">
        <f>IF(B202="","",SalePrefix&amp;TEXT(ROW()-4,"0000"))</f>
        <v>0</v>
      </c>
      <c r="Q202" s="13">
        <f>IF(C202="","",IFERROR(INDEX(Products!$B$5:$B$304,MATCH(C202,Products!$A$5:$A$304,0)),"Bundle or deleted"))</f>
        <v>0</v>
      </c>
      <c r="R202" s="13">
        <f>IF(B202="","",TEXT(B202,"yyyy-mm"))</f>
        <v>0</v>
      </c>
      <c r="S202" s="20">
        <f>IF(C202="","",IFERROR(INDEX(Products!$AR$5:$AR$304,MATCH(C202,Products!$A$5:$A$304,0)),""))</f>
        <v>0</v>
      </c>
      <c r="T202" s="20">
        <f>IF(B202="","",IF(F202&lt;&gt;"",F202,IF(S202="",0,S202)))</f>
        <v>0</v>
      </c>
      <c r="U202" s="20">
        <f>IF(B202="","",ROUND(IF(D202="",0,D202)*T202,2))</f>
        <v>0</v>
      </c>
      <c r="V202" s="20">
        <f>IF(B202="","",ROUND(U202-IF(G202="",0,G202)-IF(L202="",0,L202),2))</f>
        <v>0</v>
      </c>
      <c r="W202" s="20">
        <f>IF(C202="","",IFERROR(INDEX(Products!$AT$5:$AT$304,MATCH(C202,Products!$A$5:$A$304,0)),""))</f>
        <v>0</v>
      </c>
      <c r="X202" s="20">
        <f>IF(C202="","",IFERROR(INDEX(Products!$AG$5:$AG$304,MATCH(C202,Products!$A$5:$A$304,0)),""))</f>
        <v>0</v>
      </c>
      <c r="Y202" s="20">
        <f>IF(B202="","",ROUND(IF(D202="",0,D202)*MAX(0,IF(W202="",0,W202)-IF(X202="",0,X202)),2))</f>
        <v>0</v>
      </c>
      <c r="Z202" s="20">
        <f>IF(B202="","",ROUND(MAX(0,IF(J202="",0,J202)-IF(I202="",0,I202)),2))</f>
        <v>0</v>
      </c>
      <c r="AA202" s="33">
        <f>IF(B202="","",IFERROR(INDEX(Channels!$S$5:$S$18,MATCH(IF(E202="",DefaultChannel,E202),Channels!$A$5:$A$18,0)),0))</f>
        <v>0</v>
      </c>
      <c r="AB202" s="20">
        <f>IF(B202="","",IFERROR(INDEX(Channels!$T$5:$T$18,MATCH(IF(E202="",DefaultChannel,E202),Channels!$A$5:$A$18,0)),0))</f>
        <v>0</v>
      </c>
      <c r="AC202" s="42">
        <f>IF(B202="","",IFERROR(INDEX(Channels!$O$5:$O$18,MATCH(IF(E202="",DefaultChannel,E202),Channels!$A$5:$A$18,0)),"No"))</f>
        <v>0</v>
      </c>
      <c r="AD202" s="20">
        <f>IF(B202="","",ROUND((V202+IF(AC202="Yes",IF(I202="",0,I202),0))*AA202+AB202,2))</f>
        <v>0</v>
      </c>
      <c r="AE202" s="20">
        <f>IF(B202="","",IF(K202&lt;&gt;"",K202,AD202))</f>
        <v>0</v>
      </c>
      <c r="AF202" s="20">
        <f>IF(B202="","",IF(K202="","",ROUND(K202-AD202,2)))</f>
        <v>0</v>
      </c>
      <c r="AG202" s="20">
        <f>IF(B202="","",ROUND(V202-Y202-AE202-Z202,2))</f>
        <v>0</v>
      </c>
      <c r="AH202" s="33">
        <f>IF(B202="","",IF(OR(V202="",V202=0),"",AG202/V202))</f>
        <v>0</v>
      </c>
      <c r="AI202" s="33">
        <f>IF(C202="","",IFERROR(INDEX(Products!$AW$5:$AW$304,MATCH(C202,Products!$A$5:$A$304,0)),""))</f>
        <v>0</v>
      </c>
      <c r="AJ202" s="33">
        <f>IF(B202="","",IF(OR(AH202="",AI202=""),"",AH202-AI202))</f>
        <v>0</v>
      </c>
      <c r="AK202" s="41">
        <f>IF(B202="","",IFERROR(ROUND(IF(D202="",0,D202)*INDEX(Products!$X$5:$X$304,MATCH(C202,Products!$A$5:$A$304,0))/60,2),""))</f>
        <v>0</v>
      </c>
      <c r="AL202" s="20">
        <f>IF(B202="","",IF(OR(AK202="",AK202=0),"",ROUND(AG202/AK202,2)))</f>
        <v>0</v>
      </c>
      <c r="AM202" s="43">
        <f>IF(B202="","",IF(C202="","Add - which product?",IF(AG202&lt;0,"Loss - this order cost you money",IF(M202="Refunded","Refunded - check why",IF(AND(AF202&lt;&gt;"",AF202&gt;0.25),"Check - fees higher than your settings",IF(Z202&gt;1,"Check - postage is eating the margin",IF(AND(AH202&lt;&gt;"",AH202&lt;MarginWarning),"Low margin on this order","OK")))))) )</f>
        <v>0</v>
      </c>
    </row>
    <row r="203" spans="1:39">
      <c r="A203" s="38">
        <f>IF(B203="","",SalePrefix&amp;TEXT(ROW()-4,"0000"))</f>
        <v>0</v>
      </c>
      <c r="Q203" s="13">
        <f>IF(C203="","",IFERROR(INDEX(Products!$B$5:$B$304,MATCH(C203,Products!$A$5:$A$304,0)),"Bundle or deleted"))</f>
        <v>0</v>
      </c>
      <c r="R203" s="13">
        <f>IF(B203="","",TEXT(B203,"yyyy-mm"))</f>
        <v>0</v>
      </c>
      <c r="S203" s="20">
        <f>IF(C203="","",IFERROR(INDEX(Products!$AR$5:$AR$304,MATCH(C203,Products!$A$5:$A$304,0)),""))</f>
        <v>0</v>
      </c>
      <c r="T203" s="20">
        <f>IF(B203="","",IF(F203&lt;&gt;"",F203,IF(S203="",0,S203)))</f>
        <v>0</v>
      </c>
      <c r="U203" s="20">
        <f>IF(B203="","",ROUND(IF(D203="",0,D203)*T203,2))</f>
        <v>0</v>
      </c>
      <c r="V203" s="20">
        <f>IF(B203="","",ROUND(U203-IF(G203="",0,G203)-IF(L203="",0,L203),2))</f>
        <v>0</v>
      </c>
      <c r="W203" s="20">
        <f>IF(C203="","",IFERROR(INDEX(Products!$AT$5:$AT$304,MATCH(C203,Products!$A$5:$A$304,0)),""))</f>
        <v>0</v>
      </c>
      <c r="X203" s="20">
        <f>IF(C203="","",IFERROR(INDEX(Products!$AG$5:$AG$304,MATCH(C203,Products!$A$5:$A$304,0)),""))</f>
        <v>0</v>
      </c>
      <c r="Y203" s="20">
        <f>IF(B203="","",ROUND(IF(D203="",0,D203)*MAX(0,IF(W203="",0,W203)-IF(X203="",0,X203)),2))</f>
        <v>0</v>
      </c>
      <c r="Z203" s="20">
        <f>IF(B203="","",ROUND(MAX(0,IF(J203="",0,J203)-IF(I203="",0,I203)),2))</f>
        <v>0</v>
      </c>
      <c r="AA203" s="33">
        <f>IF(B203="","",IFERROR(INDEX(Channels!$S$5:$S$18,MATCH(IF(E203="",DefaultChannel,E203),Channels!$A$5:$A$18,0)),0))</f>
        <v>0</v>
      </c>
      <c r="AB203" s="20">
        <f>IF(B203="","",IFERROR(INDEX(Channels!$T$5:$T$18,MATCH(IF(E203="",DefaultChannel,E203),Channels!$A$5:$A$18,0)),0))</f>
        <v>0</v>
      </c>
      <c r="AC203" s="42">
        <f>IF(B203="","",IFERROR(INDEX(Channels!$O$5:$O$18,MATCH(IF(E203="",DefaultChannel,E203),Channels!$A$5:$A$18,0)),"No"))</f>
        <v>0</v>
      </c>
      <c r="AD203" s="20">
        <f>IF(B203="","",ROUND((V203+IF(AC203="Yes",IF(I203="",0,I203),0))*AA203+AB203,2))</f>
        <v>0</v>
      </c>
      <c r="AE203" s="20">
        <f>IF(B203="","",IF(K203&lt;&gt;"",K203,AD203))</f>
        <v>0</v>
      </c>
      <c r="AF203" s="20">
        <f>IF(B203="","",IF(K203="","",ROUND(K203-AD203,2)))</f>
        <v>0</v>
      </c>
      <c r="AG203" s="20">
        <f>IF(B203="","",ROUND(V203-Y203-AE203-Z203,2))</f>
        <v>0</v>
      </c>
      <c r="AH203" s="33">
        <f>IF(B203="","",IF(OR(V203="",V203=0),"",AG203/V203))</f>
        <v>0</v>
      </c>
      <c r="AI203" s="33">
        <f>IF(C203="","",IFERROR(INDEX(Products!$AW$5:$AW$304,MATCH(C203,Products!$A$5:$A$304,0)),""))</f>
        <v>0</v>
      </c>
      <c r="AJ203" s="33">
        <f>IF(B203="","",IF(OR(AH203="",AI203=""),"",AH203-AI203))</f>
        <v>0</v>
      </c>
      <c r="AK203" s="41">
        <f>IF(B203="","",IFERROR(ROUND(IF(D203="",0,D203)*INDEX(Products!$X$5:$X$304,MATCH(C203,Products!$A$5:$A$304,0))/60,2),""))</f>
        <v>0</v>
      </c>
      <c r="AL203" s="20">
        <f>IF(B203="","",IF(OR(AK203="",AK203=0),"",ROUND(AG203/AK203,2)))</f>
        <v>0</v>
      </c>
      <c r="AM203" s="43">
        <f>IF(B203="","",IF(C203="","Add - which product?",IF(AG203&lt;0,"Loss - this order cost you money",IF(M203="Refunded","Refunded - check why",IF(AND(AF203&lt;&gt;"",AF203&gt;0.25),"Check - fees higher than your settings",IF(Z203&gt;1,"Check - postage is eating the margin",IF(AND(AH203&lt;&gt;"",AH203&lt;MarginWarning),"Low margin on this order","OK")))))) )</f>
        <v>0</v>
      </c>
    </row>
    <row r="204" spans="1:39">
      <c r="A204" s="38">
        <f>IF(B204="","",SalePrefix&amp;TEXT(ROW()-4,"0000"))</f>
        <v>0</v>
      </c>
      <c r="Q204" s="13">
        <f>IF(C204="","",IFERROR(INDEX(Products!$B$5:$B$304,MATCH(C204,Products!$A$5:$A$304,0)),"Bundle or deleted"))</f>
        <v>0</v>
      </c>
      <c r="R204" s="13">
        <f>IF(B204="","",TEXT(B204,"yyyy-mm"))</f>
        <v>0</v>
      </c>
      <c r="S204" s="20">
        <f>IF(C204="","",IFERROR(INDEX(Products!$AR$5:$AR$304,MATCH(C204,Products!$A$5:$A$304,0)),""))</f>
        <v>0</v>
      </c>
      <c r="T204" s="20">
        <f>IF(B204="","",IF(F204&lt;&gt;"",F204,IF(S204="",0,S204)))</f>
        <v>0</v>
      </c>
      <c r="U204" s="20">
        <f>IF(B204="","",ROUND(IF(D204="",0,D204)*T204,2))</f>
        <v>0</v>
      </c>
      <c r="V204" s="20">
        <f>IF(B204="","",ROUND(U204-IF(G204="",0,G204)-IF(L204="",0,L204),2))</f>
        <v>0</v>
      </c>
      <c r="W204" s="20">
        <f>IF(C204="","",IFERROR(INDEX(Products!$AT$5:$AT$304,MATCH(C204,Products!$A$5:$A$304,0)),""))</f>
        <v>0</v>
      </c>
      <c r="X204" s="20">
        <f>IF(C204="","",IFERROR(INDEX(Products!$AG$5:$AG$304,MATCH(C204,Products!$A$5:$A$304,0)),""))</f>
        <v>0</v>
      </c>
      <c r="Y204" s="20">
        <f>IF(B204="","",ROUND(IF(D204="",0,D204)*MAX(0,IF(W204="",0,W204)-IF(X204="",0,X204)),2))</f>
        <v>0</v>
      </c>
      <c r="Z204" s="20">
        <f>IF(B204="","",ROUND(MAX(0,IF(J204="",0,J204)-IF(I204="",0,I204)),2))</f>
        <v>0</v>
      </c>
      <c r="AA204" s="33">
        <f>IF(B204="","",IFERROR(INDEX(Channels!$S$5:$S$18,MATCH(IF(E204="",DefaultChannel,E204),Channels!$A$5:$A$18,0)),0))</f>
        <v>0</v>
      </c>
      <c r="AB204" s="20">
        <f>IF(B204="","",IFERROR(INDEX(Channels!$T$5:$T$18,MATCH(IF(E204="",DefaultChannel,E204),Channels!$A$5:$A$18,0)),0))</f>
        <v>0</v>
      </c>
      <c r="AC204" s="42">
        <f>IF(B204="","",IFERROR(INDEX(Channels!$O$5:$O$18,MATCH(IF(E204="",DefaultChannel,E204),Channels!$A$5:$A$18,0)),"No"))</f>
        <v>0</v>
      </c>
      <c r="AD204" s="20">
        <f>IF(B204="","",ROUND((V204+IF(AC204="Yes",IF(I204="",0,I204),0))*AA204+AB204,2))</f>
        <v>0</v>
      </c>
      <c r="AE204" s="20">
        <f>IF(B204="","",IF(K204&lt;&gt;"",K204,AD204))</f>
        <v>0</v>
      </c>
      <c r="AF204" s="20">
        <f>IF(B204="","",IF(K204="","",ROUND(K204-AD204,2)))</f>
        <v>0</v>
      </c>
      <c r="AG204" s="20">
        <f>IF(B204="","",ROUND(V204-Y204-AE204-Z204,2))</f>
        <v>0</v>
      </c>
      <c r="AH204" s="33">
        <f>IF(B204="","",IF(OR(V204="",V204=0),"",AG204/V204))</f>
        <v>0</v>
      </c>
      <c r="AI204" s="33">
        <f>IF(C204="","",IFERROR(INDEX(Products!$AW$5:$AW$304,MATCH(C204,Products!$A$5:$A$304,0)),""))</f>
        <v>0</v>
      </c>
      <c r="AJ204" s="33">
        <f>IF(B204="","",IF(OR(AH204="",AI204=""),"",AH204-AI204))</f>
        <v>0</v>
      </c>
      <c r="AK204" s="41">
        <f>IF(B204="","",IFERROR(ROUND(IF(D204="",0,D204)*INDEX(Products!$X$5:$X$304,MATCH(C204,Products!$A$5:$A$304,0))/60,2),""))</f>
        <v>0</v>
      </c>
      <c r="AL204" s="20">
        <f>IF(B204="","",IF(OR(AK204="",AK204=0),"",ROUND(AG204/AK204,2)))</f>
        <v>0</v>
      </c>
      <c r="AM204" s="43">
        <f>IF(B204="","",IF(C204="","Add - which product?",IF(AG204&lt;0,"Loss - this order cost you money",IF(M204="Refunded","Refunded - check why",IF(AND(AF204&lt;&gt;"",AF204&gt;0.25),"Check - fees higher than your settings",IF(Z204&gt;1,"Check - postage is eating the margin",IF(AND(AH204&lt;&gt;"",AH204&lt;MarginWarning),"Low margin on this order","OK")))))) )</f>
        <v>0</v>
      </c>
    </row>
    <row r="205" spans="1:39">
      <c r="A205" s="38">
        <f>IF(B205="","",SalePrefix&amp;TEXT(ROW()-4,"0000"))</f>
        <v>0</v>
      </c>
      <c r="Q205" s="13">
        <f>IF(C205="","",IFERROR(INDEX(Products!$B$5:$B$304,MATCH(C205,Products!$A$5:$A$304,0)),"Bundle or deleted"))</f>
        <v>0</v>
      </c>
      <c r="R205" s="13">
        <f>IF(B205="","",TEXT(B205,"yyyy-mm"))</f>
        <v>0</v>
      </c>
      <c r="S205" s="20">
        <f>IF(C205="","",IFERROR(INDEX(Products!$AR$5:$AR$304,MATCH(C205,Products!$A$5:$A$304,0)),""))</f>
        <v>0</v>
      </c>
      <c r="T205" s="20">
        <f>IF(B205="","",IF(F205&lt;&gt;"",F205,IF(S205="",0,S205)))</f>
        <v>0</v>
      </c>
      <c r="U205" s="20">
        <f>IF(B205="","",ROUND(IF(D205="",0,D205)*T205,2))</f>
        <v>0</v>
      </c>
      <c r="V205" s="20">
        <f>IF(B205="","",ROUND(U205-IF(G205="",0,G205)-IF(L205="",0,L205),2))</f>
        <v>0</v>
      </c>
      <c r="W205" s="20">
        <f>IF(C205="","",IFERROR(INDEX(Products!$AT$5:$AT$304,MATCH(C205,Products!$A$5:$A$304,0)),""))</f>
        <v>0</v>
      </c>
      <c r="X205" s="20">
        <f>IF(C205="","",IFERROR(INDEX(Products!$AG$5:$AG$304,MATCH(C205,Products!$A$5:$A$304,0)),""))</f>
        <v>0</v>
      </c>
      <c r="Y205" s="20">
        <f>IF(B205="","",ROUND(IF(D205="",0,D205)*MAX(0,IF(W205="",0,W205)-IF(X205="",0,X205)),2))</f>
        <v>0</v>
      </c>
      <c r="Z205" s="20">
        <f>IF(B205="","",ROUND(MAX(0,IF(J205="",0,J205)-IF(I205="",0,I205)),2))</f>
        <v>0</v>
      </c>
      <c r="AA205" s="33">
        <f>IF(B205="","",IFERROR(INDEX(Channels!$S$5:$S$18,MATCH(IF(E205="",DefaultChannel,E205),Channels!$A$5:$A$18,0)),0))</f>
        <v>0</v>
      </c>
      <c r="AB205" s="20">
        <f>IF(B205="","",IFERROR(INDEX(Channels!$T$5:$T$18,MATCH(IF(E205="",DefaultChannel,E205),Channels!$A$5:$A$18,0)),0))</f>
        <v>0</v>
      </c>
      <c r="AC205" s="42">
        <f>IF(B205="","",IFERROR(INDEX(Channels!$O$5:$O$18,MATCH(IF(E205="",DefaultChannel,E205),Channels!$A$5:$A$18,0)),"No"))</f>
        <v>0</v>
      </c>
      <c r="AD205" s="20">
        <f>IF(B205="","",ROUND((V205+IF(AC205="Yes",IF(I205="",0,I205),0))*AA205+AB205,2))</f>
        <v>0</v>
      </c>
      <c r="AE205" s="20">
        <f>IF(B205="","",IF(K205&lt;&gt;"",K205,AD205))</f>
        <v>0</v>
      </c>
      <c r="AF205" s="20">
        <f>IF(B205="","",IF(K205="","",ROUND(K205-AD205,2)))</f>
        <v>0</v>
      </c>
      <c r="AG205" s="20">
        <f>IF(B205="","",ROUND(V205-Y205-AE205-Z205,2))</f>
        <v>0</v>
      </c>
      <c r="AH205" s="33">
        <f>IF(B205="","",IF(OR(V205="",V205=0),"",AG205/V205))</f>
        <v>0</v>
      </c>
      <c r="AI205" s="33">
        <f>IF(C205="","",IFERROR(INDEX(Products!$AW$5:$AW$304,MATCH(C205,Products!$A$5:$A$304,0)),""))</f>
        <v>0</v>
      </c>
      <c r="AJ205" s="33">
        <f>IF(B205="","",IF(OR(AH205="",AI205=""),"",AH205-AI205))</f>
        <v>0</v>
      </c>
      <c r="AK205" s="41">
        <f>IF(B205="","",IFERROR(ROUND(IF(D205="",0,D205)*INDEX(Products!$X$5:$X$304,MATCH(C205,Products!$A$5:$A$304,0))/60,2),""))</f>
        <v>0</v>
      </c>
      <c r="AL205" s="20">
        <f>IF(B205="","",IF(OR(AK205="",AK205=0),"",ROUND(AG205/AK205,2)))</f>
        <v>0</v>
      </c>
      <c r="AM205" s="43">
        <f>IF(B205="","",IF(C205="","Add - which product?",IF(AG205&lt;0,"Loss - this order cost you money",IF(M205="Refunded","Refunded - check why",IF(AND(AF205&lt;&gt;"",AF205&gt;0.25),"Check - fees higher than your settings",IF(Z205&gt;1,"Check - postage is eating the margin",IF(AND(AH205&lt;&gt;"",AH205&lt;MarginWarning),"Low margin on this order","OK")))))) )</f>
        <v>0</v>
      </c>
    </row>
    <row r="206" spans="1:39">
      <c r="A206" s="38">
        <f>IF(B206="","",SalePrefix&amp;TEXT(ROW()-4,"0000"))</f>
        <v>0</v>
      </c>
      <c r="Q206" s="13">
        <f>IF(C206="","",IFERROR(INDEX(Products!$B$5:$B$304,MATCH(C206,Products!$A$5:$A$304,0)),"Bundle or deleted"))</f>
        <v>0</v>
      </c>
      <c r="R206" s="13">
        <f>IF(B206="","",TEXT(B206,"yyyy-mm"))</f>
        <v>0</v>
      </c>
      <c r="S206" s="20">
        <f>IF(C206="","",IFERROR(INDEX(Products!$AR$5:$AR$304,MATCH(C206,Products!$A$5:$A$304,0)),""))</f>
        <v>0</v>
      </c>
      <c r="T206" s="20">
        <f>IF(B206="","",IF(F206&lt;&gt;"",F206,IF(S206="",0,S206)))</f>
        <v>0</v>
      </c>
      <c r="U206" s="20">
        <f>IF(B206="","",ROUND(IF(D206="",0,D206)*T206,2))</f>
        <v>0</v>
      </c>
      <c r="V206" s="20">
        <f>IF(B206="","",ROUND(U206-IF(G206="",0,G206)-IF(L206="",0,L206),2))</f>
        <v>0</v>
      </c>
      <c r="W206" s="20">
        <f>IF(C206="","",IFERROR(INDEX(Products!$AT$5:$AT$304,MATCH(C206,Products!$A$5:$A$304,0)),""))</f>
        <v>0</v>
      </c>
      <c r="X206" s="20">
        <f>IF(C206="","",IFERROR(INDEX(Products!$AG$5:$AG$304,MATCH(C206,Products!$A$5:$A$304,0)),""))</f>
        <v>0</v>
      </c>
      <c r="Y206" s="20">
        <f>IF(B206="","",ROUND(IF(D206="",0,D206)*MAX(0,IF(W206="",0,W206)-IF(X206="",0,X206)),2))</f>
        <v>0</v>
      </c>
      <c r="Z206" s="20">
        <f>IF(B206="","",ROUND(MAX(0,IF(J206="",0,J206)-IF(I206="",0,I206)),2))</f>
        <v>0</v>
      </c>
      <c r="AA206" s="33">
        <f>IF(B206="","",IFERROR(INDEX(Channels!$S$5:$S$18,MATCH(IF(E206="",DefaultChannel,E206),Channels!$A$5:$A$18,0)),0))</f>
        <v>0</v>
      </c>
      <c r="AB206" s="20">
        <f>IF(B206="","",IFERROR(INDEX(Channels!$T$5:$T$18,MATCH(IF(E206="",DefaultChannel,E206),Channels!$A$5:$A$18,0)),0))</f>
        <v>0</v>
      </c>
      <c r="AC206" s="42">
        <f>IF(B206="","",IFERROR(INDEX(Channels!$O$5:$O$18,MATCH(IF(E206="",DefaultChannel,E206),Channels!$A$5:$A$18,0)),"No"))</f>
        <v>0</v>
      </c>
      <c r="AD206" s="20">
        <f>IF(B206="","",ROUND((V206+IF(AC206="Yes",IF(I206="",0,I206),0))*AA206+AB206,2))</f>
        <v>0</v>
      </c>
      <c r="AE206" s="20">
        <f>IF(B206="","",IF(K206&lt;&gt;"",K206,AD206))</f>
        <v>0</v>
      </c>
      <c r="AF206" s="20">
        <f>IF(B206="","",IF(K206="","",ROUND(K206-AD206,2)))</f>
        <v>0</v>
      </c>
      <c r="AG206" s="20">
        <f>IF(B206="","",ROUND(V206-Y206-AE206-Z206,2))</f>
        <v>0</v>
      </c>
      <c r="AH206" s="33">
        <f>IF(B206="","",IF(OR(V206="",V206=0),"",AG206/V206))</f>
        <v>0</v>
      </c>
      <c r="AI206" s="33">
        <f>IF(C206="","",IFERROR(INDEX(Products!$AW$5:$AW$304,MATCH(C206,Products!$A$5:$A$304,0)),""))</f>
        <v>0</v>
      </c>
      <c r="AJ206" s="33">
        <f>IF(B206="","",IF(OR(AH206="",AI206=""),"",AH206-AI206))</f>
        <v>0</v>
      </c>
      <c r="AK206" s="41">
        <f>IF(B206="","",IFERROR(ROUND(IF(D206="",0,D206)*INDEX(Products!$X$5:$X$304,MATCH(C206,Products!$A$5:$A$304,0))/60,2),""))</f>
        <v>0</v>
      </c>
      <c r="AL206" s="20">
        <f>IF(B206="","",IF(OR(AK206="",AK206=0),"",ROUND(AG206/AK206,2)))</f>
        <v>0</v>
      </c>
      <c r="AM206" s="43">
        <f>IF(B206="","",IF(C206="","Add - which product?",IF(AG206&lt;0,"Loss - this order cost you money",IF(M206="Refunded","Refunded - check why",IF(AND(AF206&lt;&gt;"",AF206&gt;0.25),"Check - fees higher than your settings",IF(Z206&gt;1,"Check - postage is eating the margin",IF(AND(AH206&lt;&gt;"",AH206&lt;MarginWarning),"Low margin on this order","OK")))))) )</f>
        <v>0</v>
      </c>
    </row>
    <row r="207" spans="1:39">
      <c r="A207" s="38">
        <f>IF(B207="","",SalePrefix&amp;TEXT(ROW()-4,"0000"))</f>
        <v>0</v>
      </c>
      <c r="Q207" s="13">
        <f>IF(C207="","",IFERROR(INDEX(Products!$B$5:$B$304,MATCH(C207,Products!$A$5:$A$304,0)),"Bundle or deleted"))</f>
        <v>0</v>
      </c>
      <c r="R207" s="13">
        <f>IF(B207="","",TEXT(B207,"yyyy-mm"))</f>
        <v>0</v>
      </c>
      <c r="S207" s="20">
        <f>IF(C207="","",IFERROR(INDEX(Products!$AR$5:$AR$304,MATCH(C207,Products!$A$5:$A$304,0)),""))</f>
        <v>0</v>
      </c>
      <c r="T207" s="20">
        <f>IF(B207="","",IF(F207&lt;&gt;"",F207,IF(S207="",0,S207)))</f>
        <v>0</v>
      </c>
      <c r="U207" s="20">
        <f>IF(B207="","",ROUND(IF(D207="",0,D207)*T207,2))</f>
        <v>0</v>
      </c>
      <c r="V207" s="20">
        <f>IF(B207="","",ROUND(U207-IF(G207="",0,G207)-IF(L207="",0,L207),2))</f>
        <v>0</v>
      </c>
      <c r="W207" s="20">
        <f>IF(C207="","",IFERROR(INDEX(Products!$AT$5:$AT$304,MATCH(C207,Products!$A$5:$A$304,0)),""))</f>
        <v>0</v>
      </c>
      <c r="X207" s="20">
        <f>IF(C207="","",IFERROR(INDEX(Products!$AG$5:$AG$304,MATCH(C207,Products!$A$5:$A$304,0)),""))</f>
        <v>0</v>
      </c>
      <c r="Y207" s="20">
        <f>IF(B207="","",ROUND(IF(D207="",0,D207)*MAX(0,IF(W207="",0,W207)-IF(X207="",0,X207)),2))</f>
        <v>0</v>
      </c>
      <c r="Z207" s="20">
        <f>IF(B207="","",ROUND(MAX(0,IF(J207="",0,J207)-IF(I207="",0,I207)),2))</f>
        <v>0</v>
      </c>
      <c r="AA207" s="33">
        <f>IF(B207="","",IFERROR(INDEX(Channels!$S$5:$S$18,MATCH(IF(E207="",DefaultChannel,E207),Channels!$A$5:$A$18,0)),0))</f>
        <v>0</v>
      </c>
      <c r="AB207" s="20">
        <f>IF(B207="","",IFERROR(INDEX(Channels!$T$5:$T$18,MATCH(IF(E207="",DefaultChannel,E207),Channels!$A$5:$A$18,0)),0))</f>
        <v>0</v>
      </c>
      <c r="AC207" s="42">
        <f>IF(B207="","",IFERROR(INDEX(Channels!$O$5:$O$18,MATCH(IF(E207="",DefaultChannel,E207),Channels!$A$5:$A$18,0)),"No"))</f>
        <v>0</v>
      </c>
      <c r="AD207" s="20">
        <f>IF(B207="","",ROUND((V207+IF(AC207="Yes",IF(I207="",0,I207),0))*AA207+AB207,2))</f>
        <v>0</v>
      </c>
      <c r="AE207" s="20">
        <f>IF(B207="","",IF(K207&lt;&gt;"",K207,AD207))</f>
        <v>0</v>
      </c>
      <c r="AF207" s="20">
        <f>IF(B207="","",IF(K207="","",ROUND(K207-AD207,2)))</f>
        <v>0</v>
      </c>
      <c r="AG207" s="20">
        <f>IF(B207="","",ROUND(V207-Y207-AE207-Z207,2))</f>
        <v>0</v>
      </c>
      <c r="AH207" s="33">
        <f>IF(B207="","",IF(OR(V207="",V207=0),"",AG207/V207))</f>
        <v>0</v>
      </c>
      <c r="AI207" s="33">
        <f>IF(C207="","",IFERROR(INDEX(Products!$AW$5:$AW$304,MATCH(C207,Products!$A$5:$A$304,0)),""))</f>
        <v>0</v>
      </c>
      <c r="AJ207" s="33">
        <f>IF(B207="","",IF(OR(AH207="",AI207=""),"",AH207-AI207))</f>
        <v>0</v>
      </c>
      <c r="AK207" s="41">
        <f>IF(B207="","",IFERROR(ROUND(IF(D207="",0,D207)*INDEX(Products!$X$5:$X$304,MATCH(C207,Products!$A$5:$A$304,0))/60,2),""))</f>
        <v>0</v>
      </c>
      <c r="AL207" s="20">
        <f>IF(B207="","",IF(OR(AK207="",AK207=0),"",ROUND(AG207/AK207,2)))</f>
        <v>0</v>
      </c>
      <c r="AM207" s="43">
        <f>IF(B207="","",IF(C207="","Add - which product?",IF(AG207&lt;0,"Loss - this order cost you money",IF(M207="Refunded","Refunded - check why",IF(AND(AF207&lt;&gt;"",AF207&gt;0.25),"Check - fees higher than your settings",IF(Z207&gt;1,"Check - postage is eating the margin",IF(AND(AH207&lt;&gt;"",AH207&lt;MarginWarning),"Low margin on this order","OK")))))) )</f>
        <v>0</v>
      </c>
    </row>
    <row r="208" spans="1:39">
      <c r="A208" s="38">
        <f>IF(B208="","",SalePrefix&amp;TEXT(ROW()-4,"0000"))</f>
        <v>0</v>
      </c>
      <c r="Q208" s="13">
        <f>IF(C208="","",IFERROR(INDEX(Products!$B$5:$B$304,MATCH(C208,Products!$A$5:$A$304,0)),"Bundle or deleted"))</f>
        <v>0</v>
      </c>
      <c r="R208" s="13">
        <f>IF(B208="","",TEXT(B208,"yyyy-mm"))</f>
        <v>0</v>
      </c>
      <c r="S208" s="20">
        <f>IF(C208="","",IFERROR(INDEX(Products!$AR$5:$AR$304,MATCH(C208,Products!$A$5:$A$304,0)),""))</f>
        <v>0</v>
      </c>
      <c r="T208" s="20">
        <f>IF(B208="","",IF(F208&lt;&gt;"",F208,IF(S208="",0,S208)))</f>
        <v>0</v>
      </c>
      <c r="U208" s="20">
        <f>IF(B208="","",ROUND(IF(D208="",0,D208)*T208,2))</f>
        <v>0</v>
      </c>
      <c r="V208" s="20">
        <f>IF(B208="","",ROUND(U208-IF(G208="",0,G208)-IF(L208="",0,L208),2))</f>
        <v>0</v>
      </c>
      <c r="W208" s="20">
        <f>IF(C208="","",IFERROR(INDEX(Products!$AT$5:$AT$304,MATCH(C208,Products!$A$5:$A$304,0)),""))</f>
        <v>0</v>
      </c>
      <c r="X208" s="20">
        <f>IF(C208="","",IFERROR(INDEX(Products!$AG$5:$AG$304,MATCH(C208,Products!$A$5:$A$304,0)),""))</f>
        <v>0</v>
      </c>
      <c r="Y208" s="20">
        <f>IF(B208="","",ROUND(IF(D208="",0,D208)*MAX(0,IF(W208="",0,W208)-IF(X208="",0,X208)),2))</f>
        <v>0</v>
      </c>
      <c r="Z208" s="20">
        <f>IF(B208="","",ROUND(MAX(0,IF(J208="",0,J208)-IF(I208="",0,I208)),2))</f>
        <v>0</v>
      </c>
      <c r="AA208" s="33">
        <f>IF(B208="","",IFERROR(INDEX(Channels!$S$5:$S$18,MATCH(IF(E208="",DefaultChannel,E208),Channels!$A$5:$A$18,0)),0))</f>
        <v>0</v>
      </c>
      <c r="AB208" s="20">
        <f>IF(B208="","",IFERROR(INDEX(Channels!$T$5:$T$18,MATCH(IF(E208="",DefaultChannel,E208),Channels!$A$5:$A$18,0)),0))</f>
        <v>0</v>
      </c>
      <c r="AC208" s="42">
        <f>IF(B208="","",IFERROR(INDEX(Channels!$O$5:$O$18,MATCH(IF(E208="",DefaultChannel,E208),Channels!$A$5:$A$18,0)),"No"))</f>
        <v>0</v>
      </c>
      <c r="AD208" s="20">
        <f>IF(B208="","",ROUND((V208+IF(AC208="Yes",IF(I208="",0,I208),0))*AA208+AB208,2))</f>
        <v>0</v>
      </c>
      <c r="AE208" s="20">
        <f>IF(B208="","",IF(K208&lt;&gt;"",K208,AD208))</f>
        <v>0</v>
      </c>
      <c r="AF208" s="20">
        <f>IF(B208="","",IF(K208="","",ROUND(K208-AD208,2)))</f>
        <v>0</v>
      </c>
      <c r="AG208" s="20">
        <f>IF(B208="","",ROUND(V208-Y208-AE208-Z208,2))</f>
        <v>0</v>
      </c>
      <c r="AH208" s="33">
        <f>IF(B208="","",IF(OR(V208="",V208=0),"",AG208/V208))</f>
        <v>0</v>
      </c>
      <c r="AI208" s="33">
        <f>IF(C208="","",IFERROR(INDEX(Products!$AW$5:$AW$304,MATCH(C208,Products!$A$5:$A$304,0)),""))</f>
        <v>0</v>
      </c>
      <c r="AJ208" s="33">
        <f>IF(B208="","",IF(OR(AH208="",AI208=""),"",AH208-AI208))</f>
        <v>0</v>
      </c>
      <c r="AK208" s="41">
        <f>IF(B208="","",IFERROR(ROUND(IF(D208="",0,D208)*INDEX(Products!$X$5:$X$304,MATCH(C208,Products!$A$5:$A$304,0))/60,2),""))</f>
        <v>0</v>
      </c>
      <c r="AL208" s="20">
        <f>IF(B208="","",IF(OR(AK208="",AK208=0),"",ROUND(AG208/AK208,2)))</f>
        <v>0</v>
      </c>
      <c r="AM208" s="43">
        <f>IF(B208="","",IF(C208="","Add - which product?",IF(AG208&lt;0,"Loss - this order cost you money",IF(M208="Refunded","Refunded - check why",IF(AND(AF208&lt;&gt;"",AF208&gt;0.25),"Check - fees higher than your settings",IF(Z208&gt;1,"Check - postage is eating the margin",IF(AND(AH208&lt;&gt;"",AH208&lt;MarginWarning),"Low margin on this order","OK")))))) )</f>
        <v>0</v>
      </c>
    </row>
    <row r="209" spans="1:39">
      <c r="A209" s="38">
        <f>IF(B209="","",SalePrefix&amp;TEXT(ROW()-4,"0000"))</f>
        <v>0</v>
      </c>
      <c r="Q209" s="13">
        <f>IF(C209="","",IFERROR(INDEX(Products!$B$5:$B$304,MATCH(C209,Products!$A$5:$A$304,0)),"Bundle or deleted"))</f>
        <v>0</v>
      </c>
      <c r="R209" s="13">
        <f>IF(B209="","",TEXT(B209,"yyyy-mm"))</f>
        <v>0</v>
      </c>
      <c r="S209" s="20">
        <f>IF(C209="","",IFERROR(INDEX(Products!$AR$5:$AR$304,MATCH(C209,Products!$A$5:$A$304,0)),""))</f>
        <v>0</v>
      </c>
      <c r="T209" s="20">
        <f>IF(B209="","",IF(F209&lt;&gt;"",F209,IF(S209="",0,S209)))</f>
        <v>0</v>
      </c>
      <c r="U209" s="20">
        <f>IF(B209="","",ROUND(IF(D209="",0,D209)*T209,2))</f>
        <v>0</v>
      </c>
      <c r="V209" s="20">
        <f>IF(B209="","",ROUND(U209-IF(G209="",0,G209)-IF(L209="",0,L209),2))</f>
        <v>0</v>
      </c>
      <c r="W209" s="20">
        <f>IF(C209="","",IFERROR(INDEX(Products!$AT$5:$AT$304,MATCH(C209,Products!$A$5:$A$304,0)),""))</f>
        <v>0</v>
      </c>
      <c r="X209" s="20">
        <f>IF(C209="","",IFERROR(INDEX(Products!$AG$5:$AG$304,MATCH(C209,Products!$A$5:$A$304,0)),""))</f>
        <v>0</v>
      </c>
      <c r="Y209" s="20">
        <f>IF(B209="","",ROUND(IF(D209="",0,D209)*MAX(0,IF(W209="",0,W209)-IF(X209="",0,X209)),2))</f>
        <v>0</v>
      </c>
      <c r="Z209" s="20">
        <f>IF(B209="","",ROUND(MAX(0,IF(J209="",0,J209)-IF(I209="",0,I209)),2))</f>
        <v>0</v>
      </c>
      <c r="AA209" s="33">
        <f>IF(B209="","",IFERROR(INDEX(Channels!$S$5:$S$18,MATCH(IF(E209="",DefaultChannel,E209),Channels!$A$5:$A$18,0)),0))</f>
        <v>0</v>
      </c>
      <c r="AB209" s="20">
        <f>IF(B209="","",IFERROR(INDEX(Channels!$T$5:$T$18,MATCH(IF(E209="",DefaultChannel,E209),Channels!$A$5:$A$18,0)),0))</f>
        <v>0</v>
      </c>
      <c r="AC209" s="42">
        <f>IF(B209="","",IFERROR(INDEX(Channels!$O$5:$O$18,MATCH(IF(E209="",DefaultChannel,E209),Channels!$A$5:$A$18,0)),"No"))</f>
        <v>0</v>
      </c>
      <c r="AD209" s="20">
        <f>IF(B209="","",ROUND((V209+IF(AC209="Yes",IF(I209="",0,I209),0))*AA209+AB209,2))</f>
        <v>0</v>
      </c>
      <c r="AE209" s="20">
        <f>IF(B209="","",IF(K209&lt;&gt;"",K209,AD209))</f>
        <v>0</v>
      </c>
      <c r="AF209" s="20">
        <f>IF(B209="","",IF(K209="","",ROUND(K209-AD209,2)))</f>
        <v>0</v>
      </c>
      <c r="AG209" s="20">
        <f>IF(B209="","",ROUND(V209-Y209-AE209-Z209,2))</f>
        <v>0</v>
      </c>
      <c r="AH209" s="33">
        <f>IF(B209="","",IF(OR(V209="",V209=0),"",AG209/V209))</f>
        <v>0</v>
      </c>
      <c r="AI209" s="33">
        <f>IF(C209="","",IFERROR(INDEX(Products!$AW$5:$AW$304,MATCH(C209,Products!$A$5:$A$304,0)),""))</f>
        <v>0</v>
      </c>
      <c r="AJ209" s="33">
        <f>IF(B209="","",IF(OR(AH209="",AI209=""),"",AH209-AI209))</f>
        <v>0</v>
      </c>
      <c r="AK209" s="41">
        <f>IF(B209="","",IFERROR(ROUND(IF(D209="",0,D209)*INDEX(Products!$X$5:$X$304,MATCH(C209,Products!$A$5:$A$304,0))/60,2),""))</f>
        <v>0</v>
      </c>
      <c r="AL209" s="20">
        <f>IF(B209="","",IF(OR(AK209="",AK209=0),"",ROUND(AG209/AK209,2)))</f>
        <v>0</v>
      </c>
      <c r="AM209" s="43">
        <f>IF(B209="","",IF(C209="","Add - which product?",IF(AG209&lt;0,"Loss - this order cost you money",IF(M209="Refunded","Refunded - check why",IF(AND(AF209&lt;&gt;"",AF209&gt;0.25),"Check - fees higher than your settings",IF(Z209&gt;1,"Check - postage is eating the margin",IF(AND(AH209&lt;&gt;"",AH209&lt;MarginWarning),"Low margin on this order","OK")))))) )</f>
        <v>0</v>
      </c>
    </row>
    <row r="210" spans="1:39">
      <c r="A210" s="38">
        <f>IF(B210="","",SalePrefix&amp;TEXT(ROW()-4,"0000"))</f>
        <v>0</v>
      </c>
      <c r="Q210" s="13">
        <f>IF(C210="","",IFERROR(INDEX(Products!$B$5:$B$304,MATCH(C210,Products!$A$5:$A$304,0)),"Bundle or deleted"))</f>
        <v>0</v>
      </c>
      <c r="R210" s="13">
        <f>IF(B210="","",TEXT(B210,"yyyy-mm"))</f>
        <v>0</v>
      </c>
      <c r="S210" s="20">
        <f>IF(C210="","",IFERROR(INDEX(Products!$AR$5:$AR$304,MATCH(C210,Products!$A$5:$A$304,0)),""))</f>
        <v>0</v>
      </c>
      <c r="T210" s="20">
        <f>IF(B210="","",IF(F210&lt;&gt;"",F210,IF(S210="",0,S210)))</f>
        <v>0</v>
      </c>
      <c r="U210" s="20">
        <f>IF(B210="","",ROUND(IF(D210="",0,D210)*T210,2))</f>
        <v>0</v>
      </c>
      <c r="V210" s="20">
        <f>IF(B210="","",ROUND(U210-IF(G210="",0,G210)-IF(L210="",0,L210),2))</f>
        <v>0</v>
      </c>
      <c r="W210" s="20">
        <f>IF(C210="","",IFERROR(INDEX(Products!$AT$5:$AT$304,MATCH(C210,Products!$A$5:$A$304,0)),""))</f>
        <v>0</v>
      </c>
      <c r="X210" s="20">
        <f>IF(C210="","",IFERROR(INDEX(Products!$AG$5:$AG$304,MATCH(C210,Products!$A$5:$A$304,0)),""))</f>
        <v>0</v>
      </c>
      <c r="Y210" s="20">
        <f>IF(B210="","",ROUND(IF(D210="",0,D210)*MAX(0,IF(W210="",0,W210)-IF(X210="",0,X210)),2))</f>
        <v>0</v>
      </c>
      <c r="Z210" s="20">
        <f>IF(B210="","",ROUND(MAX(0,IF(J210="",0,J210)-IF(I210="",0,I210)),2))</f>
        <v>0</v>
      </c>
      <c r="AA210" s="33">
        <f>IF(B210="","",IFERROR(INDEX(Channels!$S$5:$S$18,MATCH(IF(E210="",DefaultChannel,E210),Channels!$A$5:$A$18,0)),0))</f>
        <v>0</v>
      </c>
      <c r="AB210" s="20">
        <f>IF(B210="","",IFERROR(INDEX(Channels!$T$5:$T$18,MATCH(IF(E210="",DefaultChannel,E210),Channels!$A$5:$A$18,0)),0))</f>
        <v>0</v>
      </c>
      <c r="AC210" s="42">
        <f>IF(B210="","",IFERROR(INDEX(Channels!$O$5:$O$18,MATCH(IF(E210="",DefaultChannel,E210),Channels!$A$5:$A$18,0)),"No"))</f>
        <v>0</v>
      </c>
      <c r="AD210" s="20">
        <f>IF(B210="","",ROUND((V210+IF(AC210="Yes",IF(I210="",0,I210),0))*AA210+AB210,2))</f>
        <v>0</v>
      </c>
      <c r="AE210" s="20">
        <f>IF(B210="","",IF(K210&lt;&gt;"",K210,AD210))</f>
        <v>0</v>
      </c>
      <c r="AF210" s="20">
        <f>IF(B210="","",IF(K210="","",ROUND(K210-AD210,2)))</f>
        <v>0</v>
      </c>
      <c r="AG210" s="20">
        <f>IF(B210="","",ROUND(V210-Y210-AE210-Z210,2))</f>
        <v>0</v>
      </c>
      <c r="AH210" s="33">
        <f>IF(B210="","",IF(OR(V210="",V210=0),"",AG210/V210))</f>
        <v>0</v>
      </c>
      <c r="AI210" s="33">
        <f>IF(C210="","",IFERROR(INDEX(Products!$AW$5:$AW$304,MATCH(C210,Products!$A$5:$A$304,0)),""))</f>
        <v>0</v>
      </c>
      <c r="AJ210" s="33">
        <f>IF(B210="","",IF(OR(AH210="",AI210=""),"",AH210-AI210))</f>
        <v>0</v>
      </c>
      <c r="AK210" s="41">
        <f>IF(B210="","",IFERROR(ROUND(IF(D210="",0,D210)*INDEX(Products!$X$5:$X$304,MATCH(C210,Products!$A$5:$A$304,0))/60,2),""))</f>
        <v>0</v>
      </c>
      <c r="AL210" s="20">
        <f>IF(B210="","",IF(OR(AK210="",AK210=0),"",ROUND(AG210/AK210,2)))</f>
        <v>0</v>
      </c>
      <c r="AM210" s="43">
        <f>IF(B210="","",IF(C210="","Add - which product?",IF(AG210&lt;0,"Loss - this order cost you money",IF(M210="Refunded","Refunded - check why",IF(AND(AF210&lt;&gt;"",AF210&gt;0.25),"Check - fees higher than your settings",IF(Z210&gt;1,"Check - postage is eating the margin",IF(AND(AH210&lt;&gt;"",AH210&lt;MarginWarning),"Low margin on this order","OK")))))) )</f>
        <v>0</v>
      </c>
    </row>
    <row r="211" spans="1:39">
      <c r="A211" s="38">
        <f>IF(B211="","",SalePrefix&amp;TEXT(ROW()-4,"0000"))</f>
        <v>0</v>
      </c>
      <c r="Q211" s="13">
        <f>IF(C211="","",IFERROR(INDEX(Products!$B$5:$B$304,MATCH(C211,Products!$A$5:$A$304,0)),"Bundle or deleted"))</f>
        <v>0</v>
      </c>
      <c r="R211" s="13">
        <f>IF(B211="","",TEXT(B211,"yyyy-mm"))</f>
        <v>0</v>
      </c>
      <c r="S211" s="20">
        <f>IF(C211="","",IFERROR(INDEX(Products!$AR$5:$AR$304,MATCH(C211,Products!$A$5:$A$304,0)),""))</f>
        <v>0</v>
      </c>
      <c r="T211" s="20">
        <f>IF(B211="","",IF(F211&lt;&gt;"",F211,IF(S211="",0,S211)))</f>
        <v>0</v>
      </c>
      <c r="U211" s="20">
        <f>IF(B211="","",ROUND(IF(D211="",0,D211)*T211,2))</f>
        <v>0</v>
      </c>
      <c r="V211" s="20">
        <f>IF(B211="","",ROUND(U211-IF(G211="",0,G211)-IF(L211="",0,L211),2))</f>
        <v>0</v>
      </c>
      <c r="W211" s="20">
        <f>IF(C211="","",IFERROR(INDEX(Products!$AT$5:$AT$304,MATCH(C211,Products!$A$5:$A$304,0)),""))</f>
        <v>0</v>
      </c>
      <c r="X211" s="20">
        <f>IF(C211="","",IFERROR(INDEX(Products!$AG$5:$AG$304,MATCH(C211,Products!$A$5:$A$304,0)),""))</f>
        <v>0</v>
      </c>
      <c r="Y211" s="20">
        <f>IF(B211="","",ROUND(IF(D211="",0,D211)*MAX(0,IF(W211="",0,W211)-IF(X211="",0,X211)),2))</f>
        <v>0</v>
      </c>
      <c r="Z211" s="20">
        <f>IF(B211="","",ROUND(MAX(0,IF(J211="",0,J211)-IF(I211="",0,I211)),2))</f>
        <v>0</v>
      </c>
      <c r="AA211" s="33">
        <f>IF(B211="","",IFERROR(INDEX(Channels!$S$5:$S$18,MATCH(IF(E211="",DefaultChannel,E211),Channels!$A$5:$A$18,0)),0))</f>
        <v>0</v>
      </c>
      <c r="AB211" s="20">
        <f>IF(B211="","",IFERROR(INDEX(Channels!$T$5:$T$18,MATCH(IF(E211="",DefaultChannel,E211),Channels!$A$5:$A$18,0)),0))</f>
        <v>0</v>
      </c>
      <c r="AC211" s="42">
        <f>IF(B211="","",IFERROR(INDEX(Channels!$O$5:$O$18,MATCH(IF(E211="",DefaultChannel,E211),Channels!$A$5:$A$18,0)),"No"))</f>
        <v>0</v>
      </c>
      <c r="AD211" s="20">
        <f>IF(B211="","",ROUND((V211+IF(AC211="Yes",IF(I211="",0,I211),0))*AA211+AB211,2))</f>
        <v>0</v>
      </c>
      <c r="AE211" s="20">
        <f>IF(B211="","",IF(K211&lt;&gt;"",K211,AD211))</f>
        <v>0</v>
      </c>
      <c r="AF211" s="20">
        <f>IF(B211="","",IF(K211="","",ROUND(K211-AD211,2)))</f>
        <v>0</v>
      </c>
      <c r="AG211" s="20">
        <f>IF(B211="","",ROUND(V211-Y211-AE211-Z211,2))</f>
        <v>0</v>
      </c>
      <c r="AH211" s="33">
        <f>IF(B211="","",IF(OR(V211="",V211=0),"",AG211/V211))</f>
        <v>0</v>
      </c>
      <c r="AI211" s="33">
        <f>IF(C211="","",IFERROR(INDEX(Products!$AW$5:$AW$304,MATCH(C211,Products!$A$5:$A$304,0)),""))</f>
        <v>0</v>
      </c>
      <c r="AJ211" s="33">
        <f>IF(B211="","",IF(OR(AH211="",AI211=""),"",AH211-AI211))</f>
        <v>0</v>
      </c>
      <c r="AK211" s="41">
        <f>IF(B211="","",IFERROR(ROUND(IF(D211="",0,D211)*INDEX(Products!$X$5:$X$304,MATCH(C211,Products!$A$5:$A$304,0))/60,2),""))</f>
        <v>0</v>
      </c>
      <c r="AL211" s="20">
        <f>IF(B211="","",IF(OR(AK211="",AK211=0),"",ROUND(AG211/AK211,2)))</f>
        <v>0</v>
      </c>
      <c r="AM211" s="43">
        <f>IF(B211="","",IF(C211="","Add - which product?",IF(AG211&lt;0,"Loss - this order cost you money",IF(M211="Refunded","Refunded - check why",IF(AND(AF211&lt;&gt;"",AF211&gt;0.25),"Check - fees higher than your settings",IF(Z211&gt;1,"Check - postage is eating the margin",IF(AND(AH211&lt;&gt;"",AH211&lt;MarginWarning),"Low margin on this order","OK")))))) )</f>
        <v>0</v>
      </c>
    </row>
    <row r="212" spans="1:39">
      <c r="A212" s="38">
        <f>IF(B212="","",SalePrefix&amp;TEXT(ROW()-4,"0000"))</f>
        <v>0</v>
      </c>
      <c r="Q212" s="13">
        <f>IF(C212="","",IFERROR(INDEX(Products!$B$5:$B$304,MATCH(C212,Products!$A$5:$A$304,0)),"Bundle or deleted"))</f>
        <v>0</v>
      </c>
      <c r="R212" s="13">
        <f>IF(B212="","",TEXT(B212,"yyyy-mm"))</f>
        <v>0</v>
      </c>
      <c r="S212" s="20">
        <f>IF(C212="","",IFERROR(INDEX(Products!$AR$5:$AR$304,MATCH(C212,Products!$A$5:$A$304,0)),""))</f>
        <v>0</v>
      </c>
      <c r="T212" s="20">
        <f>IF(B212="","",IF(F212&lt;&gt;"",F212,IF(S212="",0,S212)))</f>
        <v>0</v>
      </c>
      <c r="U212" s="20">
        <f>IF(B212="","",ROUND(IF(D212="",0,D212)*T212,2))</f>
        <v>0</v>
      </c>
      <c r="V212" s="20">
        <f>IF(B212="","",ROUND(U212-IF(G212="",0,G212)-IF(L212="",0,L212),2))</f>
        <v>0</v>
      </c>
      <c r="W212" s="20">
        <f>IF(C212="","",IFERROR(INDEX(Products!$AT$5:$AT$304,MATCH(C212,Products!$A$5:$A$304,0)),""))</f>
        <v>0</v>
      </c>
      <c r="X212" s="20">
        <f>IF(C212="","",IFERROR(INDEX(Products!$AG$5:$AG$304,MATCH(C212,Products!$A$5:$A$304,0)),""))</f>
        <v>0</v>
      </c>
      <c r="Y212" s="20">
        <f>IF(B212="","",ROUND(IF(D212="",0,D212)*MAX(0,IF(W212="",0,W212)-IF(X212="",0,X212)),2))</f>
        <v>0</v>
      </c>
      <c r="Z212" s="20">
        <f>IF(B212="","",ROUND(MAX(0,IF(J212="",0,J212)-IF(I212="",0,I212)),2))</f>
        <v>0</v>
      </c>
      <c r="AA212" s="33">
        <f>IF(B212="","",IFERROR(INDEX(Channels!$S$5:$S$18,MATCH(IF(E212="",DefaultChannel,E212),Channels!$A$5:$A$18,0)),0))</f>
        <v>0</v>
      </c>
      <c r="AB212" s="20">
        <f>IF(B212="","",IFERROR(INDEX(Channels!$T$5:$T$18,MATCH(IF(E212="",DefaultChannel,E212),Channels!$A$5:$A$18,0)),0))</f>
        <v>0</v>
      </c>
      <c r="AC212" s="42">
        <f>IF(B212="","",IFERROR(INDEX(Channels!$O$5:$O$18,MATCH(IF(E212="",DefaultChannel,E212),Channels!$A$5:$A$18,0)),"No"))</f>
        <v>0</v>
      </c>
      <c r="AD212" s="20">
        <f>IF(B212="","",ROUND((V212+IF(AC212="Yes",IF(I212="",0,I212),0))*AA212+AB212,2))</f>
        <v>0</v>
      </c>
      <c r="AE212" s="20">
        <f>IF(B212="","",IF(K212&lt;&gt;"",K212,AD212))</f>
        <v>0</v>
      </c>
      <c r="AF212" s="20">
        <f>IF(B212="","",IF(K212="","",ROUND(K212-AD212,2)))</f>
        <v>0</v>
      </c>
      <c r="AG212" s="20">
        <f>IF(B212="","",ROUND(V212-Y212-AE212-Z212,2))</f>
        <v>0</v>
      </c>
      <c r="AH212" s="33">
        <f>IF(B212="","",IF(OR(V212="",V212=0),"",AG212/V212))</f>
        <v>0</v>
      </c>
      <c r="AI212" s="33">
        <f>IF(C212="","",IFERROR(INDEX(Products!$AW$5:$AW$304,MATCH(C212,Products!$A$5:$A$304,0)),""))</f>
        <v>0</v>
      </c>
      <c r="AJ212" s="33">
        <f>IF(B212="","",IF(OR(AH212="",AI212=""),"",AH212-AI212))</f>
        <v>0</v>
      </c>
      <c r="AK212" s="41">
        <f>IF(B212="","",IFERROR(ROUND(IF(D212="",0,D212)*INDEX(Products!$X$5:$X$304,MATCH(C212,Products!$A$5:$A$304,0))/60,2),""))</f>
        <v>0</v>
      </c>
      <c r="AL212" s="20">
        <f>IF(B212="","",IF(OR(AK212="",AK212=0),"",ROUND(AG212/AK212,2)))</f>
        <v>0</v>
      </c>
      <c r="AM212" s="43">
        <f>IF(B212="","",IF(C212="","Add - which product?",IF(AG212&lt;0,"Loss - this order cost you money",IF(M212="Refunded","Refunded - check why",IF(AND(AF212&lt;&gt;"",AF212&gt;0.25),"Check - fees higher than your settings",IF(Z212&gt;1,"Check - postage is eating the margin",IF(AND(AH212&lt;&gt;"",AH212&lt;MarginWarning),"Low margin on this order","OK")))))) )</f>
        <v>0</v>
      </c>
    </row>
    <row r="213" spans="1:39">
      <c r="A213" s="38">
        <f>IF(B213="","",SalePrefix&amp;TEXT(ROW()-4,"0000"))</f>
        <v>0</v>
      </c>
      <c r="Q213" s="13">
        <f>IF(C213="","",IFERROR(INDEX(Products!$B$5:$B$304,MATCH(C213,Products!$A$5:$A$304,0)),"Bundle or deleted"))</f>
        <v>0</v>
      </c>
      <c r="R213" s="13">
        <f>IF(B213="","",TEXT(B213,"yyyy-mm"))</f>
        <v>0</v>
      </c>
      <c r="S213" s="20">
        <f>IF(C213="","",IFERROR(INDEX(Products!$AR$5:$AR$304,MATCH(C213,Products!$A$5:$A$304,0)),""))</f>
        <v>0</v>
      </c>
      <c r="T213" s="20">
        <f>IF(B213="","",IF(F213&lt;&gt;"",F213,IF(S213="",0,S213)))</f>
        <v>0</v>
      </c>
      <c r="U213" s="20">
        <f>IF(B213="","",ROUND(IF(D213="",0,D213)*T213,2))</f>
        <v>0</v>
      </c>
      <c r="V213" s="20">
        <f>IF(B213="","",ROUND(U213-IF(G213="",0,G213)-IF(L213="",0,L213),2))</f>
        <v>0</v>
      </c>
      <c r="W213" s="20">
        <f>IF(C213="","",IFERROR(INDEX(Products!$AT$5:$AT$304,MATCH(C213,Products!$A$5:$A$304,0)),""))</f>
        <v>0</v>
      </c>
      <c r="X213" s="20">
        <f>IF(C213="","",IFERROR(INDEX(Products!$AG$5:$AG$304,MATCH(C213,Products!$A$5:$A$304,0)),""))</f>
        <v>0</v>
      </c>
      <c r="Y213" s="20">
        <f>IF(B213="","",ROUND(IF(D213="",0,D213)*MAX(0,IF(W213="",0,W213)-IF(X213="",0,X213)),2))</f>
        <v>0</v>
      </c>
      <c r="Z213" s="20">
        <f>IF(B213="","",ROUND(MAX(0,IF(J213="",0,J213)-IF(I213="",0,I213)),2))</f>
        <v>0</v>
      </c>
      <c r="AA213" s="33">
        <f>IF(B213="","",IFERROR(INDEX(Channels!$S$5:$S$18,MATCH(IF(E213="",DefaultChannel,E213),Channels!$A$5:$A$18,0)),0))</f>
        <v>0</v>
      </c>
      <c r="AB213" s="20">
        <f>IF(B213="","",IFERROR(INDEX(Channels!$T$5:$T$18,MATCH(IF(E213="",DefaultChannel,E213),Channels!$A$5:$A$18,0)),0))</f>
        <v>0</v>
      </c>
      <c r="AC213" s="42">
        <f>IF(B213="","",IFERROR(INDEX(Channels!$O$5:$O$18,MATCH(IF(E213="",DefaultChannel,E213),Channels!$A$5:$A$18,0)),"No"))</f>
        <v>0</v>
      </c>
      <c r="AD213" s="20">
        <f>IF(B213="","",ROUND((V213+IF(AC213="Yes",IF(I213="",0,I213),0))*AA213+AB213,2))</f>
        <v>0</v>
      </c>
      <c r="AE213" s="20">
        <f>IF(B213="","",IF(K213&lt;&gt;"",K213,AD213))</f>
        <v>0</v>
      </c>
      <c r="AF213" s="20">
        <f>IF(B213="","",IF(K213="","",ROUND(K213-AD213,2)))</f>
        <v>0</v>
      </c>
      <c r="AG213" s="20">
        <f>IF(B213="","",ROUND(V213-Y213-AE213-Z213,2))</f>
        <v>0</v>
      </c>
      <c r="AH213" s="33">
        <f>IF(B213="","",IF(OR(V213="",V213=0),"",AG213/V213))</f>
        <v>0</v>
      </c>
      <c r="AI213" s="33">
        <f>IF(C213="","",IFERROR(INDEX(Products!$AW$5:$AW$304,MATCH(C213,Products!$A$5:$A$304,0)),""))</f>
        <v>0</v>
      </c>
      <c r="AJ213" s="33">
        <f>IF(B213="","",IF(OR(AH213="",AI213=""),"",AH213-AI213))</f>
        <v>0</v>
      </c>
      <c r="AK213" s="41">
        <f>IF(B213="","",IFERROR(ROUND(IF(D213="",0,D213)*INDEX(Products!$X$5:$X$304,MATCH(C213,Products!$A$5:$A$304,0))/60,2),""))</f>
        <v>0</v>
      </c>
      <c r="AL213" s="20">
        <f>IF(B213="","",IF(OR(AK213="",AK213=0),"",ROUND(AG213/AK213,2)))</f>
        <v>0</v>
      </c>
      <c r="AM213" s="43">
        <f>IF(B213="","",IF(C213="","Add - which product?",IF(AG213&lt;0,"Loss - this order cost you money",IF(M213="Refunded","Refunded - check why",IF(AND(AF213&lt;&gt;"",AF213&gt;0.25),"Check - fees higher than your settings",IF(Z213&gt;1,"Check - postage is eating the margin",IF(AND(AH213&lt;&gt;"",AH213&lt;MarginWarning),"Low margin on this order","OK")))))) )</f>
        <v>0</v>
      </c>
    </row>
    <row r="214" spans="1:39">
      <c r="A214" s="38">
        <f>IF(B214="","",SalePrefix&amp;TEXT(ROW()-4,"0000"))</f>
        <v>0</v>
      </c>
      <c r="Q214" s="13">
        <f>IF(C214="","",IFERROR(INDEX(Products!$B$5:$B$304,MATCH(C214,Products!$A$5:$A$304,0)),"Bundle or deleted"))</f>
        <v>0</v>
      </c>
      <c r="R214" s="13">
        <f>IF(B214="","",TEXT(B214,"yyyy-mm"))</f>
        <v>0</v>
      </c>
      <c r="S214" s="20">
        <f>IF(C214="","",IFERROR(INDEX(Products!$AR$5:$AR$304,MATCH(C214,Products!$A$5:$A$304,0)),""))</f>
        <v>0</v>
      </c>
      <c r="T214" s="20">
        <f>IF(B214="","",IF(F214&lt;&gt;"",F214,IF(S214="",0,S214)))</f>
        <v>0</v>
      </c>
      <c r="U214" s="20">
        <f>IF(B214="","",ROUND(IF(D214="",0,D214)*T214,2))</f>
        <v>0</v>
      </c>
      <c r="V214" s="20">
        <f>IF(B214="","",ROUND(U214-IF(G214="",0,G214)-IF(L214="",0,L214),2))</f>
        <v>0</v>
      </c>
      <c r="W214" s="20">
        <f>IF(C214="","",IFERROR(INDEX(Products!$AT$5:$AT$304,MATCH(C214,Products!$A$5:$A$304,0)),""))</f>
        <v>0</v>
      </c>
      <c r="X214" s="20">
        <f>IF(C214="","",IFERROR(INDEX(Products!$AG$5:$AG$304,MATCH(C214,Products!$A$5:$A$304,0)),""))</f>
        <v>0</v>
      </c>
      <c r="Y214" s="20">
        <f>IF(B214="","",ROUND(IF(D214="",0,D214)*MAX(0,IF(W214="",0,W214)-IF(X214="",0,X214)),2))</f>
        <v>0</v>
      </c>
      <c r="Z214" s="20">
        <f>IF(B214="","",ROUND(MAX(0,IF(J214="",0,J214)-IF(I214="",0,I214)),2))</f>
        <v>0</v>
      </c>
      <c r="AA214" s="33">
        <f>IF(B214="","",IFERROR(INDEX(Channels!$S$5:$S$18,MATCH(IF(E214="",DefaultChannel,E214),Channels!$A$5:$A$18,0)),0))</f>
        <v>0</v>
      </c>
      <c r="AB214" s="20">
        <f>IF(B214="","",IFERROR(INDEX(Channels!$T$5:$T$18,MATCH(IF(E214="",DefaultChannel,E214),Channels!$A$5:$A$18,0)),0))</f>
        <v>0</v>
      </c>
      <c r="AC214" s="42">
        <f>IF(B214="","",IFERROR(INDEX(Channels!$O$5:$O$18,MATCH(IF(E214="",DefaultChannel,E214),Channels!$A$5:$A$18,0)),"No"))</f>
        <v>0</v>
      </c>
      <c r="AD214" s="20">
        <f>IF(B214="","",ROUND((V214+IF(AC214="Yes",IF(I214="",0,I214),0))*AA214+AB214,2))</f>
        <v>0</v>
      </c>
      <c r="AE214" s="20">
        <f>IF(B214="","",IF(K214&lt;&gt;"",K214,AD214))</f>
        <v>0</v>
      </c>
      <c r="AF214" s="20">
        <f>IF(B214="","",IF(K214="","",ROUND(K214-AD214,2)))</f>
        <v>0</v>
      </c>
      <c r="AG214" s="20">
        <f>IF(B214="","",ROUND(V214-Y214-AE214-Z214,2))</f>
        <v>0</v>
      </c>
      <c r="AH214" s="33">
        <f>IF(B214="","",IF(OR(V214="",V214=0),"",AG214/V214))</f>
        <v>0</v>
      </c>
      <c r="AI214" s="33">
        <f>IF(C214="","",IFERROR(INDEX(Products!$AW$5:$AW$304,MATCH(C214,Products!$A$5:$A$304,0)),""))</f>
        <v>0</v>
      </c>
      <c r="AJ214" s="33">
        <f>IF(B214="","",IF(OR(AH214="",AI214=""),"",AH214-AI214))</f>
        <v>0</v>
      </c>
      <c r="AK214" s="41">
        <f>IF(B214="","",IFERROR(ROUND(IF(D214="",0,D214)*INDEX(Products!$X$5:$X$304,MATCH(C214,Products!$A$5:$A$304,0))/60,2),""))</f>
        <v>0</v>
      </c>
      <c r="AL214" s="20">
        <f>IF(B214="","",IF(OR(AK214="",AK214=0),"",ROUND(AG214/AK214,2)))</f>
        <v>0</v>
      </c>
      <c r="AM214" s="43">
        <f>IF(B214="","",IF(C214="","Add - which product?",IF(AG214&lt;0,"Loss - this order cost you money",IF(M214="Refunded","Refunded - check why",IF(AND(AF214&lt;&gt;"",AF214&gt;0.25),"Check - fees higher than your settings",IF(Z214&gt;1,"Check - postage is eating the margin",IF(AND(AH214&lt;&gt;"",AH214&lt;MarginWarning),"Low margin on this order","OK")))))) )</f>
        <v>0</v>
      </c>
    </row>
    <row r="215" spans="1:39">
      <c r="A215" s="38">
        <f>IF(B215="","",SalePrefix&amp;TEXT(ROW()-4,"0000"))</f>
        <v>0</v>
      </c>
      <c r="Q215" s="13">
        <f>IF(C215="","",IFERROR(INDEX(Products!$B$5:$B$304,MATCH(C215,Products!$A$5:$A$304,0)),"Bundle or deleted"))</f>
        <v>0</v>
      </c>
      <c r="R215" s="13">
        <f>IF(B215="","",TEXT(B215,"yyyy-mm"))</f>
        <v>0</v>
      </c>
      <c r="S215" s="20">
        <f>IF(C215="","",IFERROR(INDEX(Products!$AR$5:$AR$304,MATCH(C215,Products!$A$5:$A$304,0)),""))</f>
        <v>0</v>
      </c>
      <c r="T215" s="20">
        <f>IF(B215="","",IF(F215&lt;&gt;"",F215,IF(S215="",0,S215)))</f>
        <v>0</v>
      </c>
      <c r="U215" s="20">
        <f>IF(B215="","",ROUND(IF(D215="",0,D215)*T215,2))</f>
        <v>0</v>
      </c>
      <c r="V215" s="20">
        <f>IF(B215="","",ROUND(U215-IF(G215="",0,G215)-IF(L215="",0,L215),2))</f>
        <v>0</v>
      </c>
      <c r="W215" s="20">
        <f>IF(C215="","",IFERROR(INDEX(Products!$AT$5:$AT$304,MATCH(C215,Products!$A$5:$A$304,0)),""))</f>
        <v>0</v>
      </c>
      <c r="X215" s="20">
        <f>IF(C215="","",IFERROR(INDEX(Products!$AG$5:$AG$304,MATCH(C215,Products!$A$5:$A$304,0)),""))</f>
        <v>0</v>
      </c>
      <c r="Y215" s="20">
        <f>IF(B215="","",ROUND(IF(D215="",0,D215)*MAX(0,IF(W215="",0,W215)-IF(X215="",0,X215)),2))</f>
        <v>0</v>
      </c>
      <c r="Z215" s="20">
        <f>IF(B215="","",ROUND(MAX(0,IF(J215="",0,J215)-IF(I215="",0,I215)),2))</f>
        <v>0</v>
      </c>
      <c r="AA215" s="33">
        <f>IF(B215="","",IFERROR(INDEX(Channels!$S$5:$S$18,MATCH(IF(E215="",DefaultChannel,E215),Channels!$A$5:$A$18,0)),0))</f>
        <v>0</v>
      </c>
      <c r="AB215" s="20">
        <f>IF(B215="","",IFERROR(INDEX(Channels!$T$5:$T$18,MATCH(IF(E215="",DefaultChannel,E215),Channels!$A$5:$A$18,0)),0))</f>
        <v>0</v>
      </c>
      <c r="AC215" s="42">
        <f>IF(B215="","",IFERROR(INDEX(Channels!$O$5:$O$18,MATCH(IF(E215="",DefaultChannel,E215),Channels!$A$5:$A$18,0)),"No"))</f>
        <v>0</v>
      </c>
      <c r="AD215" s="20">
        <f>IF(B215="","",ROUND((V215+IF(AC215="Yes",IF(I215="",0,I215),0))*AA215+AB215,2))</f>
        <v>0</v>
      </c>
      <c r="AE215" s="20">
        <f>IF(B215="","",IF(K215&lt;&gt;"",K215,AD215))</f>
        <v>0</v>
      </c>
      <c r="AF215" s="20">
        <f>IF(B215="","",IF(K215="","",ROUND(K215-AD215,2)))</f>
        <v>0</v>
      </c>
      <c r="AG215" s="20">
        <f>IF(B215="","",ROUND(V215-Y215-AE215-Z215,2))</f>
        <v>0</v>
      </c>
      <c r="AH215" s="33">
        <f>IF(B215="","",IF(OR(V215="",V215=0),"",AG215/V215))</f>
        <v>0</v>
      </c>
      <c r="AI215" s="33">
        <f>IF(C215="","",IFERROR(INDEX(Products!$AW$5:$AW$304,MATCH(C215,Products!$A$5:$A$304,0)),""))</f>
        <v>0</v>
      </c>
      <c r="AJ215" s="33">
        <f>IF(B215="","",IF(OR(AH215="",AI215=""),"",AH215-AI215))</f>
        <v>0</v>
      </c>
      <c r="AK215" s="41">
        <f>IF(B215="","",IFERROR(ROUND(IF(D215="",0,D215)*INDEX(Products!$X$5:$X$304,MATCH(C215,Products!$A$5:$A$304,0))/60,2),""))</f>
        <v>0</v>
      </c>
      <c r="AL215" s="20">
        <f>IF(B215="","",IF(OR(AK215="",AK215=0),"",ROUND(AG215/AK215,2)))</f>
        <v>0</v>
      </c>
      <c r="AM215" s="43">
        <f>IF(B215="","",IF(C215="","Add - which product?",IF(AG215&lt;0,"Loss - this order cost you money",IF(M215="Refunded","Refunded - check why",IF(AND(AF215&lt;&gt;"",AF215&gt;0.25),"Check - fees higher than your settings",IF(Z215&gt;1,"Check - postage is eating the margin",IF(AND(AH215&lt;&gt;"",AH215&lt;MarginWarning),"Low margin on this order","OK")))))) )</f>
        <v>0</v>
      </c>
    </row>
    <row r="216" spans="1:39">
      <c r="A216" s="38">
        <f>IF(B216="","",SalePrefix&amp;TEXT(ROW()-4,"0000"))</f>
        <v>0</v>
      </c>
      <c r="Q216" s="13">
        <f>IF(C216="","",IFERROR(INDEX(Products!$B$5:$B$304,MATCH(C216,Products!$A$5:$A$304,0)),"Bundle or deleted"))</f>
        <v>0</v>
      </c>
      <c r="R216" s="13">
        <f>IF(B216="","",TEXT(B216,"yyyy-mm"))</f>
        <v>0</v>
      </c>
      <c r="S216" s="20">
        <f>IF(C216="","",IFERROR(INDEX(Products!$AR$5:$AR$304,MATCH(C216,Products!$A$5:$A$304,0)),""))</f>
        <v>0</v>
      </c>
      <c r="T216" s="20">
        <f>IF(B216="","",IF(F216&lt;&gt;"",F216,IF(S216="",0,S216)))</f>
        <v>0</v>
      </c>
      <c r="U216" s="20">
        <f>IF(B216="","",ROUND(IF(D216="",0,D216)*T216,2))</f>
        <v>0</v>
      </c>
      <c r="V216" s="20">
        <f>IF(B216="","",ROUND(U216-IF(G216="",0,G216)-IF(L216="",0,L216),2))</f>
        <v>0</v>
      </c>
      <c r="W216" s="20">
        <f>IF(C216="","",IFERROR(INDEX(Products!$AT$5:$AT$304,MATCH(C216,Products!$A$5:$A$304,0)),""))</f>
        <v>0</v>
      </c>
      <c r="X216" s="20">
        <f>IF(C216="","",IFERROR(INDEX(Products!$AG$5:$AG$304,MATCH(C216,Products!$A$5:$A$304,0)),""))</f>
        <v>0</v>
      </c>
      <c r="Y216" s="20">
        <f>IF(B216="","",ROUND(IF(D216="",0,D216)*MAX(0,IF(W216="",0,W216)-IF(X216="",0,X216)),2))</f>
        <v>0</v>
      </c>
      <c r="Z216" s="20">
        <f>IF(B216="","",ROUND(MAX(0,IF(J216="",0,J216)-IF(I216="",0,I216)),2))</f>
        <v>0</v>
      </c>
      <c r="AA216" s="33">
        <f>IF(B216="","",IFERROR(INDEX(Channels!$S$5:$S$18,MATCH(IF(E216="",DefaultChannel,E216),Channels!$A$5:$A$18,0)),0))</f>
        <v>0</v>
      </c>
      <c r="AB216" s="20">
        <f>IF(B216="","",IFERROR(INDEX(Channels!$T$5:$T$18,MATCH(IF(E216="",DefaultChannel,E216),Channels!$A$5:$A$18,0)),0))</f>
        <v>0</v>
      </c>
      <c r="AC216" s="42">
        <f>IF(B216="","",IFERROR(INDEX(Channels!$O$5:$O$18,MATCH(IF(E216="",DefaultChannel,E216),Channels!$A$5:$A$18,0)),"No"))</f>
        <v>0</v>
      </c>
      <c r="AD216" s="20">
        <f>IF(B216="","",ROUND((V216+IF(AC216="Yes",IF(I216="",0,I216),0))*AA216+AB216,2))</f>
        <v>0</v>
      </c>
      <c r="AE216" s="20">
        <f>IF(B216="","",IF(K216&lt;&gt;"",K216,AD216))</f>
        <v>0</v>
      </c>
      <c r="AF216" s="20">
        <f>IF(B216="","",IF(K216="","",ROUND(K216-AD216,2)))</f>
        <v>0</v>
      </c>
      <c r="AG216" s="20">
        <f>IF(B216="","",ROUND(V216-Y216-AE216-Z216,2))</f>
        <v>0</v>
      </c>
      <c r="AH216" s="33">
        <f>IF(B216="","",IF(OR(V216="",V216=0),"",AG216/V216))</f>
        <v>0</v>
      </c>
      <c r="AI216" s="33">
        <f>IF(C216="","",IFERROR(INDEX(Products!$AW$5:$AW$304,MATCH(C216,Products!$A$5:$A$304,0)),""))</f>
        <v>0</v>
      </c>
      <c r="AJ216" s="33">
        <f>IF(B216="","",IF(OR(AH216="",AI216=""),"",AH216-AI216))</f>
        <v>0</v>
      </c>
      <c r="AK216" s="41">
        <f>IF(B216="","",IFERROR(ROUND(IF(D216="",0,D216)*INDEX(Products!$X$5:$X$304,MATCH(C216,Products!$A$5:$A$304,0))/60,2),""))</f>
        <v>0</v>
      </c>
      <c r="AL216" s="20">
        <f>IF(B216="","",IF(OR(AK216="",AK216=0),"",ROUND(AG216/AK216,2)))</f>
        <v>0</v>
      </c>
      <c r="AM216" s="43">
        <f>IF(B216="","",IF(C216="","Add - which product?",IF(AG216&lt;0,"Loss - this order cost you money",IF(M216="Refunded","Refunded - check why",IF(AND(AF216&lt;&gt;"",AF216&gt;0.25),"Check - fees higher than your settings",IF(Z216&gt;1,"Check - postage is eating the margin",IF(AND(AH216&lt;&gt;"",AH216&lt;MarginWarning),"Low margin on this order","OK")))))) )</f>
        <v>0</v>
      </c>
    </row>
    <row r="217" spans="1:39">
      <c r="A217" s="38">
        <f>IF(B217="","",SalePrefix&amp;TEXT(ROW()-4,"0000"))</f>
        <v>0</v>
      </c>
      <c r="Q217" s="13">
        <f>IF(C217="","",IFERROR(INDEX(Products!$B$5:$B$304,MATCH(C217,Products!$A$5:$A$304,0)),"Bundle or deleted"))</f>
        <v>0</v>
      </c>
      <c r="R217" s="13">
        <f>IF(B217="","",TEXT(B217,"yyyy-mm"))</f>
        <v>0</v>
      </c>
      <c r="S217" s="20">
        <f>IF(C217="","",IFERROR(INDEX(Products!$AR$5:$AR$304,MATCH(C217,Products!$A$5:$A$304,0)),""))</f>
        <v>0</v>
      </c>
      <c r="T217" s="20">
        <f>IF(B217="","",IF(F217&lt;&gt;"",F217,IF(S217="",0,S217)))</f>
        <v>0</v>
      </c>
      <c r="U217" s="20">
        <f>IF(B217="","",ROUND(IF(D217="",0,D217)*T217,2))</f>
        <v>0</v>
      </c>
      <c r="V217" s="20">
        <f>IF(B217="","",ROUND(U217-IF(G217="",0,G217)-IF(L217="",0,L217),2))</f>
        <v>0</v>
      </c>
      <c r="W217" s="20">
        <f>IF(C217="","",IFERROR(INDEX(Products!$AT$5:$AT$304,MATCH(C217,Products!$A$5:$A$304,0)),""))</f>
        <v>0</v>
      </c>
      <c r="X217" s="20">
        <f>IF(C217="","",IFERROR(INDEX(Products!$AG$5:$AG$304,MATCH(C217,Products!$A$5:$A$304,0)),""))</f>
        <v>0</v>
      </c>
      <c r="Y217" s="20">
        <f>IF(B217="","",ROUND(IF(D217="",0,D217)*MAX(0,IF(W217="",0,W217)-IF(X217="",0,X217)),2))</f>
        <v>0</v>
      </c>
      <c r="Z217" s="20">
        <f>IF(B217="","",ROUND(MAX(0,IF(J217="",0,J217)-IF(I217="",0,I217)),2))</f>
        <v>0</v>
      </c>
      <c r="AA217" s="33">
        <f>IF(B217="","",IFERROR(INDEX(Channels!$S$5:$S$18,MATCH(IF(E217="",DefaultChannel,E217),Channels!$A$5:$A$18,0)),0))</f>
        <v>0</v>
      </c>
      <c r="AB217" s="20">
        <f>IF(B217="","",IFERROR(INDEX(Channels!$T$5:$T$18,MATCH(IF(E217="",DefaultChannel,E217),Channels!$A$5:$A$18,0)),0))</f>
        <v>0</v>
      </c>
      <c r="AC217" s="42">
        <f>IF(B217="","",IFERROR(INDEX(Channels!$O$5:$O$18,MATCH(IF(E217="",DefaultChannel,E217),Channels!$A$5:$A$18,0)),"No"))</f>
        <v>0</v>
      </c>
      <c r="AD217" s="20">
        <f>IF(B217="","",ROUND((V217+IF(AC217="Yes",IF(I217="",0,I217),0))*AA217+AB217,2))</f>
        <v>0</v>
      </c>
      <c r="AE217" s="20">
        <f>IF(B217="","",IF(K217&lt;&gt;"",K217,AD217))</f>
        <v>0</v>
      </c>
      <c r="AF217" s="20">
        <f>IF(B217="","",IF(K217="","",ROUND(K217-AD217,2)))</f>
        <v>0</v>
      </c>
      <c r="AG217" s="20">
        <f>IF(B217="","",ROUND(V217-Y217-AE217-Z217,2))</f>
        <v>0</v>
      </c>
      <c r="AH217" s="33">
        <f>IF(B217="","",IF(OR(V217="",V217=0),"",AG217/V217))</f>
        <v>0</v>
      </c>
      <c r="AI217" s="33">
        <f>IF(C217="","",IFERROR(INDEX(Products!$AW$5:$AW$304,MATCH(C217,Products!$A$5:$A$304,0)),""))</f>
        <v>0</v>
      </c>
      <c r="AJ217" s="33">
        <f>IF(B217="","",IF(OR(AH217="",AI217=""),"",AH217-AI217))</f>
        <v>0</v>
      </c>
      <c r="AK217" s="41">
        <f>IF(B217="","",IFERROR(ROUND(IF(D217="",0,D217)*INDEX(Products!$X$5:$X$304,MATCH(C217,Products!$A$5:$A$304,0))/60,2),""))</f>
        <v>0</v>
      </c>
      <c r="AL217" s="20">
        <f>IF(B217="","",IF(OR(AK217="",AK217=0),"",ROUND(AG217/AK217,2)))</f>
        <v>0</v>
      </c>
      <c r="AM217" s="43">
        <f>IF(B217="","",IF(C217="","Add - which product?",IF(AG217&lt;0,"Loss - this order cost you money",IF(M217="Refunded","Refunded - check why",IF(AND(AF217&lt;&gt;"",AF217&gt;0.25),"Check - fees higher than your settings",IF(Z217&gt;1,"Check - postage is eating the margin",IF(AND(AH217&lt;&gt;"",AH217&lt;MarginWarning),"Low margin on this order","OK")))))) )</f>
        <v>0</v>
      </c>
    </row>
    <row r="218" spans="1:39">
      <c r="A218" s="38">
        <f>IF(B218="","",SalePrefix&amp;TEXT(ROW()-4,"0000"))</f>
        <v>0</v>
      </c>
      <c r="Q218" s="13">
        <f>IF(C218="","",IFERROR(INDEX(Products!$B$5:$B$304,MATCH(C218,Products!$A$5:$A$304,0)),"Bundle or deleted"))</f>
        <v>0</v>
      </c>
      <c r="R218" s="13">
        <f>IF(B218="","",TEXT(B218,"yyyy-mm"))</f>
        <v>0</v>
      </c>
      <c r="S218" s="20">
        <f>IF(C218="","",IFERROR(INDEX(Products!$AR$5:$AR$304,MATCH(C218,Products!$A$5:$A$304,0)),""))</f>
        <v>0</v>
      </c>
      <c r="T218" s="20">
        <f>IF(B218="","",IF(F218&lt;&gt;"",F218,IF(S218="",0,S218)))</f>
        <v>0</v>
      </c>
      <c r="U218" s="20">
        <f>IF(B218="","",ROUND(IF(D218="",0,D218)*T218,2))</f>
        <v>0</v>
      </c>
      <c r="V218" s="20">
        <f>IF(B218="","",ROUND(U218-IF(G218="",0,G218)-IF(L218="",0,L218),2))</f>
        <v>0</v>
      </c>
      <c r="W218" s="20">
        <f>IF(C218="","",IFERROR(INDEX(Products!$AT$5:$AT$304,MATCH(C218,Products!$A$5:$A$304,0)),""))</f>
        <v>0</v>
      </c>
      <c r="X218" s="20">
        <f>IF(C218="","",IFERROR(INDEX(Products!$AG$5:$AG$304,MATCH(C218,Products!$A$5:$A$304,0)),""))</f>
        <v>0</v>
      </c>
      <c r="Y218" s="20">
        <f>IF(B218="","",ROUND(IF(D218="",0,D218)*MAX(0,IF(W218="",0,W218)-IF(X218="",0,X218)),2))</f>
        <v>0</v>
      </c>
      <c r="Z218" s="20">
        <f>IF(B218="","",ROUND(MAX(0,IF(J218="",0,J218)-IF(I218="",0,I218)),2))</f>
        <v>0</v>
      </c>
      <c r="AA218" s="33">
        <f>IF(B218="","",IFERROR(INDEX(Channels!$S$5:$S$18,MATCH(IF(E218="",DefaultChannel,E218),Channels!$A$5:$A$18,0)),0))</f>
        <v>0</v>
      </c>
      <c r="AB218" s="20">
        <f>IF(B218="","",IFERROR(INDEX(Channels!$T$5:$T$18,MATCH(IF(E218="",DefaultChannel,E218),Channels!$A$5:$A$18,0)),0))</f>
        <v>0</v>
      </c>
      <c r="AC218" s="42">
        <f>IF(B218="","",IFERROR(INDEX(Channels!$O$5:$O$18,MATCH(IF(E218="",DefaultChannel,E218),Channels!$A$5:$A$18,0)),"No"))</f>
        <v>0</v>
      </c>
      <c r="AD218" s="20">
        <f>IF(B218="","",ROUND((V218+IF(AC218="Yes",IF(I218="",0,I218),0))*AA218+AB218,2))</f>
        <v>0</v>
      </c>
      <c r="AE218" s="20">
        <f>IF(B218="","",IF(K218&lt;&gt;"",K218,AD218))</f>
        <v>0</v>
      </c>
      <c r="AF218" s="20">
        <f>IF(B218="","",IF(K218="","",ROUND(K218-AD218,2)))</f>
        <v>0</v>
      </c>
      <c r="AG218" s="20">
        <f>IF(B218="","",ROUND(V218-Y218-AE218-Z218,2))</f>
        <v>0</v>
      </c>
      <c r="AH218" s="33">
        <f>IF(B218="","",IF(OR(V218="",V218=0),"",AG218/V218))</f>
        <v>0</v>
      </c>
      <c r="AI218" s="33">
        <f>IF(C218="","",IFERROR(INDEX(Products!$AW$5:$AW$304,MATCH(C218,Products!$A$5:$A$304,0)),""))</f>
        <v>0</v>
      </c>
      <c r="AJ218" s="33">
        <f>IF(B218="","",IF(OR(AH218="",AI218=""),"",AH218-AI218))</f>
        <v>0</v>
      </c>
      <c r="AK218" s="41">
        <f>IF(B218="","",IFERROR(ROUND(IF(D218="",0,D218)*INDEX(Products!$X$5:$X$304,MATCH(C218,Products!$A$5:$A$304,0))/60,2),""))</f>
        <v>0</v>
      </c>
      <c r="AL218" s="20">
        <f>IF(B218="","",IF(OR(AK218="",AK218=0),"",ROUND(AG218/AK218,2)))</f>
        <v>0</v>
      </c>
      <c r="AM218" s="43">
        <f>IF(B218="","",IF(C218="","Add - which product?",IF(AG218&lt;0,"Loss - this order cost you money",IF(M218="Refunded","Refunded - check why",IF(AND(AF218&lt;&gt;"",AF218&gt;0.25),"Check - fees higher than your settings",IF(Z218&gt;1,"Check - postage is eating the margin",IF(AND(AH218&lt;&gt;"",AH218&lt;MarginWarning),"Low margin on this order","OK")))))) )</f>
        <v>0</v>
      </c>
    </row>
    <row r="219" spans="1:39">
      <c r="A219" s="38">
        <f>IF(B219="","",SalePrefix&amp;TEXT(ROW()-4,"0000"))</f>
        <v>0</v>
      </c>
      <c r="Q219" s="13">
        <f>IF(C219="","",IFERROR(INDEX(Products!$B$5:$B$304,MATCH(C219,Products!$A$5:$A$304,0)),"Bundle or deleted"))</f>
        <v>0</v>
      </c>
      <c r="R219" s="13">
        <f>IF(B219="","",TEXT(B219,"yyyy-mm"))</f>
        <v>0</v>
      </c>
      <c r="S219" s="20">
        <f>IF(C219="","",IFERROR(INDEX(Products!$AR$5:$AR$304,MATCH(C219,Products!$A$5:$A$304,0)),""))</f>
        <v>0</v>
      </c>
      <c r="T219" s="20">
        <f>IF(B219="","",IF(F219&lt;&gt;"",F219,IF(S219="",0,S219)))</f>
        <v>0</v>
      </c>
      <c r="U219" s="20">
        <f>IF(B219="","",ROUND(IF(D219="",0,D219)*T219,2))</f>
        <v>0</v>
      </c>
      <c r="V219" s="20">
        <f>IF(B219="","",ROUND(U219-IF(G219="",0,G219)-IF(L219="",0,L219),2))</f>
        <v>0</v>
      </c>
      <c r="W219" s="20">
        <f>IF(C219="","",IFERROR(INDEX(Products!$AT$5:$AT$304,MATCH(C219,Products!$A$5:$A$304,0)),""))</f>
        <v>0</v>
      </c>
      <c r="X219" s="20">
        <f>IF(C219="","",IFERROR(INDEX(Products!$AG$5:$AG$304,MATCH(C219,Products!$A$5:$A$304,0)),""))</f>
        <v>0</v>
      </c>
      <c r="Y219" s="20">
        <f>IF(B219="","",ROUND(IF(D219="",0,D219)*MAX(0,IF(W219="",0,W219)-IF(X219="",0,X219)),2))</f>
        <v>0</v>
      </c>
      <c r="Z219" s="20">
        <f>IF(B219="","",ROUND(MAX(0,IF(J219="",0,J219)-IF(I219="",0,I219)),2))</f>
        <v>0</v>
      </c>
      <c r="AA219" s="33">
        <f>IF(B219="","",IFERROR(INDEX(Channels!$S$5:$S$18,MATCH(IF(E219="",DefaultChannel,E219),Channels!$A$5:$A$18,0)),0))</f>
        <v>0</v>
      </c>
      <c r="AB219" s="20">
        <f>IF(B219="","",IFERROR(INDEX(Channels!$T$5:$T$18,MATCH(IF(E219="",DefaultChannel,E219),Channels!$A$5:$A$18,0)),0))</f>
        <v>0</v>
      </c>
      <c r="AC219" s="42">
        <f>IF(B219="","",IFERROR(INDEX(Channels!$O$5:$O$18,MATCH(IF(E219="",DefaultChannel,E219),Channels!$A$5:$A$18,0)),"No"))</f>
        <v>0</v>
      </c>
      <c r="AD219" s="20">
        <f>IF(B219="","",ROUND((V219+IF(AC219="Yes",IF(I219="",0,I219),0))*AA219+AB219,2))</f>
        <v>0</v>
      </c>
      <c r="AE219" s="20">
        <f>IF(B219="","",IF(K219&lt;&gt;"",K219,AD219))</f>
        <v>0</v>
      </c>
      <c r="AF219" s="20">
        <f>IF(B219="","",IF(K219="","",ROUND(K219-AD219,2)))</f>
        <v>0</v>
      </c>
      <c r="AG219" s="20">
        <f>IF(B219="","",ROUND(V219-Y219-AE219-Z219,2))</f>
        <v>0</v>
      </c>
      <c r="AH219" s="33">
        <f>IF(B219="","",IF(OR(V219="",V219=0),"",AG219/V219))</f>
        <v>0</v>
      </c>
      <c r="AI219" s="33">
        <f>IF(C219="","",IFERROR(INDEX(Products!$AW$5:$AW$304,MATCH(C219,Products!$A$5:$A$304,0)),""))</f>
        <v>0</v>
      </c>
      <c r="AJ219" s="33">
        <f>IF(B219="","",IF(OR(AH219="",AI219=""),"",AH219-AI219))</f>
        <v>0</v>
      </c>
      <c r="AK219" s="41">
        <f>IF(B219="","",IFERROR(ROUND(IF(D219="",0,D219)*INDEX(Products!$X$5:$X$304,MATCH(C219,Products!$A$5:$A$304,0))/60,2),""))</f>
        <v>0</v>
      </c>
      <c r="AL219" s="20">
        <f>IF(B219="","",IF(OR(AK219="",AK219=0),"",ROUND(AG219/AK219,2)))</f>
        <v>0</v>
      </c>
      <c r="AM219" s="43">
        <f>IF(B219="","",IF(C219="","Add - which product?",IF(AG219&lt;0,"Loss - this order cost you money",IF(M219="Refunded","Refunded - check why",IF(AND(AF219&lt;&gt;"",AF219&gt;0.25),"Check - fees higher than your settings",IF(Z219&gt;1,"Check - postage is eating the margin",IF(AND(AH219&lt;&gt;"",AH219&lt;MarginWarning),"Low margin on this order","OK")))))) )</f>
        <v>0</v>
      </c>
    </row>
    <row r="220" spans="1:39">
      <c r="A220" s="38">
        <f>IF(B220="","",SalePrefix&amp;TEXT(ROW()-4,"0000"))</f>
        <v>0</v>
      </c>
      <c r="Q220" s="13">
        <f>IF(C220="","",IFERROR(INDEX(Products!$B$5:$B$304,MATCH(C220,Products!$A$5:$A$304,0)),"Bundle or deleted"))</f>
        <v>0</v>
      </c>
      <c r="R220" s="13">
        <f>IF(B220="","",TEXT(B220,"yyyy-mm"))</f>
        <v>0</v>
      </c>
      <c r="S220" s="20">
        <f>IF(C220="","",IFERROR(INDEX(Products!$AR$5:$AR$304,MATCH(C220,Products!$A$5:$A$304,0)),""))</f>
        <v>0</v>
      </c>
      <c r="T220" s="20">
        <f>IF(B220="","",IF(F220&lt;&gt;"",F220,IF(S220="",0,S220)))</f>
        <v>0</v>
      </c>
      <c r="U220" s="20">
        <f>IF(B220="","",ROUND(IF(D220="",0,D220)*T220,2))</f>
        <v>0</v>
      </c>
      <c r="V220" s="20">
        <f>IF(B220="","",ROUND(U220-IF(G220="",0,G220)-IF(L220="",0,L220),2))</f>
        <v>0</v>
      </c>
      <c r="W220" s="20">
        <f>IF(C220="","",IFERROR(INDEX(Products!$AT$5:$AT$304,MATCH(C220,Products!$A$5:$A$304,0)),""))</f>
        <v>0</v>
      </c>
      <c r="X220" s="20">
        <f>IF(C220="","",IFERROR(INDEX(Products!$AG$5:$AG$304,MATCH(C220,Products!$A$5:$A$304,0)),""))</f>
        <v>0</v>
      </c>
      <c r="Y220" s="20">
        <f>IF(B220="","",ROUND(IF(D220="",0,D220)*MAX(0,IF(W220="",0,W220)-IF(X220="",0,X220)),2))</f>
        <v>0</v>
      </c>
      <c r="Z220" s="20">
        <f>IF(B220="","",ROUND(MAX(0,IF(J220="",0,J220)-IF(I220="",0,I220)),2))</f>
        <v>0</v>
      </c>
      <c r="AA220" s="33">
        <f>IF(B220="","",IFERROR(INDEX(Channels!$S$5:$S$18,MATCH(IF(E220="",DefaultChannel,E220),Channels!$A$5:$A$18,0)),0))</f>
        <v>0</v>
      </c>
      <c r="AB220" s="20">
        <f>IF(B220="","",IFERROR(INDEX(Channels!$T$5:$T$18,MATCH(IF(E220="",DefaultChannel,E220),Channels!$A$5:$A$18,0)),0))</f>
        <v>0</v>
      </c>
      <c r="AC220" s="42">
        <f>IF(B220="","",IFERROR(INDEX(Channels!$O$5:$O$18,MATCH(IF(E220="",DefaultChannel,E220),Channels!$A$5:$A$18,0)),"No"))</f>
        <v>0</v>
      </c>
      <c r="AD220" s="20">
        <f>IF(B220="","",ROUND((V220+IF(AC220="Yes",IF(I220="",0,I220),0))*AA220+AB220,2))</f>
        <v>0</v>
      </c>
      <c r="AE220" s="20">
        <f>IF(B220="","",IF(K220&lt;&gt;"",K220,AD220))</f>
        <v>0</v>
      </c>
      <c r="AF220" s="20">
        <f>IF(B220="","",IF(K220="","",ROUND(K220-AD220,2)))</f>
        <v>0</v>
      </c>
      <c r="AG220" s="20">
        <f>IF(B220="","",ROUND(V220-Y220-AE220-Z220,2))</f>
        <v>0</v>
      </c>
      <c r="AH220" s="33">
        <f>IF(B220="","",IF(OR(V220="",V220=0),"",AG220/V220))</f>
        <v>0</v>
      </c>
      <c r="AI220" s="33">
        <f>IF(C220="","",IFERROR(INDEX(Products!$AW$5:$AW$304,MATCH(C220,Products!$A$5:$A$304,0)),""))</f>
        <v>0</v>
      </c>
      <c r="AJ220" s="33">
        <f>IF(B220="","",IF(OR(AH220="",AI220=""),"",AH220-AI220))</f>
        <v>0</v>
      </c>
      <c r="AK220" s="41">
        <f>IF(B220="","",IFERROR(ROUND(IF(D220="",0,D220)*INDEX(Products!$X$5:$X$304,MATCH(C220,Products!$A$5:$A$304,0))/60,2),""))</f>
        <v>0</v>
      </c>
      <c r="AL220" s="20">
        <f>IF(B220="","",IF(OR(AK220="",AK220=0),"",ROUND(AG220/AK220,2)))</f>
        <v>0</v>
      </c>
      <c r="AM220" s="43">
        <f>IF(B220="","",IF(C220="","Add - which product?",IF(AG220&lt;0,"Loss - this order cost you money",IF(M220="Refunded","Refunded - check why",IF(AND(AF220&lt;&gt;"",AF220&gt;0.25),"Check - fees higher than your settings",IF(Z220&gt;1,"Check - postage is eating the margin",IF(AND(AH220&lt;&gt;"",AH220&lt;MarginWarning),"Low margin on this order","OK")))))) )</f>
        <v>0</v>
      </c>
    </row>
    <row r="221" spans="1:39">
      <c r="A221" s="38">
        <f>IF(B221="","",SalePrefix&amp;TEXT(ROW()-4,"0000"))</f>
        <v>0</v>
      </c>
      <c r="Q221" s="13">
        <f>IF(C221="","",IFERROR(INDEX(Products!$B$5:$B$304,MATCH(C221,Products!$A$5:$A$304,0)),"Bundle or deleted"))</f>
        <v>0</v>
      </c>
      <c r="R221" s="13">
        <f>IF(B221="","",TEXT(B221,"yyyy-mm"))</f>
        <v>0</v>
      </c>
      <c r="S221" s="20">
        <f>IF(C221="","",IFERROR(INDEX(Products!$AR$5:$AR$304,MATCH(C221,Products!$A$5:$A$304,0)),""))</f>
        <v>0</v>
      </c>
      <c r="T221" s="20">
        <f>IF(B221="","",IF(F221&lt;&gt;"",F221,IF(S221="",0,S221)))</f>
        <v>0</v>
      </c>
      <c r="U221" s="20">
        <f>IF(B221="","",ROUND(IF(D221="",0,D221)*T221,2))</f>
        <v>0</v>
      </c>
      <c r="V221" s="20">
        <f>IF(B221="","",ROUND(U221-IF(G221="",0,G221)-IF(L221="",0,L221),2))</f>
        <v>0</v>
      </c>
      <c r="W221" s="20">
        <f>IF(C221="","",IFERROR(INDEX(Products!$AT$5:$AT$304,MATCH(C221,Products!$A$5:$A$304,0)),""))</f>
        <v>0</v>
      </c>
      <c r="X221" s="20">
        <f>IF(C221="","",IFERROR(INDEX(Products!$AG$5:$AG$304,MATCH(C221,Products!$A$5:$A$304,0)),""))</f>
        <v>0</v>
      </c>
      <c r="Y221" s="20">
        <f>IF(B221="","",ROUND(IF(D221="",0,D221)*MAX(0,IF(W221="",0,W221)-IF(X221="",0,X221)),2))</f>
        <v>0</v>
      </c>
      <c r="Z221" s="20">
        <f>IF(B221="","",ROUND(MAX(0,IF(J221="",0,J221)-IF(I221="",0,I221)),2))</f>
        <v>0</v>
      </c>
      <c r="AA221" s="33">
        <f>IF(B221="","",IFERROR(INDEX(Channels!$S$5:$S$18,MATCH(IF(E221="",DefaultChannel,E221),Channels!$A$5:$A$18,0)),0))</f>
        <v>0</v>
      </c>
      <c r="AB221" s="20">
        <f>IF(B221="","",IFERROR(INDEX(Channels!$T$5:$T$18,MATCH(IF(E221="",DefaultChannel,E221),Channels!$A$5:$A$18,0)),0))</f>
        <v>0</v>
      </c>
      <c r="AC221" s="42">
        <f>IF(B221="","",IFERROR(INDEX(Channels!$O$5:$O$18,MATCH(IF(E221="",DefaultChannel,E221),Channels!$A$5:$A$18,0)),"No"))</f>
        <v>0</v>
      </c>
      <c r="AD221" s="20">
        <f>IF(B221="","",ROUND((V221+IF(AC221="Yes",IF(I221="",0,I221),0))*AA221+AB221,2))</f>
        <v>0</v>
      </c>
      <c r="AE221" s="20">
        <f>IF(B221="","",IF(K221&lt;&gt;"",K221,AD221))</f>
        <v>0</v>
      </c>
      <c r="AF221" s="20">
        <f>IF(B221="","",IF(K221="","",ROUND(K221-AD221,2)))</f>
        <v>0</v>
      </c>
      <c r="AG221" s="20">
        <f>IF(B221="","",ROUND(V221-Y221-AE221-Z221,2))</f>
        <v>0</v>
      </c>
      <c r="AH221" s="33">
        <f>IF(B221="","",IF(OR(V221="",V221=0),"",AG221/V221))</f>
        <v>0</v>
      </c>
      <c r="AI221" s="33">
        <f>IF(C221="","",IFERROR(INDEX(Products!$AW$5:$AW$304,MATCH(C221,Products!$A$5:$A$304,0)),""))</f>
        <v>0</v>
      </c>
      <c r="AJ221" s="33">
        <f>IF(B221="","",IF(OR(AH221="",AI221=""),"",AH221-AI221))</f>
        <v>0</v>
      </c>
      <c r="AK221" s="41">
        <f>IF(B221="","",IFERROR(ROUND(IF(D221="",0,D221)*INDEX(Products!$X$5:$X$304,MATCH(C221,Products!$A$5:$A$304,0))/60,2),""))</f>
        <v>0</v>
      </c>
      <c r="AL221" s="20">
        <f>IF(B221="","",IF(OR(AK221="",AK221=0),"",ROUND(AG221/AK221,2)))</f>
        <v>0</v>
      </c>
      <c r="AM221" s="43">
        <f>IF(B221="","",IF(C221="","Add - which product?",IF(AG221&lt;0,"Loss - this order cost you money",IF(M221="Refunded","Refunded - check why",IF(AND(AF221&lt;&gt;"",AF221&gt;0.25),"Check - fees higher than your settings",IF(Z221&gt;1,"Check - postage is eating the margin",IF(AND(AH221&lt;&gt;"",AH221&lt;MarginWarning),"Low margin on this order","OK")))))) )</f>
        <v>0</v>
      </c>
    </row>
    <row r="222" spans="1:39">
      <c r="A222" s="38">
        <f>IF(B222="","",SalePrefix&amp;TEXT(ROW()-4,"0000"))</f>
        <v>0</v>
      </c>
      <c r="Q222" s="13">
        <f>IF(C222="","",IFERROR(INDEX(Products!$B$5:$B$304,MATCH(C222,Products!$A$5:$A$304,0)),"Bundle or deleted"))</f>
        <v>0</v>
      </c>
      <c r="R222" s="13">
        <f>IF(B222="","",TEXT(B222,"yyyy-mm"))</f>
        <v>0</v>
      </c>
      <c r="S222" s="20">
        <f>IF(C222="","",IFERROR(INDEX(Products!$AR$5:$AR$304,MATCH(C222,Products!$A$5:$A$304,0)),""))</f>
        <v>0</v>
      </c>
      <c r="T222" s="20">
        <f>IF(B222="","",IF(F222&lt;&gt;"",F222,IF(S222="",0,S222)))</f>
        <v>0</v>
      </c>
      <c r="U222" s="20">
        <f>IF(B222="","",ROUND(IF(D222="",0,D222)*T222,2))</f>
        <v>0</v>
      </c>
      <c r="V222" s="20">
        <f>IF(B222="","",ROUND(U222-IF(G222="",0,G222)-IF(L222="",0,L222),2))</f>
        <v>0</v>
      </c>
      <c r="W222" s="20">
        <f>IF(C222="","",IFERROR(INDEX(Products!$AT$5:$AT$304,MATCH(C222,Products!$A$5:$A$304,0)),""))</f>
        <v>0</v>
      </c>
      <c r="X222" s="20">
        <f>IF(C222="","",IFERROR(INDEX(Products!$AG$5:$AG$304,MATCH(C222,Products!$A$5:$A$304,0)),""))</f>
        <v>0</v>
      </c>
      <c r="Y222" s="20">
        <f>IF(B222="","",ROUND(IF(D222="",0,D222)*MAX(0,IF(W222="",0,W222)-IF(X222="",0,X222)),2))</f>
        <v>0</v>
      </c>
      <c r="Z222" s="20">
        <f>IF(B222="","",ROUND(MAX(0,IF(J222="",0,J222)-IF(I222="",0,I222)),2))</f>
        <v>0</v>
      </c>
      <c r="AA222" s="33">
        <f>IF(B222="","",IFERROR(INDEX(Channels!$S$5:$S$18,MATCH(IF(E222="",DefaultChannel,E222),Channels!$A$5:$A$18,0)),0))</f>
        <v>0</v>
      </c>
      <c r="AB222" s="20">
        <f>IF(B222="","",IFERROR(INDEX(Channels!$T$5:$T$18,MATCH(IF(E222="",DefaultChannel,E222),Channels!$A$5:$A$18,0)),0))</f>
        <v>0</v>
      </c>
      <c r="AC222" s="42">
        <f>IF(B222="","",IFERROR(INDEX(Channels!$O$5:$O$18,MATCH(IF(E222="",DefaultChannel,E222),Channels!$A$5:$A$18,0)),"No"))</f>
        <v>0</v>
      </c>
      <c r="AD222" s="20">
        <f>IF(B222="","",ROUND((V222+IF(AC222="Yes",IF(I222="",0,I222),0))*AA222+AB222,2))</f>
        <v>0</v>
      </c>
      <c r="AE222" s="20">
        <f>IF(B222="","",IF(K222&lt;&gt;"",K222,AD222))</f>
        <v>0</v>
      </c>
      <c r="AF222" s="20">
        <f>IF(B222="","",IF(K222="","",ROUND(K222-AD222,2)))</f>
        <v>0</v>
      </c>
      <c r="AG222" s="20">
        <f>IF(B222="","",ROUND(V222-Y222-AE222-Z222,2))</f>
        <v>0</v>
      </c>
      <c r="AH222" s="33">
        <f>IF(B222="","",IF(OR(V222="",V222=0),"",AG222/V222))</f>
        <v>0</v>
      </c>
      <c r="AI222" s="33">
        <f>IF(C222="","",IFERROR(INDEX(Products!$AW$5:$AW$304,MATCH(C222,Products!$A$5:$A$304,0)),""))</f>
        <v>0</v>
      </c>
      <c r="AJ222" s="33">
        <f>IF(B222="","",IF(OR(AH222="",AI222=""),"",AH222-AI222))</f>
        <v>0</v>
      </c>
      <c r="AK222" s="41">
        <f>IF(B222="","",IFERROR(ROUND(IF(D222="",0,D222)*INDEX(Products!$X$5:$X$304,MATCH(C222,Products!$A$5:$A$304,0))/60,2),""))</f>
        <v>0</v>
      </c>
      <c r="AL222" s="20">
        <f>IF(B222="","",IF(OR(AK222="",AK222=0),"",ROUND(AG222/AK222,2)))</f>
        <v>0</v>
      </c>
      <c r="AM222" s="43">
        <f>IF(B222="","",IF(C222="","Add - which product?",IF(AG222&lt;0,"Loss - this order cost you money",IF(M222="Refunded","Refunded - check why",IF(AND(AF222&lt;&gt;"",AF222&gt;0.25),"Check - fees higher than your settings",IF(Z222&gt;1,"Check - postage is eating the margin",IF(AND(AH222&lt;&gt;"",AH222&lt;MarginWarning),"Low margin on this order","OK")))))) )</f>
        <v>0</v>
      </c>
    </row>
    <row r="223" spans="1:39">
      <c r="A223" s="38">
        <f>IF(B223="","",SalePrefix&amp;TEXT(ROW()-4,"0000"))</f>
        <v>0</v>
      </c>
      <c r="Q223" s="13">
        <f>IF(C223="","",IFERROR(INDEX(Products!$B$5:$B$304,MATCH(C223,Products!$A$5:$A$304,0)),"Bundle or deleted"))</f>
        <v>0</v>
      </c>
      <c r="R223" s="13">
        <f>IF(B223="","",TEXT(B223,"yyyy-mm"))</f>
        <v>0</v>
      </c>
      <c r="S223" s="20">
        <f>IF(C223="","",IFERROR(INDEX(Products!$AR$5:$AR$304,MATCH(C223,Products!$A$5:$A$304,0)),""))</f>
        <v>0</v>
      </c>
      <c r="T223" s="20">
        <f>IF(B223="","",IF(F223&lt;&gt;"",F223,IF(S223="",0,S223)))</f>
        <v>0</v>
      </c>
      <c r="U223" s="20">
        <f>IF(B223="","",ROUND(IF(D223="",0,D223)*T223,2))</f>
        <v>0</v>
      </c>
      <c r="V223" s="20">
        <f>IF(B223="","",ROUND(U223-IF(G223="",0,G223)-IF(L223="",0,L223),2))</f>
        <v>0</v>
      </c>
      <c r="W223" s="20">
        <f>IF(C223="","",IFERROR(INDEX(Products!$AT$5:$AT$304,MATCH(C223,Products!$A$5:$A$304,0)),""))</f>
        <v>0</v>
      </c>
      <c r="X223" s="20">
        <f>IF(C223="","",IFERROR(INDEX(Products!$AG$5:$AG$304,MATCH(C223,Products!$A$5:$A$304,0)),""))</f>
        <v>0</v>
      </c>
      <c r="Y223" s="20">
        <f>IF(B223="","",ROUND(IF(D223="",0,D223)*MAX(0,IF(W223="",0,W223)-IF(X223="",0,X223)),2))</f>
        <v>0</v>
      </c>
      <c r="Z223" s="20">
        <f>IF(B223="","",ROUND(MAX(0,IF(J223="",0,J223)-IF(I223="",0,I223)),2))</f>
        <v>0</v>
      </c>
      <c r="AA223" s="33">
        <f>IF(B223="","",IFERROR(INDEX(Channels!$S$5:$S$18,MATCH(IF(E223="",DefaultChannel,E223),Channels!$A$5:$A$18,0)),0))</f>
        <v>0</v>
      </c>
      <c r="AB223" s="20">
        <f>IF(B223="","",IFERROR(INDEX(Channels!$T$5:$T$18,MATCH(IF(E223="",DefaultChannel,E223),Channels!$A$5:$A$18,0)),0))</f>
        <v>0</v>
      </c>
      <c r="AC223" s="42">
        <f>IF(B223="","",IFERROR(INDEX(Channels!$O$5:$O$18,MATCH(IF(E223="",DefaultChannel,E223),Channels!$A$5:$A$18,0)),"No"))</f>
        <v>0</v>
      </c>
      <c r="AD223" s="20">
        <f>IF(B223="","",ROUND((V223+IF(AC223="Yes",IF(I223="",0,I223),0))*AA223+AB223,2))</f>
        <v>0</v>
      </c>
      <c r="AE223" s="20">
        <f>IF(B223="","",IF(K223&lt;&gt;"",K223,AD223))</f>
        <v>0</v>
      </c>
      <c r="AF223" s="20">
        <f>IF(B223="","",IF(K223="","",ROUND(K223-AD223,2)))</f>
        <v>0</v>
      </c>
      <c r="AG223" s="20">
        <f>IF(B223="","",ROUND(V223-Y223-AE223-Z223,2))</f>
        <v>0</v>
      </c>
      <c r="AH223" s="33">
        <f>IF(B223="","",IF(OR(V223="",V223=0),"",AG223/V223))</f>
        <v>0</v>
      </c>
      <c r="AI223" s="33">
        <f>IF(C223="","",IFERROR(INDEX(Products!$AW$5:$AW$304,MATCH(C223,Products!$A$5:$A$304,0)),""))</f>
        <v>0</v>
      </c>
      <c r="AJ223" s="33">
        <f>IF(B223="","",IF(OR(AH223="",AI223=""),"",AH223-AI223))</f>
        <v>0</v>
      </c>
      <c r="AK223" s="41">
        <f>IF(B223="","",IFERROR(ROUND(IF(D223="",0,D223)*INDEX(Products!$X$5:$X$304,MATCH(C223,Products!$A$5:$A$304,0))/60,2),""))</f>
        <v>0</v>
      </c>
      <c r="AL223" s="20">
        <f>IF(B223="","",IF(OR(AK223="",AK223=0),"",ROUND(AG223/AK223,2)))</f>
        <v>0</v>
      </c>
      <c r="AM223" s="43">
        <f>IF(B223="","",IF(C223="","Add - which product?",IF(AG223&lt;0,"Loss - this order cost you money",IF(M223="Refunded","Refunded - check why",IF(AND(AF223&lt;&gt;"",AF223&gt;0.25),"Check - fees higher than your settings",IF(Z223&gt;1,"Check - postage is eating the margin",IF(AND(AH223&lt;&gt;"",AH223&lt;MarginWarning),"Low margin on this order","OK")))))) )</f>
        <v>0</v>
      </c>
    </row>
    <row r="224" spans="1:39">
      <c r="A224" s="38">
        <f>IF(B224="","",SalePrefix&amp;TEXT(ROW()-4,"0000"))</f>
        <v>0</v>
      </c>
      <c r="Q224" s="13">
        <f>IF(C224="","",IFERROR(INDEX(Products!$B$5:$B$304,MATCH(C224,Products!$A$5:$A$304,0)),"Bundle or deleted"))</f>
        <v>0</v>
      </c>
      <c r="R224" s="13">
        <f>IF(B224="","",TEXT(B224,"yyyy-mm"))</f>
        <v>0</v>
      </c>
      <c r="S224" s="20">
        <f>IF(C224="","",IFERROR(INDEX(Products!$AR$5:$AR$304,MATCH(C224,Products!$A$5:$A$304,0)),""))</f>
        <v>0</v>
      </c>
      <c r="T224" s="20">
        <f>IF(B224="","",IF(F224&lt;&gt;"",F224,IF(S224="",0,S224)))</f>
        <v>0</v>
      </c>
      <c r="U224" s="20">
        <f>IF(B224="","",ROUND(IF(D224="",0,D224)*T224,2))</f>
        <v>0</v>
      </c>
      <c r="V224" s="20">
        <f>IF(B224="","",ROUND(U224-IF(G224="",0,G224)-IF(L224="",0,L224),2))</f>
        <v>0</v>
      </c>
      <c r="W224" s="20">
        <f>IF(C224="","",IFERROR(INDEX(Products!$AT$5:$AT$304,MATCH(C224,Products!$A$5:$A$304,0)),""))</f>
        <v>0</v>
      </c>
      <c r="X224" s="20">
        <f>IF(C224="","",IFERROR(INDEX(Products!$AG$5:$AG$304,MATCH(C224,Products!$A$5:$A$304,0)),""))</f>
        <v>0</v>
      </c>
      <c r="Y224" s="20">
        <f>IF(B224="","",ROUND(IF(D224="",0,D224)*MAX(0,IF(W224="",0,W224)-IF(X224="",0,X224)),2))</f>
        <v>0</v>
      </c>
      <c r="Z224" s="20">
        <f>IF(B224="","",ROUND(MAX(0,IF(J224="",0,J224)-IF(I224="",0,I224)),2))</f>
        <v>0</v>
      </c>
      <c r="AA224" s="33">
        <f>IF(B224="","",IFERROR(INDEX(Channels!$S$5:$S$18,MATCH(IF(E224="",DefaultChannel,E224),Channels!$A$5:$A$18,0)),0))</f>
        <v>0</v>
      </c>
      <c r="AB224" s="20">
        <f>IF(B224="","",IFERROR(INDEX(Channels!$T$5:$T$18,MATCH(IF(E224="",DefaultChannel,E224),Channels!$A$5:$A$18,0)),0))</f>
        <v>0</v>
      </c>
      <c r="AC224" s="42">
        <f>IF(B224="","",IFERROR(INDEX(Channels!$O$5:$O$18,MATCH(IF(E224="",DefaultChannel,E224),Channels!$A$5:$A$18,0)),"No"))</f>
        <v>0</v>
      </c>
      <c r="AD224" s="20">
        <f>IF(B224="","",ROUND((V224+IF(AC224="Yes",IF(I224="",0,I224),0))*AA224+AB224,2))</f>
        <v>0</v>
      </c>
      <c r="AE224" s="20">
        <f>IF(B224="","",IF(K224&lt;&gt;"",K224,AD224))</f>
        <v>0</v>
      </c>
      <c r="AF224" s="20">
        <f>IF(B224="","",IF(K224="","",ROUND(K224-AD224,2)))</f>
        <v>0</v>
      </c>
      <c r="AG224" s="20">
        <f>IF(B224="","",ROUND(V224-Y224-AE224-Z224,2))</f>
        <v>0</v>
      </c>
      <c r="AH224" s="33">
        <f>IF(B224="","",IF(OR(V224="",V224=0),"",AG224/V224))</f>
        <v>0</v>
      </c>
      <c r="AI224" s="33">
        <f>IF(C224="","",IFERROR(INDEX(Products!$AW$5:$AW$304,MATCH(C224,Products!$A$5:$A$304,0)),""))</f>
        <v>0</v>
      </c>
      <c r="AJ224" s="33">
        <f>IF(B224="","",IF(OR(AH224="",AI224=""),"",AH224-AI224))</f>
        <v>0</v>
      </c>
      <c r="AK224" s="41">
        <f>IF(B224="","",IFERROR(ROUND(IF(D224="",0,D224)*INDEX(Products!$X$5:$X$304,MATCH(C224,Products!$A$5:$A$304,0))/60,2),""))</f>
        <v>0</v>
      </c>
      <c r="AL224" s="20">
        <f>IF(B224="","",IF(OR(AK224="",AK224=0),"",ROUND(AG224/AK224,2)))</f>
        <v>0</v>
      </c>
      <c r="AM224" s="43">
        <f>IF(B224="","",IF(C224="","Add - which product?",IF(AG224&lt;0,"Loss - this order cost you money",IF(M224="Refunded","Refunded - check why",IF(AND(AF224&lt;&gt;"",AF224&gt;0.25),"Check - fees higher than your settings",IF(Z224&gt;1,"Check - postage is eating the margin",IF(AND(AH224&lt;&gt;"",AH224&lt;MarginWarning),"Low margin on this order","OK")))))) )</f>
        <v>0</v>
      </c>
    </row>
    <row r="225" spans="1:39">
      <c r="A225" s="38">
        <f>IF(B225="","",SalePrefix&amp;TEXT(ROW()-4,"0000"))</f>
        <v>0</v>
      </c>
      <c r="Q225" s="13">
        <f>IF(C225="","",IFERROR(INDEX(Products!$B$5:$B$304,MATCH(C225,Products!$A$5:$A$304,0)),"Bundle or deleted"))</f>
        <v>0</v>
      </c>
      <c r="R225" s="13">
        <f>IF(B225="","",TEXT(B225,"yyyy-mm"))</f>
        <v>0</v>
      </c>
      <c r="S225" s="20">
        <f>IF(C225="","",IFERROR(INDEX(Products!$AR$5:$AR$304,MATCH(C225,Products!$A$5:$A$304,0)),""))</f>
        <v>0</v>
      </c>
      <c r="T225" s="20">
        <f>IF(B225="","",IF(F225&lt;&gt;"",F225,IF(S225="",0,S225)))</f>
        <v>0</v>
      </c>
      <c r="U225" s="20">
        <f>IF(B225="","",ROUND(IF(D225="",0,D225)*T225,2))</f>
        <v>0</v>
      </c>
      <c r="V225" s="20">
        <f>IF(B225="","",ROUND(U225-IF(G225="",0,G225)-IF(L225="",0,L225),2))</f>
        <v>0</v>
      </c>
      <c r="W225" s="20">
        <f>IF(C225="","",IFERROR(INDEX(Products!$AT$5:$AT$304,MATCH(C225,Products!$A$5:$A$304,0)),""))</f>
        <v>0</v>
      </c>
      <c r="X225" s="20">
        <f>IF(C225="","",IFERROR(INDEX(Products!$AG$5:$AG$304,MATCH(C225,Products!$A$5:$A$304,0)),""))</f>
        <v>0</v>
      </c>
      <c r="Y225" s="20">
        <f>IF(B225="","",ROUND(IF(D225="",0,D225)*MAX(0,IF(W225="",0,W225)-IF(X225="",0,X225)),2))</f>
        <v>0</v>
      </c>
      <c r="Z225" s="20">
        <f>IF(B225="","",ROUND(MAX(0,IF(J225="",0,J225)-IF(I225="",0,I225)),2))</f>
        <v>0</v>
      </c>
      <c r="AA225" s="33">
        <f>IF(B225="","",IFERROR(INDEX(Channels!$S$5:$S$18,MATCH(IF(E225="",DefaultChannel,E225),Channels!$A$5:$A$18,0)),0))</f>
        <v>0</v>
      </c>
      <c r="AB225" s="20">
        <f>IF(B225="","",IFERROR(INDEX(Channels!$T$5:$T$18,MATCH(IF(E225="",DefaultChannel,E225),Channels!$A$5:$A$18,0)),0))</f>
        <v>0</v>
      </c>
      <c r="AC225" s="42">
        <f>IF(B225="","",IFERROR(INDEX(Channels!$O$5:$O$18,MATCH(IF(E225="",DefaultChannel,E225),Channels!$A$5:$A$18,0)),"No"))</f>
        <v>0</v>
      </c>
      <c r="AD225" s="20">
        <f>IF(B225="","",ROUND((V225+IF(AC225="Yes",IF(I225="",0,I225),0))*AA225+AB225,2))</f>
        <v>0</v>
      </c>
      <c r="AE225" s="20">
        <f>IF(B225="","",IF(K225&lt;&gt;"",K225,AD225))</f>
        <v>0</v>
      </c>
      <c r="AF225" s="20">
        <f>IF(B225="","",IF(K225="","",ROUND(K225-AD225,2)))</f>
        <v>0</v>
      </c>
      <c r="AG225" s="20">
        <f>IF(B225="","",ROUND(V225-Y225-AE225-Z225,2))</f>
        <v>0</v>
      </c>
      <c r="AH225" s="33">
        <f>IF(B225="","",IF(OR(V225="",V225=0),"",AG225/V225))</f>
        <v>0</v>
      </c>
      <c r="AI225" s="33">
        <f>IF(C225="","",IFERROR(INDEX(Products!$AW$5:$AW$304,MATCH(C225,Products!$A$5:$A$304,0)),""))</f>
        <v>0</v>
      </c>
      <c r="AJ225" s="33">
        <f>IF(B225="","",IF(OR(AH225="",AI225=""),"",AH225-AI225))</f>
        <v>0</v>
      </c>
      <c r="AK225" s="41">
        <f>IF(B225="","",IFERROR(ROUND(IF(D225="",0,D225)*INDEX(Products!$X$5:$X$304,MATCH(C225,Products!$A$5:$A$304,0))/60,2),""))</f>
        <v>0</v>
      </c>
      <c r="AL225" s="20">
        <f>IF(B225="","",IF(OR(AK225="",AK225=0),"",ROUND(AG225/AK225,2)))</f>
        <v>0</v>
      </c>
      <c r="AM225" s="43">
        <f>IF(B225="","",IF(C225="","Add - which product?",IF(AG225&lt;0,"Loss - this order cost you money",IF(M225="Refunded","Refunded - check why",IF(AND(AF225&lt;&gt;"",AF225&gt;0.25),"Check - fees higher than your settings",IF(Z225&gt;1,"Check - postage is eating the margin",IF(AND(AH225&lt;&gt;"",AH225&lt;MarginWarning),"Low margin on this order","OK")))))) )</f>
        <v>0</v>
      </c>
    </row>
    <row r="226" spans="1:39">
      <c r="A226" s="38">
        <f>IF(B226="","",SalePrefix&amp;TEXT(ROW()-4,"0000"))</f>
        <v>0</v>
      </c>
      <c r="Q226" s="13">
        <f>IF(C226="","",IFERROR(INDEX(Products!$B$5:$B$304,MATCH(C226,Products!$A$5:$A$304,0)),"Bundle or deleted"))</f>
        <v>0</v>
      </c>
      <c r="R226" s="13">
        <f>IF(B226="","",TEXT(B226,"yyyy-mm"))</f>
        <v>0</v>
      </c>
      <c r="S226" s="20">
        <f>IF(C226="","",IFERROR(INDEX(Products!$AR$5:$AR$304,MATCH(C226,Products!$A$5:$A$304,0)),""))</f>
        <v>0</v>
      </c>
      <c r="T226" s="20">
        <f>IF(B226="","",IF(F226&lt;&gt;"",F226,IF(S226="",0,S226)))</f>
        <v>0</v>
      </c>
      <c r="U226" s="20">
        <f>IF(B226="","",ROUND(IF(D226="",0,D226)*T226,2))</f>
        <v>0</v>
      </c>
      <c r="V226" s="20">
        <f>IF(B226="","",ROUND(U226-IF(G226="",0,G226)-IF(L226="",0,L226),2))</f>
        <v>0</v>
      </c>
      <c r="W226" s="20">
        <f>IF(C226="","",IFERROR(INDEX(Products!$AT$5:$AT$304,MATCH(C226,Products!$A$5:$A$304,0)),""))</f>
        <v>0</v>
      </c>
      <c r="X226" s="20">
        <f>IF(C226="","",IFERROR(INDEX(Products!$AG$5:$AG$304,MATCH(C226,Products!$A$5:$A$304,0)),""))</f>
        <v>0</v>
      </c>
      <c r="Y226" s="20">
        <f>IF(B226="","",ROUND(IF(D226="",0,D226)*MAX(0,IF(W226="",0,W226)-IF(X226="",0,X226)),2))</f>
        <v>0</v>
      </c>
      <c r="Z226" s="20">
        <f>IF(B226="","",ROUND(MAX(0,IF(J226="",0,J226)-IF(I226="",0,I226)),2))</f>
        <v>0</v>
      </c>
      <c r="AA226" s="33">
        <f>IF(B226="","",IFERROR(INDEX(Channels!$S$5:$S$18,MATCH(IF(E226="",DefaultChannel,E226),Channels!$A$5:$A$18,0)),0))</f>
        <v>0</v>
      </c>
      <c r="AB226" s="20">
        <f>IF(B226="","",IFERROR(INDEX(Channels!$T$5:$T$18,MATCH(IF(E226="",DefaultChannel,E226),Channels!$A$5:$A$18,0)),0))</f>
        <v>0</v>
      </c>
      <c r="AC226" s="42">
        <f>IF(B226="","",IFERROR(INDEX(Channels!$O$5:$O$18,MATCH(IF(E226="",DefaultChannel,E226),Channels!$A$5:$A$18,0)),"No"))</f>
        <v>0</v>
      </c>
      <c r="AD226" s="20">
        <f>IF(B226="","",ROUND((V226+IF(AC226="Yes",IF(I226="",0,I226),0))*AA226+AB226,2))</f>
        <v>0</v>
      </c>
      <c r="AE226" s="20">
        <f>IF(B226="","",IF(K226&lt;&gt;"",K226,AD226))</f>
        <v>0</v>
      </c>
      <c r="AF226" s="20">
        <f>IF(B226="","",IF(K226="","",ROUND(K226-AD226,2)))</f>
        <v>0</v>
      </c>
      <c r="AG226" s="20">
        <f>IF(B226="","",ROUND(V226-Y226-AE226-Z226,2))</f>
        <v>0</v>
      </c>
      <c r="AH226" s="33">
        <f>IF(B226="","",IF(OR(V226="",V226=0),"",AG226/V226))</f>
        <v>0</v>
      </c>
      <c r="AI226" s="33">
        <f>IF(C226="","",IFERROR(INDEX(Products!$AW$5:$AW$304,MATCH(C226,Products!$A$5:$A$304,0)),""))</f>
        <v>0</v>
      </c>
      <c r="AJ226" s="33">
        <f>IF(B226="","",IF(OR(AH226="",AI226=""),"",AH226-AI226))</f>
        <v>0</v>
      </c>
      <c r="AK226" s="41">
        <f>IF(B226="","",IFERROR(ROUND(IF(D226="",0,D226)*INDEX(Products!$X$5:$X$304,MATCH(C226,Products!$A$5:$A$304,0))/60,2),""))</f>
        <v>0</v>
      </c>
      <c r="AL226" s="20">
        <f>IF(B226="","",IF(OR(AK226="",AK226=0),"",ROUND(AG226/AK226,2)))</f>
        <v>0</v>
      </c>
      <c r="AM226" s="43">
        <f>IF(B226="","",IF(C226="","Add - which product?",IF(AG226&lt;0,"Loss - this order cost you money",IF(M226="Refunded","Refunded - check why",IF(AND(AF226&lt;&gt;"",AF226&gt;0.25),"Check - fees higher than your settings",IF(Z226&gt;1,"Check - postage is eating the margin",IF(AND(AH226&lt;&gt;"",AH226&lt;MarginWarning),"Low margin on this order","OK")))))) )</f>
        <v>0</v>
      </c>
    </row>
    <row r="227" spans="1:39">
      <c r="A227" s="38">
        <f>IF(B227="","",SalePrefix&amp;TEXT(ROW()-4,"0000"))</f>
        <v>0</v>
      </c>
      <c r="Q227" s="13">
        <f>IF(C227="","",IFERROR(INDEX(Products!$B$5:$B$304,MATCH(C227,Products!$A$5:$A$304,0)),"Bundle or deleted"))</f>
        <v>0</v>
      </c>
      <c r="R227" s="13">
        <f>IF(B227="","",TEXT(B227,"yyyy-mm"))</f>
        <v>0</v>
      </c>
      <c r="S227" s="20">
        <f>IF(C227="","",IFERROR(INDEX(Products!$AR$5:$AR$304,MATCH(C227,Products!$A$5:$A$304,0)),""))</f>
        <v>0</v>
      </c>
      <c r="T227" s="20">
        <f>IF(B227="","",IF(F227&lt;&gt;"",F227,IF(S227="",0,S227)))</f>
        <v>0</v>
      </c>
      <c r="U227" s="20">
        <f>IF(B227="","",ROUND(IF(D227="",0,D227)*T227,2))</f>
        <v>0</v>
      </c>
      <c r="V227" s="20">
        <f>IF(B227="","",ROUND(U227-IF(G227="",0,G227)-IF(L227="",0,L227),2))</f>
        <v>0</v>
      </c>
      <c r="W227" s="20">
        <f>IF(C227="","",IFERROR(INDEX(Products!$AT$5:$AT$304,MATCH(C227,Products!$A$5:$A$304,0)),""))</f>
        <v>0</v>
      </c>
      <c r="X227" s="20">
        <f>IF(C227="","",IFERROR(INDEX(Products!$AG$5:$AG$304,MATCH(C227,Products!$A$5:$A$304,0)),""))</f>
        <v>0</v>
      </c>
      <c r="Y227" s="20">
        <f>IF(B227="","",ROUND(IF(D227="",0,D227)*MAX(0,IF(W227="",0,W227)-IF(X227="",0,X227)),2))</f>
        <v>0</v>
      </c>
      <c r="Z227" s="20">
        <f>IF(B227="","",ROUND(MAX(0,IF(J227="",0,J227)-IF(I227="",0,I227)),2))</f>
        <v>0</v>
      </c>
      <c r="AA227" s="33">
        <f>IF(B227="","",IFERROR(INDEX(Channels!$S$5:$S$18,MATCH(IF(E227="",DefaultChannel,E227),Channels!$A$5:$A$18,0)),0))</f>
        <v>0</v>
      </c>
      <c r="AB227" s="20">
        <f>IF(B227="","",IFERROR(INDEX(Channels!$T$5:$T$18,MATCH(IF(E227="",DefaultChannel,E227),Channels!$A$5:$A$18,0)),0))</f>
        <v>0</v>
      </c>
      <c r="AC227" s="42">
        <f>IF(B227="","",IFERROR(INDEX(Channels!$O$5:$O$18,MATCH(IF(E227="",DefaultChannel,E227),Channels!$A$5:$A$18,0)),"No"))</f>
        <v>0</v>
      </c>
      <c r="AD227" s="20">
        <f>IF(B227="","",ROUND((V227+IF(AC227="Yes",IF(I227="",0,I227),0))*AA227+AB227,2))</f>
        <v>0</v>
      </c>
      <c r="AE227" s="20">
        <f>IF(B227="","",IF(K227&lt;&gt;"",K227,AD227))</f>
        <v>0</v>
      </c>
      <c r="AF227" s="20">
        <f>IF(B227="","",IF(K227="","",ROUND(K227-AD227,2)))</f>
        <v>0</v>
      </c>
      <c r="AG227" s="20">
        <f>IF(B227="","",ROUND(V227-Y227-AE227-Z227,2))</f>
        <v>0</v>
      </c>
      <c r="AH227" s="33">
        <f>IF(B227="","",IF(OR(V227="",V227=0),"",AG227/V227))</f>
        <v>0</v>
      </c>
      <c r="AI227" s="33">
        <f>IF(C227="","",IFERROR(INDEX(Products!$AW$5:$AW$304,MATCH(C227,Products!$A$5:$A$304,0)),""))</f>
        <v>0</v>
      </c>
      <c r="AJ227" s="33">
        <f>IF(B227="","",IF(OR(AH227="",AI227=""),"",AH227-AI227))</f>
        <v>0</v>
      </c>
      <c r="AK227" s="41">
        <f>IF(B227="","",IFERROR(ROUND(IF(D227="",0,D227)*INDEX(Products!$X$5:$X$304,MATCH(C227,Products!$A$5:$A$304,0))/60,2),""))</f>
        <v>0</v>
      </c>
      <c r="AL227" s="20">
        <f>IF(B227="","",IF(OR(AK227="",AK227=0),"",ROUND(AG227/AK227,2)))</f>
        <v>0</v>
      </c>
      <c r="AM227" s="43">
        <f>IF(B227="","",IF(C227="","Add - which product?",IF(AG227&lt;0,"Loss - this order cost you money",IF(M227="Refunded","Refunded - check why",IF(AND(AF227&lt;&gt;"",AF227&gt;0.25),"Check - fees higher than your settings",IF(Z227&gt;1,"Check - postage is eating the margin",IF(AND(AH227&lt;&gt;"",AH227&lt;MarginWarning),"Low margin on this order","OK")))))) )</f>
        <v>0</v>
      </c>
    </row>
    <row r="228" spans="1:39">
      <c r="A228" s="38">
        <f>IF(B228="","",SalePrefix&amp;TEXT(ROW()-4,"0000"))</f>
        <v>0</v>
      </c>
      <c r="Q228" s="13">
        <f>IF(C228="","",IFERROR(INDEX(Products!$B$5:$B$304,MATCH(C228,Products!$A$5:$A$304,0)),"Bundle or deleted"))</f>
        <v>0</v>
      </c>
      <c r="R228" s="13">
        <f>IF(B228="","",TEXT(B228,"yyyy-mm"))</f>
        <v>0</v>
      </c>
      <c r="S228" s="20">
        <f>IF(C228="","",IFERROR(INDEX(Products!$AR$5:$AR$304,MATCH(C228,Products!$A$5:$A$304,0)),""))</f>
        <v>0</v>
      </c>
      <c r="T228" s="20">
        <f>IF(B228="","",IF(F228&lt;&gt;"",F228,IF(S228="",0,S228)))</f>
        <v>0</v>
      </c>
      <c r="U228" s="20">
        <f>IF(B228="","",ROUND(IF(D228="",0,D228)*T228,2))</f>
        <v>0</v>
      </c>
      <c r="V228" s="20">
        <f>IF(B228="","",ROUND(U228-IF(G228="",0,G228)-IF(L228="",0,L228),2))</f>
        <v>0</v>
      </c>
      <c r="W228" s="20">
        <f>IF(C228="","",IFERROR(INDEX(Products!$AT$5:$AT$304,MATCH(C228,Products!$A$5:$A$304,0)),""))</f>
        <v>0</v>
      </c>
      <c r="X228" s="20">
        <f>IF(C228="","",IFERROR(INDEX(Products!$AG$5:$AG$304,MATCH(C228,Products!$A$5:$A$304,0)),""))</f>
        <v>0</v>
      </c>
      <c r="Y228" s="20">
        <f>IF(B228="","",ROUND(IF(D228="",0,D228)*MAX(0,IF(W228="",0,W228)-IF(X228="",0,X228)),2))</f>
        <v>0</v>
      </c>
      <c r="Z228" s="20">
        <f>IF(B228="","",ROUND(MAX(0,IF(J228="",0,J228)-IF(I228="",0,I228)),2))</f>
        <v>0</v>
      </c>
      <c r="AA228" s="33">
        <f>IF(B228="","",IFERROR(INDEX(Channels!$S$5:$S$18,MATCH(IF(E228="",DefaultChannel,E228),Channels!$A$5:$A$18,0)),0))</f>
        <v>0</v>
      </c>
      <c r="AB228" s="20">
        <f>IF(B228="","",IFERROR(INDEX(Channels!$T$5:$T$18,MATCH(IF(E228="",DefaultChannel,E228),Channels!$A$5:$A$18,0)),0))</f>
        <v>0</v>
      </c>
      <c r="AC228" s="42">
        <f>IF(B228="","",IFERROR(INDEX(Channels!$O$5:$O$18,MATCH(IF(E228="",DefaultChannel,E228),Channels!$A$5:$A$18,0)),"No"))</f>
        <v>0</v>
      </c>
      <c r="AD228" s="20">
        <f>IF(B228="","",ROUND((V228+IF(AC228="Yes",IF(I228="",0,I228),0))*AA228+AB228,2))</f>
        <v>0</v>
      </c>
      <c r="AE228" s="20">
        <f>IF(B228="","",IF(K228&lt;&gt;"",K228,AD228))</f>
        <v>0</v>
      </c>
      <c r="AF228" s="20">
        <f>IF(B228="","",IF(K228="","",ROUND(K228-AD228,2)))</f>
        <v>0</v>
      </c>
      <c r="AG228" s="20">
        <f>IF(B228="","",ROUND(V228-Y228-AE228-Z228,2))</f>
        <v>0</v>
      </c>
      <c r="AH228" s="33">
        <f>IF(B228="","",IF(OR(V228="",V228=0),"",AG228/V228))</f>
        <v>0</v>
      </c>
      <c r="AI228" s="33">
        <f>IF(C228="","",IFERROR(INDEX(Products!$AW$5:$AW$304,MATCH(C228,Products!$A$5:$A$304,0)),""))</f>
        <v>0</v>
      </c>
      <c r="AJ228" s="33">
        <f>IF(B228="","",IF(OR(AH228="",AI228=""),"",AH228-AI228))</f>
        <v>0</v>
      </c>
      <c r="AK228" s="41">
        <f>IF(B228="","",IFERROR(ROUND(IF(D228="",0,D228)*INDEX(Products!$X$5:$X$304,MATCH(C228,Products!$A$5:$A$304,0))/60,2),""))</f>
        <v>0</v>
      </c>
      <c r="AL228" s="20">
        <f>IF(B228="","",IF(OR(AK228="",AK228=0),"",ROUND(AG228/AK228,2)))</f>
        <v>0</v>
      </c>
      <c r="AM228" s="43">
        <f>IF(B228="","",IF(C228="","Add - which product?",IF(AG228&lt;0,"Loss - this order cost you money",IF(M228="Refunded","Refunded - check why",IF(AND(AF228&lt;&gt;"",AF228&gt;0.25),"Check - fees higher than your settings",IF(Z228&gt;1,"Check - postage is eating the margin",IF(AND(AH228&lt;&gt;"",AH228&lt;MarginWarning),"Low margin on this order","OK")))))) )</f>
        <v>0</v>
      </c>
    </row>
    <row r="229" spans="1:39">
      <c r="A229" s="38">
        <f>IF(B229="","",SalePrefix&amp;TEXT(ROW()-4,"0000"))</f>
        <v>0</v>
      </c>
      <c r="Q229" s="13">
        <f>IF(C229="","",IFERROR(INDEX(Products!$B$5:$B$304,MATCH(C229,Products!$A$5:$A$304,0)),"Bundle or deleted"))</f>
        <v>0</v>
      </c>
      <c r="R229" s="13">
        <f>IF(B229="","",TEXT(B229,"yyyy-mm"))</f>
        <v>0</v>
      </c>
      <c r="S229" s="20">
        <f>IF(C229="","",IFERROR(INDEX(Products!$AR$5:$AR$304,MATCH(C229,Products!$A$5:$A$304,0)),""))</f>
        <v>0</v>
      </c>
      <c r="T229" s="20">
        <f>IF(B229="","",IF(F229&lt;&gt;"",F229,IF(S229="",0,S229)))</f>
        <v>0</v>
      </c>
      <c r="U229" s="20">
        <f>IF(B229="","",ROUND(IF(D229="",0,D229)*T229,2))</f>
        <v>0</v>
      </c>
      <c r="V229" s="20">
        <f>IF(B229="","",ROUND(U229-IF(G229="",0,G229)-IF(L229="",0,L229),2))</f>
        <v>0</v>
      </c>
      <c r="W229" s="20">
        <f>IF(C229="","",IFERROR(INDEX(Products!$AT$5:$AT$304,MATCH(C229,Products!$A$5:$A$304,0)),""))</f>
        <v>0</v>
      </c>
      <c r="X229" s="20">
        <f>IF(C229="","",IFERROR(INDEX(Products!$AG$5:$AG$304,MATCH(C229,Products!$A$5:$A$304,0)),""))</f>
        <v>0</v>
      </c>
      <c r="Y229" s="20">
        <f>IF(B229="","",ROUND(IF(D229="",0,D229)*MAX(0,IF(W229="",0,W229)-IF(X229="",0,X229)),2))</f>
        <v>0</v>
      </c>
      <c r="Z229" s="20">
        <f>IF(B229="","",ROUND(MAX(0,IF(J229="",0,J229)-IF(I229="",0,I229)),2))</f>
        <v>0</v>
      </c>
      <c r="AA229" s="33">
        <f>IF(B229="","",IFERROR(INDEX(Channels!$S$5:$S$18,MATCH(IF(E229="",DefaultChannel,E229),Channels!$A$5:$A$18,0)),0))</f>
        <v>0</v>
      </c>
      <c r="AB229" s="20">
        <f>IF(B229="","",IFERROR(INDEX(Channels!$T$5:$T$18,MATCH(IF(E229="",DefaultChannel,E229),Channels!$A$5:$A$18,0)),0))</f>
        <v>0</v>
      </c>
      <c r="AC229" s="42">
        <f>IF(B229="","",IFERROR(INDEX(Channels!$O$5:$O$18,MATCH(IF(E229="",DefaultChannel,E229),Channels!$A$5:$A$18,0)),"No"))</f>
        <v>0</v>
      </c>
      <c r="AD229" s="20">
        <f>IF(B229="","",ROUND((V229+IF(AC229="Yes",IF(I229="",0,I229),0))*AA229+AB229,2))</f>
        <v>0</v>
      </c>
      <c r="AE229" s="20">
        <f>IF(B229="","",IF(K229&lt;&gt;"",K229,AD229))</f>
        <v>0</v>
      </c>
      <c r="AF229" s="20">
        <f>IF(B229="","",IF(K229="","",ROUND(K229-AD229,2)))</f>
        <v>0</v>
      </c>
      <c r="AG229" s="20">
        <f>IF(B229="","",ROUND(V229-Y229-AE229-Z229,2))</f>
        <v>0</v>
      </c>
      <c r="AH229" s="33">
        <f>IF(B229="","",IF(OR(V229="",V229=0),"",AG229/V229))</f>
        <v>0</v>
      </c>
      <c r="AI229" s="33">
        <f>IF(C229="","",IFERROR(INDEX(Products!$AW$5:$AW$304,MATCH(C229,Products!$A$5:$A$304,0)),""))</f>
        <v>0</v>
      </c>
      <c r="AJ229" s="33">
        <f>IF(B229="","",IF(OR(AH229="",AI229=""),"",AH229-AI229))</f>
        <v>0</v>
      </c>
      <c r="AK229" s="41">
        <f>IF(B229="","",IFERROR(ROUND(IF(D229="",0,D229)*INDEX(Products!$X$5:$X$304,MATCH(C229,Products!$A$5:$A$304,0))/60,2),""))</f>
        <v>0</v>
      </c>
      <c r="AL229" s="20">
        <f>IF(B229="","",IF(OR(AK229="",AK229=0),"",ROUND(AG229/AK229,2)))</f>
        <v>0</v>
      </c>
      <c r="AM229" s="43">
        <f>IF(B229="","",IF(C229="","Add - which product?",IF(AG229&lt;0,"Loss - this order cost you money",IF(M229="Refunded","Refunded - check why",IF(AND(AF229&lt;&gt;"",AF229&gt;0.25),"Check - fees higher than your settings",IF(Z229&gt;1,"Check - postage is eating the margin",IF(AND(AH229&lt;&gt;"",AH229&lt;MarginWarning),"Low margin on this order","OK")))))) )</f>
        <v>0</v>
      </c>
    </row>
    <row r="230" spans="1:39">
      <c r="A230" s="38">
        <f>IF(B230="","",SalePrefix&amp;TEXT(ROW()-4,"0000"))</f>
        <v>0</v>
      </c>
      <c r="Q230" s="13">
        <f>IF(C230="","",IFERROR(INDEX(Products!$B$5:$B$304,MATCH(C230,Products!$A$5:$A$304,0)),"Bundle or deleted"))</f>
        <v>0</v>
      </c>
      <c r="R230" s="13">
        <f>IF(B230="","",TEXT(B230,"yyyy-mm"))</f>
        <v>0</v>
      </c>
      <c r="S230" s="20">
        <f>IF(C230="","",IFERROR(INDEX(Products!$AR$5:$AR$304,MATCH(C230,Products!$A$5:$A$304,0)),""))</f>
        <v>0</v>
      </c>
      <c r="T230" s="20">
        <f>IF(B230="","",IF(F230&lt;&gt;"",F230,IF(S230="",0,S230)))</f>
        <v>0</v>
      </c>
      <c r="U230" s="20">
        <f>IF(B230="","",ROUND(IF(D230="",0,D230)*T230,2))</f>
        <v>0</v>
      </c>
      <c r="V230" s="20">
        <f>IF(B230="","",ROUND(U230-IF(G230="",0,G230)-IF(L230="",0,L230),2))</f>
        <v>0</v>
      </c>
      <c r="W230" s="20">
        <f>IF(C230="","",IFERROR(INDEX(Products!$AT$5:$AT$304,MATCH(C230,Products!$A$5:$A$304,0)),""))</f>
        <v>0</v>
      </c>
      <c r="X230" s="20">
        <f>IF(C230="","",IFERROR(INDEX(Products!$AG$5:$AG$304,MATCH(C230,Products!$A$5:$A$304,0)),""))</f>
        <v>0</v>
      </c>
      <c r="Y230" s="20">
        <f>IF(B230="","",ROUND(IF(D230="",0,D230)*MAX(0,IF(W230="",0,W230)-IF(X230="",0,X230)),2))</f>
        <v>0</v>
      </c>
      <c r="Z230" s="20">
        <f>IF(B230="","",ROUND(MAX(0,IF(J230="",0,J230)-IF(I230="",0,I230)),2))</f>
        <v>0</v>
      </c>
      <c r="AA230" s="33">
        <f>IF(B230="","",IFERROR(INDEX(Channels!$S$5:$S$18,MATCH(IF(E230="",DefaultChannel,E230),Channels!$A$5:$A$18,0)),0))</f>
        <v>0</v>
      </c>
      <c r="AB230" s="20">
        <f>IF(B230="","",IFERROR(INDEX(Channels!$T$5:$T$18,MATCH(IF(E230="",DefaultChannel,E230),Channels!$A$5:$A$18,0)),0))</f>
        <v>0</v>
      </c>
      <c r="AC230" s="42">
        <f>IF(B230="","",IFERROR(INDEX(Channels!$O$5:$O$18,MATCH(IF(E230="",DefaultChannel,E230),Channels!$A$5:$A$18,0)),"No"))</f>
        <v>0</v>
      </c>
      <c r="AD230" s="20">
        <f>IF(B230="","",ROUND((V230+IF(AC230="Yes",IF(I230="",0,I230),0))*AA230+AB230,2))</f>
        <v>0</v>
      </c>
      <c r="AE230" s="20">
        <f>IF(B230="","",IF(K230&lt;&gt;"",K230,AD230))</f>
        <v>0</v>
      </c>
      <c r="AF230" s="20">
        <f>IF(B230="","",IF(K230="","",ROUND(K230-AD230,2)))</f>
        <v>0</v>
      </c>
      <c r="AG230" s="20">
        <f>IF(B230="","",ROUND(V230-Y230-AE230-Z230,2))</f>
        <v>0</v>
      </c>
      <c r="AH230" s="33">
        <f>IF(B230="","",IF(OR(V230="",V230=0),"",AG230/V230))</f>
        <v>0</v>
      </c>
      <c r="AI230" s="33">
        <f>IF(C230="","",IFERROR(INDEX(Products!$AW$5:$AW$304,MATCH(C230,Products!$A$5:$A$304,0)),""))</f>
        <v>0</v>
      </c>
      <c r="AJ230" s="33">
        <f>IF(B230="","",IF(OR(AH230="",AI230=""),"",AH230-AI230))</f>
        <v>0</v>
      </c>
      <c r="AK230" s="41">
        <f>IF(B230="","",IFERROR(ROUND(IF(D230="",0,D230)*INDEX(Products!$X$5:$X$304,MATCH(C230,Products!$A$5:$A$304,0))/60,2),""))</f>
        <v>0</v>
      </c>
      <c r="AL230" s="20">
        <f>IF(B230="","",IF(OR(AK230="",AK230=0),"",ROUND(AG230/AK230,2)))</f>
        <v>0</v>
      </c>
      <c r="AM230" s="43">
        <f>IF(B230="","",IF(C230="","Add - which product?",IF(AG230&lt;0,"Loss - this order cost you money",IF(M230="Refunded","Refunded - check why",IF(AND(AF230&lt;&gt;"",AF230&gt;0.25),"Check - fees higher than your settings",IF(Z230&gt;1,"Check - postage is eating the margin",IF(AND(AH230&lt;&gt;"",AH230&lt;MarginWarning),"Low margin on this order","OK")))))) )</f>
        <v>0</v>
      </c>
    </row>
    <row r="231" spans="1:39">
      <c r="A231" s="38">
        <f>IF(B231="","",SalePrefix&amp;TEXT(ROW()-4,"0000"))</f>
        <v>0</v>
      </c>
      <c r="Q231" s="13">
        <f>IF(C231="","",IFERROR(INDEX(Products!$B$5:$B$304,MATCH(C231,Products!$A$5:$A$304,0)),"Bundle or deleted"))</f>
        <v>0</v>
      </c>
      <c r="R231" s="13">
        <f>IF(B231="","",TEXT(B231,"yyyy-mm"))</f>
        <v>0</v>
      </c>
      <c r="S231" s="20">
        <f>IF(C231="","",IFERROR(INDEX(Products!$AR$5:$AR$304,MATCH(C231,Products!$A$5:$A$304,0)),""))</f>
        <v>0</v>
      </c>
      <c r="T231" s="20">
        <f>IF(B231="","",IF(F231&lt;&gt;"",F231,IF(S231="",0,S231)))</f>
        <v>0</v>
      </c>
      <c r="U231" s="20">
        <f>IF(B231="","",ROUND(IF(D231="",0,D231)*T231,2))</f>
        <v>0</v>
      </c>
      <c r="V231" s="20">
        <f>IF(B231="","",ROUND(U231-IF(G231="",0,G231)-IF(L231="",0,L231),2))</f>
        <v>0</v>
      </c>
      <c r="W231" s="20">
        <f>IF(C231="","",IFERROR(INDEX(Products!$AT$5:$AT$304,MATCH(C231,Products!$A$5:$A$304,0)),""))</f>
        <v>0</v>
      </c>
      <c r="X231" s="20">
        <f>IF(C231="","",IFERROR(INDEX(Products!$AG$5:$AG$304,MATCH(C231,Products!$A$5:$A$304,0)),""))</f>
        <v>0</v>
      </c>
      <c r="Y231" s="20">
        <f>IF(B231="","",ROUND(IF(D231="",0,D231)*MAX(0,IF(W231="",0,W231)-IF(X231="",0,X231)),2))</f>
        <v>0</v>
      </c>
      <c r="Z231" s="20">
        <f>IF(B231="","",ROUND(MAX(0,IF(J231="",0,J231)-IF(I231="",0,I231)),2))</f>
        <v>0</v>
      </c>
      <c r="AA231" s="33">
        <f>IF(B231="","",IFERROR(INDEX(Channels!$S$5:$S$18,MATCH(IF(E231="",DefaultChannel,E231),Channels!$A$5:$A$18,0)),0))</f>
        <v>0</v>
      </c>
      <c r="AB231" s="20">
        <f>IF(B231="","",IFERROR(INDEX(Channels!$T$5:$T$18,MATCH(IF(E231="",DefaultChannel,E231),Channels!$A$5:$A$18,0)),0))</f>
        <v>0</v>
      </c>
      <c r="AC231" s="42">
        <f>IF(B231="","",IFERROR(INDEX(Channels!$O$5:$O$18,MATCH(IF(E231="",DefaultChannel,E231),Channels!$A$5:$A$18,0)),"No"))</f>
        <v>0</v>
      </c>
      <c r="AD231" s="20">
        <f>IF(B231="","",ROUND((V231+IF(AC231="Yes",IF(I231="",0,I231),0))*AA231+AB231,2))</f>
        <v>0</v>
      </c>
      <c r="AE231" s="20">
        <f>IF(B231="","",IF(K231&lt;&gt;"",K231,AD231))</f>
        <v>0</v>
      </c>
      <c r="AF231" s="20">
        <f>IF(B231="","",IF(K231="","",ROUND(K231-AD231,2)))</f>
        <v>0</v>
      </c>
      <c r="AG231" s="20">
        <f>IF(B231="","",ROUND(V231-Y231-AE231-Z231,2))</f>
        <v>0</v>
      </c>
      <c r="AH231" s="33">
        <f>IF(B231="","",IF(OR(V231="",V231=0),"",AG231/V231))</f>
        <v>0</v>
      </c>
      <c r="AI231" s="33">
        <f>IF(C231="","",IFERROR(INDEX(Products!$AW$5:$AW$304,MATCH(C231,Products!$A$5:$A$304,0)),""))</f>
        <v>0</v>
      </c>
      <c r="AJ231" s="33">
        <f>IF(B231="","",IF(OR(AH231="",AI231=""),"",AH231-AI231))</f>
        <v>0</v>
      </c>
      <c r="AK231" s="41">
        <f>IF(B231="","",IFERROR(ROUND(IF(D231="",0,D231)*INDEX(Products!$X$5:$X$304,MATCH(C231,Products!$A$5:$A$304,0))/60,2),""))</f>
        <v>0</v>
      </c>
      <c r="AL231" s="20">
        <f>IF(B231="","",IF(OR(AK231="",AK231=0),"",ROUND(AG231/AK231,2)))</f>
        <v>0</v>
      </c>
      <c r="AM231" s="43">
        <f>IF(B231="","",IF(C231="","Add - which product?",IF(AG231&lt;0,"Loss - this order cost you money",IF(M231="Refunded","Refunded - check why",IF(AND(AF231&lt;&gt;"",AF231&gt;0.25),"Check - fees higher than your settings",IF(Z231&gt;1,"Check - postage is eating the margin",IF(AND(AH231&lt;&gt;"",AH231&lt;MarginWarning),"Low margin on this order","OK")))))) )</f>
        <v>0</v>
      </c>
    </row>
    <row r="232" spans="1:39">
      <c r="A232" s="38">
        <f>IF(B232="","",SalePrefix&amp;TEXT(ROW()-4,"0000"))</f>
        <v>0</v>
      </c>
      <c r="Q232" s="13">
        <f>IF(C232="","",IFERROR(INDEX(Products!$B$5:$B$304,MATCH(C232,Products!$A$5:$A$304,0)),"Bundle or deleted"))</f>
        <v>0</v>
      </c>
      <c r="R232" s="13">
        <f>IF(B232="","",TEXT(B232,"yyyy-mm"))</f>
        <v>0</v>
      </c>
      <c r="S232" s="20">
        <f>IF(C232="","",IFERROR(INDEX(Products!$AR$5:$AR$304,MATCH(C232,Products!$A$5:$A$304,0)),""))</f>
        <v>0</v>
      </c>
      <c r="T232" s="20">
        <f>IF(B232="","",IF(F232&lt;&gt;"",F232,IF(S232="",0,S232)))</f>
        <v>0</v>
      </c>
      <c r="U232" s="20">
        <f>IF(B232="","",ROUND(IF(D232="",0,D232)*T232,2))</f>
        <v>0</v>
      </c>
      <c r="V232" s="20">
        <f>IF(B232="","",ROUND(U232-IF(G232="",0,G232)-IF(L232="",0,L232),2))</f>
        <v>0</v>
      </c>
      <c r="W232" s="20">
        <f>IF(C232="","",IFERROR(INDEX(Products!$AT$5:$AT$304,MATCH(C232,Products!$A$5:$A$304,0)),""))</f>
        <v>0</v>
      </c>
      <c r="X232" s="20">
        <f>IF(C232="","",IFERROR(INDEX(Products!$AG$5:$AG$304,MATCH(C232,Products!$A$5:$A$304,0)),""))</f>
        <v>0</v>
      </c>
      <c r="Y232" s="20">
        <f>IF(B232="","",ROUND(IF(D232="",0,D232)*MAX(0,IF(W232="",0,W232)-IF(X232="",0,X232)),2))</f>
        <v>0</v>
      </c>
      <c r="Z232" s="20">
        <f>IF(B232="","",ROUND(MAX(0,IF(J232="",0,J232)-IF(I232="",0,I232)),2))</f>
        <v>0</v>
      </c>
      <c r="AA232" s="33">
        <f>IF(B232="","",IFERROR(INDEX(Channels!$S$5:$S$18,MATCH(IF(E232="",DefaultChannel,E232),Channels!$A$5:$A$18,0)),0))</f>
        <v>0</v>
      </c>
      <c r="AB232" s="20">
        <f>IF(B232="","",IFERROR(INDEX(Channels!$T$5:$T$18,MATCH(IF(E232="",DefaultChannel,E232),Channels!$A$5:$A$18,0)),0))</f>
        <v>0</v>
      </c>
      <c r="AC232" s="42">
        <f>IF(B232="","",IFERROR(INDEX(Channels!$O$5:$O$18,MATCH(IF(E232="",DefaultChannel,E232),Channels!$A$5:$A$18,0)),"No"))</f>
        <v>0</v>
      </c>
      <c r="AD232" s="20">
        <f>IF(B232="","",ROUND((V232+IF(AC232="Yes",IF(I232="",0,I232),0))*AA232+AB232,2))</f>
        <v>0</v>
      </c>
      <c r="AE232" s="20">
        <f>IF(B232="","",IF(K232&lt;&gt;"",K232,AD232))</f>
        <v>0</v>
      </c>
      <c r="AF232" s="20">
        <f>IF(B232="","",IF(K232="","",ROUND(K232-AD232,2)))</f>
        <v>0</v>
      </c>
      <c r="AG232" s="20">
        <f>IF(B232="","",ROUND(V232-Y232-AE232-Z232,2))</f>
        <v>0</v>
      </c>
      <c r="AH232" s="33">
        <f>IF(B232="","",IF(OR(V232="",V232=0),"",AG232/V232))</f>
        <v>0</v>
      </c>
      <c r="AI232" s="33">
        <f>IF(C232="","",IFERROR(INDEX(Products!$AW$5:$AW$304,MATCH(C232,Products!$A$5:$A$304,0)),""))</f>
        <v>0</v>
      </c>
      <c r="AJ232" s="33">
        <f>IF(B232="","",IF(OR(AH232="",AI232=""),"",AH232-AI232))</f>
        <v>0</v>
      </c>
      <c r="AK232" s="41">
        <f>IF(B232="","",IFERROR(ROUND(IF(D232="",0,D232)*INDEX(Products!$X$5:$X$304,MATCH(C232,Products!$A$5:$A$304,0))/60,2),""))</f>
        <v>0</v>
      </c>
      <c r="AL232" s="20">
        <f>IF(B232="","",IF(OR(AK232="",AK232=0),"",ROUND(AG232/AK232,2)))</f>
        <v>0</v>
      </c>
      <c r="AM232" s="43">
        <f>IF(B232="","",IF(C232="","Add - which product?",IF(AG232&lt;0,"Loss - this order cost you money",IF(M232="Refunded","Refunded - check why",IF(AND(AF232&lt;&gt;"",AF232&gt;0.25),"Check - fees higher than your settings",IF(Z232&gt;1,"Check - postage is eating the margin",IF(AND(AH232&lt;&gt;"",AH232&lt;MarginWarning),"Low margin on this order","OK")))))) )</f>
        <v>0</v>
      </c>
    </row>
    <row r="233" spans="1:39">
      <c r="A233" s="38">
        <f>IF(B233="","",SalePrefix&amp;TEXT(ROW()-4,"0000"))</f>
        <v>0</v>
      </c>
      <c r="Q233" s="13">
        <f>IF(C233="","",IFERROR(INDEX(Products!$B$5:$B$304,MATCH(C233,Products!$A$5:$A$304,0)),"Bundle or deleted"))</f>
        <v>0</v>
      </c>
      <c r="R233" s="13">
        <f>IF(B233="","",TEXT(B233,"yyyy-mm"))</f>
        <v>0</v>
      </c>
      <c r="S233" s="20">
        <f>IF(C233="","",IFERROR(INDEX(Products!$AR$5:$AR$304,MATCH(C233,Products!$A$5:$A$304,0)),""))</f>
        <v>0</v>
      </c>
      <c r="T233" s="20">
        <f>IF(B233="","",IF(F233&lt;&gt;"",F233,IF(S233="",0,S233)))</f>
        <v>0</v>
      </c>
      <c r="U233" s="20">
        <f>IF(B233="","",ROUND(IF(D233="",0,D233)*T233,2))</f>
        <v>0</v>
      </c>
      <c r="V233" s="20">
        <f>IF(B233="","",ROUND(U233-IF(G233="",0,G233)-IF(L233="",0,L233),2))</f>
        <v>0</v>
      </c>
      <c r="W233" s="20">
        <f>IF(C233="","",IFERROR(INDEX(Products!$AT$5:$AT$304,MATCH(C233,Products!$A$5:$A$304,0)),""))</f>
        <v>0</v>
      </c>
      <c r="X233" s="20">
        <f>IF(C233="","",IFERROR(INDEX(Products!$AG$5:$AG$304,MATCH(C233,Products!$A$5:$A$304,0)),""))</f>
        <v>0</v>
      </c>
      <c r="Y233" s="20">
        <f>IF(B233="","",ROUND(IF(D233="",0,D233)*MAX(0,IF(W233="",0,W233)-IF(X233="",0,X233)),2))</f>
        <v>0</v>
      </c>
      <c r="Z233" s="20">
        <f>IF(B233="","",ROUND(MAX(0,IF(J233="",0,J233)-IF(I233="",0,I233)),2))</f>
        <v>0</v>
      </c>
      <c r="AA233" s="33">
        <f>IF(B233="","",IFERROR(INDEX(Channels!$S$5:$S$18,MATCH(IF(E233="",DefaultChannel,E233),Channels!$A$5:$A$18,0)),0))</f>
        <v>0</v>
      </c>
      <c r="AB233" s="20">
        <f>IF(B233="","",IFERROR(INDEX(Channels!$T$5:$T$18,MATCH(IF(E233="",DefaultChannel,E233),Channels!$A$5:$A$18,0)),0))</f>
        <v>0</v>
      </c>
      <c r="AC233" s="42">
        <f>IF(B233="","",IFERROR(INDEX(Channels!$O$5:$O$18,MATCH(IF(E233="",DefaultChannel,E233),Channels!$A$5:$A$18,0)),"No"))</f>
        <v>0</v>
      </c>
      <c r="AD233" s="20">
        <f>IF(B233="","",ROUND((V233+IF(AC233="Yes",IF(I233="",0,I233),0))*AA233+AB233,2))</f>
        <v>0</v>
      </c>
      <c r="AE233" s="20">
        <f>IF(B233="","",IF(K233&lt;&gt;"",K233,AD233))</f>
        <v>0</v>
      </c>
      <c r="AF233" s="20">
        <f>IF(B233="","",IF(K233="","",ROUND(K233-AD233,2)))</f>
        <v>0</v>
      </c>
      <c r="AG233" s="20">
        <f>IF(B233="","",ROUND(V233-Y233-AE233-Z233,2))</f>
        <v>0</v>
      </c>
      <c r="AH233" s="33">
        <f>IF(B233="","",IF(OR(V233="",V233=0),"",AG233/V233))</f>
        <v>0</v>
      </c>
      <c r="AI233" s="33">
        <f>IF(C233="","",IFERROR(INDEX(Products!$AW$5:$AW$304,MATCH(C233,Products!$A$5:$A$304,0)),""))</f>
        <v>0</v>
      </c>
      <c r="AJ233" s="33">
        <f>IF(B233="","",IF(OR(AH233="",AI233=""),"",AH233-AI233))</f>
        <v>0</v>
      </c>
      <c r="AK233" s="41">
        <f>IF(B233="","",IFERROR(ROUND(IF(D233="",0,D233)*INDEX(Products!$X$5:$X$304,MATCH(C233,Products!$A$5:$A$304,0))/60,2),""))</f>
        <v>0</v>
      </c>
      <c r="AL233" s="20">
        <f>IF(B233="","",IF(OR(AK233="",AK233=0),"",ROUND(AG233/AK233,2)))</f>
        <v>0</v>
      </c>
      <c r="AM233" s="43">
        <f>IF(B233="","",IF(C233="","Add - which product?",IF(AG233&lt;0,"Loss - this order cost you money",IF(M233="Refunded","Refunded - check why",IF(AND(AF233&lt;&gt;"",AF233&gt;0.25),"Check - fees higher than your settings",IF(Z233&gt;1,"Check - postage is eating the margin",IF(AND(AH233&lt;&gt;"",AH233&lt;MarginWarning),"Low margin on this order","OK")))))) )</f>
        <v>0</v>
      </c>
    </row>
    <row r="234" spans="1:39">
      <c r="A234" s="38">
        <f>IF(B234="","",SalePrefix&amp;TEXT(ROW()-4,"0000"))</f>
        <v>0</v>
      </c>
      <c r="Q234" s="13">
        <f>IF(C234="","",IFERROR(INDEX(Products!$B$5:$B$304,MATCH(C234,Products!$A$5:$A$304,0)),"Bundle or deleted"))</f>
        <v>0</v>
      </c>
      <c r="R234" s="13">
        <f>IF(B234="","",TEXT(B234,"yyyy-mm"))</f>
        <v>0</v>
      </c>
      <c r="S234" s="20">
        <f>IF(C234="","",IFERROR(INDEX(Products!$AR$5:$AR$304,MATCH(C234,Products!$A$5:$A$304,0)),""))</f>
        <v>0</v>
      </c>
      <c r="T234" s="20">
        <f>IF(B234="","",IF(F234&lt;&gt;"",F234,IF(S234="",0,S234)))</f>
        <v>0</v>
      </c>
      <c r="U234" s="20">
        <f>IF(B234="","",ROUND(IF(D234="",0,D234)*T234,2))</f>
        <v>0</v>
      </c>
      <c r="V234" s="20">
        <f>IF(B234="","",ROUND(U234-IF(G234="",0,G234)-IF(L234="",0,L234),2))</f>
        <v>0</v>
      </c>
      <c r="W234" s="20">
        <f>IF(C234="","",IFERROR(INDEX(Products!$AT$5:$AT$304,MATCH(C234,Products!$A$5:$A$304,0)),""))</f>
        <v>0</v>
      </c>
      <c r="X234" s="20">
        <f>IF(C234="","",IFERROR(INDEX(Products!$AG$5:$AG$304,MATCH(C234,Products!$A$5:$A$304,0)),""))</f>
        <v>0</v>
      </c>
      <c r="Y234" s="20">
        <f>IF(B234="","",ROUND(IF(D234="",0,D234)*MAX(0,IF(W234="",0,W234)-IF(X234="",0,X234)),2))</f>
        <v>0</v>
      </c>
      <c r="Z234" s="20">
        <f>IF(B234="","",ROUND(MAX(0,IF(J234="",0,J234)-IF(I234="",0,I234)),2))</f>
        <v>0</v>
      </c>
      <c r="AA234" s="33">
        <f>IF(B234="","",IFERROR(INDEX(Channels!$S$5:$S$18,MATCH(IF(E234="",DefaultChannel,E234),Channels!$A$5:$A$18,0)),0))</f>
        <v>0</v>
      </c>
      <c r="AB234" s="20">
        <f>IF(B234="","",IFERROR(INDEX(Channels!$T$5:$T$18,MATCH(IF(E234="",DefaultChannel,E234),Channels!$A$5:$A$18,0)),0))</f>
        <v>0</v>
      </c>
      <c r="AC234" s="42">
        <f>IF(B234="","",IFERROR(INDEX(Channels!$O$5:$O$18,MATCH(IF(E234="",DefaultChannel,E234),Channels!$A$5:$A$18,0)),"No"))</f>
        <v>0</v>
      </c>
      <c r="AD234" s="20">
        <f>IF(B234="","",ROUND((V234+IF(AC234="Yes",IF(I234="",0,I234),0))*AA234+AB234,2))</f>
        <v>0</v>
      </c>
      <c r="AE234" s="20">
        <f>IF(B234="","",IF(K234&lt;&gt;"",K234,AD234))</f>
        <v>0</v>
      </c>
      <c r="AF234" s="20">
        <f>IF(B234="","",IF(K234="","",ROUND(K234-AD234,2)))</f>
        <v>0</v>
      </c>
      <c r="AG234" s="20">
        <f>IF(B234="","",ROUND(V234-Y234-AE234-Z234,2))</f>
        <v>0</v>
      </c>
      <c r="AH234" s="33">
        <f>IF(B234="","",IF(OR(V234="",V234=0),"",AG234/V234))</f>
        <v>0</v>
      </c>
      <c r="AI234" s="33">
        <f>IF(C234="","",IFERROR(INDEX(Products!$AW$5:$AW$304,MATCH(C234,Products!$A$5:$A$304,0)),""))</f>
        <v>0</v>
      </c>
      <c r="AJ234" s="33">
        <f>IF(B234="","",IF(OR(AH234="",AI234=""),"",AH234-AI234))</f>
        <v>0</v>
      </c>
      <c r="AK234" s="41">
        <f>IF(B234="","",IFERROR(ROUND(IF(D234="",0,D234)*INDEX(Products!$X$5:$X$304,MATCH(C234,Products!$A$5:$A$304,0))/60,2),""))</f>
        <v>0</v>
      </c>
      <c r="AL234" s="20">
        <f>IF(B234="","",IF(OR(AK234="",AK234=0),"",ROUND(AG234/AK234,2)))</f>
        <v>0</v>
      </c>
      <c r="AM234" s="43">
        <f>IF(B234="","",IF(C234="","Add - which product?",IF(AG234&lt;0,"Loss - this order cost you money",IF(M234="Refunded","Refunded - check why",IF(AND(AF234&lt;&gt;"",AF234&gt;0.25),"Check - fees higher than your settings",IF(Z234&gt;1,"Check - postage is eating the margin",IF(AND(AH234&lt;&gt;"",AH234&lt;MarginWarning),"Low margin on this order","OK")))))) )</f>
        <v>0</v>
      </c>
    </row>
    <row r="235" spans="1:39">
      <c r="A235" s="38">
        <f>IF(B235="","",SalePrefix&amp;TEXT(ROW()-4,"0000"))</f>
        <v>0</v>
      </c>
      <c r="Q235" s="13">
        <f>IF(C235="","",IFERROR(INDEX(Products!$B$5:$B$304,MATCH(C235,Products!$A$5:$A$304,0)),"Bundle or deleted"))</f>
        <v>0</v>
      </c>
      <c r="R235" s="13">
        <f>IF(B235="","",TEXT(B235,"yyyy-mm"))</f>
        <v>0</v>
      </c>
      <c r="S235" s="20">
        <f>IF(C235="","",IFERROR(INDEX(Products!$AR$5:$AR$304,MATCH(C235,Products!$A$5:$A$304,0)),""))</f>
        <v>0</v>
      </c>
      <c r="T235" s="20">
        <f>IF(B235="","",IF(F235&lt;&gt;"",F235,IF(S235="",0,S235)))</f>
        <v>0</v>
      </c>
      <c r="U235" s="20">
        <f>IF(B235="","",ROUND(IF(D235="",0,D235)*T235,2))</f>
        <v>0</v>
      </c>
      <c r="V235" s="20">
        <f>IF(B235="","",ROUND(U235-IF(G235="",0,G235)-IF(L235="",0,L235),2))</f>
        <v>0</v>
      </c>
      <c r="W235" s="20">
        <f>IF(C235="","",IFERROR(INDEX(Products!$AT$5:$AT$304,MATCH(C235,Products!$A$5:$A$304,0)),""))</f>
        <v>0</v>
      </c>
      <c r="X235" s="20">
        <f>IF(C235="","",IFERROR(INDEX(Products!$AG$5:$AG$304,MATCH(C235,Products!$A$5:$A$304,0)),""))</f>
        <v>0</v>
      </c>
      <c r="Y235" s="20">
        <f>IF(B235="","",ROUND(IF(D235="",0,D235)*MAX(0,IF(W235="",0,W235)-IF(X235="",0,X235)),2))</f>
        <v>0</v>
      </c>
      <c r="Z235" s="20">
        <f>IF(B235="","",ROUND(MAX(0,IF(J235="",0,J235)-IF(I235="",0,I235)),2))</f>
        <v>0</v>
      </c>
      <c r="AA235" s="33">
        <f>IF(B235="","",IFERROR(INDEX(Channels!$S$5:$S$18,MATCH(IF(E235="",DefaultChannel,E235),Channels!$A$5:$A$18,0)),0))</f>
        <v>0</v>
      </c>
      <c r="AB235" s="20">
        <f>IF(B235="","",IFERROR(INDEX(Channels!$T$5:$T$18,MATCH(IF(E235="",DefaultChannel,E235),Channels!$A$5:$A$18,0)),0))</f>
        <v>0</v>
      </c>
      <c r="AC235" s="42">
        <f>IF(B235="","",IFERROR(INDEX(Channels!$O$5:$O$18,MATCH(IF(E235="",DefaultChannel,E235),Channels!$A$5:$A$18,0)),"No"))</f>
        <v>0</v>
      </c>
      <c r="AD235" s="20">
        <f>IF(B235="","",ROUND((V235+IF(AC235="Yes",IF(I235="",0,I235),0))*AA235+AB235,2))</f>
        <v>0</v>
      </c>
      <c r="AE235" s="20">
        <f>IF(B235="","",IF(K235&lt;&gt;"",K235,AD235))</f>
        <v>0</v>
      </c>
      <c r="AF235" s="20">
        <f>IF(B235="","",IF(K235="","",ROUND(K235-AD235,2)))</f>
        <v>0</v>
      </c>
      <c r="AG235" s="20">
        <f>IF(B235="","",ROUND(V235-Y235-AE235-Z235,2))</f>
        <v>0</v>
      </c>
      <c r="AH235" s="33">
        <f>IF(B235="","",IF(OR(V235="",V235=0),"",AG235/V235))</f>
        <v>0</v>
      </c>
      <c r="AI235" s="33">
        <f>IF(C235="","",IFERROR(INDEX(Products!$AW$5:$AW$304,MATCH(C235,Products!$A$5:$A$304,0)),""))</f>
        <v>0</v>
      </c>
      <c r="AJ235" s="33">
        <f>IF(B235="","",IF(OR(AH235="",AI235=""),"",AH235-AI235))</f>
        <v>0</v>
      </c>
      <c r="AK235" s="41">
        <f>IF(B235="","",IFERROR(ROUND(IF(D235="",0,D235)*INDEX(Products!$X$5:$X$304,MATCH(C235,Products!$A$5:$A$304,0))/60,2),""))</f>
        <v>0</v>
      </c>
      <c r="AL235" s="20">
        <f>IF(B235="","",IF(OR(AK235="",AK235=0),"",ROUND(AG235/AK235,2)))</f>
        <v>0</v>
      </c>
      <c r="AM235" s="43">
        <f>IF(B235="","",IF(C235="","Add - which product?",IF(AG235&lt;0,"Loss - this order cost you money",IF(M235="Refunded","Refunded - check why",IF(AND(AF235&lt;&gt;"",AF235&gt;0.25),"Check - fees higher than your settings",IF(Z235&gt;1,"Check - postage is eating the margin",IF(AND(AH235&lt;&gt;"",AH235&lt;MarginWarning),"Low margin on this order","OK")))))) )</f>
        <v>0</v>
      </c>
    </row>
    <row r="236" spans="1:39">
      <c r="A236" s="38">
        <f>IF(B236="","",SalePrefix&amp;TEXT(ROW()-4,"0000"))</f>
        <v>0</v>
      </c>
      <c r="Q236" s="13">
        <f>IF(C236="","",IFERROR(INDEX(Products!$B$5:$B$304,MATCH(C236,Products!$A$5:$A$304,0)),"Bundle or deleted"))</f>
        <v>0</v>
      </c>
      <c r="R236" s="13">
        <f>IF(B236="","",TEXT(B236,"yyyy-mm"))</f>
        <v>0</v>
      </c>
      <c r="S236" s="20">
        <f>IF(C236="","",IFERROR(INDEX(Products!$AR$5:$AR$304,MATCH(C236,Products!$A$5:$A$304,0)),""))</f>
        <v>0</v>
      </c>
      <c r="T236" s="20">
        <f>IF(B236="","",IF(F236&lt;&gt;"",F236,IF(S236="",0,S236)))</f>
        <v>0</v>
      </c>
      <c r="U236" s="20">
        <f>IF(B236="","",ROUND(IF(D236="",0,D236)*T236,2))</f>
        <v>0</v>
      </c>
      <c r="V236" s="20">
        <f>IF(B236="","",ROUND(U236-IF(G236="",0,G236)-IF(L236="",0,L236),2))</f>
        <v>0</v>
      </c>
      <c r="W236" s="20">
        <f>IF(C236="","",IFERROR(INDEX(Products!$AT$5:$AT$304,MATCH(C236,Products!$A$5:$A$304,0)),""))</f>
        <v>0</v>
      </c>
      <c r="X236" s="20">
        <f>IF(C236="","",IFERROR(INDEX(Products!$AG$5:$AG$304,MATCH(C236,Products!$A$5:$A$304,0)),""))</f>
        <v>0</v>
      </c>
      <c r="Y236" s="20">
        <f>IF(B236="","",ROUND(IF(D236="",0,D236)*MAX(0,IF(W236="",0,W236)-IF(X236="",0,X236)),2))</f>
        <v>0</v>
      </c>
      <c r="Z236" s="20">
        <f>IF(B236="","",ROUND(MAX(0,IF(J236="",0,J236)-IF(I236="",0,I236)),2))</f>
        <v>0</v>
      </c>
      <c r="AA236" s="33">
        <f>IF(B236="","",IFERROR(INDEX(Channels!$S$5:$S$18,MATCH(IF(E236="",DefaultChannel,E236),Channels!$A$5:$A$18,0)),0))</f>
        <v>0</v>
      </c>
      <c r="AB236" s="20">
        <f>IF(B236="","",IFERROR(INDEX(Channels!$T$5:$T$18,MATCH(IF(E236="",DefaultChannel,E236),Channels!$A$5:$A$18,0)),0))</f>
        <v>0</v>
      </c>
      <c r="AC236" s="42">
        <f>IF(B236="","",IFERROR(INDEX(Channels!$O$5:$O$18,MATCH(IF(E236="",DefaultChannel,E236),Channels!$A$5:$A$18,0)),"No"))</f>
        <v>0</v>
      </c>
      <c r="AD236" s="20">
        <f>IF(B236="","",ROUND((V236+IF(AC236="Yes",IF(I236="",0,I236),0))*AA236+AB236,2))</f>
        <v>0</v>
      </c>
      <c r="AE236" s="20">
        <f>IF(B236="","",IF(K236&lt;&gt;"",K236,AD236))</f>
        <v>0</v>
      </c>
      <c r="AF236" s="20">
        <f>IF(B236="","",IF(K236="","",ROUND(K236-AD236,2)))</f>
        <v>0</v>
      </c>
      <c r="AG236" s="20">
        <f>IF(B236="","",ROUND(V236-Y236-AE236-Z236,2))</f>
        <v>0</v>
      </c>
      <c r="AH236" s="33">
        <f>IF(B236="","",IF(OR(V236="",V236=0),"",AG236/V236))</f>
        <v>0</v>
      </c>
      <c r="AI236" s="33">
        <f>IF(C236="","",IFERROR(INDEX(Products!$AW$5:$AW$304,MATCH(C236,Products!$A$5:$A$304,0)),""))</f>
        <v>0</v>
      </c>
      <c r="AJ236" s="33">
        <f>IF(B236="","",IF(OR(AH236="",AI236=""),"",AH236-AI236))</f>
        <v>0</v>
      </c>
      <c r="AK236" s="41">
        <f>IF(B236="","",IFERROR(ROUND(IF(D236="",0,D236)*INDEX(Products!$X$5:$X$304,MATCH(C236,Products!$A$5:$A$304,0))/60,2),""))</f>
        <v>0</v>
      </c>
      <c r="AL236" s="20">
        <f>IF(B236="","",IF(OR(AK236="",AK236=0),"",ROUND(AG236/AK236,2)))</f>
        <v>0</v>
      </c>
      <c r="AM236" s="43">
        <f>IF(B236="","",IF(C236="","Add - which product?",IF(AG236&lt;0,"Loss - this order cost you money",IF(M236="Refunded","Refunded - check why",IF(AND(AF236&lt;&gt;"",AF236&gt;0.25),"Check - fees higher than your settings",IF(Z236&gt;1,"Check - postage is eating the margin",IF(AND(AH236&lt;&gt;"",AH236&lt;MarginWarning),"Low margin on this order","OK")))))) )</f>
        <v>0</v>
      </c>
    </row>
    <row r="237" spans="1:39">
      <c r="A237" s="38">
        <f>IF(B237="","",SalePrefix&amp;TEXT(ROW()-4,"0000"))</f>
        <v>0</v>
      </c>
      <c r="Q237" s="13">
        <f>IF(C237="","",IFERROR(INDEX(Products!$B$5:$B$304,MATCH(C237,Products!$A$5:$A$304,0)),"Bundle or deleted"))</f>
        <v>0</v>
      </c>
      <c r="R237" s="13">
        <f>IF(B237="","",TEXT(B237,"yyyy-mm"))</f>
        <v>0</v>
      </c>
      <c r="S237" s="20">
        <f>IF(C237="","",IFERROR(INDEX(Products!$AR$5:$AR$304,MATCH(C237,Products!$A$5:$A$304,0)),""))</f>
        <v>0</v>
      </c>
      <c r="T237" s="20">
        <f>IF(B237="","",IF(F237&lt;&gt;"",F237,IF(S237="",0,S237)))</f>
        <v>0</v>
      </c>
      <c r="U237" s="20">
        <f>IF(B237="","",ROUND(IF(D237="",0,D237)*T237,2))</f>
        <v>0</v>
      </c>
      <c r="V237" s="20">
        <f>IF(B237="","",ROUND(U237-IF(G237="",0,G237)-IF(L237="",0,L237),2))</f>
        <v>0</v>
      </c>
      <c r="W237" s="20">
        <f>IF(C237="","",IFERROR(INDEX(Products!$AT$5:$AT$304,MATCH(C237,Products!$A$5:$A$304,0)),""))</f>
        <v>0</v>
      </c>
      <c r="X237" s="20">
        <f>IF(C237="","",IFERROR(INDEX(Products!$AG$5:$AG$304,MATCH(C237,Products!$A$5:$A$304,0)),""))</f>
        <v>0</v>
      </c>
      <c r="Y237" s="20">
        <f>IF(B237="","",ROUND(IF(D237="",0,D237)*MAX(0,IF(W237="",0,W237)-IF(X237="",0,X237)),2))</f>
        <v>0</v>
      </c>
      <c r="Z237" s="20">
        <f>IF(B237="","",ROUND(MAX(0,IF(J237="",0,J237)-IF(I237="",0,I237)),2))</f>
        <v>0</v>
      </c>
      <c r="AA237" s="33">
        <f>IF(B237="","",IFERROR(INDEX(Channels!$S$5:$S$18,MATCH(IF(E237="",DefaultChannel,E237),Channels!$A$5:$A$18,0)),0))</f>
        <v>0</v>
      </c>
      <c r="AB237" s="20">
        <f>IF(B237="","",IFERROR(INDEX(Channels!$T$5:$T$18,MATCH(IF(E237="",DefaultChannel,E237),Channels!$A$5:$A$18,0)),0))</f>
        <v>0</v>
      </c>
      <c r="AC237" s="42">
        <f>IF(B237="","",IFERROR(INDEX(Channels!$O$5:$O$18,MATCH(IF(E237="",DefaultChannel,E237),Channels!$A$5:$A$18,0)),"No"))</f>
        <v>0</v>
      </c>
      <c r="AD237" s="20">
        <f>IF(B237="","",ROUND((V237+IF(AC237="Yes",IF(I237="",0,I237),0))*AA237+AB237,2))</f>
        <v>0</v>
      </c>
      <c r="AE237" s="20">
        <f>IF(B237="","",IF(K237&lt;&gt;"",K237,AD237))</f>
        <v>0</v>
      </c>
      <c r="AF237" s="20">
        <f>IF(B237="","",IF(K237="","",ROUND(K237-AD237,2)))</f>
        <v>0</v>
      </c>
      <c r="AG237" s="20">
        <f>IF(B237="","",ROUND(V237-Y237-AE237-Z237,2))</f>
        <v>0</v>
      </c>
      <c r="AH237" s="33">
        <f>IF(B237="","",IF(OR(V237="",V237=0),"",AG237/V237))</f>
        <v>0</v>
      </c>
      <c r="AI237" s="33">
        <f>IF(C237="","",IFERROR(INDEX(Products!$AW$5:$AW$304,MATCH(C237,Products!$A$5:$A$304,0)),""))</f>
        <v>0</v>
      </c>
      <c r="AJ237" s="33">
        <f>IF(B237="","",IF(OR(AH237="",AI237=""),"",AH237-AI237))</f>
        <v>0</v>
      </c>
      <c r="AK237" s="41">
        <f>IF(B237="","",IFERROR(ROUND(IF(D237="",0,D237)*INDEX(Products!$X$5:$X$304,MATCH(C237,Products!$A$5:$A$304,0))/60,2),""))</f>
        <v>0</v>
      </c>
      <c r="AL237" s="20">
        <f>IF(B237="","",IF(OR(AK237="",AK237=0),"",ROUND(AG237/AK237,2)))</f>
        <v>0</v>
      </c>
      <c r="AM237" s="43">
        <f>IF(B237="","",IF(C237="","Add - which product?",IF(AG237&lt;0,"Loss - this order cost you money",IF(M237="Refunded","Refunded - check why",IF(AND(AF237&lt;&gt;"",AF237&gt;0.25),"Check - fees higher than your settings",IF(Z237&gt;1,"Check - postage is eating the margin",IF(AND(AH237&lt;&gt;"",AH237&lt;MarginWarning),"Low margin on this order","OK")))))) )</f>
        <v>0</v>
      </c>
    </row>
    <row r="238" spans="1:39">
      <c r="A238" s="38">
        <f>IF(B238="","",SalePrefix&amp;TEXT(ROW()-4,"0000"))</f>
        <v>0</v>
      </c>
      <c r="Q238" s="13">
        <f>IF(C238="","",IFERROR(INDEX(Products!$B$5:$B$304,MATCH(C238,Products!$A$5:$A$304,0)),"Bundle or deleted"))</f>
        <v>0</v>
      </c>
      <c r="R238" s="13">
        <f>IF(B238="","",TEXT(B238,"yyyy-mm"))</f>
        <v>0</v>
      </c>
      <c r="S238" s="20">
        <f>IF(C238="","",IFERROR(INDEX(Products!$AR$5:$AR$304,MATCH(C238,Products!$A$5:$A$304,0)),""))</f>
        <v>0</v>
      </c>
      <c r="T238" s="20">
        <f>IF(B238="","",IF(F238&lt;&gt;"",F238,IF(S238="",0,S238)))</f>
        <v>0</v>
      </c>
      <c r="U238" s="20">
        <f>IF(B238="","",ROUND(IF(D238="",0,D238)*T238,2))</f>
        <v>0</v>
      </c>
      <c r="V238" s="20">
        <f>IF(B238="","",ROUND(U238-IF(G238="",0,G238)-IF(L238="",0,L238),2))</f>
        <v>0</v>
      </c>
      <c r="W238" s="20">
        <f>IF(C238="","",IFERROR(INDEX(Products!$AT$5:$AT$304,MATCH(C238,Products!$A$5:$A$304,0)),""))</f>
        <v>0</v>
      </c>
      <c r="X238" s="20">
        <f>IF(C238="","",IFERROR(INDEX(Products!$AG$5:$AG$304,MATCH(C238,Products!$A$5:$A$304,0)),""))</f>
        <v>0</v>
      </c>
      <c r="Y238" s="20">
        <f>IF(B238="","",ROUND(IF(D238="",0,D238)*MAX(0,IF(W238="",0,W238)-IF(X238="",0,X238)),2))</f>
        <v>0</v>
      </c>
      <c r="Z238" s="20">
        <f>IF(B238="","",ROUND(MAX(0,IF(J238="",0,J238)-IF(I238="",0,I238)),2))</f>
        <v>0</v>
      </c>
      <c r="AA238" s="33">
        <f>IF(B238="","",IFERROR(INDEX(Channels!$S$5:$S$18,MATCH(IF(E238="",DefaultChannel,E238),Channels!$A$5:$A$18,0)),0))</f>
        <v>0</v>
      </c>
      <c r="AB238" s="20">
        <f>IF(B238="","",IFERROR(INDEX(Channels!$T$5:$T$18,MATCH(IF(E238="",DefaultChannel,E238),Channels!$A$5:$A$18,0)),0))</f>
        <v>0</v>
      </c>
      <c r="AC238" s="42">
        <f>IF(B238="","",IFERROR(INDEX(Channels!$O$5:$O$18,MATCH(IF(E238="",DefaultChannel,E238),Channels!$A$5:$A$18,0)),"No"))</f>
        <v>0</v>
      </c>
      <c r="AD238" s="20">
        <f>IF(B238="","",ROUND((V238+IF(AC238="Yes",IF(I238="",0,I238),0))*AA238+AB238,2))</f>
        <v>0</v>
      </c>
      <c r="AE238" s="20">
        <f>IF(B238="","",IF(K238&lt;&gt;"",K238,AD238))</f>
        <v>0</v>
      </c>
      <c r="AF238" s="20">
        <f>IF(B238="","",IF(K238="","",ROUND(K238-AD238,2)))</f>
        <v>0</v>
      </c>
      <c r="AG238" s="20">
        <f>IF(B238="","",ROUND(V238-Y238-AE238-Z238,2))</f>
        <v>0</v>
      </c>
      <c r="AH238" s="33">
        <f>IF(B238="","",IF(OR(V238="",V238=0),"",AG238/V238))</f>
        <v>0</v>
      </c>
      <c r="AI238" s="33">
        <f>IF(C238="","",IFERROR(INDEX(Products!$AW$5:$AW$304,MATCH(C238,Products!$A$5:$A$304,0)),""))</f>
        <v>0</v>
      </c>
      <c r="AJ238" s="33">
        <f>IF(B238="","",IF(OR(AH238="",AI238=""),"",AH238-AI238))</f>
        <v>0</v>
      </c>
      <c r="AK238" s="41">
        <f>IF(B238="","",IFERROR(ROUND(IF(D238="",0,D238)*INDEX(Products!$X$5:$X$304,MATCH(C238,Products!$A$5:$A$304,0))/60,2),""))</f>
        <v>0</v>
      </c>
      <c r="AL238" s="20">
        <f>IF(B238="","",IF(OR(AK238="",AK238=0),"",ROUND(AG238/AK238,2)))</f>
        <v>0</v>
      </c>
      <c r="AM238" s="43">
        <f>IF(B238="","",IF(C238="","Add - which product?",IF(AG238&lt;0,"Loss - this order cost you money",IF(M238="Refunded","Refunded - check why",IF(AND(AF238&lt;&gt;"",AF238&gt;0.25),"Check - fees higher than your settings",IF(Z238&gt;1,"Check - postage is eating the margin",IF(AND(AH238&lt;&gt;"",AH238&lt;MarginWarning),"Low margin on this order","OK")))))) )</f>
        <v>0</v>
      </c>
    </row>
    <row r="239" spans="1:39">
      <c r="A239" s="38">
        <f>IF(B239="","",SalePrefix&amp;TEXT(ROW()-4,"0000"))</f>
        <v>0</v>
      </c>
      <c r="Q239" s="13">
        <f>IF(C239="","",IFERROR(INDEX(Products!$B$5:$B$304,MATCH(C239,Products!$A$5:$A$304,0)),"Bundle or deleted"))</f>
        <v>0</v>
      </c>
      <c r="R239" s="13">
        <f>IF(B239="","",TEXT(B239,"yyyy-mm"))</f>
        <v>0</v>
      </c>
      <c r="S239" s="20">
        <f>IF(C239="","",IFERROR(INDEX(Products!$AR$5:$AR$304,MATCH(C239,Products!$A$5:$A$304,0)),""))</f>
        <v>0</v>
      </c>
      <c r="T239" s="20">
        <f>IF(B239="","",IF(F239&lt;&gt;"",F239,IF(S239="",0,S239)))</f>
        <v>0</v>
      </c>
      <c r="U239" s="20">
        <f>IF(B239="","",ROUND(IF(D239="",0,D239)*T239,2))</f>
        <v>0</v>
      </c>
      <c r="V239" s="20">
        <f>IF(B239="","",ROUND(U239-IF(G239="",0,G239)-IF(L239="",0,L239),2))</f>
        <v>0</v>
      </c>
      <c r="W239" s="20">
        <f>IF(C239="","",IFERROR(INDEX(Products!$AT$5:$AT$304,MATCH(C239,Products!$A$5:$A$304,0)),""))</f>
        <v>0</v>
      </c>
      <c r="X239" s="20">
        <f>IF(C239="","",IFERROR(INDEX(Products!$AG$5:$AG$304,MATCH(C239,Products!$A$5:$A$304,0)),""))</f>
        <v>0</v>
      </c>
      <c r="Y239" s="20">
        <f>IF(B239="","",ROUND(IF(D239="",0,D239)*MAX(0,IF(W239="",0,W239)-IF(X239="",0,X239)),2))</f>
        <v>0</v>
      </c>
      <c r="Z239" s="20">
        <f>IF(B239="","",ROUND(MAX(0,IF(J239="",0,J239)-IF(I239="",0,I239)),2))</f>
        <v>0</v>
      </c>
      <c r="AA239" s="33">
        <f>IF(B239="","",IFERROR(INDEX(Channels!$S$5:$S$18,MATCH(IF(E239="",DefaultChannel,E239),Channels!$A$5:$A$18,0)),0))</f>
        <v>0</v>
      </c>
      <c r="AB239" s="20">
        <f>IF(B239="","",IFERROR(INDEX(Channels!$T$5:$T$18,MATCH(IF(E239="",DefaultChannel,E239),Channels!$A$5:$A$18,0)),0))</f>
        <v>0</v>
      </c>
      <c r="AC239" s="42">
        <f>IF(B239="","",IFERROR(INDEX(Channels!$O$5:$O$18,MATCH(IF(E239="",DefaultChannel,E239),Channels!$A$5:$A$18,0)),"No"))</f>
        <v>0</v>
      </c>
      <c r="AD239" s="20">
        <f>IF(B239="","",ROUND((V239+IF(AC239="Yes",IF(I239="",0,I239),0))*AA239+AB239,2))</f>
        <v>0</v>
      </c>
      <c r="AE239" s="20">
        <f>IF(B239="","",IF(K239&lt;&gt;"",K239,AD239))</f>
        <v>0</v>
      </c>
      <c r="AF239" s="20">
        <f>IF(B239="","",IF(K239="","",ROUND(K239-AD239,2)))</f>
        <v>0</v>
      </c>
      <c r="AG239" s="20">
        <f>IF(B239="","",ROUND(V239-Y239-AE239-Z239,2))</f>
        <v>0</v>
      </c>
      <c r="AH239" s="33">
        <f>IF(B239="","",IF(OR(V239="",V239=0),"",AG239/V239))</f>
        <v>0</v>
      </c>
      <c r="AI239" s="33">
        <f>IF(C239="","",IFERROR(INDEX(Products!$AW$5:$AW$304,MATCH(C239,Products!$A$5:$A$304,0)),""))</f>
        <v>0</v>
      </c>
      <c r="AJ239" s="33">
        <f>IF(B239="","",IF(OR(AH239="",AI239=""),"",AH239-AI239))</f>
        <v>0</v>
      </c>
      <c r="AK239" s="41">
        <f>IF(B239="","",IFERROR(ROUND(IF(D239="",0,D239)*INDEX(Products!$X$5:$X$304,MATCH(C239,Products!$A$5:$A$304,0))/60,2),""))</f>
        <v>0</v>
      </c>
      <c r="AL239" s="20">
        <f>IF(B239="","",IF(OR(AK239="",AK239=0),"",ROUND(AG239/AK239,2)))</f>
        <v>0</v>
      </c>
      <c r="AM239" s="43">
        <f>IF(B239="","",IF(C239="","Add - which product?",IF(AG239&lt;0,"Loss - this order cost you money",IF(M239="Refunded","Refunded - check why",IF(AND(AF239&lt;&gt;"",AF239&gt;0.25),"Check - fees higher than your settings",IF(Z239&gt;1,"Check - postage is eating the margin",IF(AND(AH239&lt;&gt;"",AH239&lt;MarginWarning),"Low margin on this order","OK")))))) )</f>
        <v>0</v>
      </c>
    </row>
    <row r="240" spans="1:39">
      <c r="A240" s="38">
        <f>IF(B240="","",SalePrefix&amp;TEXT(ROW()-4,"0000"))</f>
        <v>0</v>
      </c>
      <c r="Q240" s="13">
        <f>IF(C240="","",IFERROR(INDEX(Products!$B$5:$B$304,MATCH(C240,Products!$A$5:$A$304,0)),"Bundle or deleted"))</f>
        <v>0</v>
      </c>
      <c r="R240" s="13">
        <f>IF(B240="","",TEXT(B240,"yyyy-mm"))</f>
        <v>0</v>
      </c>
      <c r="S240" s="20">
        <f>IF(C240="","",IFERROR(INDEX(Products!$AR$5:$AR$304,MATCH(C240,Products!$A$5:$A$304,0)),""))</f>
        <v>0</v>
      </c>
      <c r="T240" s="20">
        <f>IF(B240="","",IF(F240&lt;&gt;"",F240,IF(S240="",0,S240)))</f>
        <v>0</v>
      </c>
      <c r="U240" s="20">
        <f>IF(B240="","",ROUND(IF(D240="",0,D240)*T240,2))</f>
        <v>0</v>
      </c>
      <c r="V240" s="20">
        <f>IF(B240="","",ROUND(U240-IF(G240="",0,G240)-IF(L240="",0,L240),2))</f>
        <v>0</v>
      </c>
      <c r="W240" s="20">
        <f>IF(C240="","",IFERROR(INDEX(Products!$AT$5:$AT$304,MATCH(C240,Products!$A$5:$A$304,0)),""))</f>
        <v>0</v>
      </c>
      <c r="X240" s="20">
        <f>IF(C240="","",IFERROR(INDEX(Products!$AG$5:$AG$304,MATCH(C240,Products!$A$5:$A$304,0)),""))</f>
        <v>0</v>
      </c>
      <c r="Y240" s="20">
        <f>IF(B240="","",ROUND(IF(D240="",0,D240)*MAX(0,IF(W240="",0,W240)-IF(X240="",0,X240)),2))</f>
        <v>0</v>
      </c>
      <c r="Z240" s="20">
        <f>IF(B240="","",ROUND(MAX(0,IF(J240="",0,J240)-IF(I240="",0,I240)),2))</f>
        <v>0</v>
      </c>
      <c r="AA240" s="33">
        <f>IF(B240="","",IFERROR(INDEX(Channels!$S$5:$S$18,MATCH(IF(E240="",DefaultChannel,E240),Channels!$A$5:$A$18,0)),0))</f>
        <v>0</v>
      </c>
      <c r="AB240" s="20">
        <f>IF(B240="","",IFERROR(INDEX(Channels!$T$5:$T$18,MATCH(IF(E240="",DefaultChannel,E240),Channels!$A$5:$A$18,0)),0))</f>
        <v>0</v>
      </c>
      <c r="AC240" s="42">
        <f>IF(B240="","",IFERROR(INDEX(Channels!$O$5:$O$18,MATCH(IF(E240="",DefaultChannel,E240),Channels!$A$5:$A$18,0)),"No"))</f>
        <v>0</v>
      </c>
      <c r="AD240" s="20">
        <f>IF(B240="","",ROUND((V240+IF(AC240="Yes",IF(I240="",0,I240),0))*AA240+AB240,2))</f>
        <v>0</v>
      </c>
      <c r="AE240" s="20">
        <f>IF(B240="","",IF(K240&lt;&gt;"",K240,AD240))</f>
        <v>0</v>
      </c>
      <c r="AF240" s="20">
        <f>IF(B240="","",IF(K240="","",ROUND(K240-AD240,2)))</f>
        <v>0</v>
      </c>
      <c r="AG240" s="20">
        <f>IF(B240="","",ROUND(V240-Y240-AE240-Z240,2))</f>
        <v>0</v>
      </c>
      <c r="AH240" s="33">
        <f>IF(B240="","",IF(OR(V240="",V240=0),"",AG240/V240))</f>
        <v>0</v>
      </c>
      <c r="AI240" s="33">
        <f>IF(C240="","",IFERROR(INDEX(Products!$AW$5:$AW$304,MATCH(C240,Products!$A$5:$A$304,0)),""))</f>
        <v>0</v>
      </c>
      <c r="AJ240" s="33">
        <f>IF(B240="","",IF(OR(AH240="",AI240=""),"",AH240-AI240))</f>
        <v>0</v>
      </c>
      <c r="AK240" s="41">
        <f>IF(B240="","",IFERROR(ROUND(IF(D240="",0,D240)*INDEX(Products!$X$5:$X$304,MATCH(C240,Products!$A$5:$A$304,0))/60,2),""))</f>
        <v>0</v>
      </c>
      <c r="AL240" s="20">
        <f>IF(B240="","",IF(OR(AK240="",AK240=0),"",ROUND(AG240/AK240,2)))</f>
        <v>0</v>
      </c>
      <c r="AM240" s="43">
        <f>IF(B240="","",IF(C240="","Add - which product?",IF(AG240&lt;0,"Loss - this order cost you money",IF(M240="Refunded","Refunded - check why",IF(AND(AF240&lt;&gt;"",AF240&gt;0.25),"Check - fees higher than your settings",IF(Z240&gt;1,"Check - postage is eating the margin",IF(AND(AH240&lt;&gt;"",AH240&lt;MarginWarning),"Low margin on this order","OK")))))) )</f>
        <v>0</v>
      </c>
    </row>
    <row r="241" spans="1:39">
      <c r="A241" s="38">
        <f>IF(B241="","",SalePrefix&amp;TEXT(ROW()-4,"0000"))</f>
        <v>0</v>
      </c>
      <c r="Q241" s="13">
        <f>IF(C241="","",IFERROR(INDEX(Products!$B$5:$B$304,MATCH(C241,Products!$A$5:$A$304,0)),"Bundle or deleted"))</f>
        <v>0</v>
      </c>
      <c r="R241" s="13">
        <f>IF(B241="","",TEXT(B241,"yyyy-mm"))</f>
        <v>0</v>
      </c>
      <c r="S241" s="20">
        <f>IF(C241="","",IFERROR(INDEX(Products!$AR$5:$AR$304,MATCH(C241,Products!$A$5:$A$304,0)),""))</f>
        <v>0</v>
      </c>
      <c r="T241" s="20">
        <f>IF(B241="","",IF(F241&lt;&gt;"",F241,IF(S241="",0,S241)))</f>
        <v>0</v>
      </c>
      <c r="U241" s="20">
        <f>IF(B241="","",ROUND(IF(D241="",0,D241)*T241,2))</f>
        <v>0</v>
      </c>
      <c r="V241" s="20">
        <f>IF(B241="","",ROUND(U241-IF(G241="",0,G241)-IF(L241="",0,L241),2))</f>
        <v>0</v>
      </c>
      <c r="W241" s="20">
        <f>IF(C241="","",IFERROR(INDEX(Products!$AT$5:$AT$304,MATCH(C241,Products!$A$5:$A$304,0)),""))</f>
        <v>0</v>
      </c>
      <c r="X241" s="20">
        <f>IF(C241="","",IFERROR(INDEX(Products!$AG$5:$AG$304,MATCH(C241,Products!$A$5:$A$304,0)),""))</f>
        <v>0</v>
      </c>
      <c r="Y241" s="20">
        <f>IF(B241="","",ROUND(IF(D241="",0,D241)*MAX(0,IF(W241="",0,W241)-IF(X241="",0,X241)),2))</f>
        <v>0</v>
      </c>
      <c r="Z241" s="20">
        <f>IF(B241="","",ROUND(MAX(0,IF(J241="",0,J241)-IF(I241="",0,I241)),2))</f>
        <v>0</v>
      </c>
      <c r="AA241" s="33">
        <f>IF(B241="","",IFERROR(INDEX(Channels!$S$5:$S$18,MATCH(IF(E241="",DefaultChannel,E241),Channels!$A$5:$A$18,0)),0))</f>
        <v>0</v>
      </c>
      <c r="AB241" s="20">
        <f>IF(B241="","",IFERROR(INDEX(Channels!$T$5:$T$18,MATCH(IF(E241="",DefaultChannel,E241),Channels!$A$5:$A$18,0)),0))</f>
        <v>0</v>
      </c>
      <c r="AC241" s="42">
        <f>IF(B241="","",IFERROR(INDEX(Channels!$O$5:$O$18,MATCH(IF(E241="",DefaultChannel,E241),Channels!$A$5:$A$18,0)),"No"))</f>
        <v>0</v>
      </c>
      <c r="AD241" s="20">
        <f>IF(B241="","",ROUND((V241+IF(AC241="Yes",IF(I241="",0,I241),0))*AA241+AB241,2))</f>
        <v>0</v>
      </c>
      <c r="AE241" s="20">
        <f>IF(B241="","",IF(K241&lt;&gt;"",K241,AD241))</f>
        <v>0</v>
      </c>
      <c r="AF241" s="20">
        <f>IF(B241="","",IF(K241="","",ROUND(K241-AD241,2)))</f>
        <v>0</v>
      </c>
      <c r="AG241" s="20">
        <f>IF(B241="","",ROUND(V241-Y241-AE241-Z241,2))</f>
        <v>0</v>
      </c>
      <c r="AH241" s="33">
        <f>IF(B241="","",IF(OR(V241="",V241=0),"",AG241/V241))</f>
        <v>0</v>
      </c>
      <c r="AI241" s="33">
        <f>IF(C241="","",IFERROR(INDEX(Products!$AW$5:$AW$304,MATCH(C241,Products!$A$5:$A$304,0)),""))</f>
        <v>0</v>
      </c>
      <c r="AJ241" s="33">
        <f>IF(B241="","",IF(OR(AH241="",AI241=""),"",AH241-AI241))</f>
        <v>0</v>
      </c>
      <c r="AK241" s="41">
        <f>IF(B241="","",IFERROR(ROUND(IF(D241="",0,D241)*INDEX(Products!$X$5:$X$304,MATCH(C241,Products!$A$5:$A$304,0))/60,2),""))</f>
        <v>0</v>
      </c>
      <c r="AL241" s="20">
        <f>IF(B241="","",IF(OR(AK241="",AK241=0),"",ROUND(AG241/AK241,2)))</f>
        <v>0</v>
      </c>
      <c r="AM241" s="43">
        <f>IF(B241="","",IF(C241="","Add - which product?",IF(AG241&lt;0,"Loss - this order cost you money",IF(M241="Refunded","Refunded - check why",IF(AND(AF241&lt;&gt;"",AF241&gt;0.25),"Check - fees higher than your settings",IF(Z241&gt;1,"Check - postage is eating the margin",IF(AND(AH241&lt;&gt;"",AH241&lt;MarginWarning),"Low margin on this order","OK")))))) )</f>
        <v>0</v>
      </c>
    </row>
    <row r="242" spans="1:39">
      <c r="A242" s="38">
        <f>IF(B242="","",SalePrefix&amp;TEXT(ROW()-4,"0000"))</f>
        <v>0</v>
      </c>
      <c r="Q242" s="13">
        <f>IF(C242="","",IFERROR(INDEX(Products!$B$5:$B$304,MATCH(C242,Products!$A$5:$A$304,0)),"Bundle or deleted"))</f>
        <v>0</v>
      </c>
      <c r="R242" s="13">
        <f>IF(B242="","",TEXT(B242,"yyyy-mm"))</f>
        <v>0</v>
      </c>
      <c r="S242" s="20">
        <f>IF(C242="","",IFERROR(INDEX(Products!$AR$5:$AR$304,MATCH(C242,Products!$A$5:$A$304,0)),""))</f>
        <v>0</v>
      </c>
      <c r="T242" s="20">
        <f>IF(B242="","",IF(F242&lt;&gt;"",F242,IF(S242="",0,S242)))</f>
        <v>0</v>
      </c>
      <c r="U242" s="20">
        <f>IF(B242="","",ROUND(IF(D242="",0,D242)*T242,2))</f>
        <v>0</v>
      </c>
      <c r="V242" s="20">
        <f>IF(B242="","",ROUND(U242-IF(G242="",0,G242)-IF(L242="",0,L242),2))</f>
        <v>0</v>
      </c>
      <c r="W242" s="20">
        <f>IF(C242="","",IFERROR(INDEX(Products!$AT$5:$AT$304,MATCH(C242,Products!$A$5:$A$304,0)),""))</f>
        <v>0</v>
      </c>
      <c r="X242" s="20">
        <f>IF(C242="","",IFERROR(INDEX(Products!$AG$5:$AG$304,MATCH(C242,Products!$A$5:$A$304,0)),""))</f>
        <v>0</v>
      </c>
      <c r="Y242" s="20">
        <f>IF(B242="","",ROUND(IF(D242="",0,D242)*MAX(0,IF(W242="",0,W242)-IF(X242="",0,X242)),2))</f>
        <v>0</v>
      </c>
      <c r="Z242" s="20">
        <f>IF(B242="","",ROUND(MAX(0,IF(J242="",0,J242)-IF(I242="",0,I242)),2))</f>
        <v>0</v>
      </c>
      <c r="AA242" s="33">
        <f>IF(B242="","",IFERROR(INDEX(Channels!$S$5:$S$18,MATCH(IF(E242="",DefaultChannel,E242),Channels!$A$5:$A$18,0)),0))</f>
        <v>0</v>
      </c>
      <c r="AB242" s="20">
        <f>IF(B242="","",IFERROR(INDEX(Channels!$T$5:$T$18,MATCH(IF(E242="",DefaultChannel,E242),Channels!$A$5:$A$18,0)),0))</f>
        <v>0</v>
      </c>
      <c r="AC242" s="42">
        <f>IF(B242="","",IFERROR(INDEX(Channels!$O$5:$O$18,MATCH(IF(E242="",DefaultChannel,E242),Channels!$A$5:$A$18,0)),"No"))</f>
        <v>0</v>
      </c>
      <c r="AD242" s="20">
        <f>IF(B242="","",ROUND((V242+IF(AC242="Yes",IF(I242="",0,I242),0))*AA242+AB242,2))</f>
        <v>0</v>
      </c>
      <c r="AE242" s="20">
        <f>IF(B242="","",IF(K242&lt;&gt;"",K242,AD242))</f>
        <v>0</v>
      </c>
      <c r="AF242" s="20">
        <f>IF(B242="","",IF(K242="","",ROUND(K242-AD242,2)))</f>
        <v>0</v>
      </c>
      <c r="AG242" s="20">
        <f>IF(B242="","",ROUND(V242-Y242-AE242-Z242,2))</f>
        <v>0</v>
      </c>
      <c r="AH242" s="33">
        <f>IF(B242="","",IF(OR(V242="",V242=0),"",AG242/V242))</f>
        <v>0</v>
      </c>
      <c r="AI242" s="33">
        <f>IF(C242="","",IFERROR(INDEX(Products!$AW$5:$AW$304,MATCH(C242,Products!$A$5:$A$304,0)),""))</f>
        <v>0</v>
      </c>
      <c r="AJ242" s="33">
        <f>IF(B242="","",IF(OR(AH242="",AI242=""),"",AH242-AI242))</f>
        <v>0</v>
      </c>
      <c r="AK242" s="41">
        <f>IF(B242="","",IFERROR(ROUND(IF(D242="",0,D242)*INDEX(Products!$X$5:$X$304,MATCH(C242,Products!$A$5:$A$304,0))/60,2),""))</f>
        <v>0</v>
      </c>
      <c r="AL242" s="20">
        <f>IF(B242="","",IF(OR(AK242="",AK242=0),"",ROUND(AG242/AK242,2)))</f>
        <v>0</v>
      </c>
      <c r="AM242" s="43">
        <f>IF(B242="","",IF(C242="","Add - which product?",IF(AG242&lt;0,"Loss - this order cost you money",IF(M242="Refunded","Refunded - check why",IF(AND(AF242&lt;&gt;"",AF242&gt;0.25),"Check - fees higher than your settings",IF(Z242&gt;1,"Check - postage is eating the margin",IF(AND(AH242&lt;&gt;"",AH242&lt;MarginWarning),"Low margin on this order","OK")))))) )</f>
        <v>0</v>
      </c>
    </row>
    <row r="243" spans="1:39">
      <c r="A243" s="38">
        <f>IF(B243="","",SalePrefix&amp;TEXT(ROW()-4,"0000"))</f>
        <v>0</v>
      </c>
      <c r="Q243" s="13">
        <f>IF(C243="","",IFERROR(INDEX(Products!$B$5:$B$304,MATCH(C243,Products!$A$5:$A$304,0)),"Bundle or deleted"))</f>
        <v>0</v>
      </c>
      <c r="R243" s="13">
        <f>IF(B243="","",TEXT(B243,"yyyy-mm"))</f>
        <v>0</v>
      </c>
      <c r="S243" s="20">
        <f>IF(C243="","",IFERROR(INDEX(Products!$AR$5:$AR$304,MATCH(C243,Products!$A$5:$A$304,0)),""))</f>
        <v>0</v>
      </c>
      <c r="T243" s="20">
        <f>IF(B243="","",IF(F243&lt;&gt;"",F243,IF(S243="",0,S243)))</f>
        <v>0</v>
      </c>
      <c r="U243" s="20">
        <f>IF(B243="","",ROUND(IF(D243="",0,D243)*T243,2))</f>
        <v>0</v>
      </c>
      <c r="V243" s="20">
        <f>IF(B243="","",ROUND(U243-IF(G243="",0,G243)-IF(L243="",0,L243),2))</f>
        <v>0</v>
      </c>
      <c r="W243" s="20">
        <f>IF(C243="","",IFERROR(INDEX(Products!$AT$5:$AT$304,MATCH(C243,Products!$A$5:$A$304,0)),""))</f>
        <v>0</v>
      </c>
      <c r="X243" s="20">
        <f>IF(C243="","",IFERROR(INDEX(Products!$AG$5:$AG$304,MATCH(C243,Products!$A$5:$A$304,0)),""))</f>
        <v>0</v>
      </c>
      <c r="Y243" s="20">
        <f>IF(B243="","",ROUND(IF(D243="",0,D243)*MAX(0,IF(W243="",0,W243)-IF(X243="",0,X243)),2))</f>
        <v>0</v>
      </c>
      <c r="Z243" s="20">
        <f>IF(B243="","",ROUND(MAX(0,IF(J243="",0,J243)-IF(I243="",0,I243)),2))</f>
        <v>0</v>
      </c>
      <c r="AA243" s="33">
        <f>IF(B243="","",IFERROR(INDEX(Channels!$S$5:$S$18,MATCH(IF(E243="",DefaultChannel,E243),Channels!$A$5:$A$18,0)),0))</f>
        <v>0</v>
      </c>
      <c r="AB243" s="20">
        <f>IF(B243="","",IFERROR(INDEX(Channels!$T$5:$T$18,MATCH(IF(E243="",DefaultChannel,E243),Channels!$A$5:$A$18,0)),0))</f>
        <v>0</v>
      </c>
      <c r="AC243" s="42">
        <f>IF(B243="","",IFERROR(INDEX(Channels!$O$5:$O$18,MATCH(IF(E243="",DefaultChannel,E243),Channels!$A$5:$A$18,0)),"No"))</f>
        <v>0</v>
      </c>
      <c r="AD243" s="20">
        <f>IF(B243="","",ROUND((V243+IF(AC243="Yes",IF(I243="",0,I243),0))*AA243+AB243,2))</f>
        <v>0</v>
      </c>
      <c r="AE243" s="20">
        <f>IF(B243="","",IF(K243&lt;&gt;"",K243,AD243))</f>
        <v>0</v>
      </c>
      <c r="AF243" s="20">
        <f>IF(B243="","",IF(K243="","",ROUND(K243-AD243,2)))</f>
        <v>0</v>
      </c>
      <c r="AG243" s="20">
        <f>IF(B243="","",ROUND(V243-Y243-AE243-Z243,2))</f>
        <v>0</v>
      </c>
      <c r="AH243" s="33">
        <f>IF(B243="","",IF(OR(V243="",V243=0),"",AG243/V243))</f>
        <v>0</v>
      </c>
      <c r="AI243" s="33">
        <f>IF(C243="","",IFERROR(INDEX(Products!$AW$5:$AW$304,MATCH(C243,Products!$A$5:$A$304,0)),""))</f>
        <v>0</v>
      </c>
      <c r="AJ243" s="33">
        <f>IF(B243="","",IF(OR(AH243="",AI243=""),"",AH243-AI243))</f>
        <v>0</v>
      </c>
      <c r="AK243" s="41">
        <f>IF(B243="","",IFERROR(ROUND(IF(D243="",0,D243)*INDEX(Products!$X$5:$X$304,MATCH(C243,Products!$A$5:$A$304,0))/60,2),""))</f>
        <v>0</v>
      </c>
      <c r="AL243" s="20">
        <f>IF(B243="","",IF(OR(AK243="",AK243=0),"",ROUND(AG243/AK243,2)))</f>
        <v>0</v>
      </c>
      <c r="AM243" s="43">
        <f>IF(B243="","",IF(C243="","Add - which product?",IF(AG243&lt;0,"Loss - this order cost you money",IF(M243="Refunded","Refunded - check why",IF(AND(AF243&lt;&gt;"",AF243&gt;0.25),"Check - fees higher than your settings",IF(Z243&gt;1,"Check - postage is eating the margin",IF(AND(AH243&lt;&gt;"",AH243&lt;MarginWarning),"Low margin on this order","OK")))))) )</f>
        <v>0</v>
      </c>
    </row>
    <row r="244" spans="1:39">
      <c r="A244" s="38">
        <f>IF(B244="","",SalePrefix&amp;TEXT(ROW()-4,"0000"))</f>
        <v>0</v>
      </c>
      <c r="Q244" s="13">
        <f>IF(C244="","",IFERROR(INDEX(Products!$B$5:$B$304,MATCH(C244,Products!$A$5:$A$304,0)),"Bundle or deleted"))</f>
        <v>0</v>
      </c>
      <c r="R244" s="13">
        <f>IF(B244="","",TEXT(B244,"yyyy-mm"))</f>
        <v>0</v>
      </c>
      <c r="S244" s="20">
        <f>IF(C244="","",IFERROR(INDEX(Products!$AR$5:$AR$304,MATCH(C244,Products!$A$5:$A$304,0)),""))</f>
        <v>0</v>
      </c>
      <c r="T244" s="20">
        <f>IF(B244="","",IF(F244&lt;&gt;"",F244,IF(S244="",0,S244)))</f>
        <v>0</v>
      </c>
      <c r="U244" s="20">
        <f>IF(B244="","",ROUND(IF(D244="",0,D244)*T244,2))</f>
        <v>0</v>
      </c>
      <c r="V244" s="20">
        <f>IF(B244="","",ROUND(U244-IF(G244="",0,G244)-IF(L244="",0,L244),2))</f>
        <v>0</v>
      </c>
      <c r="W244" s="20">
        <f>IF(C244="","",IFERROR(INDEX(Products!$AT$5:$AT$304,MATCH(C244,Products!$A$5:$A$304,0)),""))</f>
        <v>0</v>
      </c>
      <c r="X244" s="20">
        <f>IF(C244="","",IFERROR(INDEX(Products!$AG$5:$AG$304,MATCH(C244,Products!$A$5:$A$304,0)),""))</f>
        <v>0</v>
      </c>
      <c r="Y244" s="20">
        <f>IF(B244="","",ROUND(IF(D244="",0,D244)*MAX(0,IF(W244="",0,W244)-IF(X244="",0,X244)),2))</f>
        <v>0</v>
      </c>
      <c r="Z244" s="20">
        <f>IF(B244="","",ROUND(MAX(0,IF(J244="",0,J244)-IF(I244="",0,I244)),2))</f>
        <v>0</v>
      </c>
      <c r="AA244" s="33">
        <f>IF(B244="","",IFERROR(INDEX(Channels!$S$5:$S$18,MATCH(IF(E244="",DefaultChannel,E244),Channels!$A$5:$A$18,0)),0))</f>
        <v>0</v>
      </c>
      <c r="AB244" s="20">
        <f>IF(B244="","",IFERROR(INDEX(Channels!$T$5:$T$18,MATCH(IF(E244="",DefaultChannel,E244),Channels!$A$5:$A$18,0)),0))</f>
        <v>0</v>
      </c>
      <c r="AC244" s="42">
        <f>IF(B244="","",IFERROR(INDEX(Channels!$O$5:$O$18,MATCH(IF(E244="",DefaultChannel,E244),Channels!$A$5:$A$18,0)),"No"))</f>
        <v>0</v>
      </c>
      <c r="AD244" s="20">
        <f>IF(B244="","",ROUND((V244+IF(AC244="Yes",IF(I244="",0,I244),0))*AA244+AB244,2))</f>
        <v>0</v>
      </c>
      <c r="AE244" s="20">
        <f>IF(B244="","",IF(K244&lt;&gt;"",K244,AD244))</f>
        <v>0</v>
      </c>
      <c r="AF244" s="20">
        <f>IF(B244="","",IF(K244="","",ROUND(K244-AD244,2)))</f>
        <v>0</v>
      </c>
      <c r="AG244" s="20">
        <f>IF(B244="","",ROUND(V244-Y244-AE244-Z244,2))</f>
        <v>0</v>
      </c>
      <c r="AH244" s="33">
        <f>IF(B244="","",IF(OR(V244="",V244=0),"",AG244/V244))</f>
        <v>0</v>
      </c>
      <c r="AI244" s="33">
        <f>IF(C244="","",IFERROR(INDEX(Products!$AW$5:$AW$304,MATCH(C244,Products!$A$5:$A$304,0)),""))</f>
        <v>0</v>
      </c>
      <c r="AJ244" s="33">
        <f>IF(B244="","",IF(OR(AH244="",AI244=""),"",AH244-AI244))</f>
        <v>0</v>
      </c>
      <c r="AK244" s="41">
        <f>IF(B244="","",IFERROR(ROUND(IF(D244="",0,D244)*INDEX(Products!$X$5:$X$304,MATCH(C244,Products!$A$5:$A$304,0))/60,2),""))</f>
        <v>0</v>
      </c>
      <c r="AL244" s="20">
        <f>IF(B244="","",IF(OR(AK244="",AK244=0),"",ROUND(AG244/AK244,2)))</f>
        <v>0</v>
      </c>
      <c r="AM244" s="43">
        <f>IF(B244="","",IF(C244="","Add - which product?",IF(AG244&lt;0,"Loss - this order cost you money",IF(M244="Refunded","Refunded - check why",IF(AND(AF244&lt;&gt;"",AF244&gt;0.25),"Check - fees higher than your settings",IF(Z244&gt;1,"Check - postage is eating the margin",IF(AND(AH244&lt;&gt;"",AH244&lt;MarginWarning),"Low margin on this order","OK")))))) )</f>
        <v>0</v>
      </c>
    </row>
    <row r="245" spans="1:39">
      <c r="A245" s="38">
        <f>IF(B245="","",SalePrefix&amp;TEXT(ROW()-4,"0000"))</f>
        <v>0</v>
      </c>
      <c r="Q245" s="13">
        <f>IF(C245="","",IFERROR(INDEX(Products!$B$5:$B$304,MATCH(C245,Products!$A$5:$A$304,0)),"Bundle or deleted"))</f>
        <v>0</v>
      </c>
      <c r="R245" s="13">
        <f>IF(B245="","",TEXT(B245,"yyyy-mm"))</f>
        <v>0</v>
      </c>
      <c r="S245" s="20">
        <f>IF(C245="","",IFERROR(INDEX(Products!$AR$5:$AR$304,MATCH(C245,Products!$A$5:$A$304,0)),""))</f>
        <v>0</v>
      </c>
      <c r="T245" s="20">
        <f>IF(B245="","",IF(F245&lt;&gt;"",F245,IF(S245="",0,S245)))</f>
        <v>0</v>
      </c>
      <c r="U245" s="20">
        <f>IF(B245="","",ROUND(IF(D245="",0,D245)*T245,2))</f>
        <v>0</v>
      </c>
      <c r="V245" s="20">
        <f>IF(B245="","",ROUND(U245-IF(G245="",0,G245)-IF(L245="",0,L245),2))</f>
        <v>0</v>
      </c>
      <c r="W245" s="20">
        <f>IF(C245="","",IFERROR(INDEX(Products!$AT$5:$AT$304,MATCH(C245,Products!$A$5:$A$304,0)),""))</f>
        <v>0</v>
      </c>
      <c r="X245" s="20">
        <f>IF(C245="","",IFERROR(INDEX(Products!$AG$5:$AG$304,MATCH(C245,Products!$A$5:$A$304,0)),""))</f>
        <v>0</v>
      </c>
      <c r="Y245" s="20">
        <f>IF(B245="","",ROUND(IF(D245="",0,D245)*MAX(0,IF(W245="",0,W245)-IF(X245="",0,X245)),2))</f>
        <v>0</v>
      </c>
      <c r="Z245" s="20">
        <f>IF(B245="","",ROUND(MAX(0,IF(J245="",0,J245)-IF(I245="",0,I245)),2))</f>
        <v>0</v>
      </c>
      <c r="AA245" s="33">
        <f>IF(B245="","",IFERROR(INDEX(Channels!$S$5:$S$18,MATCH(IF(E245="",DefaultChannel,E245),Channels!$A$5:$A$18,0)),0))</f>
        <v>0</v>
      </c>
      <c r="AB245" s="20">
        <f>IF(B245="","",IFERROR(INDEX(Channels!$T$5:$T$18,MATCH(IF(E245="",DefaultChannel,E245),Channels!$A$5:$A$18,0)),0))</f>
        <v>0</v>
      </c>
      <c r="AC245" s="42">
        <f>IF(B245="","",IFERROR(INDEX(Channels!$O$5:$O$18,MATCH(IF(E245="",DefaultChannel,E245),Channels!$A$5:$A$18,0)),"No"))</f>
        <v>0</v>
      </c>
      <c r="AD245" s="20">
        <f>IF(B245="","",ROUND((V245+IF(AC245="Yes",IF(I245="",0,I245),0))*AA245+AB245,2))</f>
        <v>0</v>
      </c>
      <c r="AE245" s="20">
        <f>IF(B245="","",IF(K245&lt;&gt;"",K245,AD245))</f>
        <v>0</v>
      </c>
      <c r="AF245" s="20">
        <f>IF(B245="","",IF(K245="","",ROUND(K245-AD245,2)))</f>
        <v>0</v>
      </c>
      <c r="AG245" s="20">
        <f>IF(B245="","",ROUND(V245-Y245-AE245-Z245,2))</f>
        <v>0</v>
      </c>
      <c r="AH245" s="33">
        <f>IF(B245="","",IF(OR(V245="",V245=0),"",AG245/V245))</f>
        <v>0</v>
      </c>
      <c r="AI245" s="33">
        <f>IF(C245="","",IFERROR(INDEX(Products!$AW$5:$AW$304,MATCH(C245,Products!$A$5:$A$304,0)),""))</f>
        <v>0</v>
      </c>
      <c r="AJ245" s="33">
        <f>IF(B245="","",IF(OR(AH245="",AI245=""),"",AH245-AI245))</f>
        <v>0</v>
      </c>
      <c r="AK245" s="41">
        <f>IF(B245="","",IFERROR(ROUND(IF(D245="",0,D245)*INDEX(Products!$X$5:$X$304,MATCH(C245,Products!$A$5:$A$304,0))/60,2),""))</f>
        <v>0</v>
      </c>
      <c r="AL245" s="20">
        <f>IF(B245="","",IF(OR(AK245="",AK245=0),"",ROUND(AG245/AK245,2)))</f>
        <v>0</v>
      </c>
      <c r="AM245" s="43">
        <f>IF(B245="","",IF(C245="","Add - which product?",IF(AG245&lt;0,"Loss - this order cost you money",IF(M245="Refunded","Refunded - check why",IF(AND(AF245&lt;&gt;"",AF245&gt;0.25),"Check - fees higher than your settings",IF(Z245&gt;1,"Check - postage is eating the margin",IF(AND(AH245&lt;&gt;"",AH245&lt;MarginWarning),"Low margin on this order","OK")))))) )</f>
        <v>0</v>
      </c>
    </row>
    <row r="246" spans="1:39">
      <c r="A246" s="38">
        <f>IF(B246="","",SalePrefix&amp;TEXT(ROW()-4,"0000"))</f>
        <v>0</v>
      </c>
      <c r="Q246" s="13">
        <f>IF(C246="","",IFERROR(INDEX(Products!$B$5:$B$304,MATCH(C246,Products!$A$5:$A$304,0)),"Bundle or deleted"))</f>
        <v>0</v>
      </c>
      <c r="R246" s="13">
        <f>IF(B246="","",TEXT(B246,"yyyy-mm"))</f>
        <v>0</v>
      </c>
      <c r="S246" s="20">
        <f>IF(C246="","",IFERROR(INDEX(Products!$AR$5:$AR$304,MATCH(C246,Products!$A$5:$A$304,0)),""))</f>
        <v>0</v>
      </c>
      <c r="T246" s="20">
        <f>IF(B246="","",IF(F246&lt;&gt;"",F246,IF(S246="",0,S246)))</f>
        <v>0</v>
      </c>
      <c r="U246" s="20">
        <f>IF(B246="","",ROUND(IF(D246="",0,D246)*T246,2))</f>
        <v>0</v>
      </c>
      <c r="V246" s="20">
        <f>IF(B246="","",ROUND(U246-IF(G246="",0,G246)-IF(L246="",0,L246),2))</f>
        <v>0</v>
      </c>
      <c r="W246" s="20">
        <f>IF(C246="","",IFERROR(INDEX(Products!$AT$5:$AT$304,MATCH(C246,Products!$A$5:$A$304,0)),""))</f>
        <v>0</v>
      </c>
      <c r="X246" s="20">
        <f>IF(C246="","",IFERROR(INDEX(Products!$AG$5:$AG$304,MATCH(C246,Products!$A$5:$A$304,0)),""))</f>
        <v>0</v>
      </c>
      <c r="Y246" s="20">
        <f>IF(B246="","",ROUND(IF(D246="",0,D246)*MAX(0,IF(W246="",0,W246)-IF(X246="",0,X246)),2))</f>
        <v>0</v>
      </c>
      <c r="Z246" s="20">
        <f>IF(B246="","",ROUND(MAX(0,IF(J246="",0,J246)-IF(I246="",0,I246)),2))</f>
        <v>0</v>
      </c>
      <c r="AA246" s="33">
        <f>IF(B246="","",IFERROR(INDEX(Channels!$S$5:$S$18,MATCH(IF(E246="",DefaultChannel,E246),Channels!$A$5:$A$18,0)),0))</f>
        <v>0</v>
      </c>
      <c r="AB246" s="20">
        <f>IF(B246="","",IFERROR(INDEX(Channels!$T$5:$T$18,MATCH(IF(E246="",DefaultChannel,E246),Channels!$A$5:$A$18,0)),0))</f>
        <v>0</v>
      </c>
      <c r="AC246" s="42">
        <f>IF(B246="","",IFERROR(INDEX(Channels!$O$5:$O$18,MATCH(IF(E246="",DefaultChannel,E246),Channels!$A$5:$A$18,0)),"No"))</f>
        <v>0</v>
      </c>
      <c r="AD246" s="20">
        <f>IF(B246="","",ROUND((V246+IF(AC246="Yes",IF(I246="",0,I246),0))*AA246+AB246,2))</f>
        <v>0</v>
      </c>
      <c r="AE246" s="20">
        <f>IF(B246="","",IF(K246&lt;&gt;"",K246,AD246))</f>
        <v>0</v>
      </c>
      <c r="AF246" s="20">
        <f>IF(B246="","",IF(K246="","",ROUND(K246-AD246,2)))</f>
        <v>0</v>
      </c>
      <c r="AG246" s="20">
        <f>IF(B246="","",ROUND(V246-Y246-AE246-Z246,2))</f>
        <v>0</v>
      </c>
      <c r="AH246" s="33">
        <f>IF(B246="","",IF(OR(V246="",V246=0),"",AG246/V246))</f>
        <v>0</v>
      </c>
      <c r="AI246" s="33">
        <f>IF(C246="","",IFERROR(INDEX(Products!$AW$5:$AW$304,MATCH(C246,Products!$A$5:$A$304,0)),""))</f>
        <v>0</v>
      </c>
      <c r="AJ246" s="33">
        <f>IF(B246="","",IF(OR(AH246="",AI246=""),"",AH246-AI246))</f>
        <v>0</v>
      </c>
      <c r="AK246" s="41">
        <f>IF(B246="","",IFERROR(ROUND(IF(D246="",0,D246)*INDEX(Products!$X$5:$X$304,MATCH(C246,Products!$A$5:$A$304,0))/60,2),""))</f>
        <v>0</v>
      </c>
      <c r="AL246" s="20">
        <f>IF(B246="","",IF(OR(AK246="",AK246=0),"",ROUND(AG246/AK246,2)))</f>
        <v>0</v>
      </c>
      <c r="AM246" s="43">
        <f>IF(B246="","",IF(C246="","Add - which product?",IF(AG246&lt;0,"Loss - this order cost you money",IF(M246="Refunded","Refunded - check why",IF(AND(AF246&lt;&gt;"",AF246&gt;0.25),"Check - fees higher than your settings",IF(Z246&gt;1,"Check - postage is eating the margin",IF(AND(AH246&lt;&gt;"",AH246&lt;MarginWarning),"Low margin on this order","OK")))))) )</f>
        <v>0</v>
      </c>
    </row>
    <row r="247" spans="1:39">
      <c r="A247" s="38">
        <f>IF(B247="","",SalePrefix&amp;TEXT(ROW()-4,"0000"))</f>
        <v>0</v>
      </c>
      <c r="Q247" s="13">
        <f>IF(C247="","",IFERROR(INDEX(Products!$B$5:$B$304,MATCH(C247,Products!$A$5:$A$304,0)),"Bundle or deleted"))</f>
        <v>0</v>
      </c>
      <c r="R247" s="13">
        <f>IF(B247="","",TEXT(B247,"yyyy-mm"))</f>
        <v>0</v>
      </c>
      <c r="S247" s="20">
        <f>IF(C247="","",IFERROR(INDEX(Products!$AR$5:$AR$304,MATCH(C247,Products!$A$5:$A$304,0)),""))</f>
        <v>0</v>
      </c>
      <c r="T247" s="20">
        <f>IF(B247="","",IF(F247&lt;&gt;"",F247,IF(S247="",0,S247)))</f>
        <v>0</v>
      </c>
      <c r="U247" s="20">
        <f>IF(B247="","",ROUND(IF(D247="",0,D247)*T247,2))</f>
        <v>0</v>
      </c>
      <c r="V247" s="20">
        <f>IF(B247="","",ROUND(U247-IF(G247="",0,G247)-IF(L247="",0,L247),2))</f>
        <v>0</v>
      </c>
      <c r="W247" s="20">
        <f>IF(C247="","",IFERROR(INDEX(Products!$AT$5:$AT$304,MATCH(C247,Products!$A$5:$A$304,0)),""))</f>
        <v>0</v>
      </c>
      <c r="X247" s="20">
        <f>IF(C247="","",IFERROR(INDEX(Products!$AG$5:$AG$304,MATCH(C247,Products!$A$5:$A$304,0)),""))</f>
        <v>0</v>
      </c>
      <c r="Y247" s="20">
        <f>IF(B247="","",ROUND(IF(D247="",0,D247)*MAX(0,IF(W247="",0,W247)-IF(X247="",0,X247)),2))</f>
        <v>0</v>
      </c>
      <c r="Z247" s="20">
        <f>IF(B247="","",ROUND(MAX(0,IF(J247="",0,J247)-IF(I247="",0,I247)),2))</f>
        <v>0</v>
      </c>
      <c r="AA247" s="33">
        <f>IF(B247="","",IFERROR(INDEX(Channels!$S$5:$S$18,MATCH(IF(E247="",DefaultChannel,E247),Channels!$A$5:$A$18,0)),0))</f>
        <v>0</v>
      </c>
      <c r="AB247" s="20">
        <f>IF(B247="","",IFERROR(INDEX(Channels!$T$5:$T$18,MATCH(IF(E247="",DefaultChannel,E247),Channels!$A$5:$A$18,0)),0))</f>
        <v>0</v>
      </c>
      <c r="AC247" s="42">
        <f>IF(B247="","",IFERROR(INDEX(Channels!$O$5:$O$18,MATCH(IF(E247="",DefaultChannel,E247),Channels!$A$5:$A$18,0)),"No"))</f>
        <v>0</v>
      </c>
      <c r="AD247" s="20">
        <f>IF(B247="","",ROUND((V247+IF(AC247="Yes",IF(I247="",0,I247),0))*AA247+AB247,2))</f>
        <v>0</v>
      </c>
      <c r="AE247" s="20">
        <f>IF(B247="","",IF(K247&lt;&gt;"",K247,AD247))</f>
        <v>0</v>
      </c>
      <c r="AF247" s="20">
        <f>IF(B247="","",IF(K247="","",ROUND(K247-AD247,2)))</f>
        <v>0</v>
      </c>
      <c r="AG247" s="20">
        <f>IF(B247="","",ROUND(V247-Y247-AE247-Z247,2))</f>
        <v>0</v>
      </c>
      <c r="AH247" s="33">
        <f>IF(B247="","",IF(OR(V247="",V247=0),"",AG247/V247))</f>
        <v>0</v>
      </c>
      <c r="AI247" s="33">
        <f>IF(C247="","",IFERROR(INDEX(Products!$AW$5:$AW$304,MATCH(C247,Products!$A$5:$A$304,0)),""))</f>
        <v>0</v>
      </c>
      <c r="AJ247" s="33">
        <f>IF(B247="","",IF(OR(AH247="",AI247=""),"",AH247-AI247))</f>
        <v>0</v>
      </c>
      <c r="AK247" s="41">
        <f>IF(B247="","",IFERROR(ROUND(IF(D247="",0,D247)*INDEX(Products!$X$5:$X$304,MATCH(C247,Products!$A$5:$A$304,0))/60,2),""))</f>
        <v>0</v>
      </c>
      <c r="AL247" s="20">
        <f>IF(B247="","",IF(OR(AK247="",AK247=0),"",ROUND(AG247/AK247,2)))</f>
        <v>0</v>
      </c>
      <c r="AM247" s="43">
        <f>IF(B247="","",IF(C247="","Add - which product?",IF(AG247&lt;0,"Loss - this order cost you money",IF(M247="Refunded","Refunded - check why",IF(AND(AF247&lt;&gt;"",AF247&gt;0.25),"Check - fees higher than your settings",IF(Z247&gt;1,"Check - postage is eating the margin",IF(AND(AH247&lt;&gt;"",AH247&lt;MarginWarning),"Low margin on this order","OK")))))) )</f>
        <v>0</v>
      </c>
    </row>
    <row r="248" spans="1:39">
      <c r="A248" s="38">
        <f>IF(B248="","",SalePrefix&amp;TEXT(ROW()-4,"0000"))</f>
        <v>0</v>
      </c>
      <c r="Q248" s="13">
        <f>IF(C248="","",IFERROR(INDEX(Products!$B$5:$B$304,MATCH(C248,Products!$A$5:$A$304,0)),"Bundle or deleted"))</f>
        <v>0</v>
      </c>
      <c r="R248" s="13">
        <f>IF(B248="","",TEXT(B248,"yyyy-mm"))</f>
        <v>0</v>
      </c>
      <c r="S248" s="20">
        <f>IF(C248="","",IFERROR(INDEX(Products!$AR$5:$AR$304,MATCH(C248,Products!$A$5:$A$304,0)),""))</f>
        <v>0</v>
      </c>
      <c r="T248" s="20">
        <f>IF(B248="","",IF(F248&lt;&gt;"",F248,IF(S248="",0,S248)))</f>
        <v>0</v>
      </c>
      <c r="U248" s="20">
        <f>IF(B248="","",ROUND(IF(D248="",0,D248)*T248,2))</f>
        <v>0</v>
      </c>
      <c r="V248" s="20">
        <f>IF(B248="","",ROUND(U248-IF(G248="",0,G248)-IF(L248="",0,L248),2))</f>
        <v>0</v>
      </c>
      <c r="W248" s="20">
        <f>IF(C248="","",IFERROR(INDEX(Products!$AT$5:$AT$304,MATCH(C248,Products!$A$5:$A$304,0)),""))</f>
        <v>0</v>
      </c>
      <c r="X248" s="20">
        <f>IF(C248="","",IFERROR(INDEX(Products!$AG$5:$AG$304,MATCH(C248,Products!$A$5:$A$304,0)),""))</f>
        <v>0</v>
      </c>
      <c r="Y248" s="20">
        <f>IF(B248="","",ROUND(IF(D248="",0,D248)*MAX(0,IF(W248="",0,W248)-IF(X248="",0,X248)),2))</f>
        <v>0</v>
      </c>
      <c r="Z248" s="20">
        <f>IF(B248="","",ROUND(MAX(0,IF(J248="",0,J248)-IF(I248="",0,I248)),2))</f>
        <v>0</v>
      </c>
      <c r="AA248" s="33">
        <f>IF(B248="","",IFERROR(INDEX(Channels!$S$5:$S$18,MATCH(IF(E248="",DefaultChannel,E248),Channels!$A$5:$A$18,0)),0))</f>
        <v>0</v>
      </c>
      <c r="AB248" s="20">
        <f>IF(B248="","",IFERROR(INDEX(Channels!$T$5:$T$18,MATCH(IF(E248="",DefaultChannel,E248),Channels!$A$5:$A$18,0)),0))</f>
        <v>0</v>
      </c>
      <c r="AC248" s="42">
        <f>IF(B248="","",IFERROR(INDEX(Channels!$O$5:$O$18,MATCH(IF(E248="",DefaultChannel,E248),Channels!$A$5:$A$18,0)),"No"))</f>
        <v>0</v>
      </c>
      <c r="AD248" s="20">
        <f>IF(B248="","",ROUND((V248+IF(AC248="Yes",IF(I248="",0,I248),0))*AA248+AB248,2))</f>
        <v>0</v>
      </c>
      <c r="AE248" s="20">
        <f>IF(B248="","",IF(K248&lt;&gt;"",K248,AD248))</f>
        <v>0</v>
      </c>
      <c r="AF248" s="20">
        <f>IF(B248="","",IF(K248="","",ROUND(K248-AD248,2)))</f>
        <v>0</v>
      </c>
      <c r="AG248" s="20">
        <f>IF(B248="","",ROUND(V248-Y248-AE248-Z248,2))</f>
        <v>0</v>
      </c>
      <c r="AH248" s="33">
        <f>IF(B248="","",IF(OR(V248="",V248=0),"",AG248/V248))</f>
        <v>0</v>
      </c>
      <c r="AI248" s="33">
        <f>IF(C248="","",IFERROR(INDEX(Products!$AW$5:$AW$304,MATCH(C248,Products!$A$5:$A$304,0)),""))</f>
        <v>0</v>
      </c>
      <c r="AJ248" s="33">
        <f>IF(B248="","",IF(OR(AH248="",AI248=""),"",AH248-AI248))</f>
        <v>0</v>
      </c>
      <c r="AK248" s="41">
        <f>IF(B248="","",IFERROR(ROUND(IF(D248="",0,D248)*INDEX(Products!$X$5:$X$304,MATCH(C248,Products!$A$5:$A$304,0))/60,2),""))</f>
        <v>0</v>
      </c>
      <c r="AL248" s="20">
        <f>IF(B248="","",IF(OR(AK248="",AK248=0),"",ROUND(AG248/AK248,2)))</f>
        <v>0</v>
      </c>
      <c r="AM248" s="43">
        <f>IF(B248="","",IF(C248="","Add - which product?",IF(AG248&lt;0,"Loss - this order cost you money",IF(M248="Refunded","Refunded - check why",IF(AND(AF248&lt;&gt;"",AF248&gt;0.25),"Check - fees higher than your settings",IF(Z248&gt;1,"Check - postage is eating the margin",IF(AND(AH248&lt;&gt;"",AH248&lt;MarginWarning),"Low margin on this order","OK")))))) )</f>
        <v>0</v>
      </c>
    </row>
    <row r="249" spans="1:39">
      <c r="A249" s="38">
        <f>IF(B249="","",SalePrefix&amp;TEXT(ROW()-4,"0000"))</f>
        <v>0</v>
      </c>
      <c r="Q249" s="13">
        <f>IF(C249="","",IFERROR(INDEX(Products!$B$5:$B$304,MATCH(C249,Products!$A$5:$A$304,0)),"Bundle or deleted"))</f>
        <v>0</v>
      </c>
      <c r="R249" s="13">
        <f>IF(B249="","",TEXT(B249,"yyyy-mm"))</f>
        <v>0</v>
      </c>
      <c r="S249" s="20">
        <f>IF(C249="","",IFERROR(INDEX(Products!$AR$5:$AR$304,MATCH(C249,Products!$A$5:$A$304,0)),""))</f>
        <v>0</v>
      </c>
      <c r="T249" s="20">
        <f>IF(B249="","",IF(F249&lt;&gt;"",F249,IF(S249="",0,S249)))</f>
        <v>0</v>
      </c>
      <c r="U249" s="20">
        <f>IF(B249="","",ROUND(IF(D249="",0,D249)*T249,2))</f>
        <v>0</v>
      </c>
      <c r="V249" s="20">
        <f>IF(B249="","",ROUND(U249-IF(G249="",0,G249)-IF(L249="",0,L249),2))</f>
        <v>0</v>
      </c>
      <c r="W249" s="20">
        <f>IF(C249="","",IFERROR(INDEX(Products!$AT$5:$AT$304,MATCH(C249,Products!$A$5:$A$304,0)),""))</f>
        <v>0</v>
      </c>
      <c r="X249" s="20">
        <f>IF(C249="","",IFERROR(INDEX(Products!$AG$5:$AG$304,MATCH(C249,Products!$A$5:$A$304,0)),""))</f>
        <v>0</v>
      </c>
      <c r="Y249" s="20">
        <f>IF(B249="","",ROUND(IF(D249="",0,D249)*MAX(0,IF(W249="",0,W249)-IF(X249="",0,X249)),2))</f>
        <v>0</v>
      </c>
      <c r="Z249" s="20">
        <f>IF(B249="","",ROUND(MAX(0,IF(J249="",0,J249)-IF(I249="",0,I249)),2))</f>
        <v>0</v>
      </c>
      <c r="AA249" s="33">
        <f>IF(B249="","",IFERROR(INDEX(Channels!$S$5:$S$18,MATCH(IF(E249="",DefaultChannel,E249),Channels!$A$5:$A$18,0)),0))</f>
        <v>0</v>
      </c>
      <c r="AB249" s="20">
        <f>IF(B249="","",IFERROR(INDEX(Channels!$T$5:$T$18,MATCH(IF(E249="",DefaultChannel,E249),Channels!$A$5:$A$18,0)),0))</f>
        <v>0</v>
      </c>
      <c r="AC249" s="42">
        <f>IF(B249="","",IFERROR(INDEX(Channels!$O$5:$O$18,MATCH(IF(E249="",DefaultChannel,E249),Channels!$A$5:$A$18,0)),"No"))</f>
        <v>0</v>
      </c>
      <c r="AD249" s="20">
        <f>IF(B249="","",ROUND((V249+IF(AC249="Yes",IF(I249="",0,I249),0))*AA249+AB249,2))</f>
        <v>0</v>
      </c>
      <c r="AE249" s="20">
        <f>IF(B249="","",IF(K249&lt;&gt;"",K249,AD249))</f>
        <v>0</v>
      </c>
      <c r="AF249" s="20">
        <f>IF(B249="","",IF(K249="","",ROUND(K249-AD249,2)))</f>
        <v>0</v>
      </c>
      <c r="AG249" s="20">
        <f>IF(B249="","",ROUND(V249-Y249-AE249-Z249,2))</f>
        <v>0</v>
      </c>
      <c r="AH249" s="33">
        <f>IF(B249="","",IF(OR(V249="",V249=0),"",AG249/V249))</f>
        <v>0</v>
      </c>
      <c r="AI249" s="33">
        <f>IF(C249="","",IFERROR(INDEX(Products!$AW$5:$AW$304,MATCH(C249,Products!$A$5:$A$304,0)),""))</f>
        <v>0</v>
      </c>
      <c r="AJ249" s="33">
        <f>IF(B249="","",IF(OR(AH249="",AI249=""),"",AH249-AI249))</f>
        <v>0</v>
      </c>
      <c r="AK249" s="41">
        <f>IF(B249="","",IFERROR(ROUND(IF(D249="",0,D249)*INDEX(Products!$X$5:$X$304,MATCH(C249,Products!$A$5:$A$304,0))/60,2),""))</f>
        <v>0</v>
      </c>
      <c r="AL249" s="20">
        <f>IF(B249="","",IF(OR(AK249="",AK249=0),"",ROUND(AG249/AK249,2)))</f>
        <v>0</v>
      </c>
      <c r="AM249" s="43">
        <f>IF(B249="","",IF(C249="","Add - which product?",IF(AG249&lt;0,"Loss - this order cost you money",IF(M249="Refunded","Refunded - check why",IF(AND(AF249&lt;&gt;"",AF249&gt;0.25),"Check - fees higher than your settings",IF(Z249&gt;1,"Check - postage is eating the margin",IF(AND(AH249&lt;&gt;"",AH249&lt;MarginWarning),"Low margin on this order","OK")))))) )</f>
        <v>0</v>
      </c>
    </row>
    <row r="250" spans="1:39">
      <c r="A250" s="38">
        <f>IF(B250="","",SalePrefix&amp;TEXT(ROW()-4,"0000"))</f>
        <v>0</v>
      </c>
      <c r="Q250" s="13">
        <f>IF(C250="","",IFERROR(INDEX(Products!$B$5:$B$304,MATCH(C250,Products!$A$5:$A$304,0)),"Bundle or deleted"))</f>
        <v>0</v>
      </c>
      <c r="R250" s="13">
        <f>IF(B250="","",TEXT(B250,"yyyy-mm"))</f>
        <v>0</v>
      </c>
      <c r="S250" s="20">
        <f>IF(C250="","",IFERROR(INDEX(Products!$AR$5:$AR$304,MATCH(C250,Products!$A$5:$A$304,0)),""))</f>
        <v>0</v>
      </c>
      <c r="T250" s="20">
        <f>IF(B250="","",IF(F250&lt;&gt;"",F250,IF(S250="",0,S250)))</f>
        <v>0</v>
      </c>
      <c r="U250" s="20">
        <f>IF(B250="","",ROUND(IF(D250="",0,D250)*T250,2))</f>
        <v>0</v>
      </c>
      <c r="V250" s="20">
        <f>IF(B250="","",ROUND(U250-IF(G250="",0,G250)-IF(L250="",0,L250),2))</f>
        <v>0</v>
      </c>
      <c r="W250" s="20">
        <f>IF(C250="","",IFERROR(INDEX(Products!$AT$5:$AT$304,MATCH(C250,Products!$A$5:$A$304,0)),""))</f>
        <v>0</v>
      </c>
      <c r="X250" s="20">
        <f>IF(C250="","",IFERROR(INDEX(Products!$AG$5:$AG$304,MATCH(C250,Products!$A$5:$A$304,0)),""))</f>
        <v>0</v>
      </c>
      <c r="Y250" s="20">
        <f>IF(B250="","",ROUND(IF(D250="",0,D250)*MAX(0,IF(W250="",0,W250)-IF(X250="",0,X250)),2))</f>
        <v>0</v>
      </c>
      <c r="Z250" s="20">
        <f>IF(B250="","",ROUND(MAX(0,IF(J250="",0,J250)-IF(I250="",0,I250)),2))</f>
        <v>0</v>
      </c>
      <c r="AA250" s="33">
        <f>IF(B250="","",IFERROR(INDEX(Channels!$S$5:$S$18,MATCH(IF(E250="",DefaultChannel,E250),Channels!$A$5:$A$18,0)),0))</f>
        <v>0</v>
      </c>
      <c r="AB250" s="20">
        <f>IF(B250="","",IFERROR(INDEX(Channels!$T$5:$T$18,MATCH(IF(E250="",DefaultChannel,E250),Channels!$A$5:$A$18,0)),0))</f>
        <v>0</v>
      </c>
      <c r="AC250" s="42">
        <f>IF(B250="","",IFERROR(INDEX(Channels!$O$5:$O$18,MATCH(IF(E250="",DefaultChannel,E250),Channels!$A$5:$A$18,0)),"No"))</f>
        <v>0</v>
      </c>
      <c r="AD250" s="20">
        <f>IF(B250="","",ROUND((V250+IF(AC250="Yes",IF(I250="",0,I250),0))*AA250+AB250,2))</f>
        <v>0</v>
      </c>
      <c r="AE250" s="20">
        <f>IF(B250="","",IF(K250&lt;&gt;"",K250,AD250))</f>
        <v>0</v>
      </c>
      <c r="AF250" s="20">
        <f>IF(B250="","",IF(K250="","",ROUND(K250-AD250,2)))</f>
        <v>0</v>
      </c>
      <c r="AG250" s="20">
        <f>IF(B250="","",ROUND(V250-Y250-AE250-Z250,2))</f>
        <v>0</v>
      </c>
      <c r="AH250" s="33">
        <f>IF(B250="","",IF(OR(V250="",V250=0),"",AG250/V250))</f>
        <v>0</v>
      </c>
      <c r="AI250" s="33">
        <f>IF(C250="","",IFERROR(INDEX(Products!$AW$5:$AW$304,MATCH(C250,Products!$A$5:$A$304,0)),""))</f>
        <v>0</v>
      </c>
      <c r="AJ250" s="33">
        <f>IF(B250="","",IF(OR(AH250="",AI250=""),"",AH250-AI250))</f>
        <v>0</v>
      </c>
      <c r="AK250" s="41">
        <f>IF(B250="","",IFERROR(ROUND(IF(D250="",0,D250)*INDEX(Products!$X$5:$X$304,MATCH(C250,Products!$A$5:$A$304,0))/60,2),""))</f>
        <v>0</v>
      </c>
      <c r="AL250" s="20">
        <f>IF(B250="","",IF(OR(AK250="",AK250=0),"",ROUND(AG250/AK250,2)))</f>
        <v>0</v>
      </c>
      <c r="AM250" s="43">
        <f>IF(B250="","",IF(C250="","Add - which product?",IF(AG250&lt;0,"Loss - this order cost you money",IF(M250="Refunded","Refunded - check why",IF(AND(AF250&lt;&gt;"",AF250&gt;0.25),"Check - fees higher than your settings",IF(Z250&gt;1,"Check - postage is eating the margin",IF(AND(AH250&lt;&gt;"",AH250&lt;MarginWarning),"Low margin on this order","OK")))))) )</f>
        <v>0</v>
      </c>
    </row>
    <row r="251" spans="1:39">
      <c r="A251" s="38">
        <f>IF(B251="","",SalePrefix&amp;TEXT(ROW()-4,"0000"))</f>
        <v>0</v>
      </c>
      <c r="Q251" s="13">
        <f>IF(C251="","",IFERROR(INDEX(Products!$B$5:$B$304,MATCH(C251,Products!$A$5:$A$304,0)),"Bundle or deleted"))</f>
        <v>0</v>
      </c>
      <c r="R251" s="13">
        <f>IF(B251="","",TEXT(B251,"yyyy-mm"))</f>
        <v>0</v>
      </c>
      <c r="S251" s="20">
        <f>IF(C251="","",IFERROR(INDEX(Products!$AR$5:$AR$304,MATCH(C251,Products!$A$5:$A$304,0)),""))</f>
        <v>0</v>
      </c>
      <c r="T251" s="20">
        <f>IF(B251="","",IF(F251&lt;&gt;"",F251,IF(S251="",0,S251)))</f>
        <v>0</v>
      </c>
      <c r="U251" s="20">
        <f>IF(B251="","",ROUND(IF(D251="",0,D251)*T251,2))</f>
        <v>0</v>
      </c>
      <c r="V251" s="20">
        <f>IF(B251="","",ROUND(U251-IF(G251="",0,G251)-IF(L251="",0,L251),2))</f>
        <v>0</v>
      </c>
      <c r="W251" s="20">
        <f>IF(C251="","",IFERROR(INDEX(Products!$AT$5:$AT$304,MATCH(C251,Products!$A$5:$A$304,0)),""))</f>
        <v>0</v>
      </c>
      <c r="X251" s="20">
        <f>IF(C251="","",IFERROR(INDEX(Products!$AG$5:$AG$304,MATCH(C251,Products!$A$5:$A$304,0)),""))</f>
        <v>0</v>
      </c>
      <c r="Y251" s="20">
        <f>IF(B251="","",ROUND(IF(D251="",0,D251)*MAX(0,IF(W251="",0,W251)-IF(X251="",0,X251)),2))</f>
        <v>0</v>
      </c>
      <c r="Z251" s="20">
        <f>IF(B251="","",ROUND(MAX(0,IF(J251="",0,J251)-IF(I251="",0,I251)),2))</f>
        <v>0</v>
      </c>
      <c r="AA251" s="33">
        <f>IF(B251="","",IFERROR(INDEX(Channels!$S$5:$S$18,MATCH(IF(E251="",DefaultChannel,E251),Channels!$A$5:$A$18,0)),0))</f>
        <v>0</v>
      </c>
      <c r="AB251" s="20">
        <f>IF(B251="","",IFERROR(INDEX(Channels!$T$5:$T$18,MATCH(IF(E251="",DefaultChannel,E251),Channels!$A$5:$A$18,0)),0))</f>
        <v>0</v>
      </c>
      <c r="AC251" s="42">
        <f>IF(B251="","",IFERROR(INDEX(Channels!$O$5:$O$18,MATCH(IF(E251="",DefaultChannel,E251),Channels!$A$5:$A$18,0)),"No"))</f>
        <v>0</v>
      </c>
      <c r="AD251" s="20">
        <f>IF(B251="","",ROUND((V251+IF(AC251="Yes",IF(I251="",0,I251),0))*AA251+AB251,2))</f>
        <v>0</v>
      </c>
      <c r="AE251" s="20">
        <f>IF(B251="","",IF(K251&lt;&gt;"",K251,AD251))</f>
        <v>0</v>
      </c>
      <c r="AF251" s="20">
        <f>IF(B251="","",IF(K251="","",ROUND(K251-AD251,2)))</f>
        <v>0</v>
      </c>
      <c r="AG251" s="20">
        <f>IF(B251="","",ROUND(V251-Y251-AE251-Z251,2))</f>
        <v>0</v>
      </c>
      <c r="AH251" s="33">
        <f>IF(B251="","",IF(OR(V251="",V251=0),"",AG251/V251))</f>
        <v>0</v>
      </c>
      <c r="AI251" s="33">
        <f>IF(C251="","",IFERROR(INDEX(Products!$AW$5:$AW$304,MATCH(C251,Products!$A$5:$A$304,0)),""))</f>
        <v>0</v>
      </c>
      <c r="AJ251" s="33">
        <f>IF(B251="","",IF(OR(AH251="",AI251=""),"",AH251-AI251))</f>
        <v>0</v>
      </c>
      <c r="AK251" s="41">
        <f>IF(B251="","",IFERROR(ROUND(IF(D251="",0,D251)*INDEX(Products!$X$5:$X$304,MATCH(C251,Products!$A$5:$A$304,0))/60,2),""))</f>
        <v>0</v>
      </c>
      <c r="AL251" s="20">
        <f>IF(B251="","",IF(OR(AK251="",AK251=0),"",ROUND(AG251/AK251,2)))</f>
        <v>0</v>
      </c>
      <c r="AM251" s="43">
        <f>IF(B251="","",IF(C251="","Add - which product?",IF(AG251&lt;0,"Loss - this order cost you money",IF(M251="Refunded","Refunded - check why",IF(AND(AF251&lt;&gt;"",AF251&gt;0.25),"Check - fees higher than your settings",IF(Z251&gt;1,"Check - postage is eating the margin",IF(AND(AH251&lt;&gt;"",AH251&lt;MarginWarning),"Low margin on this order","OK")))))) )</f>
        <v>0</v>
      </c>
    </row>
    <row r="252" spans="1:39">
      <c r="A252" s="38">
        <f>IF(B252="","",SalePrefix&amp;TEXT(ROW()-4,"0000"))</f>
        <v>0</v>
      </c>
      <c r="Q252" s="13">
        <f>IF(C252="","",IFERROR(INDEX(Products!$B$5:$B$304,MATCH(C252,Products!$A$5:$A$304,0)),"Bundle or deleted"))</f>
        <v>0</v>
      </c>
      <c r="R252" s="13">
        <f>IF(B252="","",TEXT(B252,"yyyy-mm"))</f>
        <v>0</v>
      </c>
      <c r="S252" s="20">
        <f>IF(C252="","",IFERROR(INDEX(Products!$AR$5:$AR$304,MATCH(C252,Products!$A$5:$A$304,0)),""))</f>
        <v>0</v>
      </c>
      <c r="T252" s="20">
        <f>IF(B252="","",IF(F252&lt;&gt;"",F252,IF(S252="",0,S252)))</f>
        <v>0</v>
      </c>
      <c r="U252" s="20">
        <f>IF(B252="","",ROUND(IF(D252="",0,D252)*T252,2))</f>
        <v>0</v>
      </c>
      <c r="V252" s="20">
        <f>IF(B252="","",ROUND(U252-IF(G252="",0,G252)-IF(L252="",0,L252),2))</f>
        <v>0</v>
      </c>
      <c r="W252" s="20">
        <f>IF(C252="","",IFERROR(INDEX(Products!$AT$5:$AT$304,MATCH(C252,Products!$A$5:$A$304,0)),""))</f>
        <v>0</v>
      </c>
      <c r="X252" s="20">
        <f>IF(C252="","",IFERROR(INDEX(Products!$AG$5:$AG$304,MATCH(C252,Products!$A$5:$A$304,0)),""))</f>
        <v>0</v>
      </c>
      <c r="Y252" s="20">
        <f>IF(B252="","",ROUND(IF(D252="",0,D252)*MAX(0,IF(W252="",0,W252)-IF(X252="",0,X252)),2))</f>
        <v>0</v>
      </c>
      <c r="Z252" s="20">
        <f>IF(B252="","",ROUND(MAX(0,IF(J252="",0,J252)-IF(I252="",0,I252)),2))</f>
        <v>0</v>
      </c>
      <c r="AA252" s="33">
        <f>IF(B252="","",IFERROR(INDEX(Channels!$S$5:$S$18,MATCH(IF(E252="",DefaultChannel,E252),Channels!$A$5:$A$18,0)),0))</f>
        <v>0</v>
      </c>
      <c r="AB252" s="20">
        <f>IF(B252="","",IFERROR(INDEX(Channels!$T$5:$T$18,MATCH(IF(E252="",DefaultChannel,E252),Channels!$A$5:$A$18,0)),0))</f>
        <v>0</v>
      </c>
      <c r="AC252" s="42">
        <f>IF(B252="","",IFERROR(INDEX(Channels!$O$5:$O$18,MATCH(IF(E252="",DefaultChannel,E252),Channels!$A$5:$A$18,0)),"No"))</f>
        <v>0</v>
      </c>
      <c r="AD252" s="20">
        <f>IF(B252="","",ROUND((V252+IF(AC252="Yes",IF(I252="",0,I252),0))*AA252+AB252,2))</f>
        <v>0</v>
      </c>
      <c r="AE252" s="20">
        <f>IF(B252="","",IF(K252&lt;&gt;"",K252,AD252))</f>
        <v>0</v>
      </c>
      <c r="AF252" s="20">
        <f>IF(B252="","",IF(K252="","",ROUND(K252-AD252,2)))</f>
        <v>0</v>
      </c>
      <c r="AG252" s="20">
        <f>IF(B252="","",ROUND(V252-Y252-AE252-Z252,2))</f>
        <v>0</v>
      </c>
      <c r="AH252" s="33">
        <f>IF(B252="","",IF(OR(V252="",V252=0),"",AG252/V252))</f>
        <v>0</v>
      </c>
      <c r="AI252" s="33">
        <f>IF(C252="","",IFERROR(INDEX(Products!$AW$5:$AW$304,MATCH(C252,Products!$A$5:$A$304,0)),""))</f>
        <v>0</v>
      </c>
      <c r="AJ252" s="33">
        <f>IF(B252="","",IF(OR(AH252="",AI252=""),"",AH252-AI252))</f>
        <v>0</v>
      </c>
      <c r="AK252" s="41">
        <f>IF(B252="","",IFERROR(ROUND(IF(D252="",0,D252)*INDEX(Products!$X$5:$X$304,MATCH(C252,Products!$A$5:$A$304,0))/60,2),""))</f>
        <v>0</v>
      </c>
      <c r="AL252" s="20">
        <f>IF(B252="","",IF(OR(AK252="",AK252=0),"",ROUND(AG252/AK252,2)))</f>
        <v>0</v>
      </c>
      <c r="AM252" s="43">
        <f>IF(B252="","",IF(C252="","Add - which product?",IF(AG252&lt;0,"Loss - this order cost you money",IF(M252="Refunded","Refunded - check why",IF(AND(AF252&lt;&gt;"",AF252&gt;0.25),"Check - fees higher than your settings",IF(Z252&gt;1,"Check - postage is eating the margin",IF(AND(AH252&lt;&gt;"",AH252&lt;MarginWarning),"Low margin on this order","OK")))))) )</f>
        <v>0</v>
      </c>
    </row>
    <row r="253" spans="1:39">
      <c r="A253" s="38">
        <f>IF(B253="","",SalePrefix&amp;TEXT(ROW()-4,"0000"))</f>
        <v>0</v>
      </c>
      <c r="Q253" s="13">
        <f>IF(C253="","",IFERROR(INDEX(Products!$B$5:$B$304,MATCH(C253,Products!$A$5:$A$304,0)),"Bundle or deleted"))</f>
        <v>0</v>
      </c>
      <c r="R253" s="13">
        <f>IF(B253="","",TEXT(B253,"yyyy-mm"))</f>
        <v>0</v>
      </c>
      <c r="S253" s="20">
        <f>IF(C253="","",IFERROR(INDEX(Products!$AR$5:$AR$304,MATCH(C253,Products!$A$5:$A$304,0)),""))</f>
        <v>0</v>
      </c>
      <c r="T253" s="20">
        <f>IF(B253="","",IF(F253&lt;&gt;"",F253,IF(S253="",0,S253)))</f>
        <v>0</v>
      </c>
      <c r="U253" s="20">
        <f>IF(B253="","",ROUND(IF(D253="",0,D253)*T253,2))</f>
        <v>0</v>
      </c>
      <c r="V253" s="20">
        <f>IF(B253="","",ROUND(U253-IF(G253="",0,G253)-IF(L253="",0,L253),2))</f>
        <v>0</v>
      </c>
      <c r="W253" s="20">
        <f>IF(C253="","",IFERROR(INDEX(Products!$AT$5:$AT$304,MATCH(C253,Products!$A$5:$A$304,0)),""))</f>
        <v>0</v>
      </c>
      <c r="X253" s="20">
        <f>IF(C253="","",IFERROR(INDEX(Products!$AG$5:$AG$304,MATCH(C253,Products!$A$5:$A$304,0)),""))</f>
        <v>0</v>
      </c>
      <c r="Y253" s="20">
        <f>IF(B253="","",ROUND(IF(D253="",0,D253)*MAX(0,IF(W253="",0,W253)-IF(X253="",0,X253)),2))</f>
        <v>0</v>
      </c>
      <c r="Z253" s="20">
        <f>IF(B253="","",ROUND(MAX(0,IF(J253="",0,J253)-IF(I253="",0,I253)),2))</f>
        <v>0</v>
      </c>
      <c r="AA253" s="33">
        <f>IF(B253="","",IFERROR(INDEX(Channels!$S$5:$S$18,MATCH(IF(E253="",DefaultChannel,E253),Channels!$A$5:$A$18,0)),0))</f>
        <v>0</v>
      </c>
      <c r="AB253" s="20">
        <f>IF(B253="","",IFERROR(INDEX(Channels!$T$5:$T$18,MATCH(IF(E253="",DefaultChannel,E253),Channels!$A$5:$A$18,0)),0))</f>
        <v>0</v>
      </c>
      <c r="AC253" s="42">
        <f>IF(B253="","",IFERROR(INDEX(Channels!$O$5:$O$18,MATCH(IF(E253="",DefaultChannel,E253),Channels!$A$5:$A$18,0)),"No"))</f>
        <v>0</v>
      </c>
      <c r="AD253" s="20">
        <f>IF(B253="","",ROUND((V253+IF(AC253="Yes",IF(I253="",0,I253),0))*AA253+AB253,2))</f>
        <v>0</v>
      </c>
      <c r="AE253" s="20">
        <f>IF(B253="","",IF(K253&lt;&gt;"",K253,AD253))</f>
        <v>0</v>
      </c>
      <c r="AF253" s="20">
        <f>IF(B253="","",IF(K253="","",ROUND(K253-AD253,2)))</f>
        <v>0</v>
      </c>
      <c r="AG253" s="20">
        <f>IF(B253="","",ROUND(V253-Y253-AE253-Z253,2))</f>
        <v>0</v>
      </c>
      <c r="AH253" s="33">
        <f>IF(B253="","",IF(OR(V253="",V253=0),"",AG253/V253))</f>
        <v>0</v>
      </c>
      <c r="AI253" s="33">
        <f>IF(C253="","",IFERROR(INDEX(Products!$AW$5:$AW$304,MATCH(C253,Products!$A$5:$A$304,0)),""))</f>
        <v>0</v>
      </c>
      <c r="AJ253" s="33">
        <f>IF(B253="","",IF(OR(AH253="",AI253=""),"",AH253-AI253))</f>
        <v>0</v>
      </c>
      <c r="AK253" s="41">
        <f>IF(B253="","",IFERROR(ROUND(IF(D253="",0,D253)*INDEX(Products!$X$5:$X$304,MATCH(C253,Products!$A$5:$A$304,0))/60,2),""))</f>
        <v>0</v>
      </c>
      <c r="AL253" s="20">
        <f>IF(B253="","",IF(OR(AK253="",AK253=0),"",ROUND(AG253/AK253,2)))</f>
        <v>0</v>
      </c>
      <c r="AM253" s="43">
        <f>IF(B253="","",IF(C253="","Add - which product?",IF(AG253&lt;0,"Loss - this order cost you money",IF(M253="Refunded","Refunded - check why",IF(AND(AF253&lt;&gt;"",AF253&gt;0.25),"Check - fees higher than your settings",IF(Z253&gt;1,"Check - postage is eating the margin",IF(AND(AH253&lt;&gt;"",AH253&lt;MarginWarning),"Low margin on this order","OK")))))) )</f>
        <v>0</v>
      </c>
    </row>
    <row r="254" spans="1:39">
      <c r="A254" s="38">
        <f>IF(B254="","",SalePrefix&amp;TEXT(ROW()-4,"0000"))</f>
        <v>0</v>
      </c>
      <c r="Q254" s="13">
        <f>IF(C254="","",IFERROR(INDEX(Products!$B$5:$B$304,MATCH(C254,Products!$A$5:$A$304,0)),"Bundle or deleted"))</f>
        <v>0</v>
      </c>
      <c r="R254" s="13">
        <f>IF(B254="","",TEXT(B254,"yyyy-mm"))</f>
        <v>0</v>
      </c>
      <c r="S254" s="20">
        <f>IF(C254="","",IFERROR(INDEX(Products!$AR$5:$AR$304,MATCH(C254,Products!$A$5:$A$304,0)),""))</f>
        <v>0</v>
      </c>
      <c r="T254" s="20">
        <f>IF(B254="","",IF(F254&lt;&gt;"",F254,IF(S254="",0,S254)))</f>
        <v>0</v>
      </c>
      <c r="U254" s="20">
        <f>IF(B254="","",ROUND(IF(D254="",0,D254)*T254,2))</f>
        <v>0</v>
      </c>
      <c r="V254" s="20">
        <f>IF(B254="","",ROUND(U254-IF(G254="",0,G254)-IF(L254="",0,L254),2))</f>
        <v>0</v>
      </c>
      <c r="W254" s="20">
        <f>IF(C254="","",IFERROR(INDEX(Products!$AT$5:$AT$304,MATCH(C254,Products!$A$5:$A$304,0)),""))</f>
        <v>0</v>
      </c>
      <c r="X254" s="20">
        <f>IF(C254="","",IFERROR(INDEX(Products!$AG$5:$AG$304,MATCH(C254,Products!$A$5:$A$304,0)),""))</f>
        <v>0</v>
      </c>
      <c r="Y254" s="20">
        <f>IF(B254="","",ROUND(IF(D254="",0,D254)*MAX(0,IF(W254="",0,W254)-IF(X254="",0,X254)),2))</f>
        <v>0</v>
      </c>
      <c r="Z254" s="20">
        <f>IF(B254="","",ROUND(MAX(0,IF(J254="",0,J254)-IF(I254="",0,I254)),2))</f>
        <v>0</v>
      </c>
      <c r="AA254" s="33">
        <f>IF(B254="","",IFERROR(INDEX(Channels!$S$5:$S$18,MATCH(IF(E254="",DefaultChannel,E254),Channels!$A$5:$A$18,0)),0))</f>
        <v>0</v>
      </c>
      <c r="AB254" s="20">
        <f>IF(B254="","",IFERROR(INDEX(Channels!$T$5:$T$18,MATCH(IF(E254="",DefaultChannel,E254),Channels!$A$5:$A$18,0)),0))</f>
        <v>0</v>
      </c>
      <c r="AC254" s="42">
        <f>IF(B254="","",IFERROR(INDEX(Channels!$O$5:$O$18,MATCH(IF(E254="",DefaultChannel,E254),Channels!$A$5:$A$18,0)),"No"))</f>
        <v>0</v>
      </c>
      <c r="AD254" s="20">
        <f>IF(B254="","",ROUND((V254+IF(AC254="Yes",IF(I254="",0,I254),0))*AA254+AB254,2))</f>
        <v>0</v>
      </c>
      <c r="AE254" s="20">
        <f>IF(B254="","",IF(K254&lt;&gt;"",K254,AD254))</f>
        <v>0</v>
      </c>
      <c r="AF254" s="20">
        <f>IF(B254="","",IF(K254="","",ROUND(K254-AD254,2)))</f>
        <v>0</v>
      </c>
      <c r="AG254" s="20">
        <f>IF(B254="","",ROUND(V254-Y254-AE254-Z254,2))</f>
        <v>0</v>
      </c>
      <c r="AH254" s="33">
        <f>IF(B254="","",IF(OR(V254="",V254=0),"",AG254/V254))</f>
        <v>0</v>
      </c>
      <c r="AI254" s="33">
        <f>IF(C254="","",IFERROR(INDEX(Products!$AW$5:$AW$304,MATCH(C254,Products!$A$5:$A$304,0)),""))</f>
        <v>0</v>
      </c>
      <c r="AJ254" s="33">
        <f>IF(B254="","",IF(OR(AH254="",AI254=""),"",AH254-AI254))</f>
        <v>0</v>
      </c>
      <c r="AK254" s="41">
        <f>IF(B254="","",IFERROR(ROUND(IF(D254="",0,D254)*INDEX(Products!$X$5:$X$304,MATCH(C254,Products!$A$5:$A$304,0))/60,2),""))</f>
        <v>0</v>
      </c>
      <c r="AL254" s="20">
        <f>IF(B254="","",IF(OR(AK254="",AK254=0),"",ROUND(AG254/AK254,2)))</f>
        <v>0</v>
      </c>
      <c r="AM254" s="43">
        <f>IF(B254="","",IF(C254="","Add - which product?",IF(AG254&lt;0,"Loss - this order cost you money",IF(M254="Refunded","Refunded - check why",IF(AND(AF254&lt;&gt;"",AF254&gt;0.25),"Check - fees higher than your settings",IF(Z254&gt;1,"Check - postage is eating the margin",IF(AND(AH254&lt;&gt;"",AH254&lt;MarginWarning),"Low margin on this order","OK")))))) )</f>
        <v>0</v>
      </c>
    </row>
    <row r="255" spans="1:39">
      <c r="A255" s="38">
        <f>IF(B255="","",SalePrefix&amp;TEXT(ROW()-4,"0000"))</f>
        <v>0</v>
      </c>
      <c r="Q255" s="13">
        <f>IF(C255="","",IFERROR(INDEX(Products!$B$5:$B$304,MATCH(C255,Products!$A$5:$A$304,0)),"Bundle or deleted"))</f>
        <v>0</v>
      </c>
      <c r="R255" s="13">
        <f>IF(B255="","",TEXT(B255,"yyyy-mm"))</f>
        <v>0</v>
      </c>
      <c r="S255" s="20">
        <f>IF(C255="","",IFERROR(INDEX(Products!$AR$5:$AR$304,MATCH(C255,Products!$A$5:$A$304,0)),""))</f>
        <v>0</v>
      </c>
      <c r="T255" s="20">
        <f>IF(B255="","",IF(F255&lt;&gt;"",F255,IF(S255="",0,S255)))</f>
        <v>0</v>
      </c>
      <c r="U255" s="20">
        <f>IF(B255="","",ROUND(IF(D255="",0,D255)*T255,2))</f>
        <v>0</v>
      </c>
      <c r="V255" s="20">
        <f>IF(B255="","",ROUND(U255-IF(G255="",0,G255)-IF(L255="",0,L255),2))</f>
        <v>0</v>
      </c>
      <c r="W255" s="20">
        <f>IF(C255="","",IFERROR(INDEX(Products!$AT$5:$AT$304,MATCH(C255,Products!$A$5:$A$304,0)),""))</f>
        <v>0</v>
      </c>
      <c r="X255" s="20">
        <f>IF(C255="","",IFERROR(INDEX(Products!$AG$5:$AG$304,MATCH(C255,Products!$A$5:$A$304,0)),""))</f>
        <v>0</v>
      </c>
      <c r="Y255" s="20">
        <f>IF(B255="","",ROUND(IF(D255="",0,D255)*MAX(0,IF(W255="",0,W255)-IF(X255="",0,X255)),2))</f>
        <v>0</v>
      </c>
      <c r="Z255" s="20">
        <f>IF(B255="","",ROUND(MAX(0,IF(J255="",0,J255)-IF(I255="",0,I255)),2))</f>
        <v>0</v>
      </c>
      <c r="AA255" s="33">
        <f>IF(B255="","",IFERROR(INDEX(Channels!$S$5:$S$18,MATCH(IF(E255="",DefaultChannel,E255),Channels!$A$5:$A$18,0)),0))</f>
        <v>0</v>
      </c>
      <c r="AB255" s="20">
        <f>IF(B255="","",IFERROR(INDEX(Channels!$T$5:$T$18,MATCH(IF(E255="",DefaultChannel,E255),Channels!$A$5:$A$18,0)),0))</f>
        <v>0</v>
      </c>
      <c r="AC255" s="42">
        <f>IF(B255="","",IFERROR(INDEX(Channels!$O$5:$O$18,MATCH(IF(E255="",DefaultChannel,E255),Channels!$A$5:$A$18,0)),"No"))</f>
        <v>0</v>
      </c>
      <c r="AD255" s="20">
        <f>IF(B255="","",ROUND((V255+IF(AC255="Yes",IF(I255="",0,I255),0))*AA255+AB255,2))</f>
        <v>0</v>
      </c>
      <c r="AE255" s="20">
        <f>IF(B255="","",IF(K255&lt;&gt;"",K255,AD255))</f>
        <v>0</v>
      </c>
      <c r="AF255" s="20">
        <f>IF(B255="","",IF(K255="","",ROUND(K255-AD255,2)))</f>
        <v>0</v>
      </c>
      <c r="AG255" s="20">
        <f>IF(B255="","",ROUND(V255-Y255-AE255-Z255,2))</f>
        <v>0</v>
      </c>
      <c r="AH255" s="33">
        <f>IF(B255="","",IF(OR(V255="",V255=0),"",AG255/V255))</f>
        <v>0</v>
      </c>
      <c r="AI255" s="33">
        <f>IF(C255="","",IFERROR(INDEX(Products!$AW$5:$AW$304,MATCH(C255,Products!$A$5:$A$304,0)),""))</f>
        <v>0</v>
      </c>
      <c r="AJ255" s="33">
        <f>IF(B255="","",IF(OR(AH255="",AI255=""),"",AH255-AI255))</f>
        <v>0</v>
      </c>
      <c r="AK255" s="41">
        <f>IF(B255="","",IFERROR(ROUND(IF(D255="",0,D255)*INDEX(Products!$X$5:$X$304,MATCH(C255,Products!$A$5:$A$304,0))/60,2),""))</f>
        <v>0</v>
      </c>
      <c r="AL255" s="20">
        <f>IF(B255="","",IF(OR(AK255="",AK255=0),"",ROUND(AG255/AK255,2)))</f>
        <v>0</v>
      </c>
      <c r="AM255" s="43">
        <f>IF(B255="","",IF(C255="","Add - which product?",IF(AG255&lt;0,"Loss - this order cost you money",IF(M255="Refunded","Refunded - check why",IF(AND(AF255&lt;&gt;"",AF255&gt;0.25),"Check - fees higher than your settings",IF(Z255&gt;1,"Check - postage is eating the margin",IF(AND(AH255&lt;&gt;"",AH255&lt;MarginWarning),"Low margin on this order","OK")))))) )</f>
        <v>0</v>
      </c>
    </row>
    <row r="256" spans="1:39">
      <c r="A256" s="38">
        <f>IF(B256="","",SalePrefix&amp;TEXT(ROW()-4,"0000"))</f>
        <v>0</v>
      </c>
      <c r="Q256" s="13">
        <f>IF(C256="","",IFERROR(INDEX(Products!$B$5:$B$304,MATCH(C256,Products!$A$5:$A$304,0)),"Bundle or deleted"))</f>
        <v>0</v>
      </c>
      <c r="R256" s="13">
        <f>IF(B256="","",TEXT(B256,"yyyy-mm"))</f>
        <v>0</v>
      </c>
      <c r="S256" s="20">
        <f>IF(C256="","",IFERROR(INDEX(Products!$AR$5:$AR$304,MATCH(C256,Products!$A$5:$A$304,0)),""))</f>
        <v>0</v>
      </c>
      <c r="T256" s="20">
        <f>IF(B256="","",IF(F256&lt;&gt;"",F256,IF(S256="",0,S256)))</f>
        <v>0</v>
      </c>
      <c r="U256" s="20">
        <f>IF(B256="","",ROUND(IF(D256="",0,D256)*T256,2))</f>
        <v>0</v>
      </c>
      <c r="V256" s="20">
        <f>IF(B256="","",ROUND(U256-IF(G256="",0,G256)-IF(L256="",0,L256),2))</f>
        <v>0</v>
      </c>
      <c r="W256" s="20">
        <f>IF(C256="","",IFERROR(INDEX(Products!$AT$5:$AT$304,MATCH(C256,Products!$A$5:$A$304,0)),""))</f>
        <v>0</v>
      </c>
      <c r="X256" s="20">
        <f>IF(C256="","",IFERROR(INDEX(Products!$AG$5:$AG$304,MATCH(C256,Products!$A$5:$A$304,0)),""))</f>
        <v>0</v>
      </c>
      <c r="Y256" s="20">
        <f>IF(B256="","",ROUND(IF(D256="",0,D256)*MAX(0,IF(W256="",0,W256)-IF(X256="",0,X256)),2))</f>
        <v>0</v>
      </c>
      <c r="Z256" s="20">
        <f>IF(B256="","",ROUND(MAX(0,IF(J256="",0,J256)-IF(I256="",0,I256)),2))</f>
        <v>0</v>
      </c>
      <c r="AA256" s="33">
        <f>IF(B256="","",IFERROR(INDEX(Channels!$S$5:$S$18,MATCH(IF(E256="",DefaultChannel,E256),Channels!$A$5:$A$18,0)),0))</f>
        <v>0</v>
      </c>
      <c r="AB256" s="20">
        <f>IF(B256="","",IFERROR(INDEX(Channels!$T$5:$T$18,MATCH(IF(E256="",DefaultChannel,E256),Channels!$A$5:$A$18,0)),0))</f>
        <v>0</v>
      </c>
      <c r="AC256" s="42">
        <f>IF(B256="","",IFERROR(INDEX(Channels!$O$5:$O$18,MATCH(IF(E256="",DefaultChannel,E256),Channels!$A$5:$A$18,0)),"No"))</f>
        <v>0</v>
      </c>
      <c r="AD256" s="20">
        <f>IF(B256="","",ROUND((V256+IF(AC256="Yes",IF(I256="",0,I256),0))*AA256+AB256,2))</f>
        <v>0</v>
      </c>
      <c r="AE256" s="20">
        <f>IF(B256="","",IF(K256&lt;&gt;"",K256,AD256))</f>
        <v>0</v>
      </c>
      <c r="AF256" s="20">
        <f>IF(B256="","",IF(K256="","",ROUND(K256-AD256,2)))</f>
        <v>0</v>
      </c>
      <c r="AG256" s="20">
        <f>IF(B256="","",ROUND(V256-Y256-AE256-Z256,2))</f>
        <v>0</v>
      </c>
      <c r="AH256" s="33">
        <f>IF(B256="","",IF(OR(V256="",V256=0),"",AG256/V256))</f>
        <v>0</v>
      </c>
      <c r="AI256" s="33">
        <f>IF(C256="","",IFERROR(INDEX(Products!$AW$5:$AW$304,MATCH(C256,Products!$A$5:$A$304,0)),""))</f>
        <v>0</v>
      </c>
      <c r="AJ256" s="33">
        <f>IF(B256="","",IF(OR(AH256="",AI256=""),"",AH256-AI256))</f>
        <v>0</v>
      </c>
      <c r="AK256" s="41">
        <f>IF(B256="","",IFERROR(ROUND(IF(D256="",0,D256)*INDEX(Products!$X$5:$X$304,MATCH(C256,Products!$A$5:$A$304,0))/60,2),""))</f>
        <v>0</v>
      </c>
      <c r="AL256" s="20">
        <f>IF(B256="","",IF(OR(AK256="",AK256=0),"",ROUND(AG256/AK256,2)))</f>
        <v>0</v>
      </c>
      <c r="AM256" s="43">
        <f>IF(B256="","",IF(C256="","Add - which product?",IF(AG256&lt;0,"Loss - this order cost you money",IF(M256="Refunded","Refunded - check why",IF(AND(AF256&lt;&gt;"",AF256&gt;0.25),"Check - fees higher than your settings",IF(Z256&gt;1,"Check - postage is eating the margin",IF(AND(AH256&lt;&gt;"",AH256&lt;MarginWarning),"Low margin on this order","OK")))))) )</f>
        <v>0</v>
      </c>
    </row>
    <row r="257" spans="1:39">
      <c r="A257" s="38">
        <f>IF(B257="","",SalePrefix&amp;TEXT(ROW()-4,"0000"))</f>
        <v>0</v>
      </c>
      <c r="Q257" s="13">
        <f>IF(C257="","",IFERROR(INDEX(Products!$B$5:$B$304,MATCH(C257,Products!$A$5:$A$304,0)),"Bundle or deleted"))</f>
        <v>0</v>
      </c>
      <c r="R257" s="13">
        <f>IF(B257="","",TEXT(B257,"yyyy-mm"))</f>
        <v>0</v>
      </c>
      <c r="S257" s="20">
        <f>IF(C257="","",IFERROR(INDEX(Products!$AR$5:$AR$304,MATCH(C257,Products!$A$5:$A$304,0)),""))</f>
        <v>0</v>
      </c>
      <c r="T257" s="20">
        <f>IF(B257="","",IF(F257&lt;&gt;"",F257,IF(S257="",0,S257)))</f>
        <v>0</v>
      </c>
      <c r="U257" s="20">
        <f>IF(B257="","",ROUND(IF(D257="",0,D257)*T257,2))</f>
        <v>0</v>
      </c>
      <c r="V257" s="20">
        <f>IF(B257="","",ROUND(U257-IF(G257="",0,G257)-IF(L257="",0,L257),2))</f>
        <v>0</v>
      </c>
      <c r="W257" s="20">
        <f>IF(C257="","",IFERROR(INDEX(Products!$AT$5:$AT$304,MATCH(C257,Products!$A$5:$A$304,0)),""))</f>
        <v>0</v>
      </c>
      <c r="X257" s="20">
        <f>IF(C257="","",IFERROR(INDEX(Products!$AG$5:$AG$304,MATCH(C257,Products!$A$5:$A$304,0)),""))</f>
        <v>0</v>
      </c>
      <c r="Y257" s="20">
        <f>IF(B257="","",ROUND(IF(D257="",0,D257)*MAX(0,IF(W257="",0,W257)-IF(X257="",0,X257)),2))</f>
        <v>0</v>
      </c>
      <c r="Z257" s="20">
        <f>IF(B257="","",ROUND(MAX(0,IF(J257="",0,J257)-IF(I257="",0,I257)),2))</f>
        <v>0</v>
      </c>
      <c r="AA257" s="33">
        <f>IF(B257="","",IFERROR(INDEX(Channels!$S$5:$S$18,MATCH(IF(E257="",DefaultChannel,E257),Channels!$A$5:$A$18,0)),0))</f>
        <v>0</v>
      </c>
      <c r="AB257" s="20">
        <f>IF(B257="","",IFERROR(INDEX(Channels!$T$5:$T$18,MATCH(IF(E257="",DefaultChannel,E257),Channels!$A$5:$A$18,0)),0))</f>
        <v>0</v>
      </c>
      <c r="AC257" s="42">
        <f>IF(B257="","",IFERROR(INDEX(Channels!$O$5:$O$18,MATCH(IF(E257="",DefaultChannel,E257),Channels!$A$5:$A$18,0)),"No"))</f>
        <v>0</v>
      </c>
      <c r="AD257" s="20">
        <f>IF(B257="","",ROUND((V257+IF(AC257="Yes",IF(I257="",0,I257),0))*AA257+AB257,2))</f>
        <v>0</v>
      </c>
      <c r="AE257" s="20">
        <f>IF(B257="","",IF(K257&lt;&gt;"",K257,AD257))</f>
        <v>0</v>
      </c>
      <c r="AF257" s="20">
        <f>IF(B257="","",IF(K257="","",ROUND(K257-AD257,2)))</f>
        <v>0</v>
      </c>
      <c r="AG257" s="20">
        <f>IF(B257="","",ROUND(V257-Y257-AE257-Z257,2))</f>
        <v>0</v>
      </c>
      <c r="AH257" s="33">
        <f>IF(B257="","",IF(OR(V257="",V257=0),"",AG257/V257))</f>
        <v>0</v>
      </c>
      <c r="AI257" s="33">
        <f>IF(C257="","",IFERROR(INDEX(Products!$AW$5:$AW$304,MATCH(C257,Products!$A$5:$A$304,0)),""))</f>
        <v>0</v>
      </c>
      <c r="AJ257" s="33">
        <f>IF(B257="","",IF(OR(AH257="",AI257=""),"",AH257-AI257))</f>
        <v>0</v>
      </c>
      <c r="AK257" s="41">
        <f>IF(B257="","",IFERROR(ROUND(IF(D257="",0,D257)*INDEX(Products!$X$5:$X$304,MATCH(C257,Products!$A$5:$A$304,0))/60,2),""))</f>
        <v>0</v>
      </c>
      <c r="AL257" s="20">
        <f>IF(B257="","",IF(OR(AK257="",AK257=0),"",ROUND(AG257/AK257,2)))</f>
        <v>0</v>
      </c>
      <c r="AM257" s="43">
        <f>IF(B257="","",IF(C257="","Add - which product?",IF(AG257&lt;0,"Loss - this order cost you money",IF(M257="Refunded","Refunded - check why",IF(AND(AF257&lt;&gt;"",AF257&gt;0.25),"Check - fees higher than your settings",IF(Z257&gt;1,"Check - postage is eating the margin",IF(AND(AH257&lt;&gt;"",AH257&lt;MarginWarning),"Low margin on this order","OK")))))) )</f>
        <v>0</v>
      </c>
    </row>
    <row r="258" spans="1:39">
      <c r="A258" s="38">
        <f>IF(B258="","",SalePrefix&amp;TEXT(ROW()-4,"0000"))</f>
        <v>0</v>
      </c>
      <c r="Q258" s="13">
        <f>IF(C258="","",IFERROR(INDEX(Products!$B$5:$B$304,MATCH(C258,Products!$A$5:$A$304,0)),"Bundle or deleted"))</f>
        <v>0</v>
      </c>
      <c r="R258" s="13">
        <f>IF(B258="","",TEXT(B258,"yyyy-mm"))</f>
        <v>0</v>
      </c>
      <c r="S258" s="20">
        <f>IF(C258="","",IFERROR(INDEX(Products!$AR$5:$AR$304,MATCH(C258,Products!$A$5:$A$304,0)),""))</f>
        <v>0</v>
      </c>
      <c r="T258" s="20">
        <f>IF(B258="","",IF(F258&lt;&gt;"",F258,IF(S258="",0,S258)))</f>
        <v>0</v>
      </c>
      <c r="U258" s="20">
        <f>IF(B258="","",ROUND(IF(D258="",0,D258)*T258,2))</f>
        <v>0</v>
      </c>
      <c r="V258" s="20">
        <f>IF(B258="","",ROUND(U258-IF(G258="",0,G258)-IF(L258="",0,L258),2))</f>
        <v>0</v>
      </c>
      <c r="W258" s="20">
        <f>IF(C258="","",IFERROR(INDEX(Products!$AT$5:$AT$304,MATCH(C258,Products!$A$5:$A$304,0)),""))</f>
        <v>0</v>
      </c>
      <c r="X258" s="20">
        <f>IF(C258="","",IFERROR(INDEX(Products!$AG$5:$AG$304,MATCH(C258,Products!$A$5:$A$304,0)),""))</f>
        <v>0</v>
      </c>
      <c r="Y258" s="20">
        <f>IF(B258="","",ROUND(IF(D258="",0,D258)*MAX(0,IF(W258="",0,W258)-IF(X258="",0,X258)),2))</f>
        <v>0</v>
      </c>
      <c r="Z258" s="20">
        <f>IF(B258="","",ROUND(MAX(0,IF(J258="",0,J258)-IF(I258="",0,I258)),2))</f>
        <v>0</v>
      </c>
      <c r="AA258" s="33">
        <f>IF(B258="","",IFERROR(INDEX(Channels!$S$5:$S$18,MATCH(IF(E258="",DefaultChannel,E258),Channels!$A$5:$A$18,0)),0))</f>
        <v>0</v>
      </c>
      <c r="AB258" s="20">
        <f>IF(B258="","",IFERROR(INDEX(Channels!$T$5:$T$18,MATCH(IF(E258="",DefaultChannel,E258),Channels!$A$5:$A$18,0)),0))</f>
        <v>0</v>
      </c>
      <c r="AC258" s="42">
        <f>IF(B258="","",IFERROR(INDEX(Channels!$O$5:$O$18,MATCH(IF(E258="",DefaultChannel,E258),Channels!$A$5:$A$18,0)),"No"))</f>
        <v>0</v>
      </c>
      <c r="AD258" s="20">
        <f>IF(B258="","",ROUND((V258+IF(AC258="Yes",IF(I258="",0,I258),0))*AA258+AB258,2))</f>
        <v>0</v>
      </c>
      <c r="AE258" s="20">
        <f>IF(B258="","",IF(K258&lt;&gt;"",K258,AD258))</f>
        <v>0</v>
      </c>
      <c r="AF258" s="20">
        <f>IF(B258="","",IF(K258="","",ROUND(K258-AD258,2)))</f>
        <v>0</v>
      </c>
      <c r="AG258" s="20">
        <f>IF(B258="","",ROUND(V258-Y258-AE258-Z258,2))</f>
        <v>0</v>
      </c>
      <c r="AH258" s="33">
        <f>IF(B258="","",IF(OR(V258="",V258=0),"",AG258/V258))</f>
        <v>0</v>
      </c>
      <c r="AI258" s="33">
        <f>IF(C258="","",IFERROR(INDEX(Products!$AW$5:$AW$304,MATCH(C258,Products!$A$5:$A$304,0)),""))</f>
        <v>0</v>
      </c>
      <c r="AJ258" s="33">
        <f>IF(B258="","",IF(OR(AH258="",AI258=""),"",AH258-AI258))</f>
        <v>0</v>
      </c>
      <c r="AK258" s="41">
        <f>IF(B258="","",IFERROR(ROUND(IF(D258="",0,D258)*INDEX(Products!$X$5:$X$304,MATCH(C258,Products!$A$5:$A$304,0))/60,2),""))</f>
        <v>0</v>
      </c>
      <c r="AL258" s="20">
        <f>IF(B258="","",IF(OR(AK258="",AK258=0),"",ROUND(AG258/AK258,2)))</f>
        <v>0</v>
      </c>
      <c r="AM258" s="43">
        <f>IF(B258="","",IF(C258="","Add - which product?",IF(AG258&lt;0,"Loss - this order cost you money",IF(M258="Refunded","Refunded - check why",IF(AND(AF258&lt;&gt;"",AF258&gt;0.25),"Check - fees higher than your settings",IF(Z258&gt;1,"Check - postage is eating the margin",IF(AND(AH258&lt;&gt;"",AH258&lt;MarginWarning),"Low margin on this order","OK")))))) )</f>
        <v>0</v>
      </c>
    </row>
    <row r="259" spans="1:39">
      <c r="A259" s="38">
        <f>IF(B259="","",SalePrefix&amp;TEXT(ROW()-4,"0000"))</f>
        <v>0</v>
      </c>
      <c r="Q259" s="13">
        <f>IF(C259="","",IFERROR(INDEX(Products!$B$5:$B$304,MATCH(C259,Products!$A$5:$A$304,0)),"Bundle or deleted"))</f>
        <v>0</v>
      </c>
      <c r="R259" s="13">
        <f>IF(B259="","",TEXT(B259,"yyyy-mm"))</f>
        <v>0</v>
      </c>
      <c r="S259" s="20">
        <f>IF(C259="","",IFERROR(INDEX(Products!$AR$5:$AR$304,MATCH(C259,Products!$A$5:$A$304,0)),""))</f>
        <v>0</v>
      </c>
      <c r="T259" s="20">
        <f>IF(B259="","",IF(F259&lt;&gt;"",F259,IF(S259="",0,S259)))</f>
        <v>0</v>
      </c>
      <c r="U259" s="20">
        <f>IF(B259="","",ROUND(IF(D259="",0,D259)*T259,2))</f>
        <v>0</v>
      </c>
      <c r="V259" s="20">
        <f>IF(B259="","",ROUND(U259-IF(G259="",0,G259)-IF(L259="",0,L259),2))</f>
        <v>0</v>
      </c>
      <c r="W259" s="20">
        <f>IF(C259="","",IFERROR(INDEX(Products!$AT$5:$AT$304,MATCH(C259,Products!$A$5:$A$304,0)),""))</f>
        <v>0</v>
      </c>
      <c r="X259" s="20">
        <f>IF(C259="","",IFERROR(INDEX(Products!$AG$5:$AG$304,MATCH(C259,Products!$A$5:$A$304,0)),""))</f>
        <v>0</v>
      </c>
      <c r="Y259" s="20">
        <f>IF(B259="","",ROUND(IF(D259="",0,D259)*MAX(0,IF(W259="",0,W259)-IF(X259="",0,X259)),2))</f>
        <v>0</v>
      </c>
      <c r="Z259" s="20">
        <f>IF(B259="","",ROUND(MAX(0,IF(J259="",0,J259)-IF(I259="",0,I259)),2))</f>
        <v>0</v>
      </c>
      <c r="AA259" s="33">
        <f>IF(B259="","",IFERROR(INDEX(Channels!$S$5:$S$18,MATCH(IF(E259="",DefaultChannel,E259),Channels!$A$5:$A$18,0)),0))</f>
        <v>0</v>
      </c>
      <c r="AB259" s="20">
        <f>IF(B259="","",IFERROR(INDEX(Channels!$T$5:$T$18,MATCH(IF(E259="",DefaultChannel,E259),Channels!$A$5:$A$18,0)),0))</f>
        <v>0</v>
      </c>
      <c r="AC259" s="42">
        <f>IF(B259="","",IFERROR(INDEX(Channels!$O$5:$O$18,MATCH(IF(E259="",DefaultChannel,E259),Channels!$A$5:$A$18,0)),"No"))</f>
        <v>0</v>
      </c>
      <c r="AD259" s="20">
        <f>IF(B259="","",ROUND((V259+IF(AC259="Yes",IF(I259="",0,I259),0))*AA259+AB259,2))</f>
        <v>0</v>
      </c>
      <c r="AE259" s="20">
        <f>IF(B259="","",IF(K259&lt;&gt;"",K259,AD259))</f>
        <v>0</v>
      </c>
      <c r="AF259" s="20">
        <f>IF(B259="","",IF(K259="","",ROUND(K259-AD259,2)))</f>
        <v>0</v>
      </c>
      <c r="AG259" s="20">
        <f>IF(B259="","",ROUND(V259-Y259-AE259-Z259,2))</f>
        <v>0</v>
      </c>
      <c r="AH259" s="33">
        <f>IF(B259="","",IF(OR(V259="",V259=0),"",AG259/V259))</f>
        <v>0</v>
      </c>
      <c r="AI259" s="33">
        <f>IF(C259="","",IFERROR(INDEX(Products!$AW$5:$AW$304,MATCH(C259,Products!$A$5:$A$304,0)),""))</f>
        <v>0</v>
      </c>
      <c r="AJ259" s="33">
        <f>IF(B259="","",IF(OR(AH259="",AI259=""),"",AH259-AI259))</f>
        <v>0</v>
      </c>
      <c r="AK259" s="41">
        <f>IF(B259="","",IFERROR(ROUND(IF(D259="",0,D259)*INDEX(Products!$X$5:$X$304,MATCH(C259,Products!$A$5:$A$304,0))/60,2),""))</f>
        <v>0</v>
      </c>
      <c r="AL259" s="20">
        <f>IF(B259="","",IF(OR(AK259="",AK259=0),"",ROUND(AG259/AK259,2)))</f>
        <v>0</v>
      </c>
      <c r="AM259" s="43">
        <f>IF(B259="","",IF(C259="","Add - which product?",IF(AG259&lt;0,"Loss - this order cost you money",IF(M259="Refunded","Refunded - check why",IF(AND(AF259&lt;&gt;"",AF259&gt;0.25),"Check - fees higher than your settings",IF(Z259&gt;1,"Check - postage is eating the margin",IF(AND(AH259&lt;&gt;"",AH259&lt;MarginWarning),"Low margin on this order","OK")))))) )</f>
        <v>0</v>
      </c>
    </row>
    <row r="260" spans="1:39">
      <c r="A260" s="38">
        <f>IF(B260="","",SalePrefix&amp;TEXT(ROW()-4,"0000"))</f>
        <v>0</v>
      </c>
      <c r="Q260" s="13">
        <f>IF(C260="","",IFERROR(INDEX(Products!$B$5:$B$304,MATCH(C260,Products!$A$5:$A$304,0)),"Bundle or deleted"))</f>
        <v>0</v>
      </c>
      <c r="R260" s="13">
        <f>IF(B260="","",TEXT(B260,"yyyy-mm"))</f>
        <v>0</v>
      </c>
      <c r="S260" s="20">
        <f>IF(C260="","",IFERROR(INDEX(Products!$AR$5:$AR$304,MATCH(C260,Products!$A$5:$A$304,0)),""))</f>
        <v>0</v>
      </c>
      <c r="T260" s="20">
        <f>IF(B260="","",IF(F260&lt;&gt;"",F260,IF(S260="",0,S260)))</f>
        <v>0</v>
      </c>
      <c r="U260" s="20">
        <f>IF(B260="","",ROUND(IF(D260="",0,D260)*T260,2))</f>
        <v>0</v>
      </c>
      <c r="V260" s="20">
        <f>IF(B260="","",ROUND(U260-IF(G260="",0,G260)-IF(L260="",0,L260),2))</f>
        <v>0</v>
      </c>
      <c r="W260" s="20">
        <f>IF(C260="","",IFERROR(INDEX(Products!$AT$5:$AT$304,MATCH(C260,Products!$A$5:$A$304,0)),""))</f>
        <v>0</v>
      </c>
      <c r="X260" s="20">
        <f>IF(C260="","",IFERROR(INDEX(Products!$AG$5:$AG$304,MATCH(C260,Products!$A$5:$A$304,0)),""))</f>
        <v>0</v>
      </c>
      <c r="Y260" s="20">
        <f>IF(B260="","",ROUND(IF(D260="",0,D260)*MAX(0,IF(W260="",0,W260)-IF(X260="",0,X260)),2))</f>
        <v>0</v>
      </c>
      <c r="Z260" s="20">
        <f>IF(B260="","",ROUND(MAX(0,IF(J260="",0,J260)-IF(I260="",0,I260)),2))</f>
        <v>0</v>
      </c>
      <c r="AA260" s="33">
        <f>IF(B260="","",IFERROR(INDEX(Channels!$S$5:$S$18,MATCH(IF(E260="",DefaultChannel,E260),Channels!$A$5:$A$18,0)),0))</f>
        <v>0</v>
      </c>
      <c r="AB260" s="20">
        <f>IF(B260="","",IFERROR(INDEX(Channels!$T$5:$T$18,MATCH(IF(E260="",DefaultChannel,E260),Channels!$A$5:$A$18,0)),0))</f>
        <v>0</v>
      </c>
      <c r="AC260" s="42">
        <f>IF(B260="","",IFERROR(INDEX(Channels!$O$5:$O$18,MATCH(IF(E260="",DefaultChannel,E260),Channels!$A$5:$A$18,0)),"No"))</f>
        <v>0</v>
      </c>
      <c r="AD260" s="20">
        <f>IF(B260="","",ROUND((V260+IF(AC260="Yes",IF(I260="",0,I260),0))*AA260+AB260,2))</f>
        <v>0</v>
      </c>
      <c r="AE260" s="20">
        <f>IF(B260="","",IF(K260&lt;&gt;"",K260,AD260))</f>
        <v>0</v>
      </c>
      <c r="AF260" s="20">
        <f>IF(B260="","",IF(K260="","",ROUND(K260-AD260,2)))</f>
        <v>0</v>
      </c>
      <c r="AG260" s="20">
        <f>IF(B260="","",ROUND(V260-Y260-AE260-Z260,2))</f>
        <v>0</v>
      </c>
      <c r="AH260" s="33">
        <f>IF(B260="","",IF(OR(V260="",V260=0),"",AG260/V260))</f>
        <v>0</v>
      </c>
      <c r="AI260" s="33">
        <f>IF(C260="","",IFERROR(INDEX(Products!$AW$5:$AW$304,MATCH(C260,Products!$A$5:$A$304,0)),""))</f>
        <v>0</v>
      </c>
      <c r="AJ260" s="33">
        <f>IF(B260="","",IF(OR(AH260="",AI260=""),"",AH260-AI260))</f>
        <v>0</v>
      </c>
      <c r="AK260" s="41">
        <f>IF(B260="","",IFERROR(ROUND(IF(D260="",0,D260)*INDEX(Products!$X$5:$X$304,MATCH(C260,Products!$A$5:$A$304,0))/60,2),""))</f>
        <v>0</v>
      </c>
      <c r="AL260" s="20">
        <f>IF(B260="","",IF(OR(AK260="",AK260=0),"",ROUND(AG260/AK260,2)))</f>
        <v>0</v>
      </c>
      <c r="AM260" s="43">
        <f>IF(B260="","",IF(C260="","Add - which product?",IF(AG260&lt;0,"Loss - this order cost you money",IF(M260="Refunded","Refunded - check why",IF(AND(AF260&lt;&gt;"",AF260&gt;0.25),"Check - fees higher than your settings",IF(Z260&gt;1,"Check - postage is eating the margin",IF(AND(AH260&lt;&gt;"",AH260&lt;MarginWarning),"Low margin on this order","OK")))))) )</f>
        <v>0</v>
      </c>
    </row>
    <row r="261" spans="1:39">
      <c r="A261" s="38">
        <f>IF(B261="","",SalePrefix&amp;TEXT(ROW()-4,"0000"))</f>
        <v>0</v>
      </c>
      <c r="Q261" s="13">
        <f>IF(C261="","",IFERROR(INDEX(Products!$B$5:$B$304,MATCH(C261,Products!$A$5:$A$304,0)),"Bundle or deleted"))</f>
        <v>0</v>
      </c>
      <c r="R261" s="13">
        <f>IF(B261="","",TEXT(B261,"yyyy-mm"))</f>
        <v>0</v>
      </c>
      <c r="S261" s="20">
        <f>IF(C261="","",IFERROR(INDEX(Products!$AR$5:$AR$304,MATCH(C261,Products!$A$5:$A$304,0)),""))</f>
        <v>0</v>
      </c>
      <c r="T261" s="20">
        <f>IF(B261="","",IF(F261&lt;&gt;"",F261,IF(S261="",0,S261)))</f>
        <v>0</v>
      </c>
      <c r="U261" s="20">
        <f>IF(B261="","",ROUND(IF(D261="",0,D261)*T261,2))</f>
        <v>0</v>
      </c>
      <c r="V261" s="20">
        <f>IF(B261="","",ROUND(U261-IF(G261="",0,G261)-IF(L261="",0,L261),2))</f>
        <v>0</v>
      </c>
      <c r="W261" s="20">
        <f>IF(C261="","",IFERROR(INDEX(Products!$AT$5:$AT$304,MATCH(C261,Products!$A$5:$A$304,0)),""))</f>
        <v>0</v>
      </c>
      <c r="X261" s="20">
        <f>IF(C261="","",IFERROR(INDEX(Products!$AG$5:$AG$304,MATCH(C261,Products!$A$5:$A$304,0)),""))</f>
        <v>0</v>
      </c>
      <c r="Y261" s="20">
        <f>IF(B261="","",ROUND(IF(D261="",0,D261)*MAX(0,IF(W261="",0,W261)-IF(X261="",0,X261)),2))</f>
        <v>0</v>
      </c>
      <c r="Z261" s="20">
        <f>IF(B261="","",ROUND(MAX(0,IF(J261="",0,J261)-IF(I261="",0,I261)),2))</f>
        <v>0</v>
      </c>
      <c r="AA261" s="33">
        <f>IF(B261="","",IFERROR(INDEX(Channels!$S$5:$S$18,MATCH(IF(E261="",DefaultChannel,E261),Channels!$A$5:$A$18,0)),0))</f>
        <v>0</v>
      </c>
      <c r="AB261" s="20">
        <f>IF(B261="","",IFERROR(INDEX(Channels!$T$5:$T$18,MATCH(IF(E261="",DefaultChannel,E261),Channels!$A$5:$A$18,0)),0))</f>
        <v>0</v>
      </c>
      <c r="AC261" s="42">
        <f>IF(B261="","",IFERROR(INDEX(Channels!$O$5:$O$18,MATCH(IF(E261="",DefaultChannel,E261),Channels!$A$5:$A$18,0)),"No"))</f>
        <v>0</v>
      </c>
      <c r="AD261" s="20">
        <f>IF(B261="","",ROUND((V261+IF(AC261="Yes",IF(I261="",0,I261),0))*AA261+AB261,2))</f>
        <v>0</v>
      </c>
      <c r="AE261" s="20">
        <f>IF(B261="","",IF(K261&lt;&gt;"",K261,AD261))</f>
        <v>0</v>
      </c>
      <c r="AF261" s="20">
        <f>IF(B261="","",IF(K261="","",ROUND(K261-AD261,2)))</f>
        <v>0</v>
      </c>
      <c r="AG261" s="20">
        <f>IF(B261="","",ROUND(V261-Y261-AE261-Z261,2))</f>
        <v>0</v>
      </c>
      <c r="AH261" s="33">
        <f>IF(B261="","",IF(OR(V261="",V261=0),"",AG261/V261))</f>
        <v>0</v>
      </c>
      <c r="AI261" s="33">
        <f>IF(C261="","",IFERROR(INDEX(Products!$AW$5:$AW$304,MATCH(C261,Products!$A$5:$A$304,0)),""))</f>
        <v>0</v>
      </c>
      <c r="AJ261" s="33">
        <f>IF(B261="","",IF(OR(AH261="",AI261=""),"",AH261-AI261))</f>
        <v>0</v>
      </c>
      <c r="AK261" s="41">
        <f>IF(B261="","",IFERROR(ROUND(IF(D261="",0,D261)*INDEX(Products!$X$5:$X$304,MATCH(C261,Products!$A$5:$A$304,0))/60,2),""))</f>
        <v>0</v>
      </c>
      <c r="AL261" s="20">
        <f>IF(B261="","",IF(OR(AK261="",AK261=0),"",ROUND(AG261/AK261,2)))</f>
        <v>0</v>
      </c>
      <c r="AM261" s="43">
        <f>IF(B261="","",IF(C261="","Add - which product?",IF(AG261&lt;0,"Loss - this order cost you money",IF(M261="Refunded","Refunded - check why",IF(AND(AF261&lt;&gt;"",AF261&gt;0.25),"Check - fees higher than your settings",IF(Z261&gt;1,"Check - postage is eating the margin",IF(AND(AH261&lt;&gt;"",AH261&lt;MarginWarning),"Low margin on this order","OK")))))) )</f>
        <v>0</v>
      </c>
    </row>
    <row r="262" spans="1:39">
      <c r="A262" s="38">
        <f>IF(B262="","",SalePrefix&amp;TEXT(ROW()-4,"0000"))</f>
        <v>0</v>
      </c>
      <c r="Q262" s="13">
        <f>IF(C262="","",IFERROR(INDEX(Products!$B$5:$B$304,MATCH(C262,Products!$A$5:$A$304,0)),"Bundle or deleted"))</f>
        <v>0</v>
      </c>
      <c r="R262" s="13">
        <f>IF(B262="","",TEXT(B262,"yyyy-mm"))</f>
        <v>0</v>
      </c>
      <c r="S262" s="20">
        <f>IF(C262="","",IFERROR(INDEX(Products!$AR$5:$AR$304,MATCH(C262,Products!$A$5:$A$304,0)),""))</f>
        <v>0</v>
      </c>
      <c r="T262" s="20">
        <f>IF(B262="","",IF(F262&lt;&gt;"",F262,IF(S262="",0,S262)))</f>
        <v>0</v>
      </c>
      <c r="U262" s="20">
        <f>IF(B262="","",ROUND(IF(D262="",0,D262)*T262,2))</f>
        <v>0</v>
      </c>
      <c r="V262" s="20">
        <f>IF(B262="","",ROUND(U262-IF(G262="",0,G262)-IF(L262="",0,L262),2))</f>
        <v>0</v>
      </c>
      <c r="W262" s="20">
        <f>IF(C262="","",IFERROR(INDEX(Products!$AT$5:$AT$304,MATCH(C262,Products!$A$5:$A$304,0)),""))</f>
        <v>0</v>
      </c>
      <c r="X262" s="20">
        <f>IF(C262="","",IFERROR(INDEX(Products!$AG$5:$AG$304,MATCH(C262,Products!$A$5:$A$304,0)),""))</f>
        <v>0</v>
      </c>
      <c r="Y262" s="20">
        <f>IF(B262="","",ROUND(IF(D262="",0,D262)*MAX(0,IF(W262="",0,W262)-IF(X262="",0,X262)),2))</f>
        <v>0</v>
      </c>
      <c r="Z262" s="20">
        <f>IF(B262="","",ROUND(MAX(0,IF(J262="",0,J262)-IF(I262="",0,I262)),2))</f>
        <v>0</v>
      </c>
      <c r="AA262" s="33">
        <f>IF(B262="","",IFERROR(INDEX(Channels!$S$5:$S$18,MATCH(IF(E262="",DefaultChannel,E262),Channels!$A$5:$A$18,0)),0))</f>
        <v>0</v>
      </c>
      <c r="AB262" s="20">
        <f>IF(B262="","",IFERROR(INDEX(Channels!$T$5:$T$18,MATCH(IF(E262="",DefaultChannel,E262),Channels!$A$5:$A$18,0)),0))</f>
        <v>0</v>
      </c>
      <c r="AC262" s="42">
        <f>IF(B262="","",IFERROR(INDEX(Channels!$O$5:$O$18,MATCH(IF(E262="",DefaultChannel,E262),Channels!$A$5:$A$18,0)),"No"))</f>
        <v>0</v>
      </c>
      <c r="AD262" s="20">
        <f>IF(B262="","",ROUND((V262+IF(AC262="Yes",IF(I262="",0,I262),0))*AA262+AB262,2))</f>
        <v>0</v>
      </c>
      <c r="AE262" s="20">
        <f>IF(B262="","",IF(K262&lt;&gt;"",K262,AD262))</f>
        <v>0</v>
      </c>
      <c r="AF262" s="20">
        <f>IF(B262="","",IF(K262="","",ROUND(K262-AD262,2)))</f>
        <v>0</v>
      </c>
      <c r="AG262" s="20">
        <f>IF(B262="","",ROUND(V262-Y262-AE262-Z262,2))</f>
        <v>0</v>
      </c>
      <c r="AH262" s="33">
        <f>IF(B262="","",IF(OR(V262="",V262=0),"",AG262/V262))</f>
        <v>0</v>
      </c>
      <c r="AI262" s="33">
        <f>IF(C262="","",IFERROR(INDEX(Products!$AW$5:$AW$304,MATCH(C262,Products!$A$5:$A$304,0)),""))</f>
        <v>0</v>
      </c>
      <c r="AJ262" s="33">
        <f>IF(B262="","",IF(OR(AH262="",AI262=""),"",AH262-AI262))</f>
        <v>0</v>
      </c>
      <c r="AK262" s="41">
        <f>IF(B262="","",IFERROR(ROUND(IF(D262="",0,D262)*INDEX(Products!$X$5:$X$304,MATCH(C262,Products!$A$5:$A$304,0))/60,2),""))</f>
        <v>0</v>
      </c>
      <c r="AL262" s="20">
        <f>IF(B262="","",IF(OR(AK262="",AK262=0),"",ROUND(AG262/AK262,2)))</f>
        <v>0</v>
      </c>
      <c r="AM262" s="43">
        <f>IF(B262="","",IF(C262="","Add - which product?",IF(AG262&lt;0,"Loss - this order cost you money",IF(M262="Refunded","Refunded - check why",IF(AND(AF262&lt;&gt;"",AF262&gt;0.25),"Check - fees higher than your settings",IF(Z262&gt;1,"Check - postage is eating the margin",IF(AND(AH262&lt;&gt;"",AH262&lt;MarginWarning),"Low margin on this order","OK")))))) )</f>
        <v>0</v>
      </c>
    </row>
    <row r="263" spans="1:39">
      <c r="A263" s="38">
        <f>IF(B263="","",SalePrefix&amp;TEXT(ROW()-4,"0000"))</f>
        <v>0</v>
      </c>
      <c r="Q263" s="13">
        <f>IF(C263="","",IFERROR(INDEX(Products!$B$5:$B$304,MATCH(C263,Products!$A$5:$A$304,0)),"Bundle or deleted"))</f>
        <v>0</v>
      </c>
      <c r="R263" s="13">
        <f>IF(B263="","",TEXT(B263,"yyyy-mm"))</f>
        <v>0</v>
      </c>
      <c r="S263" s="20">
        <f>IF(C263="","",IFERROR(INDEX(Products!$AR$5:$AR$304,MATCH(C263,Products!$A$5:$A$304,0)),""))</f>
        <v>0</v>
      </c>
      <c r="T263" s="20">
        <f>IF(B263="","",IF(F263&lt;&gt;"",F263,IF(S263="",0,S263)))</f>
        <v>0</v>
      </c>
      <c r="U263" s="20">
        <f>IF(B263="","",ROUND(IF(D263="",0,D263)*T263,2))</f>
        <v>0</v>
      </c>
      <c r="V263" s="20">
        <f>IF(B263="","",ROUND(U263-IF(G263="",0,G263)-IF(L263="",0,L263),2))</f>
        <v>0</v>
      </c>
      <c r="W263" s="20">
        <f>IF(C263="","",IFERROR(INDEX(Products!$AT$5:$AT$304,MATCH(C263,Products!$A$5:$A$304,0)),""))</f>
        <v>0</v>
      </c>
      <c r="X263" s="20">
        <f>IF(C263="","",IFERROR(INDEX(Products!$AG$5:$AG$304,MATCH(C263,Products!$A$5:$A$304,0)),""))</f>
        <v>0</v>
      </c>
      <c r="Y263" s="20">
        <f>IF(B263="","",ROUND(IF(D263="",0,D263)*MAX(0,IF(W263="",0,W263)-IF(X263="",0,X263)),2))</f>
        <v>0</v>
      </c>
      <c r="Z263" s="20">
        <f>IF(B263="","",ROUND(MAX(0,IF(J263="",0,J263)-IF(I263="",0,I263)),2))</f>
        <v>0</v>
      </c>
      <c r="AA263" s="33">
        <f>IF(B263="","",IFERROR(INDEX(Channels!$S$5:$S$18,MATCH(IF(E263="",DefaultChannel,E263),Channels!$A$5:$A$18,0)),0))</f>
        <v>0</v>
      </c>
      <c r="AB263" s="20">
        <f>IF(B263="","",IFERROR(INDEX(Channels!$T$5:$T$18,MATCH(IF(E263="",DefaultChannel,E263),Channels!$A$5:$A$18,0)),0))</f>
        <v>0</v>
      </c>
      <c r="AC263" s="42">
        <f>IF(B263="","",IFERROR(INDEX(Channels!$O$5:$O$18,MATCH(IF(E263="",DefaultChannel,E263),Channels!$A$5:$A$18,0)),"No"))</f>
        <v>0</v>
      </c>
      <c r="AD263" s="20">
        <f>IF(B263="","",ROUND((V263+IF(AC263="Yes",IF(I263="",0,I263),0))*AA263+AB263,2))</f>
        <v>0</v>
      </c>
      <c r="AE263" s="20">
        <f>IF(B263="","",IF(K263&lt;&gt;"",K263,AD263))</f>
        <v>0</v>
      </c>
      <c r="AF263" s="20">
        <f>IF(B263="","",IF(K263="","",ROUND(K263-AD263,2)))</f>
        <v>0</v>
      </c>
      <c r="AG263" s="20">
        <f>IF(B263="","",ROUND(V263-Y263-AE263-Z263,2))</f>
        <v>0</v>
      </c>
      <c r="AH263" s="33">
        <f>IF(B263="","",IF(OR(V263="",V263=0),"",AG263/V263))</f>
        <v>0</v>
      </c>
      <c r="AI263" s="33">
        <f>IF(C263="","",IFERROR(INDEX(Products!$AW$5:$AW$304,MATCH(C263,Products!$A$5:$A$304,0)),""))</f>
        <v>0</v>
      </c>
      <c r="AJ263" s="33">
        <f>IF(B263="","",IF(OR(AH263="",AI263=""),"",AH263-AI263))</f>
        <v>0</v>
      </c>
      <c r="AK263" s="41">
        <f>IF(B263="","",IFERROR(ROUND(IF(D263="",0,D263)*INDEX(Products!$X$5:$X$304,MATCH(C263,Products!$A$5:$A$304,0))/60,2),""))</f>
        <v>0</v>
      </c>
      <c r="AL263" s="20">
        <f>IF(B263="","",IF(OR(AK263="",AK263=0),"",ROUND(AG263/AK263,2)))</f>
        <v>0</v>
      </c>
      <c r="AM263" s="43">
        <f>IF(B263="","",IF(C263="","Add - which product?",IF(AG263&lt;0,"Loss - this order cost you money",IF(M263="Refunded","Refunded - check why",IF(AND(AF263&lt;&gt;"",AF263&gt;0.25),"Check - fees higher than your settings",IF(Z263&gt;1,"Check - postage is eating the margin",IF(AND(AH263&lt;&gt;"",AH263&lt;MarginWarning),"Low margin on this order","OK")))))) )</f>
        <v>0</v>
      </c>
    </row>
    <row r="264" spans="1:39">
      <c r="A264" s="38">
        <f>IF(B264="","",SalePrefix&amp;TEXT(ROW()-4,"0000"))</f>
        <v>0</v>
      </c>
      <c r="Q264" s="13">
        <f>IF(C264="","",IFERROR(INDEX(Products!$B$5:$B$304,MATCH(C264,Products!$A$5:$A$304,0)),"Bundle or deleted"))</f>
        <v>0</v>
      </c>
      <c r="R264" s="13">
        <f>IF(B264="","",TEXT(B264,"yyyy-mm"))</f>
        <v>0</v>
      </c>
      <c r="S264" s="20">
        <f>IF(C264="","",IFERROR(INDEX(Products!$AR$5:$AR$304,MATCH(C264,Products!$A$5:$A$304,0)),""))</f>
        <v>0</v>
      </c>
      <c r="T264" s="20">
        <f>IF(B264="","",IF(F264&lt;&gt;"",F264,IF(S264="",0,S264)))</f>
        <v>0</v>
      </c>
      <c r="U264" s="20">
        <f>IF(B264="","",ROUND(IF(D264="",0,D264)*T264,2))</f>
        <v>0</v>
      </c>
      <c r="V264" s="20">
        <f>IF(B264="","",ROUND(U264-IF(G264="",0,G264)-IF(L264="",0,L264),2))</f>
        <v>0</v>
      </c>
      <c r="W264" s="20">
        <f>IF(C264="","",IFERROR(INDEX(Products!$AT$5:$AT$304,MATCH(C264,Products!$A$5:$A$304,0)),""))</f>
        <v>0</v>
      </c>
      <c r="X264" s="20">
        <f>IF(C264="","",IFERROR(INDEX(Products!$AG$5:$AG$304,MATCH(C264,Products!$A$5:$A$304,0)),""))</f>
        <v>0</v>
      </c>
      <c r="Y264" s="20">
        <f>IF(B264="","",ROUND(IF(D264="",0,D264)*MAX(0,IF(W264="",0,W264)-IF(X264="",0,X264)),2))</f>
        <v>0</v>
      </c>
      <c r="Z264" s="20">
        <f>IF(B264="","",ROUND(MAX(0,IF(J264="",0,J264)-IF(I264="",0,I264)),2))</f>
        <v>0</v>
      </c>
      <c r="AA264" s="33">
        <f>IF(B264="","",IFERROR(INDEX(Channels!$S$5:$S$18,MATCH(IF(E264="",DefaultChannel,E264),Channels!$A$5:$A$18,0)),0))</f>
        <v>0</v>
      </c>
      <c r="AB264" s="20">
        <f>IF(B264="","",IFERROR(INDEX(Channels!$T$5:$T$18,MATCH(IF(E264="",DefaultChannel,E264),Channels!$A$5:$A$18,0)),0))</f>
        <v>0</v>
      </c>
      <c r="AC264" s="42">
        <f>IF(B264="","",IFERROR(INDEX(Channels!$O$5:$O$18,MATCH(IF(E264="",DefaultChannel,E264),Channels!$A$5:$A$18,0)),"No"))</f>
        <v>0</v>
      </c>
      <c r="AD264" s="20">
        <f>IF(B264="","",ROUND((V264+IF(AC264="Yes",IF(I264="",0,I264),0))*AA264+AB264,2))</f>
        <v>0</v>
      </c>
      <c r="AE264" s="20">
        <f>IF(B264="","",IF(K264&lt;&gt;"",K264,AD264))</f>
        <v>0</v>
      </c>
      <c r="AF264" s="20">
        <f>IF(B264="","",IF(K264="","",ROUND(K264-AD264,2)))</f>
        <v>0</v>
      </c>
      <c r="AG264" s="20">
        <f>IF(B264="","",ROUND(V264-Y264-AE264-Z264,2))</f>
        <v>0</v>
      </c>
      <c r="AH264" s="33">
        <f>IF(B264="","",IF(OR(V264="",V264=0),"",AG264/V264))</f>
        <v>0</v>
      </c>
      <c r="AI264" s="33">
        <f>IF(C264="","",IFERROR(INDEX(Products!$AW$5:$AW$304,MATCH(C264,Products!$A$5:$A$304,0)),""))</f>
        <v>0</v>
      </c>
      <c r="AJ264" s="33">
        <f>IF(B264="","",IF(OR(AH264="",AI264=""),"",AH264-AI264))</f>
        <v>0</v>
      </c>
      <c r="AK264" s="41">
        <f>IF(B264="","",IFERROR(ROUND(IF(D264="",0,D264)*INDEX(Products!$X$5:$X$304,MATCH(C264,Products!$A$5:$A$304,0))/60,2),""))</f>
        <v>0</v>
      </c>
      <c r="AL264" s="20">
        <f>IF(B264="","",IF(OR(AK264="",AK264=0),"",ROUND(AG264/AK264,2)))</f>
        <v>0</v>
      </c>
      <c r="AM264" s="43">
        <f>IF(B264="","",IF(C264="","Add - which product?",IF(AG264&lt;0,"Loss - this order cost you money",IF(M264="Refunded","Refunded - check why",IF(AND(AF264&lt;&gt;"",AF264&gt;0.25),"Check - fees higher than your settings",IF(Z264&gt;1,"Check - postage is eating the margin",IF(AND(AH264&lt;&gt;"",AH264&lt;MarginWarning),"Low margin on this order","OK")))))) )</f>
        <v>0</v>
      </c>
    </row>
    <row r="265" spans="1:39">
      <c r="A265" s="38">
        <f>IF(B265="","",SalePrefix&amp;TEXT(ROW()-4,"0000"))</f>
        <v>0</v>
      </c>
      <c r="Q265" s="13">
        <f>IF(C265="","",IFERROR(INDEX(Products!$B$5:$B$304,MATCH(C265,Products!$A$5:$A$304,0)),"Bundle or deleted"))</f>
        <v>0</v>
      </c>
      <c r="R265" s="13">
        <f>IF(B265="","",TEXT(B265,"yyyy-mm"))</f>
        <v>0</v>
      </c>
      <c r="S265" s="20">
        <f>IF(C265="","",IFERROR(INDEX(Products!$AR$5:$AR$304,MATCH(C265,Products!$A$5:$A$304,0)),""))</f>
        <v>0</v>
      </c>
      <c r="T265" s="20">
        <f>IF(B265="","",IF(F265&lt;&gt;"",F265,IF(S265="",0,S265)))</f>
        <v>0</v>
      </c>
      <c r="U265" s="20">
        <f>IF(B265="","",ROUND(IF(D265="",0,D265)*T265,2))</f>
        <v>0</v>
      </c>
      <c r="V265" s="20">
        <f>IF(B265="","",ROUND(U265-IF(G265="",0,G265)-IF(L265="",0,L265),2))</f>
        <v>0</v>
      </c>
      <c r="W265" s="20">
        <f>IF(C265="","",IFERROR(INDEX(Products!$AT$5:$AT$304,MATCH(C265,Products!$A$5:$A$304,0)),""))</f>
        <v>0</v>
      </c>
      <c r="X265" s="20">
        <f>IF(C265="","",IFERROR(INDEX(Products!$AG$5:$AG$304,MATCH(C265,Products!$A$5:$A$304,0)),""))</f>
        <v>0</v>
      </c>
      <c r="Y265" s="20">
        <f>IF(B265="","",ROUND(IF(D265="",0,D265)*MAX(0,IF(W265="",0,W265)-IF(X265="",0,X265)),2))</f>
        <v>0</v>
      </c>
      <c r="Z265" s="20">
        <f>IF(B265="","",ROUND(MAX(0,IF(J265="",0,J265)-IF(I265="",0,I265)),2))</f>
        <v>0</v>
      </c>
      <c r="AA265" s="33">
        <f>IF(B265="","",IFERROR(INDEX(Channels!$S$5:$S$18,MATCH(IF(E265="",DefaultChannel,E265),Channels!$A$5:$A$18,0)),0))</f>
        <v>0</v>
      </c>
      <c r="AB265" s="20">
        <f>IF(B265="","",IFERROR(INDEX(Channels!$T$5:$T$18,MATCH(IF(E265="",DefaultChannel,E265),Channels!$A$5:$A$18,0)),0))</f>
        <v>0</v>
      </c>
      <c r="AC265" s="42">
        <f>IF(B265="","",IFERROR(INDEX(Channels!$O$5:$O$18,MATCH(IF(E265="",DefaultChannel,E265),Channels!$A$5:$A$18,0)),"No"))</f>
        <v>0</v>
      </c>
      <c r="AD265" s="20">
        <f>IF(B265="","",ROUND((V265+IF(AC265="Yes",IF(I265="",0,I265),0))*AA265+AB265,2))</f>
        <v>0</v>
      </c>
      <c r="AE265" s="20">
        <f>IF(B265="","",IF(K265&lt;&gt;"",K265,AD265))</f>
        <v>0</v>
      </c>
      <c r="AF265" s="20">
        <f>IF(B265="","",IF(K265="","",ROUND(K265-AD265,2)))</f>
        <v>0</v>
      </c>
      <c r="AG265" s="20">
        <f>IF(B265="","",ROUND(V265-Y265-AE265-Z265,2))</f>
        <v>0</v>
      </c>
      <c r="AH265" s="33">
        <f>IF(B265="","",IF(OR(V265="",V265=0),"",AG265/V265))</f>
        <v>0</v>
      </c>
      <c r="AI265" s="33">
        <f>IF(C265="","",IFERROR(INDEX(Products!$AW$5:$AW$304,MATCH(C265,Products!$A$5:$A$304,0)),""))</f>
        <v>0</v>
      </c>
      <c r="AJ265" s="33">
        <f>IF(B265="","",IF(OR(AH265="",AI265=""),"",AH265-AI265))</f>
        <v>0</v>
      </c>
      <c r="AK265" s="41">
        <f>IF(B265="","",IFERROR(ROUND(IF(D265="",0,D265)*INDEX(Products!$X$5:$X$304,MATCH(C265,Products!$A$5:$A$304,0))/60,2),""))</f>
        <v>0</v>
      </c>
      <c r="AL265" s="20">
        <f>IF(B265="","",IF(OR(AK265="",AK265=0),"",ROUND(AG265/AK265,2)))</f>
        <v>0</v>
      </c>
      <c r="AM265" s="43">
        <f>IF(B265="","",IF(C265="","Add - which product?",IF(AG265&lt;0,"Loss - this order cost you money",IF(M265="Refunded","Refunded - check why",IF(AND(AF265&lt;&gt;"",AF265&gt;0.25),"Check - fees higher than your settings",IF(Z265&gt;1,"Check - postage is eating the margin",IF(AND(AH265&lt;&gt;"",AH265&lt;MarginWarning),"Low margin on this order","OK")))))) )</f>
        <v>0</v>
      </c>
    </row>
    <row r="266" spans="1:39">
      <c r="A266" s="38">
        <f>IF(B266="","",SalePrefix&amp;TEXT(ROW()-4,"0000"))</f>
        <v>0</v>
      </c>
      <c r="Q266" s="13">
        <f>IF(C266="","",IFERROR(INDEX(Products!$B$5:$B$304,MATCH(C266,Products!$A$5:$A$304,0)),"Bundle or deleted"))</f>
        <v>0</v>
      </c>
      <c r="R266" s="13">
        <f>IF(B266="","",TEXT(B266,"yyyy-mm"))</f>
        <v>0</v>
      </c>
      <c r="S266" s="20">
        <f>IF(C266="","",IFERROR(INDEX(Products!$AR$5:$AR$304,MATCH(C266,Products!$A$5:$A$304,0)),""))</f>
        <v>0</v>
      </c>
      <c r="T266" s="20">
        <f>IF(B266="","",IF(F266&lt;&gt;"",F266,IF(S266="",0,S266)))</f>
        <v>0</v>
      </c>
      <c r="U266" s="20">
        <f>IF(B266="","",ROUND(IF(D266="",0,D266)*T266,2))</f>
        <v>0</v>
      </c>
      <c r="V266" s="20">
        <f>IF(B266="","",ROUND(U266-IF(G266="",0,G266)-IF(L266="",0,L266),2))</f>
        <v>0</v>
      </c>
      <c r="W266" s="20">
        <f>IF(C266="","",IFERROR(INDEX(Products!$AT$5:$AT$304,MATCH(C266,Products!$A$5:$A$304,0)),""))</f>
        <v>0</v>
      </c>
      <c r="X266" s="20">
        <f>IF(C266="","",IFERROR(INDEX(Products!$AG$5:$AG$304,MATCH(C266,Products!$A$5:$A$304,0)),""))</f>
        <v>0</v>
      </c>
      <c r="Y266" s="20">
        <f>IF(B266="","",ROUND(IF(D266="",0,D266)*MAX(0,IF(W266="",0,W266)-IF(X266="",0,X266)),2))</f>
        <v>0</v>
      </c>
      <c r="Z266" s="20">
        <f>IF(B266="","",ROUND(MAX(0,IF(J266="",0,J266)-IF(I266="",0,I266)),2))</f>
        <v>0</v>
      </c>
      <c r="AA266" s="33">
        <f>IF(B266="","",IFERROR(INDEX(Channels!$S$5:$S$18,MATCH(IF(E266="",DefaultChannel,E266),Channels!$A$5:$A$18,0)),0))</f>
        <v>0</v>
      </c>
      <c r="AB266" s="20">
        <f>IF(B266="","",IFERROR(INDEX(Channels!$T$5:$T$18,MATCH(IF(E266="",DefaultChannel,E266),Channels!$A$5:$A$18,0)),0))</f>
        <v>0</v>
      </c>
      <c r="AC266" s="42">
        <f>IF(B266="","",IFERROR(INDEX(Channels!$O$5:$O$18,MATCH(IF(E266="",DefaultChannel,E266),Channels!$A$5:$A$18,0)),"No"))</f>
        <v>0</v>
      </c>
      <c r="AD266" s="20">
        <f>IF(B266="","",ROUND((V266+IF(AC266="Yes",IF(I266="",0,I266),0))*AA266+AB266,2))</f>
        <v>0</v>
      </c>
      <c r="AE266" s="20">
        <f>IF(B266="","",IF(K266&lt;&gt;"",K266,AD266))</f>
        <v>0</v>
      </c>
      <c r="AF266" s="20">
        <f>IF(B266="","",IF(K266="","",ROUND(K266-AD266,2)))</f>
        <v>0</v>
      </c>
      <c r="AG266" s="20">
        <f>IF(B266="","",ROUND(V266-Y266-AE266-Z266,2))</f>
        <v>0</v>
      </c>
      <c r="AH266" s="33">
        <f>IF(B266="","",IF(OR(V266="",V266=0),"",AG266/V266))</f>
        <v>0</v>
      </c>
      <c r="AI266" s="33">
        <f>IF(C266="","",IFERROR(INDEX(Products!$AW$5:$AW$304,MATCH(C266,Products!$A$5:$A$304,0)),""))</f>
        <v>0</v>
      </c>
      <c r="AJ266" s="33">
        <f>IF(B266="","",IF(OR(AH266="",AI266=""),"",AH266-AI266))</f>
        <v>0</v>
      </c>
      <c r="AK266" s="41">
        <f>IF(B266="","",IFERROR(ROUND(IF(D266="",0,D266)*INDEX(Products!$X$5:$X$304,MATCH(C266,Products!$A$5:$A$304,0))/60,2),""))</f>
        <v>0</v>
      </c>
      <c r="AL266" s="20">
        <f>IF(B266="","",IF(OR(AK266="",AK266=0),"",ROUND(AG266/AK266,2)))</f>
        <v>0</v>
      </c>
      <c r="AM266" s="43">
        <f>IF(B266="","",IF(C266="","Add - which product?",IF(AG266&lt;0,"Loss - this order cost you money",IF(M266="Refunded","Refunded - check why",IF(AND(AF266&lt;&gt;"",AF266&gt;0.25),"Check - fees higher than your settings",IF(Z266&gt;1,"Check - postage is eating the margin",IF(AND(AH266&lt;&gt;"",AH266&lt;MarginWarning),"Low margin on this order","OK")))))) )</f>
        <v>0</v>
      </c>
    </row>
    <row r="267" spans="1:39">
      <c r="A267" s="38">
        <f>IF(B267="","",SalePrefix&amp;TEXT(ROW()-4,"0000"))</f>
        <v>0</v>
      </c>
      <c r="Q267" s="13">
        <f>IF(C267="","",IFERROR(INDEX(Products!$B$5:$B$304,MATCH(C267,Products!$A$5:$A$304,0)),"Bundle or deleted"))</f>
        <v>0</v>
      </c>
      <c r="R267" s="13">
        <f>IF(B267="","",TEXT(B267,"yyyy-mm"))</f>
        <v>0</v>
      </c>
      <c r="S267" s="20">
        <f>IF(C267="","",IFERROR(INDEX(Products!$AR$5:$AR$304,MATCH(C267,Products!$A$5:$A$304,0)),""))</f>
        <v>0</v>
      </c>
      <c r="T267" s="20">
        <f>IF(B267="","",IF(F267&lt;&gt;"",F267,IF(S267="",0,S267)))</f>
        <v>0</v>
      </c>
      <c r="U267" s="20">
        <f>IF(B267="","",ROUND(IF(D267="",0,D267)*T267,2))</f>
        <v>0</v>
      </c>
      <c r="V267" s="20">
        <f>IF(B267="","",ROUND(U267-IF(G267="",0,G267)-IF(L267="",0,L267),2))</f>
        <v>0</v>
      </c>
      <c r="W267" s="20">
        <f>IF(C267="","",IFERROR(INDEX(Products!$AT$5:$AT$304,MATCH(C267,Products!$A$5:$A$304,0)),""))</f>
        <v>0</v>
      </c>
      <c r="X267" s="20">
        <f>IF(C267="","",IFERROR(INDEX(Products!$AG$5:$AG$304,MATCH(C267,Products!$A$5:$A$304,0)),""))</f>
        <v>0</v>
      </c>
      <c r="Y267" s="20">
        <f>IF(B267="","",ROUND(IF(D267="",0,D267)*MAX(0,IF(W267="",0,W267)-IF(X267="",0,X267)),2))</f>
        <v>0</v>
      </c>
      <c r="Z267" s="20">
        <f>IF(B267="","",ROUND(MAX(0,IF(J267="",0,J267)-IF(I267="",0,I267)),2))</f>
        <v>0</v>
      </c>
      <c r="AA267" s="33">
        <f>IF(B267="","",IFERROR(INDEX(Channels!$S$5:$S$18,MATCH(IF(E267="",DefaultChannel,E267),Channels!$A$5:$A$18,0)),0))</f>
        <v>0</v>
      </c>
      <c r="AB267" s="20">
        <f>IF(B267="","",IFERROR(INDEX(Channels!$T$5:$T$18,MATCH(IF(E267="",DefaultChannel,E267),Channels!$A$5:$A$18,0)),0))</f>
        <v>0</v>
      </c>
      <c r="AC267" s="42">
        <f>IF(B267="","",IFERROR(INDEX(Channels!$O$5:$O$18,MATCH(IF(E267="",DefaultChannel,E267),Channels!$A$5:$A$18,0)),"No"))</f>
        <v>0</v>
      </c>
      <c r="AD267" s="20">
        <f>IF(B267="","",ROUND((V267+IF(AC267="Yes",IF(I267="",0,I267),0))*AA267+AB267,2))</f>
        <v>0</v>
      </c>
      <c r="AE267" s="20">
        <f>IF(B267="","",IF(K267&lt;&gt;"",K267,AD267))</f>
        <v>0</v>
      </c>
      <c r="AF267" s="20">
        <f>IF(B267="","",IF(K267="","",ROUND(K267-AD267,2)))</f>
        <v>0</v>
      </c>
      <c r="AG267" s="20">
        <f>IF(B267="","",ROUND(V267-Y267-AE267-Z267,2))</f>
        <v>0</v>
      </c>
      <c r="AH267" s="33">
        <f>IF(B267="","",IF(OR(V267="",V267=0),"",AG267/V267))</f>
        <v>0</v>
      </c>
      <c r="AI267" s="33">
        <f>IF(C267="","",IFERROR(INDEX(Products!$AW$5:$AW$304,MATCH(C267,Products!$A$5:$A$304,0)),""))</f>
        <v>0</v>
      </c>
      <c r="AJ267" s="33">
        <f>IF(B267="","",IF(OR(AH267="",AI267=""),"",AH267-AI267))</f>
        <v>0</v>
      </c>
      <c r="AK267" s="41">
        <f>IF(B267="","",IFERROR(ROUND(IF(D267="",0,D267)*INDEX(Products!$X$5:$X$304,MATCH(C267,Products!$A$5:$A$304,0))/60,2),""))</f>
        <v>0</v>
      </c>
      <c r="AL267" s="20">
        <f>IF(B267="","",IF(OR(AK267="",AK267=0),"",ROUND(AG267/AK267,2)))</f>
        <v>0</v>
      </c>
      <c r="AM267" s="43">
        <f>IF(B267="","",IF(C267="","Add - which product?",IF(AG267&lt;0,"Loss - this order cost you money",IF(M267="Refunded","Refunded - check why",IF(AND(AF267&lt;&gt;"",AF267&gt;0.25),"Check - fees higher than your settings",IF(Z267&gt;1,"Check - postage is eating the margin",IF(AND(AH267&lt;&gt;"",AH267&lt;MarginWarning),"Low margin on this order","OK")))))) )</f>
        <v>0</v>
      </c>
    </row>
    <row r="268" spans="1:39">
      <c r="A268" s="38">
        <f>IF(B268="","",SalePrefix&amp;TEXT(ROW()-4,"0000"))</f>
        <v>0</v>
      </c>
      <c r="Q268" s="13">
        <f>IF(C268="","",IFERROR(INDEX(Products!$B$5:$B$304,MATCH(C268,Products!$A$5:$A$304,0)),"Bundle or deleted"))</f>
        <v>0</v>
      </c>
      <c r="R268" s="13">
        <f>IF(B268="","",TEXT(B268,"yyyy-mm"))</f>
        <v>0</v>
      </c>
      <c r="S268" s="20">
        <f>IF(C268="","",IFERROR(INDEX(Products!$AR$5:$AR$304,MATCH(C268,Products!$A$5:$A$304,0)),""))</f>
        <v>0</v>
      </c>
      <c r="T268" s="20">
        <f>IF(B268="","",IF(F268&lt;&gt;"",F268,IF(S268="",0,S268)))</f>
        <v>0</v>
      </c>
      <c r="U268" s="20">
        <f>IF(B268="","",ROUND(IF(D268="",0,D268)*T268,2))</f>
        <v>0</v>
      </c>
      <c r="V268" s="20">
        <f>IF(B268="","",ROUND(U268-IF(G268="",0,G268)-IF(L268="",0,L268),2))</f>
        <v>0</v>
      </c>
      <c r="W268" s="20">
        <f>IF(C268="","",IFERROR(INDEX(Products!$AT$5:$AT$304,MATCH(C268,Products!$A$5:$A$304,0)),""))</f>
        <v>0</v>
      </c>
      <c r="X268" s="20">
        <f>IF(C268="","",IFERROR(INDEX(Products!$AG$5:$AG$304,MATCH(C268,Products!$A$5:$A$304,0)),""))</f>
        <v>0</v>
      </c>
      <c r="Y268" s="20">
        <f>IF(B268="","",ROUND(IF(D268="",0,D268)*MAX(0,IF(W268="",0,W268)-IF(X268="",0,X268)),2))</f>
        <v>0</v>
      </c>
      <c r="Z268" s="20">
        <f>IF(B268="","",ROUND(MAX(0,IF(J268="",0,J268)-IF(I268="",0,I268)),2))</f>
        <v>0</v>
      </c>
      <c r="AA268" s="33">
        <f>IF(B268="","",IFERROR(INDEX(Channels!$S$5:$S$18,MATCH(IF(E268="",DefaultChannel,E268),Channels!$A$5:$A$18,0)),0))</f>
        <v>0</v>
      </c>
      <c r="AB268" s="20">
        <f>IF(B268="","",IFERROR(INDEX(Channels!$T$5:$T$18,MATCH(IF(E268="",DefaultChannel,E268),Channels!$A$5:$A$18,0)),0))</f>
        <v>0</v>
      </c>
      <c r="AC268" s="42">
        <f>IF(B268="","",IFERROR(INDEX(Channels!$O$5:$O$18,MATCH(IF(E268="",DefaultChannel,E268),Channels!$A$5:$A$18,0)),"No"))</f>
        <v>0</v>
      </c>
      <c r="AD268" s="20">
        <f>IF(B268="","",ROUND((V268+IF(AC268="Yes",IF(I268="",0,I268),0))*AA268+AB268,2))</f>
        <v>0</v>
      </c>
      <c r="AE268" s="20">
        <f>IF(B268="","",IF(K268&lt;&gt;"",K268,AD268))</f>
        <v>0</v>
      </c>
      <c r="AF268" s="20">
        <f>IF(B268="","",IF(K268="","",ROUND(K268-AD268,2)))</f>
        <v>0</v>
      </c>
      <c r="AG268" s="20">
        <f>IF(B268="","",ROUND(V268-Y268-AE268-Z268,2))</f>
        <v>0</v>
      </c>
      <c r="AH268" s="33">
        <f>IF(B268="","",IF(OR(V268="",V268=0),"",AG268/V268))</f>
        <v>0</v>
      </c>
      <c r="AI268" s="33">
        <f>IF(C268="","",IFERROR(INDEX(Products!$AW$5:$AW$304,MATCH(C268,Products!$A$5:$A$304,0)),""))</f>
        <v>0</v>
      </c>
      <c r="AJ268" s="33">
        <f>IF(B268="","",IF(OR(AH268="",AI268=""),"",AH268-AI268))</f>
        <v>0</v>
      </c>
      <c r="AK268" s="41">
        <f>IF(B268="","",IFERROR(ROUND(IF(D268="",0,D268)*INDEX(Products!$X$5:$X$304,MATCH(C268,Products!$A$5:$A$304,0))/60,2),""))</f>
        <v>0</v>
      </c>
      <c r="AL268" s="20">
        <f>IF(B268="","",IF(OR(AK268="",AK268=0),"",ROUND(AG268/AK268,2)))</f>
        <v>0</v>
      </c>
      <c r="AM268" s="43">
        <f>IF(B268="","",IF(C268="","Add - which product?",IF(AG268&lt;0,"Loss - this order cost you money",IF(M268="Refunded","Refunded - check why",IF(AND(AF268&lt;&gt;"",AF268&gt;0.25),"Check - fees higher than your settings",IF(Z268&gt;1,"Check - postage is eating the margin",IF(AND(AH268&lt;&gt;"",AH268&lt;MarginWarning),"Low margin on this order","OK")))))) )</f>
        <v>0</v>
      </c>
    </row>
    <row r="269" spans="1:39">
      <c r="A269" s="38">
        <f>IF(B269="","",SalePrefix&amp;TEXT(ROW()-4,"0000"))</f>
        <v>0</v>
      </c>
      <c r="Q269" s="13">
        <f>IF(C269="","",IFERROR(INDEX(Products!$B$5:$B$304,MATCH(C269,Products!$A$5:$A$304,0)),"Bundle or deleted"))</f>
        <v>0</v>
      </c>
      <c r="R269" s="13">
        <f>IF(B269="","",TEXT(B269,"yyyy-mm"))</f>
        <v>0</v>
      </c>
      <c r="S269" s="20">
        <f>IF(C269="","",IFERROR(INDEX(Products!$AR$5:$AR$304,MATCH(C269,Products!$A$5:$A$304,0)),""))</f>
        <v>0</v>
      </c>
      <c r="T269" s="20">
        <f>IF(B269="","",IF(F269&lt;&gt;"",F269,IF(S269="",0,S269)))</f>
        <v>0</v>
      </c>
      <c r="U269" s="20">
        <f>IF(B269="","",ROUND(IF(D269="",0,D269)*T269,2))</f>
        <v>0</v>
      </c>
      <c r="V269" s="20">
        <f>IF(B269="","",ROUND(U269-IF(G269="",0,G269)-IF(L269="",0,L269),2))</f>
        <v>0</v>
      </c>
      <c r="W269" s="20">
        <f>IF(C269="","",IFERROR(INDEX(Products!$AT$5:$AT$304,MATCH(C269,Products!$A$5:$A$304,0)),""))</f>
        <v>0</v>
      </c>
      <c r="X269" s="20">
        <f>IF(C269="","",IFERROR(INDEX(Products!$AG$5:$AG$304,MATCH(C269,Products!$A$5:$A$304,0)),""))</f>
        <v>0</v>
      </c>
      <c r="Y269" s="20">
        <f>IF(B269="","",ROUND(IF(D269="",0,D269)*MAX(0,IF(W269="",0,W269)-IF(X269="",0,X269)),2))</f>
        <v>0</v>
      </c>
      <c r="Z269" s="20">
        <f>IF(B269="","",ROUND(MAX(0,IF(J269="",0,J269)-IF(I269="",0,I269)),2))</f>
        <v>0</v>
      </c>
      <c r="AA269" s="33">
        <f>IF(B269="","",IFERROR(INDEX(Channels!$S$5:$S$18,MATCH(IF(E269="",DefaultChannel,E269),Channels!$A$5:$A$18,0)),0))</f>
        <v>0</v>
      </c>
      <c r="AB269" s="20">
        <f>IF(B269="","",IFERROR(INDEX(Channels!$T$5:$T$18,MATCH(IF(E269="",DefaultChannel,E269),Channels!$A$5:$A$18,0)),0))</f>
        <v>0</v>
      </c>
      <c r="AC269" s="42">
        <f>IF(B269="","",IFERROR(INDEX(Channels!$O$5:$O$18,MATCH(IF(E269="",DefaultChannel,E269),Channels!$A$5:$A$18,0)),"No"))</f>
        <v>0</v>
      </c>
      <c r="AD269" s="20">
        <f>IF(B269="","",ROUND((V269+IF(AC269="Yes",IF(I269="",0,I269),0))*AA269+AB269,2))</f>
        <v>0</v>
      </c>
      <c r="AE269" s="20">
        <f>IF(B269="","",IF(K269&lt;&gt;"",K269,AD269))</f>
        <v>0</v>
      </c>
      <c r="AF269" s="20">
        <f>IF(B269="","",IF(K269="","",ROUND(K269-AD269,2)))</f>
        <v>0</v>
      </c>
      <c r="AG269" s="20">
        <f>IF(B269="","",ROUND(V269-Y269-AE269-Z269,2))</f>
        <v>0</v>
      </c>
      <c r="AH269" s="33">
        <f>IF(B269="","",IF(OR(V269="",V269=0),"",AG269/V269))</f>
        <v>0</v>
      </c>
      <c r="AI269" s="33">
        <f>IF(C269="","",IFERROR(INDEX(Products!$AW$5:$AW$304,MATCH(C269,Products!$A$5:$A$304,0)),""))</f>
        <v>0</v>
      </c>
      <c r="AJ269" s="33">
        <f>IF(B269="","",IF(OR(AH269="",AI269=""),"",AH269-AI269))</f>
        <v>0</v>
      </c>
      <c r="AK269" s="41">
        <f>IF(B269="","",IFERROR(ROUND(IF(D269="",0,D269)*INDEX(Products!$X$5:$X$304,MATCH(C269,Products!$A$5:$A$304,0))/60,2),""))</f>
        <v>0</v>
      </c>
      <c r="AL269" s="20">
        <f>IF(B269="","",IF(OR(AK269="",AK269=0),"",ROUND(AG269/AK269,2)))</f>
        <v>0</v>
      </c>
      <c r="AM269" s="43">
        <f>IF(B269="","",IF(C269="","Add - which product?",IF(AG269&lt;0,"Loss - this order cost you money",IF(M269="Refunded","Refunded - check why",IF(AND(AF269&lt;&gt;"",AF269&gt;0.25),"Check - fees higher than your settings",IF(Z269&gt;1,"Check - postage is eating the margin",IF(AND(AH269&lt;&gt;"",AH269&lt;MarginWarning),"Low margin on this order","OK")))))) )</f>
        <v>0</v>
      </c>
    </row>
    <row r="270" spans="1:39">
      <c r="A270" s="38">
        <f>IF(B270="","",SalePrefix&amp;TEXT(ROW()-4,"0000"))</f>
        <v>0</v>
      </c>
      <c r="Q270" s="13">
        <f>IF(C270="","",IFERROR(INDEX(Products!$B$5:$B$304,MATCH(C270,Products!$A$5:$A$304,0)),"Bundle or deleted"))</f>
        <v>0</v>
      </c>
      <c r="R270" s="13">
        <f>IF(B270="","",TEXT(B270,"yyyy-mm"))</f>
        <v>0</v>
      </c>
      <c r="S270" s="20">
        <f>IF(C270="","",IFERROR(INDEX(Products!$AR$5:$AR$304,MATCH(C270,Products!$A$5:$A$304,0)),""))</f>
        <v>0</v>
      </c>
      <c r="T270" s="20">
        <f>IF(B270="","",IF(F270&lt;&gt;"",F270,IF(S270="",0,S270)))</f>
        <v>0</v>
      </c>
      <c r="U270" s="20">
        <f>IF(B270="","",ROUND(IF(D270="",0,D270)*T270,2))</f>
        <v>0</v>
      </c>
      <c r="V270" s="20">
        <f>IF(B270="","",ROUND(U270-IF(G270="",0,G270)-IF(L270="",0,L270),2))</f>
        <v>0</v>
      </c>
      <c r="W270" s="20">
        <f>IF(C270="","",IFERROR(INDEX(Products!$AT$5:$AT$304,MATCH(C270,Products!$A$5:$A$304,0)),""))</f>
        <v>0</v>
      </c>
      <c r="X270" s="20">
        <f>IF(C270="","",IFERROR(INDEX(Products!$AG$5:$AG$304,MATCH(C270,Products!$A$5:$A$304,0)),""))</f>
        <v>0</v>
      </c>
      <c r="Y270" s="20">
        <f>IF(B270="","",ROUND(IF(D270="",0,D270)*MAX(0,IF(W270="",0,W270)-IF(X270="",0,X270)),2))</f>
        <v>0</v>
      </c>
      <c r="Z270" s="20">
        <f>IF(B270="","",ROUND(MAX(0,IF(J270="",0,J270)-IF(I270="",0,I270)),2))</f>
        <v>0</v>
      </c>
      <c r="AA270" s="33">
        <f>IF(B270="","",IFERROR(INDEX(Channels!$S$5:$S$18,MATCH(IF(E270="",DefaultChannel,E270),Channels!$A$5:$A$18,0)),0))</f>
        <v>0</v>
      </c>
      <c r="AB270" s="20">
        <f>IF(B270="","",IFERROR(INDEX(Channels!$T$5:$T$18,MATCH(IF(E270="",DefaultChannel,E270),Channels!$A$5:$A$18,0)),0))</f>
        <v>0</v>
      </c>
      <c r="AC270" s="42">
        <f>IF(B270="","",IFERROR(INDEX(Channels!$O$5:$O$18,MATCH(IF(E270="",DefaultChannel,E270),Channels!$A$5:$A$18,0)),"No"))</f>
        <v>0</v>
      </c>
      <c r="AD270" s="20">
        <f>IF(B270="","",ROUND((V270+IF(AC270="Yes",IF(I270="",0,I270),0))*AA270+AB270,2))</f>
        <v>0</v>
      </c>
      <c r="AE270" s="20">
        <f>IF(B270="","",IF(K270&lt;&gt;"",K270,AD270))</f>
        <v>0</v>
      </c>
      <c r="AF270" s="20">
        <f>IF(B270="","",IF(K270="","",ROUND(K270-AD270,2)))</f>
        <v>0</v>
      </c>
      <c r="AG270" s="20">
        <f>IF(B270="","",ROUND(V270-Y270-AE270-Z270,2))</f>
        <v>0</v>
      </c>
      <c r="AH270" s="33">
        <f>IF(B270="","",IF(OR(V270="",V270=0),"",AG270/V270))</f>
        <v>0</v>
      </c>
      <c r="AI270" s="33">
        <f>IF(C270="","",IFERROR(INDEX(Products!$AW$5:$AW$304,MATCH(C270,Products!$A$5:$A$304,0)),""))</f>
        <v>0</v>
      </c>
      <c r="AJ270" s="33">
        <f>IF(B270="","",IF(OR(AH270="",AI270=""),"",AH270-AI270))</f>
        <v>0</v>
      </c>
      <c r="AK270" s="41">
        <f>IF(B270="","",IFERROR(ROUND(IF(D270="",0,D270)*INDEX(Products!$X$5:$X$304,MATCH(C270,Products!$A$5:$A$304,0))/60,2),""))</f>
        <v>0</v>
      </c>
      <c r="AL270" s="20">
        <f>IF(B270="","",IF(OR(AK270="",AK270=0),"",ROUND(AG270/AK270,2)))</f>
        <v>0</v>
      </c>
      <c r="AM270" s="43">
        <f>IF(B270="","",IF(C270="","Add - which product?",IF(AG270&lt;0,"Loss - this order cost you money",IF(M270="Refunded","Refunded - check why",IF(AND(AF270&lt;&gt;"",AF270&gt;0.25),"Check - fees higher than your settings",IF(Z270&gt;1,"Check - postage is eating the margin",IF(AND(AH270&lt;&gt;"",AH270&lt;MarginWarning),"Low margin on this order","OK")))))) )</f>
        <v>0</v>
      </c>
    </row>
    <row r="271" spans="1:39">
      <c r="A271" s="38">
        <f>IF(B271="","",SalePrefix&amp;TEXT(ROW()-4,"0000"))</f>
        <v>0</v>
      </c>
      <c r="Q271" s="13">
        <f>IF(C271="","",IFERROR(INDEX(Products!$B$5:$B$304,MATCH(C271,Products!$A$5:$A$304,0)),"Bundle or deleted"))</f>
        <v>0</v>
      </c>
      <c r="R271" s="13">
        <f>IF(B271="","",TEXT(B271,"yyyy-mm"))</f>
        <v>0</v>
      </c>
      <c r="S271" s="20">
        <f>IF(C271="","",IFERROR(INDEX(Products!$AR$5:$AR$304,MATCH(C271,Products!$A$5:$A$304,0)),""))</f>
        <v>0</v>
      </c>
      <c r="T271" s="20">
        <f>IF(B271="","",IF(F271&lt;&gt;"",F271,IF(S271="",0,S271)))</f>
        <v>0</v>
      </c>
      <c r="U271" s="20">
        <f>IF(B271="","",ROUND(IF(D271="",0,D271)*T271,2))</f>
        <v>0</v>
      </c>
      <c r="V271" s="20">
        <f>IF(B271="","",ROUND(U271-IF(G271="",0,G271)-IF(L271="",0,L271),2))</f>
        <v>0</v>
      </c>
      <c r="W271" s="20">
        <f>IF(C271="","",IFERROR(INDEX(Products!$AT$5:$AT$304,MATCH(C271,Products!$A$5:$A$304,0)),""))</f>
        <v>0</v>
      </c>
      <c r="X271" s="20">
        <f>IF(C271="","",IFERROR(INDEX(Products!$AG$5:$AG$304,MATCH(C271,Products!$A$5:$A$304,0)),""))</f>
        <v>0</v>
      </c>
      <c r="Y271" s="20">
        <f>IF(B271="","",ROUND(IF(D271="",0,D271)*MAX(0,IF(W271="",0,W271)-IF(X271="",0,X271)),2))</f>
        <v>0</v>
      </c>
      <c r="Z271" s="20">
        <f>IF(B271="","",ROUND(MAX(0,IF(J271="",0,J271)-IF(I271="",0,I271)),2))</f>
        <v>0</v>
      </c>
      <c r="AA271" s="33">
        <f>IF(B271="","",IFERROR(INDEX(Channels!$S$5:$S$18,MATCH(IF(E271="",DefaultChannel,E271),Channels!$A$5:$A$18,0)),0))</f>
        <v>0</v>
      </c>
      <c r="AB271" s="20">
        <f>IF(B271="","",IFERROR(INDEX(Channels!$T$5:$T$18,MATCH(IF(E271="",DefaultChannel,E271),Channels!$A$5:$A$18,0)),0))</f>
        <v>0</v>
      </c>
      <c r="AC271" s="42">
        <f>IF(B271="","",IFERROR(INDEX(Channels!$O$5:$O$18,MATCH(IF(E271="",DefaultChannel,E271),Channels!$A$5:$A$18,0)),"No"))</f>
        <v>0</v>
      </c>
      <c r="AD271" s="20">
        <f>IF(B271="","",ROUND((V271+IF(AC271="Yes",IF(I271="",0,I271),0))*AA271+AB271,2))</f>
        <v>0</v>
      </c>
      <c r="AE271" s="20">
        <f>IF(B271="","",IF(K271&lt;&gt;"",K271,AD271))</f>
        <v>0</v>
      </c>
      <c r="AF271" s="20">
        <f>IF(B271="","",IF(K271="","",ROUND(K271-AD271,2)))</f>
        <v>0</v>
      </c>
      <c r="AG271" s="20">
        <f>IF(B271="","",ROUND(V271-Y271-AE271-Z271,2))</f>
        <v>0</v>
      </c>
      <c r="AH271" s="33">
        <f>IF(B271="","",IF(OR(V271="",V271=0),"",AG271/V271))</f>
        <v>0</v>
      </c>
      <c r="AI271" s="33">
        <f>IF(C271="","",IFERROR(INDEX(Products!$AW$5:$AW$304,MATCH(C271,Products!$A$5:$A$304,0)),""))</f>
        <v>0</v>
      </c>
      <c r="AJ271" s="33">
        <f>IF(B271="","",IF(OR(AH271="",AI271=""),"",AH271-AI271))</f>
        <v>0</v>
      </c>
      <c r="AK271" s="41">
        <f>IF(B271="","",IFERROR(ROUND(IF(D271="",0,D271)*INDEX(Products!$X$5:$X$304,MATCH(C271,Products!$A$5:$A$304,0))/60,2),""))</f>
        <v>0</v>
      </c>
      <c r="AL271" s="20">
        <f>IF(B271="","",IF(OR(AK271="",AK271=0),"",ROUND(AG271/AK271,2)))</f>
        <v>0</v>
      </c>
      <c r="AM271" s="43">
        <f>IF(B271="","",IF(C271="","Add - which product?",IF(AG271&lt;0,"Loss - this order cost you money",IF(M271="Refunded","Refunded - check why",IF(AND(AF271&lt;&gt;"",AF271&gt;0.25),"Check - fees higher than your settings",IF(Z271&gt;1,"Check - postage is eating the margin",IF(AND(AH271&lt;&gt;"",AH271&lt;MarginWarning),"Low margin on this order","OK")))))) )</f>
        <v>0</v>
      </c>
    </row>
    <row r="272" spans="1:39">
      <c r="A272" s="38">
        <f>IF(B272="","",SalePrefix&amp;TEXT(ROW()-4,"0000"))</f>
        <v>0</v>
      </c>
      <c r="Q272" s="13">
        <f>IF(C272="","",IFERROR(INDEX(Products!$B$5:$B$304,MATCH(C272,Products!$A$5:$A$304,0)),"Bundle or deleted"))</f>
        <v>0</v>
      </c>
      <c r="R272" s="13">
        <f>IF(B272="","",TEXT(B272,"yyyy-mm"))</f>
        <v>0</v>
      </c>
      <c r="S272" s="20">
        <f>IF(C272="","",IFERROR(INDEX(Products!$AR$5:$AR$304,MATCH(C272,Products!$A$5:$A$304,0)),""))</f>
        <v>0</v>
      </c>
      <c r="T272" s="20">
        <f>IF(B272="","",IF(F272&lt;&gt;"",F272,IF(S272="",0,S272)))</f>
        <v>0</v>
      </c>
      <c r="U272" s="20">
        <f>IF(B272="","",ROUND(IF(D272="",0,D272)*T272,2))</f>
        <v>0</v>
      </c>
      <c r="V272" s="20">
        <f>IF(B272="","",ROUND(U272-IF(G272="",0,G272)-IF(L272="",0,L272),2))</f>
        <v>0</v>
      </c>
      <c r="W272" s="20">
        <f>IF(C272="","",IFERROR(INDEX(Products!$AT$5:$AT$304,MATCH(C272,Products!$A$5:$A$304,0)),""))</f>
        <v>0</v>
      </c>
      <c r="X272" s="20">
        <f>IF(C272="","",IFERROR(INDEX(Products!$AG$5:$AG$304,MATCH(C272,Products!$A$5:$A$304,0)),""))</f>
        <v>0</v>
      </c>
      <c r="Y272" s="20">
        <f>IF(B272="","",ROUND(IF(D272="",0,D272)*MAX(0,IF(W272="",0,W272)-IF(X272="",0,X272)),2))</f>
        <v>0</v>
      </c>
      <c r="Z272" s="20">
        <f>IF(B272="","",ROUND(MAX(0,IF(J272="",0,J272)-IF(I272="",0,I272)),2))</f>
        <v>0</v>
      </c>
      <c r="AA272" s="33">
        <f>IF(B272="","",IFERROR(INDEX(Channels!$S$5:$S$18,MATCH(IF(E272="",DefaultChannel,E272),Channels!$A$5:$A$18,0)),0))</f>
        <v>0</v>
      </c>
      <c r="AB272" s="20">
        <f>IF(B272="","",IFERROR(INDEX(Channels!$T$5:$T$18,MATCH(IF(E272="",DefaultChannel,E272),Channels!$A$5:$A$18,0)),0))</f>
        <v>0</v>
      </c>
      <c r="AC272" s="42">
        <f>IF(B272="","",IFERROR(INDEX(Channels!$O$5:$O$18,MATCH(IF(E272="",DefaultChannel,E272),Channels!$A$5:$A$18,0)),"No"))</f>
        <v>0</v>
      </c>
      <c r="AD272" s="20">
        <f>IF(B272="","",ROUND((V272+IF(AC272="Yes",IF(I272="",0,I272),0))*AA272+AB272,2))</f>
        <v>0</v>
      </c>
      <c r="AE272" s="20">
        <f>IF(B272="","",IF(K272&lt;&gt;"",K272,AD272))</f>
        <v>0</v>
      </c>
      <c r="AF272" s="20">
        <f>IF(B272="","",IF(K272="","",ROUND(K272-AD272,2)))</f>
        <v>0</v>
      </c>
      <c r="AG272" s="20">
        <f>IF(B272="","",ROUND(V272-Y272-AE272-Z272,2))</f>
        <v>0</v>
      </c>
      <c r="AH272" s="33">
        <f>IF(B272="","",IF(OR(V272="",V272=0),"",AG272/V272))</f>
        <v>0</v>
      </c>
      <c r="AI272" s="33">
        <f>IF(C272="","",IFERROR(INDEX(Products!$AW$5:$AW$304,MATCH(C272,Products!$A$5:$A$304,0)),""))</f>
        <v>0</v>
      </c>
      <c r="AJ272" s="33">
        <f>IF(B272="","",IF(OR(AH272="",AI272=""),"",AH272-AI272))</f>
        <v>0</v>
      </c>
      <c r="AK272" s="41">
        <f>IF(B272="","",IFERROR(ROUND(IF(D272="",0,D272)*INDEX(Products!$X$5:$X$304,MATCH(C272,Products!$A$5:$A$304,0))/60,2),""))</f>
        <v>0</v>
      </c>
      <c r="AL272" s="20">
        <f>IF(B272="","",IF(OR(AK272="",AK272=0),"",ROUND(AG272/AK272,2)))</f>
        <v>0</v>
      </c>
      <c r="AM272" s="43">
        <f>IF(B272="","",IF(C272="","Add - which product?",IF(AG272&lt;0,"Loss - this order cost you money",IF(M272="Refunded","Refunded - check why",IF(AND(AF272&lt;&gt;"",AF272&gt;0.25),"Check - fees higher than your settings",IF(Z272&gt;1,"Check - postage is eating the margin",IF(AND(AH272&lt;&gt;"",AH272&lt;MarginWarning),"Low margin on this order","OK")))))) )</f>
        <v>0</v>
      </c>
    </row>
    <row r="273" spans="1:39">
      <c r="A273" s="38">
        <f>IF(B273="","",SalePrefix&amp;TEXT(ROW()-4,"0000"))</f>
        <v>0</v>
      </c>
      <c r="Q273" s="13">
        <f>IF(C273="","",IFERROR(INDEX(Products!$B$5:$B$304,MATCH(C273,Products!$A$5:$A$304,0)),"Bundle or deleted"))</f>
        <v>0</v>
      </c>
      <c r="R273" s="13">
        <f>IF(B273="","",TEXT(B273,"yyyy-mm"))</f>
        <v>0</v>
      </c>
      <c r="S273" s="20">
        <f>IF(C273="","",IFERROR(INDEX(Products!$AR$5:$AR$304,MATCH(C273,Products!$A$5:$A$304,0)),""))</f>
        <v>0</v>
      </c>
      <c r="T273" s="20">
        <f>IF(B273="","",IF(F273&lt;&gt;"",F273,IF(S273="",0,S273)))</f>
        <v>0</v>
      </c>
      <c r="U273" s="20">
        <f>IF(B273="","",ROUND(IF(D273="",0,D273)*T273,2))</f>
        <v>0</v>
      </c>
      <c r="V273" s="20">
        <f>IF(B273="","",ROUND(U273-IF(G273="",0,G273)-IF(L273="",0,L273),2))</f>
        <v>0</v>
      </c>
      <c r="W273" s="20">
        <f>IF(C273="","",IFERROR(INDEX(Products!$AT$5:$AT$304,MATCH(C273,Products!$A$5:$A$304,0)),""))</f>
        <v>0</v>
      </c>
      <c r="X273" s="20">
        <f>IF(C273="","",IFERROR(INDEX(Products!$AG$5:$AG$304,MATCH(C273,Products!$A$5:$A$304,0)),""))</f>
        <v>0</v>
      </c>
      <c r="Y273" s="20">
        <f>IF(B273="","",ROUND(IF(D273="",0,D273)*MAX(0,IF(W273="",0,W273)-IF(X273="",0,X273)),2))</f>
        <v>0</v>
      </c>
      <c r="Z273" s="20">
        <f>IF(B273="","",ROUND(MAX(0,IF(J273="",0,J273)-IF(I273="",0,I273)),2))</f>
        <v>0</v>
      </c>
      <c r="AA273" s="33">
        <f>IF(B273="","",IFERROR(INDEX(Channels!$S$5:$S$18,MATCH(IF(E273="",DefaultChannel,E273),Channels!$A$5:$A$18,0)),0))</f>
        <v>0</v>
      </c>
      <c r="AB273" s="20">
        <f>IF(B273="","",IFERROR(INDEX(Channels!$T$5:$T$18,MATCH(IF(E273="",DefaultChannel,E273),Channels!$A$5:$A$18,0)),0))</f>
        <v>0</v>
      </c>
      <c r="AC273" s="42">
        <f>IF(B273="","",IFERROR(INDEX(Channels!$O$5:$O$18,MATCH(IF(E273="",DefaultChannel,E273),Channels!$A$5:$A$18,0)),"No"))</f>
        <v>0</v>
      </c>
      <c r="AD273" s="20">
        <f>IF(B273="","",ROUND((V273+IF(AC273="Yes",IF(I273="",0,I273),0))*AA273+AB273,2))</f>
        <v>0</v>
      </c>
      <c r="AE273" s="20">
        <f>IF(B273="","",IF(K273&lt;&gt;"",K273,AD273))</f>
        <v>0</v>
      </c>
      <c r="AF273" s="20">
        <f>IF(B273="","",IF(K273="","",ROUND(K273-AD273,2)))</f>
        <v>0</v>
      </c>
      <c r="AG273" s="20">
        <f>IF(B273="","",ROUND(V273-Y273-AE273-Z273,2))</f>
        <v>0</v>
      </c>
      <c r="AH273" s="33">
        <f>IF(B273="","",IF(OR(V273="",V273=0),"",AG273/V273))</f>
        <v>0</v>
      </c>
      <c r="AI273" s="33">
        <f>IF(C273="","",IFERROR(INDEX(Products!$AW$5:$AW$304,MATCH(C273,Products!$A$5:$A$304,0)),""))</f>
        <v>0</v>
      </c>
      <c r="AJ273" s="33">
        <f>IF(B273="","",IF(OR(AH273="",AI273=""),"",AH273-AI273))</f>
        <v>0</v>
      </c>
      <c r="AK273" s="41">
        <f>IF(B273="","",IFERROR(ROUND(IF(D273="",0,D273)*INDEX(Products!$X$5:$X$304,MATCH(C273,Products!$A$5:$A$304,0))/60,2),""))</f>
        <v>0</v>
      </c>
      <c r="AL273" s="20">
        <f>IF(B273="","",IF(OR(AK273="",AK273=0),"",ROUND(AG273/AK273,2)))</f>
        <v>0</v>
      </c>
      <c r="AM273" s="43">
        <f>IF(B273="","",IF(C273="","Add - which product?",IF(AG273&lt;0,"Loss - this order cost you money",IF(M273="Refunded","Refunded - check why",IF(AND(AF273&lt;&gt;"",AF273&gt;0.25),"Check - fees higher than your settings",IF(Z273&gt;1,"Check - postage is eating the margin",IF(AND(AH273&lt;&gt;"",AH273&lt;MarginWarning),"Low margin on this order","OK")))))) )</f>
        <v>0</v>
      </c>
    </row>
    <row r="274" spans="1:39">
      <c r="A274" s="38">
        <f>IF(B274="","",SalePrefix&amp;TEXT(ROW()-4,"0000"))</f>
        <v>0</v>
      </c>
      <c r="Q274" s="13">
        <f>IF(C274="","",IFERROR(INDEX(Products!$B$5:$B$304,MATCH(C274,Products!$A$5:$A$304,0)),"Bundle or deleted"))</f>
        <v>0</v>
      </c>
      <c r="R274" s="13">
        <f>IF(B274="","",TEXT(B274,"yyyy-mm"))</f>
        <v>0</v>
      </c>
      <c r="S274" s="20">
        <f>IF(C274="","",IFERROR(INDEX(Products!$AR$5:$AR$304,MATCH(C274,Products!$A$5:$A$304,0)),""))</f>
        <v>0</v>
      </c>
      <c r="T274" s="20">
        <f>IF(B274="","",IF(F274&lt;&gt;"",F274,IF(S274="",0,S274)))</f>
        <v>0</v>
      </c>
      <c r="U274" s="20">
        <f>IF(B274="","",ROUND(IF(D274="",0,D274)*T274,2))</f>
        <v>0</v>
      </c>
      <c r="V274" s="20">
        <f>IF(B274="","",ROUND(U274-IF(G274="",0,G274)-IF(L274="",0,L274),2))</f>
        <v>0</v>
      </c>
      <c r="W274" s="20">
        <f>IF(C274="","",IFERROR(INDEX(Products!$AT$5:$AT$304,MATCH(C274,Products!$A$5:$A$304,0)),""))</f>
        <v>0</v>
      </c>
      <c r="X274" s="20">
        <f>IF(C274="","",IFERROR(INDEX(Products!$AG$5:$AG$304,MATCH(C274,Products!$A$5:$A$304,0)),""))</f>
        <v>0</v>
      </c>
      <c r="Y274" s="20">
        <f>IF(B274="","",ROUND(IF(D274="",0,D274)*MAX(0,IF(W274="",0,W274)-IF(X274="",0,X274)),2))</f>
        <v>0</v>
      </c>
      <c r="Z274" s="20">
        <f>IF(B274="","",ROUND(MAX(0,IF(J274="",0,J274)-IF(I274="",0,I274)),2))</f>
        <v>0</v>
      </c>
      <c r="AA274" s="33">
        <f>IF(B274="","",IFERROR(INDEX(Channels!$S$5:$S$18,MATCH(IF(E274="",DefaultChannel,E274),Channels!$A$5:$A$18,0)),0))</f>
        <v>0</v>
      </c>
      <c r="AB274" s="20">
        <f>IF(B274="","",IFERROR(INDEX(Channels!$T$5:$T$18,MATCH(IF(E274="",DefaultChannel,E274),Channels!$A$5:$A$18,0)),0))</f>
        <v>0</v>
      </c>
      <c r="AC274" s="42">
        <f>IF(B274="","",IFERROR(INDEX(Channels!$O$5:$O$18,MATCH(IF(E274="",DefaultChannel,E274),Channels!$A$5:$A$18,0)),"No"))</f>
        <v>0</v>
      </c>
      <c r="AD274" s="20">
        <f>IF(B274="","",ROUND((V274+IF(AC274="Yes",IF(I274="",0,I274),0))*AA274+AB274,2))</f>
        <v>0</v>
      </c>
      <c r="AE274" s="20">
        <f>IF(B274="","",IF(K274&lt;&gt;"",K274,AD274))</f>
        <v>0</v>
      </c>
      <c r="AF274" s="20">
        <f>IF(B274="","",IF(K274="","",ROUND(K274-AD274,2)))</f>
        <v>0</v>
      </c>
      <c r="AG274" s="20">
        <f>IF(B274="","",ROUND(V274-Y274-AE274-Z274,2))</f>
        <v>0</v>
      </c>
      <c r="AH274" s="33">
        <f>IF(B274="","",IF(OR(V274="",V274=0),"",AG274/V274))</f>
        <v>0</v>
      </c>
      <c r="AI274" s="33">
        <f>IF(C274="","",IFERROR(INDEX(Products!$AW$5:$AW$304,MATCH(C274,Products!$A$5:$A$304,0)),""))</f>
        <v>0</v>
      </c>
      <c r="AJ274" s="33">
        <f>IF(B274="","",IF(OR(AH274="",AI274=""),"",AH274-AI274))</f>
        <v>0</v>
      </c>
      <c r="AK274" s="41">
        <f>IF(B274="","",IFERROR(ROUND(IF(D274="",0,D274)*INDEX(Products!$X$5:$X$304,MATCH(C274,Products!$A$5:$A$304,0))/60,2),""))</f>
        <v>0</v>
      </c>
      <c r="AL274" s="20">
        <f>IF(B274="","",IF(OR(AK274="",AK274=0),"",ROUND(AG274/AK274,2)))</f>
        <v>0</v>
      </c>
      <c r="AM274" s="43">
        <f>IF(B274="","",IF(C274="","Add - which product?",IF(AG274&lt;0,"Loss - this order cost you money",IF(M274="Refunded","Refunded - check why",IF(AND(AF274&lt;&gt;"",AF274&gt;0.25),"Check - fees higher than your settings",IF(Z274&gt;1,"Check - postage is eating the margin",IF(AND(AH274&lt;&gt;"",AH274&lt;MarginWarning),"Low margin on this order","OK")))))) )</f>
        <v>0</v>
      </c>
    </row>
    <row r="275" spans="1:39">
      <c r="A275" s="38">
        <f>IF(B275="","",SalePrefix&amp;TEXT(ROW()-4,"0000"))</f>
        <v>0</v>
      </c>
      <c r="Q275" s="13">
        <f>IF(C275="","",IFERROR(INDEX(Products!$B$5:$B$304,MATCH(C275,Products!$A$5:$A$304,0)),"Bundle or deleted"))</f>
        <v>0</v>
      </c>
      <c r="R275" s="13">
        <f>IF(B275="","",TEXT(B275,"yyyy-mm"))</f>
        <v>0</v>
      </c>
      <c r="S275" s="20">
        <f>IF(C275="","",IFERROR(INDEX(Products!$AR$5:$AR$304,MATCH(C275,Products!$A$5:$A$304,0)),""))</f>
        <v>0</v>
      </c>
      <c r="T275" s="20">
        <f>IF(B275="","",IF(F275&lt;&gt;"",F275,IF(S275="",0,S275)))</f>
        <v>0</v>
      </c>
      <c r="U275" s="20">
        <f>IF(B275="","",ROUND(IF(D275="",0,D275)*T275,2))</f>
        <v>0</v>
      </c>
      <c r="V275" s="20">
        <f>IF(B275="","",ROUND(U275-IF(G275="",0,G275)-IF(L275="",0,L275),2))</f>
        <v>0</v>
      </c>
      <c r="W275" s="20">
        <f>IF(C275="","",IFERROR(INDEX(Products!$AT$5:$AT$304,MATCH(C275,Products!$A$5:$A$304,0)),""))</f>
        <v>0</v>
      </c>
      <c r="X275" s="20">
        <f>IF(C275="","",IFERROR(INDEX(Products!$AG$5:$AG$304,MATCH(C275,Products!$A$5:$A$304,0)),""))</f>
        <v>0</v>
      </c>
      <c r="Y275" s="20">
        <f>IF(B275="","",ROUND(IF(D275="",0,D275)*MAX(0,IF(W275="",0,W275)-IF(X275="",0,X275)),2))</f>
        <v>0</v>
      </c>
      <c r="Z275" s="20">
        <f>IF(B275="","",ROUND(MAX(0,IF(J275="",0,J275)-IF(I275="",0,I275)),2))</f>
        <v>0</v>
      </c>
      <c r="AA275" s="33">
        <f>IF(B275="","",IFERROR(INDEX(Channels!$S$5:$S$18,MATCH(IF(E275="",DefaultChannel,E275),Channels!$A$5:$A$18,0)),0))</f>
        <v>0</v>
      </c>
      <c r="AB275" s="20">
        <f>IF(B275="","",IFERROR(INDEX(Channels!$T$5:$T$18,MATCH(IF(E275="",DefaultChannel,E275),Channels!$A$5:$A$18,0)),0))</f>
        <v>0</v>
      </c>
      <c r="AC275" s="42">
        <f>IF(B275="","",IFERROR(INDEX(Channels!$O$5:$O$18,MATCH(IF(E275="",DefaultChannel,E275),Channels!$A$5:$A$18,0)),"No"))</f>
        <v>0</v>
      </c>
      <c r="AD275" s="20">
        <f>IF(B275="","",ROUND((V275+IF(AC275="Yes",IF(I275="",0,I275),0))*AA275+AB275,2))</f>
        <v>0</v>
      </c>
      <c r="AE275" s="20">
        <f>IF(B275="","",IF(K275&lt;&gt;"",K275,AD275))</f>
        <v>0</v>
      </c>
      <c r="AF275" s="20">
        <f>IF(B275="","",IF(K275="","",ROUND(K275-AD275,2)))</f>
        <v>0</v>
      </c>
      <c r="AG275" s="20">
        <f>IF(B275="","",ROUND(V275-Y275-AE275-Z275,2))</f>
        <v>0</v>
      </c>
      <c r="AH275" s="33">
        <f>IF(B275="","",IF(OR(V275="",V275=0),"",AG275/V275))</f>
        <v>0</v>
      </c>
      <c r="AI275" s="33">
        <f>IF(C275="","",IFERROR(INDEX(Products!$AW$5:$AW$304,MATCH(C275,Products!$A$5:$A$304,0)),""))</f>
        <v>0</v>
      </c>
      <c r="AJ275" s="33">
        <f>IF(B275="","",IF(OR(AH275="",AI275=""),"",AH275-AI275))</f>
        <v>0</v>
      </c>
      <c r="AK275" s="41">
        <f>IF(B275="","",IFERROR(ROUND(IF(D275="",0,D275)*INDEX(Products!$X$5:$X$304,MATCH(C275,Products!$A$5:$A$304,0))/60,2),""))</f>
        <v>0</v>
      </c>
      <c r="AL275" s="20">
        <f>IF(B275="","",IF(OR(AK275="",AK275=0),"",ROUND(AG275/AK275,2)))</f>
        <v>0</v>
      </c>
      <c r="AM275" s="43">
        <f>IF(B275="","",IF(C275="","Add - which product?",IF(AG275&lt;0,"Loss - this order cost you money",IF(M275="Refunded","Refunded - check why",IF(AND(AF275&lt;&gt;"",AF275&gt;0.25),"Check - fees higher than your settings",IF(Z275&gt;1,"Check - postage is eating the margin",IF(AND(AH275&lt;&gt;"",AH275&lt;MarginWarning),"Low margin on this order","OK")))))) )</f>
        <v>0</v>
      </c>
    </row>
    <row r="276" spans="1:39">
      <c r="A276" s="38">
        <f>IF(B276="","",SalePrefix&amp;TEXT(ROW()-4,"0000"))</f>
        <v>0</v>
      </c>
      <c r="Q276" s="13">
        <f>IF(C276="","",IFERROR(INDEX(Products!$B$5:$B$304,MATCH(C276,Products!$A$5:$A$304,0)),"Bundle or deleted"))</f>
        <v>0</v>
      </c>
      <c r="R276" s="13">
        <f>IF(B276="","",TEXT(B276,"yyyy-mm"))</f>
        <v>0</v>
      </c>
      <c r="S276" s="20">
        <f>IF(C276="","",IFERROR(INDEX(Products!$AR$5:$AR$304,MATCH(C276,Products!$A$5:$A$304,0)),""))</f>
        <v>0</v>
      </c>
      <c r="T276" s="20">
        <f>IF(B276="","",IF(F276&lt;&gt;"",F276,IF(S276="",0,S276)))</f>
        <v>0</v>
      </c>
      <c r="U276" s="20">
        <f>IF(B276="","",ROUND(IF(D276="",0,D276)*T276,2))</f>
        <v>0</v>
      </c>
      <c r="V276" s="20">
        <f>IF(B276="","",ROUND(U276-IF(G276="",0,G276)-IF(L276="",0,L276),2))</f>
        <v>0</v>
      </c>
      <c r="W276" s="20">
        <f>IF(C276="","",IFERROR(INDEX(Products!$AT$5:$AT$304,MATCH(C276,Products!$A$5:$A$304,0)),""))</f>
        <v>0</v>
      </c>
      <c r="X276" s="20">
        <f>IF(C276="","",IFERROR(INDEX(Products!$AG$5:$AG$304,MATCH(C276,Products!$A$5:$A$304,0)),""))</f>
        <v>0</v>
      </c>
      <c r="Y276" s="20">
        <f>IF(B276="","",ROUND(IF(D276="",0,D276)*MAX(0,IF(W276="",0,W276)-IF(X276="",0,X276)),2))</f>
        <v>0</v>
      </c>
      <c r="Z276" s="20">
        <f>IF(B276="","",ROUND(MAX(0,IF(J276="",0,J276)-IF(I276="",0,I276)),2))</f>
        <v>0</v>
      </c>
      <c r="AA276" s="33">
        <f>IF(B276="","",IFERROR(INDEX(Channels!$S$5:$S$18,MATCH(IF(E276="",DefaultChannel,E276),Channels!$A$5:$A$18,0)),0))</f>
        <v>0</v>
      </c>
      <c r="AB276" s="20">
        <f>IF(B276="","",IFERROR(INDEX(Channels!$T$5:$T$18,MATCH(IF(E276="",DefaultChannel,E276),Channels!$A$5:$A$18,0)),0))</f>
        <v>0</v>
      </c>
      <c r="AC276" s="42">
        <f>IF(B276="","",IFERROR(INDEX(Channels!$O$5:$O$18,MATCH(IF(E276="",DefaultChannel,E276),Channels!$A$5:$A$18,0)),"No"))</f>
        <v>0</v>
      </c>
      <c r="AD276" s="20">
        <f>IF(B276="","",ROUND((V276+IF(AC276="Yes",IF(I276="",0,I276),0))*AA276+AB276,2))</f>
        <v>0</v>
      </c>
      <c r="AE276" s="20">
        <f>IF(B276="","",IF(K276&lt;&gt;"",K276,AD276))</f>
        <v>0</v>
      </c>
      <c r="AF276" s="20">
        <f>IF(B276="","",IF(K276="","",ROUND(K276-AD276,2)))</f>
        <v>0</v>
      </c>
      <c r="AG276" s="20">
        <f>IF(B276="","",ROUND(V276-Y276-AE276-Z276,2))</f>
        <v>0</v>
      </c>
      <c r="AH276" s="33">
        <f>IF(B276="","",IF(OR(V276="",V276=0),"",AG276/V276))</f>
        <v>0</v>
      </c>
      <c r="AI276" s="33">
        <f>IF(C276="","",IFERROR(INDEX(Products!$AW$5:$AW$304,MATCH(C276,Products!$A$5:$A$304,0)),""))</f>
        <v>0</v>
      </c>
      <c r="AJ276" s="33">
        <f>IF(B276="","",IF(OR(AH276="",AI276=""),"",AH276-AI276))</f>
        <v>0</v>
      </c>
      <c r="AK276" s="41">
        <f>IF(B276="","",IFERROR(ROUND(IF(D276="",0,D276)*INDEX(Products!$X$5:$X$304,MATCH(C276,Products!$A$5:$A$304,0))/60,2),""))</f>
        <v>0</v>
      </c>
      <c r="AL276" s="20">
        <f>IF(B276="","",IF(OR(AK276="",AK276=0),"",ROUND(AG276/AK276,2)))</f>
        <v>0</v>
      </c>
      <c r="AM276" s="43">
        <f>IF(B276="","",IF(C276="","Add - which product?",IF(AG276&lt;0,"Loss - this order cost you money",IF(M276="Refunded","Refunded - check why",IF(AND(AF276&lt;&gt;"",AF276&gt;0.25),"Check - fees higher than your settings",IF(Z276&gt;1,"Check - postage is eating the margin",IF(AND(AH276&lt;&gt;"",AH276&lt;MarginWarning),"Low margin on this order","OK")))))) )</f>
        <v>0</v>
      </c>
    </row>
    <row r="277" spans="1:39">
      <c r="A277" s="38">
        <f>IF(B277="","",SalePrefix&amp;TEXT(ROW()-4,"0000"))</f>
        <v>0</v>
      </c>
      <c r="Q277" s="13">
        <f>IF(C277="","",IFERROR(INDEX(Products!$B$5:$B$304,MATCH(C277,Products!$A$5:$A$304,0)),"Bundle or deleted"))</f>
        <v>0</v>
      </c>
      <c r="R277" s="13">
        <f>IF(B277="","",TEXT(B277,"yyyy-mm"))</f>
        <v>0</v>
      </c>
      <c r="S277" s="20">
        <f>IF(C277="","",IFERROR(INDEX(Products!$AR$5:$AR$304,MATCH(C277,Products!$A$5:$A$304,0)),""))</f>
        <v>0</v>
      </c>
      <c r="T277" s="20">
        <f>IF(B277="","",IF(F277&lt;&gt;"",F277,IF(S277="",0,S277)))</f>
        <v>0</v>
      </c>
      <c r="U277" s="20">
        <f>IF(B277="","",ROUND(IF(D277="",0,D277)*T277,2))</f>
        <v>0</v>
      </c>
      <c r="V277" s="20">
        <f>IF(B277="","",ROUND(U277-IF(G277="",0,G277)-IF(L277="",0,L277),2))</f>
        <v>0</v>
      </c>
      <c r="W277" s="20">
        <f>IF(C277="","",IFERROR(INDEX(Products!$AT$5:$AT$304,MATCH(C277,Products!$A$5:$A$304,0)),""))</f>
        <v>0</v>
      </c>
      <c r="X277" s="20">
        <f>IF(C277="","",IFERROR(INDEX(Products!$AG$5:$AG$304,MATCH(C277,Products!$A$5:$A$304,0)),""))</f>
        <v>0</v>
      </c>
      <c r="Y277" s="20">
        <f>IF(B277="","",ROUND(IF(D277="",0,D277)*MAX(0,IF(W277="",0,W277)-IF(X277="",0,X277)),2))</f>
        <v>0</v>
      </c>
      <c r="Z277" s="20">
        <f>IF(B277="","",ROUND(MAX(0,IF(J277="",0,J277)-IF(I277="",0,I277)),2))</f>
        <v>0</v>
      </c>
      <c r="AA277" s="33">
        <f>IF(B277="","",IFERROR(INDEX(Channels!$S$5:$S$18,MATCH(IF(E277="",DefaultChannel,E277),Channels!$A$5:$A$18,0)),0))</f>
        <v>0</v>
      </c>
      <c r="AB277" s="20">
        <f>IF(B277="","",IFERROR(INDEX(Channels!$T$5:$T$18,MATCH(IF(E277="",DefaultChannel,E277),Channels!$A$5:$A$18,0)),0))</f>
        <v>0</v>
      </c>
      <c r="AC277" s="42">
        <f>IF(B277="","",IFERROR(INDEX(Channels!$O$5:$O$18,MATCH(IF(E277="",DefaultChannel,E277),Channels!$A$5:$A$18,0)),"No"))</f>
        <v>0</v>
      </c>
      <c r="AD277" s="20">
        <f>IF(B277="","",ROUND((V277+IF(AC277="Yes",IF(I277="",0,I277),0))*AA277+AB277,2))</f>
        <v>0</v>
      </c>
      <c r="AE277" s="20">
        <f>IF(B277="","",IF(K277&lt;&gt;"",K277,AD277))</f>
        <v>0</v>
      </c>
      <c r="AF277" s="20">
        <f>IF(B277="","",IF(K277="","",ROUND(K277-AD277,2)))</f>
        <v>0</v>
      </c>
      <c r="AG277" s="20">
        <f>IF(B277="","",ROUND(V277-Y277-AE277-Z277,2))</f>
        <v>0</v>
      </c>
      <c r="AH277" s="33">
        <f>IF(B277="","",IF(OR(V277="",V277=0),"",AG277/V277))</f>
        <v>0</v>
      </c>
      <c r="AI277" s="33">
        <f>IF(C277="","",IFERROR(INDEX(Products!$AW$5:$AW$304,MATCH(C277,Products!$A$5:$A$304,0)),""))</f>
        <v>0</v>
      </c>
      <c r="AJ277" s="33">
        <f>IF(B277="","",IF(OR(AH277="",AI277=""),"",AH277-AI277))</f>
        <v>0</v>
      </c>
      <c r="AK277" s="41">
        <f>IF(B277="","",IFERROR(ROUND(IF(D277="",0,D277)*INDEX(Products!$X$5:$X$304,MATCH(C277,Products!$A$5:$A$304,0))/60,2),""))</f>
        <v>0</v>
      </c>
      <c r="AL277" s="20">
        <f>IF(B277="","",IF(OR(AK277="",AK277=0),"",ROUND(AG277/AK277,2)))</f>
        <v>0</v>
      </c>
      <c r="AM277" s="43">
        <f>IF(B277="","",IF(C277="","Add - which product?",IF(AG277&lt;0,"Loss - this order cost you money",IF(M277="Refunded","Refunded - check why",IF(AND(AF277&lt;&gt;"",AF277&gt;0.25),"Check - fees higher than your settings",IF(Z277&gt;1,"Check - postage is eating the margin",IF(AND(AH277&lt;&gt;"",AH277&lt;MarginWarning),"Low margin on this order","OK")))))) )</f>
        <v>0</v>
      </c>
    </row>
    <row r="278" spans="1:39">
      <c r="A278" s="38">
        <f>IF(B278="","",SalePrefix&amp;TEXT(ROW()-4,"0000"))</f>
        <v>0</v>
      </c>
      <c r="Q278" s="13">
        <f>IF(C278="","",IFERROR(INDEX(Products!$B$5:$B$304,MATCH(C278,Products!$A$5:$A$304,0)),"Bundle or deleted"))</f>
        <v>0</v>
      </c>
      <c r="R278" s="13">
        <f>IF(B278="","",TEXT(B278,"yyyy-mm"))</f>
        <v>0</v>
      </c>
      <c r="S278" s="20">
        <f>IF(C278="","",IFERROR(INDEX(Products!$AR$5:$AR$304,MATCH(C278,Products!$A$5:$A$304,0)),""))</f>
        <v>0</v>
      </c>
      <c r="T278" s="20">
        <f>IF(B278="","",IF(F278&lt;&gt;"",F278,IF(S278="",0,S278)))</f>
        <v>0</v>
      </c>
      <c r="U278" s="20">
        <f>IF(B278="","",ROUND(IF(D278="",0,D278)*T278,2))</f>
        <v>0</v>
      </c>
      <c r="V278" s="20">
        <f>IF(B278="","",ROUND(U278-IF(G278="",0,G278)-IF(L278="",0,L278),2))</f>
        <v>0</v>
      </c>
      <c r="W278" s="20">
        <f>IF(C278="","",IFERROR(INDEX(Products!$AT$5:$AT$304,MATCH(C278,Products!$A$5:$A$304,0)),""))</f>
        <v>0</v>
      </c>
      <c r="X278" s="20">
        <f>IF(C278="","",IFERROR(INDEX(Products!$AG$5:$AG$304,MATCH(C278,Products!$A$5:$A$304,0)),""))</f>
        <v>0</v>
      </c>
      <c r="Y278" s="20">
        <f>IF(B278="","",ROUND(IF(D278="",0,D278)*MAX(0,IF(W278="",0,W278)-IF(X278="",0,X278)),2))</f>
        <v>0</v>
      </c>
      <c r="Z278" s="20">
        <f>IF(B278="","",ROUND(MAX(0,IF(J278="",0,J278)-IF(I278="",0,I278)),2))</f>
        <v>0</v>
      </c>
      <c r="AA278" s="33">
        <f>IF(B278="","",IFERROR(INDEX(Channels!$S$5:$S$18,MATCH(IF(E278="",DefaultChannel,E278),Channels!$A$5:$A$18,0)),0))</f>
        <v>0</v>
      </c>
      <c r="AB278" s="20">
        <f>IF(B278="","",IFERROR(INDEX(Channels!$T$5:$T$18,MATCH(IF(E278="",DefaultChannel,E278),Channels!$A$5:$A$18,0)),0))</f>
        <v>0</v>
      </c>
      <c r="AC278" s="42">
        <f>IF(B278="","",IFERROR(INDEX(Channels!$O$5:$O$18,MATCH(IF(E278="",DefaultChannel,E278),Channels!$A$5:$A$18,0)),"No"))</f>
        <v>0</v>
      </c>
      <c r="AD278" s="20">
        <f>IF(B278="","",ROUND((V278+IF(AC278="Yes",IF(I278="",0,I278),0))*AA278+AB278,2))</f>
        <v>0</v>
      </c>
      <c r="AE278" s="20">
        <f>IF(B278="","",IF(K278&lt;&gt;"",K278,AD278))</f>
        <v>0</v>
      </c>
      <c r="AF278" s="20">
        <f>IF(B278="","",IF(K278="","",ROUND(K278-AD278,2)))</f>
        <v>0</v>
      </c>
      <c r="AG278" s="20">
        <f>IF(B278="","",ROUND(V278-Y278-AE278-Z278,2))</f>
        <v>0</v>
      </c>
      <c r="AH278" s="33">
        <f>IF(B278="","",IF(OR(V278="",V278=0),"",AG278/V278))</f>
        <v>0</v>
      </c>
      <c r="AI278" s="33">
        <f>IF(C278="","",IFERROR(INDEX(Products!$AW$5:$AW$304,MATCH(C278,Products!$A$5:$A$304,0)),""))</f>
        <v>0</v>
      </c>
      <c r="AJ278" s="33">
        <f>IF(B278="","",IF(OR(AH278="",AI278=""),"",AH278-AI278))</f>
        <v>0</v>
      </c>
      <c r="AK278" s="41">
        <f>IF(B278="","",IFERROR(ROUND(IF(D278="",0,D278)*INDEX(Products!$X$5:$X$304,MATCH(C278,Products!$A$5:$A$304,0))/60,2),""))</f>
        <v>0</v>
      </c>
      <c r="AL278" s="20">
        <f>IF(B278="","",IF(OR(AK278="",AK278=0),"",ROUND(AG278/AK278,2)))</f>
        <v>0</v>
      </c>
      <c r="AM278" s="43">
        <f>IF(B278="","",IF(C278="","Add - which product?",IF(AG278&lt;0,"Loss - this order cost you money",IF(M278="Refunded","Refunded - check why",IF(AND(AF278&lt;&gt;"",AF278&gt;0.25),"Check - fees higher than your settings",IF(Z278&gt;1,"Check - postage is eating the margin",IF(AND(AH278&lt;&gt;"",AH278&lt;MarginWarning),"Low margin on this order","OK")))))) )</f>
        <v>0</v>
      </c>
    </row>
    <row r="279" spans="1:39">
      <c r="A279" s="38">
        <f>IF(B279="","",SalePrefix&amp;TEXT(ROW()-4,"0000"))</f>
        <v>0</v>
      </c>
      <c r="Q279" s="13">
        <f>IF(C279="","",IFERROR(INDEX(Products!$B$5:$B$304,MATCH(C279,Products!$A$5:$A$304,0)),"Bundle or deleted"))</f>
        <v>0</v>
      </c>
      <c r="R279" s="13">
        <f>IF(B279="","",TEXT(B279,"yyyy-mm"))</f>
        <v>0</v>
      </c>
      <c r="S279" s="20">
        <f>IF(C279="","",IFERROR(INDEX(Products!$AR$5:$AR$304,MATCH(C279,Products!$A$5:$A$304,0)),""))</f>
        <v>0</v>
      </c>
      <c r="T279" s="20">
        <f>IF(B279="","",IF(F279&lt;&gt;"",F279,IF(S279="",0,S279)))</f>
        <v>0</v>
      </c>
      <c r="U279" s="20">
        <f>IF(B279="","",ROUND(IF(D279="",0,D279)*T279,2))</f>
        <v>0</v>
      </c>
      <c r="V279" s="20">
        <f>IF(B279="","",ROUND(U279-IF(G279="",0,G279)-IF(L279="",0,L279),2))</f>
        <v>0</v>
      </c>
      <c r="W279" s="20">
        <f>IF(C279="","",IFERROR(INDEX(Products!$AT$5:$AT$304,MATCH(C279,Products!$A$5:$A$304,0)),""))</f>
        <v>0</v>
      </c>
      <c r="X279" s="20">
        <f>IF(C279="","",IFERROR(INDEX(Products!$AG$5:$AG$304,MATCH(C279,Products!$A$5:$A$304,0)),""))</f>
        <v>0</v>
      </c>
      <c r="Y279" s="20">
        <f>IF(B279="","",ROUND(IF(D279="",0,D279)*MAX(0,IF(W279="",0,W279)-IF(X279="",0,X279)),2))</f>
        <v>0</v>
      </c>
      <c r="Z279" s="20">
        <f>IF(B279="","",ROUND(MAX(0,IF(J279="",0,J279)-IF(I279="",0,I279)),2))</f>
        <v>0</v>
      </c>
      <c r="AA279" s="33">
        <f>IF(B279="","",IFERROR(INDEX(Channels!$S$5:$S$18,MATCH(IF(E279="",DefaultChannel,E279),Channels!$A$5:$A$18,0)),0))</f>
        <v>0</v>
      </c>
      <c r="AB279" s="20">
        <f>IF(B279="","",IFERROR(INDEX(Channels!$T$5:$T$18,MATCH(IF(E279="",DefaultChannel,E279),Channels!$A$5:$A$18,0)),0))</f>
        <v>0</v>
      </c>
      <c r="AC279" s="42">
        <f>IF(B279="","",IFERROR(INDEX(Channels!$O$5:$O$18,MATCH(IF(E279="",DefaultChannel,E279),Channels!$A$5:$A$18,0)),"No"))</f>
        <v>0</v>
      </c>
      <c r="AD279" s="20">
        <f>IF(B279="","",ROUND((V279+IF(AC279="Yes",IF(I279="",0,I279),0))*AA279+AB279,2))</f>
        <v>0</v>
      </c>
      <c r="AE279" s="20">
        <f>IF(B279="","",IF(K279&lt;&gt;"",K279,AD279))</f>
        <v>0</v>
      </c>
      <c r="AF279" s="20">
        <f>IF(B279="","",IF(K279="","",ROUND(K279-AD279,2)))</f>
        <v>0</v>
      </c>
      <c r="AG279" s="20">
        <f>IF(B279="","",ROUND(V279-Y279-AE279-Z279,2))</f>
        <v>0</v>
      </c>
      <c r="AH279" s="33">
        <f>IF(B279="","",IF(OR(V279="",V279=0),"",AG279/V279))</f>
        <v>0</v>
      </c>
      <c r="AI279" s="33">
        <f>IF(C279="","",IFERROR(INDEX(Products!$AW$5:$AW$304,MATCH(C279,Products!$A$5:$A$304,0)),""))</f>
        <v>0</v>
      </c>
      <c r="AJ279" s="33">
        <f>IF(B279="","",IF(OR(AH279="",AI279=""),"",AH279-AI279))</f>
        <v>0</v>
      </c>
      <c r="AK279" s="41">
        <f>IF(B279="","",IFERROR(ROUND(IF(D279="",0,D279)*INDEX(Products!$X$5:$X$304,MATCH(C279,Products!$A$5:$A$304,0))/60,2),""))</f>
        <v>0</v>
      </c>
      <c r="AL279" s="20">
        <f>IF(B279="","",IF(OR(AK279="",AK279=0),"",ROUND(AG279/AK279,2)))</f>
        <v>0</v>
      </c>
      <c r="AM279" s="43">
        <f>IF(B279="","",IF(C279="","Add - which product?",IF(AG279&lt;0,"Loss - this order cost you money",IF(M279="Refunded","Refunded - check why",IF(AND(AF279&lt;&gt;"",AF279&gt;0.25),"Check - fees higher than your settings",IF(Z279&gt;1,"Check - postage is eating the margin",IF(AND(AH279&lt;&gt;"",AH279&lt;MarginWarning),"Low margin on this order","OK")))))) )</f>
        <v>0</v>
      </c>
    </row>
    <row r="280" spans="1:39">
      <c r="A280" s="38">
        <f>IF(B280="","",SalePrefix&amp;TEXT(ROW()-4,"0000"))</f>
        <v>0</v>
      </c>
      <c r="Q280" s="13">
        <f>IF(C280="","",IFERROR(INDEX(Products!$B$5:$B$304,MATCH(C280,Products!$A$5:$A$304,0)),"Bundle or deleted"))</f>
        <v>0</v>
      </c>
      <c r="R280" s="13">
        <f>IF(B280="","",TEXT(B280,"yyyy-mm"))</f>
        <v>0</v>
      </c>
      <c r="S280" s="20">
        <f>IF(C280="","",IFERROR(INDEX(Products!$AR$5:$AR$304,MATCH(C280,Products!$A$5:$A$304,0)),""))</f>
        <v>0</v>
      </c>
      <c r="T280" s="20">
        <f>IF(B280="","",IF(F280&lt;&gt;"",F280,IF(S280="",0,S280)))</f>
        <v>0</v>
      </c>
      <c r="U280" s="20">
        <f>IF(B280="","",ROUND(IF(D280="",0,D280)*T280,2))</f>
        <v>0</v>
      </c>
      <c r="V280" s="20">
        <f>IF(B280="","",ROUND(U280-IF(G280="",0,G280)-IF(L280="",0,L280),2))</f>
        <v>0</v>
      </c>
      <c r="W280" s="20">
        <f>IF(C280="","",IFERROR(INDEX(Products!$AT$5:$AT$304,MATCH(C280,Products!$A$5:$A$304,0)),""))</f>
        <v>0</v>
      </c>
      <c r="X280" s="20">
        <f>IF(C280="","",IFERROR(INDEX(Products!$AG$5:$AG$304,MATCH(C280,Products!$A$5:$A$304,0)),""))</f>
        <v>0</v>
      </c>
      <c r="Y280" s="20">
        <f>IF(B280="","",ROUND(IF(D280="",0,D280)*MAX(0,IF(W280="",0,W280)-IF(X280="",0,X280)),2))</f>
        <v>0</v>
      </c>
      <c r="Z280" s="20">
        <f>IF(B280="","",ROUND(MAX(0,IF(J280="",0,J280)-IF(I280="",0,I280)),2))</f>
        <v>0</v>
      </c>
      <c r="AA280" s="33">
        <f>IF(B280="","",IFERROR(INDEX(Channels!$S$5:$S$18,MATCH(IF(E280="",DefaultChannel,E280),Channels!$A$5:$A$18,0)),0))</f>
        <v>0</v>
      </c>
      <c r="AB280" s="20">
        <f>IF(B280="","",IFERROR(INDEX(Channels!$T$5:$T$18,MATCH(IF(E280="",DefaultChannel,E280),Channels!$A$5:$A$18,0)),0))</f>
        <v>0</v>
      </c>
      <c r="AC280" s="42">
        <f>IF(B280="","",IFERROR(INDEX(Channels!$O$5:$O$18,MATCH(IF(E280="",DefaultChannel,E280),Channels!$A$5:$A$18,0)),"No"))</f>
        <v>0</v>
      </c>
      <c r="AD280" s="20">
        <f>IF(B280="","",ROUND((V280+IF(AC280="Yes",IF(I280="",0,I280),0))*AA280+AB280,2))</f>
        <v>0</v>
      </c>
      <c r="AE280" s="20">
        <f>IF(B280="","",IF(K280&lt;&gt;"",K280,AD280))</f>
        <v>0</v>
      </c>
      <c r="AF280" s="20">
        <f>IF(B280="","",IF(K280="","",ROUND(K280-AD280,2)))</f>
        <v>0</v>
      </c>
      <c r="AG280" s="20">
        <f>IF(B280="","",ROUND(V280-Y280-AE280-Z280,2))</f>
        <v>0</v>
      </c>
      <c r="AH280" s="33">
        <f>IF(B280="","",IF(OR(V280="",V280=0),"",AG280/V280))</f>
        <v>0</v>
      </c>
      <c r="AI280" s="33">
        <f>IF(C280="","",IFERROR(INDEX(Products!$AW$5:$AW$304,MATCH(C280,Products!$A$5:$A$304,0)),""))</f>
        <v>0</v>
      </c>
      <c r="AJ280" s="33">
        <f>IF(B280="","",IF(OR(AH280="",AI280=""),"",AH280-AI280))</f>
        <v>0</v>
      </c>
      <c r="AK280" s="41">
        <f>IF(B280="","",IFERROR(ROUND(IF(D280="",0,D280)*INDEX(Products!$X$5:$X$304,MATCH(C280,Products!$A$5:$A$304,0))/60,2),""))</f>
        <v>0</v>
      </c>
      <c r="AL280" s="20">
        <f>IF(B280="","",IF(OR(AK280="",AK280=0),"",ROUND(AG280/AK280,2)))</f>
        <v>0</v>
      </c>
      <c r="AM280" s="43">
        <f>IF(B280="","",IF(C280="","Add - which product?",IF(AG280&lt;0,"Loss - this order cost you money",IF(M280="Refunded","Refunded - check why",IF(AND(AF280&lt;&gt;"",AF280&gt;0.25),"Check - fees higher than your settings",IF(Z280&gt;1,"Check - postage is eating the margin",IF(AND(AH280&lt;&gt;"",AH280&lt;MarginWarning),"Low margin on this order","OK")))))) )</f>
        <v>0</v>
      </c>
    </row>
    <row r="281" spans="1:39">
      <c r="A281" s="38">
        <f>IF(B281="","",SalePrefix&amp;TEXT(ROW()-4,"0000"))</f>
        <v>0</v>
      </c>
      <c r="Q281" s="13">
        <f>IF(C281="","",IFERROR(INDEX(Products!$B$5:$B$304,MATCH(C281,Products!$A$5:$A$304,0)),"Bundle or deleted"))</f>
        <v>0</v>
      </c>
      <c r="R281" s="13">
        <f>IF(B281="","",TEXT(B281,"yyyy-mm"))</f>
        <v>0</v>
      </c>
      <c r="S281" s="20">
        <f>IF(C281="","",IFERROR(INDEX(Products!$AR$5:$AR$304,MATCH(C281,Products!$A$5:$A$304,0)),""))</f>
        <v>0</v>
      </c>
      <c r="T281" s="20">
        <f>IF(B281="","",IF(F281&lt;&gt;"",F281,IF(S281="",0,S281)))</f>
        <v>0</v>
      </c>
      <c r="U281" s="20">
        <f>IF(B281="","",ROUND(IF(D281="",0,D281)*T281,2))</f>
        <v>0</v>
      </c>
      <c r="V281" s="20">
        <f>IF(B281="","",ROUND(U281-IF(G281="",0,G281)-IF(L281="",0,L281),2))</f>
        <v>0</v>
      </c>
      <c r="W281" s="20">
        <f>IF(C281="","",IFERROR(INDEX(Products!$AT$5:$AT$304,MATCH(C281,Products!$A$5:$A$304,0)),""))</f>
        <v>0</v>
      </c>
      <c r="X281" s="20">
        <f>IF(C281="","",IFERROR(INDEX(Products!$AG$5:$AG$304,MATCH(C281,Products!$A$5:$A$304,0)),""))</f>
        <v>0</v>
      </c>
      <c r="Y281" s="20">
        <f>IF(B281="","",ROUND(IF(D281="",0,D281)*MAX(0,IF(W281="",0,W281)-IF(X281="",0,X281)),2))</f>
        <v>0</v>
      </c>
      <c r="Z281" s="20">
        <f>IF(B281="","",ROUND(MAX(0,IF(J281="",0,J281)-IF(I281="",0,I281)),2))</f>
        <v>0</v>
      </c>
      <c r="AA281" s="33">
        <f>IF(B281="","",IFERROR(INDEX(Channels!$S$5:$S$18,MATCH(IF(E281="",DefaultChannel,E281),Channels!$A$5:$A$18,0)),0))</f>
        <v>0</v>
      </c>
      <c r="AB281" s="20">
        <f>IF(B281="","",IFERROR(INDEX(Channels!$T$5:$T$18,MATCH(IF(E281="",DefaultChannel,E281),Channels!$A$5:$A$18,0)),0))</f>
        <v>0</v>
      </c>
      <c r="AC281" s="42">
        <f>IF(B281="","",IFERROR(INDEX(Channels!$O$5:$O$18,MATCH(IF(E281="",DefaultChannel,E281),Channels!$A$5:$A$18,0)),"No"))</f>
        <v>0</v>
      </c>
      <c r="AD281" s="20">
        <f>IF(B281="","",ROUND((V281+IF(AC281="Yes",IF(I281="",0,I281),0))*AA281+AB281,2))</f>
        <v>0</v>
      </c>
      <c r="AE281" s="20">
        <f>IF(B281="","",IF(K281&lt;&gt;"",K281,AD281))</f>
        <v>0</v>
      </c>
      <c r="AF281" s="20">
        <f>IF(B281="","",IF(K281="","",ROUND(K281-AD281,2)))</f>
        <v>0</v>
      </c>
      <c r="AG281" s="20">
        <f>IF(B281="","",ROUND(V281-Y281-AE281-Z281,2))</f>
        <v>0</v>
      </c>
      <c r="AH281" s="33">
        <f>IF(B281="","",IF(OR(V281="",V281=0),"",AG281/V281))</f>
        <v>0</v>
      </c>
      <c r="AI281" s="33">
        <f>IF(C281="","",IFERROR(INDEX(Products!$AW$5:$AW$304,MATCH(C281,Products!$A$5:$A$304,0)),""))</f>
        <v>0</v>
      </c>
      <c r="AJ281" s="33">
        <f>IF(B281="","",IF(OR(AH281="",AI281=""),"",AH281-AI281))</f>
        <v>0</v>
      </c>
      <c r="AK281" s="41">
        <f>IF(B281="","",IFERROR(ROUND(IF(D281="",0,D281)*INDEX(Products!$X$5:$X$304,MATCH(C281,Products!$A$5:$A$304,0))/60,2),""))</f>
        <v>0</v>
      </c>
      <c r="AL281" s="20">
        <f>IF(B281="","",IF(OR(AK281="",AK281=0),"",ROUND(AG281/AK281,2)))</f>
        <v>0</v>
      </c>
      <c r="AM281" s="43">
        <f>IF(B281="","",IF(C281="","Add - which product?",IF(AG281&lt;0,"Loss - this order cost you money",IF(M281="Refunded","Refunded - check why",IF(AND(AF281&lt;&gt;"",AF281&gt;0.25),"Check - fees higher than your settings",IF(Z281&gt;1,"Check - postage is eating the margin",IF(AND(AH281&lt;&gt;"",AH281&lt;MarginWarning),"Low margin on this order","OK")))))) )</f>
        <v>0</v>
      </c>
    </row>
    <row r="282" spans="1:39">
      <c r="A282" s="38">
        <f>IF(B282="","",SalePrefix&amp;TEXT(ROW()-4,"0000"))</f>
        <v>0</v>
      </c>
      <c r="Q282" s="13">
        <f>IF(C282="","",IFERROR(INDEX(Products!$B$5:$B$304,MATCH(C282,Products!$A$5:$A$304,0)),"Bundle or deleted"))</f>
        <v>0</v>
      </c>
      <c r="R282" s="13">
        <f>IF(B282="","",TEXT(B282,"yyyy-mm"))</f>
        <v>0</v>
      </c>
      <c r="S282" s="20">
        <f>IF(C282="","",IFERROR(INDEX(Products!$AR$5:$AR$304,MATCH(C282,Products!$A$5:$A$304,0)),""))</f>
        <v>0</v>
      </c>
      <c r="T282" s="20">
        <f>IF(B282="","",IF(F282&lt;&gt;"",F282,IF(S282="",0,S282)))</f>
        <v>0</v>
      </c>
      <c r="U282" s="20">
        <f>IF(B282="","",ROUND(IF(D282="",0,D282)*T282,2))</f>
        <v>0</v>
      </c>
      <c r="V282" s="20">
        <f>IF(B282="","",ROUND(U282-IF(G282="",0,G282)-IF(L282="",0,L282),2))</f>
        <v>0</v>
      </c>
      <c r="W282" s="20">
        <f>IF(C282="","",IFERROR(INDEX(Products!$AT$5:$AT$304,MATCH(C282,Products!$A$5:$A$304,0)),""))</f>
        <v>0</v>
      </c>
      <c r="X282" s="20">
        <f>IF(C282="","",IFERROR(INDEX(Products!$AG$5:$AG$304,MATCH(C282,Products!$A$5:$A$304,0)),""))</f>
        <v>0</v>
      </c>
      <c r="Y282" s="20">
        <f>IF(B282="","",ROUND(IF(D282="",0,D282)*MAX(0,IF(W282="",0,W282)-IF(X282="",0,X282)),2))</f>
        <v>0</v>
      </c>
      <c r="Z282" s="20">
        <f>IF(B282="","",ROUND(MAX(0,IF(J282="",0,J282)-IF(I282="",0,I282)),2))</f>
        <v>0</v>
      </c>
      <c r="AA282" s="33">
        <f>IF(B282="","",IFERROR(INDEX(Channels!$S$5:$S$18,MATCH(IF(E282="",DefaultChannel,E282),Channels!$A$5:$A$18,0)),0))</f>
        <v>0</v>
      </c>
      <c r="AB282" s="20">
        <f>IF(B282="","",IFERROR(INDEX(Channels!$T$5:$T$18,MATCH(IF(E282="",DefaultChannel,E282),Channels!$A$5:$A$18,0)),0))</f>
        <v>0</v>
      </c>
      <c r="AC282" s="42">
        <f>IF(B282="","",IFERROR(INDEX(Channels!$O$5:$O$18,MATCH(IF(E282="",DefaultChannel,E282),Channels!$A$5:$A$18,0)),"No"))</f>
        <v>0</v>
      </c>
      <c r="AD282" s="20">
        <f>IF(B282="","",ROUND((V282+IF(AC282="Yes",IF(I282="",0,I282),0))*AA282+AB282,2))</f>
        <v>0</v>
      </c>
      <c r="AE282" s="20">
        <f>IF(B282="","",IF(K282&lt;&gt;"",K282,AD282))</f>
        <v>0</v>
      </c>
      <c r="AF282" s="20">
        <f>IF(B282="","",IF(K282="","",ROUND(K282-AD282,2)))</f>
        <v>0</v>
      </c>
      <c r="AG282" s="20">
        <f>IF(B282="","",ROUND(V282-Y282-AE282-Z282,2))</f>
        <v>0</v>
      </c>
      <c r="AH282" s="33">
        <f>IF(B282="","",IF(OR(V282="",V282=0),"",AG282/V282))</f>
        <v>0</v>
      </c>
      <c r="AI282" s="33">
        <f>IF(C282="","",IFERROR(INDEX(Products!$AW$5:$AW$304,MATCH(C282,Products!$A$5:$A$304,0)),""))</f>
        <v>0</v>
      </c>
      <c r="AJ282" s="33">
        <f>IF(B282="","",IF(OR(AH282="",AI282=""),"",AH282-AI282))</f>
        <v>0</v>
      </c>
      <c r="AK282" s="41">
        <f>IF(B282="","",IFERROR(ROUND(IF(D282="",0,D282)*INDEX(Products!$X$5:$X$304,MATCH(C282,Products!$A$5:$A$304,0))/60,2),""))</f>
        <v>0</v>
      </c>
      <c r="AL282" s="20">
        <f>IF(B282="","",IF(OR(AK282="",AK282=0),"",ROUND(AG282/AK282,2)))</f>
        <v>0</v>
      </c>
      <c r="AM282" s="43">
        <f>IF(B282="","",IF(C282="","Add - which product?",IF(AG282&lt;0,"Loss - this order cost you money",IF(M282="Refunded","Refunded - check why",IF(AND(AF282&lt;&gt;"",AF282&gt;0.25),"Check - fees higher than your settings",IF(Z282&gt;1,"Check - postage is eating the margin",IF(AND(AH282&lt;&gt;"",AH282&lt;MarginWarning),"Low margin on this order","OK")))))) )</f>
        <v>0</v>
      </c>
    </row>
    <row r="283" spans="1:39">
      <c r="A283" s="38">
        <f>IF(B283="","",SalePrefix&amp;TEXT(ROW()-4,"0000"))</f>
        <v>0</v>
      </c>
      <c r="Q283" s="13">
        <f>IF(C283="","",IFERROR(INDEX(Products!$B$5:$B$304,MATCH(C283,Products!$A$5:$A$304,0)),"Bundle or deleted"))</f>
        <v>0</v>
      </c>
      <c r="R283" s="13">
        <f>IF(B283="","",TEXT(B283,"yyyy-mm"))</f>
        <v>0</v>
      </c>
      <c r="S283" s="20">
        <f>IF(C283="","",IFERROR(INDEX(Products!$AR$5:$AR$304,MATCH(C283,Products!$A$5:$A$304,0)),""))</f>
        <v>0</v>
      </c>
      <c r="T283" s="20">
        <f>IF(B283="","",IF(F283&lt;&gt;"",F283,IF(S283="",0,S283)))</f>
        <v>0</v>
      </c>
      <c r="U283" s="20">
        <f>IF(B283="","",ROUND(IF(D283="",0,D283)*T283,2))</f>
        <v>0</v>
      </c>
      <c r="V283" s="20">
        <f>IF(B283="","",ROUND(U283-IF(G283="",0,G283)-IF(L283="",0,L283),2))</f>
        <v>0</v>
      </c>
      <c r="W283" s="20">
        <f>IF(C283="","",IFERROR(INDEX(Products!$AT$5:$AT$304,MATCH(C283,Products!$A$5:$A$304,0)),""))</f>
        <v>0</v>
      </c>
      <c r="X283" s="20">
        <f>IF(C283="","",IFERROR(INDEX(Products!$AG$5:$AG$304,MATCH(C283,Products!$A$5:$A$304,0)),""))</f>
        <v>0</v>
      </c>
      <c r="Y283" s="20">
        <f>IF(B283="","",ROUND(IF(D283="",0,D283)*MAX(0,IF(W283="",0,W283)-IF(X283="",0,X283)),2))</f>
        <v>0</v>
      </c>
      <c r="Z283" s="20">
        <f>IF(B283="","",ROUND(MAX(0,IF(J283="",0,J283)-IF(I283="",0,I283)),2))</f>
        <v>0</v>
      </c>
      <c r="AA283" s="33">
        <f>IF(B283="","",IFERROR(INDEX(Channels!$S$5:$S$18,MATCH(IF(E283="",DefaultChannel,E283),Channels!$A$5:$A$18,0)),0))</f>
        <v>0</v>
      </c>
      <c r="AB283" s="20">
        <f>IF(B283="","",IFERROR(INDEX(Channels!$T$5:$T$18,MATCH(IF(E283="",DefaultChannel,E283),Channels!$A$5:$A$18,0)),0))</f>
        <v>0</v>
      </c>
      <c r="AC283" s="42">
        <f>IF(B283="","",IFERROR(INDEX(Channels!$O$5:$O$18,MATCH(IF(E283="",DefaultChannel,E283),Channels!$A$5:$A$18,0)),"No"))</f>
        <v>0</v>
      </c>
      <c r="AD283" s="20">
        <f>IF(B283="","",ROUND((V283+IF(AC283="Yes",IF(I283="",0,I283),0))*AA283+AB283,2))</f>
        <v>0</v>
      </c>
      <c r="AE283" s="20">
        <f>IF(B283="","",IF(K283&lt;&gt;"",K283,AD283))</f>
        <v>0</v>
      </c>
      <c r="AF283" s="20">
        <f>IF(B283="","",IF(K283="","",ROUND(K283-AD283,2)))</f>
        <v>0</v>
      </c>
      <c r="AG283" s="20">
        <f>IF(B283="","",ROUND(V283-Y283-AE283-Z283,2))</f>
        <v>0</v>
      </c>
      <c r="AH283" s="33">
        <f>IF(B283="","",IF(OR(V283="",V283=0),"",AG283/V283))</f>
        <v>0</v>
      </c>
      <c r="AI283" s="33">
        <f>IF(C283="","",IFERROR(INDEX(Products!$AW$5:$AW$304,MATCH(C283,Products!$A$5:$A$304,0)),""))</f>
        <v>0</v>
      </c>
      <c r="AJ283" s="33">
        <f>IF(B283="","",IF(OR(AH283="",AI283=""),"",AH283-AI283))</f>
        <v>0</v>
      </c>
      <c r="AK283" s="41">
        <f>IF(B283="","",IFERROR(ROUND(IF(D283="",0,D283)*INDEX(Products!$X$5:$X$304,MATCH(C283,Products!$A$5:$A$304,0))/60,2),""))</f>
        <v>0</v>
      </c>
      <c r="AL283" s="20">
        <f>IF(B283="","",IF(OR(AK283="",AK283=0),"",ROUND(AG283/AK283,2)))</f>
        <v>0</v>
      </c>
      <c r="AM283" s="43">
        <f>IF(B283="","",IF(C283="","Add - which product?",IF(AG283&lt;0,"Loss - this order cost you money",IF(M283="Refunded","Refunded - check why",IF(AND(AF283&lt;&gt;"",AF283&gt;0.25),"Check - fees higher than your settings",IF(Z283&gt;1,"Check - postage is eating the margin",IF(AND(AH283&lt;&gt;"",AH283&lt;MarginWarning),"Low margin on this order","OK")))))) )</f>
        <v>0</v>
      </c>
    </row>
    <row r="284" spans="1:39">
      <c r="A284" s="38">
        <f>IF(B284="","",SalePrefix&amp;TEXT(ROW()-4,"0000"))</f>
        <v>0</v>
      </c>
      <c r="Q284" s="13">
        <f>IF(C284="","",IFERROR(INDEX(Products!$B$5:$B$304,MATCH(C284,Products!$A$5:$A$304,0)),"Bundle or deleted"))</f>
        <v>0</v>
      </c>
      <c r="R284" s="13">
        <f>IF(B284="","",TEXT(B284,"yyyy-mm"))</f>
        <v>0</v>
      </c>
      <c r="S284" s="20">
        <f>IF(C284="","",IFERROR(INDEX(Products!$AR$5:$AR$304,MATCH(C284,Products!$A$5:$A$304,0)),""))</f>
        <v>0</v>
      </c>
      <c r="T284" s="20">
        <f>IF(B284="","",IF(F284&lt;&gt;"",F284,IF(S284="",0,S284)))</f>
        <v>0</v>
      </c>
      <c r="U284" s="20">
        <f>IF(B284="","",ROUND(IF(D284="",0,D284)*T284,2))</f>
        <v>0</v>
      </c>
      <c r="V284" s="20">
        <f>IF(B284="","",ROUND(U284-IF(G284="",0,G284)-IF(L284="",0,L284),2))</f>
        <v>0</v>
      </c>
      <c r="W284" s="20">
        <f>IF(C284="","",IFERROR(INDEX(Products!$AT$5:$AT$304,MATCH(C284,Products!$A$5:$A$304,0)),""))</f>
        <v>0</v>
      </c>
      <c r="X284" s="20">
        <f>IF(C284="","",IFERROR(INDEX(Products!$AG$5:$AG$304,MATCH(C284,Products!$A$5:$A$304,0)),""))</f>
        <v>0</v>
      </c>
      <c r="Y284" s="20">
        <f>IF(B284="","",ROUND(IF(D284="",0,D284)*MAX(0,IF(W284="",0,W284)-IF(X284="",0,X284)),2))</f>
        <v>0</v>
      </c>
      <c r="Z284" s="20">
        <f>IF(B284="","",ROUND(MAX(0,IF(J284="",0,J284)-IF(I284="",0,I284)),2))</f>
        <v>0</v>
      </c>
      <c r="AA284" s="33">
        <f>IF(B284="","",IFERROR(INDEX(Channels!$S$5:$S$18,MATCH(IF(E284="",DefaultChannel,E284),Channels!$A$5:$A$18,0)),0))</f>
        <v>0</v>
      </c>
      <c r="AB284" s="20">
        <f>IF(B284="","",IFERROR(INDEX(Channels!$T$5:$T$18,MATCH(IF(E284="",DefaultChannel,E284),Channels!$A$5:$A$18,0)),0))</f>
        <v>0</v>
      </c>
      <c r="AC284" s="42">
        <f>IF(B284="","",IFERROR(INDEX(Channels!$O$5:$O$18,MATCH(IF(E284="",DefaultChannel,E284),Channels!$A$5:$A$18,0)),"No"))</f>
        <v>0</v>
      </c>
      <c r="AD284" s="20">
        <f>IF(B284="","",ROUND((V284+IF(AC284="Yes",IF(I284="",0,I284),0))*AA284+AB284,2))</f>
        <v>0</v>
      </c>
      <c r="AE284" s="20">
        <f>IF(B284="","",IF(K284&lt;&gt;"",K284,AD284))</f>
        <v>0</v>
      </c>
      <c r="AF284" s="20">
        <f>IF(B284="","",IF(K284="","",ROUND(K284-AD284,2)))</f>
        <v>0</v>
      </c>
      <c r="AG284" s="20">
        <f>IF(B284="","",ROUND(V284-Y284-AE284-Z284,2))</f>
        <v>0</v>
      </c>
      <c r="AH284" s="33">
        <f>IF(B284="","",IF(OR(V284="",V284=0),"",AG284/V284))</f>
        <v>0</v>
      </c>
      <c r="AI284" s="33">
        <f>IF(C284="","",IFERROR(INDEX(Products!$AW$5:$AW$304,MATCH(C284,Products!$A$5:$A$304,0)),""))</f>
        <v>0</v>
      </c>
      <c r="AJ284" s="33">
        <f>IF(B284="","",IF(OR(AH284="",AI284=""),"",AH284-AI284))</f>
        <v>0</v>
      </c>
      <c r="AK284" s="41">
        <f>IF(B284="","",IFERROR(ROUND(IF(D284="",0,D284)*INDEX(Products!$X$5:$X$304,MATCH(C284,Products!$A$5:$A$304,0))/60,2),""))</f>
        <v>0</v>
      </c>
      <c r="AL284" s="20">
        <f>IF(B284="","",IF(OR(AK284="",AK284=0),"",ROUND(AG284/AK284,2)))</f>
        <v>0</v>
      </c>
      <c r="AM284" s="43">
        <f>IF(B284="","",IF(C284="","Add - which product?",IF(AG284&lt;0,"Loss - this order cost you money",IF(M284="Refunded","Refunded - check why",IF(AND(AF284&lt;&gt;"",AF284&gt;0.25),"Check - fees higher than your settings",IF(Z284&gt;1,"Check - postage is eating the margin",IF(AND(AH284&lt;&gt;"",AH284&lt;MarginWarning),"Low margin on this order","OK")))))) )</f>
        <v>0</v>
      </c>
    </row>
    <row r="285" spans="1:39">
      <c r="A285" s="38">
        <f>IF(B285="","",SalePrefix&amp;TEXT(ROW()-4,"0000"))</f>
        <v>0</v>
      </c>
      <c r="Q285" s="13">
        <f>IF(C285="","",IFERROR(INDEX(Products!$B$5:$B$304,MATCH(C285,Products!$A$5:$A$304,0)),"Bundle or deleted"))</f>
        <v>0</v>
      </c>
      <c r="R285" s="13">
        <f>IF(B285="","",TEXT(B285,"yyyy-mm"))</f>
        <v>0</v>
      </c>
      <c r="S285" s="20">
        <f>IF(C285="","",IFERROR(INDEX(Products!$AR$5:$AR$304,MATCH(C285,Products!$A$5:$A$304,0)),""))</f>
        <v>0</v>
      </c>
      <c r="T285" s="20">
        <f>IF(B285="","",IF(F285&lt;&gt;"",F285,IF(S285="",0,S285)))</f>
        <v>0</v>
      </c>
      <c r="U285" s="20">
        <f>IF(B285="","",ROUND(IF(D285="",0,D285)*T285,2))</f>
        <v>0</v>
      </c>
      <c r="V285" s="20">
        <f>IF(B285="","",ROUND(U285-IF(G285="",0,G285)-IF(L285="",0,L285),2))</f>
        <v>0</v>
      </c>
      <c r="W285" s="20">
        <f>IF(C285="","",IFERROR(INDEX(Products!$AT$5:$AT$304,MATCH(C285,Products!$A$5:$A$304,0)),""))</f>
        <v>0</v>
      </c>
      <c r="X285" s="20">
        <f>IF(C285="","",IFERROR(INDEX(Products!$AG$5:$AG$304,MATCH(C285,Products!$A$5:$A$304,0)),""))</f>
        <v>0</v>
      </c>
      <c r="Y285" s="20">
        <f>IF(B285="","",ROUND(IF(D285="",0,D285)*MAX(0,IF(W285="",0,W285)-IF(X285="",0,X285)),2))</f>
        <v>0</v>
      </c>
      <c r="Z285" s="20">
        <f>IF(B285="","",ROUND(MAX(0,IF(J285="",0,J285)-IF(I285="",0,I285)),2))</f>
        <v>0</v>
      </c>
      <c r="AA285" s="33">
        <f>IF(B285="","",IFERROR(INDEX(Channels!$S$5:$S$18,MATCH(IF(E285="",DefaultChannel,E285),Channels!$A$5:$A$18,0)),0))</f>
        <v>0</v>
      </c>
      <c r="AB285" s="20">
        <f>IF(B285="","",IFERROR(INDEX(Channels!$T$5:$T$18,MATCH(IF(E285="",DefaultChannel,E285),Channels!$A$5:$A$18,0)),0))</f>
        <v>0</v>
      </c>
      <c r="AC285" s="42">
        <f>IF(B285="","",IFERROR(INDEX(Channels!$O$5:$O$18,MATCH(IF(E285="",DefaultChannel,E285),Channels!$A$5:$A$18,0)),"No"))</f>
        <v>0</v>
      </c>
      <c r="AD285" s="20">
        <f>IF(B285="","",ROUND((V285+IF(AC285="Yes",IF(I285="",0,I285),0))*AA285+AB285,2))</f>
        <v>0</v>
      </c>
      <c r="AE285" s="20">
        <f>IF(B285="","",IF(K285&lt;&gt;"",K285,AD285))</f>
        <v>0</v>
      </c>
      <c r="AF285" s="20">
        <f>IF(B285="","",IF(K285="","",ROUND(K285-AD285,2)))</f>
        <v>0</v>
      </c>
      <c r="AG285" s="20">
        <f>IF(B285="","",ROUND(V285-Y285-AE285-Z285,2))</f>
        <v>0</v>
      </c>
      <c r="AH285" s="33">
        <f>IF(B285="","",IF(OR(V285="",V285=0),"",AG285/V285))</f>
        <v>0</v>
      </c>
      <c r="AI285" s="33">
        <f>IF(C285="","",IFERROR(INDEX(Products!$AW$5:$AW$304,MATCH(C285,Products!$A$5:$A$304,0)),""))</f>
        <v>0</v>
      </c>
      <c r="AJ285" s="33">
        <f>IF(B285="","",IF(OR(AH285="",AI285=""),"",AH285-AI285))</f>
        <v>0</v>
      </c>
      <c r="AK285" s="41">
        <f>IF(B285="","",IFERROR(ROUND(IF(D285="",0,D285)*INDEX(Products!$X$5:$X$304,MATCH(C285,Products!$A$5:$A$304,0))/60,2),""))</f>
        <v>0</v>
      </c>
      <c r="AL285" s="20">
        <f>IF(B285="","",IF(OR(AK285="",AK285=0),"",ROUND(AG285/AK285,2)))</f>
        <v>0</v>
      </c>
      <c r="AM285" s="43">
        <f>IF(B285="","",IF(C285="","Add - which product?",IF(AG285&lt;0,"Loss - this order cost you money",IF(M285="Refunded","Refunded - check why",IF(AND(AF285&lt;&gt;"",AF285&gt;0.25),"Check - fees higher than your settings",IF(Z285&gt;1,"Check - postage is eating the margin",IF(AND(AH285&lt;&gt;"",AH285&lt;MarginWarning),"Low margin on this order","OK")))))) )</f>
        <v>0</v>
      </c>
    </row>
    <row r="286" spans="1:39">
      <c r="A286" s="38">
        <f>IF(B286="","",SalePrefix&amp;TEXT(ROW()-4,"0000"))</f>
        <v>0</v>
      </c>
      <c r="Q286" s="13">
        <f>IF(C286="","",IFERROR(INDEX(Products!$B$5:$B$304,MATCH(C286,Products!$A$5:$A$304,0)),"Bundle or deleted"))</f>
        <v>0</v>
      </c>
      <c r="R286" s="13">
        <f>IF(B286="","",TEXT(B286,"yyyy-mm"))</f>
        <v>0</v>
      </c>
      <c r="S286" s="20">
        <f>IF(C286="","",IFERROR(INDEX(Products!$AR$5:$AR$304,MATCH(C286,Products!$A$5:$A$304,0)),""))</f>
        <v>0</v>
      </c>
      <c r="T286" s="20">
        <f>IF(B286="","",IF(F286&lt;&gt;"",F286,IF(S286="",0,S286)))</f>
        <v>0</v>
      </c>
      <c r="U286" s="20">
        <f>IF(B286="","",ROUND(IF(D286="",0,D286)*T286,2))</f>
        <v>0</v>
      </c>
      <c r="V286" s="20">
        <f>IF(B286="","",ROUND(U286-IF(G286="",0,G286)-IF(L286="",0,L286),2))</f>
        <v>0</v>
      </c>
      <c r="W286" s="20">
        <f>IF(C286="","",IFERROR(INDEX(Products!$AT$5:$AT$304,MATCH(C286,Products!$A$5:$A$304,0)),""))</f>
        <v>0</v>
      </c>
      <c r="X286" s="20">
        <f>IF(C286="","",IFERROR(INDEX(Products!$AG$5:$AG$304,MATCH(C286,Products!$A$5:$A$304,0)),""))</f>
        <v>0</v>
      </c>
      <c r="Y286" s="20">
        <f>IF(B286="","",ROUND(IF(D286="",0,D286)*MAX(0,IF(W286="",0,W286)-IF(X286="",0,X286)),2))</f>
        <v>0</v>
      </c>
      <c r="Z286" s="20">
        <f>IF(B286="","",ROUND(MAX(0,IF(J286="",0,J286)-IF(I286="",0,I286)),2))</f>
        <v>0</v>
      </c>
      <c r="AA286" s="33">
        <f>IF(B286="","",IFERROR(INDEX(Channels!$S$5:$S$18,MATCH(IF(E286="",DefaultChannel,E286),Channels!$A$5:$A$18,0)),0))</f>
        <v>0</v>
      </c>
      <c r="AB286" s="20">
        <f>IF(B286="","",IFERROR(INDEX(Channels!$T$5:$T$18,MATCH(IF(E286="",DefaultChannel,E286),Channels!$A$5:$A$18,0)),0))</f>
        <v>0</v>
      </c>
      <c r="AC286" s="42">
        <f>IF(B286="","",IFERROR(INDEX(Channels!$O$5:$O$18,MATCH(IF(E286="",DefaultChannel,E286),Channels!$A$5:$A$18,0)),"No"))</f>
        <v>0</v>
      </c>
      <c r="AD286" s="20">
        <f>IF(B286="","",ROUND((V286+IF(AC286="Yes",IF(I286="",0,I286),0))*AA286+AB286,2))</f>
        <v>0</v>
      </c>
      <c r="AE286" s="20">
        <f>IF(B286="","",IF(K286&lt;&gt;"",K286,AD286))</f>
        <v>0</v>
      </c>
      <c r="AF286" s="20">
        <f>IF(B286="","",IF(K286="","",ROUND(K286-AD286,2)))</f>
        <v>0</v>
      </c>
      <c r="AG286" s="20">
        <f>IF(B286="","",ROUND(V286-Y286-AE286-Z286,2))</f>
        <v>0</v>
      </c>
      <c r="AH286" s="33">
        <f>IF(B286="","",IF(OR(V286="",V286=0),"",AG286/V286))</f>
        <v>0</v>
      </c>
      <c r="AI286" s="33">
        <f>IF(C286="","",IFERROR(INDEX(Products!$AW$5:$AW$304,MATCH(C286,Products!$A$5:$A$304,0)),""))</f>
        <v>0</v>
      </c>
      <c r="AJ286" s="33">
        <f>IF(B286="","",IF(OR(AH286="",AI286=""),"",AH286-AI286))</f>
        <v>0</v>
      </c>
      <c r="AK286" s="41">
        <f>IF(B286="","",IFERROR(ROUND(IF(D286="",0,D286)*INDEX(Products!$X$5:$X$304,MATCH(C286,Products!$A$5:$A$304,0))/60,2),""))</f>
        <v>0</v>
      </c>
      <c r="AL286" s="20">
        <f>IF(B286="","",IF(OR(AK286="",AK286=0),"",ROUND(AG286/AK286,2)))</f>
        <v>0</v>
      </c>
      <c r="AM286" s="43">
        <f>IF(B286="","",IF(C286="","Add - which product?",IF(AG286&lt;0,"Loss - this order cost you money",IF(M286="Refunded","Refunded - check why",IF(AND(AF286&lt;&gt;"",AF286&gt;0.25),"Check - fees higher than your settings",IF(Z286&gt;1,"Check - postage is eating the margin",IF(AND(AH286&lt;&gt;"",AH286&lt;MarginWarning),"Low margin on this order","OK")))))) )</f>
        <v>0</v>
      </c>
    </row>
    <row r="287" spans="1:39">
      <c r="A287" s="38">
        <f>IF(B287="","",SalePrefix&amp;TEXT(ROW()-4,"0000"))</f>
        <v>0</v>
      </c>
      <c r="Q287" s="13">
        <f>IF(C287="","",IFERROR(INDEX(Products!$B$5:$B$304,MATCH(C287,Products!$A$5:$A$304,0)),"Bundle or deleted"))</f>
        <v>0</v>
      </c>
      <c r="R287" s="13">
        <f>IF(B287="","",TEXT(B287,"yyyy-mm"))</f>
        <v>0</v>
      </c>
      <c r="S287" s="20">
        <f>IF(C287="","",IFERROR(INDEX(Products!$AR$5:$AR$304,MATCH(C287,Products!$A$5:$A$304,0)),""))</f>
        <v>0</v>
      </c>
      <c r="T287" s="20">
        <f>IF(B287="","",IF(F287&lt;&gt;"",F287,IF(S287="",0,S287)))</f>
        <v>0</v>
      </c>
      <c r="U287" s="20">
        <f>IF(B287="","",ROUND(IF(D287="",0,D287)*T287,2))</f>
        <v>0</v>
      </c>
      <c r="V287" s="20">
        <f>IF(B287="","",ROUND(U287-IF(G287="",0,G287)-IF(L287="",0,L287),2))</f>
        <v>0</v>
      </c>
      <c r="W287" s="20">
        <f>IF(C287="","",IFERROR(INDEX(Products!$AT$5:$AT$304,MATCH(C287,Products!$A$5:$A$304,0)),""))</f>
        <v>0</v>
      </c>
      <c r="X287" s="20">
        <f>IF(C287="","",IFERROR(INDEX(Products!$AG$5:$AG$304,MATCH(C287,Products!$A$5:$A$304,0)),""))</f>
        <v>0</v>
      </c>
      <c r="Y287" s="20">
        <f>IF(B287="","",ROUND(IF(D287="",0,D287)*MAX(0,IF(W287="",0,W287)-IF(X287="",0,X287)),2))</f>
        <v>0</v>
      </c>
      <c r="Z287" s="20">
        <f>IF(B287="","",ROUND(MAX(0,IF(J287="",0,J287)-IF(I287="",0,I287)),2))</f>
        <v>0</v>
      </c>
      <c r="AA287" s="33">
        <f>IF(B287="","",IFERROR(INDEX(Channels!$S$5:$S$18,MATCH(IF(E287="",DefaultChannel,E287),Channels!$A$5:$A$18,0)),0))</f>
        <v>0</v>
      </c>
      <c r="AB287" s="20">
        <f>IF(B287="","",IFERROR(INDEX(Channels!$T$5:$T$18,MATCH(IF(E287="",DefaultChannel,E287),Channels!$A$5:$A$18,0)),0))</f>
        <v>0</v>
      </c>
      <c r="AC287" s="42">
        <f>IF(B287="","",IFERROR(INDEX(Channels!$O$5:$O$18,MATCH(IF(E287="",DefaultChannel,E287),Channels!$A$5:$A$18,0)),"No"))</f>
        <v>0</v>
      </c>
      <c r="AD287" s="20">
        <f>IF(B287="","",ROUND((V287+IF(AC287="Yes",IF(I287="",0,I287),0))*AA287+AB287,2))</f>
        <v>0</v>
      </c>
      <c r="AE287" s="20">
        <f>IF(B287="","",IF(K287&lt;&gt;"",K287,AD287))</f>
        <v>0</v>
      </c>
      <c r="AF287" s="20">
        <f>IF(B287="","",IF(K287="","",ROUND(K287-AD287,2)))</f>
        <v>0</v>
      </c>
      <c r="AG287" s="20">
        <f>IF(B287="","",ROUND(V287-Y287-AE287-Z287,2))</f>
        <v>0</v>
      </c>
      <c r="AH287" s="33">
        <f>IF(B287="","",IF(OR(V287="",V287=0),"",AG287/V287))</f>
        <v>0</v>
      </c>
      <c r="AI287" s="33">
        <f>IF(C287="","",IFERROR(INDEX(Products!$AW$5:$AW$304,MATCH(C287,Products!$A$5:$A$304,0)),""))</f>
        <v>0</v>
      </c>
      <c r="AJ287" s="33">
        <f>IF(B287="","",IF(OR(AH287="",AI287=""),"",AH287-AI287))</f>
        <v>0</v>
      </c>
      <c r="AK287" s="41">
        <f>IF(B287="","",IFERROR(ROUND(IF(D287="",0,D287)*INDEX(Products!$X$5:$X$304,MATCH(C287,Products!$A$5:$A$304,0))/60,2),""))</f>
        <v>0</v>
      </c>
      <c r="AL287" s="20">
        <f>IF(B287="","",IF(OR(AK287="",AK287=0),"",ROUND(AG287/AK287,2)))</f>
        <v>0</v>
      </c>
      <c r="AM287" s="43">
        <f>IF(B287="","",IF(C287="","Add - which product?",IF(AG287&lt;0,"Loss - this order cost you money",IF(M287="Refunded","Refunded - check why",IF(AND(AF287&lt;&gt;"",AF287&gt;0.25),"Check - fees higher than your settings",IF(Z287&gt;1,"Check - postage is eating the margin",IF(AND(AH287&lt;&gt;"",AH287&lt;MarginWarning),"Low margin on this order","OK")))))) )</f>
        <v>0</v>
      </c>
    </row>
    <row r="288" spans="1:39">
      <c r="A288" s="38">
        <f>IF(B288="","",SalePrefix&amp;TEXT(ROW()-4,"0000"))</f>
        <v>0</v>
      </c>
      <c r="Q288" s="13">
        <f>IF(C288="","",IFERROR(INDEX(Products!$B$5:$B$304,MATCH(C288,Products!$A$5:$A$304,0)),"Bundle or deleted"))</f>
        <v>0</v>
      </c>
      <c r="R288" s="13">
        <f>IF(B288="","",TEXT(B288,"yyyy-mm"))</f>
        <v>0</v>
      </c>
      <c r="S288" s="20">
        <f>IF(C288="","",IFERROR(INDEX(Products!$AR$5:$AR$304,MATCH(C288,Products!$A$5:$A$304,0)),""))</f>
        <v>0</v>
      </c>
      <c r="T288" s="20">
        <f>IF(B288="","",IF(F288&lt;&gt;"",F288,IF(S288="",0,S288)))</f>
        <v>0</v>
      </c>
      <c r="U288" s="20">
        <f>IF(B288="","",ROUND(IF(D288="",0,D288)*T288,2))</f>
        <v>0</v>
      </c>
      <c r="V288" s="20">
        <f>IF(B288="","",ROUND(U288-IF(G288="",0,G288)-IF(L288="",0,L288),2))</f>
        <v>0</v>
      </c>
      <c r="W288" s="20">
        <f>IF(C288="","",IFERROR(INDEX(Products!$AT$5:$AT$304,MATCH(C288,Products!$A$5:$A$304,0)),""))</f>
        <v>0</v>
      </c>
      <c r="X288" s="20">
        <f>IF(C288="","",IFERROR(INDEX(Products!$AG$5:$AG$304,MATCH(C288,Products!$A$5:$A$304,0)),""))</f>
        <v>0</v>
      </c>
      <c r="Y288" s="20">
        <f>IF(B288="","",ROUND(IF(D288="",0,D288)*MAX(0,IF(W288="",0,W288)-IF(X288="",0,X288)),2))</f>
        <v>0</v>
      </c>
      <c r="Z288" s="20">
        <f>IF(B288="","",ROUND(MAX(0,IF(J288="",0,J288)-IF(I288="",0,I288)),2))</f>
        <v>0</v>
      </c>
      <c r="AA288" s="33">
        <f>IF(B288="","",IFERROR(INDEX(Channels!$S$5:$S$18,MATCH(IF(E288="",DefaultChannel,E288),Channels!$A$5:$A$18,0)),0))</f>
        <v>0</v>
      </c>
      <c r="AB288" s="20">
        <f>IF(B288="","",IFERROR(INDEX(Channels!$T$5:$T$18,MATCH(IF(E288="",DefaultChannel,E288),Channels!$A$5:$A$18,0)),0))</f>
        <v>0</v>
      </c>
      <c r="AC288" s="42">
        <f>IF(B288="","",IFERROR(INDEX(Channels!$O$5:$O$18,MATCH(IF(E288="",DefaultChannel,E288),Channels!$A$5:$A$18,0)),"No"))</f>
        <v>0</v>
      </c>
      <c r="AD288" s="20">
        <f>IF(B288="","",ROUND((V288+IF(AC288="Yes",IF(I288="",0,I288),0))*AA288+AB288,2))</f>
        <v>0</v>
      </c>
      <c r="AE288" s="20">
        <f>IF(B288="","",IF(K288&lt;&gt;"",K288,AD288))</f>
        <v>0</v>
      </c>
      <c r="AF288" s="20">
        <f>IF(B288="","",IF(K288="","",ROUND(K288-AD288,2)))</f>
        <v>0</v>
      </c>
      <c r="AG288" s="20">
        <f>IF(B288="","",ROUND(V288-Y288-AE288-Z288,2))</f>
        <v>0</v>
      </c>
      <c r="AH288" s="33">
        <f>IF(B288="","",IF(OR(V288="",V288=0),"",AG288/V288))</f>
        <v>0</v>
      </c>
      <c r="AI288" s="33">
        <f>IF(C288="","",IFERROR(INDEX(Products!$AW$5:$AW$304,MATCH(C288,Products!$A$5:$A$304,0)),""))</f>
        <v>0</v>
      </c>
      <c r="AJ288" s="33">
        <f>IF(B288="","",IF(OR(AH288="",AI288=""),"",AH288-AI288))</f>
        <v>0</v>
      </c>
      <c r="AK288" s="41">
        <f>IF(B288="","",IFERROR(ROUND(IF(D288="",0,D288)*INDEX(Products!$X$5:$X$304,MATCH(C288,Products!$A$5:$A$304,0))/60,2),""))</f>
        <v>0</v>
      </c>
      <c r="AL288" s="20">
        <f>IF(B288="","",IF(OR(AK288="",AK288=0),"",ROUND(AG288/AK288,2)))</f>
        <v>0</v>
      </c>
      <c r="AM288" s="43">
        <f>IF(B288="","",IF(C288="","Add - which product?",IF(AG288&lt;0,"Loss - this order cost you money",IF(M288="Refunded","Refunded - check why",IF(AND(AF288&lt;&gt;"",AF288&gt;0.25),"Check - fees higher than your settings",IF(Z288&gt;1,"Check - postage is eating the margin",IF(AND(AH288&lt;&gt;"",AH288&lt;MarginWarning),"Low margin on this order","OK")))))) )</f>
        <v>0</v>
      </c>
    </row>
    <row r="289" spans="1:39">
      <c r="A289" s="38">
        <f>IF(B289="","",SalePrefix&amp;TEXT(ROW()-4,"0000"))</f>
        <v>0</v>
      </c>
      <c r="Q289" s="13">
        <f>IF(C289="","",IFERROR(INDEX(Products!$B$5:$B$304,MATCH(C289,Products!$A$5:$A$304,0)),"Bundle or deleted"))</f>
        <v>0</v>
      </c>
      <c r="R289" s="13">
        <f>IF(B289="","",TEXT(B289,"yyyy-mm"))</f>
        <v>0</v>
      </c>
      <c r="S289" s="20">
        <f>IF(C289="","",IFERROR(INDEX(Products!$AR$5:$AR$304,MATCH(C289,Products!$A$5:$A$304,0)),""))</f>
        <v>0</v>
      </c>
      <c r="T289" s="20">
        <f>IF(B289="","",IF(F289&lt;&gt;"",F289,IF(S289="",0,S289)))</f>
        <v>0</v>
      </c>
      <c r="U289" s="20">
        <f>IF(B289="","",ROUND(IF(D289="",0,D289)*T289,2))</f>
        <v>0</v>
      </c>
      <c r="V289" s="20">
        <f>IF(B289="","",ROUND(U289-IF(G289="",0,G289)-IF(L289="",0,L289),2))</f>
        <v>0</v>
      </c>
      <c r="W289" s="20">
        <f>IF(C289="","",IFERROR(INDEX(Products!$AT$5:$AT$304,MATCH(C289,Products!$A$5:$A$304,0)),""))</f>
        <v>0</v>
      </c>
      <c r="X289" s="20">
        <f>IF(C289="","",IFERROR(INDEX(Products!$AG$5:$AG$304,MATCH(C289,Products!$A$5:$A$304,0)),""))</f>
        <v>0</v>
      </c>
      <c r="Y289" s="20">
        <f>IF(B289="","",ROUND(IF(D289="",0,D289)*MAX(0,IF(W289="",0,W289)-IF(X289="",0,X289)),2))</f>
        <v>0</v>
      </c>
      <c r="Z289" s="20">
        <f>IF(B289="","",ROUND(MAX(0,IF(J289="",0,J289)-IF(I289="",0,I289)),2))</f>
        <v>0</v>
      </c>
      <c r="AA289" s="33">
        <f>IF(B289="","",IFERROR(INDEX(Channels!$S$5:$S$18,MATCH(IF(E289="",DefaultChannel,E289),Channels!$A$5:$A$18,0)),0))</f>
        <v>0</v>
      </c>
      <c r="AB289" s="20">
        <f>IF(B289="","",IFERROR(INDEX(Channels!$T$5:$T$18,MATCH(IF(E289="",DefaultChannel,E289),Channels!$A$5:$A$18,0)),0))</f>
        <v>0</v>
      </c>
      <c r="AC289" s="42">
        <f>IF(B289="","",IFERROR(INDEX(Channels!$O$5:$O$18,MATCH(IF(E289="",DefaultChannel,E289),Channels!$A$5:$A$18,0)),"No"))</f>
        <v>0</v>
      </c>
      <c r="AD289" s="20">
        <f>IF(B289="","",ROUND((V289+IF(AC289="Yes",IF(I289="",0,I289),0))*AA289+AB289,2))</f>
        <v>0</v>
      </c>
      <c r="AE289" s="20">
        <f>IF(B289="","",IF(K289&lt;&gt;"",K289,AD289))</f>
        <v>0</v>
      </c>
      <c r="AF289" s="20">
        <f>IF(B289="","",IF(K289="","",ROUND(K289-AD289,2)))</f>
        <v>0</v>
      </c>
      <c r="AG289" s="20">
        <f>IF(B289="","",ROUND(V289-Y289-AE289-Z289,2))</f>
        <v>0</v>
      </c>
      <c r="AH289" s="33">
        <f>IF(B289="","",IF(OR(V289="",V289=0),"",AG289/V289))</f>
        <v>0</v>
      </c>
      <c r="AI289" s="33">
        <f>IF(C289="","",IFERROR(INDEX(Products!$AW$5:$AW$304,MATCH(C289,Products!$A$5:$A$304,0)),""))</f>
        <v>0</v>
      </c>
      <c r="AJ289" s="33">
        <f>IF(B289="","",IF(OR(AH289="",AI289=""),"",AH289-AI289))</f>
        <v>0</v>
      </c>
      <c r="AK289" s="41">
        <f>IF(B289="","",IFERROR(ROUND(IF(D289="",0,D289)*INDEX(Products!$X$5:$X$304,MATCH(C289,Products!$A$5:$A$304,0))/60,2),""))</f>
        <v>0</v>
      </c>
      <c r="AL289" s="20">
        <f>IF(B289="","",IF(OR(AK289="",AK289=0),"",ROUND(AG289/AK289,2)))</f>
        <v>0</v>
      </c>
      <c r="AM289" s="43">
        <f>IF(B289="","",IF(C289="","Add - which product?",IF(AG289&lt;0,"Loss - this order cost you money",IF(M289="Refunded","Refunded - check why",IF(AND(AF289&lt;&gt;"",AF289&gt;0.25),"Check - fees higher than your settings",IF(Z289&gt;1,"Check - postage is eating the margin",IF(AND(AH289&lt;&gt;"",AH289&lt;MarginWarning),"Low margin on this order","OK")))))) )</f>
        <v>0</v>
      </c>
    </row>
    <row r="290" spans="1:39">
      <c r="A290" s="38">
        <f>IF(B290="","",SalePrefix&amp;TEXT(ROW()-4,"0000"))</f>
        <v>0</v>
      </c>
      <c r="Q290" s="13">
        <f>IF(C290="","",IFERROR(INDEX(Products!$B$5:$B$304,MATCH(C290,Products!$A$5:$A$304,0)),"Bundle or deleted"))</f>
        <v>0</v>
      </c>
      <c r="R290" s="13">
        <f>IF(B290="","",TEXT(B290,"yyyy-mm"))</f>
        <v>0</v>
      </c>
      <c r="S290" s="20">
        <f>IF(C290="","",IFERROR(INDEX(Products!$AR$5:$AR$304,MATCH(C290,Products!$A$5:$A$304,0)),""))</f>
        <v>0</v>
      </c>
      <c r="T290" s="20">
        <f>IF(B290="","",IF(F290&lt;&gt;"",F290,IF(S290="",0,S290)))</f>
        <v>0</v>
      </c>
      <c r="U290" s="20">
        <f>IF(B290="","",ROUND(IF(D290="",0,D290)*T290,2))</f>
        <v>0</v>
      </c>
      <c r="V290" s="20">
        <f>IF(B290="","",ROUND(U290-IF(G290="",0,G290)-IF(L290="",0,L290),2))</f>
        <v>0</v>
      </c>
      <c r="W290" s="20">
        <f>IF(C290="","",IFERROR(INDEX(Products!$AT$5:$AT$304,MATCH(C290,Products!$A$5:$A$304,0)),""))</f>
        <v>0</v>
      </c>
      <c r="X290" s="20">
        <f>IF(C290="","",IFERROR(INDEX(Products!$AG$5:$AG$304,MATCH(C290,Products!$A$5:$A$304,0)),""))</f>
        <v>0</v>
      </c>
      <c r="Y290" s="20">
        <f>IF(B290="","",ROUND(IF(D290="",0,D290)*MAX(0,IF(W290="",0,W290)-IF(X290="",0,X290)),2))</f>
        <v>0</v>
      </c>
      <c r="Z290" s="20">
        <f>IF(B290="","",ROUND(MAX(0,IF(J290="",0,J290)-IF(I290="",0,I290)),2))</f>
        <v>0</v>
      </c>
      <c r="AA290" s="33">
        <f>IF(B290="","",IFERROR(INDEX(Channels!$S$5:$S$18,MATCH(IF(E290="",DefaultChannel,E290),Channels!$A$5:$A$18,0)),0))</f>
        <v>0</v>
      </c>
      <c r="AB290" s="20">
        <f>IF(B290="","",IFERROR(INDEX(Channels!$T$5:$T$18,MATCH(IF(E290="",DefaultChannel,E290),Channels!$A$5:$A$18,0)),0))</f>
        <v>0</v>
      </c>
      <c r="AC290" s="42">
        <f>IF(B290="","",IFERROR(INDEX(Channels!$O$5:$O$18,MATCH(IF(E290="",DefaultChannel,E290),Channels!$A$5:$A$18,0)),"No"))</f>
        <v>0</v>
      </c>
      <c r="AD290" s="20">
        <f>IF(B290="","",ROUND((V290+IF(AC290="Yes",IF(I290="",0,I290),0))*AA290+AB290,2))</f>
        <v>0</v>
      </c>
      <c r="AE290" s="20">
        <f>IF(B290="","",IF(K290&lt;&gt;"",K290,AD290))</f>
        <v>0</v>
      </c>
      <c r="AF290" s="20">
        <f>IF(B290="","",IF(K290="","",ROUND(K290-AD290,2)))</f>
        <v>0</v>
      </c>
      <c r="AG290" s="20">
        <f>IF(B290="","",ROUND(V290-Y290-AE290-Z290,2))</f>
        <v>0</v>
      </c>
      <c r="AH290" s="33">
        <f>IF(B290="","",IF(OR(V290="",V290=0),"",AG290/V290))</f>
        <v>0</v>
      </c>
      <c r="AI290" s="33">
        <f>IF(C290="","",IFERROR(INDEX(Products!$AW$5:$AW$304,MATCH(C290,Products!$A$5:$A$304,0)),""))</f>
        <v>0</v>
      </c>
      <c r="AJ290" s="33">
        <f>IF(B290="","",IF(OR(AH290="",AI290=""),"",AH290-AI290))</f>
        <v>0</v>
      </c>
      <c r="AK290" s="41">
        <f>IF(B290="","",IFERROR(ROUND(IF(D290="",0,D290)*INDEX(Products!$X$5:$X$304,MATCH(C290,Products!$A$5:$A$304,0))/60,2),""))</f>
        <v>0</v>
      </c>
      <c r="AL290" s="20">
        <f>IF(B290="","",IF(OR(AK290="",AK290=0),"",ROUND(AG290/AK290,2)))</f>
        <v>0</v>
      </c>
      <c r="AM290" s="43">
        <f>IF(B290="","",IF(C290="","Add - which product?",IF(AG290&lt;0,"Loss - this order cost you money",IF(M290="Refunded","Refunded - check why",IF(AND(AF290&lt;&gt;"",AF290&gt;0.25),"Check - fees higher than your settings",IF(Z290&gt;1,"Check - postage is eating the margin",IF(AND(AH290&lt;&gt;"",AH290&lt;MarginWarning),"Low margin on this order","OK")))))) )</f>
        <v>0</v>
      </c>
    </row>
    <row r="291" spans="1:39">
      <c r="A291" s="38">
        <f>IF(B291="","",SalePrefix&amp;TEXT(ROW()-4,"0000"))</f>
        <v>0</v>
      </c>
      <c r="Q291" s="13">
        <f>IF(C291="","",IFERROR(INDEX(Products!$B$5:$B$304,MATCH(C291,Products!$A$5:$A$304,0)),"Bundle or deleted"))</f>
        <v>0</v>
      </c>
      <c r="R291" s="13">
        <f>IF(B291="","",TEXT(B291,"yyyy-mm"))</f>
        <v>0</v>
      </c>
      <c r="S291" s="20">
        <f>IF(C291="","",IFERROR(INDEX(Products!$AR$5:$AR$304,MATCH(C291,Products!$A$5:$A$304,0)),""))</f>
        <v>0</v>
      </c>
      <c r="T291" s="20">
        <f>IF(B291="","",IF(F291&lt;&gt;"",F291,IF(S291="",0,S291)))</f>
        <v>0</v>
      </c>
      <c r="U291" s="20">
        <f>IF(B291="","",ROUND(IF(D291="",0,D291)*T291,2))</f>
        <v>0</v>
      </c>
      <c r="V291" s="20">
        <f>IF(B291="","",ROUND(U291-IF(G291="",0,G291)-IF(L291="",0,L291),2))</f>
        <v>0</v>
      </c>
      <c r="W291" s="20">
        <f>IF(C291="","",IFERROR(INDEX(Products!$AT$5:$AT$304,MATCH(C291,Products!$A$5:$A$304,0)),""))</f>
        <v>0</v>
      </c>
      <c r="X291" s="20">
        <f>IF(C291="","",IFERROR(INDEX(Products!$AG$5:$AG$304,MATCH(C291,Products!$A$5:$A$304,0)),""))</f>
        <v>0</v>
      </c>
      <c r="Y291" s="20">
        <f>IF(B291="","",ROUND(IF(D291="",0,D291)*MAX(0,IF(W291="",0,W291)-IF(X291="",0,X291)),2))</f>
        <v>0</v>
      </c>
      <c r="Z291" s="20">
        <f>IF(B291="","",ROUND(MAX(0,IF(J291="",0,J291)-IF(I291="",0,I291)),2))</f>
        <v>0</v>
      </c>
      <c r="AA291" s="33">
        <f>IF(B291="","",IFERROR(INDEX(Channels!$S$5:$S$18,MATCH(IF(E291="",DefaultChannel,E291),Channels!$A$5:$A$18,0)),0))</f>
        <v>0</v>
      </c>
      <c r="AB291" s="20">
        <f>IF(B291="","",IFERROR(INDEX(Channels!$T$5:$T$18,MATCH(IF(E291="",DefaultChannel,E291),Channels!$A$5:$A$18,0)),0))</f>
        <v>0</v>
      </c>
      <c r="AC291" s="42">
        <f>IF(B291="","",IFERROR(INDEX(Channels!$O$5:$O$18,MATCH(IF(E291="",DefaultChannel,E291),Channels!$A$5:$A$18,0)),"No"))</f>
        <v>0</v>
      </c>
      <c r="AD291" s="20">
        <f>IF(B291="","",ROUND((V291+IF(AC291="Yes",IF(I291="",0,I291),0))*AA291+AB291,2))</f>
        <v>0</v>
      </c>
      <c r="AE291" s="20">
        <f>IF(B291="","",IF(K291&lt;&gt;"",K291,AD291))</f>
        <v>0</v>
      </c>
      <c r="AF291" s="20">
        <f>IF(B291="","",IF(K291="","",ROUND(K291-AD291,2)))</f>
        <v>0</v>
      </c>
      <c r="AG291" s="20">
        <f>IF(B291="","",ROUND(V291-Y291-AE291-Z291,2))</f>
        <v>0</v>
      </c>
      <c r="AH291" s="33">
        <f>IF(B291="","",IF(OR(V291="",V291=0),"",AG291/V291))</f>
        <v>0</v>
      </c>
      <c r="AI291" s="33">
        <f>IF(C291="","",IFERROR(INDEX(Products!$AW$5:$AW$304,MATCH(C291,Products!$A$5:$A$304,0)),""))</f>
        <v>0</v>
      </c>
      <c r="AJ291" s="33">
        <f>IF(B291="","",IF(OR(AH291="",AI291=""),"",AH291-AI291))</f>
        <v>0</v>
      </c>
      <c r="AK291" s="41">
        <f>IF(B291="","",IFERROR(ROUND(IF(D291="",0,D291)*INDEX(Products!$X$5:$X$304,MATCH(C291,Products!$A$5:$A$304,0))/60,2),""))</f>
        <v>0</v>
      </c>
      <c r="AL291" s="20">
        <f>IF(B291="","",IF(OR(AK291="",AK291=0),"",ROUND(AG291/AK291,2)))</f>
        <v>0</v>
      </c>
      <c r="AM291" s="43">
        <f>IF(B291="","",IF(C291="","Add - which product?",IF(AG291&lt;0,"Loss - this order cost you money",IF(M291="Refunded","Refunded - check why",IF(AND(AF291&lt;&gt;"",AF291&gt;0.25),"Check - fees higher than your settings",IF(Z291&gt;1,"Check - postage is eating the margin",IF(AND(AH291&lt;&gt;"",AH291&lt;MarginWarning),"Low margin on this order","OK")))))) )</f>
        <v>0</v>
      </c>
    </row>
    <row r="292" spans="1:39">
      <c r="A292" s="38">
        <f>IF(B292="","",SalePrefix&amp;TEXT(ROW()-4,"0000"))</f>
        <v>0</v>
      </c>
      <c r="Q292" s="13">
        <f>IF(C292="","",IFERROR(INDEX(Products!$B$5:$B$304,MATCH(C292,Products!$A$5:$A$304,0)),"Bundle or deleted"))</f>
        <v>0</v>
      </c>
      <c r="R292" s="13">
        <f>IF(B292="","",TEXT(B292,"yyyy-mm"))</f>
        <v>0</v>
      </c>
      <c r="S292" s="20">
        <f>IF(C292="","",IFERROR(INDEX(Products!$AR$5:$AR$304,MATCH(C292,Products!$A$5:$A$304,0)),""))</f>
        <v>0</v>
      </c>
      <c r="T292" s="20">
        <f>IF(B292="","",IF(F292&lt;&gt;"",F292,IF(S292="",0,S292)))</f>
        <v>0</v>
      </c>
      <c r="U292" s="20">
        <f>IF(B292="","",ROUND(IF(D292="",0,D292)*T292,2))</f>
        <v>0</v>
      </c>
      <c r="V292" s="20">
        <f>IF(B292="","",ROUND(U292-IF(G292="",0,G292)-IF(L292="",0,L292),2))</f>
        <v>0</v>
      </c>
      <c r="W292" s="20">
        <f>IF(C292="","",IFERROR(INDEX(Products!$AT$5:$AT$304,MATCH(C292,Products!$A$5:$A$304,0)),""))</f>
        <v>0</v>
      </c>
      <c r="X292" s="20">
        <f>IF(C292="","",IFERROR(INDEX(Products!$AG$5:$AG$304,MATCH(C292,Products!$A$5:$A$304,0)),""))</f>
        <v>0</v>
      </c>
      <c r="Y292" s="20">
        <f>IF(B292="","",ROUND(IF(D292="",0,D292)*MAX(0,IF(W292="",0,W292)-IF(X292="",0,X292)),2))</f>
        <v>0</v>
      </c>
      <c r="Z292" s="20">
        <f>IF(B292="","",ROUND(MAX(0,IF(J292="",0,J292)-IF(I292="",0,I292)),2))</f>
        <v>0</v>
      </c>
      <c r="AA292" s="33">
        <f>IF(B292="","",IFERROR(INDEX(Channels!$S$5:$S$18,MATCH(IF(E292="",DefaultChannel,E292),Channels!$A$5:$A$18,0)),0))</f>
        <v>0</v>
      </c>
      <c r="AB292" s="20">
        <f>IF(B292="","",IFERROR(INDEX(Channels!$T$5:$T$18,MATCH(IF(E292="",DefaultChannel,E292),Channels!$A$5:$A$18,0)),0))</f>
        <v>0</v>
      </c>
      <c r="AC292" s="42">
        <f>IF(B292="","",IFERROR(INDEX(Channels!$O$5:$O$18,MATCH(IF(E292="",DefaultChannel,E292),Channels!$A$5:$A$18,0)),"No"))</f>
        <v>0</v>
      </c>
      <c r="AD292" s="20">
        <f>IF(B292="","",ROUND((V292+IF(AC292="Yes",IF(I292="",0,I292),0))*AA292+AB292,2))</f>
        <v>0</v>
      </c>
      <c r="AE292" s="20">
        <f>IF(B292="","",IF(K292&lt;&gt;"",K292,AD292))</f>
        <v>0</v>
      </c>
      <c r="AF292" s="20">
        <f>IF(B292="","",IF(K292="","",ROUND(K292-AD292,2)))</f>
        <v>0</v>
      </c>
      <c r="AG292" s="20">
        <f>IF(B292="","",ROUND(V292-Y292-AE292-Z292,2))</f>
        <v>0</v>
      </c>
      <c r="AH292" s="33">
        <f>IF(B292="","",IF(OR(V292="",V292=0),"",AG292/V292))</f>
        <v>0</v>
      </c>
      <c r="AI292" s="33">
        <f>IF(C292="","",IFERROR(INDEX(Products!$AW$5:$AW$304,MATCH(C292,Products!$A$5:$A$304,0)),""))</f>
        <v>0</v>
      </c>
      <c r="AJ292" s="33">
        <f>IF(B292="","",IF(OR(AH292="",AI292=""),"",AH292-AI292))</f>
        <v>0</v>
      </c>
      <c r="AK292" s="41">
        <f>IF(B292="","",IFERROR(ROUND(IF(D292="",0,D292)*INDEX(Products!$X$5:$X$304,MATCH(C292,Products!$A$5:$A$304,0))/60,2),""))</f>
        <v>0</v>
      </c>
      <c r="AL292" s="20">
        <f>IF(B292="","",IF(OR(AK292="",AK292=0),"",ROUND(AG292/AK292,2)))</f>
        <v>0</v>
      </c>
      <c r="AM292" s="43">
        <f>IF(B292="","",IF(C292="","Add - which product?",IF(AG292&lt;0,"Loss - this order cost you money",IF(M292="Refunded","Refunded - check why",IF(AND(AF292&lt;&gt;"",AF292&gt;0.25),"Check - fees higher than your settings",IF(Z292&gt;1,"Check - postage is eating the margin",IF(AND(AH292&lt;&gt;"",AH292&lt;MarginWarning),"Low margin on this order","OK")))))) )</f>
        <v>0</v>
      </c>
    </row>
    <row r="293" spans="1:39">
      <c r="A293" s="38">
        <f>IF(B293="","",SalePrefix&amp;TEXT(ROW()-4,"0000"))</f>
        <v>0</v>
      </c>
      <c r="Q293" s="13">
        <f>IF(C293="","",IFERROR(INDEX(Products!$B$5:$B$304,MATCH(C293,Products!$A$5:$A$304,0)),"Bundle or deleted"))</f>
        <v>0</v>
      </c>
      <c r="R293" s="13">
        <f>IF(B293="","",TEXT(B293,"yyyy-mm"))</f>
        <v>0</v>
      </c>
      <c r="S293" s="20">
        <f>IF(C293="","",IFERROR(INDEX(Products!$AR$5:$AR$304,MATCH(C293,Products!$A$5:$A$304,0)),""))</f>
        <v>0</v>
      </c>
      <c r="T293" s="20">
        <f>IF(B293="","",IF(F293&lt;&gt;"",F293,IF(S293="",0,S293)))</f>
        <v>0</v>
      </c>
      <c r="U293" s="20">
        <f>IF(B293="","",ROUND(IF(D293="",0,D293)*T293,2))</f>
        <v>0</v>
      </c>
      <c r="V293" s="20">
        <f>IF(B293="","",ROUND(U293-IF(G293="",0,G293)-IF(L293="",0,L293),2))</f>
        <v>0</v>
      </c>
      <c r="W293" s="20">
        <f>IF(C293="","",IFERROR(INDEX(Products!$AT$5:$AT$304,MATCH(C293,Products!$A$5:$A$304,0)),""))</f>
        <v>0</v>
      </c>
      <c r="X293" s="20">
        <f>IF(C293="","",IFERROR(INDEX(Products!$AG$5:$AG$304,MATCH(C293,Products!$A$5:$A$304,0)),""))</f>
        <v>0</v>
      </c>
      <c r="Y293" s="20">
        <f>IF(B293="","",ROUND(IF(D293="",0,D293)*MAX(0,IF(W293="",0,W293)-IF(X293="",0,X293)),2))</f>
        <v>0</v>
      </c>
      <c r="Z293" s="20">
        <f>IF(B293="","",ROUND(MAX(0,IF(J293="",0,J293)-IF(I293="",0,I293)),2))</f>
        <v>0</v>
      </c>
      <c r="AA293" s="33">
        <f>IF(B293="","",IFERROR(INDEX(Channels!$S$5:$S$18,MATCH(IF(E293="",DefaultChannel,E293),Channels!$A$5:$A$18,0)),0))</f>
        <v>0</v>
      </c>
      <c r="AB293" s="20">
        <f>IF(B293="","",IFERROR(INDEX(Channels!$T$5:$T$18,MATCH(IF(E293="",DefaultChannel,E293),Channels!$A$5:$A$18,0)),0))</f>
        <v>0</v>
      </c>
      <c r="AC293" s="42">
        <f>IF(B293="","",IFERROR(INDEX(Channels!$O$5:$O$18,MATCH(IF(E293="",DefaultChannel,E293),Channels!$A$5:$A$18,0)),"No"))</f>
        <v>0</v>
      </c>
      <c r="AD293" s="20">
        <f>IF(B293="","",ROUND((V293+IF(AC293="Yes",IF(I293="",0,I293),0))*AA293+AB293,2))</f>
        <v>0</v>
      </c>
      <c r="AE293" s="20">
        <f>IF(B293="","",IF(K293&lt;&gt;"",K293,AD293))</f>
        <v>0</v>
      </c>
      <c r="AF293" s="20">
        <f>IF(B293="","",IF(K293="","",ROUND(K293-AD293,2)))</f>
        <v>0</v>
      </c>
      <c r="AG293" s="20">
        <f>IF(B293="","",ROUND(V293-Y293-AE293-Z293,2))</f>
        <v>0</v>
      </c>
      <c r="AH293" s="33">
        <f>IF(B293="","",IF(OR(V293="",V293=0),"",AG293/V293))</f>
        <v>0</v>
      </c>
      <c r="AI293" s="33">
        <f>IF(C293="","",IFERROR(INDEX(Products!$AW$5:$AW$304,MATCH(C293,Products!$A$5:$A$304,0)),""))</f>
        <v>0</v>
      </c>
      <c r="AJ293" s="33">
        <f>IF(B293="","",IF(OR(AH293="",AI293=""),"",AH293-AI293))</f>
        <v>0</v>
      </c>
      <c r="AK293" s="41">
        <f>IF(B293="","",IFERROR(ROUND(IF(D293="",0,D293)*INDEX(Products!$X$5:$X$304,MATCH(C293,Products!$A$5:$A$304,0))/60,2),""))</f>
        <v>0</v>
      </c>
      <c r="AL293" s="20">
        <f>IF(B293="","",IF(OR(AK293="",AK293=0),"",ROUND(AG293/AK293,2)))</f>
        <v>0</v>
      </c>
      <c r="AM293" s="43">
        <f>IF(B293="","",IF(C293="","Add - which product?",IF(AG293&lt;0,"Loss - this order cost you money",IF(M293="Refunded","Refunded - check why",IF(AND(AF293&lt;&gt;"",AF293&gt;0.25),"Check - fees higher than your settings",IF(Z293&gt;1,"Check - postage is eating the margin",IF(AND(AH293&lt;&gt;"",AH293&lt;MarginWarning),"Low margin on this order","OK")))))) )</f>
        <v>0</v>
      </c>
    </row>
    <row r="294" spans="1:39">
      <c r="A294" s="38">
        <f>IF(B294="","",SalePrefix&amp;TEXT(ROW()-4,"0000"))</f>
        <v>0</v>
      </c>
      <c r="Q294" s="13">
        <f>IF(C294="","",IFERROR(INDEX(Products!$B$5:$B$304,MATCH(C294,Products!$A$5:$A$304,0)),"Bundle or deleted"))</f>
        <v>0</v>
      </c>
      <c r="R294" s="13">
        <f>IF(B294="","",TEXT(B294,"yyyy-mm"))</f>
        <v>0</v>
      </c>
      <c r="S294" s="20">
        <f>IF(C294="","",IFERROR(INDEX(Products!$AR$5:$AR$304,MATCH(C294,Products!$A$5:$A$304,0)),""))</f>
        <v>0</v>
      </c>
      <c r="T294" s="20">
        <f>IF(B294="","",IF(F294&lt;&gt;"",F294,IF(S294="",0,S294)))</f>
        <v>0</v>
      </c>
      <c r="U294" s="20">
        <f>IF(B294="","",ROUND(IF(D294="",0,D294)*T294,2))</f>
        <v>0</v>
      </c>
      <c r="V294" s="20">
        <f>IF(B294="","",ROUND(U294-IF(G294="",0,G294)-IF(L294="",0,L294),2))</f>
        <v>0</v>
      </c>
      <c r="W294" s="20">
        <f>IF(C294="","",IFERROR(INDEX(Products!$AT$5:$AT$304,MATCH(C294,Products!$A$5:$A$304,0)),""))</f>
        <v>0</v>
      </c>
      <c r="X294" s="20">
        <f>IF(C294="","",IFERROR(INDEX(Products!$AG$5:$AG$304,MATCH(C294,Products!$A$5:$A$304,0)),""))</f>
        <v>0</v>
      </c>
      <c r="Y294" s="20">
        <f>IF(B294="","",ROUND(IF(D294="",0,D294)*MAX(0,IF(W294="",0,W294)-IF(X294="",0,X294)),2))</f>
        <v>0</v>
      </c>
      <c r="Z294" s="20">
        <f>IF(B294="","",ROUND(MAX(0,IF(J294="",0,J294)-IF(I294="",0,I294)),2))</f>
        <v>0</v>
      </c>
      <c r="AA294" s="33">
        <f>IF(B294="","",IFERROR(INDEX(Channels!$S$5:$S$18,MATCH(IF(E294="",DefaultChannel,E294),Channels!$A$5:$A$18,0)),0))</f>
        <v>0</v>
      </c>
      <c r="AB294" s="20">
        <f>IF(B294="","",IFERROR(INDEX(Channels!$T$5:$T$18,MATCH(IF(E294="",DefaultChannel,E294),Channels!$A$5:$A$18,0)),0))</f>
        <v>0</v>
      </c>
      <c r="AC294" s="42">
        <f>IF(B294="","",IFERROR(INDEX(Channels!$O$5:$O$18,MATCH(IF(E294="",DefaultChannel,E294),Channels!$A$5:$A$18,0)),"No"))</f>
        <v>0</v>
      </c>
      <c r="AD294" s="20">
        <f>IF(B294="","",ROUND((V294+IF(AC294="Yes",IF(I294="",0,I294),0))*AA294+AB294,2))</f>
        <v>0</v>
      </c>
      <c r="AE294" s="20">
        <f>IF(B294="","",IF(K294&lt;&gt;"",K294,AD294))</f>
        <v>0</v>
      </c>
      <c r="AF294" s="20">
        <f>IF(B294="","",IF(K294="","",ROUND(K294-AD294,2)))</f>
        <v>0</v>
      </c>
      <c r="AG294" s="20">
        <f>IF(B294="","",ROUND(V294-Y294-AE294-Z294,2))</f>
        <v>0</v>
      </c>
      <c r="AH294" s="33">
        <f>IF(B294="","",IF(OR(V294="",V294=0),"",AG294/V294))</f>
        <v>0</v>
      </c>
      <c r="AI294" s="33">
        <f>IF(C294="","",IFERROR(INDEX(Products!$AW$5:$AW$304,MATCH(C294,Products!$A$5:$A$304,0)),""))</f>
        <v>0</v>
      </c>
      <c r="AJ294" s="33">
        <f>IF(B294="","",IF(OR(AH294="",AI294=""),"",AH294-AI294))</f>
        <v>0</v>
      </c>
      <c r="AK294" s="41">
        <f>IF(B294="","",IFERROR(ROUND(IF(D294="",0,D294)*INDEX(Products!$X$5:$X$304,MATCH(C294,Products!$A$5:$A$304,0))/60,2),""))</f>
        <v>0</v>
      </c>
      <c r="AL294" s="20">
        <f>IF(B294="","",IF(OR(AK294="",AK294=0),"",ROUND(AG294/AK294,2)))</f>
        <v>0</v>
      </c>
      <c r="AM294" s="43">
        <f>IF(B294="","",IF(C294="","Add - which product?",IF(AG294&lt;0,"Loss - this order cost you money",IF(M294="Refunded","Refunded - check why",IF(AND(AF294&lt;&gt;"",AF294&gt;0.25),"Check - fees higher than your settings",IF(Z294&gt;1,"Check - postage is eating the margin",IF(AND(AH294&lt;&gt;"",AH294&lt;MarginWarning),"Low margin on this order","OK")))))) )</f>
        <v>0</v>
      </c>
    </row>
    <row r="295" spans="1:39">
      <c r="A295" s="38">
        <f>IF(B295="","",SalePrefix&amp;TEXT(ROW()-4,"0000"))</f>
        <v>0</v>
      </c>
      <c r="Q295" s="13">
        <f>IF(C295="","",IFERROR(INDEX(Products!$B$5:$B$304,MATCH(C295,Products!$A$5:$A$304,0)),"Bundle or deleted"))</f>
        <v>0</v>
      </c>
      <c r="R295" s="13">
        <f>IF(B295="","",TEXT(B295,"yyyy-mm"))</f>
        <v>0</v>
      </c>
      <c r="S295" s="20">
        <f>IF(C295="","",IFERROR(INDEX(Products!$AR$5:$AR$304,MATCH(C295,Products!$A$5:$A$304,0)),""))</f>
        <v>0</v>
      </c>
      <c r="T295" s="20">
        <f>IF(B295="","",IF(F295&lt;&gt;"",F295,IF(S295="",0,S295)))</f>
        <v>0</v>
      </c>
      <c r="U295" s="20">
        <f>IF(B295="","",ROUND(IF(D295="",0,D295)*T295,2))</f>
        <v>0</v>
      </c>
      <c r="V295" s="20">
        <f>IF(B295="","",ROUND(U295-IF(G295="",0,G295)-IF(L295="",0,L295),2))</f>
        <v>0</v>
      </c>
      <c r="W295" s="20">
        <f>IF(C295="","",IFERROR(INDEX(Products!$AT$5:$AT$304,MATCH(C295,Products!$A$5:$A$304,0)),""))</f>
        <v>0</v>
      </c>
      <c r="X295" s="20">
        <f>IF(C295="","",IFERROR(INDEX(Products!$AG$5:$AG$304,MATCH(C295,Products!$A$5:$A$304,0)),""))</f>
        <v>0</v>
      </c>
      <c r="Y295" s="20">
        <f>IF(B295="","",ROUND(IF(D295="",0,D295)*MAX(0,IF(W295="",0,W295)-IF(X295="",0,X295)),2))</f>
        <v>0</v>
      </c>
      <c r="Z295" s="20">
        <f>IF(B295="","",ROUND(MAX(0,IF(J295="",0,J295)-IF(I295="",0,I295)),2))</f>
        <v>0</v>
      </c>
      <c r="AA295" s="33">
        <f>IF(B295="","",IFERROR(INDEX(Channels!$S$5:$S$18,MATCH(IF(E295="",DefaultChannel,E295),Channels!$A$5:$A$18,0)),0))</f>
        <v>0</v>
      </c>
      <c r="AB295" s="20">
        <f>IF(B295="","",IFERROR(INDEX(Channels!$T$5:$T$18,MATCH(IF(E295="",DefaultChannel,E295),Channels!$A$5:$A$18,0)),0))</f>
        <v>0</v>
      </c>
      <c r="AC295" s="42">
        <f>IF(B295="","",IFERROR(INDEX(Channels!$O$5:$O$18,MATCH(IF(E295="",DefaultChannel,E295),Channels!$A$5:$A$18,0)),"No"))</f>
        <v>0</v>
      </c>
      <c r="AD295" s="20">
        <f>IF(B295="","",ROUND((V295+IF(AC295="Yes",IF(I295="",0,I295),0))*AA295+AB295,2))</f>
        <v>0</v>
      </c>
      <c r="AE295" s="20">
        <f>IF(B295="","",IF(K295&lt;&gt;"",K295,AD295))</f>
        <v>0</v>
      </c>
      <c r="AF295" s="20">
        <f>IF(B295="","",IF(K295="","",ROUND(K295-AD295,2)))</f>
        <v>0</v>
      </c>
      <c r="AG295" s="20">
        <f>IF(B295="","",ROUND(V295-Y295-AE295-Z295,2))</f>
        <v>0</v>
      </c>
      <c r="AH295" s="33">
        <f>IF(B295="","",IF(OR(V295="",V295=0),"",AG295/V295))</f>
        <v>0</v>
      </c>
      <c r="AI295" s="33">
        <f>IF(C295="","",IFERROR(INDEX(Products!$AW$5:$AW$304,MATCH(C295,Products!$A$5:$A$304,0)),""))</f>
        <v>0</v>
      </c>
      <c r="AJ295" s="33">
        <f>IF(B295="","",IF(OR(AH295="",AI295=""),"",AH295-AI295))</f>
        <v>0</v>
      </c>
      <c r="AK295" s="41">
        <f>IF(B295="","",IFERROR(ROUND(IF(D295="",0,D295)*INDEX(Products!$X$5:$X$304,MATCH(C295,Products!$A$5:$A$304,0))/60,2),""))</f>
        <v>0</v>
      </c>
      <c r="AL295" s="20">
        <f>IF(B295="","",IF(OR(AK295="",AK295=0),"",ROUND(AG295/AK295,2)))</f>
        <v>0</v>
      </c>
      <c r="AM295" s="43">
        <f>IF(B295="","",IF(C295="","Add - which product?",IF(AG295&lt;0,"Loss - this order cost you money",IF(M295="Refunded","Refunded - check why",IF(AND(AF295&lt;&gt;"",AF295&gt;0.25),"Check - fees higher than your settings",IF(Z295&gt;1,"Check - postage is eating the margin",IF(AND(AH295&lt;&gt;"",AH295&lt;MarginWarning),"Low margin on this order","OK")))))) )</f>
        <v>0</v>
      </c>
    </row>
    <row r="296" spans="1:39">
      <c r="A296" s="38">
        <f>IF(B296="","",SalePrefix&amp;TEXT(ROW()-4,"0000"))</f>
        <v>0</v>
      </c>
      <c r="Q296" s="13">
        <f>IF(C296="","",IFERROR(INDEX(Products!$B$5:$B$304,MATCH(C296,Products!$A$5:$A$304,0)),"Bundle or deleted"))</f>
        <v>0</v>
      </c>
      <c r="R296" s="13">
        <f>IF(B296="","",TEXT(B296,"yyyy-mm"))</f>
        <v>0</v>
      </c>
      <c r="S296" s="20">
        <f>IF(C296="","",IFERROR(INDEX(Products!$AR$5:$AR$304,MATCH(C296,Products!$A$5:$A$304,0)),""))</f>
        <v>0</v>
      </c>
      <c r="T296" s="20">
        <f>IF(B296="","",IF(F296&lt;&gt;"",F296,IF(S296="",0,S296)))</f>
        <v>0</v>
      </c>
      <c r="U296" s="20">
        <f>IF(B296="","",ROUND(IF(D296="",0,D296)*T296,2))</f>
        <v>0</v>
      </c>
      <c r="V296" s="20">
        <f>IF(B296="","",ROUND(U296-IF(G296="",0,G296)-IF(L296="",0,L296),2))</f>
        <v>0</v>
      </c>
      <c r="W296" s="20">
        <f>IF(C296="","",IFERROR(INDEX(Products!$AT$5:$AT$304,MATCH(C296,Products!$A$5:$A$304,0)),""))</f>
        <v>0</v>
      </c>
      <c r="X296" s="20">
        <f>IF(C296="","",IFERROR(INDEX(Products!$AG$5:$AG$304,MATCH(C296,Products!$A$5:$A$304,0)),""))</f>
        <v>0</v>
      </c>
      <c r="Y296" s="20">
        <f>IF(B296="","",ROUND(IF(D296="",0,D296)*MAX(0,IF(W296="",0,W296)-IF(X296="",0,X296)),2))</f>
        <v>0</v>
      </c>
      <c r="Z296" s="20">
        <f>IF(B296="","",ROUND(MAX(0,IF(J296="",0,J296)-IF(I296="",0,I296)),2))</f>
        <v>0</v>
      </c>
      <c r="AA296" s="33">
        <f>IF(B296="","",IFERROR(INDEX(Channels!$S$5:$S$18,MATCH(IF(E296="",DefaultChannel,E296),Channels!$A$5:$A$18,0)),0))</f>
        <v>0</v>
      </c>
      <c r="AB296" s="20">
        <f>IF(B296="","",IFERROR(INDEX(Channels!$T$5:$T$18,MATCH(IF(E296="",DefaultChannel,E296),Channels!$A$5:$A$18,0)),0))</f>
        <v>0</v>
      </c>
      <c r="AC296" s="42">
        <f>IF(B296="","",IFERROR(INDEX(Channels!$O$5:$O$18,MATCH(IF(E296="",DefaultChannel,E296),Channels!$A$5:$A$18,0)),"No"))</f>
        <v>0</v>
      </c>
      <c r="AD296" s="20">
        <f>IF(B296="","",ROUND((V296+IF(AC296="Yes",IF(I296="",0,I296),0))*AA296+AB296,2))</f>
        <v>0</v>
      </c>
      <c r="AE296" s="20">
        <f>IF(B296="","",IF(K296&lt;&gt;"",K296,AD296))</f>
        <v>0</v>
      </c>
      <c r="AF296" s="20">
        <f>IF(B296="","",IF(K296="","",ROUND(K296-AD296,2)))</f>
        <v>0</v>
      </c>
      <c r="AG296" s="20">
        <f>IF(B296="","",ROUND(V296-Y296-AE296-Z296,2))</f>
        <v>0</v>
      </c>
      <c r="AH296" s="33">
        <f>IF(B296="","",IF(OR(V296="",V296=0),"",AG296/V296))</f>
        <v>0</v>
      </c>
      <c r="AI296" s="33">
        <f>IF(C296="","",IFERROR(INDEX(Products!$AW$5:$AW$304,MATCH(C296,Products!$A$5:$A$304,0)),""))</f>
        <v>0</v>
      </c>
      <c r="AJ296" s="33">
        <f>IF(B296="","",IF(OR(AH296="",AI296=""),"",AH296-AI296))</f>
        <v>0</v>
      </c>
      <c r="AK296" s="41">
        <f>IF(B296="","",IFERROR(ROUND(IF(D296="",0,D296)*INDEX(Products!$X$5:$X$304,MATCH(C296,Products!$A$5:$A$304,0))/60,2),""))</f>
        <v>0</v>
      </c>
      <c r="AL296" s="20">
        <f>IF(B296="","",IF(OR(AK296="",AK296=0),"",ROUND(AG296/AK296,2)))</f>
        <v>0</v>
      </c>
      <c r="AM296" s="43">
        <f>IF(B296="","",IF(C296="","Add - which product?",IF(AG296&lt;0,"Loss - this order cost you money",IF(M296="Refunded","Refunded - check why",IF(AND(AF296&lt;&gt;"",AF296&gt;0.25),"Check - fees higher than your settings",IF(Z296&gt;1,"Check - postage is eating the margin",IF(AND(AH296&lt;&gt;"",AH296&lt;MarginWarning),"Low margin on this order","OK")))))) )</f>
        <v>0</v>
      </c>
    </row>
    <row r="297" spans="1:39">
      <c r="A297" s="38">
        <f>IF(B297="","",SalePrefix&amp;TEXT(ROW()-4,"0000"))</f>
        <v>0</v>
      </c>
      <c r="Q297" s="13">
        <f>IF(C297="","",IFERROR(INDEX(Products!$B$5:$B$304,MATCH(C297,Products!$A$5:$A$304,0)),"Bundle or deleted"))</f>
        <v>0</v>
      </c>
      <c r="R297" s="13">
        <f>IF(B297="","",TEXT(B297,"yyyy-mm"))</f>
        <v>0</v>
      </c>
      <c r="S297" s="20">
        <f>IF(C297="","",IFERROR(INDEX(Products!$AR$5:$AR$304,MATCH(C297,Products!$A$5:$A$304,0)),""))</f>
        <v>0</v>
      </c>
      <c r="T297" s="20">
        <f>IF(B297="","",IF(F297&lt;&gt;"",F297,IF(S297="",0,S297)))</f>
        <v>0</v>
      </c>
      <c r="U297" s="20">
        <f>IF(B297="","",ROUND(IF(D297="",0,D297)*T297,2))</f>
        <v>0</v>
      </c>
      <c r="V297" s="20">
        <f>IF(B297="","",ROUND(U297-IF(G297="",0,G297)-IF(L297="",0,L297),2))</f>
        <v>0</v>
      </c>
      <c r="W297" s="20">
        <f>IF(C297="","",IFERROR(INDEX(Products!$AT$5:$AT$304,MATCH(C297,Products!$A$5:$A$304,0)),""))</f>
        <v>0</v>
      </c>
      <c r="X297" s="20">
        <f>IF(C297="","",IFERROR(INDEX(Products!$AG$5:$AG$304,MATCH(C297,Products!$A$5:$A$304,0)),""))</f>
        <v>0</v>
      </c>
      <c r="Y297" s="20">
        <f>IF(B297="","",ROUND(IF(D297="",0,D297)*MAX(0,IF(W297="",0,W297)-IF(X297="",0,X297)),2))</f>
        <v>0</v>
      </c>
      <c r="Z297" s="20">
        <f>IF(B297="","",ROUND(MAX(0,IF(J297="",0,J297)-IF(I297="",0,I297)),2))</f>
        <v>0</v>
      </c>
      <c r="AA297" s="33">
        <f>IF(B297="","",IFERROR(INDEX(Channels!$S$5:$S$18,MATCH(IF(E297="",DefaultChannel,E297),Channels!$A$5:$A$18,0)),0))</f>
        <v>0</v>
      </c>
      <c r="AB297" s="20">
        <f>IF(B297="","",IFERROR(INDEX(Channels!$T$5:$T$18,MATCH(IF(E297="",DefaultChannel,E297),Channels!$A$5:$A$18,0)),0))</f>
        <v>0</v>
      </c>
      <c r="AC297" s="42">
        <f>IF(B297="","",IFERROR(INDEX(Channels!$O$5:$O$18,MATCH(IF(E297="",DefaultChannel,E297),Channels!$A$5:$A$18,0)),"No"))</f>
        <v>0</v>
      </c>
      <c r="AD297" s="20">
        <f>IF(B297="","",ROUND((V297+IF(AC297="Yes",IF(I297="",0,I297),0))*AA297+AB297,2))</f>
        <v>0</v>
      </c>
      <c r="AE297" s="20">
        <f>IF(B297="","",IF(K297&lt;&gt;"",K297,AD297))</f>
        <v>0</v>
      </c>
      <c r="AF297" s="20">
        <f>IF(B297="","",IF(K297="","",ROUND(K297-AD297,2)))</f>
        <v>0</v>
      </c>
      <c r="AG297" s="20">
        <f>IF(B297="","",ROUND(V297-Y297-AE297-Z297,2))</f>
        <v>0</v>
      </c>
      <c r="AH297" s="33">
        <f>IF(B297="","",IF(OR(V297="",V297=0),"",AG297/V297))</f>
        <v>0</v>
      </c>
      <c r="AI297" s="33">
        <f>IF(C297="","",IFERROR(INDEX(Products!$AW$5:$AW$304,MATCH(C297,Products!$A$5:$A$304,0)),""))</f>
        <v>0</v>
      </c>
      <c r="AJ297" s="33">
        <f>IF(B297="","",IF(OR(AH297="",AI297=""),"",AH297-AI297))</f>
        <v>0</v>
      </c>
      <c r="AK297" s="41">
        <f>IF(B297="","",IFERROR(ROUND(IF(D297="",0,D297)*INDEX(Products!$X$5:$X$304,MATCH(C297,Products!$A$5:$A$304,0))/60,2),""))</f>
        <v>0</v>
      </c>
      <c r="AL297" s="20">
        <f>IF(B297="","",IF(OR(AK297="",AK297=0),"",ROUND(AG297/AK297,2)))</f>
        <v>0</v>
      </c>
      <c r="AM297" s="43">
        <f>IF(B297="","",IF(C297="","Add - which product?",IF(AG297&lt;0,"Loss - this order cost you money",IF(M297="Refunded","Refunded - check why",IF(AND(AF297&lt;&gt;"",AF297&gt;0.25),"Check - fees higher than your settings",IF(Z297&gt;1,"Check - postage is eating the margin",IF(AND(AH297&lt;&gt;"",AH297&lt;MarginWarning),"Low margin on this order","OK")))))) )</f>
        <v>0</v>
      </c>
    </row>
    <row r="298" spans="1:39">
      <c r="A298" s="38">
        <f>IF(B298="","",SalePrefix&amp;TEXT(ROW()-4,"0000"))</f>
        <v>0</v>
      </c>
      <c r="Q298" s="13">
        <f>IF(C298="","",IFERROR(INDEX(Products!$B$5:$B$304,MATCH(C298,Products!$A$5:$A$304,0)),"Bundle or deleted"))</f>
        <v>0</v>
      </c>
      <c r="R298" s="13">
        <f>IF(B298="","",TEXT(B298,"yyyy-mm"))</f>
        <v>0</v>
      </c>
      <c r="S298" s="20">
        <f>IF(C298="","",IFERROR(INDEX(Products!$AR$5:$AR$304,MATCH(C298,Products!$A$5:$A$304,0)),""))</f>
        <v>0</v>
      </c>
      <c r="T298" s="20">
        <f>IF(B298="","",IF(F298&lt;&gt;"",F298,IF(S298="",0,S298)))</f>
        <v>0</v>
      </c>
      <c r="U298" s="20">
        <f>IF(B298="","",ROUND(IF(D298="",0,D298)*T298,2))</f>
        <v>0</v>
      </c>
      <c r="V298" s="20">
        <f>IF(B298="","",ROUND(U298-IF(G298="",0,G298)-IF(L298="",0,L298),2))</f>
        <v>0</v>
      </c>
      <c r="W298" s="20">
        <f>IF(C298="","",IFERROR(INDEX(Products!$AT$5:$AT$304,MATCH(C298,Products!$A$5:$A$304,0)),""))</f>
        <v>0</v>
      </c>
      <c r="X298" s="20">
        <f>IF(C298="","",IFERROR(INDEX(Products!$AG$5:$AG$304,MATCH(C298,Products!$A$5:$A$304,0)),""))</f>
        <v>0</v>
      </c>
      <c r="Y298" s="20">
        <f>IF(B298="","",ROUND(IF(D298="",0,D298)*MAX(0,IF(W298="",0,W298)-IF(X298="",0,X298)),2))</f>
        <v>0</v>
      </c>
      <c r="Z298" s="20">
        <f>IF(B298="","",ROUND(MAX(0,IF(J298="",0,J298)-IF(I298="",0,I298)),2))</f>
        <v>0</v>
      </c>
      <c r="AA298" s="33">
        <f>IF(B298="","",IFERROR(INDEX(Channels!$S$5:$S$18,MATCH(IF(E298="",DefaultChannel,E298),Channels!$A$5:$A$18,0)),0))</f>
        <v>0</v>
      </c>
      <c r="AB298" s="20">
        <f>IF(B298="","",IFERROR(INDEX(Channels!$T$5:$T$18,MATCH(IF(E298="",DefaultChannel,E298),Channels!$A$5:$A$18,0)),0))</f>
        <v>0</v>
      </c>
      <c r="AC298" s="42">
        <f>IF(B298="","",IFERROR(INDEX(Channels!$O$5:$O$18,MATCH(IF(E298="",DefaultChannel,E298),Channels!$A$5:$A$18,0)),"No"))</f>
        <v>0</v>
      </c>
      <c r="AD298" s="20">
        <f>IF(B298="","",ROUND((V298+IF(AC298="Yes",IF(I298="",0,I298),0))*AA298+AB298,2))</f>
        <v>0</v>
      </c>
      <c r="AE298" s="20">
        <f>IF(B298="","",IF(K298&lt;&gt;"",K298,AD298))</f>
        <v>0</v>
      </c>
      <c r="AF298" s="20">
        <f>IF(B298="","",IF(K298="","",ROUND(K298-AD298,2)))</f>
        <v>0</v>
      </c>
      <c r="AG298" s="20">
        <f>IF(B298="","",ROUND(V298-Y298-AE298-Z298,2))</f>
        <v>0</v>
      </c>
      <c r="AH298" s="33">
        <f>IF(B298="","",IF(OR(V298="",V298=0),"",AG298/V298))</f>
        <v>0</v>
      </c>
      <c r="AI298" s="33">
        <f>IF(C298="","",IFERROR(INDEX(Products!$AW$5:$AW$304,MATCH(C298,Products!$A$5:$A$304,0)),""))</f>
        <v>0</v>
      </c>
      <c r="AJ298" s="33">
        <f>IF(B298="","",IF(OR(AH298="",AI298=""),"",AH298-AI298))</f>
        <v>0</v>
      </c>
      <c r="AK298" s="41">
        <f>IF(B298="","",IFERROR(ROUND(IF(D298="",0,D298)*INDEX(Products!$X$5:$X$304,MATCH(C298,Products!$A$5:$A$304,0))/60,2),""))</f>
        <v>0</v>
      </c>
      <c r="AL298" s="20">
        <f>IF(B298="","",IF(OR(AK298="",AK298=0),"",ROUND(AG298/AK298,2)))</f>
        <v>0</v>
      </c>
      <c r="AM298" s="43">
        <f>IF(B298="","",IF(C298="","Add - which product?",IF(AG298&lt;0,"Loss - this order cost you money",IF(M298="Refunded","Refunded - check why",IF(AND(AF298&lt;&gt;"",AF298&gt;0.25),"Check - fees higher than your settings",IF(Z298&gt;1,"Check - postage is eating the margin",IF(AND(AH298&lt;&gt;"",AH298&lt;MarginWarning),"Low margin on this order","OK")))))) )</f>
        <v>0</v>
      </c>
    </row>
    <row r="299" spans="1:39">
      <c r="A299" s="38">
        <f>IF(B299="","",SalePrefix&amp;TEXT(ROW()-4,"0000"))</f>
        <v>0</v>
      </c>
      <c r="Q299" s="13">
        <f>IF(C299="","",IFERROR(INDEX(Products!$B$5:$B$304,MATCH(C299,Products!$A$5:$A$304,0)),"Bundle or deleted"))</f>
        <v>0</v>
      </c>
      <c r="R299" s="13">
        <f>IF(B299="","",TEXT(B299,"yyyy-mm"))</f>
        <v>0</v>
      </c>
      <c r="S299" s="20">
        <f>IF(C299="","",IFERROR(INDEX(Products!$AR$5:$AR$304,MATCH(C299,Products!$A$5:$A$304,0)),""))</f>
        <v>0</v>
      </c>
      <c r="T299" s="20">
        <f>IF(B299="","",IF(F299&lt;&gt;"",F299,IF(S299="",0,S299)))</f>
        <v>0</v>
      </c>
      <c r="U299" s="20">
        <f>IF(B299="","",ROUND(IF(D299="",0,D299)*T299,2))</f>
        <v>0</v>
      </c>
      <c r="V299" s="20">
        <f>IF(B299="","",ROUND(U299-IF(G299="",0,G299)-IF(L299="",0,L299),2))</f>
        <v>0</v>
      </c>
      <c r="W299" s="20">
        <f>IF(C299="","",IFERROR(INDEX(Products!$AT$5:$AT$304,MATCH(C299,Products!$A$5:$A$304,0)),""))</f>
        <v>0</v>
      </c>
      <c r="X299" s="20">
        <f>IF(C299="","",IFERROR(INDEX(Products!$AG$5:$AG$304,MATCH(C299,Products!$A$5:$A$304,0)),""))</f>
        <v>0</v>
      </c>
      <c r="Y299" s="20">
        <f>IF(B299="","",ROUND(IF(D299="",0,D299)*MAX(0,IF(W299="",0,W299)-IF(X299="",0,X299)),2))</f>
        <v>0</v>
      </c>
      <c r="Z299" s="20">
        <f>IF(B299="","",ROUND(MAX(0,IF(J299="",0,J299)-IF(I299="",0,I299)),2))</f>
        <v>0</v>
      </c>
      <c r="AA299" s="33">
        <f>IF(B299="","",IFERROR(INDEX(Channels!$S$5:$S$18,MATCH(IF(E299="",DefaultChannel,E299),Channels!$A$5:$A$18,0)),0))</f>
        <v>0</v>
      </c>
      <c r="AB299" s="20">
        <f>IF(B299="","",IFERROR(INDEX(Channels!$T$5:$T$18,MATCH(IF(E299="",DefaultChannel,E299),Channels!$A$5:$A$18,0)),0))</f>
        <v>0</v>
      </c>
      <c r="AC299" s="42">
        <f>IF(B299="","",IFERROR(INDEX(Channels!$O$5:$O$18,MATCH(IF(E299="",DefaultChannel,E299),Channels!$A$5:$A$18,0)),"No"))</f>
        <v>0</v>
      </c>
      <c r="AD299" s="20">
        <f>IF(B299="","",ROUND((V299+IF(AC299="Yes",IF(I299="",0,I299),0))*AA299+AB299,2))</f>
        <v>0</v>
      </c>
      <c r="AE299" s="20">
        <f>IF(B299="","",IF(K299&lt;&gt;"",K299,AD299))</f>
        <v>0</v>
      </c>
      <c r="AF299" s="20">
        <f>IF(B299="","",IF(K299="","",ROUND(K299-AD299,2)))</f>
        <v>0</v>
      </c>
      <c r="AG299" s="20">
        <f>IF(B299="","",ROUND(V299-Y299-AE299-Z299,2))</f>
        <v>0</v>
      </c>
      <c r="AH299" s="33">
        <f>IF(B299="","",IF(OR(V299="",V299=0),"",AG299/V299))</f>
        <v>0</v>
      </c>
      <c r="AI299" s="33">
        <f>IF(C299="","",IFERROR(INDEX(Products!$AW$5:$AW$304,MATCH(C299,Products!$A$5:$A$304,0)),""))</f>
        <v>0</v>
      </c>
      <c r="AJ299" s="33">
        <f>IF(B299="","",IF(OR(AH299="",AI299=""),"",AH299-AI299))</f>
        <v>0</v>
      </c>
      <c r="AK299" s="41">
        <f>IF(B299="","",IFERROR(ROUND(IF(D299="",0,D299)*INDEX(Products!$X$5:$X$304,MATCH(C299,Products!$A$5:$A$304,0))/60,2),""))</f>
        <v>0</v>
      </c>
      <c r="AL299" s="20">
        <f>IF(B299="","",IF(OR(AK299="",AK299=0),"",ROUND(AG299/AK299,2)))</f>
        <v>0</v>
      </c>
      <c r="AM299" s="43">
        <f>IF(B299="","",IF(C299="","Add - which product?",IF(AG299&lt;0,"Loss - this order cost you money",IF(M299="Refunded","Refunded - check why",IF(AND(AF299&lt;&gt;"",AF299&gt;0.25),"Check - fees higher than your settings",IF(Z299&gt;1,"Check - postage is eating the margin",IF(AND(AH299&lt;&gt;"",AH299&lt;MarginWarning),"Low margin on this order","OK")))))) )</f>
        <v>0</v>
      </c>
    </row>
    <row r="300" spans="1:39">
      <c r="A300" s="38">
        <f>IF(B300="","",SalePrefix&amp;TEXT(ROW()-4,"0000"))</f>
        <v>0</v>
      </c>
      <c r="Q300" s="13">
        <f>IF(C300="","",IFERROR(INDEX(Products!$B$5:$B$304,MATCH(C300,Products!$A$5:$A$304,0)),"Bundle or deleted"))</f>
        <v>0</v>
      </c>
      <c r="R300" s="13">
        <f>IF(B300="","",TEXT(B300,"yyyy-mm"))</f>
        <v>0</v>
      </c>
      <c r="S300" s="20">
        <f>IF(C300="","",IFERROR(INDEX(Products!$AR$5:$AR$304,MATCH(C300,Products!$A$5:$A$304,0)),""))</f>
        <v>0</v>
      </c>
      <c r="T300" s="20">
        <f>IF(B300="","",IF(F300&lt;&gt;"",F300,IF(S300="",0,S300)))</f>
        <v>0</v>
      </c>
      <c r="U300" s="20">
        <f>IF(B300="","",ROUND(IF(D300="",0,D300)*T300,2))</f>
        <v>0</v>
      </c>
      <c r="V300" s="20">
        <f>IF(B300="","",ROUND(U300-IF(G300="",0,G300)-IF(L300="",0,L300),2))</f>
        <v>0</v>
      </c>
      <c r="W300" s="20">
        <f>IF(C300="","",IFERROR(INDEX(Products!$AT$5:$AT$304,MATCH(C300,Products!$A$5:$A$304,0)),""))</f>
        <v>0</v>
      </c>
      <c r="X300" s="20">
        <f>IF(C300="","",IFERROR(INDEX(Products!$AG$5:$AG$304,MATCH(C300,Products!$A$5:$A$304,0)),""))</f>
        <v>0</v>
      </c>
      <c r="Y300" s="20">
        <f>IF(B300="","",ROUND(IF(D300="",0,D300)*MAX(0,IF(W300="",0,W300)-IF(X300="",0,X300)),2))</f>
        <v>0</v>
      </c>
      <c r="Z300" s="20">
        <f>IF(B300="","",ROUND(MAX(0,IF(J300="",0,J300)-IF(I300="",0,I300)),2))</f>
        <v>0</v>
      </c>
      <c r="AA300" s="33">
        <f>IF(B300="","",IFERROR(INDEX(Channels!$S$5:$S$18,MATCH(IF(E300="",DefaultChannel,E300),Channels!$A$5:$A$18,0)),0))</f>
        <v>0</v>
      </c>
      <c r="AB300" s="20">
        <f>IF(B300="","",IFERROR(INDEX(Channels!$T$5:$T$18,MATCH(IF(E300="",DefaultChannel,E300),Channels!$A$5:$A$18,0)),0))</f>
        <v>0</v>
      </c>
      <c r="AC300" s="42">
        <f>IF(B300="","",IFERROR(INDEX(Channels!$O$5:$O$18,MATCH(IF(E300="",DefaultChannel,E300),Channels!$A$5:$A$18,0)),"No"))</f>
        <v>0</v>
      </c>
      <c r="AD300" s="20">
        <f>IF(B300="","",ROUND((V300+IF(AC300="Yes",IF(I300="",0,I300),0))*AA300+AB300,2))</f>
        <v>0</v>
      </c>
      <c r="AE300" s="20">
        <f>IF(B300="","",IF(K300&lt;&gt;"",K300,AD300))</f>
        <v>0</v>
      </c>
      <c r="AF300" s="20">
        <f>IF(B300="","",IF(K300="","",ROUND(K300-AD300,2)))</f>
        <v>0</v>
      </c>
      <c r="AG300" s="20">
        <f>IF(B300="","",ROUND(V300-Y300-AE300-Z300,2))</f>
        <v>0</v>
      </c>
      <c r="AH300" s="33">
        <f>IF(B300="","",IF(OR(V300="",V300=0),"",AG300/V300))</f>
        <v>0</v>
      </c>
      <c r="AI300" s="33">
        <f>IF(C300="","",IFERROR(INDEX(Products!$AW$5:$AW$304,MATCH(C300,Products!$A$5:$A$304,0)),""))</f>
        <v>0</v>
      </c>
      <c r="AJ300" s="33">
        <f>IF(B300="","",IF(OR(AH300="",AI300=""),"",AH300-AI300))</f>
        <v>0</v>
      </c>
      <c r="AK300" s="41">
        <f>IF(B300="","",IFERROR(ROUND(IF(D300="",0,D300)*INDEX(Products!$X$5:$X$304,MATCH(C300,Products!$A$5:$A$304,0))/60,2),""))</f>
        <v>0</v>
      </c>
      <c r="AL300" s="20">
        <f>IF(B300="","",IF(OR(AK300="",AK300=0),"",ROUND(AG300/AK300,2)))</f>
        <v>0</v>
      </c>
      <c r="AM300" s="43">
        <f>IF(B300="","",IF(C300="","Add - which product?",IF(AG300&lt;0,"Loss - this order cost you money",IF(M300="Refunded","Refunded - check why",IF(AND(AF300&lt;&gt;"",AF300&gt;0.25),"Check - fees higher than your settings",IF(Z300&gt;1,"Check - postage is eating the margin",IF(AND(AH300&lt;&gt;"",AH300&lt;MarginWarning),"Low margin on this order","OK")))))) )</f>
        <v>0</v>
      </c>
    </row>
    <row r="301" spans="1:39">
      <c r="A301" s="38">
        <f>IF(B301="","",SalePrefix&amp;TEXT(ROW()-4,"0000"))</f>
        <v>0</v>
      </c>
      <c r="Q301" s="13">
        <f>IF(C301="","",IFERROR(INDEX(Products!$B$5:$B$304,MATCH(C301,Products!$A$5:$A$304,0)),"Bundle or deleted"))</f>
        <v>0</v>
      </c>
      <c r="R301" s="13">
        <f>IF(B301="","",TEXT(B301,"yyyy-mm"))</f>
        <v>0</v>
      </c>
      <c r="S301" s="20">
        <f>IF(C301="","",IFERROR(INDEX(Products!$AR$5:$AR$304,MATCH(C301,Products!$A$5:$A$304,0)),""))</f>
        <v>0</v>
      </c>
      <c r="T301" s="20">
        <f>IF(B301="","",IF(F301&lt;&gt;"",F301,IF(S301="",0,S301)))</f>
        <v>0</v>
      </c>
      <c r="U301" s="20">
        <f>IF(B301="","",ROUND(IF(D301="",0,D301)*T301,2))</f>
        <v>0</v>
      </c>
      <c r="V301" s="20">
        <f>IF(B301="","",ROUND(U301-IF(G301="",0,G301)-IF(L301="",0,L301),2))</f>
        <v>0</v>
      </c>
      <c r="W301" s="20">
        <f>IF(C301="","",IFERROR(INDEX(Products!$AT$5:$AT$304,MATCH(C301,Products!$A$5:$A$304,0)),""))</f>
        <v>0</v>
      </c>
      <c r="X301" s="20">
        <f>IF(C301="","",IFERROR(INDEX(Products!$AG$5:$AG$304,MATCH(C301,Products!$A$5:$A$304,0)),""))</f>
        <v>0</v>
      </c>
      <c r="Y301" s="20">
        <f>IF(B301="","",ROUND(IF(D301="",0,D301)*MAX(0,IF(W301="",0,W301)-IF(X301="",0,X301)),2))</f>
        <v>0</v>
      </c>
      <c r="Z301" s="20">
        <f>IF(B301="","",ROUND(MAX(0,IF(J301="",0,J301)-IF(I301="",0,I301)),2))</f>
        <v>0</v>
      </c>
      <c r="AA301" s="33">
        <f>IF(B301="","",IFERROR(INDEX(Channels!$S$5:$S$18,MATCH(IF(E301="",DefaultChannel,E301),Channels!$A$5:$A$18,0)),0))</f>
        <v>0</v>
      </c>
      <c r="AB301" s="20">
        <f>IF(B301="","",IFERROR(INDEX(Channels!$T$5:$T$18,MATCH(IF(E301="",DefaultChannel,E301),Channels!$A$5:$A$18,0)),0))</f>
        <v>0</v>
      </c>
      <c r="AC301" s="42">
        <f>IF(B301="","",IFERROR(INDEX(Channels!$O$5:$O$18,MATCH(IF(E301="",DefaultChannel,E301),Channels!$A$5:$A$18,0)),"No"))</f>
        <v>0</v>
      </c>
      <c r="AD301" s="20">
        <f>IF(B301="","",ROUND((V301+IF(AC301="Yes",IF(I301="",0,I301),0))*AA301+AB301,2))</f>
        <v>0</v>
      </c>
      <c r="AE301" s="20">
        <f>IF(B301="","",IF(K301&lt;&gt;"",K301,AD301))</f>
        <v>0</v>
      </c>
      <c r="AF301" s="20">
        <f>IF(B301="","",IF(K301="","",ROUND(K301-AD301,2)))</f>
        <v>0</v>
      </c>
      <c r="AG301" s="20">
        <f>IF(B301="","",ROUND(V301-Y301-AE301-Z301,2))</f>
        <v>0</v>
      </c>
      <c r="AH301" s="33">
        <f>IF(B301="","",IF(OR(V301="",V301=0),"",AG301/V301))</f>
        <v>0</v>
      </c>
      <c r="AI301" s="33">
        <f>IF(C301="","",IFERROR(INDEX(Products!$AW$5:$AW$304,MATCH(C301,Products!$A$5:$A$304,0)),""))</f>
        <v>0</v>
      </c>
      <c r="AJ301" s="33">
        <f>IF(B301="","",IF(OR(AH301="",AI301=""),"",AH301-AI301))</f>
        <v>0</v>
      </c>
      <c r="AK301" s="41">
        <f>IF(B301="","",IFERROR(ROUND(IF(D301="",0,D301)*INDEX(Products!$X$5:$X$304,MATCH(C301,Products!$A$5:$A$304,0))/60,2),""))</f>
        <v>0</v>
      </c>
      <c r="AL301" s="20">
        <f>IF(B301="","",IF(OR(AK301="",AK301=0),"",ROUND(AG301/AK301,2)))</f>
        <v>0</v>
      </c>
      <c r="AM301" s="43">
        <f>IF(B301="","",IF(C301="","Add - which product?",IF(AG301&lt;0,"Loss - this order cost you money",IF(M301="Refunded","Refunded - check why",IF(AND(AF301&lt;&gt;"",AF301&gt;0.25),"Check - fees higher than your settings",IF(Z301&gt;1,"Check - postage is eating the margin",IF(AND(AH301&lt;&gt;"",AH301&lt;MarginWarning),"Low margin on this order","OK")))))) )</f>
        <v>0</v>
      </c>
    </row>
    <row r="302" spans="1:39">
      <c r="A302" s="38">
        <f>IF(B302="","",SalePrefix&amp;TEXT(ROW()-4,"0000"))</f>
        <v>0</v>
      </c>
      <c r="Q302" s="13">
        <f>IF(C302="","",IFERROR(INDEX(Products!$B$5:$B$304,MATCH(C302,Products!$A$5:$A$304,0)),"Bundle or deleted"))</f>
        <v>0</v>
      </c>
      <c r="R302" s="13">
        <f>IF(B302="","",TEXT(B302,"yyyy-mm"))</f>
        <v>0</v>
      </c>
      <c r="S302" s="20">
        <f>IF(C302="","",IFERROR(INDEX(Products!$AR$5:$AR$304,MATCH(C302,Products!$A$5:$A$304,0)),""))</f>
        <v>0</v>
      </c>
      <c r="T302" s="20">
        <f>IF(B302="","",IF(F302&lt;&gt;"",F302,IF(S302="",0,S302)))</f>
        <v>0</v>
      </c>
      <c r="U302" s="20">
        <f>IF(B302="","",ROUND(IF(D302="",0,D302)*T302,2))</f>
        <v>0</v>
      </c>
      <c r="V302" s="20">
        <f>IF(B302="","",ROUND(U302-IF(G302="",0,G302)-IF(L302="",0,L302),2))</f>
        <v>0</v>
      </c>
      <c r="W302" s="20">
        <f>IF(C302="","",IFERROR(INDEX(Products!$AT$5:$AT$304,MATCH(C302,Products!$A$5:$A$304,0)),""))</f>
        <v>0</v>
      </c>
      <c r="X302" s="20">
        <f>IF(C302="","",IFERROR(INDEX(Products!$AG$5:$AG$304,MATCH(C302,Products!$A$5:$A$304,0)),""))</f>
        <v>0</v>
      </c>
      <c r="Y302" s="20">
        <f>IF(B302="","",ROUND(IF(D302="",0,D302)*MAX(0,IF(W302="",0,W302)-IF(X302="",0,X302)),2))</f>
        <v>0</v>
      </c>
      <c r="Z302" s="20">
        <f>IF(B302="","",ROUND(MAX(0,IF(J302="",0,J302)-IF(I302="",0,I302)),2))</f>
        <v>0</v>
      </c>
      <c r="AA302" s="33">
        <f>IF(B302="","",IFERROR(INDEX(Channels!$S$5:$S$18,MATCH(IF(E302="",DefaultChannel,E302),Channels!$A$5:$A$18,0)),0))</f>
        <v>0</v>
      </c>
      <c r="AB302" s="20">
        <f>IF(B302="","",IFERROR(INDEX(Channels!$T$5:$T$18,MATCH(IF(E302="",DefaultChannel,E302),Channels!$A$5:$A$18,0)),0))</f>
        <v>0</v>
      </c>
      <c r="AC302" s="42">
        <f>IF(B302="","",IFERROR(INDEX(Channels!$O$5:$O$18,MATCH(IF(E302="",DefaultChannel,E302),Channels!$A$5:$A$18,0)),"No"))</f>
        <v>0</v>
      </c>
      <c r="AD302" s="20">
        <f>IF(B302="","",ROUND((V302+IF(AC302="Yes",IF(I302="",0,I302),0))*AA302+AB302,2))</f>
        <v>0</v>
      </c>
      <c r="AE302" s="20">
        <f>IF(B302="","",IF(K302&lt;&gt;"",K302,AD302))</f>
        <v>0</v>
      </c>
      <c r="AF302" s="20">
        <f>IF(B302="","",IF(K302="","",ROUND(K302-AD302,2)))</f>
        <v>0</v>
      </c>
      <c r="AG302" s="20">
        <f>IF(B302="","",ROUND(V302-Y302-AE302-Z302,2))</f>
        <v>0</v>
      </c>
      <c r="AH302" s="33">
        <f>IF(B302="","",IF(OR(V302="",V302=0),"",AG302/V302))</f>
        <v>0</v>
      </c>
      <c r="AI302" s="33">
        <f>IF(C302="","",IFERROR(INDEX(Products!$AW$5:$AW$304,MATCH(C302,Products!$A$5:$A$304,0)),""))</f>
        <v>0</v>
      </c>
      <c r="AJ302" s="33">
        <f>IF(B302="","",IF(OR(AH302="",AI302=""),"",AH302-AI302))</f>
        <v>0</v>
      </c>
      <c r="AK302" s="41">
        <f>IF(B302="","",IFERROR(ROUND(IF(D302="",0,D302)*INDEX(Products!$X$5:$X$304,MATCH(C302,Products!$A$5:$A$304,0))/60,2),""))</f>
        <v>0</v>
      </c>
      <c r="AL302" s="20">
        <f>IF(B302="","",IF(OR(AK302="",AK302=0),"",ROUND(AG302/AK302,2)))</f>
        <v>0</v>
      </c>
      <c r="AM302" s="43">
        <f>IF(B302="","",IF(C302="","Add - which product?",IF(AG302&lt;0,"Loss - this order cost you money",IF(M302="Refunded","Refunded - check why",IF(AND(AF302&lt;&gt;"",AF302&gt;0.25),"Check - fees higher than your settings",IF(Z302&gt;1,"Check - postage is eating the margin",IF(AND(AH302&lt;&gt;"",AH302&lt;MarginWarning),"Low margin on this order","OK")))))) )</f>
        <v>0</v>
      </c>
    </row>
    <row r="303" spans="1:39">
      <c r="A303" s="38">
        <f>IF(B303="","",SalePrefix&amp;TEXT(ROW()-4,"0000"))</f>
        <v>0</v>
      </c>
      <c r="Q303" s="13">
        <f>IF(C303="","",IFERROR(INDEX(Products!$B$5:$B$304,MATCH(C303,Products!$A$5:$A$304,0)),"Bundle or deleted"))</f>
        <v>0</v>
      </c>
      <c r="R303" s="13">
        <f>IF(B303="","",TEXT(B303,"yyyy-mm"))</f>
        <v>0</v>
      </c>
      <c r="S303" s="20">
        <f>IF(C303="","",IFERROR(INDEX(Products!$AR$5:$AR$304,MATCH(C303,Products!$A$5:$A$304,0)),""))</f>
        <v>0</v>
      </c>
      <c r="T303" s="20">
        <f>IF(B303="","",IF(F303&lt;&gt;"",F303,IF(S303="",0,S303)))</f>
        <v>0</v>
      </c>
      <c r="U303" s="20">
        <f>IF(B303="","",ROUND(IF(D303="",0,D303)*T303,2))</f>
        <v>0</v>
      </c>
      <c r="V303" s="20">
        <f>IF(B303="","",ROUND(U303-IF(G303="",0,G303)-IF(L303="",0,L303),2))</f>
        <v>0</v>
      </c>
      <c r="W303" s="20">
        <f>IF(C303="","",IFERROR(INDEX(Products!$AT$5:$AT$304,MATCH(C303,Products!$A$5:$A$304,0)),""))</f>
        <v>0</v>
      </c>
      <c r="X303" s="20">
        <f>IF(C303="","",IFERROR(INDEX(Products!$AG$5:$AG$304,MATCH(C303,Products!$A$5:$A$304,0)),""))</f>
        <v>0</v>
      </c>
      <c r="Y303" s="20">
        <f>IF(B303="","",ROUND(IF(D303="",0,D303)*MAX(0,IF(W303="",0,W303)-IF(X303="",0,X303)),2))</f>
        <v>0</v>
      </c>
      <c r="Z303" s="20">
        <f>IF(B303="","",ROUND(MAX(0,IF(J303="",0,J303)-IF(I303="",0,I303)),2))</f>
        <v>0</v>
      </c>
      <c r="AA303" s="33">
        <f>IF(B303="","",IFERROR(INDEX(Channels!$S$5:$S$18,MATCH(IF(E303="",DefaultChannel,E303),Channels!$A$5:$A$18,0)),0))</f>
        <v>0</v>
      </c>
      <c r="AB303" s="20">
        <f>IF(B303="","",IFERROR(INDEX(Channels!$T$5:$T$18,MATCH(IF(E303="",DefaultChannel,E303),Channels!$A$5:$A$18,0)),0))</f>
        <v>0</v>
      </c>
      <c r="AC303" s="42">
        <f>IF(B303="","",IFERROR(INDEX(Channels!$O$5:$O$18,MATCH(IF(E303="",DefaultChannel,E303),Channels!$A$5:$A$18,0)),"No"))</f>
        <v>0</v>
      </c>
      <c r="AD303" s="20">
        <f>IF(B303="","",ROUND((V303+IF(AC303="Yes",IF(I303="",0,I303),0))*AA303+AB303,2))</f>
        <v>0</v>
      </c>
      <c r="AE303" s="20">
        <f>IF(B303="","",IF(K303&lt;&gt;"",K303,AD303))</f>
        <v>0</v>
      </c>
      <c r="AF303" s="20">
        <f>IF(B303="","",IF(K303="","",ROUND(K303-AD303,2)))</f>
        <v>0</v>
      </c>
      <c r="AG303" s="20">
        <f>IF(B303="","",ROUND(V303-Y303-AE303-Z303,2))</f>
        <v>0</v>
      </c>
      <c r="AH303" s="33">
        <f>IF(B303="","",IF(OR(V303="",V303=0),"",AG303/V303))</f>
        <v>0</v>
      </c>
      <c r="AI303" s="33">
        <f>IF(C303="","",IFERROR(INDEX(Products!$AW$5:$AW$304,MATCH(C303,Products!$A$5:$A$304,0)),""))</f>
        <v>0</v>
      </c>
      <c r="AJ303" s="33">
        <f>IF(B303="","",IF(OR(AH303="",AI303=""),"",AH303-AI303))</f>
        <v>0</v>
      </c>
      <c r="AK303" s="41">
        <f>IF(B303="","",IFERROR(ROUND(IF(D303="",0,D303)*INDEX(Products!$X$5:$X$304,MATCH(C303,Products!$A$5:$A$304,0))/60,2),""))</f>
        <v>0</v>
      </c>
      <c r="AL303" s="20">
        <f>IF(B303="","",IF(OR(AK303="",AK303=0),"",ROUND(AG303/AK303,2)))</f>
        <v>0</v>
      </c>
      <c r="AM303" s="43">
        <f>IF(B303="","",IF(C303="","Add - which product?",IF(AG303&lt;0,"Loss - this order cost you money",IF(M303="Refunded","Refunded - check why",IF(AND(AF303&lt;&gt;"",AF303&gt;0.25),"Check - fees higher than your settings",IF(Z303&gt;1,"Check - postage is eating the margin",IF(AND(AH303&lt;&gt;"",AH303&lt;MarginWarning),"Low margin on this order","OK")))))) )</f>
        <v>0</v>
      </c>
    </row>
    <row r="304" spans="1:39">
      <c r="A304" s="38">
        <f>IF(B304="","",SalePrefix&amp;TEXT(ROW()-4,"0000"))</f>
        <v>0</v>
      </c>
      <c r="Q304" s="13">
        <f>IF(C304="","",IFERROR(INDEX(Products!$B$5:$B$304,MATCH(C304,Products!$A$5:$A$304,0)),"Bundle or deleted"))</f>
        <v>0</v>
      </c>
      <c r="R304" s="13">
        <f>IF(B304="","",TEXT(B304,"yyyy-mm"))</f>
        <v>0</v>
      </c>
      <c r="S304" s="20">
        <f>IF(C304="","",IFERROR(INDEX(Products!$AR$5:$AR$304,MATCH(C304,Products!$A$5:$A$304,0)),""))</f>
        <v>0</v>
      </c>
      <c r="T304" s="20">
        <f>IF(B304="","",IF(F304&lt;&gt;"",F304,IF(S304="",0,S304)))</f>
        <v>0</v>
      </c>
      <c r="U304" s="20">
        <f>IF(B304="","",ROUND(IF(D304="",0,D304)*T304,2))</f>
        <v>0</v>
      </c>
      <c r="V304" s="20">
        <f>IF(B304="","",ROUND(U304-IF(G304="",0,G304)-IF(L304="",0,L304),2))</f>
        <v>0</v>
      </c>
      <c r="W304" s="20">
        <f>IF(C304="","",IFERROR(INDEX(Products!$AT$5:$AT$304,MATCH(C304,Products!$A$5:$A$304,0)),""))</f>
        <v>0</v>
      </c>
      <c r="X304" s="20">
        <f>IF(C304="","",IFERROR(INDEX(Products!$AG$5:$AG$304,MATCH(C304,Products!$A$5:$A$304,0)),""))</f>
        <v>0</v>
      </c>
      <c r="Y304" s="20">
        <f>IF(B304="","",ROUND(IF(D304="",0,D304)*MAX(0,IF(W304="",0,W304)-IF(X304="",0,X304)),2))</f>
        <v>0</v>
      </c>
      <c r="Z304" s="20">
        <f>IF(B304="","",ROUND(MAX(0,IF(J304="",0,J304)-IF(I304="",0,I304)),2))</f>
        <v>0</v>
      </c>
      <c r="AA304" s="33">
        <f>IF(B304="","",IFERROR(INDEX(Channels!$S$5:$S$18,MATCH(IF(E304="",DefaultChannel,E304),Channels!$A$5:$A$18,0)),0))</f>
        <v>0</v>
      </c>
      <c r="AB304" s="20">
        <f>IF(B304="","",IFERROR(INDEX(Channels!$T$5:$T$18,MATCH(IF(E304="",DefaultChannel,E304),Channels!$A$5:$A$18,0)),0))</f>
        <v>0</v>
      </c>
      <c r="AC304" s="42">
        <f>IF(B304="","",IFERROR(INDEX(Channels!$O$5:$O$18,MATCH(IF(E304="",DefaultChannel,E304),Channels!$A$5:$A$18,0)),"No"))</f>
        <v>0</v>
      </c>
      <c r="AD304" s="20">
        <f>IF(B304="","",ROUND((V304+IF(AC304="Yes",IF(I304="",0,I304),0))*AA304+AB304,2))</f>
        <v>0</v>
      </c>
      <c r="AE304" s="20">
        <f>IF(B304="","",IF(K304&lt;&gt;"",K304,AD304))</f>
        <v>0</v>
      </c>
      <c r="AF304" s="20">
        <f>IF(B304="","",IF(K304="","",ROUND(K304-AD304,2)))</f>
        <v>0</v>
      </c>
      <c r="AG304" s="20">
        <f>IF(B304="","",ROUND(V304-Y304-AE304-Z304,2))</f>
        <v>0</v>
      </c>
      <c r="AH304" s="33">
        <f>IF(B304="","",IF(OR(V304="",V304=0),"",AG304/V304))</f>
        <v>0</v>
      </c>
      <c r="AI304" s="33">
        <f>IF(C304="","",IFERROR(INDEX(Products!$AW$5:$AW$304,MATCH(C304,Products!$A$5:$A$304,0)),""))</f>
        <v>0</v>
      </c>
      <c r="AJ304" s="33">
        <f>IF(B304="","",IF(OR(AH304="",AI304=""),"",AH304-AI304))</f>
        <v>0</v>
      </c>
      <c r="AK304" s="41">
        <f>IF(B304="","",IFERROR(ROUND(IF(D304="",0,D304)*INDEX(Products!$X$5:$X$304,MATCH(C304,Products!$A$5:$A$304,0))/60,2),""))</f>
        <v>0</v>
      </c>
      <c r="AL304" s="20">
        <f>IF(B304="","",IF(OR(AK304="",AK304=0),"",ROUND(AG304/AK304,2)))</f>
        <v>0</v>
      </c>
      <c r="AM304" s="43">
        <f>IF(B304="","",IF(C304="","Add - which product?",IF(AG304&lt;0,"Loss - this order cost you money",IF(M304="Refunded","Refunded - check why",IF(AND(AF304&lt;&gt;"",AF304&gt;0.25),"Check - fees higher than your settings",IF(Z304&gt;1,"Check - postage is eating the margin",IF(AND(AH304&lt;&gt;"",AH304&lt;MarginWarning),"Low margin on this order","OK")))))) )</f>
        <v>0</v>
      </c>
    </row>
    <row r="305" spans="1:39">
      <c r="A305" s="38">
        <f>IF(B305="","",SalePrefix&amp;TEXT(ROW()-4,"0000"))</f>
        <v>0</v>
      </c>
      <c r="Q305" s="13">
        <f>IF(C305="","",IFERROR(INDEX(Products!$B$5:$B$304,MATCH(C305,Products!$A$5:$A$304,0)),"Bundle or deleted"))</f>
        <v>0</v>
      </c>
      <c r="R305" s="13">
        <f>IF(B305="","",TEXT(B305,"yyyy-mm"))</f>
        <v>0</v>
      </c>
      <c r="S305" s="20">
        <f>IF(C305="","",IFERROR(INDEX(Products!$AR$5:$AR$304,MATCH(C305,Products!$A$5:$A$304,0)),""))</f>
        <v>0</v>
      </c>
      <c r="T305" s="20">
        <f>IF(B305="","",IF(F305&lt;&gt;"",F305,IF(S305="",0,S305)))</f>
        <v>0</v>
      </c>
      <c r="U305" s="20">
        <f>IF(B305="","",ROUND(IF(D305="",0,D305)*T305,2))</f>
        <v>0</v>
      </c>
      <c r="V305" s="20">
        <f>IF(B305="","",ROUND(U305-IF(G305="",0,G305)-IF(L305="",0,L305),2))</f>
        <v>0</v>
      </c>
      <c r="W305" s="20">
        <f>IF(C305="","",IFERROR(INDEX(Products!$AT$5:$AT$304,MATCH(C305,Products!$A$5:$A$304,0)),""))</f>
        <v>0</v>
      </c>
      <c r="X305" s="20">
        <f>IF(C305="","",IFERROR(INDEX(Products!$AG$5:$AG$304,MATCH(C305,Products!$A$5:$A$304,0)),""))</f>
        <v>0</v>
      </c>
      <c r="Y305" s="20">
        <f>IF(B305="","",ROUND(IF(D305="",0,D305)*MAX(0,IF(W305="",0,W305)-IF(X305="",0,X305)),2))</f>
        <v>0</v>
      </c>
      <c r="Z305" s="20">
        <f>IF(B305="","",ROUND(MAX(0,IF(J305="",0,J305)-IF(I305="",0,I305)),2))</f>
        <v>0</v>
      </c>
      <c r="AA305" s="33">
        <f>IF(B305="","",IFERROR(INDEX(Channels!$S$5:$S$18,MATCH(IF(E305="",DefaultChannel,E305),Channels!$A$5:$A$18,0)),0))</f>
        <v>0</v>
      </c>
      <c r="AB305" s="20">
        <f>IF(B305="","",IFERROR(INDEX(Channels!$T$5:$T$18,MATCH(IF(E305="",DefaultChannel,E305),Channels!$A$5:$A$18,0)),0))</f>
        <v>0</v>
      </c>
      <c r="AC305" s="42">
        <f>IF(B305="","",IFERROR(INDEX(Channels!$O$5:$O$18,MATCH(IF(E305="",DefaultChannel,E305),Channels!$A$5:$A$18,0)),"No"))</f>
        <v>0</v>
      </c>
      <c r="AD305" s="20">
        <f>IF(B305="","",ROUND((V305+IF(AC305="Yes",IF(I305="",0,I305),0))*AA305+AB305,2))</f>
        <v>0</v>
      </c>
      <c r="AE305" s="20">
        <f>IF(B305="","",IF(K305&lt;&gt;"",K305,AD305))</f>
        <v>0</v>
      </c>
      <c r="AF305" s="20">
        <f>IF(B305="","",IF(K305="","",ROUND(K305-AD305,2)))</f>
        <v>0</v>
      </c>
      <c r="AG305" s="20">
        <f>IF(B305="","",ROUND(V305-Y305-AE305-Z305,2))</f>
        <v>0</v>
      </c>
      <c r="AH305" s="33">
        <f>IF(B305="","",IF(OR(V305="",V305=0),"",AG305/V305))</f>
        <v>0</v>
      </c>
      <c r="AI305" s="33">
        <f>IF(C305="","",IFERROR(INDEX(Products!$AW$5:$AW$304,MATCH(C305,Products!$A$5:$A$304,0)),""))</f>
        <v>0</v>
      </c>
      <c r="AJ305" s="33">
        <f>IF(B305="","",IF(OR(AH305="",AI305=""),"",AH305-AI305))</f>
        <v>0</v>
      </c>
      <c r="AK305" s="41">
        <f>IF(B305="","",IFERROR(ROUND(IF(D305="",0,D305)*INDEX(Products!$X$5:$X$304,MATCH(C305,Products!$A$5:$A$304,0))/60,2),""))</f>
        <v>0</v>
      </c>
      <c r="AL305" s="20">
        <f>IF(B305="","",IF(OR(AK305="",AK305=0),"",ROUND(AG305/AK305,2)))</f>
        <v>0</v>
      </c>
      <c r="AM305" s="43">
        <f>IF(B305="","",IF(C305="","Add - which product?",IF(AG305&lt;0,"Loss - this order cost you money",IF(M305="Refunded","Refunded - check why",IF(AND(AF305&lt;&gt;"",AF305&gt;0.25),"Check - fees higher than your settings",IF(Z305&gt;1,"Check - postage is eating the margin",IF(AND(AH305&lt;&gt;"",AH305&lt;MarginWarning),"Low margin on this order","OK")))))) )</f>
        <v>0</v>
      </c>
    </row>
    <row r="306" spans="1:39">
      <c r="A306" s="38">
        <f>IF(B306="","",SalePrefix&amp;TEXT(ROW()-4,"0000"))</f>
        <v>0</v>
      </c>
      <c r="Q306" s="13">
        <f>IF(C306="","",IFERROR(INDEX(Products!$B$5:$B$304,MATCH(C306,Products!$A$5:$A$304,0)),"Bundle or deleted"))</f>
        <v>0</v>
      </c>
      <c r="R306" s="13">
        <f>IF(B306="","",TEXT(B306,"yyyy-mm"))</f>
        <v>0</v>
      </c>
      <c r="S306" s="20">
        <f>IF(C306="","",IFERROR(INDEX(Products!$AR$5:$AR$304,MATCH(C306,Products!$A$5:$A$304,0)),""))</f>
        <v>0</v>
      </c>
      <c r="T306" s="20">
        <f>IF(B306="","",IF(F306&lt;&gt;"",F306,IF(S306="",0,S306)))</f>
        <v>0</v>
      </c>
      <c r="U306" s="20">
        <f>IF(B306="","",ROUND(IF(D306="",0,D306)*T306,2))</f>
        <v>0</v>
      </c>
      <c r="V306" s="20">
        <f>IF(B306="","",ROUND(U306-IF(G306="",0,G306)-IF(L306="",0,L306),2))</f>
        <v>0</v>
      </c>
      <c r="W306" s="20">
        <f>IF(C306="","",IFERROR(INDEX(Products!$AT$5:$AT$304,MATCH(C306,Products!$A$5:$A$304,0)),""))</f>
        <v>0</v>
      </c>
      <c r="X306" s="20">
        <f>IF(C306="","",IFERROR(INDEX(Products!$AG$5:$AG$304,MATCH(C306,Products!$A$5:$A$304,0)),""))</f>
        <v>0</v>
      </c>
      <c r="Y306" s="20">
        <f>IF(B306="","",ROUND(IF(D306="",0,D306)*MAX(0,IF(W306="",0,W306)-IF(X306="",0,X306)),2))</f>
        <v>0</v>
      </c>
      <c r="Z306" s="20">
        <f>IF(B306="","",ROUND(MAX(0,IF(J306="",0,J306)-IF(I306="",0,I306)),2))</f>
        <v>0</v>
      </c>
      <c r="AA306" s="33">
        <f>IF(B306="","",IFERROR(INDEX(Channels!$S$5:$S$18,MATCH(IF(E306="",DefaultChannel,E306),Channels!$A$5:$A$18,0)),0))</f>
        <v>0</v>
      </c>
      <c r="AB306" s="20">
        <f>IF(B306="","",IFERROR(INDEX(Channels!$T$5:$T$18,MATCH(IF(E306="",DefaultChannel,E306),Channels!$A$5:$A$18,0)),0))</f>
        <v>0</v>
      </c>
      <c r="AC306" s="42">
        <f>IF(B306="","",IFERROR(INDEX(Channels!$O$5:$O$18,MATCH(IF(E306="",DefaultChannel,E306),Channels!$A$5:$A$18,0)),"No"))</f>
        <v>0</v>
      </c>
      <c r="AD306" s="20">
        <f>IF(B306="","",ROUND((V306+IF(AC306="Yes",IF(I306="",0,I306),0))*AA306+AB306,2))</f>
        <v>0</v>
      </c>
      <c r="AE306" s="20">
        <f>IF(B306="","",IF(K306&lt;&gt;"",K306,AD306))</f>
        <v>0</v>
      </c>
      <c r="AF306" s="20">
        <f>IF(B306="","",IF(K306="","",ROUND(K306-AD306,2)))</f>
        <v>0</v>
      </c>
      <c r="AG306" s="20">
        <f>IF(B306="","",ROUND(V306-Y306-AE306-Z306,2))</f>
        <v>0</v>
      </c>
      <c r="AH306" s="33">
        <f>IF(B306="","",IF(OR(V306="",V306=0),"",AG306/V306))</f>
        <v>0</v>
      </c>
      <c r="AI306" s="33">
        <f>IF(C306="","",IFERROR(INDEX(Products!$AW$5:$AW$304,MATCH(C306,Products!$A$5:$A$304,0)),""))</f>
        <v>0</v>
      </c>
      <c r="AJ306" s="33">
        <f>IF(B306="","",IF(OR(AH306="",AI306=""),"",AH306-AI306))</f>
        <v>0</v>
      </c>
      <c r="AK306" s="41">
        <f>IF(B306="","",IFERROR(ROUND(IF(D306="",0,D306)*INDEX(Products!$X$5:$X$304,MATCH(C306,Products!$A$5:$A$304,0))/60,2),""))</f>
        <v>0</v>
      </c>
      <c r="AL306" s="20">
        <f>IF(B306="","",IF(OR(AK306="",AK306=0),"",ROUND(AG306/AK306,2)))</f>
        <v>0</v>
      </c>
      <c r="AM306" s="43">
        <f>IF(B306="","",IF(C306="","Add - which product?",IF(AG306&lt;0,"Loss - this order cost you money",IF(M306="Refunded","Refunded - check why",IF(AND(AF306&lt;&gt;"",AF306&gt;0.25),"Check - fees higher than your settings",IF(Z306&gt;1,"Check - postage is eating the margin",IF(AND(AH306&lt;&gt;"",AH306&lt;MarginWarning),"Low margin on this order","OK")))))) )</f>
        <v>0</v>
      </c>
    </row>
    <row r="307" spans="1:39">
      <c r="A307" s="38">
        <f>IF(B307="","",SalePrefix&amp;TEXT(ROW()-4,"0000"))</f>
        <v>0</v>
      </c>
      <c r="Q307" s="13">
        <f>IF(C307="","",IFERROR(INDEX(Products!$B$5:$B$304,MATCH(C307,Products!$A$5:$A$304,0)),"Bundle or deleted"))</f>
        <v>0</v>
      </c>
      <c r="R307" s="13">
        <f>IF(B307="","",TEXT(B307,"yyyy-mm"))</f>
        <v>0</v>
      </c>
      <c r="S307" s="20">
        <f>IF(C307="","",IFERROR(INDEX(Products!$AR$5:$AR$304,MATCH(C307,Products!$A$5:$A$304,0)),""))</f>
        <v>0</v>
      </c>
      <c r="T307" s="20">
        <f>IF(B307="","",IF(F307&lt;&gt;"",F307,IF(S307="",0,S307)))</f>
        <v>0</v>
      </c>
      <c r="U307" s="20">
        <f>IF(B307="","",ROUND(IF(D307="",0,D307)*T307,2))</f>
        <v>0</v>
      </c>
      <c r="V307" s="20">
        <f>IF(B307="","",ROUND(U307-IF(G307="",0,G307)-IF(L307="",0,L307),2))</f>
        <v>0</v>
      </c>
      <c r="W307" s="20">
        <f>IF(C307="","",IFERROR(INDEX(Products!$AT$5:$AT$304,MATCH(C307,Products!$A$5:$A$304,0)),""))</f>
        <v>0</v>
      </c>
      <c r="X307" s="20">
        <f>IF(C307="","",IFERROR(INDEX(Products!$AG$5:$AG$304,MATCH(C307,Products!$A$5:$A$304,0)),""))</f>
        <v>0</v>
      </c>
      <c r="Y307" s="20">
        <f>IF(B307="","",ROUND(IF(D307="",0,D307)*MAX(0,IF(W307="",0,W307)-IF(X307="",0,X307)),2))</f>
        <v>0</v>
      </c>
      <c r="Z307" s="20">
        <f>IF(B307="","",ROUND(MAX(0,IF(J307="",0,J307)-IF(I307="",0,I307)),2))</f>
        <v>0</v>
      </c>
      <c r="AA307" s="33">
        <f>IF(B307="","",IFERROR(INDEX(Channels!$S$5:$S$18,MATCH(IF(E307="",DefaultChannel,E307),Channels!$A$5:$A$18,0)),0))</f>
        <v>0</v>
      </c>
      <c r="AB307" s="20">
        <f>IF(B307="","",IFERROR(INDEX(Channels!$T$5:$T$18,MATCH(IF(E307="",DefaultChannel,E307),Channels!$A$5:$A$18,0)),0))</f>
        <v>0</v>
      </c>
      <c r="AC307" s="42">
        <f>IF(B307="","",IFERROR(INDEX(Channels!$O$5:$O$18,MATCH(IF(E307="",DefaultChannel,E307),Channels!$A$5:$A$18,0)),"No"))</f>
        <v>0</v>
      </c>
      <c r="AD307" s="20">
        <f>IF(B307="","",ROUND((V307+IF(AC307="Yes",IF(I307="",0,I307),0))*AA307+AB307,2))</f>
        <v>0</v>
      </c>
      <c r="AE307" s="20">
        <f>IF(B307="","",IF(K307&lt;&gt;"",K307,AD307))</f>
        <v>0</v>
      </c>
      <c r="AF307" s="20">
        <f>IF(B307="","",IF(K307="","",ROUND(K307-AD307,2)))</f>
        <v>0</v>
      </c>
      <c r="AG307" s="20">
        <f>IF(B307="","",ROUND(V307-Y307-AE307-Z307,2))</f>
        <v>0</v>
      </c>
      <c r="AH307" s="33">
        <f>IF(B307="","",IF(OR(V307="",V307=0),"",AG307/V307))</f>
        <v>0</v>
      </c>
      <c r="AI307" s="33">
        <f>IF(C307="","",IFERROR(INDEX(Products!$AW$5:$AW$304,MATCH(C307,Products!$A$5:$A$304,0)),""))</f>
        <v>0</v>
      </c>
      <c r="AJ307" s="33">
        <f>IF(B307="","",IF(OR(AH307="",AI307=""),"",AH307-AI307))</f>
        <v>0</v>
      </c>
      <c r="AK307" s="41">
        <f>IF(B307="","",IFERROR(ROUND(IF(D307="",0,D307)*INDEX(Products!$X$5:$X$304,MATCH(C307,Products!$A$5:$A$304,0))/60,2),""))</f>
        <v>0</v>
      </c>
      <c r="AL307" s="20">
        <f>IF(B307="","",IF(OR(AK307="",AK307=0),"",ROUND(AG307/AK307,2)))</f>
        <v>0</v>
      </c>
      <c r="AM307" s="43">
        <f>IF(B307="","",IF(C307="","Add - which product?",IF(AG307&lt;0,"Loss - this order cost you money",IF(M307="Refunded","Refunded - check why",IF(AND(AF307&lt;&gt;"",AF307&gt;0.25),"Check - fees higher than your settings",IF(Z307&gt;1,"Check - postage is eating the margin",IF(AND(AH307&lt;&gt;"",AH307&lt;MarginWarning),"Low margin on this order","OK")))))) )</f>
        <v>0</v>
      </c>
    </row>
    <row r="308" spans="1:39">
      <c r="A308" s="38">
        <f>IF(B308="","",SalePrefix&amp;TEXT(ROW()-4,"0000"))</f>
        <v>0</v>
      </c>
      <c r="Q308" s="13">
        <f>IF(C308="","",IFERROR(INDEX(Products!$B$5:$B$304,MATCH(C308,Products!$A$5:$A$304,0)),"Bundle or deleted"))</f>
        <v>0</v>
      </c>
      <c r="R308" s="13">
        <f>IF(B308="","",TEXT(B308,"yyyy-mm"))</f>
        <v>0</v>
      </c>
      <c r="S308" s="20">
        <f>IF(C308="","",IFERROR(INDEX(Products!$AR$5:$AR$304,MATCH(C308,Products!$A$5:$A$304,0)),""))</f>
        <v>0</v>
      </c>
      <c r="T308" s="20">
        <f>IF(B308="","",IF(F308&lt;&gt;"",F308,IF(S308="",0,S308)))</f>
        <v>0</v>
      </c>
      <c r="U308" s="20">
        <f>IF(B308="","",ROUND(IF(D308="",0,D308)*T308,2))</f>
        <v>0</v>
      </c>
      <c r="V308" s="20">
        <f>IF(B308="","",ROUND(U308-IF(G308="",0,G308)-IF(L308="",0,L308),2))</f>
        <v>0</v>
      </c>
      <c r="W308" s="20">
        <f>IF(C308="","",IFERROR(INDEX(Products!$AT$5:$AT$304,MATCH(C308,Products!$A$5:$A$304,0)),""))</f>
        <v>0</v>
      </c>
      <c r="X308" s="20">
        <f>IF(C308="","",IFERROR(INDEX(Products!$AG$5:$AG$304,MATCH(C308,Products!$A$5:$A$304,0)),""))</f>
        <v>0</v>
      </c>
      <c r="Y308" s="20">
        <f>IF(B308="","",ROUND(IF(D308="",0,D308)*MAX(0,IF(W308="",0,W308)-IF(X308="",0,X308)),2))</f>
        <v>0</v>
      </c>
      <c r="Z308" s="20">
        <f>IF(B308="","",ROUND(MAX(0,IF(J308="",0,J308)-IF(I308="",0,I308)),2))</f>
        <v>0</v>
      </c>
      <c r="AA308" s="33">
        <f>IF(B308="","",IFERROR(INDEX(Channels!$S$5:$S$18,MATCH(IF(E308="",DefaultChannel,E308),Channels!$A$5:$A$18,0)),0))</f>
        <v>0</v>
      </c>
      <c r="AB308" s="20">
        <f>IF(B308="","",IFERROR(INDEX(Channels!$T$5:$T$18,MATCH(IF(E308="",DefaultChannel,E308),Channels!$A$5:$A$18,0)),0))</f>
        <v>0</v>
      </c>
      <c r="AC308" s="42">
        <f>IF(B308="","",IFERROR(INDEX(Channels!$O$5:$O$18,MATCH(IF(E308="",DefaultChannel,E308),Channels!$A$5:$A$18,0)),"No"))</f>
        <v>0</v>
      </c>
      <c r="AD308" s="20">
        <f>IF(B308="","",ROUND((V308+IF(AC308="Yes",IF(I308="",0,I308),0))*AA308+AB308,2))</f>
        <v>0</v>
      </c>
      <c r="AE308" s="20">
        <f>IF(B308="","",IF(K308&lt;&gt;"",K308,AD308))</f>
        <v>0</v>
      </c>
      <c r="AF308" s="20">
        <f>IF(B308="","",IF(K308="","",ROUND(K308-AD308,2)))</f>
        <v>0</v>
      </c>
      <c r="AG308" s="20">
        <f>IF(B308="","",ROUND(V308-Y308-AE308-Z308,2))</f>
        <v>0</v>
      </c>
      <c r="AH308" s="33">
        <f>IF(B308="","",IF(OR(V308="",V308=0),"",AG308/V308))</f>
        <v>0</v>
      </c>
      <c r="AI308" s="33">
        <f>IF(C308="","",IFERROR(INDEX(Products!$AW$5:$AW$304,MATCH(C308,Products!$A$5:$A$304,0)),""))</f>
        <v>0</v>
      </c>
      <c r="AJ308" s="33">
        <f>IF(B308="","",IF(OR(AH308="",AI308=""),"",AH308-AI308))</f>
        <v>0</v>
      </c>
      <c r="AK308" s="41">
        <f>IF(B308="","",IFERROR(ROUND(IF(D308="",0,D308)*INDEX(Products!$X$5:$X$304,MATCH(C308,Products!$A$5:$A$304,0))/60,2),""))</f>
        <v>0</v>
      </c>
      <c r="AL308" s="20">
        <f>IF(B308="","",IF(OR(AK308="",AK308=0),"",ROUND(AG308/AK308,2)))</f>
        <v>0</v>
      </c>
      <c r="AM308" s="43">
        <f>IF(B308="","",IF(C308="","Add - which product?",IF(AG308&lt;0,"Loss - this order cost you money",IF(M308="Refunded","Refunded - check why",IF(AND(AF308&lt;&gt;"",AF308&gt;0.25),"Check - fees higher than your settings",IF(Z308&gt;1,"Check - postage is eating the margin",IF(AND(AH308&lt;&gt;"",AH308&lt;MarginWarning),"Low margin on this order","OK")))))) )</f>
        <v>0</v>
      </c>
    </row>
    <row r="309" spans="1:39">
      <c r="A309" s="38">
        <f>IF(B309="","",SalePrefix&amp;TEXT(ROW()-4,"0000"))</f>
        <v>0</v>
      </c>
      <c r="Q309" s="13">
        <f>IF(C309="","",IFERROR(INDEX(Products!$B$5:$B$304,MATCH(C309,Products!$A$5:$A$304,0)),"Bundle or deleted"))</f>
        <v>0</v>
      </c>
      <c r="R309" s="13">
        <f>IF(B309="","",TEXT(B309,"yyyy-mm"))</f>
        <v>0</v>
      </c>
      <c r="S309" s="20">
        <f>IF(C309="","",IFERROR(INDEX(Products!$AR$5:$AR$304,MATCH(C309,Products!$A$5:$A$304,0)),""))</f>
        <v>0</v>
      </c>
      <c r="T309" s="20">
        <f>IF(B309="","",IF(F309&lt;&gt;"",F309,IF(S309="",0,S309)))</f>
        <v>0</v>
      </c>
      <c r="U309" s="20">
        <f>IF(B309="","",ROUND(IF(D309="",0,D309)*T309,2))</f>
        <v>0</v>
      </c>
      <c r="V309" s="20">
        <f>IF(B309="","",ROUND(U309-IF(G309="",0,G309)-IF(L309="",0,L309),2))</f>
        <v>0</v>
      </c>
      <c r="W309" s="20">
        <f>IF(C309="","",IFERROR(INDEX(Products!$AT$5:$AT$304,MATCH(C309,Products!$A$5:$A$304,0)),""))</f>
        <v>0</v>
      </c>
      <c r="X309" s="20">
        <f>IF(C309="","",IFERROR(INDEX(Products!$AG$5:$AG$304,MATCH(C309,Products!$A$5:$A$304,0)),""))</f>
        <v>0</v>
      </c>
      <c r="Y309" s="20">
        <f>IF(B309="","",ROUND(IF(D309="",0,D309)*MAX(0,IF(W309="",0,W309)-IF(X309="",0,X309)),2))</f>
        <v>0</v>
      </c>
      <c r="Z309" s="20">
        <f>IF(B309="","",ROUND(MAX(0,IF(J309="",0,J309)-IF(I309="",0,I309)),2))</f>
        <v>0</v>
      </c>
      <c r="AA309" s="33">
        <f>IF(B309="","",IFERROR(INDEX(Channels!$S$5:$S$18,MATCH(IF(E309="",DefaultChannel,E309),Channels!$A$5:$A$18,0)),0))</f>
        <v>0</v>
      </c>
      <c r="AB309" s="20">
        <f>IF(B309="","",IFERROR(INDEX(Channels!$T$5:$T$18,MATCH(IF(E309="",DefaultChannel,E309),Channels!$A$5:$A$18,0)),0))</f>
        <v>0</v>
      </c>
      <c r="AC309" s="42">
        <f>IF(B309="","",IFERROR(INDEX(Channels!$O$5:$O$18,MATCH(IF(E309="",DefaultChannel,E309),Channels!$A$5:$A$18,0)),"No"))</f>
        <v>0</v>
      </c>
      <c r="AD309" s="20">
        <f>IF(B309="","",ROUND((V309+IF(AC309="Yes",IF(I309="",0,I309),0))*AA309+AB309,2))</f>
        <v>0</v>
      </c>
      <c r="AE309" s="20">
        <f>IF(B309="","",IF(K309&lt;&gt;"",K309,AD309))</f>
        <v>0</v>
      </c>
      <c r="AF309" s="20">
        <f>IF(B309="","",IF(K309="","",ROUND(K309-AD309,2)))</f>
        <v>0</v>
      </c>
      <c r="AG309" s="20">
        <f>IF(B309="","",ROUND(V309-Y309-AE309-Z309,2))</f>
        <v>0</v>
      </c>
      <c r="AH309" s="33">
        <f>IF(B309="","",IF(OR(V309="",V309=0),"",AG309/V309))</f>
        <v>0</v>
      </c>
      <c r="AI309" s="33">
        <f>IF(C309="","",IFERROR(INDEX(Products!$AW$5:$AW$304,MATCH(C309,Products!$A$5:$A$304,0)),""))</f>
        <v>0</v>
      </c>
      <c r="AJ309" s="33">
        <f>IF(B309="","",IF(OR(AH309="",AI309=""),"",AH309-AI309))</f>
        <v>0</v>
      </c>
      <c r="AK309" s="41">
        <f>IF(B309="","",IFERROR(ROUND(IF(D309="",0,D309)*INDEX(Products!$X$5:$X$304,MATCH(C309,Products!$A$5:$A$304,0))/60,2),""))</f>
        <v>0</v>
      </c>
      <c r="AL309" s="20">
        <f>IF(B309="","",IF(OR(AK309="",AK309=0),"",ROUND(AG309/AK309,2)))</f>
        <v>0</v>
      </c>
      <c r="AM309" s="43">
        <f>IF(B309="","",IF(C309="","Add - which product?",IF(AG309&lt;0,"Loss - this order cost you money",IF(M309="Refunded","Refunded - check why",IF(AND(AF309&lt;&gt;"",AF309&gt;0.25),"Check - fees higher than your settings",IF(Z309&gt;1,"Check - postage is eating the margin",IF(AND(AH309&lt;&gt;"",AH309&lt;MarginWarning),"Low margin on this order","OK")))))) )</f>
        <v>0</v>
      </c>
    </row>
    <row r="310" spans="1:39">
      <c r="A310" s="38">
        <f>IF(B310="","",SalePrefix&amp;TEXT(ROW()-4,"0000"))</f>
        <v>0</v>
      </c>
      <c r="Q310" s="13">
        <f>IF(C310="","",IFERROR(INDEX(Products!$B$5:$B$304,MATCH(C310,Products!$A$5:$A$304,0)),"Bundle or deleted"))</f>
        <v>0</v>
      </c>
      <c r="R310" s="13">
        <f>IF(B310="","",TEXT(B310,"yyyy-mm"))</f>
        <v>0</v>
      </c>
      <c r="S310" s="20">
        <f>IF(C310="","",IFERROR(INDEX(Products!$AR$5:$AR$304,MATCH(C310,Products!$A$5:$A$304,0)),""))</f>
        <v>0</v>
      </c>
      <c r="T310" s="20">
        <f>IF(B310="","",IF(F310&lt;&gt;"",F310,IF(S310="",0,S310)))</f>
        <v>0</v>
      </c>
      <c r="U310" s="20">
        <f>IF(B310="","",ROUND(IF(D310="",0,D310)*T310,2))</f>
        <v>0</v>
      </c>
      <c r="V310" s="20">
        <f>IF(B310="","",ROUND(U310-IF(G310="",0,G310)-IF(L310="",0,L310),2))</f>
        <v>0</v>
      </c>
      <c r="W310" s="20">
        <f>IF(C310="","",IFERROR(INDEX(Products!$AT$5:$AT$304,MATCH(C310,Products!$A$5:$A$304,0)),""))</f>
        <v>0</v>
      </c>
      <c r="X310" s="20">
        <f>IF(C310="","",IFERROR(INDEX(Products!$AG$5:$AG$304,MATCH(C310,Products!$A$5:$A$304,0)),""))</f>
        <v>0</v>
      </c>
      <c r="Y310" s="20">
        <f>IF(B310="","",ROUND(IF(D310="",0,D310)*MAX(0,IF(W310="",0,W310)-IF(X310="",0,X310)),2))</f>
        <v>0</v>
      </c>
      <c r="Z310" s="20">
        <f>IF(B310="","",ROUND(MAX(0,IF(J310="",0,J310)-IF(I310="",0,I310)),2))</f>
        <v>0</v>
      </c>
      <c r="AA310" s="33">
        <f>IF(B310="","",IFERROR(INDEX(Channels!$S$5:$S$18,MATCH(IF(E310="",DefaultChannel,E310),Channels!$A$5:$A$18,0)),0))</f>
        <v>0</v>
      </c>
      <c r="AB310" s="20">
        <f>IF(B310="","",IFERROR(INDEX(Channels!$T$5:$T$18,MATCH(IF(E310="",DefaultChannel,E310),Channels!$A$5:$A$18,0)),0))</f>
        <v>0</v>
      </c>
      <c r="AC310" s="42">
        <f>IF(B310="","",IFERROR(INDEX(Channels!$O$5:$O$18,MATCH(IF(E310="",DefaultChannel,E310),Channels!$A$5:$A$18,0)),"No"))</f>
        <v>0</v>
      </c>
      <c r="AD310" s="20">
        <f>IF(B310="","",ROUND((V310+IF(AC310="Yes",IF(I310="",0,I310),0))*AA310+AB310,2))</f>
        <v>0</v>
      </c>
      <c r="AE310" s="20">
        <f>IF(B310="","",IF(K310&lt;&gt;"",K310,AD310))</f>
        <v>0</v>
      </c>
      <c r="AF310" s="20">
        <f>IF(B310="","",IF(K310="","",ROUND(K310-AD310,2)))</f>
        <v>0</v>
      </c>
      <c r="AG310" s="20">
        <f>IF(B310="","",ROUND(V310-Y310-AE310-Z310,2))</f>
        <v>0</v>
      </c>
      <c r="AH310" s="33">
        <f>IF(B310="","",IF(OR(V310="",V310=0),"",AG310/V310))</f>
        <v>0</v>
      </c>
      <c r="AI310" s="33">
        <f>IF(C310="","",IFERROR(INDEX(Products!$AW$5:$AW$304,MATCH(C310,Products!$A$5:$A$304,0)),""))</f>
        <v>0</v>
      </c>
      <c r="AJ310" s="33">
        <f>IF(B310="","",IF(OR(AH310="",AI310=""),"",AH310-AI310))</f>
        <v>0</v>
      </c>
      <c r="AK310" s="41">
        <f>IF(B310="","",IFERROR(ROUND(IF(D310="",0,D310)*INDEX(Products!$X$5:$X$304,MATCH(C310,Products!$A$5:$A$304,0))/60,2),""))</f>
        <v>0</v>
      </c>
      <c r="AL310" s="20">
        <f>IF(B310="","",IF(OR(AK310="",AK310=0),"",ROUND(AG310/AK310,2)))</f>
        <v>0</v>
      </c>
      <c r="AM310" s="43">
        <f>IF(B310="","",IF(C310="","Add - which product?",IF(AG310&lt;0,"Loss - this order cost you money",IF(M310="Refunded","Refunded - check why",IF(AND(AF310&lt;&gt;"",AF310&gt;0.25),"Check - fees higher than your settings",IF(Z310&gt;1,"Check - postage is eating the margin",IF(AND(AH310&lt;&gt;"",AH310&lt;MarginWarning),"Low margin on this order","OK")))))) )</f>
        <v>0</v>
      </c>
    </row>
    <row r="311" spans="1:39">
      <c r="A311" s="38">
        <f>IF(B311="","",SalePrefix&amp;TEXT(ROW()-4,"0000"))</f>
        <v>0</v>
      </c>
      <c r="Q311" s="13">
        <f>IF(C311="","",IFERROR(INDEX(Products!$B$5:$B$304,MATCH(C311,Products!$A$5:$A$304,0)),"Bundle or deleted"))</f>
        <v>0</v>
      </c>
      <c r="R311" s="13">
        <f>IF(B311="","",TEXT(B311,"yyyy-mm"))</f>
        <v>0</v>
      </c>
      <c r="S311" s="20">
        <f>IF(C311="","",IFERROR(INDEX(Products!$AR$5:$AR$304,MATCH(C311,Products!$A$5:$A$304,0)),""))</f>
        <v>0</v>
      </c>
      <c r="T311" s="20">
        <f>IF(B311="","",IF(F311&lt;&gt;"",F311,IF(S311="",0,S311)))</f>
        <v>0</v>
      </c>
      <c r="U311" s="20">
        <f>IF(B311="","",ROUND(IF(D311="",0,D311)*T311,2))</f>
        <v>0</v>
      </c>
      <c r="V311" s="20">
        <f>IF(B311="","",ROUND(U311-IF(G311="",0,G311)-IF(L311="",0,L311),2))</f>
        <v>0</v>
      </c>
      <c r="W311" s="20">
        <f>IF(C311="","",IFERROR(INDEX(Products!$AT$5:$AT$304,MATCH(C311,Products!$A$5:$A$304,0)),""))</f>
        <v>0</v>
      </c>
      <c r="X311" s="20">
        <f>IF(C311="","",IFERROR(INDEX(Products!$AG$5:$AG$304,MATCH(C311,Products!$A$5:$A$304,0)),""))</f>
        <v>0</v>
      </c>
      <c r="Y311" s="20">
        <f>IF(B311="","",ROUND(IF(D311="",0,D311)*MAX(0,IF(W311="",0,W311)-IF(X311="",0,X311)),2))</f>
        <v>0</v>
      </c>
      <c r="Z311" s="20">
        <f>IF(B311="","",ROUND(MAX(0,IF(J311="",0,J311)-IF(I311="",0,I311)),2))</f>
        <v>0</v>
      </c>
      <c r="AA311" s="33">
        <f>IF(B311="","",IFERROR(INDEX(Channels!$S$5:$S$18,MATCH(IF(E311="",DefaultChannel,E311),Channels!$A$5:$A$18,0)),0))</f>
        <v>0</v>
      </c>
      <c r="AB311" s="20">
        <f>IF(B311="","",IFERROR(INDEX(Channels!$T$5:$T$18,MATCH(IF(E311="",DefaultChannel,E311),Channels!$A$5:$A$18,0)),0))</f>
        <v>0</v>
      </c>
      <c r="AC311" s="42">
        <f>IF(B311="","",IFERROR(INDEX(Channels!$O$5:$O$18,MATCH(IF(E311="",DefaultChannel,E311),Channels!$A$5:$A$18,0)),"No"))</f>
        <v>0</v>
      </c>
      <c r="AD311" s="20">
        <f>IF(B311="","",ROUND((V311+IF(AC311="Yes",IF(I311="",0,I311),0))*AA311+AB311,2))</f>
        <v>0</v>
      </c>
      <c r="AE311" s="20">
        <f>IF(B311="","",IF(K311&lt;&gt;"",K311,AD311))</f>
        <v>0</v>
      </c>
      <c r="AF311" s="20">
        <f>IF(B311="","",IF(K311="","",ROUND(K311-AD311,2)))</f>
        <v>0</v>
      </c>
      <c r="AG311" s="20">
        <f>IF(B311="","",ROUND(V311-Y311-AE311-Z311,2))</f>
        <v>0</v>
      </c>
      <c r="AH311" s="33">
        <f>IF(B311="","",IF(OR(V311="",V311=0),"",AG311/V311))</f>
        <v>0</v>
      </c>
      <c r="AI311" s="33">
        <f>IF(C311="","",IFERROR(INDEX(Products!$AW$5:$AW$304,MATCH(C311,Products!$A$5:$A$304,0)),""))</f>
        <v>0</v>
      </c>
      <c r="AJ311" s="33">
        <f>IF(B311="","",IF(OR(AH311="",AI311=""),"",AH311-AI311))</f>
        <v>0</v>
      </c>
      <c r="AK311" s="41">
        <f>IF(B311="","",IFERROR(ROUND(IF(D311="",0,D311)*INDEX(Products!$X$5:$X$304,MATCH(C311,Products!$A$5:$A$304,0))/60,2),""))</f>
        <v>0</v>
      </c>
      <c r="AL311" s="20">
        <f>IF(B311="","",IF(OR(AK311="",AK311=0),"",ROUND(AG311/AK311,2)))</f>
        <v>0</v>
      </c>
      <c r="AM311" s="43">
        <f>IF(B311="","",IF(C311="","Add - which product?",IF(AG311&lt;0,"Loss - this order cost you money",IF(M311="Refunded","Refunded - check why",IF(AND(AF311&lt;&gt;"",AF311&gt;0.25),"Check - fees higher than your settings",IF(Z311&gt;1,"Check - postage is eating the margin",IF(AND(AH311&lt;&gt;"",AH311&lt;MarginWarning),"Low margin on this order","OK")))))) )</f>
        <v>0</v>
      </c>
    </row>
    <row r="312" spans="1:39">
      <c r="A312" s="38">
        <f>IF(B312="","",SalePrefix&amp;TEXT(ROW()-4,"0000"))</f>
        <v>0</v>
      </c>
      <c r="Q312" s="13">
        <f>IF(C312="","",IFERROR(INDEX(Products!$B$5:$B$304,MATCH(C312,Products!$A$5:$A$304,0)),"Bundle or deleted"))</f>
        <v>0</v>
      </c>
      <c r="R312" s="13">
        <f>IF(B312="","",TEXT(B312,"yyyy-mm"))</f>
        <v>0</v>
      </c>
      <c r="S312" s="20">
        <f>IF(C312="","",IFERROR(INDEX(Products!$AR$5:$AR$304,MATCH(C312,Products!$A$5:$A$304,0)),""))</f>
        <v>0</v>
      </c>
      <c r="T312" s="20">
        <f>IF(B312="","",IF(F312&lt;&gt;"",F312,IF(S312="",0,S312)))</f>
        <v>0</v>
      </c>
      <c r="U312" s="20">
        <f>IF(B312="","",ROUND(IF(D312="",0,D312)*T312,2))</f>
        <v>0</v>
      </c>
      <c r="V312" s="20">
        <f>IF(B312="","",ROUND(U312-IF(G312="",0,G312)-IF(L312="",0,L312),2))</f>
        <v>0</v>
      </c>
      <c r="W312" s="20">
        <f>IF(C312="","",IFERROR(INDEX(Products!$AT$5:$AT$304,MATCH(C312,Products!$A$5:$A$304,0)),""))</f>
        <v>0</v>
      </c>
      <c r="X312" s="20">
        <f>IF(C312="","",IFERROR(INDEX(Products!$AG$5:$AG$304,MATCH(C312,Products!$A$5:$A$304,0)),""))</f>
        <v>0</v>
      </c>
      <c r="Y312" s="20">
        <f>IF(B312="","",ROUND(IF(D312="",0,D312)*MAX(0,IF(W312="",0,W312)-IF(X312="",0,X312)),2))</f>
        <v>0</v>
      </c>
      <c r="Z312" s="20">
        <f>IF(B312="","",ROUND(MAX(0,IF(J312="",0,J312)-IF(I312="",0,I312)),2))</f>
        <v>0</v>
      </c>
      <c r="AA312" s="33">
        <f>IF(B312="","",IFERROR(INDEX(Channels!$S$5:$S$18,MATCH(IF(E312="",DefaultChannel,E312),Channels!$A$5:$A$18,0)),0))</f>
        <v>0</v>
      </c>
      <c r="AB312" s="20">
        <f>IF(B312="","",IFERROR(INDEX(Channels!$T$5:$T$18,MATCH(IF(E312="",DefaultChannel,E312),Channels!$A$5:$A$18,0)),0))</f>
        <v>0</v>
      </c>
      <c r="AC312" s="42">
        <f>IF(B312="","",IFERROR(INDEX(Channels!$O$5:$O$18,MATCH(IF(E312="",DefaultChannel,E312),Channels!$A$5:$A$18,0)),"No"))</f>
        <v>0</v>
      </c>
      <c r="AD312" s="20">
        <f>IF(B312="","",ROUND((V312+IF(AC312="Yes",IF(I312="",0,I312),0))*AA312+AB312,2))</f>
        <v>0</v>
      </c>
      <c r="AE312" s="20">
        <f>IF(B312="","",IF(K312&lt;&gt;"",K312,AD312))</f>
        <v>0</v>
      </c>
      <c r="AF312" s="20">
        <f>IF(B312="","",IF(K312="","",ROUND(K312-AD312,2)))</f>
        <v>0</v>
      </c>
      <c r="AG312" s="20">
        <f>IF(B312="","",ROUND(V312-Y312-AE312-Z312,2))</f>
        <v>0</v>
      </c>
      <c r="AH312" s="33">
        <f>IF(B312="","",IF(OR(V312="",V312=0),"",AG312/V312))</f>
        <v>0</v>
      </c>
      <c r="AI312" s="33">
        <f>IF(C312="","",IFERROR(INDEX(Products!$AW$5:$AW$304,MATCH(C312,Products!$A$5:$A$304,0)),""))</f>
        <v>0</v>
      </c>
      <c r="AJ312" s="33">
        <f>IF(B312="","",IF(OR(AH312="",AI312=""),"",AH312-AI312))</f>
        <v>0</v>
      </c>
      <c r="AK312" s="41">
        <f>IF(B312="","",IFERROR(ROUND(IF(D312="",0,D312)*INDEX(Products!$X$5:$X$304,MATCH(C312,Products!$A$5:$A$304,0))/60,2),""))</f>
        <v>0</v>
      </c>
      <c r="AL312" s="20">
        <f>IF(B312="","",IF(OR(AK312="",AK312=0),"",ROUND(AG312/AK312,2)))</f>
        <v>0</v>
      </c>
      <c r="AM312" s="43">
        <f>IF(B312="","",IF(C312="","Add - which product?",IF(AG312&lt;0,"Loss - this order cost you money",IF(M312="Refunded","Refunded - check why",IF(AND(AF312&lt;&gt;"",AF312&gt;0.25),"Check - fees higher than your settings",IF(Z312&gt;1,"Check - postage is eating the margin",IF(AND(AH312&lt;&gt;"",AH312&lt;MarginWarning),"Low margin on this order","OK")))))) )</f>
        <v>0</v>
      </c>
    </row>
    <row r="313" spans="1:39">
      <c r="A313" s="38">
        <f>IF(B313="","",SalePrefix&amp;TEXT(ROW()-4,"0000"))</f>
        <v>0</v>
      </c>
      <c r="Q313" s="13">
        <f>IF(C313="","",IFERROR(INDEX(Products!$B$5:$B$304,MATCH(C313,Products!$A$5:$A$304,0)),"Bundle or deleted"))</f>
        <v>0</v>
      </c>
      <c r="R313" s="13">
        <f>IF(B313="","",TEXT(B313,"yyyy-mm"))</f>
        <v>0</v>
      </c>
      <c r="S313" s="20">
        <f>IF(C313="","",IFERROR(INDEX(Products!$AR$5:$AR$304,MATCH(C313,Products!$A$5:$A$304,0)),""))</f>
        <v>0</v>
      </c>
      <c r="T313" s="20">
        <f>IF(B313="","",IF(F313&lt;&gt;"",F313,IF(S313="",0,S313)))</f>
        <v>0</v>
      </c>
      <c r="U313" s="20">
        <f>IF(B313="","",ROUND(IF(D313="",0,D313)*T313,2))</f>
        <v>0</v>
      </c>
      <c r="V313" s="20">
        <f>IF(B313="","",ROUND(U313-IF(G313="",0,G313)-IF(L313="",0,L313),2))</f>
        <v>0</v>
      </c>
      <c r="W313" s="20">
        <f>IF(C313="","",IFERROR(INDEX(Products!$AT$5:$AT$304,MATCH(C313,Products!$A$5:$A$304,0)),""))</f>
        <v>0</v>
      </c>
      <c r="X313" s="20">
        <f>IF(C313="","",IFERROR(INDEX(Products!$AG$5:$AG$304,MATCH(C313,Products!$A$5:$A$304,0)),""))</f>
        <v>0</v>
      </c>
      <c r="Y313" s="20">
        <f>IF(B313="","",ROUND(IF(D313="",0,D313)*MAX(0,IF(W313="",0,W313)-IF(X313="",0,X313)),2))</f>
        <v>0</v>
      </c>
      <c r="Z313" s="20">
        <f>IF(B313="","",ROUND(MAX(0,IF(J313="",0,J313)-IF(I313="",0,I313)),2))</f>
        <v>0</v>
      </c>
      <c r="AA313" s="33">
        <f>IF(B313="","",IFERROR(INDEX(Channels!$S$5:$S$18,MATCH(IF(E313="",DefaultChannel,E313),Channels!$A$5:$A$18,0)),0))</f>
        <v>0</v>
      </c>
      <c r="AB313" s="20">
        <f>IF(B313="","",IFERROR(INDEX(Channels!$T$5:$T$18,MATCH(IF(E313="",DefaultChannel,E313),Channels!$A$5:$A$18,0)),0))</f>
        <v>0</v>
      </c>
      <c r="AC313" s="42">
        <f>IF(B313="","",IFERROR(INDEX(Channels!$O$5:$O$18,MATCH(IF(E313="",DefaultChannel,E313),Channels!$A$5:$A$18,0)),"No"))</f>
        <v>0</v>
      </c>
      <c r="AD313" s="20">
        <f>IF(B313="","",ROUND((V313+IF(AC313="Yes",IF(I313="",0,I313),0))*AA313+AB313,2))</f>
        <v>0</v>
      </c>
      <c r="AE313" s="20">
        <f>IF(B313="","",IF(K313&lt;&gt;"",K313,AD313))</f>
        <v>0</v>
      </c>
      <c r="AF313" s="20">
        <f>IF(B313="","",IF(K313="","",ROUND(K313-AD313,2)))</f>
        <v>0</v>
      </c>
      <c r="AG313" s="20">
        <f>IF(B313="","",ROUND(V313-Y313-AE313-Z313,2))</f>
        <v>0</v>
      </c>
      <c r="AH313" s="33">
        <f>IF(B313="","",IF(OR(V313="",V313=0),"",AG313/V313))</f>
        <v>0</v>
      </c>
      <c r="AI313" s="33">
        <f>IF(C313="","",IFERROR(INDEX(Products!$AW$5:$AW$304,MATCH(C313,Products!$A$5:$A$304,0)),""))</f>
        <v>0</v>
      </c>
      <c r="AJ313" s="33">
        <f>IF(B313="","",IF(OR(AH313="",AI313=""),"",AH313-AI313))</f>
        <v>0</v>
      </c>
      <c r="AK313" s="41">
        <f>IF(B313="","",IFERROR(ROUND(IF(D313="",0,D313)*INDEX(Products!$X$5:$X$304,MATCH(C313,Products!$A$5:$A$304,0))/60,2),""))</f>
        <v>0</v>
      </c>
      <c r="AL313" s="20">
        <f>IF(B313="","",IF(OR(AK313="",AK313=0),"",ROUND(AG313/AK313,2)))</f>
        <v>0</v>
      </c>
      <c r="AM313" s="43">
        <f>IF(B313="","",IF(C313="","Add - which product?",IF(AG313&lt;0,"Loss - this order cost you money",IF(M313="Refunded","Refunded - check why",IF(AND(AF313&lt;&gt;"",AF313&gt;0.25),"Check - fees higher than your settings",IF(Z313&gt;1,"Check - postage is eating the margin",IF(AND(AH313&lt;&gt;"",AH313&lt;MarginWarning),"Low margin on this order","OK")))))) )</f>
        <v>0</v>
      </c>
    </row>
    <row r="314" spans="1:39">
      <c r="A314" s="38">
        <f>IF(B314="","",SalePrefix&amp;TEXT(ROW()-4,"0000"))</f>
        <v>0</v>
      </c>
      <c r="Q314" s="13">
        <f>IF(C314="","",IFERROR(INDEX(Products!$B$5:$B$304,MATCH(C314,Products!$A$5:$A$304,0)),"Bundle or deleted"))</f>
        <v>0</v>
      </c>
      <c r="R314" s="13">
        <f>IF(B314="","",TEXT(B314,"yyyy-mm"))</f>
        <v>0</v>
      </c>
      <c r="S314" s="20">
        <f>IF(C314="","",IFERROR(INDEX(Products!$AR$5:$AR$304,MATCH(C314,Products!$A$5:$A$304,0)),""))</f>
        <v>0</v>
      </c>
      <c r="T314" s="20">
        <f>IF(B314="","",IF(F314&lt;&gt;"",F314,IF(S314="",0,S314)))</f>
        <v>0</v>
      </c>
      <c r="U314" s="20">
        <f>IF(B314="","",ROUND(IF(D314="",0,D314)*T314,2))</f>
        <v>0</v>
      </c>
      <c r="V314" s="20">
        <f>IF(B314="","",ROUND(U314-IF(G314="",0,G314)-IF(L314="",0,L314),2))</f>
        <v>0</v>
      </c>
      <c r="W314" s="20">
        <f>IF(C314="","",IFERROR(INDEX(Products!$AT$5:$AT$304,MATCH(C314,Products!$A$5:$A$304,0)),""))</f>
        <v>0</v>
      </c>
      <c r="X314" s="20">
        <f>IF(C314="","",IFERROR(INDEX(Products!$AG$5:$AG$304,MATCH(C314,Products!$A$5:$A$304,0)),""))</f>
        <v>0</v>
      </c>
      <c r="Y314" s="20">
        <f>IF(B314="","",ROUND(IF(D314="",0,D314)*MAX(0,IF(W314="",0,W314)-IF(X314="",0,X314)),2))</f>
        <v>0</v>
      </c>
      <c r="Z314" s="20">
        <f>IF(B314="","",ROUND(MAX(0,IF(J314="",0,J314)-IF(I314="",0,I314)),2))</f>
        <v>0</v>
      </c>
      <c r="AA314" s="33">
        <f>IF(B314="","",IFERROR(INDEX(Channels!$S$5:$S$18,MATCH(IF(E314="",DefaultChannel,E314),Channels!$A$5:$A$18,0)),0))</f>
        <v>0</v>
      </c>
      <c r="AB314" s="20">
        <f>IF(B314="","",IFERROR(INDEX(Channels!$T$5:$T$18,MATCH(IF(E314="",DefaultChannel,E314),Channels!$A$5:$A$18,0)),0))</f>
        <v>0</v>
      </c>
      <c r="AC314" s="42">
        <f>IF(B314="","",IFERROR(INDEX(Channels!$O$5:$O$18,MATCH(IF(E314="",DefaultChannel,E314),Channels!$A$5:$A$18,0)),"No"))</f>
        <v>0</v>
      </c>
      <c r="AD314" s="20">
        <f>IF(B314="","",ROUND((V314+IF(AC314="Yes",IF(I314="",0,I314),0))*AA314+AB314,2))</f>
        <v>0</v>
      </c>
      <c r="AE314" s="20">
        <f>IF(B314="","",IF(K314&lt;&gt;"",K314,AD314))</f>
        <v>0</v>
      </c>
      <c r="AF314" s="20">
        <f>IF(B314="","",IF(K314="","",ROUND(K314-AD314,2)))</f>
        <v>0</v>
      </c>
      <c r="AG314" s="20">
        <f>IF(B314="","",ROUND(V314-Y314-AE314-Z314,2))</f>
        <v>0</v>
      </c>
      <c r="AH314" s="33">
        <f>IF(B314="","",IF(OR(V314="",V314=0),"",AG314/V314))</f>
        <v>0</v>
      </c>
      <c r="AI314" s="33">
        <f>IF(C314="","",IFERROR(INDEX(Products!$AW$5:$AW$304,MATCH(C314,Products!$A$5:$A$304,0)),""))</f>
        <v>0</v>
      </c>
      <c r="AJ314" s="33">
        <f>IF(B314="","",IF(OR(AH314="",AI314=""),"",AH314-AI314))</f>
        <v>0</v>
      </c>
      <c r="AK314" s="41">
        <f>IF(B314="","",IFERROR(ROUND(IF(D314="",0,D314)*INDEX(Products!$X$5:$X$304,MATCH(C314,Products!$A$5:$A$304,0))/60,2),""))</f>
        <v>0</v>
      </c>
      <c r="AL314" s="20">
        <f>IF(B314="","",IF(OR(AK314="",AK314=0),"",ROUND(AG314/AK314,2)))</f>
        <v>0</v>
      </c>
      <c r="AM314" s="43">
        <f>IF(B314="","",IF(C314="","Add - which product?",IF(AG314&lt;0,"Loss - this order cost you money",IF(M314="Refunded","Refunded - check why",IF(AND(AF314&lt;&gt;"",AF314&gt;0.25),"Check - fees higher than your settings",IF(Z314&gt;1,"Check - postage is eating the margin",IF(AND(AH314&lt;&gt;"",AH314&lt;MarginWarning),"Low margin on this order","OK")))))) )</f>
        <v>0</v>
      </c>
    </row>
    <row r="315" spans="1:39">
      <c r="A315" s="38">
        <f>IF(B315="","",SalePrefix&amp;TEXT(ROW()-4,"0000"))</f>
        <v>0</v>
      </c>
      <c r="Q315" s="13">
        <f>IF(C315="","",IFERROR(INDEX(Products!$B$5:$B$304,MATCH(C315,Products!$A$5:$A$304,0)),"Bundle or deleted"))</f>
        <v>0</v>
      </c>
      <c r="R315" s="13">
        <f>IF(B315="","",TEXT(B315,"yyyy-mm"))</f>
        <v>0</v>
      </c>
      <c r="S315" s="20">
        <f>IF(C315="","",IFERROR(INDEX(Products!$AR$5:$AR$304,MATCH(C315,Products!$A$5:$A$304,0)),""))</f>
        <v>0</v>
      </c>
      <c r="T315" s="20">
        <f>IF(B315="","",IF(F315&lt;&gt;"",F315,IF(S315="",0,S315)))</f>
        <v>0</v>
      </c>
      <c r="U315" s="20">
        <f>IF(B315="","",ROUND(IF(D315="",0,D315)*T315,2))</f>
        <v>0</v>
      </c>
      <c r="V315" s="20">
        <f>IF(B315="","",ROUND(U315-IF(G315="",0,G315)-IF(L315="",0,L315),2))</f>
        <v>0</v>
      </c>
      <c r="W315" s="20">
        <f>IF(C315="","",IFERROR(INDEX(Products!$AT$5:$AT$304,MATCH(C315,Products!$A$5:$A$304,0)),""))</f>
        <v>0</v>
      </c>
      <c r="X315" s="20">
        <f>IF(C315="","",IFERROR(INDEX(Products!$AG$5:$AG$304,MATCH(C315,Products!$A$5:$A$304,0)),""))</f>
        <v>0</v>
      </c>
      <c r="Y315" s="20">
        <f>IF(B315="","",ROUND(IF(D315="",0,D315)*MAX(0,IF(W315="",0,W315)-IF(X315="",0,X315)),2))</f>
        <v>0</v>
      </c>
      <c r="Z315" s="20">
        <f>IF(B315="","",ROUND(MAX(0,IF(J315="",0,J315)-IF(I315="",0,I315)),2))</f>
        <v>0</v>
      </c>
      <c r="AA315" s="33">
        <f>IF(B315="","",IFERROR(INDEX(Channels!$S$5:$S$18,MATCH(IF(E315="",DefaultChannel,E315),Channels!$A$5:$A$18,0)),0))</f>
        <v>0</v>
      </c>
      <c r="AB315" s="20">
        <f>IF(B315="","",IFERROR(INDEX(Channels!$T$5:$T$18,MATCH(IF(E315="",DefaultChannel,E315),Channels!$A$5:$A$18,0)),0))</f>
        <v>0</v>
      </c>
      <c r="AC315" s="42">
        <f>IF(B315="","",IFERROR(INDEX(Channels!$O$5:$O$18,MATCH(IF(E315="",DefaultChannel,E315),Channels!$A$5:$A$18,0)),"No"))</f>
        <v>0</v>
      </c>
      <c r="AD315" s="20">
        <f>IF(B315="","",ROUND((V315+IF(AC315="Yes",IF(I315="",0,I315),0))*AA315+AB315,2))</f>
        <v>0</v>
      </c>
      <c r="AE315" s="20">
        <f>IF(B315="","",IF(K315&lt;&gt;"",K315,AD315))</f>
        <v>0</v>
      </c>
      <c r="AF315" s="20">
        <f>IF(B315="","",IF(K315="","",ROUND(K315-AD315,2)))</f>
        <v>0</v>
      </c>
      <c r="AG315" s="20">
        <f>IF(B315="","",ROUND(V315-Y315-AE315-Z315,2))</f>
        <v>0</v>
      </c>
      <c r="AH315" s="33">
        <f>IF(B315="","",IF(OR(V315="",V315=0),"",AG315/V315))</f>
        <v>0</v>
      </c>
      <c r="AI315" s="33">
        <f>IF(C315="","",IFERROR(INDEX(Products!$AW$5:$AW$304,MATCH(C315,Products!$A$5:$A$304,0)),""))</f>
        <v>0</v>
      </c>
      <c r="AJ315" s="33">
        <f>IF(B315="","",IF(OR(AH315="",AI315=""),"",AH315-AI315))</f>
        <v>0</v>
      </c>
      <c r="AK315" s="41">
        <f>IF(B315="","",IFERROR(ROUND(IF(D315="",0,D315)*INDEX(Products!$X$5:$X$304,MATCH(C315,Products!$A$5:$A$304,0))/60,2),""))</f>
        <v>0</v>
      </c>
      <c r="AL315" s="20">
        <f>IF(B315="","",IF(OR(AK315="",AK315=0),"",ROUND(AG315/AK315,2)))</f>
        <v>0</v>
      </c>
      <c r="AM315" s="43">
        <f>IF(B315="","",IF(C315="","Add - which product?",IF(AG315&lt;0,"Loss - this order cost you money",IF(M315="Refunded","Refunded - check why",IF(AND(AF315&lt;&gt;"",AF315&gt;0.25),"Check - fees higher than your settings",IF(Z315&gt;1,"Check - postage is eating the margin",IF(AND(AH315&lt;&gt;"",AH315&lt;MarginWarning),"Low margin on this order","OK")))))) )</f>
        <v>0</v>
      </c>
    </row>
    <row r="316" spans="1:39">
      <c r="A316" s="38">
        <f>IF(B316="","",SalePrefix&amp;TEXT(ROW()-4,"0000"))</f>
        <v>0</v>
      </c>
      <c r="Q316" s="13">
        <f>IF(C316="","",IFERROR(INDEX(Products!$B$5:$B$304,MATCH(C316,Products!$A$5:$A$304,0)),"Bundle or deleted"))</f>
        <v>0</v>
      </c>
      <c r="R316" s="13">
        <f>IF(B316="","",TEXT(B316,"yyyy-mm"))</f>
        <v>0</v>
      </c>
      <c r="S316" s="20">
        <f>IF(C316="","",IFERROR(INDEX(Products!$AR$5:$AR$304,MATCH(C316,Products!$A$5:$A$304,0)),""))</f>
        <v>0</v>
      </c>
      <c r="T316" s="20">
        <f>IF(B316="","",IF(F316&lt;&gt;"",F316,IF(S316="",0,S316)))</f>
        <v>0</v>
      </c>
      <c r="U316" s="20">
        <f>IF(B316="","",ROUND(IF(D316="",0,D316)*T316,2))</f>
        <v>0</v>
      </c>
      <c r="V316" s="20">
        <f>IF(B316="","",ROUND(U316-IF(G316="",0,G316)-IF(L316="",0,L316),2))</f>
        <v>0</v>
      </c>
      <c r="W316" s="20">
        <f>IF(C316="","",IFERROR(INDEX(Products!$AT$5:$AT$304,MATCH(C316,Products!$A$5:$A$304,0)),""))</f>
        <v>0</v>
      </c>
      <c r="X316" s="20">
        <f>IF(C316="","",IFERROR(INDEX(Products!$AG$5:$AG$304,MATCH(C316,Products!$A$5:$A$304,0)),""))</f>
        <v>0</v>
      </c>
      <c r="Y316" s="20">
        <f>IF(B316="","",ROUND(IF(D316="",0,D316)*MAX(0,IF(W316="",0,W316)-IF(X316="",0,X316)),2))</f>
        <v>0</v>
      </c>
      <c r="Z316" s="20">
        <f>IF(B316="","",ROUND(MAX(0,IF(J316="",0,J316)-IF(I316="",0,I316)),2))</f>
        <v>0</v>
      </c>
      <c r="AA316" s="33">
        <f>IF(B316="","",IFERROR(INDEX(Channels!$S$5:$S$18,MATCH(IF(E316="",DefaultChannel,E316),Channels!$A$5:$A$18,0)),0))</f>
        <v>0</v>
      </c>
      <c r="AB316" s="20">
        <f>IF(B316="","",IFERROR(INDEX(Channels!$T$5:$T$18,MATCH(IF(E316="",DefaultChannel,E316),Channels!$A$5:$A$18,0)),0))</f>
        <v>0</v>
      </c>
      <c r="AC316" s="42">
        <f>IF(B316="","",IFERROR(INDEX(Channels!$O$5:$O$18,MATCH(IF(E316="",DefaultChannel,E316),Channels!$A$5:$A$18,0)),"No"))</f>
        <v>0</v>
      </c>
      <c r="AD316" s="20">
        <f>IF(B316="","",ROUND((V316+IF(AC316="Yes",IF(I316="",0,I316),0))*AA316+AB316,2))</f>
        <v>0</v>
      </c>
      <c r="AE316" s="20">
        <f>IF(B316="","",IF(K316&lt;&gt;"",K316,AD316))</f>
        <v>0</v>
      </c>
      <c r="AF316" s="20">
        <f>IF(B316="","",IF(K316="","",ROUND(K316-AD316,2)))</f>
        <v>0</v>
      </c>
      <c r="AG316" s="20">
        <f>IF(B316="","",ROUND(V316-Y316-AE316-Z316,2))</f>
        <v>0</v>
      </c>
      <c r="AH316" s="33">
        <f>IF(B316="","",IF(OR(V316="",V316=0),"",AG316/V316))</f>
        <v>0</v>
      </c>
      <c r="AI316" s="33">
        <f>IF(C316="","",IFERROR(INDEX(Products!$AW$5:$AW$304,MATCH(C316,Products!$A$5:$A$304,0)),""))</f>
        <v>0</v>
      </c>
      <c r="AJ316" s="33">
        <f>IF(B316="","",IF(OR(AH316="",AI316=""),"",AH316-AI316))</f>
        <v>0</v>
      </c>
      <c r="AK316" s="41">
        <f>IF(B316="","",IFERROR(ROUND(IF(D316="",0,D316)*INDEX(Products!$X$5:$X$304,MATCH(C316,Products!$A$5:$A$304,0))/60,2),""))</f>
        <v>0</v>
      </c>
      <c r="AL316" s="20">
        <f>IF(B316="","",IF(OR(AK316="",AK316=0),"",ROUND(AG316/AK316,2)))</f>
        <v>0</v>
      </c>
      <c r="AM316" s="43">
        <f>IF(B316="","",IF(C316="","Add - which product?",IF(AG316&lt;0,"Loss - this order cost you money",IF(M316="Refunded","Refunded - check why",IF(AND(AF316&lt;&gt;"",AF316&gt;0.25),"Check - fees higher than your settings",IF(Z316&gt;1,"Check - postage is eating the margin",IF(AND(AH316&lt;&gt;"",AH316&lt;MarginWarning),"Low margin on this order","OK")))))) )</f>
        <v>0</v>
      </c>
    </row>
    <row r="317" spans="1:39">
      <c r="A317" s="38">
        <f>IF(B317="","",SalePrefix&amp;TEXT(ROW()-4,"0000"))</f>
        <v>0</v>
      </c>
      <c r="Q317" s="13">
        <f>IF(C317="","",IFERROR(INDEX(Products!$B$5:$B$304,MATCH(C317,Products!$A$5:$A$304,0)),"Bundle or deleted"))</f>
        <v>0</v>
      </c>
      <c r="R317" s="13">
        <f>IF(B317="","",TEXT(B317,"yyyy-mm"))</f>
        <v>0</v>
      </c>
      <c r="S317" s="20">
        <f>IF(C317="","",IFERROR(INDEX(Products!$AR$5:$AR$304,MATCH(C317,Products!$A$5:$A$304,0)),""))</f>
        <v>0</v>
      </c>
      <c r="T317" s="20">
        <f>IF(B317="","",IF(F317&lt;&gt;"",F317,IF(S317="",0,S317)))</f>
        <v>0</v>
      </c>
      <c r="U317" s="20">
        <f>IF(B317="","",ROUND(IF(D317="",0,D317)*T317,2))</f>
        <v>0</v>
      </c>
      <c r="V317" s="20">
        <f>IF(B317="","",ROUND(U317-IF(G317="",0,G317)-IF(L317="",0,L317),2))</f>
        <v>0</v>
      </c>
      <c r="W317" s="20">
        <f>IF(C317="","",IFERROR(INDEX(Products!$AT$5:$AT$304,MATCH(C317,Products!$A$5:$A$304,0)),""))</f>
        <v>0</v>
      </c>
      <c r="X317" s="20">
        <f>IF(C317="","",IFERROR(INDEX(Products!$AG$5:$AG$304,MATCH(C317,Products!$A$5:$A$304,0)),""))</f>
        <v>0</v>
      </c>
      <c r="Y317" s="20">
        <f>IF(B317="","",ROUND(IF(D317="",0,D317)*MAX(0,IF(W317="",0,W317)-IF(X317="",0,X317)),2))</f>
        <v>0</v>
      </c>
      <c r="Z317" s="20">
        <f>IF(B317="","",ROUND(MAX(0,IF(J317="",0,J317)-IF(I317="",0,I317)),2))</f>
        <v>0</v>
      </c>
      <c r="AA317" s="33">
        <f>IF(B317="","",IFERROR(INDEX(Channels!$S$5:$S$18,MATCH(IF(E317="",DefaultChannel,E317),Channels!$A$5:$A$18,0)),0))</f>
        <v>0</v>
      </c>
      <c r="AB317" s="20">
        <f>IF(B317="","",IFERROR(INDEX(Channels!$T$5:$T$18,MATCH(IF(E317="",DefaultChannel,E317),Channels!$A$5:$A$18,0)),0))</f>
        <v>0</v>
      </c>
      <c r="AC317" s="42">
        <f>IF(B317="","",IFERROR(INDEX(Channels!$O$5:$O$18,MATCH(IF(E317="",DefaultChannel,E317),Channels!$A$5:$A$18,0)),"No"))</f>
        <v>0</v>
      </c>
      <c r="AD317" s="20">
        <f>IF(B317="","",ROUND((V317+IF(AC317="Yes",IF(I317="",0,I317),0))*AA317+AB317,2))</f>
        <v>0</v>
      </c>
      <c r="AE317" s="20">
        <f>IF(B317="","",IF(K317&lt;&gt;"",K317,AD317))</f>
        <v>0</v>
      </c>
      <c r="AF317" s="20">
        <f>IF(B317="","",IF(K317="","",ROUND(K317-AD317,2)))</f>
        <v>0</v>
      </c>
      <c r="AG317" s="20">
        <f>IF(B317="","",ROUND(V317-Y317-AE317-Z317,2))</f>
        <v>0</v>
      </c>
      <c r="AH317" s="33">
        <f>IF(B317="","",IF(OR(V317="",V317=0),"",AG317/V317))</f>
        <v>0</v>
      </c>
      <c r="AI317" s="33">
        <f>IF(C317="","",IFERROR(INDEX(Products!$AW$5:$AW$304,MATCH(C317,Products!$A$5:$A$304,0)),""))</f>
        <v>0</v>
      </c>
      <c r="AJ317" s="33">
        <f>IF(B317="","",IF(OR(AH317="",AI317=""),"",AH317-AI317))</f>
        <v>0</v>
      </c>
      <c r="AK317" s="41">
        <f>IF(B317="","",IFERROR(ROUND(IF(D317="",0,D317)*INDEX(Products!$X$5:$X$304,MATCH(C317,Products!$A$5:$A$304,0))/60,2),""))</f>
        <v>0</v>
      </c>
      <c r="AL317" s="20">
        <f>IF(B317="","",IF(OR(AK317="",AK317=0),"",ROUND(AG317/AK317,2)))</f>
        <v>0</v>
      </c>
      <c r="AM317" s="43">
        <f>IF(B317="","",IF(C317="","Add - which product?",IF(AG317&lt;0,"Loss - this order cost you money",IF(M317="Refunded","Refunded - check why",IF(AND(AF317&lt;&gt;"",AF317&gt;0.25),"Check - fees higher than your settings",IF(Z317&gt;1,"Check - postage is eating the margin",IF(AND(AH317&lt;&gt;"",AH317&lt;MarginWarning),"Low margin on this order","OK")))))) )</f>
        <v>0</v>
      </c>
    </row>
    <row r="318" spans="1:39">
      <c r="A318" s="38">
        <f>IF(B318="","",SalePrefix&amp;TEXT(ROW()-4,"0000"))</f>
        <v>0</v>
      </c>
      <c r="Q318" s="13">
        <f>IF(C318="","",IFERROR(INDEX(Products!$B$5:$B$304,MATCH(C318,Products!$A$5:$A$304,0)),"Bundle or deleted"))</f>
        <v>0</v>
      </c>
      <c r="R318" s="13">
        <f>IF(B318="","",TEXT(B318,"yyyy-mm"))</f>
        <v>0</v>
      </c>
      <c r="S318" s="20">
        <f>IF(C318="","",IFERROR(INDEX(Products!$AR$5:$AR$304,MATCH(C318,Products!$A$5:$A$304,0)),""))</f>
        <v>0</v>
      </c>
      <c r="T318" s="20">
        <f>IF(B318="","",IF(F318&lt;&gt;"",F318,IF(S318="",0,S318)))</f>
        <v>0</v>
      </c>
      <c r="U318" s="20">
        <f>IF(B318="","",ROUND(IF(D318="",0,D318)*T318,2))</f>
        <v>0</v>
      </c>
      <c r="V318" s="20">
        <f>IF(B318="","",ROUND(U318-IF(G318="",0,G318)-IF(L318="",0,L318),2))</f>
        <v>0</v>
      </c>
      <c r="W318" s="20">
        <f>IF(C318="","",IFERROR(INDEX(Products!$AT$5:$AT$304,MATCH(C318,Products!$A$5:$A$304,0)),""))</f>
        <v>0</v>
      </c>
      <c r="X318" s="20">
        <f>IF(C318="","",IFERROR(INDEX(Products!$AG$5:$AG$304,MATCH(C318,Products!$A$5:$A$304,0)),""))</f>
        <v>0</v>
      </c>
      <c r="Y318" s="20">
        <f>IF(B318="","",ROUND(IF(D318="",0,D318)*MAX(0,IF(W318="",0,W318)-IF(X318="",0,X318)),2))</f>
        <v>0</v>
      </c>
      <c r="Z318" s="20">
        <f>IF(B318="","",ROUND(MAX(0,IF(J318="",0,J318)-IF(I318="",0,I318)),2))</f>
        <v>0</v>
      </c>
      <c r="AA318" s="33">
        <f>IF(B318="","",IFERROR(INDEX(Channels!$S$5:$S$18,MATCH(IF(E318="",DefaultChannel,E318),Channels!$A$5:$A$18,0)),0))</f>
        <v>0</v>
      </c>
      <c r="AB318" s="20">
        <f>IF(B318="","",IFERROR(INDEX(Channels!$T$5:$T$18,MATCH(IF(E318="",DefaultChannel,E318),Channels!$A$5:$A$18,0)),0))</f>
        <v>0</v>
      </c>
      <c r="AC318" s="42">
        <f>IF(B318="","",IFERROR(INDEX(Channels!$O$5:$O$18,MATCH(IF(E318="",DefaultChannel,E318),Channels!$A$5:$A$18,0)),"No"))</f>
        <v>0</v>
      </c>
      <c r="AD318" s="20">
        <f>IF(B318="","",ROUND((V318+IF(AC318="Yes",IF(I318="",0,I318),0))*AA318+AB318,2))</f>
        <v>0</v>
      </c>
      <c r="AE318" s="20">
        <f>IF(B318="","",IF(K318&lt;&gt;"",K318,AD318))</f>
        <v>0</v>
      </c>
      <c r="AF318" s="20">
        <f>IF(B318="","",IF(K318="","",ROUND(K318-AD318,2)))</f>
        <v>0</v>
      </c>
      <c r="AG318" s="20">
        <f>IF(B318="","",ROUND(V318-Y318-AE318-Z318,2))</f>
        <v>0</v>
      </c>
      <c r="AH318" s="33">
        <f>IF(B318="","",IF(OR(V318="",V318=0),"",AG318/V318))</f>
        <v>0</v>
      </c>
      <c r="AI318" s="33">
        <f>IF(C318="","",IFERROR(INDEX(Products!$AW$5:$AW$304,MATCH(C318,Products!$A$5:$A$304,0)),""))</f>
        <v>0</v>
      </c>
      <c r="AJ318" s="33">
        <f>IF(B318="","",IF(OR(AH318="",AI318=""),"",AH318-AI318))</f>
        <v>0</v>
      </c>
      <c r="AK318" s="41">
        <f>IF(B318="","",IFERROR(ROUND(IF(D318="",0,D318)*INDEX(Products!$X$5:$X$304,MATCH(C318,Products!$A$5:$A$304,0))/60,2),""))</f>
        <v>0</v>
      </c>
      <c r="AL318" s="20">
        <f>IF(B318="","",IF(OR(AK318="",AK318=0),"",ROUND(AG318/AK318,2)))</f>
        <v>0</v>
      </c>
      <c r="AM318" s="43">
        <f>IF(B318="","",IF(C318="","Add - which product?",IF(AG318&lt;0,"Loss - this order cost you money",IF(M318="Refunded","Refunded - check why",IF(AND(AF318&lt;&gt;"",AF318&gt;0.25),"Check - fees higher than your settings",IF(Z318&gt;1,"Check - postage is eating the margin",IF(AND(AH318&lt;&gt;"",AH318&lt;MarginWarning),"Low margin on this order","OK")))))) )</f>
        <v>0</v>
      </c>
    </row>
    <row r="319" spans="1:39">
      <c r="A319" s="38">
        <f>IF(B319="","",SalePrefix&amp;TEXT(ROW()-4,"0000"))</f>
        <v>0</v>
      </c>
      <c r="Q319" s="13">
        <f>IF(C319="","",IFERROR(INDEX(Products!$B$5:$B$304,MATCH(C319,Products!$A$5:$A$304,0)),"Bundle or deleted"))</f>
        <v>0</v>
      </c>
      <c r="R319" s="13">
        <f>IF(B319="","",TEXT(B319,"yyyy-mm"))</f>
        <v>0</v>
      </c>
      <c r="S319" s="20">
        <f>IF(C319="","",IFERROR(INDEX(Products!$AR$5:$AR$304,MATCH(C319,Products!$A$5:$A$304,0)),""))</f>
        <v>0</v>
      </c>
      <c r="T319" s="20">
        <f>IF(B319="","",IF(F319&lt;&gt;"",F319,IF(S319="",0,S319)))</f>
        <v>0</v>
      </c>
      <c r="U319" s="20">
        <f>IF(B319="","",ROUND(IF(D319="",0,D319)*T319,2))</f>
        <v>0</v>
      </c>
      <c r="V319" s="20">
        <f>IF(B319="","",ROUND(U319-IF(G319="",0,G319)-IF(L319="",0,L319),2))</f>
        <v>0</v>
      </c>
      <c r="W319" s="20">
        <f>IF(C319="","",IFERROR(INDEX(Products!$AT$5:$AT$304,MATCH(C319,Products!$A$5:$A$304,0)),""))</f>
        <v>0</v>
      </c>
      <c r="X319" s="20">
        <f>IF(C319="","",IFERROR(INDEX(Products!$AG$5:$AG$304,MATCH(C319,Products!$A$5:$A$304,0)),""))</f>
        <v>0</v>
      </c>
      <c r="Y319" s="20">
        <f>IF(B319="","",ROUND(IF(D319="",0,D319)*MAX(0,IF(W319="",0,W319)-IF(X319="",0,X319)),2))</f>
        <v>0</v>
      </c>
      <c r="Z319" s="20">
        <f>IF(B319="","",ROUND(MAX(0,IF(J319="",0,J319)-IF(I319="",0,I319)),2))</f>
        <v>0</v>
      </c>
      <c r="AA319" s="33">
        <f>IF(B319="","",IFERROR(INDEX(Channels!$S$5:$S$18,MATCH(IF(E319="",DefaultChannel,E319),Channels!$A$5:$A$18,0)),0))</f>
        <v>0</v>
      </c>
      <c r="AB319" s="20">
        <f>IF(B319="","",IFERROR(INDEX(Channels!$T$5:$T$18,MATCH(IF(E319="",DefaultChannel,E319),Channels!$A$5:$A$18,0)),0))</f>
        <v>0</v>
      </c>
      <c r="AC319" s="42">
        <f>IF(B319="","",IFERROR(INDEX(Channels!$O$5:$O$18,MATCH(IF(E319="",DefaultChannel,E319),Channels!$A$5:$A$18,0)),"No"))</f>
        <v>0</v>
      </c>
      <c r="AD319" s="20">
        <f>IF(B319="","",ROUND((V319+IF(AC319="Yes",IF(I319="",0,I319),0))*AA319+AB319,2))</f>
        <v>0</v>
      </c>
      <c r="AE319" s="20">
        <f>IF(B319="","",IF(K319&lt;&gt;"",K319,AD319))</f>
        <v>0</v>
      </c>
      <c r="AF319" s="20">
        <f>IF(B319="","",IF(K319="","",ROUND(K319-AD319,2)))</f>
        <v>0</v>
      </c>
      <c r="AG319" s="20">
        <f>IF(B319="","",ROUND(V319-Y319-AE319-Z319,2))</f>
        <v>0</v>
      </c>
      <c r="AH319" s="33">
        <f>IF(B319="","",IF(OR(V319="",V319=0),"",AG319/V319))</f>
        <v>0</v>
      </c>
      <c r="AI319" s="33">
        <f>IF(C319="","",IFERROR(INDEX(Products!$AW$5:$AW$304,MATCH(C319,Products!$A$5:$A$304,0)),""))</f>
        <v>0</v>
      </c>
      <c r="AJ319" s="33">
        <f>IF(B319="","",IF(OR(AH319="",AI319=""),"",AH319-AI319))</f>
        <v>0</v>
      </c>
      <c r="AK319" s="41">
        <f>IF(B319="","",IFERROR(ROUND(IF(D319="",0,D319)*INDEX(Products!$X$5:$X$304,MATCH(C319,Products!$A$5:$A$304,0))/60,2),""))</f>
        <v>0</v>
      </c>
      <c r="AL319" s="20">
        <f>IF(B319="","",IF(OR(AK319="",AK319=0),"",ROUND(AG319/AK319,2)))</f>
        <v>0</v>
      </c>
      <c r="AM319" s="43">
        <f>IF(B319="","",IF(C319="","Add - which product?",IF(AG319&lt;0,"Loss - this order cost you money",IF(M319="Refunded","Refunded - check why",IF(AND(AF319&lt;&gt;"",AF319&gt;0.25),"Check - fees higher than your settings",IF(Z319&gt;1,"Check - postage is eating the margin",IF(AND(AH319&lt;&gt;"",AH319&lt;MarginWarning),"Low margin on this order","OK")))))) )</f>
        <v>0</v>
      </c>
    </row>
    <row r="320" spans="1:39">
      <c r="A320" s="38">
        <f>IF(B320="","",SalePrefix&amp;TEXT(ROW()-4,"0000"))</f>
        <v>0</v>
      </c>
      <c r="Q320" s="13">
        <f>IF(C320="","",IFERROR(INDEX(Products!$B$5:$B$304,MATCH(C320,Products!$A$5:$A$304,0)),"Bundle or deleted"))</f>
        <v>0</v>
      </c>
      <c r="R320" s="13">
        <f>IF(B320="","",TEXT(B320,"yyyy-mm"))</f>
        <v>0</v>
      </c>
      <c r="S320" s="20">
        <f>IF(C320="","",IFERROR(INDEX(Products!$AR$5:$AR$304,MATCH(C320,Products!$A$5:$A$304,0)),""))</f>
        <v>0</v>
      </c>
      <c r="T320" s="20">
        <f>IF(B320="","",IF(F320&lt;&gt;"",F320,IF(S320="",0,S320)))</f>
        <v>0</v>
      </c>
      <c r="U320" s="20">
        <f>IF(B320="","",ROUND(IF(D320="",0,D320)*T320,2))</f>
        <v>0</v>
      </c>
      <c r="V320" s="20">
        <f>IF(B320="","",ROUND(U320-IF(G320="",0,G320)-IF(L320="",0,L320),2))</f>
        <v>0</v>
      </c>
      <c r="W320" s="20">
        <f>IF(C320="","",IFERROR(INDEX(Products!$AT$5:$AT$304,MATCH(C320,Products!$A$5:$A$304,0)),""))</f>
        <v>0</v>
      </c>
      <c r="X320" s="20">
        <f>IF(C320="","",IFERROR(INDEX(Products!$AG$5:$AG$304,MATCH(C320,Products!$A$5:$A$304,0)),""))</f>
        <v>0</v>
      </c>
      <c r="Y320" s="20">
        <f>IF(B320="","",ROUND(IF(D320="",0,D320)*MAX(0,IF(W320="",0,W320)-IF(X320="",0,X320)),2))</f>
        <v>0</v>
      </c>
      <c r="Z320" s="20">
        <f>IF(B320="","",ROUND(MAX(0,IF(J320="",0,J320)-IF(I320="",0,I320)),2))</f>
        <v>0</v>
      </c>
      <c r="AA320" s="33">
        <f>IF(B320="","",IFERROR(INDEX(Channels!$S$5:$S$18,MATCH(IF(E320="",DefaultChannel,E320),Channels!$A$5:$A$18,0)),0))</f>
        <v>0</v>
      </c>
      <c r="AB320" s="20">
        <f>IF(B320="","",IFERROR(INDEX(Channels!$T$5:$T$18,MATCH(IF(E320="",DefaultChannel,E320),Channels!$A$5:$A$18,0)),0))</f>
        <v>0</v>
      </c>
      <c r="AC320" s="42">
        <f>IF(B320="","",IFERROR(INDEX(Channels!$O$5:$O$18,MATCH(IF(E320="",DefaultChannel,E320),Channels!$A$5:$A$18,0)),"No"))</f>
        <v>0</v>
      </c>
      <c r="AD320" s="20">
        <f>IF(B320="","",ROUND((V320+IF(AC320="Yes",IF(I320="",0,I320),0))*AA320+AB320,2))</f>
        <v>0</v>
      </c>
      <c r="AE320" s="20">
        <f>IF(B320="","",IF(K320&lt;&gt;"",K320,AD320))</f>
        <v>0</v>
      </c>
      <c r="AF320" s="20">
        <f>IF(B320="","",IF(K320="","",ROUND(K320-AD320,2)))</f>
        <v>0</v>
      </c>
      <c r="AG320" s="20">
        <f>IF(B320="","",ROUND(V320-Y320-AE320-Z320,2))</f>
        <v>0</v>
      </c>
      <c r="AH320" s="33">
        <f>IF(B320="","",IF(OR(V320="",V320=0),"",AG320/V320))</f>
        <v>0</v>
      </c>
      <c r="AI320" s="33">
        <f>IF(C320="","",IFERROR(INDEX(Products!$AW$5:$AW$304,MATCH(C320,Products!$A$5:$A$304,0)),""))</f>
        <v>0</v>
      </c>
      <c r="AJ320" s="33">
        <f>IF(B320="","",IF(OR(AH320="",AI320=""),"",AH320-AI320))</f>
        <v>0</v>
      </c>
      <c r="AK320" s="41">
        <f>IF(B320="","",IFERROR(ROUND(IF(D320="",0,D320)*INDEX(Products!$X$5:$X$304,MATCH(C320,Products!$A$5:$A$304,0))/60,2),""))</f>
        <v>0</v>
      </c>
      <c r="AL320" s="20">
        <f>IF(B320="","",IF(OR(AK320="",AK320=0),"",ROUND(AG320/AK320,2)))</f>
        <v>0</v>
      </c>
      <c r="AM320" s="43">
        <f>IF(B320="","",IF(C320="","Add - which product?",IF(AG320&lt;0,"Loss - this order cost you money",IF(M320="Refunded","Refunded - check why",IF(AND(AF320&lt;&gt;"",AF320&gt;0.25),"Check - fees higher than your settings",IF(Z320&gt;1,"Check - postage is eating the margin",IF(AND(AH320&lt;&gt;"",AH320&lt;MarginWarning),"Low margin on this order","OK")))))) )</f>
        <v>0</v>
      </c>
    </row>
    <row r="321" spans="1:39">
      <c r="A321" s="38">
        <f>IF(B321="","",SalePrefix&amp;TEXT(ROW()-4,"0000"))</f>
        <v>0</v>
      </c>
      <c r="Q321" s="13">
        <f>IF(C321="","",IFERROR(INDEX(Products!$B$5:$B$304,MATCH(C321,Products!$A$5:$A$304,0)),"Bundle or deleted"))</f>
        <v>0</v>
      </c>
      <c r="R321" s="13">
        <f>IF(B321="","",TEXT(B321,"yyyy-mm"))</f>
        <v>0</v>
      </c>
      <c r="S321" s="20">
        <f>IF(C321="","",IFERROR(INDEX(Products!$AR$5:$AR$304,MATCH(C321,Products!$A$5:$A$304,0)),""))</f>
        <v>0</v>
      </c>
      <c r="T321" s="20">
        <f>IF(B321="","",IF(F321&lt;&gt;"",F321,IF(S321="",0,S321)))</f>
        <v>0</v>
      </c>
      <c r="U321" s="20">
        <f>IF(B321="","",ROUND(IF(D321="",0,D321)*T321,2))</f>
        <v>0</v>
      </c>
      <c r="V321" s="20">
        <f>IF(B321="","",ROUND(U321-IF(G321="",0,G321)-IF(L321="",0,L321),2))</f>
        <v>0</v>
      </c>
      <c r="W321" s="20">
        <f>IF(C321="","",IFERROR(INDEX(Products!$AT$5:$AT$304,MATCH(C321,Products!$A$5:$A$304,0)),""))</f>
        <v>0</v>
      </c>
      <c r="X321" s="20">
        <f>IF(C321="","",IFERROR(INDEX(Products!$AG$5:$AG$304,MATCH(C321,Products!$A$5:$A$304,0)),""))</f>
        <v>0</v>
      </c>
      <c r="Y321" s="20">
        <f>IF(B321="","",ROUND(IF(D321="",0,D321)*MAX(0,IF(W321="",0,W321)-IF(X321="",0,X321)),2))</f>
        <v>0</v>
      </c>
      <c r="Z321" s="20">
        <f>IF(B321="","",ROUND(MAX(0,IF(J321="",0,J321)-IF(I321="",0,I321)),2))</f>
        <v>0</v>
      </c>
      <c r="AA321" s="33">
        <f>IF(B321="","",IFERROR(INDEX(Channels!$S$5:$S$18,MATCH(IF(E321="",DefaultChannel,E321),Channels!$A$5:$A$18,0)),0))</f>
        <v>0</v>
      </c>
      <c r="AB321" s="20">
        <f>IF(B321="","",IFERROR(INDEX(Channels!$T$5:$T$18,MATCH(IF(E321="",DefaultChannel,E321),Channels!$A$5:$A$18,0)),0))</f>
        <v>0</v>
      </c>
      <c r="AC321" s="42">
        <f>IF(B321="","",IFERROR(INDEX(Channels!$O$5:$O$18,MATCH(IF(E321="",DefaultChannel,E321),Channels!$A$5:$A$18,0)),"No"))</f>
        <v>0</v>
      </c>
      <c r="AD321" s="20">
        <f>IF(B321="","",ROUND((V321+IF(AC321="Yes",IF(I321="",0,I321),0))*AA321+AB321,2))</f>
        <v>0</v>
      </c>
      <c r="AE321" s="20">
        <f>IF(B321="","",IF(K321&lt;&gt;"",K321,AD321))</f>
        <v>0</v>
      </c>
      <c r="AF321" s="20">
        <f>IF(B321="","",IF(K321="","",ROUND(K321-AD321,2)))</f>
        <v>0</v>
      </c>
      <c r="AG321" s="20">
        <f>IF(B321="","",ROUND(V321-Y321-AE321-Z321,2))</f>
        <v>0</v>
      </c>
      <c r="AH321" s="33">
        <f>IF(B321="","",IF(OR(V321="",V321=0),"",AG321/V321))</f>
        <v>0</v>
      </c>
      <c r="AI321" s="33">
        <f>IF(C321="","",IFERROR(INDEX(Products!$AW$5:$AW$304,MATCH(C321,Products!$A$5:$A$304,0)),""))</f>
        <v>0</v>
      </c>
      <c r="AJ321" s="33">
        <f>IF(B321="","",IF(OR(AH321="",AI321=""),"",AH321-AI321))</f>
        <v>0</v>
      </c>
      <c r="AK321" s="41">
        <f>IF(B321="","",IFERROR(ROUND(IF(D321="",0,D321)*INDEX(Products!$X$5:$X$304,MATCH(C321,Products!$A$5:$A$304,0))/60,2),""))</f>
        <v>0</v>
      </c>
      <c r="AL321" s="20">
        <f>IF(B321="","",IF(OR(AK321="",AK321=0),"",ROUND(AG321/AK321,2)))</f>
        <v>0</v>
      </c>
      <c r="AM321" s="43">
        <f>IF(B321="","",IF(C321="","Add - which product?",IF(AG321&lt;0,"Loss - this order cost you money",IF(M321="Refunded","Refunded - check why",IF(AND(AF321&lt;&gt;"",AF321&gt;0.25),"Check - fees higher than your settings",IF(Z321&gt;1,"Check - postage is eating the margin",IF(AND(AH321&lt;&gt;"",AH321&lt;MarginWarning),"Low margin on this order","OK")))))) )</f>
        <v>0</v>
      </c>
    </row>
    <row r="322" spans="1:39">
      <c r="A322" s="38">
        <f>IF(B322="","",SalePrefix&amp;TEXT(ROW()-4,"0000"))</f>
        <v>0</v>
      </c>
      <c r="Q322" s="13">
        <f>IF(C322="","",IFERROR(INDEX(Products!$B$5:$B$304,MATCH(C322,Products!$A$5:$A$304,0)),"Bundle or deleted"))</f>
        <v>0</v>
      </c>
      <c r="R322" s="13">
        <f>IF(B322="","",TEXT(B322,"yyyy-mm"))</f>
        <v>0</v>
      </c>
      <c r="S322" s="20">
        <f>IF(C322="","",IFERROR(INDEX(Products!$AR$5:$AR$304,MATCH(C322,Products!$A$5:$A$304,0)),""))</f>
        <v>0</v>
      </c>
      <c r="T322" s="20">
        <f>IF(B322="","",IF(F322&lt;&gt;"",F322,IF(S322="",0,S322)))</f>
        <v>0</v>
      </c>
      <c r="U322" s="20">
        <f>IF(B322="","",ROUND(IF(D322="",0,D322)*T322,2))</f>
        <v>0</v>
      </c>
      <c r="V322" s="20">
        <f>IF(B322="","",ROUND(U322-IF(G322="",0,G322)-IF(L322="",0,L322),2))</f>
        <v>0</v>
      </c>
      <c r="W322" s="20">
        <f>IF(C322="","",IFERROR(INDEX(Products!$AT$5:$AT$304,MATCH(C322,Products!$A$5:$A$304,0)),""))</f>
        <v>0</v>
      </c>
      <c r="X322" s="20">
        <f>IF(C322="","",IFERROR(INDEX(Products!$AG$5:$AG$304,MATCH(C322,Products!$A$5:$A$304,0)),""))</f>
        <v>0</v>
      </c>
      <c r="Y322" s="20">
        <f>IF(B322="","",ROUND(IF(D322="",0,D322)*MAX(0,IF(W322="",0,W322)-IF(X322="",0,X322)),2))</f>
        <v>0</v>
      </c>
      <c r="Z322" s="20">
        <f>IF(B322="","",ROUND(MAX(0,IF(J322="",0,J322)-IF(I322="",0,I322)),2))</f>
        <v>0</v>
      </c>
      <c r="AA322" s="33">
        <f>IF(B322="","",IFERROR(INDEX(Channels!$S$5:$S$18,MATCH(IF(E322="",DefaultChannel,E322),Channels!$A$5:$A$18,0)),0))</f>
        <v>0</v>
      </c>
      <c r="AB322" s="20">
        <f>IF(B322="","",IFERROR(INDEX(Channels!$T$5:$T$18,MATCH(IF(E322="",DefaultChannel,E322),Channels!$A$5:$A$18,0)),0))</f>
        <v>0</v>
      </c>
      <c r="AC322" s="42">
        <f>IF(B322="","",IFERROR(INDEX(Channels!$O$5:$O$18,MATCH(IF(E322="",DefaultChannel,E322),Channels!$A$5:$A$18,0)),"No"))</f>
        <v>0</v>
      </c>
      <c r="AD322" s="20">
        <f>IF(B322="","",ROUND((V322+IF(AC322="Yes",IF(I322="",0,I322),0))*AA322+AB322,2))</f>
        <v>0</v>
      </c>
      <c r="AE322" s="20">
        <f>IF(B322="","",IF(K322&lt;&gt;"",K322,AD322))</f>
        <v>0</v>
      </c>
      <c r="AF322" s="20">
        <f>IF(B322="","",IF(K322="","",ROUND(K322-AD322,2)))</f>
        <v>0</v>
      </c>
      <c r="AG322" s="20">
        <f>IF(B322="","",ROUND(V322-Y322-AE322-Z322,2))</f>
        <v>0</v>
      </c>
      <c r="AH322" s="33">
        <f>IF(B322="","",IF(OR(V322="",V322=0),"",AG322/V322))</f>
        <v>0</v>
      </c>
      <c r="AI322" s="33">
        <f>IF(C322="","",IFERROR(INDEX(Products!$AW$5:$AW$304,MATCH(C322,Products!$A$5:$A$304,0)),""))</f>
        <v>0</v>
      </c>
      <c r="AJ322" s="33">
        <f>IF(B322="","",IF(OR(AH322="",AI322=""),"",AH322-AI322))</f>
        <v>0</v>
      </c>
      <c r="AK322" s="41">
        <f>IF(B322="","",IFERROR(ROUND(IF(D322="",0,D322)*INDEX(Products!$X$5:$X$304,MATCH(C322,Products!$A$5:$A$304,0))/60,2),""))</f>
        <v>0</v>
      </c>
      <c r="AL322" s="20">
        <f>IF(B322="","",IF(OR(AK322="",AK322=0),"",ROUND(AG322/AK322,2)))</f>
        <v>0</v>
      </c>
      <c r="AM322" s="43">
        <f>IF(B322="","",IF(C322="","Add - which product?",IF(AG322&lt;0,"Loss - this order cost you money",IF(M322="Refunded","Refunded - check why",IF(AND(AF322&lt;&gt;"",AF322&gt;0.25),"Check - fees higher than your settings",IF(Z322&gt;1,"Check - postage is eating the margin",IF(AND(AH322&lt;&gt;"",AH322&lt;MarginWarning),"Low margin on this order","OK")))))) )</f>
        <v>0</v>
      </c>
    </row>
    <row r="323" spans="1:39">
      <c r="A323" s="38">
        <f>IF(B323="","",SalePrefix&amp;TEXT(ROW()-4,"0000"))</f>
        <v>0</v>
      </c>
      <c r="Q323" s="13">
        <f>IF(C323="","",IFERROR(INDEX(Products!$B$5:$B$304,MATCH(C323,Products!$A$5:$A$304,0)),"Bundle or deleted"))</f>
        <v>0</v>
      </c>
      <c r="R323" s="13">
        <f>IF(B323="","",TEXT(B323,"yyyy-mm"))</f>
        <v>0</v>
      </c>
      <c r="S323" s="20">
        <f>IF(C323="","",IFERROR(INDEX(Products!$AR$5:$AR$304,MATCH(C323,Products!$A$5:$A$304,0)),""))</f>
        <v>0</v>
      </c>
      <c r="T323" s="20">
        <f>IF(B323="","",IF(F323&lt;&gt;"",F323,IF(S323="",0,S323)))</f>
        <v>0</v>
      </c>
      <c r="U323" s="20">
        <f>IF(B323="","",ROUND(IF(D323="",0,D323)*T323,2))</f>
        <v>0</v>
      </c>
      <c r="V323" s="20">
        <f>IF(B323="","",ROUND(U323-IF(G323="",0,G323)-IF(L323="",0,L323),2))</f>
        <v>0</v>
      </c>
      <c r="W323" s="20">
        <f>IF(C323="","",IFERROR(INDEX(Products!$AT$5:$AT$304,MATCH(C323,Products!$A$5:$A$304,0)),""))</f>
        <v>0</v>
      </c>
      <c r="X323" s="20">
        <f>IF(C323="","",IFERROR(INDEX(Products!$AG$5:$AG$304,MATCH(C323,Products!$A$5:$A$304,0)),""))</f>
        <v>0</v>
      </c>
      <c r="Y323" s="20">
        <f>IF(B323="","",ROUND(IF(D323="",0,D323)*MAX(0,IF(W323="",0,W323)-IF(X323="",0,X323)),2))</f>
        <v>0</v>
      </c>
      <c r="Z323" s="20">
        <f>IF(B323="","",ROUND(MAX(0,IF(J323="",0,J323)-IF(I323="",0,I323)),2))</f>
        <v>0</v>
      </c>
      <c r="AA323" s="33">
        <f>IF(B323="","",IFERROR(INDEX(Channels!$S$5:$S$18,MATCH(IF(E323="",DefaultChannel,E323),Channels!$A$5:$A$18,0)),0))</f>
        <v>0</v>
      </c>
      <c r="AB323" s="20">
        <f>IF(B323="","",IFERROR(INDEX(Channels!$T$5:$T$18,MATCH(IF(E323="",DefaultChannel,E323),Channels!$A$5:$A$18,0)),0))</f>
        <v>0</v>
      </c>
      <c r="AC323" s="42">
        <f>IF(B323="","",IFERROR(INDEX(Channels!$O$5:$O$18,MATCH(IF(E323="",DefaultChannel,E323),Channels!$A$5:$A$18,0)),"No"))</f>
        <v>0</v>
      </c>
      <c r="AD323" s="20">
        <f>IF(B323="","",ROUND((V323+IF(AC323="Yes",IF(I323="",0,I323),0))*AA323+AB323,2))</f>
        <v>0</v>
      </c>
      <c r="AE323" s="20">
        <f>IF(B323="","",IF(K323&lt;&gt;"",K323,AD323))</f>
        <v>0</v>
      </c>
      <c r="AF323" s="20">
        <f>IF(B323="","",IF(K323="","",ROUND(K323-AD323,2)))</f>
        <v>0</v>
      </c>
      <c r="AG323" s="20">
        <f>IF(B323="","",ROUND(V323-Y323-AE323-Z323,2))</f>
        <v>0</v>
      </c>
      <c r="AH323" s="33">
        <f>IF(B323="","",IF(OR(V323="",V323=0),"",AG323/V323))</f>
        <v>0</v>
      </c>
      <c r="AI323" s="33">
        <f>IF(C323="","",IFERROR(INDEX(Products!$AW$5:$AW$304,MATCH(C323,Products!$A$5:$A$304,0)),""))</f>
        <v>0</v>
      </c>
      <c r="AJ323" s="33">
        <f>IF(B323="","",IF(OR(AH323="",AI323=""),"",AH323-AI323))</f>
        <v>0</v>
      </c>
      <c r="AK323" s="41">
        <f>IF(B323="","",IFERROR(ROUND(IF(D323="",0,D323)*INDEX(Products!$X$5:$X$304,MATCH(C323,Products!$A$5:$A$304,0))/60,2),""))</f>
        <v>0</v>
      </c>
      <c r="AL323" s="20">
        <f>IF(B323="","",IF(OR(AK323="",AK323=0),"",ROUND(AG323/AK323,2)))</f>
        <v>0</v>
      </c>
      <c r="AM323" s="43">
        <f>IF(B323="","",IF(C323="","Add - which product?",IF(AG323&lt;0,"Loss - this order cost you money",IF(M323="Refunded","Refunded - check why",IF(AND(AF323&lt;&gt;"",AF323&gt;0.25),"Check - fees higher than your settings",IF(Z323&gt;1,"Check - postage is eating the margin",IF(AND(AH323&lt;&gt;"",AH323&lt;MarginWarning),"Low margin on this order","OK")))))) )</f>
        <v>0</v>
      </c>
    </row>
    <row r="324" spans="1:39">
      <c r="A324" s="38">
        <f>IF(B324="","",SalePrefix&amp;TEXT(ROW()-4,"0000"))</f>
        <v>0</v>
      </c>
      <c r="Q324" s="13">
        <f>IF(C324="","",IFERROR(INDEX(Products!$B$5:$B$304,MATCH(C324,Products!$A$5:$A$304,0)),"Bundle or deleted"))</f>
        <v>0</v>
      </c>
      <c r="R324" s="13">
        <f>IF(B324="","",TEXT(B324,"yyyy-mm"))</f>
        <v>0</v>
      </c>
      <c r="S324" s="20">
        <f>IF(C324="","",IFERROR(INDEX(Products!$AR$5:$AR$304,MATCH(C324,Products!$A$5:$A$304,0)),""))</f>
        <v>0</v>
      </c>
      <c r="T324" s="20">
        <f>IF(B324="","",IF(F324&lt;&gt;"",F324,IF(S324="",0,S324)))</f>
        <v>0</v>
      </c>
      <c r="U324" s="20">
        <f>IF(B324="","",ROUND(IF(D324="",0,D324)*T324,2))</f>
        <v>0</v>
      </c>
      <c r="V324" s="20">
        <f>IF(B324="","",ROUND(U324-IF(G324="",0,G324)-IF(L324="",0,L324),2))</f>
        <v>0</v>
      </c>
      <c r="W324" s="20">
        <f>IF(C324="","",IFERROR(INDEX(Products!$AT$5:$AT$304,MATCH(C324,Products!$A$5:$A$304,0)),""))</f>
        <v>0</v>
      </c>
      <c r="X324" s="20">
        <f>IF(C324="","",IFERROR(INDEX(Products!$AG$5:$AG$304,MATCH(C324,Products!$A$5:$A$304,0)),""))</f>
        <v>0</v>
      </c>
      <c r="Y324" s="20">
        <f>IF(B324="","",ROUND(IF(D324="",0,D324)*MAX(0,IF(W324="",0,W324)-IF(X324="",0,X324)),2))</f>
        <v>0</v>
      </c>
      <c r="Z324" s="20">
        <f>IF(B324="","",ROUND(MAX(0,IF(J324="",0,J324)-IF(I324="",0,I324)),2))</f>
        <v>0</v>
      </c>
      <c r="AA324" s="33">
        <f>IF(B324="","",IFERROR(INDEX(Channels!$S$5:$S$18,MATCH(IF(E324="",DefaultChannel,E324),Channels!$A$5:$A$18,0)),0))</f>
        <v>0</v>
      </c>
      <c r="AB324" s="20">
        <f>IF(B324="","",IFERROR(INDEX(Channels!$T$5:$T$18,MATCH(IF(E324="",DefaultChannel,E324),Channels!$A$5:$A$18,0)),0))</f>
        <v>0</v>
      </c>
      <c r="AC324" s="42">
        <f>IF(B324="","",IFERROR(INDEX(Channels!$O$5:$O$18,MATCH(IF(E324="",DefaultChannel,E324),Channels!$A$5:$A$18,0)),"No"))</f>
        <v>0</v>
      </c>
      <c r="AD324" s="20">
        <f>IF(B324="","",ROUND((V324+IF(AC324="Yes",IF(I324="",0,I324),0))*AA324+AB324,2))</f>
        <v>0</v>
      </c>
      <c r="AE324" s="20">
        <f>IF(B324="","",IF(K324&lt;&gt;"",K324,AD324))</f>
        <v>0</v>
      </c>
      <c r="AF324" s="20">
        <f>IF(B324="","",IF(K324="","",ROUND(K324-AD324,2)))</f>
        <v>0</v>
      </c>
      <c r="AG324" s="20">
        <f>IF(B324="","",ROUND(V324-Y324-AE324-Z324,2))</f>
        <v>0</v>
      </c>
      <c r="AH324" s="33">
        <f>IF(B324="","",IF(OR(V324="",V324=0),"",AG324/V324))</f>
        <v>0</v>
      </c>
      <c r="AI324" s="33">
        <f>IF(C324="","",IFERROR(INDEX(Products!$AW$5:$AW$304,MATCH(C324,Products!$A$5:$A$304,0)),""))</f>
        <v>0</v>
      </c>
      <c r="AJ324" s="33">
        <f>IF(B324="","",IF(OR(AH324="",AI324=""),"",AH324-AI324))</f>
        <v>0</v>
      </c>
      <c r="AK324" s="41">
        <f>IF(B324="","",IFERROR(ROUND(IF(D324="",0,D324)*INDEX(Products!$X$5:$X$304,MATCH(C324,Products!$A$5:$A$304,0))/60,2),""))</f>
        <v>0</v>
      </c>
      <c r="AL324" s="20">
        <f>IF(B324="","",IF(OR(AK324="",AK324=0),"",ROUND(AG324/AK324,2)))</f>
        <v>0</v>
      </c>
      <c r="AM324" s="43">
        <f>IF(B324="","",IF(C324="","Add - which product?",IF(AG324&lt;0,"Loss - this order cost you money",IF(M324="Refunded","Refunded - check why",IF(AND(AF324&lt;&gt;"",AF324&gt;0.25),"Check - fees higher than your settings",IF(Z324&gt;1,"Check - postage is eating the margin",IF(AND(AH324&lt;&gt;"",AH324&lt;MarginWarning),"Low margin on this order","OK")))))) )</f>
        <v>0</v>
      </c>
    </row>
    <row r="325" spans="1:39">
      <c r="A325" s="38">
        <f>IF(B325="","",SalePrefix&amp;TEXT(ROW()-4,"0000"))</f>
        <v>0</v>
      </c>
      <c r="Q325" s="13">
        <f>IF(C325="","",IFERROR(INDEX(Products!$B$5:$B$304,MATCH(C325,Products!$A$5:$A$304,0)),"Bundle or deleted"))</f>
        <v>0</v>
      </c>
      <c r="R325" s="13">
        <f>IF(B325="","",TEXT(B325,"yyyy-mm"))</f>
        <v>0</v>
      </c>
      <c r="S325" s="20">
        <f>IF(C325="","",IFERROR(INDEX(Products!$AR$5:$AR$304,MATCH(C325,Products!$A$5:$A$304,0)),""))</f>
        <v>0</v>
      </c>
      <c r="T325" s="20">
        <f>IF(B325="","",IF(F325&lt;&gt;"",F325,IF(S325="",0,S325)))</f>
        <v>0</v>
      </c>
      <c r="U325" s="20">
        <f>IF(B325="","",ROUND(IF(D325="",0,D325)*T325,2))</f>
        <v>0</v>
      </c>
      <c r="V325" s="20">
        <f>IF(B325="","",ROUND(U325-IF(G325="",0,G325)-IF(L325="",0,L325),2))</f>
        <v>0</v>
      </c>
      <c r="W325" s="20">
        <f>IF(C325="","",IFERROR(INDEX(Products!$AT$5:$AT$304,MATCH(C325,Products!$A$5:$A$304,0)),""))</f>
        <v>0</v>
      </c>
      <c r="X325" s="20">
        <f>IF(C325="","",IFERROR(INDEX(Products!$AG$5:$AG$304,MATCH(C325,Products!$A$5:$A$304,0)),""))</f>
        <v>0</v>
      </c>
      <c r="Y325" s="20">
        <f>IF(B325="","",ROUND(IF(D325="",0,D325)*MAX(0,IF(W325="",0,W325)-IF(X325="",0,X325)),2))</f>
        <v>0</v>
      </c>
      <c r="Z325" s="20">
        <f>IF(B325="","",ROUND(MAX(0,IF(J325="",0,J325)-IF(I325="",0,I325)),2))</f>
        <v>0</v>
      </c>
      <c r="AA325" s="33">
        <f>IF(B325="","",IFERROR(INDEX(Channels!$S$5:$S$18,MATCH(IF(E325="",DefaultChannel,E325),Channels!$A$5:$A$18,0)),0))</f>
        <v>0</v>
      </c>
      <c r="AB325" s="20">
        <f>IF(B325="","",IFERROR(INDEX(Channels!$T$5:$T$18,MATCH(IF(E325="",DefaultChannel,E325),Channels!$A$5:$A$18,0)),0))</f>
        <v>0</v>
      </c>
      <c r="AC325" s="42">
        <f>IF(B325="","",IFERROR(INDEX(Channels!$O$5:$O$18,MATCH(IF(E325="",DefaultChannel,E325),Channels!$A$5:$A$18,0)),"No"))</f>
        <v>0</v>
      </c>
      <c r="AD325" s="20">
        <f>IF(B325="","",ROUND((V325+IF(AC325="Yes",IF(I325="",0,I325),0))*AA325+AB325,2))</f>
        <v>0</v>
      </c>
      <c r="AE325" s="20">
        <f>IF(B325="","",IF(K325&lt;&gt;"",K325,AD325))</f>
        <v>0</v>
      </c>
      <c r="AF325" s="20">
        <f>IF(B325="","",IF(K325="","",ROUND(K325-AD325,2)))</f>
        <v>0</v>
      </c>
      <c r="AG325" s="20">
        <f>IF(B325="","",ROUND(V325-Y325-AE325-Z325,2))</f>
        <v>0</v>
      </c>
      <c r="AH325" s="33">
        <f>IF(B325="","",IF(OR(V325="",V325=0),"",AG325/V325))</f>
        <v>0</v>
      </c>
      <c r="AI325" s="33">
        <f>IF(C325="","",IFERROR(INDEX(Products!$AW$5:$AW$304,MATCH(C325,Products!$A$5:$A$304,0)),""))</f>
        <v>0</v>
      </c>
      <c r="AJ325" s="33">
        <f>IF(B325="","",IF(OR(AH325="",AI325=""),"",AH325-AI325))</f>
        <v>0</v>
      </c>
      <c r="AK325" s="41">
        <f>IF(B325="","",IFERROR(ROUND(IF(D325="",0,D325)*INDEX(Products!$X$5:$X$304,MATCH(C325,Products!$A$5:$A$304,0))/60,2),""))</f>
        <v>0</v>
      </c>
      <c r="AL325" s="20">
        <f>IF(B325="","",IF(OR(AK325="",AK325=0),"",ROUND(AG325/AK325,2)))</f>
        <v>0</v>
      </c>
      <c r="AM325" s="43">
        <f>IF(B325="","",IF(C325="","Add - which product?",IF(AG325&lt;0,"Loss - this order cost you money",IF(M325="Refunded","Refunded - check why",IF(AND(AF325&lt;&gt;"",AF325&gt;0.25),"Check - fees higher than your settings",IF(Z325&gt;1,"Check - postage is eating the margin",IF(AND(AH325&lt;&gt;"",AH325&lt;MarginWarning),"Low margin on this order","OK")))))) )</f>
        <v>0</v>
      </c>
    </row>
    <row r="326" spans="1:39">
      <c r="A326" s="38">
        <f>IF(B326="","",SalePrefix&amp;TEXT(ROW()-4,"0000"))</f>
        <v>0</v>
      </c>
      <c r="Q326" s="13">
        <f>IF(C326="","",IFERROR(INDEX(Products!$B$5:$B$304,MATCH(C326,Products!$A$5:$A$304,0)),"Bundle or deleted"))</f>
        <v>0</v>
      </c>
      <c r="R326" s="13">
        <f>IF(B326="","",TEXT(B326,"yyyy-mm"))</f>
        <v>0</v>
      </c>
      <c r="S326" s="20">
        <f>IF(C326="","",IFERROR(INDEX(Products!$AR$5:$AR$304,MATCH(C326,Products!$A$5:$A$304,0)),""))</f>
        <v>0</v>
      </c>
      <c r="T326" s="20">
        <f>IF(B326="","",IF(F326&lt;&gt;"",F326,IF(S326="",0,S326)))</f>
        <v>0</v>
      </c>
      <c r="U326" s="20">
        <f>IF(B326="","",ROUND(IF(D326="",0,D326)*T326,2))</f>
        <v>0</v>
      </c>
      <c r="V326" s="20">
        <f>IF(B326="","",ROUND(U326-IF(G326="",0,G326)-IF(L326="",0,L326),2))</f>
        <v>0</v>
      </c>
      <c r="W326" s="20">
        <f>IF(C326="","",IFERROR(INDEX(Products!$AT$5:$AT$304,MATCH(C326,Products!$A$5:$A$304,0)),""))</f>
        <v>0</v>
      </c>
      <c r="X326" s="20">
        <f>IF(C326="","",IFERROR(INDEX(Products!$AG$5:$AG$304,MATCH(C326,Products!$A$5:$A$304,0)),""))</f>
        <v>0</v>
      </c>
      <c r="Y326" s="20">
        <f>IF(B326="","",ROUND(IF(D326="",0,D326)*MAX(0,IF(W326="",0,W326)-IF(X326="",0,X326)),2))</f>
        <v>0</v>
      </c>
      <c r="Z326" s="20">
        <f>IF(B326="","",ROUND(MAX(0,IF(J326="",0,J326)-IF(I326="",0,I326)),2))</f>
        <v>0</v>
      </c>
      <c r="AA326" s="33">
        <f>IF(B326="","",IFERROR(INDEX(Channels!$S$5:$S$18,MATCH(IF(E326="",DefaultChannel,E326),Channels!$A$5:$A$18,0)),0))</f>
        <v>0</v>
      </c>
      <c r="AB326" s="20">
        <f>IF(B326="","",IFERROR(INDEX(Channels!$T$5:$T$18,MATCH(IF(E326="",DefaultChannel,E326),Channels!$A$5:$A$18,0)),0))</f>
        <v>0</v>
      </c>
      <c r="AC326" s="42">
        <f>IF(B326="","",IFERROR(INDEX(Channels!$O$5:$O$18,MATCH(IF(E326="",DefaultChannel,E326),Channels!$A$5:$A$18,0)),"No"))</f>
        <v>0</v>
      </c>
      <c r="AD326" s="20">
        <f>IF(B326="","",ROUND((V326+IF(AC326="Yes",IF(I326="",0,I326),0))*AA326+AB326,2))</f>
        <v>0</v>
      </c>
      <c r="AE326" s="20">
        <f>IF(B326="","",IF(K326&lt;&gt;"",K326,AD326))</f>
        <v>0</v>
      </c>
      <c r="AF326" s="20">
        <f>IF(B326="","",IF(K326="","",ROUND(K326-AD326,2)))</f>
        <v>0</v>
      </c>
      <c r="AG326" s="20">
        <f>IF(B326="","",ROUND(V326-Y326-AE326-Z326,2))</f>
        <v>0</v>
      </c>
      <c r="AH326" s="33">
        <f>IF(B326="","",IF(OR(V326="",V326=0),"",AG326/V326))</f>
        <v>0</v>
      </c>
      <c r="AI326" s="33">
        <f>IF(C326="","",IFERROR(INDEX(Products!$AW$5:$AW$304,MATCH(C326,Products!$A$5:$A$304,0)),""))</f>
        <v>0</v>
      </c>
      <c r="AJ326" s="33">
        <f>IF(B326="","",IF(OR(AH326="",AI326=""),"",AH326-AI326))</f>
        <v>0</v>
      </c>
      <c r="AK326" s="41">
        <f>IF(B326="","",IFERROR(ROUND(IF(D326="",0,D326)*INDEX(Products!$X$5:$X$304,MATCH(C326,Products!$A$5:$A$304,0))/60,2),""))</f>
        <v>0</v>
      </c>
      <c r="AL326" s="20">
        <f>IF(B326="","",IF(OR(AK326="",AK326=0),"",ROUND(AG326/AK326,2)))</f>
        <v>0</v>
      </c>
      <c r="AM326" s="43">
        <f>IF(B326="","",IF(C326="","Add - which product?",IF(AG326&lt;0,"Loss - this order cost you money",IF(M326="Refunded","Refunded - check why",IF(AND(AF326&lt;&gt;"",AF326&gt;0.25),"Check - fees higher than your settings",IF(Z326&gt;1,"Check - postage is eating the margin",IF(AND(AH326&lt;&gt;"",AH326&lt;MarginWarning),"Low margin on this order","OK")))))) )</f>
        <v>0</v>
      </c>
    </row>
    <row r="327" spans="1:39">
      <c r="A327" s="38">
        <f>IF(B327="","",SalePrefix&amp;TEXT(ROW()-4,"0000"))</f>
        <v>0</v>
      </c>
      <c r="Q327" s="13">
        <f>IF(C327="","",IFERROR(INDEX(Products!$B$5:$B$304,MATCH(C327,Products!$A$5:$A$304,0)),"Bundle or deleted"))</f>
        <v>0</v>
      </c>
      <c r="R327" s="13">
        <f>IF(B327="","",TEXT(B327,"yyyy-mm"))</f>
        <v>0</v>
      </c>
      <c r="S327" s="20">
        <f>IF(C327="","",IFERROR(INDEX(Products!$AR$5:$AR$304,MATCH(C327,Products!$A$5:$A$304,0)),""))</f>
        <v>0</v>
      </c>
      <c r="T327" s="20">
        <f>IF(B327="","",IF(F327&lt;&gt;"",F327,IF(S327="",0,S327)))</f>
        <v>0</v>
      </c>
      <c r="U327" s="20">
        <f>IF(B327="","",ROUND(IF(D327="",0,D327)*T327,2))</f>
        <v>0</v>
      </c>
      <c r="V327" s="20">
        <f>IF(B327="","",ROUND(U327-IF(G327="",0,G327)-IF(L327="",0,L327),2))</f>
        <v>0</v>
      </c>
      <c r="W327" s="20">
        <f>IF(C327="","",IFERROR(INDEX(Products!$AT$5:$AT$304,MATCH(C327,Products!$A$5:$A$304,0)),""))</f>
        <v>0</v>
      </c>
      <c r="X327" s="20">
        <f>IF(C327="","",IFERROR(INDEX(Products!$AG$5:$AG$304,MATCH(C327,Products!$A$5:$A$304,0)),""))</f>
        <v>0</v>
      </c>
      <c r="Y327" s="20">
        <f>IF(B327="","",ROUND(IF(D327="",0,D327)*MAX(0,IF(W327="",0,W327)-IF(X327="",0,X327)),2))</f>
        <v>0</v>
      </c>
      <c r="Z327" s="20">
        <f>IF(B327="","",ROUND(MAX(0,IF(J327="",0,J327)-IF(I327="",0,I327)),2))</f>
        <v>0</v>
      </c>
      <c r="AA327" s="33">
        <f>IF(B327="","",IFERROR(INDEX(Channels!$S$5:$S$18,MATCH(IF(E327="",DefaultChannel,E327),Channels!$A$5:$A$18,0)),0))</f>
        <v>0</v>
      </c>
      <c r="AB327" s="20">
        <f>IF(B327="","",IFERROR(INDEX(Channels!$T$5:$T$18,MATCH(IF(E327="",DefaultChannel,E327),Channels!$A$5:$A$18,0)),0))</f>
        <v>0</v>
      </c>
      <c r="AC327" s="42">
        <f>IF(B327="","",IFERROR(INDEX(Channels!$O$5:$O$18,MATCH(IF(E327="",DefaultChannel,E327),Channels!$A$5:$A$18,0)),"No"))</f>
        <v>0</v>
      </c>
      <c r="AD327" s="20">
        <f>IF(B327="","",ROUND((V327+IF(AC327="Yes",IF(I327="",0,I327),0))*AA327+AB327,2))</f>
        <v>0</v>
      </c>
      <c r="AE327" s="20">
        <f>IF(B327="","",IF(K327&lt;&gt;"",K327,AD327))</f>
        <v>0</v>
      </c>
      <c r="AF327" s="20">
        <f>IF(B327="","",IF(K327="","",ROUND(K327-AD327,2)))</f>
        <v>0</v>
      </c>
      <c r="AG327" s="20">
        <f>IF(B327="","",ROUND(V327-Y327-AE327-Z327,2))</f>
        <v>0</v>
      </c>
      <c r="AH327" s="33">
        <f>IF(B327="","",IF(OR(V327="",V327=0),"",AG327/V327))</f>
        <v>0</v>
      </c>
      <c r="AI327" s="33">
        <f>IF(C327="","",IFERROR(INDEX(Products!$AW$5:$AW$304,MATCH(C327,Products!$A$5:$A$304,0)),""))</f>
        <v>0</v>
      </c>
      <c r="AJ327" s="33">
        <f>IF(B327="","",IF(OR(AH327="",AI327=""),"",AH327-AI327))</f>
        <v>0</v>
      </c>
      <c r="AK327" s="41">
        <f>IF(B327="","",IFERROR(ROUND(IF(D327="",0,D327)*INDEX(Products!$X$5:$X$304,MATCH(C327,Products!$A$5:$A$304,0))/60,2),""))</f>
        <v>0</v>
      </c>
      <c r="AL327" s="20">
        <f>IF(B327="","",IF(OR(AK327="",AK327=0),"",ROUND(AG327/AK327,2)))</f>
        <v>0</v>
      </c>
      <c r="AM327" s="43">
        <f>IF(B327="","",IF(C327="","Add - which product?",IF(AG327&lt;0,"Loss - this order cost you money",IF(M327="Refunded","Refunded - check why",IF(AND(AF327&lt;&gt;"",AF327&gt;0.25),"Check - fees higher than your settings",IF(Z327&gt;1,"Check - postage is eating the margin",IF(AND(AH327&lt;&gt;"",AH327&lt;MarginWarning),"Low margin on this order","OK")))))) )</f>
        <v>0</v>
      </c>
    </row>
    <row r="328" spans="1:39">
      <c r="A328" s="38">
        <f>IF(B328="","",SalePrefix&amp;TEXT(ROW()-4,"0000"))</f>
        <v>0</v>
      </c>
      <c r="Q328" s="13">
        <f>IF(C328="","",IFERROR(INDEX(Products!$B$5:$B$304,MATCH(C328,Products!$A$5:$A$304,0)),"Bundle or deleted"))</f>
        <v>0</v>
      </c>
      <c r="R328" s="13">
        <f>IF(B328="","",TEXT(B328,"yyyy-mm"))</f>
        <v>0</v>
      </c>
      <c r="S328" s="20">
        <f>IF(C328="","",IFERROR(INDEX(Products!$AR$5:$AR$304,MATCH(C328,Products!$A$5:$A$304,0)),""))</f>
        <v>0</v>
      </c>
      <c r="T328" s="20">
        <f>IF(B328="","",IF(F328&lt;&gt;"",F328,IF(S328="",0,S328)))</f>
        <v>0</v>
      </c>
      <c r="U328" s="20">
        <f>IF(B328="","",ROUND(IF(D328="",0,D328)*T328,2))</f>
        <v>0</v>
      </c>
      <c r="V328" s="20">
        <f>IF(B328="","",ROUND(U328-IF(G328="",0,G328)-IF(L328="",0,L328),2))</f>
        <v>0</v>
      </c>
      <c r="W328" s="20">
        <f>IF(C328="","",IFERROR(INDEX(Products!$AT$5:$AT$304,MATCH(C328,Products!$A$5:$A$304,0)),""))</f>
        <v>0</v>
      </c>
      <c r="X328" s="20">
        <f>IF(C328="","",IFERROR(INDEX(Products!$AG$5:$AG$304,MATCH(C328,Products!$A$5:$A$304,0)),""))</f>
        <v>0</v>
      </c>
      <c r="Y328" s="20">
        <f>IF(B328="","",ROUND(IF(D328="",0,D328)*MAX(0,IF(W328="",0,W328)-IF(X328="",0,X328)),2))</f>
        <v>0</v>
      </c>
      <c r="Z328" s="20">
        <f>IF(B328="","",ROUND(MAX(0,IF(J328="",0,J328)-IF(I328="",0,I328)),2))</f>
        <v>0</v>
      </c>
      <c r="AA328" s="33">
        <f>IF(B328="","",IFERROR(INDEX(Channels!$S$5:$S$18,MATCH(IF(E328="",DefaultChannel,E328),Channels!$A$5:$A$18,0)),0))</f>
        <v>0</v>
      </c>
      <c r="AB328" s="20">
        <f>IF(B328="","",IFERROR(INDEX(Channels!$T$5:$T$18,MATCH(IF(E328="",DefaultChannel,E328),Channels!$A$5:$A$18,0)),0))</f>
        <v>0</v>
      </c>
      <c r="AC328" s="42">
        <f>IF(B328="","",IFERROR(INDEX(Channels!$O$5:$O$18,MATCH(IF(E328="",DefaultChannel,E328),Channels!$A$5:$A$18,0)),"No"))</f>
        <v>0</v>
      </c>
      <c r="AD328" s="20">
        <f>IF(B328="","",ROUND((V328+IF(AC328="Yes",IF(I328="",0,I328),0))*AA328+AB328,2))</f>
        <v>0</v>
      </c>
      <c r="AE328" s="20">
        <f>IF(B328="","",IF(K328&lt;&gt;"",K328,AD328))</f>
        <v>0</v>
      </c>
      <c r="AF328" s="20">
        <f>IF(B328="","",IF(K328="","",ROUND(K328-AD328,2)))</f>
        <v>0</v>
      </c>
      <c r="AG328" s="20">
        <f>IF(B328="","",ROUND(V328-Y328-AE328-Z328,2))</f>
        <v>0</v>
      </c>
      <c r="AH328" s="33">
        <f>IF(B328="","",IF(OR(V328="",V328=0),"",AG328/V328))</f>
        <v>0</v>
      </c>
      <c r="AI328" s="33">
        <f>IF(C328="","",IFERROR(INDEX(Products!$AW$5:$AW$304,MATCH(C328,Products!$A$5:$A$304,0)),""))</f>
        <v>0</v>
      </c>
      <c r="AJ328" s="33">
        <f>IF(B328="","",IF(OR(AH328="",AI328=""),"",AH328-AI328))</f>
        <v>0</v>
      </c>
      <c r="AK328" s="41">
        <f>IF(B328="","",IFERROR(ROUND(IF(D328="",0,D328)*INDEX(Products!$X$5:$X$304,MATCH(C328,Products!$A$5:$A$304,0))/60,2),""))</f>
        <v>0</v>
      </c>
      <c r="AL328" s="20">
        <f>IF(B328="","",IF(OR(AK328="",AK328=0),"",ROUND(AG328/AK328,2)))</f>
        <v>0</v>
      </c>
      <c r="AM328" s="43">
        <f>IF(B328="","",IF(C328="","Add - which product?",IF(AG328&lt;0,"Loss - this order cost you money",IF(M328="Refunded","Refunded - check why",IF(AND(AF328&lt;&gt;"",AF328&gt;0.25),"Check - fees higher than your settings",IF(Z328&gt;1,"Check - postage is eating the margin",IF(AND(AH328&lt;&gt;"",AH328&lt;MarginWarning),"Low margin on this order","OK")))))) )</f>
        <v>0</v>
      </c>
    </row>
    <row r="329" spans="1:39">
      <c r="A329" s="38">
        <f>IF(B329="","",SalePrefix&amp;TEXT(ROW()-4,"0000"))</f>
        <v>0</v>
      </c>
      <c r="Q329" s="13">
        <f>IF(C329="","",IFERROR(INDEX(Products!$B$5:$B$304,MATCH(C329,Products!$A$5:$A$304,0)),"Bundle or deleted"))</f>
        <v>0</v>
      </c>
      <c r="R329" s="13">
        <f>IF(B329="","",TEXT(B329,"yyyy-mm"))</f>
        <v>0</v>
      </c>
      <c r="S329" s="20">
        <f>IF(C329="","",IFERROR(INDEX(Products!$AR$5:$AR$304,MATCH(C329,Products!$A$5:$A$304,0)),""))</f>
        <v>0</v>
      </c>
      <c r="T329" s="20">
        <f>IF(B329="","",IF(F329&lt;&gt;"",F329,IF(S329="",0,S329)))</f>
        <v>0</v>
      </c>
      <c r="U329" s="20">
        <f>IF(B329="","",ROUND(IF(D329="",0,D329)*T329,2))</f>
        <v>0</v>
      </c>
      <c r="V329" s="20">
        <f>IF(B329="","",ROUND(U329-IF(G329="",0,G329)-IF(L329="",0,L329),2))</f>
        <v>0</v>
      </c>
      <c r="W329" s="20">
        <f>IF(C329="","",IFERROR(INDEX(Products!$AT$5:$AT$304,MATCH(C329,Products!$A$5:$A$304,0)),""))</f>
        <v>0</v>
      </c>
      <c r="X329" s="20">
        <f>IF(C329="","",IFERROR(INDEX(Products!$AG$5:$AG$304,MATCH(C329,Products!$A$5:$A$304,0)),""))</f>
        <v>0</v>
      </c>
      <c r="Y329" s="20">
        <f>IF(B329="","",ROUND(IF(D329="",0,D329)*MAX(0,IF(W329="",0,W329)-IF(X329="",0,X329)),2))</f>
        <v>0</v>
      </c>
      <c r="Z329" s="20">
        <f>IF(B329="","",ROUND(MAX(0,IF(J329="",0,J329)-IF(I329="",0,I329)),2))</f>
        <v>0</v>
      </c>
      <c r="AA329" s="33">
        <f>IF(B329="","",IFERROR(INDEX(Channels!$S$5:$S$18,MATCH(IF(E329="",DefaultChannel,E329),Channels!$A$5:$A$18,0)),0))</f>
        <v>0</v>
      </c>
      <c r="AB329" s="20">
        <f>IF(B329="","",IFERROR(INDEX(Channels!$T$5:$T$18,MATCH(IF(E329="",DefaultChannel,E329),Channels!$A$5:$A$18,0)),0))</f>
        <v>0</v>
      </c>
      <c r="AC329" s="42">
        <f>IF(B329="","",IFERROR(INDEX(Channels!$O$5:$O$18,MATCH(IF(E329="",DefaultChannel,E329),Channels!$A$5:$A$18,0)),"No"))</f>
        <v>0</v>
      </c>
      <c r="AD329" s="20">
        <f>IF(B329="","",ROUND((V329+IF(AC329="Yes",IF(I329="",0,I329),0))*AA329+AB329,2))</f>
        <v>0</v>
      </c>
      <c r="AE329" s="20">
        <f>IF(B329="","",IF(K329&lt;&gt;"",K329,AD329))</f>
        <v>0</v>
      </c>
      <c r="AF329" s="20">
        <f>IF(B329="","",IF(K329="","",ROUND(K329-AD329,2)))</f>
        <v>0</v>
      </c>
      <c r="AG329" s="20">
        <f>IF(B329="","",ROUND(V329-Y329-AE329-Z329,2))</f>
        <v>0</v>
      </c>
      <c r="AH329" s="33">
        <f>IF(B329="","",IF(OR(V329="",V329=0),"",AG329/V329))</f>
        <v>0</v>
      </c>
      <c r="AI329" s="33">
        <f>IF(C329="","",IFERROR(INDEX(Products!$AW$5:$AW$304,MATCH(C329,Products!$A$5:$A$304,0)),""))</f>
        <v>0</v>
      </c>
      <c r="AJ329" s="33">
        <f>IF(B329="","",IF(OR(AH329="",AI329=""),"",AH329-AI329))</f>
        <v>0</v>
      </c>
      <c r="AK329" s="41">
        <f>IF(B329="","",IFERROR(ROUND(IF(D329="",0,D329)*INDEX(Products!$X$5:$X$304,MATCH(C329,Products!$A$5:$A$304,0))/60,2),""))</f>
        <v>0</v>
      </c>
      <c r="AL329" s="20">
        <f>IF(B329="","",IF(OR(AK329="",AK329=0),"",ROUND(AG329/AK329,2)))</f>
        <v>0</v>
      </c>
      <c r="AM329" s="43">
        <f>IF(B329="","",IF(C329="","Add - which product?",IF(AG329&lt;0,"Loss - this order cost you money",IF(M329="Refunded","Refunded - check why",IF(AND(AF329&lt;&gt;"",AF329&gt;0.25),"Check - fees higher than your settings",IF(Z329&gt;1,"Check - postage is eating the margin",IF(AND(AH329&lt;&gt;"",AH329&lt;MarginWarning),"Low margin on this order","OK")))))) )</f>
        <v>0</v>
      </c>
    </row>
    <row r="330" spans="1:39">
      <c r="A330" s="38">
        <f>IF(B330="","",SalePrefix&amp;TEXT(ROW()-4,"0000"))</f>
        <v>0</v>
      </c>
      <c r="Q330" s="13">
        <f>IF(C330="","",IFERROR(INDEX(Products!$B$5:$B$304,MATCH(C330,Products!$A$5:$A$304,0)),"Bundle or deleted"))</f>
        <v>0</v>
      </c>
      <c r="R330" s="13">
        <f>IF(B330="","",TEXT(B330,"yyyy-mm"))</f>
        <v>0</v>
      </c>
      <c r="S330" s="20">
        <f>IF(C330="","",IFERROR(INDEX(Products!$AR$5:$AR$304,MATCH(C330,Products!$A$5:$A$304,0)),""))</f>
        <v>0</v>
      </c>
      <c r="T330" s="20">
        <f>IF(B330="","",IF(F330&lt;&gt;"",F330,IF(S330="",0,S330)))</f>
        <v>0</v>
      </c>
      <c r="U330" s="20">
        <f>IF(B330="","",ROUND(IF(D330="",0,D330)*T330,2))</f>
        <v>0</v>
      </c>
      <c r="V330" s="20">
        <f>IF(B330="","",ROUND(U330-IF(G330="",0,G330)-IF(L330="",0,L330),2))</f>
        <v>0</v>
      </c>
      <c r="W330" s="20">
        <f>IF(C330="","",IFERROR(INDEX(Products!$AT$5:$AT$304,MATCH(C330,Products!$A$5:$A$304,0)),""))</f>
        <v>0</v>
      </c>
      <c r="X330" s="20">
        <f>IF(C330="","",IFERROR(INDEX(Products!$AG$5:$AG$304,MATCH(C330,Products!$A$5:$A$304,0)),""))</f>
        <v>0</v>
      </c>
      <c r="Y330" s="20">
        <f>IF(B330="","",ROUND(IF(D330="",0,D330)*MAX(0,IF(W330="",0,W330)-IF(X330="",0,X330)),2))</f>
        <v>0</v>
      </c>
      <c r="Z330" s="20">
        <f>IF(B330="","",ROUND(MAX(0,IF(J330="",0,J330)-IF(I330="",0,I330)),2))</f>
        <v>0</v>
      </c>
      <c r="AA330" s="33">
        <f>IF(B330="","",IFERROR(INDEX(Channels!$S$5:$S$18,MATCH(IF(E330="",DefaultChannel,E330),Channels!$A$5:$A$18,0)),0))</f>
        <v>0</v>
      </c>
      <c r="AB330" s="20">
        <f>IF(B330="","",IFERROR(INDEX(Channels!$T$5:$T$18,MATCH(IF(E330="",DefaultChannel,E330),Channels!$A$5:$A$18,0)),0))</f>
        <v>0</v>
      </c>
      <c r="AC330" s="42">
        <f>IF(B330="","",IFERROR(INDEX(Channels!$O$5:$O$18,MATCH(IF(E330="",DefaultChannel,E330),Channels!$A$5:$A$18,0)),"No"))</f>
        <v>0</v>
      </c>
      <c r="AD330" s="20">
        <f>IF(B330="","",ROUND((V330+IF(AC330="Yes",IF(I330="",0,I330),0))*AA330+AB330,2))</f>
        <v>0</v>
      </c>
      <c r="AE330" s="20">
        <f>IF(B330="","",IF(K330&lt;&gt;"",K330,AD330))</f>
        <v>0</v>
      </c>
      <c r="AF330" s="20">
        <f>IF(B330="","",IF(K330="","",ROUND(K330-AD330,2)))</f>
        <v>0</v>
      </c>
      <c r="AG330" s="20">
        <f>IF(B330="","",ROUND(V330-Y330-AE330-Z330,2))</f>
        <v>0</v>
      </c>
      <c r="AH330" s="33">
        <f>IF(B330="","",IF(OR(V330="",V330=0),"",AG330/V330))</f>
        <v>0</v>
      </c>
      <c r="AI330" s="33">
        <f>IF(C330="","",IFERROR(INDEX(Products!$AW$5:$AW$304,MATCH(C330,Products!$A$5:$A$304,0)),""))</f>
        <v>0</v>
      </c>
      <c r="AJ330" s="33">
        <f>IF(B330="","",IF(OR(AH330="",AI330=""),"",AH330-AI330))</f>
        <v>0</v>
      </c>
      <c r="AK330" s="41">
        <f>IF(B330="","",IFERROR(ROUND(IF(D330="",0,D330)*INDEX(Products!$X$5:$X$304,MATCH(C330,Products!$A$5:$A$304,0))/60,2),""))</f>
        <v>0</v>
      </c>
      <c r="AL330" s="20">
        <f>IF(B330="","",IF(OR(AK330="",AK330=0),"",ROUND(AG330/AK330,2)))</f>
        <v>0</v>
      </c>
      <c r="AM330" s="43">
        <f>IF(B330="","",IF(C330="","Add - which product?",IF(AG330&lt;0,"Loss - this order cost you money",IF(M330="Refunded","Refunded - check why",IF(AND(AF330&lt;&gt;"",AF330&gt;0.25),"Check - fees higher than your settings",IF(Z330&gt;1,"Check - postage is eating the margin",IF(AND(AH330&lt;&gt;"",AH330&lt;MarginWarning),"Low margin on this order","OK")))))) )</f>
        <v>0</v>
      </c>
    </row>
    <row r="331" spans="1:39">
      <c r="A331" s="38">
        <f>IF(B331="","",SalePrefix&amp;TEXT(ROW()-4,"0000"))</f>
        <v>0</v>
      </c>
      <c r="Q331" s="13">
        <f>IF(C331="","",IFERROR(INDEX(Products!$B$5:$B$304,MATCH(C331,Products!$A$5:$A$304,0)),"Bundle or deleted"))</f>
        <v>0</v>
      </c>
      <c r="R331" s="13">
        <f>IF(B331="","",TEXT(B331,"yyyy-mm"))</f>
        <v>0</v>
      </c>
      <c r="S331" s="20">
        <f>IF(C331="","",IFERROR(INDEX(Products!$AR$5:$AR$304,MATCH(C331,Products!$A$5:$A$304,0)),""))</f>
        <v>0</v>
      </c>
      <c r="T331" s="20">
        <f>IF(B331="","",IF(F331&lt;&gt;"",F331,IF(S331="",0,S331)))</f>
        <v>0</v>
      </c>
      <c r="U331" s="20">
        <f>IF(B331="","",ROUND(IF(D331="",0,D331)*T331,2))</f>
        <v>0</v>
      </c>
      <c r="V331" s="20">
        <f>IF(B331="","",ROUND(U331-IF(G331="",0,G331)-IF(L331="",0,L331),2))</f>
        <v>0</v>
      </c>
      <c r="W331" s="20">
        <f>IF(C331="","",IFERROR(INDEX(Products!$AT$5:$AT$304,MATCH(C331,Products!$A$5:$A$304,0)),""))</f>
        <v>0</v>
      </c>
      <c r="X331" s="20">
        <f>IF(C331="","",IFERROR(INDEX(Products!$AG$5:$AG$304,MATCH(C331,Products!$A$5:$A$304,0)),""))</f>
        <v>0</v>
      </c>
      <c r="Y331" s="20">
        <f>IF(B331="","",ROUND(IF(D331="",0,D331)*MAX(0,IF(W331="",0,W331)-IF(X331="",0,X331)),2))</f>
        <v>0</v>
      </c>
      <c r="Z331" s="20">
        <f>IF(B331="","",ROUND(MAX(0,IF(J331="",0,J331)-IF(I331="",0,I331)),2))</f>
        <v>0</v>
      </c>
      <c r="AA331" s="33">
        <f>IF(B331="","",IFERROR(INDEX(Channels!$S$5:$S$18,MATCH(IF(E331="",DefaultChannel,E331),Channels!$A$5:$A$18,0)),0))</f>
        <v>0</v>
      </c>
      <c r="AB331" s="20">
        <f>IF(B331="","",IFERROR(INDEX(Channels!$T$5:$T$18,MATCH(IF(E331="",DefaultChannel,E331),Channels!$A$5:$A$18,0)),0))</f>
        <v>0</v>
      </c>
      <c r="AC331" s="42">
        <f>IF(B331="","",IFERROR(INDEX(Channels!$O$5:$O$18,MATCH(IF(E331="",DefaultChannel,E331),Channels!$A$5:$A$18,0)),"No"))</f>
        <v>0</v>
      </c>
      <c r="AD331" s="20">
        <f>IF(B331="","",ROUND((V331+IF(AC331="Yes",IF(I331="",0,I331),0))*AA331+AB331,2))</f>
        <v>0</v>
      </c>
      <c r="AE331" s="20">
        <f>IF(B331="","",IF(K331&lt;&gt;"",K331,AD331))</f>
        <v>0</v>
      </c>
      <c r="AF331" s="20">
        <f>IF(B331="","",IF(K331="","",ROUND(K331-AD331,2)))</f>
        <v>0</v>
      </c>
      <c r="AG331" s="20">
        <f>IF(B331="","",ROUND(V331-Y331-AE331-Z331,2))</f>
        <v>0</v>
      </c>
      <c r="AH331" s="33">
        <f>IF(B331="","",IF(OR(V331="",V331=0),"",AG331/V331))</f>
        <v>0</v>
      </c>
      <c r="AI331" s="33">
        <f>IF(C331="","",IFERROR(INDEX(Products!$AW$5:$AW$304,MATCH(C331,Products!$A$5:$A$304,0)),""))</f>
        <v>0</v>
      </c>
      <c r="AJ331" s="33">
        <f>IF(B331="","",IF(OR(AH331="",AI331=""),"",AH331-AI331))</f>
        <v>0</v>
      </c>
      <c r="AK331" s="41">
        <f>IF(B331="","",IFERROR(ROUND(IF(D331="",0,D331)*INDEX(Products!$X$5:$X$304,MATCH(C331,Products!$A$5:$A$304,0))/60,2),""))</f>
        <v>0</v>
      </c>
      <c r="AL331" s="20">
        <f>IF(B331="","",IF(OR(AK331="",AK331=0),"",ROUND(AG331/AK331,2)))</f>
        <v>0</v>
      </c>
      <c r="AM331" s="43">
        <f>IF(B331="","",IF(C331="","Add - which product?",IF(AG331&lt;0,"Loss - this order cost you money",IF(M331="Refunded","Refunded - check why",IF(AND(AF331&lt;&gt;"",AF331&gt;0.25),"Check - fees higher than your settings",IF(Z331&gt;1,"Check - postage is eating the margin",IF(AND(AH331&lt;&gt;"",AH331&lt;MarginWarning),"Low margin on this order","OK")))))) )</f>
        <v>0</v>
      </c>
    </row>
    <row r="332" spans="1:39">
      <c r="A332" s="38">
        <f>IF(B332="","",SalePrefix&amp;TEXT(ROW()-4,"0000"))</f>
        <v>0</v>
      </c>
      <c r="Q332" s="13">
        <f>IF(C332="","",IFERROR(INDEX(Products!$B$5:$B$304,MATCH(C332,Products!$A$5:$A$304,0)),"Bundle or deleted"))</f>
        <v>0</v>
      </c>
      <c r="R332" s="13">
        <f>IF(B332="","",TEXT(B332,"yyyy-mm"))</f>
        <v>0</v>
      </c>
      <c r="S332" s="20">
        <f>IF(C332="","",IFERROR(INDEX(Products!$AR$5:$AR$304,MATCH(C332,Products!$A$5:$A$304,0)),""))</f>
        <v>0</v>
      </c>
      <c r="T332" s="20">
        <f>IF(B332="","",IF(F332&lt;&gt;"",F332,IF(S332="",0,S332)))</f>
        <v>0</v>
      </c>
      <c r="U332" s="20">
        <f>IF(B332="","",ROUND(IF(D332="",0,D332)*T332,2))</f>
        <v>0</v>
      </c>
      <c r="V332" s="20">
        <f>IF(B332="","",ROUND(U332-IF(G332="",0,G332)-IF(L332="",0,L332),2))</f>
        <v>0</v>
      </c>
      <c r="W332" s="20">
        <f>IF(C332="","",IFERROR(INDEX(Products!$AT$5:$AT$304,MATCH(C332,Products!$A$5:$A$304,0)),""))</f>
        <v>0</v>
      </c>
      <c r="X332" s="20">
        <f>IF(C332="","",IFERROR(INDEX(Products!$AG$5:$AG$304,MATCH(C332,Products!$A$5:$A$304,0)),""))</f>
        <v>0</v>
      </c>
      <c r="Y332" s="20">
        <f>IF(B332="","",ROUND(IF(D332="",0,D332)*MAX(0,IF(W332="",0,W332)-IF(X332="",0,X332)),2))</f>
        <v>0</v>
      </c>
      <c r="Z332" s="20">
        <f>IF(B332="","",ROUND(MAX(0,IF(J332="",0,J332)-IF(I332="",0,I332)),2))</f>
        <v>0</v>
      </c>
      <c r="AA332" s="33">
        <f>IF(B332="","",IFERROR(INDEX(Channels!$S$5:$S$18,MATCH(IF(E332="",DefaultChannel,E332),Channels!$A$5:$A$18,0)),0))</f>
        <v>0</v>
      </c>
      <c r="AB332" s="20">
        <f>IF(B332="","",IFERROR(INDEX(Channels!$T$5:$T$18,MATCH(IF(E332="",DefaultChannel,E332),Channels!$A$5:$A$18,0)),0))</f>
        <v>0</v>
      </c>
      <c r="AC332" s="42">
        <f>IF(B332="","",IFERROR(INDEX(Channels!$O$5:$O$18,MATCH(IF(E332="",DefaultChannel,E332),Channels!$A$5:$A$18,0)),"No"))</f>
        <v>0</v>
      </c>
      <c r="AD332" s="20">
        <f>IF(B332="","",ROUND((V332+IF(AC332="Yes",IF(I332="",0,I332),0))*AA332+AB332,2))</f>
        <v>0</v>
      </c>
      <c r="AE332" s="20">
        <f>IF(B332="","",IF(K332&lt;&gt;"",K332,AD332))</f>
        <v>0</v>
      </c>
      <c r="AF332" s="20">
        <f>IF(B332="","",IF(K332="","",ROUND(K332-AD332,2)))</f>
        <v>0</v>
      </c>
      <c r="AG332" s="20">
        <f>IF(B332="","",ROUND(V332-Y332-AE332-Z332,2))</f>
        <v>0</v>
      </c>
      <c r="AH332" s="33">
        <f>IF(B332="","",IF(OR(V332="",V332=0),"",AG332/V332))</f>
        <v>0</v>
      </c>
      <c r="AI332" s="33">
        <f>IF(C332="","",IFERROR(INDEX(Products!$AW$5:$AW$304,MATCH(C332,Products!$A$5:$A$304,0)),""))</f>
        <v>0</v>
      </c>
      <c r="AJ332" s="33">
        <f>IF(B332="","",IF(OR(AH332="",AI332=""),"",AH332-AI332))</f>
        <v>0</v>
      </c>
      <c r="AK332" s="41">
        <f>IF(B332="","",IFERROR(ROUND(IF(D332="",0,D332)*INDEX(Products!$X$5:$X$304,MATCH(C332,Products!$A$5:$A$304,0))/60,2),""))</f>
        <v>0</v>
      </c>
      <c r="AL332" s="20">
        <f>IF(B332="","",IF(OR(AK332="",AK332=0),"",ROUND(AG332/AK332,2)))</f>
        <v>0</v>
      </c>
      <c r="AM332" s="43">
        <f>IF(B332="","",IF(C332="","Add - which product?",IF(AG332&lt;0,"Loss - this order cost you money",IF(M332="Refunded","Refunded - check why",IF(AND(AF332&lt;&gt;"",AF332&gt;0.25),"Check - fees higher than your settings",IF(Z332&gt;1,"Check - postage is eating the margin",IF(AND(AH332&lt;&gt;"",AH332&lt;MarginWarning),"Low margin on this order","OK")))))) )</f>
        <v>0</v>
      </c>
    </row>
    <row r="333" spans="1:39">
      <c r="A333" s="38">
        <f>IF(B333="","",SalePrefix&amp;TEXT(ROW()-4,"0000"))</f>
        <v>0</v>
      </c>
      <c r="Q333" s="13">
        <f>IF(C333="","",IFERROR(INDEX(Products!$B$5:$B$304,MATCH(C333,Products!$A$5:$A$304,0)),"Bundle or deleted"))</f>
        <v>0</v>
      </c>
      <c r="R333" s="13">
        <f>IF(B333="","",TEXT(B333,"yyyy-mm"))</f>
        <v>0</v>
      </c>
      <c r="S333" s="20">
        <f>IF(C333="","",IFERROR(INDEX(Products!$AR$5:$AR$304,MATCH(C333,Products!$A$5:$A$304,0)),""))</f>
        <v>0</v>
      </c>
      <c r="T333" s="20">
        <f>IF(B333="","",IF(F333&lt;&gt;"",F333,IF(S333="",0,S333)))</f>
        <v>0</v>
      </c>
      <c r="U333" s="20">
        <f>IF(B333="","",ROUND(IF(D333="",0,D333)*T333,2))</f>
        <v>0</v>
      </c>
      <c r="V333" s="20">
        <f>IF(B333="","",ROUND(U333-IF(G333="",0,G333)-IF(L333="",0,L333),2))</f>
        <v>0</v>
      </c>
      <c r="W333" s="20">
        <f>IF(C333="","",IFERROR(INDEX(Products!$AT$5:$AT$304,MATCH(C333,Products!$A$5:$A$304,0)),""))</f>
        <v>0</v>
      </c>
      <c r="X333" s="20">
        <f>IF(C333="","",IFERROR(INDEX(Products!$AG$5:$AG$304,MATCH(C333,Products!$A$5:$A$304,0)),""))</f>
        <v>0</v>
      </c>
      <c r="Y333" s="20">
        <f>IF(B333="","",ROUND(IF(D333="",0,D333)*MAX(0,IF(W333="",0,W333)-IF(X333="",0,X333)),2))</f>
        <v>0</v>
      </c>
      <c r="Z333" s="20">
        <f>IF(B333="","",ROUND(MAX(0,IF(J333="",0,J333)-IF(I333="",0,I333)),2))</f>
        <v>0</v>
      </c>
      <c r="AA333" s="33">
        <f>IF(B333="","",IFERROR(INDEX(Channels!$S$5:$S$18,MATCH(IF(E333="",DefaultChannel,E333),Channels!$A$5:$A$18,0)),0))</f>
        <v>0</v>
      </c>
      <c r="AB333" s="20">
        <f>IF(B333="","",IFERROR(INDEX(Channels!$T$5:$T$18,MATCH(IF(E333="",DefaultChannel,E333),Channels!$A$5:$A$18,0)),0))</f>
        <v>0</v>
      </c>
      <c r="AC333" s="42">
        <f>IF(B333="","",IFERROR(INDEX(Channels!$O$5:$O$18,MATCH(IF(E333="",DefaultChannel,E333),Channels!$A$5:$A$18,0)),"No"))</f>
        <v>0</v>
      </c>
      <c r="AD333" s="20">
        <f>IF(B333="","",ROUND((V333+IF(AC333="Yes",IF(I333="",0,I333),0))*AA333+AB333,2))</f>
        <v>0</v>
      </c>
      <c r="AE333" s="20">
        <f>IF(B333="","",IF(K333&lt;&gt;"",K333,AD333))</f>
        <v>0</v>
      </c>
      <c r="AF333" s="20">
        <f>IF(B333="","",IF(K333="","",ROUND(K333-AD333,2)))</f>
        <v>0</v>
      </c>
      <c r="AG333" s="20">
        <f>IF(B333="","",ROUND(V333-Y333-AE333-Z333,2))</f>
        <v>0</v>
      </c>
      <c r="AH333" s="33">
        <f>IF(B333="","",IF(OR(V333="",V333=0),"",AG333/V333))</f>
        <v>0</v>
      </c>
      <c r="AI333" s="33">
        <f>IF(C333="","",IFERROR(INDEX(Products!$AW$5:$AW$304,MATCH(C333,Products!$A$5:$A$304,0)),""))</f>
        <v>0</v>
      </c>
      <c r="AJ333" s="33">
        <f>IF(B333="","",IF(OR(AH333="",AI333=""),"",AH333-AI333))</f>
        <v>0</v>
      </c>
      <c r="AK333" s="41">
        <f>IF(B333="","",IFERROR(ROUND(IF(D333="",0,D333)*INDEX(Products!$X$5:$X$304,MATCH(C333,Products!$A$5:$A$304,0))/60,2),""))</f>
        <v>0</v>
      </c>
      <c r="AL333" s="20">
        <f>IF(B333="","",IF(OR(AK333="",AK333=0),"",ROUND(AG333/AK333,2)))</f>
        <v>0</v>
      </c>
      <c r="AM333" s="43">
        <f>IF(B333="","",IF(C333="","Add - which product?",IF(AG333&lt;0,"Loss - this order cost you money",IF(M333="Refunded","Refunded - check why",IF(AND(AF333&lt;&gt;"",AF333&gt;0.25),"Check - fees higher than your settings",IF(Z333&gt;1,"Check - postage is eating the margin",IF(AND(AH333&lt;&gt;"",AH333&lt;MarginWarning),"Low margin on this order","OK")))))) )</f>
        <v>0</v>
      </c>
    </row>
    <row r="334" spans="1:39">
      <c r="A334" s="38">
        <f>IF(B334="","",SalePrefix&amp;TEXT(ROW()-4,"0000"))</f>
        <v>0</v>
      </c>
      <c r="Q334" s="13">
        <f>IF(C334="","",IFERROR(INDEX(Products!$B$5:$B$304,MATCH(C334,Products!$A$5:$A$304,0)),"Bundle or deleted"))</f>
        <v>0</v>
      </c>
      <c r="R334" s="13">
        <f>IF(B334="","",TEXT(B334,"yyyy-mm"))</f>
        <v>0</v>
      </c>
      <c r="S334" s="20">
        <f>IF(C334="","",IFERROR(INDEX(Products!$AR$5:$AR$304,MATCH(C334,Products!$A$5:$A$304,0)),""))</f>
        <v>0</v>
      </c>
      <c r="T334" s="20">
        <f>IF(B334="","",IF(F334&lt;&gt;"",F334,IF(S334="",0,S334)))</f>
        <v>0</v>
      </c>
      <c r="U334" s="20">
        <f>IF(B334="","",ROUND(IF(D334="",0,D334)*T334,2))</f>
        <v>0</v>
      </c>
      <c r="V334" s="20">
        <f>IF(B334="","",ROUND(U334-IF(G334="",0,G334)-IF(L334="",0,L334),2))</f>
        <v>0</v>
      </c>
      <c r="W334" s="20">
        <f>IF(C334="","",IFERROR(INDEX(Products!$AT$5:$AT$304,MATCH(C334,Products!$A$5:$A$304,0)),""))</f>
        <v>0</v>
      </c>
      <c r="X334" s="20">
        <f>IF(C334="","",IFERROR(INDEX(Products!$AG$5:$AG$304,MATCH(C334,Products!$A$5:$A$304,0)),""))</f>
        <v>0</v>
      </c>
      <c r="Y334" s="20">
        <f>IF(B334="","",ROUND(IF(D334="",0,D334)*MAX(0,IF(W334="",0,W334)-IF(X334="",0,X334)),2))</f>
        <v>0</v>
      </c>
      <c r="Z334" s="20">
        <f>IF(B334="","",ROUND(MAX(0,IF(J334="",0,J334)-IF(I334="",0,I334)),2))</f>
        <v>0</v>
      </c>
      <c r="AA334" s="33">
        <f>IF(B334="","",IFERROR(INDEX(Channels!$S$5:$S$18,MATCH(IF(E334="",DefaultChannel,E334),Channels!$A$5:$A$18,0)),0))</f>
        <v>0</v>
      </c>
      <c r="AB334" s="20">
        <f>IF(B334="","",IFERROR(INDEX(Channels!$T$5:$T$18,MATCH(IF(E334="",DefaultChannel,E334),Channels!$A$5:$A$18,0)),0))</f>
        <v>0</v>
      </c>
      <c r="AC334" s="42">
        <f>IF(B334="","",IFERROR(INDEX(Channels!$O$5:$O$18,MATCH(IF(E334="",DefaultChannel,E334),Channels!$A$5:$A$18,0)),"No"))</f>
        <v>0</v>
      </c>
      <c r="AD334" s="20">
        <f>IF(B334="","",ROUND((V334+IF(AC334="Yes",IF(I334="",0,I334),0))*AA334+AB334,2))</f>
        <v>0</v>
      </c>
      <c r="AE334" s="20">
        <f>IF(B334="","",IF(K334&lt;&gt;"",K334,AD334))</f>
        <v>0</v>
      </c>
      <c r="AF334" s="20">
        <f>IF(B334="","",IF(K334="","",ROUND(K334-AD334,2)))</f>
        <v>0</v>
      </c>
      <c r="AG334" s="20">
        <f>IF(B334="","",ROUND(V334-Y334-AE334-Z334,2))</f>
        <v>0</v>
      </c>
      <c r="AH334" s="33">
        <f>IF(B334="","",IF(OR(V334="",V334=0),"",AG334/V334))</f>
        <v>0</v>
      </c>
      <c r="AI334" s="33">
        <f>IF(C334="","",IFERROR(INDEX(Products!$AW$5:$AW$304,MATCH(C334,Products!$A$5:$A$304,0)),""))</f>
        <v>0</v>
      </c>
      <c r="AJ334" s="33">
        <f>IF(B334="","",IF(OR(AH334="",AI334=""),"",AH334-AI334))</f>
        <v>0</v>
      </c>
      <c r="AK334" s="41">
        <f>IF(B334="","",IFERROR(ROUND(IF(D334="",0,D334)*INDEX(Products!$X$5:$X$304,MATCH(C334,Products!$A$5:$A$304,0))/60,2),""))</f>
        <v>0</v>
      </c>
      <c r="AL334" s="20">
        <f>IF(B334="","",IF(OR(AK334="",AK334=0),"",ROUND(AG334/AK334,2)))</f>
        <v>0</v>
      </c>
      <c r="AM334" s="43">
        <f>IF(B334="","",IF(C334="","Add - which product?",IF(AG334&lt;0,"Loss - this order cost you money",IF(M334="Refunded","Refunded - check why",IF(AND(AF334&lt;&gt;"",AF334&gt;0.25),"Check - fees higher than your settings",IF(Z334&gt;1,"Check - postage is eating the margin",IF(AND(AH334&lt;&gt;"",AH334&lt;MarginWarning),"Low margin on this order","OK")))))) )</f>
        <v>0</v>
      </c>
    </row>
    <row r="335" spans="1:39">
      <c r="A335" s="38">
        <f>IF(B335="","",SalePrefix&amp;TEXT(ROW()-4,"0000"))</f>
        <v>0</v>
      </c>
      <c r="Q335" s="13">
        <f>IF(C335="","",IFERROR(INDEX(Products!$B$5:$B$304,MATCH(C335,Products!$A$5:$A$304,0)),"Bundle or deleted"))</f>
        <v>0</v>
      </c>
      <c r="R335" s="13">
        <f>IF(B335="","",TEXT(B335,"yyyy-mm"))</f>
        <v>0</v>
      </c>
      <c r="S335" s="20">
        <f>IF(C335="","",IFERROR(INDEX(Products!$AR$5:$AR$304,MATCH(C335,Products!$A$5:$A$304,0)),""))</f>
        <v>0</v>
      </c>
      <c r="T335" s="20">
        <f>IF(B335="","",IF(F335&lt;&gt;"",F335,IF(S335="",0,S335)))</f>
        <v>0</v>
      </c>
      <c r="U335" s="20">
        <f>IF(B335="","",ROUND(IF(D335="",0,D335)*T335,2))</f>
        <v>0</v>
      </c>
      <c r="V335" s="20">
        <f>IF(B335="","",ROUND(U335-IF(G335="",0,G335)-IF(L335="",0,L335),2))</f>
        <v>0</v>
      </c>
      <c r="W335" s="20">
        <f>IF(C335="","",IFERROR(INDEX(Products!$AT$5:$AT$304,MATCH(C335,Products!$A$5:$A$304,0)),""))</f>
        <v>0</v>
      </c>
      <c r="X335" s="20">
        <f>IF(C335="","",IFERROR(INDEX(Products!$AG$5:$AG$304,MATCH(C335,Products!$A$5:$A$304,0)),""))</f>
        <v>0</v>
      </c>
      <c r="Y335" s="20">
        <f>IF(B335="","",ROUND(IF(D335="",0,D335)*MAX(0,IF(W335="",0,W335)-IF(X335="",0,X335)),2))</f>
        <v>0</v>
      </c>
      <c r="Z335" s="20">
        <f>IF(B335="","",ROUND(MAX(0,IF(J335="",0,J335)-IF(I335="",0,I335)),2))</f>
        <v>0</v>
      </c>
      <c r="AA335" s="33">
        <f>IF(B335="","",IFERROR(INDEX(Channels!$S$5:$S$18,MATCH(IF(E335="",DefaultChannel,E335),Channels!$A$5:$A$18,0)),0))</f>
        <v>0</v>
      </c>
      <c r="AB335" s="20">
        <f>IF(B335="","",IFERROR(INDEX(Channels!$T$5:$T$18,MATCH(IF(E335="",DefaultChannel,E335),Channels!$A$5:$A$18,0)),0))</f>
        <v>0</v>
      </c>
      <c r="AC335" s="42">
        <f>IF(B335="","",IFERROR(INDEX(Channels!$O$5:$O$18,MATCH(IF(E335="",DefaultChannel,E335),Channels!$A$5:$A$18,0)),"No"))</f>
        <v>0</v>
      </c>
      <c r="AD335" s="20">
        <f>IF(B335="","",ROUND((V335+IF(AC335="Yes",IF(I335="",0,I335),0))*AA335+AB335,2))</f>
        <v>0</v>
      </c>
      <c r="AE335" s="20">
        <f>IF(B335="","",IF(K335&lt;&gt;"",K335,AD335))</f>
        <v>0</v>
      </c>
      <c r="AF335" s="20">
        <f>IF(B335="","",IF(K335="","",ROUND(K335-AD335,2)))</f>
        <v>0</v>
      </c>
      <c r="AG335" s="20">
        <f>IF(B335="","",ROUND(V335-Y335-AE335-Z335,2))</f>
        <v>0</v>
      </c>
      <c r="AH335" s="33">
        <f>IF(B335="","",IF(OR(V335="",V335=0),"",AG335/V335))</f>
        <v>0</v>
      </c>
      <c r="AI335" s="33">
        <f>IF(C335="","",IFERROR(INDEX(Products!$AW$5:$AW$304,MATCH(C335,Products!$A$5:$A$304,0)),""))</f>
        <v>0</v>
      </c>
      <c r="AJ335" s="33">
        <f>IF(B335="","",IF(OR(AH335="",AI335=""),"",AH335-AI335))</f>
        <v>0</v>
      </c>
      <c r="AK335" s="41">
        <f>IF(B335="","",IFERROR(ROUND(IF(D335="",0,D335)*INDEX(Products!$X$5:$X$304,MATCH(C335,Products!$A$5:$A$304,0))/60,2),""))</f>
        <v>0</v>
      </c>
      <c r="AL335" s="20">
        <f>IF(B335="","",IF(OR(AK335="",AK335=0),"",ROUND(AG335/AK335,2)))</f>
        <v>0</v>
      </c>
      <c r="AM335" s="43">
        <f>IF(B335="","",IF(C335="","Add - which product?",IF(AG335&lt;0,"Loss - this order cost you money",IF(M335="Refunded","Refunded - check why",IF(AND(AF335&lt;&gt;"",AF335&gt;0.25),"Check - fees higher than your settings",IF(Z335&gt;1,"Check - postage is eating the margin",IF(AND(AH335&lt;&gt;"",AH335&lt;MarginWarning),"Low margin on this order","OK")))))) )</f>
        <v>0</v>
      </c>
    </row>
    <row r="336" spans="1:39">
      <c r="A336" s="38">
        <f>IF(B336="","",SalePrefix&amp;TEXT(ROW()-4,"0000"))</f>
        <v>0</v>
      </c>
      <c r="Q336" s="13">
        <f>IF(C336="","",IFERROR(INDEX(Products!$B$5:$B$304,MATCH(C336,Products!$A$5:$A$304,0)),"Bundle or deleted"))</f>
        <v>0</v>
      </c>
      <c r="R336" s="13">
        <f>IF(B336="","",TEXT(B336,"yyyy-mm"))</f>
        <v>0</v>
      </c>
      <c r="S336" s="20">
        <f>IF(C336="","",IFERROR(INDEX(Products!$AR$5:$AR$304,MATCH(C336,Products!$A$5:$A$304,0)),""))</f>
        <v>0</v>
      </c>
      <c r="T336" s="20">
        <f>IF(B336="","",IF(F336&lt;&gt;"",F336,IF(S336="",0,S336)))</f>
        <v>0</v>
      </c>
      <c r="U336" s="20">
        <f>IF(B336="","",ROUND(IF(D336="",0,D336)*T336,2))</f>
        <v>0</v>
      </c>
      <c r="V336" s="20">
        <f>IF(B336="","",ROUND(U336-IF(G336="",0,G336)-IF(L336="",0,L336),2))</f>
        <v>0</v>
      </c>
      <c r="W336" s="20">
        <f>IF(C336="","",IFERROR(INDEX(Products!$AT$5:$AT$304,MATCH(C336,Products!$A$5:$A$304,0)),""))</f>
        <v>0</v>
      </c>
      <c r="X336" s="20">
        <f>IF(C336="","",IFERROR(INDEX(Products!$AG$5:$AG$304,MATCH(C336,Products!$A$5:$A$304,0)),""))</f>
        <v>0</v>
      </c>
      <c r="Y336" s="20">
        <f>IF(B336="","",ROUND(IF(D336="",0,D336)*MAX(0,IF(W336="",0,W336)-IF(X336="",0,X336)),2))</f>
        <v>0</v>
      </c>
      <c r="Z336" s="20">
        <f>IF(B336="","",ROUND(MAX(0,IF(J336="",0,J336)-IF(I336="",0,I336)),2))</f>
        <v>0</v>
      </c>
      <c r="AA336" s="33">
        <f>IF(B336="","",IFERROR(INDEX(Channels!$S$5:$S$18,MATCH(IF(E336="",DefaultChannel,E336),Channels!$A$5:$A$18,0)),0))</f>
        <v>0</v>
      </c>
      <c r="AB336" s="20">
        <f>IF(B336="","",IFERROR(INDEX(Channels!$T$5:$T$18,MATCH(IF(E336="",DefaultChannel,E336),Channels!$A$5:$A$18,0)),0))</f>
        <v>0</v>
      </c>
      <c r="AC336" s="42">
        <f>IF(B336="","",IFERROR(INDEX(Channels!$O$5:$O$18,MATCH(IF(E336="",DefaultChannel,E336),Channels!$A$5:$A$18,0)),"No"))</f>
        <v>0</v>
      </c>
      <c r="AD336" s="20">
        <f>IF(B336="","",ROUND((V336+IF(AC336="Yes",IF(I336="",0,I336),0))*AA336+AB336,2))</f>
        <v>0</v>
      </c>
      <c r="AE336" s="20">
        <f>IF(B336="","",IF(K336&lt;&gt;"",K336,AD336))</f>
        <v>0</v>
      </c>
      <c r="AF336" s="20">
        <f>IF(B336="","",IF(K336="","",ROUND(K336-AD336,2)))</f>
        <v>0</v>
      </c>
      <c r="AG336" s="20">
        <f>IF(B336="","",ROUND(V336-Y336-AE336-Z336,2))</f>
        <v>0</v>
      </c>
      <c r="AH336" s="33">
        <f>IF(B336="","",IF(OR(V336="",V336=0),"",AG336/V336))</f>
        <v>0</v>
      </c>
      <c r="AI336" s="33">
        <f>IF(C336="","",IFERROR(INDEX(Products!$AW$5:$AW$304,MATCH(C336,Products!$A$5:$A$304,0)),""))</f>
        <v>0</v>
      </c>
      <c r="AJ336" s="33">
        <f>IF(B336="","",IF(OR(AH336="",AI336=""),"",AH336-AI336))</f>
        <v>0</v>
      </c>
      <c r="AK336" s="41">
        <f>IF(B336="","",IFERROR(ROUND(IF(D336="",0,D336)*INDEX(Products!$X$5:$X$304,MATCH(C336,Products!$A$5:$A$304,0))/60,2),""))</f>
        <v>0</v>
      </c>
      <c r="AL336" s="20">
        <f>IF(B336="","",IF(OR(AK336="",AK336=0),"",ROUND(AG336/AK336,2)))</f>
        <v>0</v>
      </c>
      <c r="AM336" s="43">
        <f>IF(B336="","",IF(C336="","Add - which product?",IF(AG336&lt;0,"Loss - this order cost you money",IF(M336="Refunded","Refunded - check why",IF(AND(AF336&lt;&gt;"",AF336&gt;0.25),"Check - fees higher than your settings",IF(Z336&gt;1,"Check - postage is eating the margin",IF(AND(AH336&lt;&gt;"",AH336&lt;MarginWarning),"Low margin on this order","OK")))))) )</f>
        <v>0</v>
      </c>
    </row>
    <row r="337" spans="1:39">
      <c r="A337" s="38">
        <f>IF(B337="","",SalePrefix&amp;TEXT(ROW()-4,"0000"))</f>
        <v>0</v>
      </c>
      <c r="Q337" s="13">
        <f>IF(C337="","",IFERROR(INDEX(Products!$B$5:$B$304,MATCH(C337,Products!$A$5:$A$304,0)),"Bundle or deleted"))</f>
        <v>0</v>
      </c>
      <c r="R337" s="13">
        <f>IF(B337="","",TEXT(B337,"yyyy-mm"))</f>
        <v>0</v>
      </c>
      <c r="S337" s="20">
        <f>IF(C337="","",IFERROR(INDEX(Products!$AR$5:$AR$304,MATCH(C337,Products!$A$5:$A$304,0)),""))</f>
        <v>0</v>
      </c>
      <c r="T337" s="20">
        <f>IF(B337="","",IF(F337&lt;&gt;"",F337,IF(S337="",0,S337)))</f>
        <v>0</v>
      </c>
      <c r="U337" s="20">
        <f>IF(B337="","",ROUND(IF(D337="",0,D337)*T337,2))</f>
        <v>0</v>
      </c>
      <c r="V337" s="20">
        <f>IF(B337="","",ROUND(U337-IF(G337="",0,G337)-IF(L337="",0,L337),2))</f>
        <v>0</v>
      </c>
      <c r="W337" s="20">
        <f>IF(C337="","",IFERROR(INDEX(Products!$AT$5:$AT$304,MATCH(C337,Products!$A$5:$A$304,0)),""))</f>
        <v>0</v>
      </c>
      <c r="X337" s="20">
        <f>IF(C337="","",IFERROR(INDEX(Products!$AG$5:$AG$304,MATCH(C337,Products!$A$5:$A$304,0)),""))</f>
        <v>0</v>
      </c>
      <c r="Y337" s="20">
        <f>IF(B337="","",ROUND(IF(D337="",0,D337)*MAX(0,IF(W337="",0,W337)-IF(X337="",0,X337)),2))</f>
        <v>0</v>
      </c>
      <c r="Z337" s="20">
        <f>IF(B337="","",ROUND(MAX(0,IF(J337="",0,J337)-IF(I337="",0,I337)),2))</f>
        <v>0</v>
      </c>
      <c r="AA337" s="33">
        <f>IF(B337="","",IFERROR(INDEX(Channels!$S$5:$S$18,MATCH(IF(E337="",DefaultChannel,E337),Channels!$A$5:$A$18,0)),0))</f>
        <v>0</v>
      </c>
      <c r="AB337" s="20">
        <f>IF(B337="","",IFERROR(INDEX(Channels!$T$5:$T$18,MATCH(IF(E337="",DefaultChannel,E337),Channels!$A$5:$A$18,0)),0))</f>
        <v>0</v>
      </c>
      <c r="AC337" s="42">
        <f>IF(B337="","",IFERROR(INDEX(Channels!$O$5:$O$18,MATCH(IF(E337="",DefaultChannel,E337),Channels!$A$5:$A$18,0)),"No"))</f>
        <v>0</v>
      </c>
      <c r="AD337" s="20">
        <f>IF(B337="","",ROUND((V337+IF(AC337="Yes",IF(I337="",0,I337),0))*AA337+AB337,2))</f>
        <v>0</v>
      </c>
      <c r="AE337" s="20">
        <f>IF(B337="","",IF(K337&lt;&gt;"",K337,AD337))</f>
        <v>0</v>
      </c>
      <c r="AF337" s="20">
        <f>IF(B337="","",IF(K337="","",ROUND(K337-AD337,2)))</f>
        <v>0</v>
      </c>
      <c r="AG337" s="20">
        <f>IF(B337="","",ROUND(V337-Y337-AE337-Z337,2))</f>
        <v>0</v>
      </c>
      <c r="AH337" s="33">
        <f>IF(B337="","",IF(OR(V337="",V337=0),"",AG337/V337))</f>
        <v>0</v>
      </c>
      <c r="AI337" s="33">
        <f>IF(C337="","",IFERROR(INDEX(Products!$AW$5:$AW$304,MATCH(C337,Products!$A$5:$A$304,0)),""))</f>
        <v>0</v>
      </c>
      <c r="AJ337" s="33">
        <f>IF(B337="","",IF(OR(AH337="",AI337=""),"",AH337-AI337))</f>
        <v>0</v>
      </c>
      <c r="AK337" s="41">
        <f>IF(B337="","",IFERROR(ROUND(IF(D337="",0,D337)*INDEX(Products!$X$5:$X$304,MATCH(C337,Products!$A$5:$A$304,0))/60,2),""))</f>
        <v>0</v>
      </c>
      <c r="AL337" s="20">
        <f>IF(B337="","",IF(OR(AK337="",AK337=0),"",ROUND(AG337/AK337,2)))</f>
        <v>0</v>
      </c>
      <c r="AM337" s="43">
        <f>IF(B337="","",IF(C337="","Add - which product?",IF(AG337&lt;0,"Loss - this order cost you money",IF(M337="Refunded","Refunded - check why",IF(AND(AF337&lt;&gt;"",AF337&gt;0.25),"Check - fees higher than your settings",IF(Z337&gt;1,"Check - postage is eating the margin",IF(AND(AH337&lt;&gt;"",AH337&lt;MarginWarning),"Low margin on this order","OK")))))) )</f>
        <v>0</v>
      </c>
    </row>
    <row r="338" spans="1:39">
      <c r="A338" s="38">
        <f>IF(B338="","",SalePrefix&amp;TEXT(ROW()-4,"0000"))</f>
        <v>0</v>
      </c>
      <c r="Q338" s="13">
        <f>IF(C338="","",IFERROR(INDEX(Products!$B$5:$B$304,MATCH(C338,Products!$A$5:$A$304,0)),"Bundle or deleted"))</f>
        <v>0</v>
      </c>
      <c r="R338" s="13">
        <f>IF(B338="","",TEXT(B338,"yyyy-mm"))</f>
        <v>0</v>
      </c>
      <c r="S338" s="20">
        <f>IF(C338="","",IFERROR(INDEX(Products!$AR$5:$AR$304,MATCH(C338,Products!$A$5:$A$304,0)),""))</f>
        <v>0</v>
      </c>
      <c r="T338" s="20">
        <f>IF(B338="","",IF(F338&lt;&gt;"",F338,IF(S338="",0,S338)))</f>
        <v>0</v>
      </c>
      <c r="U338" s="20">
        <f>IF(B338="","",ROUND(IF(D338="",0,D338)*T338,2))</f>
        <v>0</v>
      </c>
      <c r="V338" s="20">
        <f>IF(B338="","",ROUND(U338-IF(G338="",0,G338)-IF(L338="",0,L338),2))</f>
        <v>0</v>
      </c>
      <c r="W338" s="20">
        <f>IF(C338="","",IFERROR(INDEX(Products!$AT$5:$AT$304,MATCH(C338,Products!$A$5:$A$304,0)),""))</f>
        <v>0</v>
      </c>
      <c r="X338" s="20">
        <f>IF(C338="","",IFERROR(INDEX(Products!$AG$5:$AG$304,MATCH(C338,Products!$A$5:$A$304,0)),""))</f>
        <v>0</v>
      </c>
      <c r="Y338" s="20">
        <f>IF(B338="","",ROUND(IF(D338="",0,D338)*MAX(0,IF(W338="",0,W338)-IF(X338="",0,X338)),2))</f>
        <v>0</v>
      </c>
      <c r="Z338" s="20">
        <f>IF(B338="","",ROUND(MAX(0,IF(J338="",0,J338)-IF(I338="",0,I338)),2))</f>
        <v>0</v>
      </c>
      <c r="AA338" s="33">
        <f>IF(B338="","",IFERROR(INDEX(Channels!$S$5:$S$18,MATCH(IF(E338="",DefaultChannel,E338),Channels!$A$5:$A$18,0)),0))</f>
        <v>0</v>
      </c>
      <c r="AB338" s="20">
        <f>IF(B338="","",IFERROR(INDEX(Channels!$T$5:$T$18,MATCH(IF(E338="",DefaultChannel,E338),Channels!$A$5:$A$18,0)),0))</f>
        <v>0</v>
      </c>
      <c r="AC338" s="42">
        <f>IF(B338="","",IFERROR(INDEX(Channels!$O$5:$O$18,MATCH(IF(E338="",DefaultChannel,E338),Channels!$A$5:$A$18,0)),"No"))</f>
        <v>0</v>
      </c>
      <c r="AD338" s="20">
        <f>IF(B338="","",ROUND((V338+IF(AC338="Yes",IF(I338="",0,I338),0))*AA338+AB338,2))</f>
        <v>0</v>
      </c>
      <c r="AE338" s="20">
        <f>IF(B338="","",IF(K338&lt;&gt;"",K338,AD338))</f>
        <v>0</v>
      </c>
      <c r="AF338" s="20">
        <f>IF(B338="","",IF(K338="","",ROUND(K338-AD338,2)))</f>
        <v>0</v>
      </c>
      <c r="AG338" s="20">
        <f>IF(B338="","",ROUND(V338-Y338-AE338-Z338,2))</f>
        <v>0</v>
      </c>
      <c r="AH338" s="33">
        <f>IF(B338="","",IF(OR(V338="",V338=0),"",AG338/V338))</f>
        <v>0</v>
      </c>
      <c r="AI338" s="33">
        <f>IF(C338="","",IFERROR(INDEX(Products!$AW$5:$AW$304,MATCH(C338,Products!$A$5:$A$304,0)),""))</f>
        <v>0</v>
      </c>
      <c r="AJ338" s="33">
        <f>IF(B338="","",IF(OR(AH338="",AI338=""),"",AH338-AI338))</f>
        <v>0</v>
      </c>
      <c r="AK338" s="41">
        <f>IF(B338="","",IFERROR(ROUND(IF(D338="",0,D338)*INDEX(Products!$X$5:$X$304,MATCH(C338,Products!$A$5:$A$304,0))/60,2),""))</f>
        <v>0</v>
      </c>
      <c r="AL338" s="20">
        <f>IF(B338="","",IF(OR(AK338="",AK338=0),"",ROUND(AG338/AK338,2)))</f>
        <v>0</v>
      </c>
      <c r="AM338" s="43">
        <f>IF(B338="","",IF(C338="","Add - which product?",IF(AG338&lt;0,"Loss - this order cost you money",IF(M338="Refunded","Refunded - check why",IF(AND(AF338&lt;&gt;"",AF338&gt;0.25),"Check - fees higher than your settings",IF(Z338&gt;1,"Check - postage is eating the margin",IF(AND(AH338&lt;&gt;"",AH338&lt;MarginWarning),"Low margin on this order","OK")))))) )</f>
        <v>0</v>
      </c>
    </row>
    <row r="339" spans="1:39">
      <c r="A339" s="38">
        <f>IF(B339="","",SalePrefix&amp;TEXT(ROW()-4,"0000"))</f>
        <v>0</v>
      </c>
      <c r="Q339" s="13">
        <f>IF(C339="","",IFERROR(INDEX(Products!$B$5:$B$304,MATCH(C339,Products!$A$5:$A$304,0)),"Bundle or deleted"))</f>
        <v>0</v>
      </c>
      <c r="R339" s="13">
        <f>IF(B339="","",TEXT(B339,"yyyy-mm"))</f>
        <v>0</v>
      </c>
      <c r="S339" s="20">
        <f>IF(C339="","",IFERROR(INDEX(Products!$AR$5:$AR$304,MATCH(C339,Products!$A$5:$A$304,0)),""))</f>
        <v>0</v>
      </c>
      <c r="T339" s="20">
        <f>IF(B339="","",IF(F339&lt;&gt;"",F339,IF(S339="",0,S339)))</f>
        <v>0</v>
      </c>
      <c r="U339" s="20">
        <f>IF(B339="","",ROUND(IF(D339="",0,D339)*T339,2))</f>
        <v>0</v>
      </c>
      <c r="V339" s="20">
        <f>IF(B339="","",ROUND(U339-IF(G339="",0,G339)-IF(L339="",0,L339),2))</f>
        <v>0</v>
      </c>
      <c r="W339" s="20">
        <f>IF(C339="","",IFERROR(INDEX(Products!$AT$5:$AT$304,MATCH(C339,Products!$A$5:$A$304,0)),""))</f>
        <v>0</v>
      </c>
      <c r="X339" s="20">
        <f>IF(C339="","",IFERROR(INDEX(Products!$AG$5:$AG$304,MATCH(C339,Products!$A$5:$A$304,0)),""))</f>
        <v>0</v>
      </c>
      <c r="Y339" s="20">
        <f>IF(B339="","",ROUND(IF(D339="",0,D339)*MAX(0,IF(W339="",0,W339)-IF(X339="",0,X339)),2))</f>
        <v>0</v>
      </c>
      <c r="Z339" s="20">
        <f>IF(B339="","",ROUND(MAX(0,IF(J339="",0,J339)-IF(I339="",0,I339)),2))</f>
        <v>0</v>
      </c>
      <c r="AA339" s="33">
        <f>IF(B339="","",IFERROR(INDEX(Channels!$S$5:$S$18,MATCH(IF(E339="",DefaultChannel,E339),Channels!$A$5:$A$18,0)),0))</f>
        <v>0</v>
      </c>
      <c r="AB339" s="20">
        <f>IF(B339="","",IFERROR(INDEX(Channels!$T$5:$T$18,MATCH(IF(E339="",DefaultChannel,E339),Channels!$A$5:$A$18,0)),0))</f>
        <v>0</v>
      </c>
      <c r="AC339" s="42">
        <f>IF(B339="","",IFERROR(INDEX(Channels!$O$5:$O$18,MATCH(IF(E339="",DefaultChannel,E339),Channels!$A$5:$A$18,0)),"No"))</f>
        <v>0</v>
      </c>
      <c r="AD339" s="20">
        <f>IF(B339="","",ROUND((V339+IF(AC339="Yes",IF(I339="",0,I339),0))*AA339+AB339,2))</f>
        <v>0</v>
      </c>
      <c r="AE339" s="20">
        <f>IF(B339="","",IF(K339&lt;&gt;"",K339,AD339))</f>
        <v>0</v>
      </c>
      <c r="AF339" s="20">
        <f>IF(B339="","",IF(K339="","",ROUND(K339-AD339,2)))</f>
        <v>0</v>
      </c>
      <c r="AG339" s="20">
        <f>IF(B339="","",ROUND(V339-Y339-AE339-Z339,2))</f>
        <v>0</v>
      </c>
      <c r="AH339" s="33">
        <f>IF(B339="","",IF(OR(V339="",V339=0),"",AG339/V339))</f>
        <v>0</v>
      </c>
      <c r="AI339" s="33">
        <f>IF(C339="","",IFERROR(INDEX(Products!$AW$5:$AW$304,MATCH(C339,Products!$A$5:$A$304,0)),""))</f>
        <v>0</v>
      </c>
      <c r="AJ339" s="33">
        <f>IF(B339="","",IF(OR(AH339="",AI339=""),"",AH339-AI339))</f>
        <v>0</v>
      </c>
      <c r="AK339" s="41">
        <f>IF(B339="","",IFERROR(ROUND(IF(D339="",0,D339)*INDEX(Products!$X$5:$X$304,MATCH(C339,Products!$A$5:$A$304,0))/60,2),""))</f>
        <v>0</v>
      </c>
      <c r="AL339" s="20">
        <f>IF(B339="","",IF(OR(AK339="",AK339=0),"",ROUND(AG339/AK339,2)))</f>
        <v>0</v>
      </c>
      <c r="AM339" s="43">
        <f>IF(B339="","",IF(C339="","Add - which product?",IF(AG339&lt;0,"Loss - this order cost you money",IF(M339="Refunded","Refunded - check why",IF(AND(AF339&lt;&gt;"",AF339&gt;0.25),"Check - fees higher than your settings",IF(Z339&gt;1,"Check - postage is eating the margin",IF(AND(AH339&lt;&gt;"",AH339&lt;MarginWarning),"Low margin on this order","OK")))))) )</f>
        <v>0</v>
      </c>
    </row>
    <row r="340" spans="1:39">
      <c r="A340" s="38">
        <f>IF(B340="","",SalePrefix&amp;TEXT(ROW()-4,"0000"))</f>
        <v>0</v>
      </c>
      <c r="Q340" s="13">
        <f>IF(C340="","",IFERROR(INDEX(Products!$B$5:$B$304,MATCH(C340,Products!$A$5:$A$304,0)),"Bundle or deleted"))</f>
        <v>0</v>
      </c>
      <c r="R340" s="13">
        <f>IF(B340="","",TEXT(B340,"yyyy-mm"))</f>
        <v>0</v>
      </c>
      <c r="S340" s="20">
        <f>IF(C340="","",IFERROR(INDEX(Products!$AR$5:$AR$304,MATCH(C340,Products!$A$5:$A$304,0)),""))</f>
        <v>0</v>
      </c>
      <c r="T340" s="20">
        <f>IF(B340="","",IF(F340&lt;&gt;"",F340,IF(S340="",0,S340)))</f>
        <v>0</v>
      </c>
      <c r="U340" s="20">
        <f>IF(B340="","",ROUND(IF(D340="",0,D340)*T340,2))</f>
        <v>0</v>
      </c>
      <c r="V340" s="20">
        <f>IF(B340="","",ROUND(U340-IF(G340="",0,G340)-IF(L340="",0,L340),2))</f>
        <v>0</v>
      </c>
      <c r="W340" s="20">
        <f>IF(C340="","",IFERROR(INDEX(Products!$AT$5:$AT$304,MATCH(C340,Products!$A$5:$A$304,0)),""))</f>
        <v>0</v>
      </c>
      <c r="X340" s="20">
        <f>IF(C340="","",IFERROR(INDEX(Products!$AG$5:$AG$304,MATCH(C340,Products!$A$5:$A$304,0)),""))</f>
        <v>0</v>
      </c>
      <c r="Y340" s="20">
        <f>IF(B340="","",ROUND(IF(D340="",0,D340)*MAX(0,IF(W340="",0,W340)-IF(X340="",0,X340)),2))</f>
        <v>0</v>
      </c>
      <c r="Z340" s="20">
        <f>IF(B340="","",ROUND(MAX(0,IF(J340="",0,J340)-IF(I340="",0,I340)),2))</f>
        <v>0</v>
      </c>
      <c r="AA340" s="33">
        <f>IF(B340="","",IFERROR(INDEX(Channels!$S$5:$S$18,MATCH(IF(E340="",DefaultChannel,E340),Channels!$A$5:$A$18,0)),0))</f>
        <v>0</v>
      </c>
      <c r="AB340" s="20">
        <f>IF(B340="","",IFERROR(INDEX(Channels!$T$5:$T$18,MATCH(IF(E340="",DefaultChannel,E340),Channels!$A$5:$A$18,0)),0))</f>
        <v>0</v>
      </c>
      <c r="AC340" s="42">
        <f>IF(B340="","",IFERROR(INDEX(Channels!$O$5:$O$18,MATCH(IF(E340="",DefaultChannel,E340),Channels!$A$5:$A$18,0)),"No"))</f>
        <v>0</v>
      </c>
      <c r="AD340" s="20">
        <f>IF(B340="","",ROUND((V340+IF(AC340="Yes",IF(I340="",0,I340),0))*AA340+AB340,2))</f>
        <v>0</v>
      </c>
      <c r="AE340" s="20">
        <f>IF(B340="","",IF(K340&lt;&gt;"",K340,AD340))</f>
        <v>0</v>
      </c>
      <c r="AF340" s="20">
        <f>IF(B340="","",IF(K340="","",ROUND(K340-AD340,2)))</f>
        <v>0</v>
      </c>
      <c r="AG340" s="20">
        <f>IF(B340="","",ROUND(V340-Y340-AE340-Z340,2))</f>
        <v>0</v>
      </c>
      <c r="AH340" s="33">
        <f>IF(B340="","",IF(OR(V340="",V340=0),"",AG340/V340))</f>
        <v>0</v>
      </c>
      <c r="AI340" s="33">
        <f>IF(C340="","",IFERROR(INDEX(Products!$AW$5:$AW$304,MATCH(C340,Products!$A$5:$A$304,0)),""))</f>
        <v>0</v>
      </c>
      <c r="AJ340" s="33">
        <f>IF(B340="","",IF(OR(AH340="",AI340=""),"",AH340-AI340))</f>
        <v>0</v>
      </c>
      <c r="AK340" s="41">
        <f>IF(B340="","",IFERROR(ROUND(IF(D340="",0,D340)*INDEX(Products!$X$5:$X$304,MATCH(C340,Products!$A$5:$A$304,0))/60,2),""))</f>
        <v>0</v>
      </c>
      <c r="AL340" s="20">
        <f>IF(B340="","",IF(OR(AK340="",AK340=0),"",ROUND(AG340/AK340,2)))</f>
        <v>0</v>
      </c>
      <c r="AM340" s="43">
        <f>IF(B340="","",IF(C340="","Add - which product?",IF(AG340&lt;0,"Loss - this order cost you money",IF(M340="Refunded","Refunded - check why",IF(AND(AF340&lt;&gt;"",AF340&gt;0.25),"Check - fees higher than your settings",IF(Z340&gt;1,"Check - postage is eating the margin",IF(AND(AH340&lt;&gt;"",AH340&lt;MarginWarning),"Low margin on this order","OK")))))) )</f>
        <v>0</v>
      </c>
    </row>
    <row r="341" spans="1:39">
      <c r="A341" s="38">
        <f>IF(B341="","",SalePrefix&amp;TEXT(ROW()-4,"0000"))</f>
        <v>0</v>
      </c>
      <c r="Q341" s="13">
        <f>IF(C341="","",IFERROR(INDEX(Products!$B$5:$B$304,MATCH(C341,Products!$A$5:$A$304,0)),"Bundle or deleted"))</f>
        <v>0</v>
      </c>
      <c r="R341" s="13">
        <f>IF(B341="","",TEXT(B341,"yyyy-mm"))</f>
        <v>0</v>
      </c>
      <c r="S341" s="20">
        <f>IF(C341="","",IFERROR(INDEX(Products!$AR$5:$AR$304,MATCH(C341,Products!$A$5:$A$304,0)),""))</f>
        <v>0</v>
      </c>
      <c r="T341" s="20">
        <f>IF(B341="","",IF(F341&lt;&gt;"",F341,IF(S341="",0,S341)))</f>
        <v>0</v>
      </c>
      <c r="U341" s="20">
        <f>IF(B341="","",ROUND(IF(D341="",0,D341)*T341,2))</f>
        <v>0</v>
      </c>
      <c r="V341" s="20">
        <f>IF(B341="","",ROUND(U341-IF(G341="",0,G341)-IF(L341="",0,L341),2))</f>
        <v>0</v>
      </c>
      <c r="W341" s="20">
        <f>IF(C341="","",IFERROR(INDEX(Products!$AT$5:$AT$304,MATCH(C341,Products!$A$5:$A$304,0)),""))</f>
        <v>0</v>
      </c>
      <c r="X341" s="20">
        <f>IF(C341="","",IFERROR(INDEX(Products!$AG$5:$AG$304,MATCH(C341,Products!$A$5:$A$304,0)),""))</f>
        <v>0</v>
      </c>
      <c r="Y341" s="20">
        <f>IF(B341="","",ROUND(IF(D341="",0,D341)*MAX(0,IF(W341="",0,W341)-IF(X341="",0,X341)),2))</f>
        <v>0</v>
      </c>
      <c r="Z341" s="20">
        <f>IF(B341="","",ROUND(MAX(0,IF(J341="",0,J341)-IF(I341="",0,I341)),2))</f>
        <v>0</v>
      </c>
      <c r="AA341" s="33">
        <f>IF(B341="","",IFERROR(INDEX(Channels!$S$5:$S$18,MATCH(IF(E341="",DefaultChannel,E341),Channels!$A$5:$A$18,0)),0))</f>
        <v>0</v>
      </c>
      <c r="AB341" s="20">
        <f>IF(B341="","",IFERROR(INDEX(Channels!$T$5:$T$18,MATCH(IF(E341="",DefaultChannel,E341),Channels!$A$5:$A$18,0)),0))</f>
        <v>0</v>
      </c>
      <c r="AC341" s="42">
        <f>IF(B341="","",IFERROR(INDEX(Channels!$O$5:$O$18,MATCH(IF(E341="",DefaultChannel,E341),Channels!$A$5:$A$18,0)),"No"))</f>
        <v>0</v>
      </c>
      <c r="AD341" s="20">
        <f>IF(B341="","",ROUND((V341+IF(AC341="Yes",IF(I341="",0,I341),0))*AA341+AB341,2))</f>
        <v>0</v>
      </c>
      <c r="AE341" s="20">
        <f>IF(B341="","",IF(K341&lt;&gt;"",K341,AD341))</f>
        <v>0</v>
      </c>
      <c r="AF341" s="20">
        <f>IF(B341="","",IF(K341="","",ROUND(K341-AD341,2)))</f>
        <v>0</v>
      </c>
      <c r="AG341" s="20">
        <f>IF(B341="","",ROUND(V341-Y341-AE341-Z341,2))</f>
        <v>0</v>
      </c>
      <c r="AH341" s="33">
        <f>IF(B341="","",IF(OR(V341="",V341=0),"",AG341/V341))</f>
        <v>0</v>
      </c>
      <c r="AI341" s="33">
        <f>IF(C341="","",IFERROR(INDEX(Products!$AW$5:$AW$304,MATCH(C341,Products!$A$5:$A$304,0)),""))</f>
        <v>0</v>
      </c>
      <c r="AJ341" s="33">
        <f>IF(B341="","",IF(OR(AH341="",AI341=""),"",AH341-AI341))</f>
        <v>0</v>
      </c>
      <c r="AK341" s="41">
        <f>IF(B341="","",IFERROR(ROUND(IF(D341="",0,D341)*INDEX(Products!$X$5:$X$304,MATCH(C341,Products!$A$5:$A$304,0))/60,2),""))</f>
        <v>0</v>
      </c>
      <c r="AL341" s="20">
        <f>IF(B341="","",IF(OR(AK341="",AK341=0),"",ROUND(AG341/AK341,2)))</f>
        <v>0</v>
      </c>
      <c r="AM341" s="43">
        <f>IF(B341="","",IF(C341="","Add - which product?",IF(AG341&lt;0,"Loss - this order cost you money",IF(M341="Refunded","Refunded - check why",IF(AND(AF341&lt;&gt;"",AF341&gt;0.25),"Check - fees higher than your settings",IF(Z341&gt;1,"Check - postage is eating the margin",IF(AND(AH341&lt;&gt;"",AH341&lt;MarginWarning),"Low margin on this order","OK")))))) )</f>
        <v>0</v>
      </c>
    </row>
    <row r="342" spans="1:39">
      <c r="A342" s="38">
        <f>IF(B342="","",SalePrefix&amp;TEXT(ROW()-4,"0000"))</f>
        <v>0</v>
      </c>
      <c r="Q342" s="13">
        <f>IF(C342="","",IFERROR(INDEX(Products!$B$5:$B$304,MATCH(C342,Products!$A$5:$A$304,0)),"Bundle or deleted"))</f>
        <v>0</v>
      </c>
      <c r="R342" s="13">
        <f>IF(B342="","",TEXT(B342,"yyyy-mm"))</f>
        <v>0</v>
      </c>
      <c r="S342" s="20">
        <f>IF(C342="","",IFERROR(INDEX(Products!$AR$5:$AR$304,MATCH(C342,Products!$A$5:$A$304,0)),""))</f>
        <v>0</v>
      </c>
      <c r="T342" s="20">
        <f>IF(B342="","",IF(F342&lt;&gt;"",F342,IF(S342="",0,S342)))</f>
        <v>0</v>
      </c>
      <c r="U342" s="20">
        <f>IF(B342="","",ROUND(IF(D342="",0,D342)*T342,2))</f>
        <v>0</v>
      </c>
      <c r="V342" s="20">
        <f>IF(B342="","",ROUND(U342-IF(G342="",0,G342)-IF(L342="",0,L342),2))</f>
        <v>0</v>
      </c>
      <c r="W342" s="20">
        <f>IF(C342="","",IFERROR(INDEX(Products!$AT$5:$AT$304,MATCH(C342,Products!$A$5:$A$304,0)),""))</f>
        <v>0</v>
      </c>
      <c r="X342" s="20">
        <f>IF(C342="","",IFERROR(INDEX(Products!$AG$5:$AG$304,MATCH(C342,Products!$A$5:$A$304,0)),""))</f>
        <v>0</v>
      </c>
      <c r="Y342" s="20">
        <f>IF(B342="","",ROUND(IF(D342="",0,D342)*MAX(0,IF(W342="",0,W342)-IF(X342="",0,X342)),2))</f>
        <v>0</v>
      </c>
      <c r="Z342" s="20">
        <f>IF(B342="","",ROUND(MAX(0,IF(J342="",0,J342)-IF(I342="",0,I342)),2))</f>
        <v>0</v>
      </c>
      <c r="AA342" s="33">
        <f>IF(B342="","",IFERROR(INDEX(Channels!$S$5:$S$18,MATCH(IF(E342="",DefaultChannel,E342),Channels!$A$5:$A$18,0)),0))</f>
        <v>0</v>
      </c>
      <c r="AB342" s="20">
        <f>IF(B342="","",IFERROR(INDEX(Channels!$T$5:$T$18,MATCH(IF(E342="",DefaultChannel,E342),Channels!$A$5:$A$18,0)),0))</f>
        <v>0</v>
      </c>
      <c r="AC342" s="42">
        <f>IF(B342="","",IFERROR(INDEX(Channels!$O$5:$O$18,MATCH(IF(E342="",DefaultChannel,E342),Channels!$A$5:$A$18,0)),"No"))</f>
        <v>0</v>
      </c>
      <c r="AD342" s="20">
        <f>IF(B342="","",ROUND((V342+IF(AC342="Yes",IF(I342="",0,I342),0))*AA342+AB342,2))</f>
        <v>0</v>
      </c>
      <c r="AE342" s="20">
        <f>IF(B342="","",IF(K342&lt;&gt;"",K342,AD342))</f>
        <v>0</v>
      </c>
      <c r="AF342" s="20">
        <f>IF(B342="","",IF(K342="","",ROUND(K342-AD342,2)))</f>
        <v>0</v>
      </c>
      <c r="AG342" s="20">
        <f>IF(B342="","",ROUND(V342-Y342-AE342-Z342,2))</f>
        <v>0</v>
      </c>
      <c r="AH342" s="33">
        <f>IF(B342="","",IF(OR(V342="",V342=0),"",AG342/V342))</f>
        <v>0</v>
      </c>
      <c r="AI342" s="33">
        <f>IF(C342="","",IFERROR(INDEX(Products!$AW$5:$AW$304,MATCH(C342,Products!$A$5:$A$304,0)),""))</f>
        <v>0</v>
      </c>
      <c r="AJ342" s="33">
        <f>IF(B342="","",IF(OR(AH342="",AI342=""),"",AH342-AI342))</f>
        <v>0</v>
      </c>
      <c r="AK342" s="41">
        <f>IF(B342="","",IFERROR(ROUND(IF(D342="",0,D342)*INDEX(Products!$X$5:$X$304,MATCH(C342,Products!$A$5:$A$304,0))/60,2),""))</f>
        <v>0</v>
      </c>
      <c r="AL342" s="20">
        <f>IF(B342="","",IF(OR(AK342="",AK342=0),"",ROUND(AG342/AK342,2)))</f>
        <v>0</v>
      </c>
      <c r="AM342" s="43">
        <f>IF(B342="","",IF(C342="","Add - which product?",IF(AG342&lt;0,"Loss - this order cost you money",IF(M342="Refunded","Refunded - check why",IF(AND(AF342&lt;&gt;"",AF342&gt;0.25),"Check - fees higher than your settings",IF(Z342&gt;1,"Check - postage is eating the margin",IF(AND(AH342&lt;&gt;"",AH342&lt;MarginWarning),"Low margin on this order","OK")))))) )</f>
        <v>0</v>
      </c>
    </row>
    <row r="343" spans="1:39">
      <c r="A343" s="38">
        <f>IF(B343="","",SalePrefix&amp;TEXT(ROW()-4,"0000"))</f>
        <v>0</v>
      </c>
      <c r="Q343" s="13">
        <f>IF(C343="","",IFERROR(INDEX(Products!$B$5:$B$304,MATCH(C343,Products!$A$5:$A$304,0)),"Bundle or deleted"))</f>
        <v>0</v>
      </c>
      <c r="R343" s="13">
        <f>IF(B343="","",TEXT(B343,"yyyy-mm"))</f>
        <v>0</v>
      </c>
      <c r="S343" s="20">
        <f>IF(C343="","",IFERROR(INDEX(Products!$AR$5:$AR$304,MATCH(C343,Products!$A$5:$A$304,0)),""))</f>
        <v>0</v>
      </c>
      <c r="T343" s="20">
        <f>IF(B343="","",IF(F343&lt;&gt;"",F343,IF(S343="",0,S343)))</f>
        <v>0</v>
      </c>
      <c r="U343" s="20">
        <f>IF(B343="","",ROUND(IF(D343="",0,D343)*T343,2))</f>
        <v>0</v>
      </c>
      <c r="V343" s="20">
        <f>IF(B343="","",ROUND(U343-IF(G343="",0,G343)-IF(L343="",0,L343),2))</f>
        <v>0</v>
      </c>
      <c r="W343" s="20">
        <f>IF(C343="","",IFERROR(INDEX(Products!$AT$5:$AT$304,MATCH(C343,Products!$A$5:$A$304,0)),""))</f>
        <v>0</v>
      </c>
      <c r="X343" s="20">
        <f>IF(C343="","",IFERROR(INDEX(Products!$AG$5:$AG$304,MATCH(C343,Products!$A$5:$A$304,0)),""))</f>
        <v>0</v>
      </c>
      <c r="Y343" s="20">
        <f>IF(B343="","",ROUND(IF(D343="",0,D343)*MAX(0,IF(W343="",0,W343)-IF(X343="",0,X343)),2))</f>
        <v>0</v>
      </c>
      <c r="Z343" s="20">
        <f>IF(B343="","",ROUND(MAX(0,IF(J343="",0,J343)-IF(I343="",0,I343)),2))</f>
        <v>0</v>
      </c>
      <c r="AA343" s="33">
        <f>IF(B343="","",IFERROR(INDEX(Channels!$S$5:$S$18,MATCH(IF(E343="",DefaultChannel,E343),Channels!$A$5:$A$18,0)),0))</f>
        <v>0</v>
      </c>
      <c r="AB343" s="20">
        <f>IF(B343="","",IFERROR(INDEX(Channels!$T$5:$T$18,MATCH(IF(E343="",DefaultChannel,E343),Channels!$A$5:$A$18,0)),0))</f>
        <v>0</v>
      </c>
      <c r="AC343" s="42">
        <f>IF(B343="","",IFERROR(INDEX(Channels!$O$5:$O$18,MATCH(IF(E343="",DefaultChannel,E343),Channels!$A$5:$A$18,0)),"No"))</f>
        <v>0</v>
      </c>
      <c r="AD343" s="20">
        <f>IF(B343="","",ROUND((V343+IF(AC343="Yes",IF(I343="",0,I343),0))*AA343+AB343,2))</f>
        <v>0</v>
      </c>
      <c r="AE343" s="20">
        <f>IF(B343="","",IF(K343&lt;&gt;"",K343,AD343))</f>
        <v>0</v>
      </c>
      <c r="AF343" s="20">
        <f>IF(B343="","",IF(K343="","",ROUND(K343-AD343,2)))</f>
        <v>0</v>
      </c>
      <c r="AG343" s="20">
        <f>IF(B343="","",ROUND(V343-Y343-AE343-Z343,2))</f>
        <v>0</v>
      </c>
      <c r="AH343" s="33">
        <f>IF(B343="","",IF(OR(V343="",V343=0),"",AG343/V343))</f>
        <v>0</v>
      </c>
      <c r="AI343" s="33">
        <f>IF(C343="","",IFERROR(INDEX(Products!$AW$5:$AW$304,MATCH(C343,Products!$A$5:$A$304,0)),""))</f>
        <v>0</v>
      </c>
      <c r="AJ343" s="33">
        <f>IF(B343="","",IF(OR(AH343="",AI343=""),"",AH343-AI343))</f>
        <v>0</v>
      </c>
      <c r="AK343" s="41">
        <f>IF(B343="","",IFERROR(ROUND(IF(D343="",0,D343)*INDEX(Products!$X$5:$X$304,MATCH(C343,Products!$A$5:$A$304,0))/60,2),""))</f>
        <v>0</v>
      </c>
      <c r="AL343" s="20">
        <f>IF(B343="","",IF(OR(AK343="",AK343=0),"",ROUND(AG343/AK343,2)))</f>
        <v>0</v>
      </c>
      <c r="AM343" s="43">
        <f>IF(B343="","",IF(C343="","Add - which product?",IF(AG343&lt;0,"Loss - this order cost you money",IF(M343="Refunded","Refunded - check why",IF(AND(AF343&lt;&gt;"",AF343&gt;0.25),"Check - fees higher than your settings",IF(Z343&gt;1,"Check - postage is eating the margin",IF(AND(AH343&lt;&gt;"",AH343&lt;MarginWarning),"Low margin on this order","OK")))))) )</f>
        <v>0</v>
      </c>
    </row>
    <row r="344" spans="1:39">
      <c r="A344" s="38">
        <f>IF(B344="","",SalePrefix&amp;TEXT(ROW()-4,"0000"))</f>
        <v>0</v>
      </c>
      <c r="Q344" s="13">
        <f>IF(C344="","",IFERROR(INDEX(Products!$B$5:$B$304,MATCH(C344,Products!$A$5:$A$304,0)),"Bundle or deleted"))</f>
        <v>0</v>
      </c>
      <c r="R344" s="13">
        <f>IF(B344="","",TEXT(B344,"yyyy-mm"))</f>
        <v>0</v>
      </c>
      <c r="S344" s="20">
        <f>IF(C344="","",IFERROR(INDEX(Products!$AR$5:$AR$304,MATCH(C344,Products!$A$5:$A$304,0)),""))</f>
        <v>0</v>
      </c>
      <c r="T344" s="20">
        <f>IF(B344="","",IF(F344&lt;&gt;"",F344,IF(S344="",0,S344)))</f>
        <v>0</v>
      </c>
      <c r="U344" s="20">
        <f>IF(B344="","",ROUND(IF(D344="",0,D344)*T344,2))</f>
        <v>0</v>
      </c>
      <c r="V344" s="20">
        <f>IF(B344="","",ROUND(U344-IF(G344="",0,G344)-IF(L344="",0,L344),2))</f>
        <v>0</v>
      </c>
      <c r="W344" s="20">
        <f>IF(C344="","",IFERROR(INDEX(Products!$AT$5:$AT$304,MATCH(C344,Products!$A$5:$A$304,0)),""))</f>
        <v>0</v>
      </c>
      <c r="X344" s="20">
        <f>IF(C344="","",IFERROR(INDEX(Products!$AG$5:$AG$304,MATCH(C344,Products!$A$5:$A$304,0)),""))</f>
        <v>0</v>
      </c>
      <c r="Y344" s="20">
        <f>IF(B344="","",ROUND(IF(D344="",0,D344)*MAX(0,IF(W344="",0,W344)-IF(X344="",0,X344)),2))</f>
        <v>0</v>
      </c>
      <c r="Z344" s="20">
        <f>IF(B344="","",ROUND(MAX(0,IF(J344="",0,J344)-IF(I344="",0,I344)),2))</f>
        <v>0</v>
      </c>
      <c r="AA344" s="33">
        <f>IF(B344="","",IFERROR(INDEX(Channels!$S$5:$S$18,MATCH(IF(E344="",DefaultChannel,E344),Channels!$A$5:$A$18,0)),0))</f>
        <v>0</v>
      </c>
      <c r="AB344" s="20">
        <f>IF(B344="","",IFERROR(INDEX(Channels!$T$5:$T$18,MATCH(IF(E344="",DefaultChannel,E344),Channels!$A$5:$A$18,0)),0))</f>
        <v>0</v>
      </c>
      <c r="AC344" s="42">
        <f>IF(B344="","",IFERROR(INDEX(Channels!$O$5:$O$18,MATCH(IF(E344="",DefaultChannel,E344),Channels!$A$5:$A$18,0)),"No"))</f>
        <v>0</v>
      </c>
      <c r="AD344" s="20">
        <f>IF(B344="","",ROUND((V344+IF(AC344="Yes",IF(I344="",0,I344),0))*AA344+AB344,2))</f>
        <v>0</v>
      </c>
      <c r="AE344" s="20">
        <f>IF(B344="","",IF(K344&lt;&gt;"",K344,AD344))</f>
        <v>0</v>
      </c>
      <c r="AF344" s="20">
        <f>IF(B344="","",IF(K344="","",ROUND(K344-AD344,2)))</f>
        <v>0</v>
      </c>
      <c r="AG344" s="20">
        <f>IF(B344="","",ROUND(V344-Y344-AE344-Z344,2))</f>
        <v>0</v>
      </c>
      <c r="AH344" s="33">
        <f>IF(B344="","",IF(OR(V344="",V344=0),"",AG344/V344))</f>
        <v>0</v>
      </c>
      <c r="AI344" s="33">
        <f>IF(C344="","",IFERROR(INDEX(Products!$AW$5:$AW$304,MATCH(C344,Products!$A$5:$A$304,0)),""))</f>
        <v>0</v>
      </c>
      <c r="AJ344" s="33">
        <f>IF(B344="","",IF(OR(AH344="",AI344=""),"",AH344-AI344))</f>
        <v>0</v>
      </c>
      <c r="AK344" s="41">
        <f>IF(B344="","",IFERROR(ROUND(IF(D344="",0,D344)*INDEX(Products!$X$5:$X$304,MATCH(C344,Products!$A$5:$A$304,0))/60,2),""))</f>
        <v>0</v>
      </c>
      <c r="AL344" s="20">
        <f>IF(B344="","",IF(OR(AK344="",AK344=0),"",ROUND(AG344/AK344,2)))</f>
        <v>0</v>
      </c>
      <c r="AM344" s="43">
        <f>IF(B344="","",IF(C344="","Add - which product?",IF(AG344&lt;0,"Loss - this order cost you money",IF(M344="Refunded","Refunded - check why",IF(AND(AF344&lt;&gt;"",AF344&gt;0.25),"Check - fees higher than your settings",IF(Z344&gt;1,"Check - postage is eating the margin",IF(AND(AH344&lt;&gt;"",AH344&lt;MarginWarning),"Low margin on this order","OK")))))) )</f>
        <v>0</v>
      </c>
    </row>
    <row r="345" spans="1:39">
      <c r="A345" s="38">
        <f>IF(B345="","",SalePrefix&amp;TEXT(ROW()-4,"0000"))</f>
        <v>0</v>
      </c>
      <c r="Q345" s="13">
        <f>IF(C345="","",IFERROR(INDEX(Products!$B$5:$B$304,MATCH(C345,Products!$A$5:$A$304,0)),"Bundle or deleted"))</f>
        <v>0</v>
      </c>
      <c r="R345" s="13">
        <f>IF(B345="","",TEXT(B345,"yyyy-mm"))</f>
        <v>0</v>
      </c>
      <c r="S345" s="20">
        <f>IF(C345="","",IFERROR(INDEX(Products!$AR$5:$AR$304,MATCH(C345,Products!$A$5:$A$304,0)),""))</f>
        <v>0</v>
      </c>
      <c r="T345" s="20">
        <f>IF(B345="","",IF(F345&lt;&gt;"",F345,IF(S345="",0,S345)))</f>
        <v>0</v>
      </c>
      <c r="U345" s="20">
        <f>IF(B345="","",ROUND(IF(D345="",0,D345)*T345,2))</f>
        <v>0</v>
      </c>
      <c r="V345" s="20">
        <f>IF(B345="","",ROUND(U345-IF(G345="",0,G345)-IF(L345="",0,L345),2))</f>
        <v>0</v>
      </c>
      <c r="W345" s="20">
        <f>IF(C345="","",IFERROR(INDEX(Products!$AT$5:$AT$304,MATCH(C345,Products!$A$5:$A$304,0)),""))</f>
        <v>0</v>
      </c>
      <c r="X345" s="20">
        <f>IF(C345="","",IFERROR(INDEX(Products!$AG$5:$AG$304,MATCH(C345,Products!$A$5:$A$304,0)),""))</f>
        <v>0</v>
      </c>
      <c r="Y345" s="20">
        <f>IF(B345="","",ROUND(IF(D345="",0,D345)*MAX(0,IF(W345="",0,W345)-IF(X345="",0,X345)),2))</f>
        <v>0</v>
      </c>
      <c r="Z345" s="20">
        <f>IF(B345="","",ROUND(MAX(0,IF(J345="",0,J345)-IF(I345="",0,I345)),2))</f>
        <v>0</v>
      </c>
      <c r="AA345" s="33">
        <f>IF(B345="","",IFERROR(INDEX(Channels!$S$5:$S$18,MATCH(IF(E345="",DefaultChannel,E345),Channels!$A$5:$A$18,0)),0))</f>
        <v>0</v>
      </c>
      <c r="AB345" s="20">
        <f>IF(B345="","",IFERROR(INDEX(Channels!$T$5:$T$18,MATCH(IF(E345="",DefaultChannel,E345),Channels!$A$5:$A$18,0)),0))</f>
        <v>0</v>
      </c>
      <c r="AC345" s="42">
        <f>IF(B345="","",IFERROR(INDEX(Channels!$O$5:$O$18,MATCH(IF(E345="",DefaultChannel,E345),Channels!$A$5:$A$18,0)),"No"))</f>
        <v>0</v>
      </c>
      <c r="AD345" s="20">
        <f>IF(B345="","",ROUND((V345+IF(AC345="Yes",IF(I345="",0,I345),0))*AA345+AB345,2))</f>
        <v>0</v>
      </c>
      <c r="AE345" s="20">
        <f>IF(B345="","",IF(K345&lt;&gt;"",K345,AD345))</f>
        <v>0</v>
      </c>
      <c r="AF345" s="20">
        <f>IF(B345="","",IF(K345="","",ROUND(K345-AD345,2)))</f>
        <v>0</v>
      </c>
      <c r="AG345" s="20">
        <f>IF(B345="","",ROUND(V345-Y345-AE345-Z345,2))</f>
        <v>0</v>
      </c>
      <c r="AH345" s="33">
        <f>IF(B345="","",IF(OR(V345="",V345=0),"",AG345/V345))</f>
        <v>0</v>
      </c>
      <c r="AI345" s="33">
        <f>IF(C345="","",IFERROR(INDEX(Products!$AW$5:$AW$304,MATCH(C345,Products!$A$5:$A$304,0)),""))</f>
        <v>0</v>
      </c>
      <c r="AJ345" s="33">
        <f>IF(B345="","",IF(OR(AH345="",AI345=""),"",AH345-AI345))</f>
        <v>0</v>
      </c>
      <c r="AK345" s="41">
        <f>IF(B345="","",IFERROR(ROUND(IF(D345="",0,D345)*INDEX(Products!$X$5:$X$304,MATCH(C345,Products!$A$5:$A$304,0))/60,2),""))</f>
        <v>0</v>
      </c>
      <c r="AL345" s="20">
        <f>IF(B345="","",IF(OR(AK345="",AK345=0),"",ROUND(AG345/AK345,2)))</f>
        <v>0</v>
      </c>
      <c r="AM345" s="43">
        <f>IF(B345="","",IF(C345="","Add - which product?",IF(AG345&lt;0,"Loss - this order cost you money",IF(M345="Refunded","Refunded - check why",IF(AND(AF345&lt;&gt;"",AF345&gt;0.25),"Check - fees higher than your settings",IF(Z345&gt;1,"Check - postage is eating the margin",IF(AND(AH345&lt;&gt;"",AH345&lt;MarginWarning),"Low margin on this order","OK")))))) )</f>
        <v>0</v>
      </c>
    </row>
    <row r="346" spans="1:39">
      <c r="A346" s="38">
        <f>IF(B346="","",SalePrefix&amp;TEXT(ROW()-4,"0000"))</f>
        <v>0</v>
      </c>
      <c r="Q346" s="13">
        <f>IF(C346="","",IFERROR(INDEX(Products!$B$5:$B$304,MATCH(C346,Products!$A$5:$A$304,0)),"Bundle or deleted"))</f>
        <v>0</v>
      </c>
      <c r="R346" s="13">
        <f>IF(B346="","",TEXT(B346,"yyyy-mm"))</f>
        <v>0</v>
      </c>
      <c r="S346" s="20">
        <f>IF(C346="","",IFERROR(INDEX(Products!$AR$5:$AR$304,MATCH(C346,Products!$A$5:$A$304,0)),""))</f>
        <v>0</v>
      </c>
      <c r="T346" s="20">
        <f>IF(B346="","",IF(F346&lt;&gt;"",F346,IF(S346="",0,S346)))</f>
        <v>0</v>
      </c>
      <c r="U346" s="20">
        <f>IF(B346="","",ROUND(IF(D346="",0,D346)*T346,2))</f>
        <v>0</v>
      </c>
      <c r="V346" s="20">
        <f>IF(B346="","",ROUND(U346-IF(G346="",0,G346)-IF(L346="",0,L346),2))</f>
        <v>0</v>
      </c>
      <c r="W346" s="20">
        <f>IF(C346="","",IFERROR(INDEX(Products!$AT$5:$AT$304,MATCH(C346,Products!$A$5:$A$304,0)),""))</f>
        <v>0</v>
      </c>
      <c r="X346" s="20">
        <f>IF(C346="","",IFERROR(INDEX(Products!$AG$5:$AG$304,MATCH(C346,Products!$A$5:$A$304,0)),""))</f>
        <v>0</v>
      </c>
      <c r="Y346" s="20">
        <f>IF(B346="","",ROUND(IF(D346="",0,D346)*MAX(0,IF(W346="",0,W346)-IF(X346="",0,X346)),2))</f>
        <v>0</v>
      </c>
      <c r="Z346" s="20">
        <f>IF(B346="","",ROUND(MAX(0,IF(J346="",0,J346)-IF(I346="",0,I346)),2))</f>
        <v>0</v>
      </c>
      <c r="AA346" s="33">
        <f>IF(B346="","",IFERROR(INDEX(Channels!$S$5:$S$18,MATCH(IF(E346="",DefaultChannel,E346),Channels!$A$5:$A$18,0)),0))</f>
        <v>0</v>
      </c>
      <c r="AB346" s="20">
        <f>IF(B346="","",IFERROR(INDEX(Channels!$T$5:$T$18,MATCH(IF(E346="",DefaultChannel,E346),Channels!$A$5:$A$18,0)),0))</f>
        <v>0</v>
      </c>
      <c r="AC346" s="42">
        <f>IF(B346="","",IFERROR(INDEX(Channels!$O$5:$O$18,MATCH(IF(E346="",DefaultChannel,E346),Channels!$A$5:$A$18,0)),"No"))</f>
        <v>0</v>
      </c>
      <c r="AD346" s="20">
        <f>IF(B346="","",ROUND((V346+IF(AC346="Yes",IF(I346="",0,I346),0))*AA346+AB346,2))</f>
        <v>0</v>
      </c>
      <c r="AE346" s="20">
        <f>IF(B346="","",IF(K346&lt;&gt;"",K346,AD346))</f>
        <v>0</v>
      </c>
      <c r="AF346" s="20">
        <f>IF(B346="","",IF(K346="","",ROUND(K346-AD346,2)))</f>
        <v>0</v>
      </c>
      <c r="AG346" s="20">
        <f>IF(B346="","",ROUND(V346-Y346-AE346-Z346,2))</f>
        <v>0</v>
      </c>
      <c r="AH346" s="33">
        <f>IF(B346="","",IF(OR(V346="",V346=0),"",AG346/V346))</f>
        <v>0</v>
      </c>
      <c r="AI346" s="33">
        <f>IF(C346="","",IFERROR(INDEX(Products!$AW$5:$AW$304,MATCH(C346,Products!$A$5:$A$304,0)),""))</f>
        <v>0</v>
      </c>
      <c r="AJ346" s="33">
        <f>IF(B346="","",IF(OR(AH346="",AI346=""),"",AH346-AI346))</f>
        <v>0</v>
      </c>
      <c r="AK346" s="41">
        <f>IF(B346="","",IFERROR(ROUND(IF(D346="",0,D346)*INDEX(Products!$X$5:$X$304,MATCH(C346,Products!$A$5:$A$304,0))/60,2),""))</f>
        <v>0</v>
      </c>
      <c r="AL346" s="20">
        <f>IF(B346="","",IF(OR(AK346="",AK346=0),"",ROUND(AG346/AK346,2)))</f>
        <v>0</v>
      </c>
      <c r="AM346" s="43">
        <f>IF(B346="","",IF(C346="","Add - which product?",IF(AG346&lt;0,"Loss - this order cost you money",IF(M346="Refunded","Refunded - check why",IF(AND(AF346&lt;&gt;"",AF346&gt;0.25),"Check - fees higher than your settings",IF(Z346&gt;1,"Check - postage is eating the margin",IF(AND(AH346&lt;&gt;"",AH346&lt;MarginWarning),"Low margin on this order","OK")))))) )</f>
        <v>0</v>
      </c>
    </row>
    <row r="347" spans="1:39">
      <c r="A347" s="38">
        <f>IF(B347="","",SalePrefix&amp;TEXT(ROW()-4,"0000"))</f>
        <v>0</v>
      </c>
      <c r="Q347" s="13">
        <f>IF(C347="","",IFERROR(INDEX(Products!$B$5:$B$304,MATCH(C347,Products!$A$5:$A$304,0)),"Bundle or deleted"))</f>
        <v>0</v>
      </c>
      <c r="R347" s="13">
        <f>IF(B347="","",TEXT(B347,"yyyy-mm"))</f>
        <v>0</v>
      </c>
      <c r="S347" s="20">
        <f>IF(C347="","",IFERROR(INDEX(Products!$AR$5:$AR$304,MATCH(C347,Products!$A$5:$A$304,0)),""))</f>
        <v>0</v>
      </c>
      <c r="T347" s="20">
        <f>IF(B347="","",IF(F347&lt;&gt;"",F347,IF(S347="",0,S347)))</f>
        <v>0</v>
      </c>
      <c r="U347" s="20">
        <f>IF(B347="","",ROUND(IF(D347="",0,D347)*T347,2))</f>
        <v>0</v>
      </c>
      <c r="V347" s="20">
        <f>IF(B347="","",ROUND(U347-IF(G347="",0,G347)-IF(L347="",0,L347),2))</f>
        <v>0</v>
      </c>
      <c r="W347" s="20">
        <f>IF(C347="","",IFERROR(INDEX(Products!$AT$5:$AT$304,MATCH(C347,Products!$A$5:$A$304,0)),""))</f>
        <v>0</v>
      </c>
      <c r="X347" s="20">
        <f>IF(C347="","",IFERROR(INDEX(Products!$AG$5:$AG$304,MATCH(C347,Products!$A$5:$A$304,0)),""))</f>
        <v>0</v>
      </c>
      <c r="Y347" s="20">
        <f>IF(B347="","",ROUND(IF(D347="",0,D347)*MAX(0,IF(W347="",0,W347)-IF(X347="",0,X347)),2))</f>
        <v>0</v>
      </c>
      <c r="Z347" s="20">
        <f>IF(B347="","",ROUND(MAX(0,IF(J347="",0,J347)-IF(I347="",0,I347)),2))</f>
        <v>0</v>
      </c>
      <c r="AA347" s="33">
        <f>IF(B347="","",IFERROR(INDEX(Channels!$S$5:$S$18,MATCH(IF(E347="",DefaultChannel,E347),Channels!$A$5:$A$18,0)),0))</f>
        <v>0</v>
      </c>
      <c r="AB347" s="20">
        <f>IF(B347="","",IFERROR(INDEX(Channels!$T$5:$T$18,MATCH(IF(E347="",DefaultChannel,E347),Channels!$A$5:$A$18,0)),0))</f>
        <v>0</v>
      </c>
      <c r="AC347" s="42">
        <f>IF(B347="","",IFERROR(INDEX(Channels!$O$5:$O$18,MATCH(IF(E347="",DefaultChannel,E347),Channels!$A$5:$A$18,0)),"No"))</f>
        <v>0</v>
      </c>
      <c r="AD347" s="20">
        <f>IF(B347="","",ROUND((V347+IF(AC347="Yes",IF(I347="",0,I347),0))*AA347+AB347,2))</f>
        <v>0</v>
      </c>
      <c r="AE347" s="20">
        <f>IF(B347="","",IF(K347&lt;&gt;"",K347,AD347))</f>
        <v>0</v>
      </c>
      <c r="AF347" s="20">
        <f>IF(B347="","",IF(K347="","",ROUND(K347-AD347,2)))</f>
        <v>0</v>
      </c>
      <c r="AG347" s="20">
        <f>IF(B347="","",ROUND(V347-Y347-AE347-Z347,2))</f>
        <v>0</v>
      </c>
      <c r="AH347" s="33">
        <f>IF(B347="","",IF(OR(V347="",V347=0),"",AG347/V347))</f>
        <v>0</v>
      </c>
      <c r="AI347" s="33">
        <f>IF(C347="","",IFERROR(INDEX(Products!$AW$5:$AW$304,MATCH(C347,Products!$A$5:$A$304,0)),""))</f>
        <v>0</v>
      </c>
      <c r="AJ347" s="33">
        <f>IF(B347="","",IF(OR(AH347="",AI347=""),"",AH347-AI347))</f>
        <v>0</v>
      </c>
      <c r="AK347" s="41">
        <f>IF(B347="","",IFERROR(ROUND(IF(D347="",0,D347)*INDEX(Products!$X$5:$X$304,MATCH(C347,Products!$A$5:$A$304,0))/60,2),""))</f>
        <v>0</v>
      </c>
      <c r="AL347" s="20">
        <f>IF(B347="","",IF(OR(AK347="",AK347=0),"",ROUND(AG347/AK347,2)))</f>
        <v>0</v>
      </c>
      <c r="AM347" s="43">
        <f>IF(B347="","",IF(C347="","Add - which product?",IF(AG347&lt;0,"Loss - this order cost you money",IF(M347="Refunded","Refunded - check why",IF(AND(AF347&lt;&gt;"",AF347&gt;0.25),"Check - fees higher than your settings",IF(Z347&gt;1,"Check - postage is eating the margin",IF(AND(AH347&lt;&gt;"",AH347&lt;MarginWarning),"Low margin on this order","OK")))))) )</f>
        <v>0</v>
      </c>
    </row>
    <row r="348" spans="1:39">
      <c r="A348" s="38">
        <f>IF(B348="","",SalePrefix&amp;TEXT(ROW()-4,"0000"))</f>
        <v>0</v>
      </c>
      <c r="Q348" s="13">
        <f>IF(C348="","",IFERROR(INDEX(Products!$B$5:$B$304,MATCH(C348,Products!$A$5:$A$304,0)),"Bundle or deleted"))</f>
        <v>0</v>
      </c>
      <c r="R348" s="13">
        <f>IF(B348="","",TEXT(B348,"yyyy-mm"))</f>
        <v>0</v>
      </c>
      <c r="S348" s="20">
        <f>IF(C348="","",IFERROR(INDEX(Products!$AR$5:$AR$304,MATCH(C348,Products!$A$5:$A$304,0)),""))</f>
        <v>0</v>
      </c>
      <c r="T348" s="20">
        <f>IF(B348="","",IF(F348&lt;&gt;"",F348,IF(S348="",0,S348)))</f>
        <v>0</v>
      </c>
      <c r="U348" s="20">
        <f>IF(B348="","",ROUND(IF(D348="",0,D348)*T348,2))</f>
        <v>0</v>
      </c>
      <c r="V348" s="20">
        <f>IF(B348="","",ROUND(U348-IF(G348="",0,G348)-IF(L348="",0,L348),2))</f>
        <v>0</v>
      </c>
      <c r="W348" s="20">
        <f>IF(C348="","",IFERROR(INDEX(Products!$AT$5:$AT$304,MATCH(C348,Products!$A$5:$A$304,0)),""))</f>
        <v>0</v>
      </c>
      <c r="X348" s="20">
        <f>IF(C348="","",IFERROR(INDEX(Products!$AG$5:$AG$304,MATCH(C348,Products!$A$5:$A$304,0)),""))</f>
        <v>0</v>
      </c>
      <c r="Y348" s="20">
        <f>IF(B348="","",ROUND(IF(D348="",0,D348)*MAX(0,IF(W348="",0,W348)-IF(X348="",0,X348)),2))</f>
        <v>0</v>
      </c>
      <c r="Z348" s="20">
        <f>IF(B348="","",ROUND(MAX(0,IF(J348="",0,J348)-IF(I348="",0,I348)),2))</f>
        <v>0</v>
      </c>
      <c r="AA348" s="33">
        <f>IF(B348="","",IFERROR(INDEX(Channels!$S$5:$S$18,MATCH(IF(E348="",DefaultChannel,E348),Channels!$A$5:$A$18,0)),0))</f>
        <v>0</v>
      </c>
      <c r="AB348" s="20">
        <f>IF(B348="","",IFERROR(INDEX(Channels!$T$5:$T$18,MATCH(IF(E348="",DefaultChannel,E348),Channels!$A$5:$A$18,0)),0))</f>
        <v>0</v>
      </c>
      <c r="AC348" s="42">
        <f>IF(B348="","",IFERROR(INDEX(Channels!$O$5:$O$18,MATCH(IF(E348="",DefaultChannel,E348),Channels!$A$5:$A$18,0)),"No"))</f>
        <v>0</v>
      </c>
      <c r="AD348" s="20">
        <f>IF(B348="","",ROUND((V348+IF(AC348="Yes",IF(I348="",0,I348),0))*AA348+AB348,2))</f>
        <v>0</v>
      </c>
      <c r="AE348" s="20">
        <f>IF(B348="","",IF(K348&lt;&gt;"",K348,AD348))</f>
        <v>0</v>
      </c>
      <c r="AF348" s="20">
        <f>IF(B348="","",IF(K348="","",ROUND(K348-AD348,2)))</f>
        <v>0</v>
      </c>
      <c r="AG348" s="20">
        <f>IF(B348="","",ROUND(V348-Y348-AE348-Z348,2))</f>
        <v>0</v>
      </c>
      <c r="AH348" s="33">
        <f>IF(B348="","",IF(OR(V348="",V348=0),"",AG348/V348))</f>
        <v>0</v>
      </c>
      <c r="AI348" s="33">
        <f>IF(C348="","",IFERROR(INDEX(Products!$AW$5:$AW$304,MATCH(C348,Products!$A$5:$A$304,0)),""))</f>
        <v>0</v>
      </c>
      <c r="AJ348" s="33">
        <f>IF(B348="","",IF(OR(AH348="",AI348=""),"",AH348-AI348))</f>
        <v>0</v>
      </c>
      <c r="AK348" s="41">
        <f>IF(B348="","",IFERROR(ROUND(IF(D348="",0,D348)*INDEX(Products!$X$5:$X$304,MATCH(C348,Products!$A$5:$A$304,0))/60,2),""))</f>
        <v>0</v>
      </c>
      <c r="AL348" s="20">
        <f>IF(B348="","",IF(OR(AK348="",AK348=0),"",ROUND(AG348/AK348,2)))</f>
        <v>0</v>
      </c>
      <c r="AM348" s="43">
        <f>IF(B348="","",IF(C348="","Add - which product?",IF(AG348&lt;0,"Loss - this order cost you money",IF(M348="Refunded","Refunded - check why",IF(AND(AF348&lt;&gt;"",AF348&gt;0.25),"Check - fees higher than your settings",IF(Z348&gt;1,"Check - postage is eating the margin",IF(AND(AH348&lt;&gt;"",AH348&lt;MarginWarning),"Low margin on this order","OK")))))) )</f>
        <v>0</v>
      </c>
    </row>
    <row r="349" spans="1:39">
      <c r="A349" s="38">
        <f>IF(B349="","",SalePrefix&amp;TEXT(ROW()-4,"0000"))</f>
        <v>0</v>
      </c>
      <c r="Q349" s="13">
        <f>IF(C349="","",IFERROR(INDEX(Products!$B$5:$B$304,MATCH(C349,Products!$A$5:$A$304,0)),"Bundle or deleted"))</f>
        <v>0</v>
      </c>
      <c r="R349" s="13">
        <f>IF(B349="","",TEXT(B349,"yyyy-mm"))</f>
        <v>0</v>
      </c>
      <c r="S349" s="20">
        <f>IF(C349="","",IFERROR(INDEX(Products!$AR$5:$AR$304,MATCH(C349,Products!$A$5:$A$304,0)),""))</f>
        <v>0</v>
      </c>
      <c r="T349" s="20">
        <f>IF(B349="","",IF(F349&lt;&gt;"",F349,IF(S349="",0,S349)))</f>
        <v>0</v>
      </c>
      <c r="U349" s="20">
        <f>IF(B349="","",ROUND(IF(D349="",0,D349)*T349,2))</f>
        <v>0</v>
      </c>
      <c r="V349" s="20">
        <f>IF(B349="","",ROUND(U349-IF(G349="",0,G349)-IF(L349="",0,L349),2))</f>
        <v>0</v>
      </c>
      <c r="W349" s="20">
        <f>IF(C349="","",IFERROR(INDEX(Products!$AT$5:$AT$304,MATCH(C349,Products!$A$5:$A$304,0)),""))</f>
        <v>0</v>
      </c>
      <c r="X349" s="20">
        <f>IF(C349="","",IFERROR(INDEX(Products!$AG$5:$AG$304,MATCH(C349,Products!$A$5:$A$304,0)),""))</f>
        <v>0</v>
      </c>
      <c r="Y349" s="20">
        <f>IF(B349="","",ROUND(IF(D349="",0,D349)*MAX(0,IF(W349="",0,W349)-IF(X349="",0,X349)),2))</f>
        <v>0</v>
      </c>
      <c r="Z349" s="20">
        <f>IF(B349="","",ROUND(MAX(0,IF(J349="",0,J349)-IF(I349="",0,I349)),2))</f>
        <v>0</v>
      </c>
      <c r="AA349" s="33">
        <f>IF(B349="","",IFERROR(INDEX(Channels!$S$5:$S$18,MATCH(IF(E349="",DefaultChannel,E349),Channels!$A$5:$A$18,0)),0))</f>
        <v>0</v>
      </c>
      <c r="AB349" s="20">
        <f>IF(B349="","",IFERROR(INDEX(Channels!$T$5:$T$18,MATCH(IF(E349="",DefaultChannel,E349),Channels!$A$5:$A$18,0)),0))</f>
        <v>0</v>
      </c>
      <c r="AC349" s="42">
        <f>IF(B349="","",IFERROR(INDEX(Channels!$O$5:$O$18,MATCH(IF(E349="",DefaultChannel,E349),Channels!$A$5:$A$18,0)),"No"))</f>
        <v>0</v>
      </c>
      <c r="AD349" s="20">
        <f>IF(B349="","",ROUND((V349+IF(AC349="Yes",IF(I349="",0,I349),0))*AA349+AB349,2))</f>
        <v>0</v>
      </c>
      <c r="AE349" s="20">
        <f>IF(B349="","",IF(K349&lt;&gt;"",K349,AD349))</f>
        <v>0</v>
      </c>
      <c r="AF349" s="20">
        <f>IF(B349="","",IF(K349="","",ROUND(K349-AD349,2)))</f>
        <v>0</v>
      </c>
      <c r="AG349" s="20">
        <f>IF(B349="","",ROUND(V349-Y349-AE349-Z349,2))</f>
        <v>0</v>
      </c>
      <c r="AH349" s="33">
        <f>IF(B349="","",IF(OR(V349="",V349=0),"",AG349/V349))</f>
        <v>0</v>
      </c>
      <c r="AI349" s="33">
        <f>IF(C349="","",IFERROR(INDEX(Products!$AW$5:$AW$304,MATCH(C349,Products!$A$5:$A$304,0)),""))</f>
        <v>0</v>
      </c>
      <c r="AJ349" s="33">
        <f>IF(B349="","",IF(OR(AH349="",AI349=""),"",AH349-AI349))</f>
        <v>0</v>
      </c>
      <c r="AK349" s="41">
        <f>IF(B349="","",IFERROR(ROUND(IF(D349="",0,D349)*INDEX(Products!$X$5:$X$304,MATCH(C349,Products!$A$5:$A$304,0))/60,2),""))</f>
        <v>0</v>
      </c>
      <c r="AL349" s="20">
        <f>IF(B349="","",IF(OR(AK349="",AK349=0),"",ROUND(AG349/AK349,2)))</f>
        <v>0</v>
      </c>
      <c r="AM349" s="43">
        <f>IF(B349="","",IF(C349="","Add - which product?",IF(AG349&lt;0,"Loss - this order cost you money",IF(M349="Refunded","Refunded - check why",IF(AND(AF349&lt;&gt;"",AF349&gt;0.25),"Check - fees higher than your settings",IF(Z349&gt;1,"Check - postage is eating the margin",IF(AND(AH349&lt;&gt;"",AH349&lt;MarginWarning),"Low margin on this order","OK")))))) )</f>
        <v>0</v>
      </c>
    </row>
    <row r="350" spans="1:39">
      <c r="A350" s="38">
        <f>IF(B350="","",SalePrefix&amp;TEXT(ROW()-4,"0000"))</f>
        <v>0</v>
      </c>
      <c r="Q350" s="13">
        <f>IF(C350="","",IFERROR(INDEX(Products!$B$5:$B$304,MATCH(C350,Products!$A$5:$A$304,0)),"Bundle or deleted"))</f>
        <v>0</v>
      </c>
      <c r="R350" s="13">
        <f>IF(B350="","",TEXT(B350,"yyyy-mm"))</f>
        <v>0</v>
      </c>
      <c r="S350" s="20">
        <f>IF(C350="","",IFERROR(INDEX(Products!$AR$5:$AR$304,MATCH(C350,Products!$A$5:$A$304,0)),""))</f>
        <v>0</v>
      </c>
      <c r="T350" s="20">
        <f>IF(B350="","",IF(F350&lt;&gt;"",F350,IF(S350="",0,S350)))</f>
        <v>0</v>
      </c>
      <c r="U350" s="20">
        <f>IF(B350="","",ROUND(IF(D350="",0,D350)*T350,2))</f>
        <v>0</v>
      </c>
      <c r="V350" s="20">
        <f>IF(B350="","",ROUND(U350-IF(G350="",0,G350)-IF(L350="",0,L350),2))</f>
        <v>0</v>
      </c>
      <c r="W350" s="20">
        <f>IF(C350="","",IFERROR(INDEX(Products!$AT$5:$AT$304,MATCH(C350,Products!$A$5:$A$304,0)),""))</f>
        <v>0</v>
      </c>
      <c r="X350" s="20">
        <f>IF(C350="","",IFERROR(INDEX(Products!$AG$5:$AG$304,MATCH(C350,Products!$A$5:$A$304,0)),""))</f>
        <v>0</v>
      </c>
      <c r="Y350" s="20">
        <f>IF(B350="","",ROUND(IF(D350="",0,D350)*MAX(0,IF(W350="",0,W350)-IF(X350="",0,X350)),2))</f>
        <v>0</v>
      </c>
      <c r="Z350" s="20">
        <f>IF(B350="","",ROUND(MAX(0,IF(J350="",0,J350)-IF(I350="",0,I350)),2))</f>
        <v>0</v>
      </c>
      <c r="AA350" s="33">
        <f>IF(B350="","",IFERROR(INDEX(Channels!$S$5:$S$18,MATCH(IF(E350="",DefaultChannel,E350),Channels!$A$5:$A$18,0)),0))</f>
        <v>0</v>
      </c>
      <c r="AB350" s="20">
        <f>IF(B350="","",IFERROR(INDEX(Channels!$T$5:$T$18,MATCH(IF(E350="",DefaultChannel,E350),Channels!$A$5:$A$18,0)),0))</f>
        <v>0</v>
      </c>
      <c r="AC350" s="42">
        <f>IF(B350="","",IFERROR(INDEX(Channels!$O$5:$O$18,MATCH(IF(E350="",DefaultChannel,E350),Channels!$A$5:$A$18,0)),"No"))</f>
        <v>0</v>
      </c>
      <c r="AD350" s="20">
        <f>IF(B350="","",ROUND((V350+IF(AC350="Yes",IF(I350="",0,I350),0))*AA350+AB350,2))</f>
        <v>0</v>
      </c>
      <c r="AE350" s="20">
        <f>IF(B350="","",IF(K350&lt;&gt;"",K350,AD350))</f>
        <v>0</v>
      </c>
      <c r="AF350" s="20">
        <f>IF(B350="","",IF(K350="","",ROUND(K350-AD350,2)))</f>
        <v>0</v>
      </c>
      <c r="AG350" s="20">
        <f>IF(B350="","",ROUND(V350-Y350-AE350-Z350,2))</f>
        <v>0</v>
      </c>
      <c r="AH350" s="33">
        <f>IF(B350="","",IF(OR(V350="",V350=0),"",AG350/V350))</f>
        <v>0</v>
      </c>
      <c r="AI350" s="33">
        <f>IF(C350="","",IFERROR(INDEX(Products!$AW$5:$AW$304,MATCH(C350,Products!$A$5:$A$304,0)),""))</f>
        <v>0</v>
      </c>
      <c r="AJ350" s="33">
        <f>IF(B350="","",IF(OR(AH350="",AI350=""),"",AH350-AI350))</f>
        <v>0</v>
      </c>
      <c r="AK350" s="41">
        <f>IF(B350="","",IFERROR(ROUND(IF(D350="",0,D350)*INDEX(Products!$X$5:$X$304,MATCH(C350,Products!$A$5:$A$304,0))/60,2),""))</f>
        <v>0</v>
      </c>
      <c r="AL350" s="20">
        <f>IF(B350="","",IF(OR(AK350="",AK350=0),"",ROUND(AG350/AK350,2)))</f>
        <v>0</v>
      </c>
      <c r="AM350" s="43">
        <f>IF(B350="","",IF(C350="","Add - which product?",IF(AG350&lt;0,"Loss - this order cost you money",IF(M350="Refunded","Refunded - check why",IF(AND(AF350&lt;&gt;"",AF350&gt;0.25),"Check - fees higher than your settings",IF(Z350&gt;1,"Check - postage is eating the margin",IF(AND(AH350&lt;&gt;"",AH350&lt;MarginWarning),"Low margin on this order","OK")))))) )</f>
        <v>0</v>
      </c>
    </row>
    <row r="351" spans="1:39">
      <c r="A351" s="38">
        <f>IF(B351="","",SalePrefix&amp;TEXT(ROW()-4,"0000"))</f>
        <v>0</v>
      </c>
      <c r="Q351" s="13">
        <f>IF(C351="","",IFERROR(INDEX(Products!$B$5:$B$304,MATCH(C351,Products!$A$5:$A$304,0)),"Bundle or deleted"))</f>
        <v>0</v>
      </c>
      <c r="R351" s="13">
        <f>IF(B351="","",TEXT(B351,"yyyy-mm"))</f>
        <v>0</v>
      </c>
      <c r="S351" s="20">
        <f>IF(C351="","",IFERROR(INDEX(Products!$AR$5:$AR$304,MATCH(C351,Products!$A$5:$A$304,0)),""))</f>
        <v>0</v>
      </c>
      <c r="T351" s="20">
        <f>IF(B351="","",IF(F351&lt;&gt;"",F351,IF(S351="",0,S351)))</f>
        <v>0</v>
      </c>
      <c r="U351" s="20">
        <f>IF(B351="","",ROUND(IF(D351="",0,D351)*T351,2))</f>
        <v>0</v>
      </c>
      <c r="V351" s="20">
        <f>IF(B351="","",ROUND(U351-IF(G351="",0,G351)-IF(L351="",0,L351),2))</f>
        <v>0</v>
      </c>
      <c r="W351" s="20">
        <f>IF(C351="","",IFERROR(INDEX(Products!$AT$5:$AT$304,MATCH(C351,Products!$A$5:$A$304,0)),""))</f>
        <v>0</v>
      </c>
      <c r="X351" s="20">
        <f>IF(C351="","",IFERROR(INDEX(Products!$AG$5:$AG$304,MATCH(C351,Products!$A$5:$A$304,0)),""))</f>
        <v>0</v>
      </c>
      <c r="Y351" s="20">
        <f>IF(B351="","",ROUND(IF(D351="",0,D351)*MAX(0,IF(W351="",0,W351)-IF(X351="",0,X351)),2))</f>
        <v>0</v>
      </c>
      <c r="Z351" s="20">
        <f>IF(B351="","",ROUND(MAX(0,IF(J351="",0,J351)-IF(I351="",0,I351)),2))</f>
        <v>0</v>
      </c>
      <c r="AA351" s="33">
        <f>IF(B351="","",IFERROR(INDEX(Channels!$S$5:$S$18,MATCH(IF(E351="",DefaultChannel,E351),Channels!$A$5:$A$18,0)),0))</f>
        <v>0</v>
      </c>
      <c r="AB351" s="20">
        <f>IF(B351="","",IFERROR(INDEX(Channels!$T$5:$T$18,MATCH(IF(E351="",DefaultChannel,E351),Channels!$A$5:$A$18,0)),0))</f>
        <v>0</v>
      </c>
      <c r="AC351" s="42">
        <f>IF(B351="","",IFERROR(INDEX(Channels!$O$5:$O$18,MATCH(IF(E351="",DefaultChannel,E351),Channels!$A$5:$A$18,0)),"No"))</f>
        <v>0</v>
      </c>
      <c r="AD351" s="20">
        <f>IF(B351="","",ROUND((V351+IF(AC351="Yes",IF(I351="",0,I351),0))*AA351+AB351,2))</f>
        <v>0</v>
      </c>
      <c r="AE351" s="20">
        <f>IF(B351="","",IF(K351&lt;&gt;"",K351,AD351))</f>
        <v>0</v>
      </c>
      <c r="AF351" s="20">
        <f>IF(B351="","",IF(K351="","",ROUND(K351-AD351,2)))</f>
        <v>0</v>
      </c>
      <c r="AG351" s="20">
        <f>IF(B351="","",ROUND(V351-Y351-AE351-Z351,2))</f>
        <v>0</v>
      </c>
      <c r="AH351" s="33">
        <f>IF(B351="","",IF(OR(V351="",V351=0),"",AG351/V351))</f>
        <v>0</v>
      </c>
      <c r="AI351" s="33">
        <f>IF(C351="","",IFERROR(INDEX(Products!$AW$5:$AW$304,MATCH(C351,Products!$A$5:$A$304,0)),""))</f>
        <v>0</v>
      </c>
      <c r="AJ351" s="33">
        <f>IF(B351="","",IF(OR(AH351="",AI351=""),"",AH351-AI351))</f>
        <v>0</v>
      </c>
      <c r="AK351" s="41">
        <f>IF(B351="","",IFERROR(ROUND(IF(D351="",0,D351)*INDEX(Products!$X$5:$X$304,MATCH(C351,Products!$A$5:$A$304,0))/60,2),""))</f>
        <v>0</v>
      </c>
      <c r="AL351" s="20">
        <f>IF(B351="","",IF(OR(AK351="",AK351=0),"",ROUND(AG351/AK351,2)))</f>
        <v>0</v>
      </c>
      <c r="AM351" s="43">
        <f>IF(B351="","",IF(C351="","Add - which product?",IF(AG351&lt;0,"Loss - this order cost you money",IF(M351="Refunded","Refunded - check why",IF(AND(AF351&lt;&gt;"",AF351&gt;0.25),"Check - fees higher than your settings",IF(Z351&gt;1,"Check - postage is eating the margin",IF(AND(AH351&lt;&gt;"",AH351&lt;MarginWarning),"Low margin on this order","OK")))))) )</f>
        <v>0</v>
      </c>
    </row>
    <row r="352" spans="1:39">
      <c r="A352" s="38">
        <f>IF(B352="","",SalePrefix&amp;TEXT(ROW()-4,"0000"))</f>
        <v>0</v>
      </c>
      <c r="Q352" s="13">
        <f>IF(C352="","",IFERROR(INDEX(Products!$B$5:$B$304,MATCH(C352,Products!$A$5:$A$304,0)),"Bundle or deleted"))</f>
        <v>0</v>
      </c>
      <c r="R352" s="13">
        <f>IF(B352="","",TEXT(B352,"yyyy-mm"))</f>
        <v>0</v>
      </c>
      <c r="S352" s="20">
        <f>IF(C352="","",IFERROR(INDEX(Products!$AR$5:$AR$304,MATCH(C352,Products!$A$5:$A$304,0)),""))</f>
        <v>0</v>
      </c>
      <c r="T352" s="20">
        <f>IF(B352="","",IF(F352&lt;&gt;"",F352,IF(S352="",0,S352)))</f>
        <v>0</v>
      </c>
      <c r="U352" s="20">
        <f>IF(B352="","",ROUND(IF(D352="",0,D352)*T352,2))</f>
        <v>0</v>
      </c>
      <c r="V352" s="20">
        <f>IF(B352="","",ROUND(U352-IF(G352="",0,G352)-IF(L352="",0,L352),2))</f>
        <v>0</v>
      </c>
      <c r="W352" s="20">
        <f>IF(C352="","",IFERROR(INDEX(Products!$AT$5:$AT$304,MATCH(C352,Products!$A$5:$A$304,0)),""))</f>
        <v>0</v>
      </c>
      <c r="X352" s="20">
        <f>IF(C352="","",IFERROR(INDEX(Products!$AG$5:$AG$304,MATCH(C352,Products!$A$5:$A$304,0)),""))</f>
        <v>0</v>
      </c>
      <c r="Y352" s="20">
        <f>IF(B352="","",ROUND(IF(D352="",0,D352)*MAX(0,IF(W352="",0,W352)-IF(X352="",0,X352)),2))</f>
        <v>0</v>
      </c>
      <c r="Z352" s="20">
        <f>IF(B352="","",ROUND(MAX(0,IF(J352="",0,J352)-IF(I352="",0,I352)),2))</f>
        <v>0</v>
      </c>
      <c r="AA352" s="33">
        <f>IF(B352="","",IFERROR(INDEX(Channels!$S$5:$S$18,MATCH(IF(E352="",DefaultChannel,E352),Channels!$A$5:$A$18,0)),0))</f>
        <v>0</v>
      </c>
      <c r="AB352" s="20">
        <f>IF(B352="","",IFERROR(INDEX(Channels!$T$5:$T$18,MATCH(IF(E352="",DefaultChannel,E352),Channels!$A$5:$A$18,0)),0))</f>
        <v>0</v>
      </c>
      <c r="AC352" s="42">
        <f>IF(B352="","",IFERROR(INDEX(Channels!$O$5:$O$18,MATCH(IF(E352="",DefaultChannel,E352),Channels!$A$5:$A$18,0)),"No"))</f>
        <v>0</v>
      </c>
      <c r="AD352" s="20">
        <f>IF(B352="","",ROUND((V352+IF(AC352="Yes",IF(I352="",0,I352),0))*AA352+AB352,2))</f>
        <v>0</v>
      </c>
      <c r="AE352" s="20">
        <f>IF(B352="","",IF(K352&lt;&gt;"",K352,AD352))</f>
        <v>0</v>
      </c>
      <c r="AF352" s="20">
        <f>IF(B352="","",IF(K352="","",ROUND(K352-AD352,2)))</f>
        <v>0</v>
      </c>
      <c r="AG352" s="20">
        <f>IF(B352="","",ROUND(V352-Y352-AE352-Z352,2))</f>
        <v>0</v>
      </c>
      <c r="AH352" s="33">
        <f>IF(B352="","",IF(OR(V352="",V352=0),"",AG352/V352))</f>
        <v>0</v>
      </c>
      <c r="AI352" s="33">
        <f>IF(C352="","",IFERROR(INDEX(Products!$AW$5:$AW$304,MATCH(C352,Products!$A$5:$A$304,0)),""))</f>
        <v>0</v>
      </c>
      <c r="AJ352" s="33">
        <f>IF(B352="","",IF(OR(AH352="",AI352=""),"",AH352-AI352))</f>
        <v>0</v>
      </c>
      <c r="AK352" s="41">
        <f>IF(B352="","",IFERROR(ROUND(IF(D352="",0,D352)*INDEX(Products!$X$5:$X$304,MATCH(C352,Products!$A$5:$A$304,0))/60,2),""))</f>
        <v>0</v>
      </c>
      <c r="AL352" s="20">
        <f>IF(B352="","",IF(OR(AK352="",AK352=0),"",ROUND(AG352/AK352,2)))</f>
        <v>0</v>
      </c>
      <c r="AM352" s="43">
        <f>IF(B352="","",IF(C352="","Add - which product?",IF(AG352&lt;0,"Loss - this order cost you money",IF(M352="Refunded","Refunded - check why",IF(AND(AF352&lt;&gt;"",AF352&gt;0.25),"Check - fees higher than your settings",IF(Z352&gt;1,"Check - postage is eating the margin",IF(AND(AH352&lt;&gt;"",AH352&lt;MarginWarning),"Low margin on this order","OK")))))) )</f>
        <v>0</v>
      </c>
    </row>
    <row r="353" spans="1:39">
      <c r="A353" s="38">
        <f>IF(B353="","",SalePrefix&amp;TEXT(ROW()-4,"0000"))</f>
        <v>0</v>
      </c>
      <c r="Q353" s="13">
        <f>IF(C353="","",IFERROR(INDEX(Products!$B$5:$B$304,MATCH(C353,Products!$A$5:$A$304,0)),"Bundle or deleted"))</f>
        <v>0</v>
      </c>
      <c r="R353" s="13">
        <f>IF(B353="","",TEXT(B353,"yyyy-mm"))</f>
        <v>0</v>
      </c>
      <c r="S353" s="20">
        <f>IF(C353="","",IFERROR(INDEX(Products!$AR$5:$AR$304,MATCH(C353,Products!$A$5:$A$304,0)),""))</f>
        <v>0</v>
      </c>
      <c r="T353" s="20">
        <f>IF(B353="","",IF(F353&lt;&gt;"",F353,IF(S353="",0,S353)))</f>
        <v>0</v>
      </c>
      <c r="U353" s="20">
        <f>IF(B353="","",ROUND(IF(D353="",0,D353)*T353,2))</f>
        <v>0</v>
      </c>
      <c r="V353" s="20">
        <f>IF(B353="","",ROUND(U353-IF(G353="",0,G353)-IF(L353="",0,L353),2))</f>
        <v>0</v>
      </c>
      <c r="W353" s="20">
        <f>IF(C353="","",IFERROR(INDEX(Products!$AT$5:$AT$304,MATCH(C353,Products!$A$5:$A$304,0)),""))</f>
        <v>0</v>
      </c>
      <c r="X353" s="20">
        <f>IF(C353="","",IFERROR(INDEX(Products!$AG$5:$AG$304,MATCH(C353,Products!$A$5:$A$304,0)),""))</f>
        <v>0</v>
      </c>
      <c r="Y353" s="20">
        <f>IF(B353="","",ROUND(IF(D353="",0,D353)*MAX(0,IF(W353="",0,W353)-IF(X353="",0,X353)),2))</f>
        <v>0</v>
      </c>
      <c r="Z353" s="20">
        <f>IF(B353="","",ROUND(MAX(0,IF(J353="",0,J353)-IF(I353="",0,I353)),2))</f>
        <v>0</v>
      </c>
      <c r="AA353" s="33">
        <f>IF(B353="","",IFERROR(INDEX(Channels!$S$5:$S$18,MATCH(IF(E353="",DefaultChannel,E353),Channels!$A$5:$A$18,0)),0))</f>
        <v>0</v>
      </c>
      <c r="AB353" s="20">
        <f>IF(B353="","",IFERROR(INDEX(Channels!$T$5:$T$18,MATCH(IF(E353="",DefaultChannel,E353),Channels!$A$5:$A$18,0)),0))</f>
        <v>0</v>
      </c>
      <c r="AC353" s="42">
        <f>IF(B353="","",IFERROR(INDEX(Channels!$O$5:$O$18,MATCH(IF(E353="",DefaultChannel,E353),Channels!$A$5:$A$18,0)),"No"))</f>
        <v>0</v>
      </c>
      <c r="AD353" s="20">
        <f>IF(B353="","",ROUND((V353+IF(AC353="Yes",IF(I353="",0,I353),0))*AA353+AB353,2))</f>
        <v>0</v>
      </c>
      <c r="AE353" s="20">
        <f>IF(B353="","",IF(K353&lt;&gt;"",K353,AD353))</f>
        <v>0</v>
      </c>
      <c r="AF353" s="20">
        <f>IF(B353="","",IF(K353="","",ROUND(K353-AD353,2)))</f>
        <v>0</v>
      </c>
      <c r="AG353" s="20">
        <f>IF(B353="","",ROUND(V353-Y353-AE353-Z353,2))</f>
        <v>0</v>
      </c>
      <c r="AH353" s="33">
        <f>IF(B353="","",IF(OR(V353="",V353=0),"",AG353/V353))</f>
        <v>0</v>
      </c>
      <c r="AI353" s="33">
        <f>IF(C353="","",IFERROR(INDEX(Products!$AW$5:$AW$304,MATCH(C353,Products!$A$5:$A$304,0)),""))</f>
        <v>0</v>
      </c>
      <c r="AJ353" s="33">
        <f>IF(B353="","",IF(OR(AH353="",AI353=""),"",AH353-AI353))</f>
        <v>0</v>
      </c>
      <c r="AK353" s="41">
        <f>IF(B353="","",IFERROR(ROUND(IF(D353="",0,D353)*INDEX(Products!$X$5:$X$304,MATCH(C353,Products!$A$5:$A$304,0))/60,2),""))</f>
        <v>0</v>
      </c>
      <c r="AL353" s="20">
        <f>IF(B353="","",IF(OR(AK353="",AK353=0),"",ROUND(AG353/AK353,2)))</f>
        <v>0</v>
      </c>
      <c r="AM353" s="43">
        <f>IF(B353="","",IF(C353="","Add - which product?",IF(AG353&lt;0,"Loss - this order cost you money",IF(M353="Refunded","Refunded - check why",IF(AND(AF353&lt;&gt;"",AF353&gt;0.25),"Check - fees higher than your settings",IF(Z353&gt;1,"Check - postage is eating the margin",IF(AND(AH353&lt;&gt;"",AH353&lt;MarginWarning),"Low margin on this order","OK")))))) )</f>
        <v>0</v>
      </c>
    </row>
    <row r="354" spans="1:39">
      <c r="A354" s="38">
        <f>IF(B354="","",SalePrefix&amp;TEXT(ROW()-4,"0000"))</f>
        <v>0</v>
      </c>
      <c r="Q354" s="13">
        <f>IF(C354="","",IFERROR(INDEX(Products!$B$5:$B$304,MATCH(C354,Products!$A$5:$A$304,0)),"Bundle or deleted"))</f>
        <v>0</v>
      </c>
      <c r="R354" s="13">
        <f>IF(B354="","",TEXT(B354,"yyyy-mm"))</f>
        <v>0</v>
      </c>
      <c r="S354" s="20">
        <f>IF(C354="","",IFERROR(INDEX(Products!$AR$5:$AR$304,MATCH(C354,Products!$A$5:$A$304,0)),""))</f>
        <v>0</v>
      </c>
      <c r="T354" s="20">
        <f>IF(B354="","",IF(F354&lt;&gt;"",F354,IF(S354="",0,S354)))</f>
        <v>0</v>
      </c>
      <c r="U354" s="20">
        <f>IF(B354="","",ROUND(IF(D354="",0,D354)*T354,2))</f>
        <v>0</v>
      </c>
      <c r="V354" s="20">
        <f>IF(B354="","",ROUND(U354-IF(G354="",0,G354)-IF(L354="",0,L354),2))</f>
        <v>0</v>
      </c>
      <c r="W354" s="20">
        <f>IF(C354="","",IFERROR(INDEX(Products!$AT$5:$AT$304,MATCH(C354,Products!$A$5:$A$304,0)),""))</f>
        <v>0</v>
      </c>
      <c r="X354" s="20">
        <f>IF(C354="","",IFERROR(INDEX(Products!$AG$5:$AG$304,MATCH(C354,Products!$A$5:$A$304,0)),""))</f>
        <v>0</v>
      </c>
      <c r="Y354" s="20">
        <f>IF(B354="","",ROUND(IF(D354="",0,D354)*MAX(0,IF(W354="",0,W354)-IF(X354="",0,X354)),2))</f>
        <v>0</v>
      </c>
      <c r="Z354" s="20">
        <f>IF(B354="","",ROUND(MAX(0,IF(J354="",0,J354)-IF(I354="",0,I354)),2))</f>
        <v>0</v>
      </c>
      <c r="AA354" s="33">
        <f>IF(B354="","",IFERROR(INDEX(Channels!$S$5:$S$18,MATCH(IF(E354="",DefaultChannel,E354),Channels!$A$5:$A$18,0)),0))</f>
        <v>0</v>
      </c>
      <c r="AB354" s="20">
        <f>IF(B354="","",IFERROR(INDEX(Channels!$T$5:$T$18,MATCH(IF(E354="",DefaultChannel,E354),Channels!$A$5:$A$18,0)),0))</f>
        <v>0</v>
      </c>
      <c r="AC354" s="42">
        <f>IF(B354="","",IFERROR(INDEX(Channels!$O$5:$O$18,MATCH(IF(E354="",DefaultChannel,E354),Channels!$A$5:$A$18,0)),"No"))</f>
        <v>0</v>
      </c>
      <c r="AD354" s="20">
        <f>IF(B354="","",ROUND((V354+IF(AC354="Yes",IF(I354="",0,I354),0))*AA354+AB354,2))</f>
        <v>0</v>
      </c>
      <c r="AE354" s="20">
        <f>IF(B354="","",IF(K354&lt;&gt;"",K354,AD354))</f>
        <v>0</v>
      </c>
      <c r="AF354" s="20">
        <f>IF(B354="","",IF(K354="","",ROUND(K354-AD354,2)))</f>
        <v>0</v>
      </c>
      <c r="AG354" s="20">
        <f>IF(B354="","",ROUND(V354-Y354-AE354-Z354,2))</f>
        <v>0</v>
      </c>
      <c r="AH354" s="33">
        <f>IF(B354="","",IF(OR(V354="",V354=0),"",AG354/V354))</f>
        <v>0</v>
      </c>
      <c r="AI354" s="33">
        <f>IF(C354="","",IFERROR(INDEX(Products!$AW$5:$AW$304,MATCH(C354,Products!$A$5:$A$304,0)),""))</f>
        <v>0</v>
      </c>
      <c r="AJ354" s="33">
        <f>IF(B354="","",IF(OR(AH354="",AI354=""),"",AH354-AI354))</f>
        <v>0</v>
      </c>
      <c r="AK354" s="41">
        <f>IF(B354="","",IFERROR(ROUND(IF(D354="",0,D354)*INDEX(Products!$X$5:$X$304,MATCH(C354,Products!$A$5:$A$304,0))/60,2),""))</f>
        <v>0</v>
      </c>
      <c r="AL354" s="20">
        <f>IF(B354="","",IF(OR(AK354="",AK354=0),"",ROUND(AG354/AK354,2)))</f>
        <v>0</v>
      </c>
      <c r="AM354" s="43">
        <f>IF(B354="","",IF(C354="","Add - which product?",IF(AG354&lt;0,"Loss - this order cost you money",IF(M354="Refunded","Refunded - check why",IF(AND(AF354&lt;&gt;"",AF354&gt;0.25),"Check - fees higher than your settings",IF(Z354&gt;1,"Check - postage is eating the margin",IF(AND(AH354&lt;&gt;"",AH354&lt;MarginWarning),"Low margin on this order","OK")))))) )</f>
        <v>0</v>
      </c>
    </row>
    <row r="355" spans="1:39">
      <c r="A355" s="38">
        <f>IF(B355="","",SalePrefix&amp;TEXT(ROW()-4,"0000"))</f>
        <v>0</v>
      </c>
      <c r="Q355" s="13">
        <f>IF(C355="","",IFERROR(INDEX(Products!$B$5:$B$304,MATCH(C355,Products!$A$5:$A$304,0)),"Bundle or deleted"))</f>
        <v>0</v>
      </c>
      <c r="R355" s="13">
        <f>IF(B355="","",TEXT(B355,"yyyy-mm"))</f>
        <v>0</v>
      </c>
      <c r="S355" s="20">
        <f>IF(C355="","",IFERROR(INDEX(Products!$AR$5:$AR$304,MATCH(C355,Products!$A$5:$A$304,0)),""))</f>
        <v>0</v>
      </c>
      <c r="T355" s="20">
        <f>IF(B355="","",IF(F355&lt;&gt;"",F355,IF(S355="",0,S355)))</f>
        <v>0</v>
      </c>
      <c r="U355" s="20">
        <f>IF(B355="","",ROUND(IF(D355="",0,D355)*T355,2))</f>
        <v>0</v>
      </c>
      <c r="V355" s="20">
        <f>IF(B355="","",ROUND(U355-IF(G355="",0,G355)-IF(L355="",0,L355),2))</f>
        <v>0</v>
      </c>
      <c r="W355" s="20">
        <f>IF(C355="","",IFERROR(INDEX(Products!$AT$5:$AT$304,MATCH(C355,Products!$A$5:$A$304,0)),""))</f>
        <v>0</v>
      </c>
      <c r="X355" s="20">
        <f>IF(C355="","",IFERROR(INDEX(Products!$AG$5:$AG$304,MATCH(C355,Products!$A$5:$A$304,0)),""))</f>
        <v>0</v>
      </c>
      <c r="Y355" s="20">
        <f>IF(B355="","",ROUND(IF(D355="",0,D355)*MAX(0,IF(W355="",0,W355)-IF(X355="",0,X355)),2))</f>
        <v>0</v>
      </c>
      <c r="Z355" s="20">
        <f>IF(B355="","",ROUND(MAX(0,IF(J355="",0,J355)-IF(I355="",0,I355)),2))</f>
        <v>0</v>
      </c>
      <c r="AA355" s="33">
        <f>IF(B355="","",IFERROR(INDEX(Channels!$S$5:$S$18,MATCH(IF(E355="",DefaultChannel,E355),Channels!$A$5:$A$18,0)),0))</f>
        <v>0</v>
      </c>
      <c r="AB355" s="20">
        <f>IF(B355="","",IFERROR(INDEX(Channels!$T$5:$T$18,MATCH(IF(E355="",DefaultChannel,E355),Channels!$A$5:$A$18,0)),0))</f>
        <v>0</v>
      </c>
      <c r="AC355" s="42">
        <f>IF(B355="","",IFERROR(INDEX(Channels!$O$5:$O$18,MATCH(IF(E355="",DefaultChannel,E355),Channels!$A$5:$A$18,0)),"No"))</f>
        <v>0</v>
      </c>
      <c r="AD355" s="20">
        <f>IF(B355="","",ROUND((V355+IF(AC355="Yes",IF(I355="",0,I355),0))*AA355+AB355,2))</f>
        <v>0</v>
      </c>
      <c r="AE355" s="20">
        <f>IF(B355="","",IF(K355&lt;&gt;"",K355,AD355))</f>
        <v>0</v>
      </c>
      <c r="AF355" s="20">
        <f>IF(B355="","",IF(K355="","",ROUND(K355-AD355,2)))</f>
        <v>0</v>
      </c>
      <c r="AG355" s="20">
        <f>IF(B355="","",ROUND(V355-Y355-AE355-Z355,2))</f>
        <v>0</v>
      </c>
      <c r="AH355" s="33">
        <f>IF(B355="","",IF(OR(V355="",V355=0),"",AG355/V355))</f>
        <v>0</v>
      </c>
      <c r="AI355" s="33">
        <f>IF(C355="","",IFERROR(INDEX(Products!$AW$5:$AW$304,MATCH(C355,Products!$A$5:$A$304,0)),""))</f>
        <v>0</v>
      </c>
      <c r="AJ355" s="33">
        <f>IF(B355="","",IF(OR(AH355="",AI355=""),"",AH355-AI355))</f>
        <v>0</v>
      </c>
      <c r="AK355" s="41">
        <f>IF(B355="","",IFERROR(ROUND(IF(D355="",0,D355)*INDEX(Products!$X$5:$X$304,MATCH(C355,Products!$A$5:$A$304,0))/60,2),""))</f>
        <v>0</v>
      </c>
      <c r="AL355" s="20">
        <f>IF(B355="","",IF(OR(AK355="",AK355=0),"",ROUND(AG355/AK355,2)))</f>
        <v>0</v>
      </c>
      <c r="AM355" s="43">
        <f>IF(B355="","",IF(C355="","Add - which product?",IF(AG355&lt;0,"Loss - this order cost you money",IF(M355="Refunded","Refunded - check why",IF(AND(AF355&lt;&gt;"",AF355&gt;0.25),"Check - fees higher than your settings",IF(Z355&gt;1,"Check - postage is eating the margin",IF(AND(AH355&lt;&gt;"",AH355&lt;MarginWarning),"Low margin on this order","OK")))))) )</f>
        <v>0</v>
      </c>
    </row>
    <row r="356" spans="1:39">
      <c r="A356" s="38">
        <f>IF(B356="","",SalePrefix&amp;TEXT(ROW()-4,"0000"))</f>
        <v>0</v>
      </c>
      <c r="Q356" s="13">
        <f>IF(C356="","",IFERROR(INDEX(Products!$B$5:$B$304,MATCH(C356,Products!$A$5:$A$304,0)),"Bundle or deleted"))</f>
        <v>0</v>
      </c>
      <c r="R356" s="13">
        <f>IF(B356="","",TEXT(B356,"yyyy-mm"))</f>
        <v>0</v>
      </c>
      <c r="S356" s="20">
        <f>IF(C356="","",IFERROR(INDEX(Products!$AR$5:$AR$304,MATCH(C356,Products!$A$5:$A$304,0)),""))</f>
        <v>0</v>
      </c>
      <c r="T356" s="20">
        <f>IF(B356="","",IF(F356&lt;&gt;"",F356,IF(S356="",0,S356)))</f>
        <v>0</v>
      </c>
      <c r="U356" s="20">
        <f>IF(B356="","",ROUND(IF(D356="",0,D356)*T356,2))</f>
        <v>0</v>
      </c>
      <c r="V356" s="20">
        <f>IF(B356="","",ROUND(U356-IF(G356="",0,G356)-IF(L356="",0,L356),2))</f>
        <v>0</v>
      </c>
      <c r="W356" s="20">
        <f>IF(C356="","",IFERROR(INDEX(Products!$AT$5:$AT$304,MATCH(C356,Products!$A$5:$A$304,0)),""))</f>
        <v>0</v>
      </c>
      <c r="X356" s="20">
        <f>IF(C356="","",IFERROR(INDEX(Products!$AG$5:$AG$304,MATCH(C356,Products!$A$5:$A$304,0)),""))</f>
        <v>0</v>
      </c>
      <c r="Y356" s="20">
        <f>IF(B356="","",ROUND(IF(D356="",0,D356)*MAX(0,IF(W356="",0,W356)-IF(X356="",0,X356)),2))</f>
        <v>0</v>
      </c>
      <c r="Z356" s="20">
        <f>IF(B356="","",ROUND(MAX(0,IF(J356="",0,J356)-IF(I356="",0,I356)),2))</f>
        <v>0</v>
      </c>
      <c r="AA356" s="33">
        <f>IF(B356="","",IFERROR(INDEX(Channels!$S$5:$S$18,MATCH(IF(E356="",DefaultChannel,E356),Channels!$A$5:$A$18,0)),0))</f>
        <v>0</v>
      </c>
      <c r="AB356" s="20">
        <f>IF(B356="","",IFERROR(INDEX(Channels!$T$5:$T$18,MATCH(IF(E356="",DefaultChannel,E356),Channels!$A$5:$A$18,0)),0))</f>
        <v>0</v>
      </c>
      <c r="AC356" s="42">
        <f>IF(B356="","",IFERROR(INDEX(Channels!$O$5:$O$18,MATCH(IF(E356="",DefaultChannel,E356),Channels!$A$5:$A$18,0)),"No"))</f>
        <v>0</v>
      </c>
      <c r="AD356" s="20">
        <f>IF(B356="","",ROUND((V356+IF(AC356="Yes",IF(I356="",0,I356),0))*AA356+AB356,2))</f>
        <v>0</v>
      </c>
      <c r="AE356" s="20">
        <f>IF(B356="","",IF(K356&lt;&gt;"",K356,AD356))</f>
        <v>0</v>
      </c>
      <c r="AF356" s="20">
        <f>IF(B356="","",IF(K356="","",ROUND(K356-AD356,2)))</f>
        <v>0</v>
      </c>
      <c r="AG356" s="20">
        <f>IF(B356="","",ROUND(V356-Y356-AE356-Z356,2))</f>
        <v>0</v>
      </c>
      <c r="AH356" s="33">
        <f>IF(B356="","",IF(OR(V356="",V356=0),"",AG356/V356))</f>
        <v>0</v>
      </c>
      <c r="AI356" s="33">
        <f>IF(C356="","",IFERROR(INDEX(Products!$AW$5:$AW$304,MATCH(C356,Products!$A$5:$A$304,0)),""))</f>
        <v>0</v>
      </c>
      <c r="AJ356" s="33">
        <f>IF(B356="","",IF(OR(AH356="",AI356=""),"",AH356-AI356))</f>
        <v>0</v>
      </c>
      <c r="AK356" s="41">
        <f>IF(B356="","",IFERROR(ROUND(IF(D356="",0,D356)*INDEX(Products!$X$5:$X$304,MATCH(C356,Products!$A$5:$A$304,0))/60,2),""))</f>
        <v>0</v>
      </c>
      <c r="AL356" s="20">
        <f>IF(B356="","",IF(OR(AK356="",AK356=0),"",ROUND(AG356/AK356,2)))</f>
        <v>0</v>
      </c>
      <c r="AM356" s="43">
        <f>IF(B356="","",IF(C356="","Add - which product?",IF(AG356&lt;0,"Loss - this order cost you money",IF(M356="Refunded","Refunded - check why",IF(AND(AF356&lt;&gt;"",AF356&gt;0.25),"Check - fees higher than your settings",IF(Z356&gt;1,"Check - postage is eating the margin",IF(AND(AH356&lt;&gt;"",AH356&lt;MarginWarning),"Low margin on this order","OK")))))) )</f>
        <v>0</v>
      </c>
    </row>
    <row r="357" spans="1:39">
      <c r="A357" s="38">
        <f>IF(B357="","",SalePrefix&amp;TEXT(ROW()-4,"0000"))</f>
        <v>0</v>
      </c>
      <c r="Q357" s="13">
        <f>IF(C357="","",IFERROR(INDEX(Products!$B$5:$B$304,MATCH(C357,Products!$A$5:$A$304,0)),"Bundle or deleted"))</f>
        <v>0</v>
      </c>
      <c r="R357" s="13">
        <f>IF(B357="","",TEXT(B357,"yyyy-mm"))</f>
        <v>0</v>
      </c>
      <c r="S357" s="20">
        <f>IF(C357="","",IFERROR(INDEX(Products!$AR$5:$AR$304,MATCH(C357,Products!$A$5:$A$304,0)),""))</f>
        <v>0</v>
      </c>
      <c r="T357" s="20">
        <f>IF(B357="","",IF(F357&lt;&gt;"",F357,IF(S357="",0,S357)))</f>
        <v>0</v>
      </c>
      <c r="U357" s="20">
        <f>IF(B357="","",ROUND(IF(D357="",0,D357)*T357,2))</f>
        <v>0</v>
      </c>
      <c r="V357" s="20">
        <f>IF(B357="","",ROUND(U357-IF(G357="",0,G357)-IF(L357="",0,L357),2))</f>
        <v>0</v>
      </c>
      <c r="W357" s="20">
        <f>IF(C357="","",IFERROR(INDEX(Products!$AT$5:$AT$304,MATCH(C357,Products!$A$5:$A$304,0)),""))</f>
        <v>0</v>
      </c>
      <c r="X357" s="20">
        <f>IF(C357="","",IFERROR(INDEX(Products!$AG$5:$AG$304,MATCH(C357,Products!$A$5:$A$304,0)),""))</f>
        <v>0</v>
      </c>
      <c r="Y357" s="20">
        <f>IF(B357="","",ROUND(IF(D357="",0,D357)*MAX(0,IF(W357="",0,W357)-IF(X357="",0,X357)),2))</f>
        <v>0</v>
      </c>
      <c r="Z357" s="20">
        <f>IF(B357="","",ROUND(MAX(0,IF(J357="",0,J357)-IF(I357="",0,I357)),2))</f>
        <v>0</v>
      </c>
      <c r="AA357" s="33">
        <f>IF(B357="","",IFERROR(INDEX(Channels!$S$5:$S$18,MATCH(IF(E357="",DefaultChannel,E357),Channels!$A$5:$A$18,0)),0))</f>
        <v>0</v>
      </c>
      <c r="AB357" s="20">
        <f>IF(B357="","",IFERROR(INDEX(Channels!$T$5:$T$18,MATCH(IF(E357="",DefaultChannel,E357),Channels!$A$5:$A$18,0)),0))</f>
        <v>0</v>
      </c>
      <c r="AC357" s="42">
        <f>IF(B357="","",IFERROR(INDEX(Channels!$O$5:$O$18,MATCH(IF(E357="",DefaultChannel,E357),Channels!$A$5:$A$18,0)),"No"))</f>
        <v>0</v>
      </c>
      <c r="AD357" s="20">
        <f>IF(B357="","",ROUND((V357+IF(AC357="Yes",IF(I357="",0,I357),0))*AA357+AB357,2))</f>
        <v>0</v>
      </c>
      <c r="AE357" s="20">
        <f>IF(B357="","",IF(K357&lt;&gt;"",K357,AD357))</f>
        <v>0</v>
      </c>
      <c r="AF357" s="20">
        <f>IF(B357="","",IF(K357="","",ROUND(K357-AD357,2)))</f>
        <v>0</v>
      </c>
      <c r="AG357" s="20">
        <f>IF(B357="","",ROUND(V357-Y357-AE357-Z357,2))</f>
        <v>0</v>
      </c>
      <c r="AH357" s="33">
        <f>IF(B357="","",IF(OR(V357="",V357=0),"",AG357/V357))</f>
        <v>0</v>
      </c>
      <c r="AI357" s="33">
        <f>IF(C357="","",IFERROR(INDEX(Products!$AW$5:$AW$304,MATCH(C357,Products!$A$5:$A$304,0)),""))</f>
        <v>0</v>
      </c>
      <c r="AJ357" s="33">
        <f>IF(B357="","",IF(OR(AH357="",AI357=""),"",AH357-AI357))</f>
        <v>0</v>
      </c>
      <c r="AK357" s="41">
        <f>IF(B357="","",IFERROR(ROUND(IF(D357="",0,D357)*INDEX(Products!$X$5:$X$304,MATCH(C357,Products!$A$5:$A$304,0))/60,2),""))</f>
        <v>0</v>
      </c>
      <c r="AL357" s="20">
        <f>IF(B357="","",IF(OR(AK357="",AK357=0),"",ROUND(AG357/AK357,2)))</f>
        <v>0</v>
      </c>
      <c r="AM357" s="43">
        <f>IF(B357="","",IF(C357="","Add - which product?",IF(AG357&lt;0,"Loss - this order cost you money",IF(M357="Refunded","Refunded - check why",IF(AND(AF357&lt;&gt;"",AF357&gt;0.25),"Check - fees higher than your settings",IF(Z357&gt;1,"Check - postage is eating the margin",IF(AND(AH357&lt;&gt;"",AH357&lt;MarginWarning),"Low margin on this order","OK")))))) )</f>
        <v>0</v>
      </c>
    </row>
    <row r="358" spans="1:39">
      <c r="A358" s="38">
        <f>IF(B358="","",SalePrefix&amp;TEXT(ROW()-4,"0000"))</f>
        <v>0</v>
      </c>
      <c r="Q358" s="13">
        <f>IF(C358="","",IFERROR(INDEX(Products!$B$5:$B$304,MATCH(C358,Products!$A$5:$A$304,0)),"Bundle or deleted"))</f>
        <v>0</v>
      </c>
      <c r="R358" s="13">
        <f>IF(B358="","",TEXT(B358,"yyyy-mm"))</f>
        <v>0</v>
      </c>
      <c r="S358" s="20">
        <f>IF(C358="","",IFERROR(INDEX(Products!$AR$5:$AR$304,MATCH(C358,Products!$A$5:$A$304,0)),""))</f>
        <v>0</v>
      </c>
      <c r="T358" s="20">
        <f>IF(B358="","",IF(F358&lt;&gt;"",F358,IF(S358="",0,S358)))</f>
        <v>0</v>
      </c>
      <c r="U358" s="20">
        <f>IF(B358="","",ROUND(IF(D358="",0,D358)*T358,2))</f>
        <v>0</v>
      </c>
      <c r="V358" s="20">
        <f>IF(B358="","",ROUND(U358-IF(G358="",0,G358)-IF(L358="",0,L358),2))</f>
        <v>0</v>
      </c>
      <c r="W358" s="20">
        <f>IF(C358="","",IFERROR(INDEX(Products!$AT$5:$AT$304,MATCH(C358,Products!$A$5:$A$304,0)),""))</f>
        <v>0</v>
      </c>
      <c r="X358" s="20">
        <f>IF(C358="","",IFERROR(INDEX(Products!$AG$5:$AG$304,MATCH(C358,Products!$A$5:$A$304,0)),""))</f>
        <v>0</v>
      </c>
      <c r="Y358" s="20">
        <f>IF(B358="","",ROUND(IF(D358="",0,D358)*MAX(0,IF(W358="",0,W358)-IF(X358="",0,X358)),2))</f>
        <v>0</v>
      </c>
      <c r="Z358" s="20">
        <f>IF(B358="","",ROUND(MAX(0,IF(J358="",0,J358)-IF(I358="",0,I358)),2))</f>
        <v>0</v>
      </c>
      <c r="AA358" s="33">
        <f>IF(B358="","",IFERROR(INDEX(Channels!$S$5:$S$18,MATCH(IF(E358="",DefaultChannel,E358),Channels!$A$5:$A$18,0)),0))</f>
        <v>0</v>
      </c>
      <c r="AB358" s="20">
        <f>IF(B358="","",IFERROR(INDEX(Channels!$T$5:$T$18,MATCH(IF(E358="",DefaultChannel,E358),Channels!$A$5:$A$18,0)),0))</f>
        <v>0</v>
      </c>
      <c r="AC358" s="42">
        <f>IF(B358="","",IFERROR(INDEX(Channels!$O$5:$O$18,MATCH(IF(E358="",DefaultChannel,E358),Channels!$A$5:$A$18,0)),"No"))</f>
        <v>0</v>
      </c>
      <c r="AD358" s="20">
        <f>IF(B358="","",ROUND((V358+IF(AC358="Yes",IF(I358="",0,I358),0))*AA358+AB358,2))</f>
        <v>0</v>
      </c>
      <c r="AE358" s="20">
        <f>IF(B358="","",IF(K358&lt;&gt;"",K358,AD358))</f>
        <v>0</v>
      </c>
      <c r="AF358" s="20">
        <f>IF(B358="","",IF(K358="","",ROUND(K358-AD358,2)))</f>
        <v>0</v>
      </c>
      <c r="AG358" s="20">
        <f>IF(B358="","",ROUND(V358-Y358-AE358-Z358,2))</f>
        <v>0</v>
      </c>
      <c r="AH358" s="33">
        <f>IF(B358="","",IF(OR(V358="",V358=0),"",AG358/V358))</f>
        <v>0</v>
      </c>
      <c r="AI358" s="33">
        <f>IF(C358="","",IFERROR(INDEX(Products!$AW$5:$AW$304,MATCH(C358,Products!$A$5:$A$304,0)),""))</f>
        <v>0</v>
      </c>
      <c r="AJ358" s="33">
        <f>IF(B358="","",IF(OR(AH358="",AI358=""),"",AH358-AI358))</f>
        <v>0</v>
      </c>
      <c r="AK358" s="41">
        <f>IF(B358="","",IFERROR(ROUND(IF(D358="",0,D358)*INDEX(Products!$X$5:$X$304,MATCH(C358,Products!$A$5:$A$304,0))/60,2),""))</f>
        <v>0</v>
      </c>
      <c r="AL358" s="20">
        <f>IF(B358="","",IF(OR(AK358="",AK358=0),"",ROUND(AG358/AK358,2)))</f>
        <v>0</v>
      </c>
      <c r="AM358" s="43">
        <f>IF(B358="","",IF(C358="","Add - which product?",IF(AG358&lt;0,"Loss - this order cost you money",IF(M358="Refunded","Refunded - check why",IF(AND(AF358&lt;&gt;"",AF358&gt;0.25),"Check - fees higher than your settings",IF(Z358&gt;1,"Check - postage is eating the margin",IF(AND(AH358&lt;&gt;"",AH358&lt;MarginWarning),"Low margin on this order","OK")))))) )</f>
        <v>0</v>
      </c>
    </row>
    <row r="359" spans="1:39">
      <c r="A359" s="38">
        <f>IF(B359="","",SalePrefix&amp;TEXT(ROW()-4,"0000"))</f>
        <v>0</v>
      </c>
      <c r="Q359" s="13">
        <f>IF(C359="","",IFERROR(INDEX(Products!$B$5:$B$304,MATCH(C359,Products!$A$5:$A$304,0)),"Bundle or deleted"))</f>
        <v>0</v>
      </c>
      <c r="R359" s="13">
        <f>IF(B359="","",TEXT(B359,"yyyy-mm"))</f>
        <v>0</v>
      </c>
      <c r="S359" s="20">
        <f>IF(C359="","",IFERROR(INDEX(Products!$AR$5:$AR$304,MATCH(C359,Products!$A$5:$A$304,0)),""))</f>
        <v>0</v>
      </c>
      <c r="T359" s="20">
        <f>IF(B359="","",IF(F359&lt;&gt;"",F359,IF(S359="",0,S359)))</f>
        <v>0</v>
      </c>
      <c r="U359" s="20">
        <f>IF(B359="","",ROUND(IF(D359="",0,D359)*T359,2))</f>
        <v>0</v>
      </c>
      <c r="V359" s="20">
        <f>IF(B359="","",ROUND(U359-IF(G359="",0,G359)-IF(L359="",0,L359),2))</f>
        <v>0</v>
      </c>
      <c r="W359" s="20">
        <f>IF(C359="","",IFERROR(INDEX(Products!$AT$5:$AT$304,MATCH(C359,Products!$A$5:$A$304,0)),""))</f>
        <v>0</v>
      </c>
      <c r="X359" s="20">
        <f>IF(C359="","",IFERROR(INDEX(Products!$AG$5:$AG$304,MATCH(C359,Products!$A$5:$A$304,0)),""))</f>
        <v>0</v>
      </c>
      <c r="Y359" s="20">
        <f>IF(B359="","",ROUND(IF(D359="",0,D359)*MAX(0,IF(W359="",0,W359)-IF(X359="",0,X359)),2))</f>
        <v>0</v>
      </c>
      <c r="Z359" s="20">
        <f>IF(B359="","",ROUND(MAX(0,IF(J359="",0,J359)-IF(I359="",0,I359)),2))</f>
        <v>0</v>
      </c>
      <c r="AA359" s="33">
        <f>IF(B359="","",IFERROR(INDEX(Channels!$S$5:$S$18,MATCH(IF(E359="",DefaultChannel,E359),Channels!$A$5:$A$18,0)),0))</f>
        <v>0</v>
      </c>
      <c r="AB359" s="20">
        <f>IF(B359="","",IFERROR(INDEX(Channels!$T$5:$T$18,MATCH(IF(E359="",DefaultChannel,E359),Channels!$A$5:$A$18,0)),0))</f>
        <v>0</v>
      </c>
      <c r="AC359" s="42">
        <f>IF(B359="","",IFERROR(INDEX(Channels!$O$5:$O$18,MATCH(IF(E359="",DefaultChannel,E359),Channels!$A$5:$A$18,0)),"No"))</f>
        <v>0</v>
      </c>
      <c r="AD359" s="20">
        <f>IF(B359="","",ROUND((V359+IF(AC359="Yes",IF(I359="",0,I359),0))*AA359+AB359,2))</f>
        <v>0</v>
      </c>
      <c r="AE359" s="20">
        <f>IF(B359="","",IF(K359&lt;&gt;"",K359,AD359))</f>
        <v>0</v>
      </c>
      <c r="AF359" s="20">
        <f>IF(B359="","",IF(K359="","",ROUND(K359-AD359,2)))</f>
        <v>0</v>
      </c>
      <c r="AG359" s="20">
        <f>IF(B359="","",ROUND(V359-Y359-AE359-Z359,2))</f>
        <v>0</v>
      </c>
      <c r="AH359" s="33">
        <f>IF(B359="","",IF(OR(V359="",V359=0),"",AG359/V359))</f>
        <v>0</v>
      </c>
      <c r="AI359" s="33">
        <f>IF(C359="","",IFERROR(INDEX(Products!$AW$5:$AW$304,MATCH(C359,Products!$A$5:$A$304,0)),""))</f>
        <v>0</v>
      </c>
      <c r="AJ359" s="33">
        <f>IF(B359="","",IF(OR(AH359="",AI359=""),"",AH359-AI359))</f>
        <v>0</v>
      </c>
      <c r="AK359" s="41">
        <f>IF(B359="","",IFERROR(ROUND(IF(D359="",0,D359)*INDEX(Products!$X$5:$X$304,MATCH(C359,Products!$A$5:$A$304,0))/60,2),""))</f>
        <v>0</v>
      </c>
      <c r="AL359" s="20">
        <f>IF(B359="","",IF(OR(AK359="",AK359=0),"",ROUND(AG359/AK359,2)))</f>
        <v>0</v>
      </c>
      <c r="AM359" s="43">
        <f>IF(B359="","",IF(C359="","Add - which product?",IF(AG359&lt;0,"Loss - this order cost you money",IF(M359="Refunded","Refunded - check why",IF(AND(AF359&lt;&gt;"",AF359&gt;0.25),"Check - fees higher than your settings",IF(Z359&gt;1,"Check - postage is eating the margin",IF(AND(AH359&lt;&gt;"",AH359&lt;MarginWarning),"Low margin on this order","OK")))))) )</f>
        <v>0</v>
      </c>
    </row>
    <row r="360" spans="1:39">
      <c r="A360" s="38">
        <f>IF(B360="","",SalePrefix&amp;TEXT(ROW()-4,"0000"))</f>
        <v>0</v>
      </c>
      <c r="Q360" s="13">
        <f>IF(C360="","",IFERROR(INDEX(Products!$B$5:$B$304,MATCH(C360,Products!$A$5:$A$304,0)),"Bundle or deleted"))</f>
        <v>0</v>
      </c>
      <c r="R360" s="13">
        <f>IF(B360="","",TEXT(B360,"yyyy-mm"))</f>
        <v>0</v>
      </c>
      <c r="S360" s="20">
        <f>IF(C360="","",IFERROR(INDEX(Products!$AR$5:$AR$304,MATCH(C360,Products!$A$5:$A$304,0)),""))</f>
        <v>0</v>
      </c>
      <c r="T360" s="20">
        <f>IF(B360="","",IF(F360&lt;&gt;"",F360,IF(S360="",0,S360)))</f>
        <v>0</v>
      </c>
      <c r="U360" s="20">
        <f>IF(B360="","",ROUND(IF(D360="",0,D360)*T360,2))</f>
        <v>0</v>
      </c>
      <c r="V360" s="20">
        <f>IF(B360="","",ROUND(U360-IF(G360="",0,G360)-IF(L360="",0,L360),2))</f>
        <v>0</v>
      </c>
      <c r="W360" s="20">
        <f>IF(C360="","",IFERROR(INDEX(Products!$AT$5:$AT$304,MATCH(C360,Products!$A$5:$A$304,0)),""))</f>
        <v>0</v>
      </c>
      <c r="X360" s="20">
        <f>IF(C360="","",IFERROR(INDEX(Products!$AG$5:$AG$304,MATCH(C360,Products!$A$5:$A$304,0)),""))</f>
        <v>0</v>
      </c>
      <c r="Y360" s="20">
        <f>IF(B360="","",ROUND(IF(D360="",0,D360)*MAX(0,IF(W360="",0,W360)-IF(X360="",0,X360)),2))</f>
        <v>0</v>
      </c>
      <c r="Z360" s="20">
        <f>IF(B360="","",ROUND(MAX(0,IF(J360="",0,J360)-IF(I360="",0,I360)),2))</f>
        <v>0</v>
      </c>
      <c r="AA360" s="33">
        <f>IF(B360="","",IFERROR(INDEX(Channels!$S$5:$S$18,MATCH(IF(E360="",DefaultChannel,E360),Channels!$A$5:$A$18,0)),0))</f>
        <v>0</v>
      </c>
      <c r="AB360" s="20">
        <f>IF(B360="","",IFERROR(INDEX(Channels!$T$5:$T$18,MATCH(IF(E360="",DefaultChannel,E360),Channels!$A$5:$A$18,0)),0))</f>
        <v>0</v>
      </c>
      <c r="AC360" s="42">
        <f>IF(B360="","",IFERROR(INDEX(Channels!$O$5:$O$18,MATCH(IF(E360="",DefaultChannel,E360),Channels!$A$5:$A$18,0)),"No"))</f>
        <v>0</v>
      </c>
      <c r="AD360" s="20">
        <f>IF(B360="","",ROUND((V360+IF(AC360="Yes",IF(I360="",0,I360),0))*AA360+AB360,2))</f>
        <v>0</v>
      </c>
      <c r="AE360" s="20">
        <f>IF(B360="","",IF(K360&lt;&gt;"",K360,AD360))</f>
        <v>0</v>
      </c>
      <c r="AF360" s="20">
        <f>IF(B360="","",IF(K360="","",ROUND(K360-AD360,2)))</f>
        <v>0</v>
      </c>
      <c r="AG360" s="20">
        <f>IF(B360="","",ROUND(V360-Y360-AE360-Z360,2))</f>
        <v>0</v>
      </c>
      <c r="AH360" s="33">
        <f>IF(B360="","",IF(OR(V360="",V360=0),"",AG360/V360))</f>
        <v>0</v>
      </c>
      <c r="AI360" s="33">
        <f>IF(C360="","",IFERROR(INDEX(Products!$AW$5:$AW$304,MATCH(C360,Products!$A$5:$A$304,0)),""))</f>
        <v>0</v>
      </c>
      <c r="AJ360" s="33">
        <f>IF(B360="","",IF(OR(AH360="",AI360=""),"",AH360-AI360))</f>
        <v>0</v>
      </c>
      <c r="AK360" s="41">
        <f>IF(B360="","",IFERROR(ROUND(IF(D360="",0,D360)*INDEX(Products!$X$5:$X$304,MATCH(C360,Products!$A$5:$A$304,0))/60,2),""))</f>
        <v>0</v>
      </c>
      <c r="AL360" s="20">
        <f>IF(B360="","",IF(OR(AK360="",AK360=0),"",ROUND(AG360/AK360,2)))</f>
        <v>0</v>
      </c>
      <c r="AM360" s="43">
        <f>IF(B360="","",IF(C360="","Add - which product?",IF(AG360&lt;0,"Loss - this order cost you money",IF(M360="Refunded","Refunded - check why",IF(AND(AF360&lt;&gt;"",AF360&gt;0.25),"Check - fees higher than your settings",IF(Z360&gt;1,"Check - postage is eating the margin",IF(AND(AH360&lt;&gt;"",AH360&lt;MarginWarning),"Low margin on this order","OK")))))) )</f>
        <v>0</v>
      </c>
    </row>
    <row r="361" spans="1:39">
      <c r="A361" s="38">
        <f>IF(B361="","",SalePrefix&amp;TEXT(ROW()-4,"0000"))</f>
        <v>0</v>
      </c>
      <c r="Q361" s="13">
        <f>IF(C361="","",IFERROR(INDEX(Products!$B$5:$B$304,MATCH(C361,Products!$A$5:$A$304,0)),"Bundle or deleted"))</f>
        <v>0</v>
      </c>
      <c r="R361" s="13">
        <f>IF(B361="","",TEXT(B361,"yyyy-mm"))</f>
        <v>0</v>
      </c>
      <c r="S361" s="20">
        <f>IF(C361="","",IFERROR(INDEX(Products!$AR$5:$AR$304,MATCH(C361,Products!$A$5:$A$304,0)),""))</f>
        <v>0</v>
      </c>
      <c r="T361" s="20">
        <f>IF(B361="","",IF(F361&lt;&gt;"",F361,IF(S361="",0,S361)))</f>
        <v>0</v>
      </c>
      <c r="U361" s="20">
        <f>IF(B361="","",ROUND(IF(D361="",0,D361)*T361,2))</f>
        <v>0</v>
      </c>
      <c r="V361" s="20">
        <f>IF(B361="","",ROUND(U361-IF(G361="",0,G361)-IF(L361="",0,L361),2))</f>
        <v>0</v>
      </c>
      <c r="W361" s="20">
        <f>IF(C361="","",IFERROR(INDEX(Products!$AT$5:$AT$304,MATCH(C361,Products!$A$5:$A$304,0)),""))</f>
        <v>0</v>
      </c>
      <c r="X361" s="20">
        <f>IF(C361="","",IFERROR(INDEX(Products!$AG$5:$AG$304,MATCH(C361,Products!$A$5:$A$304,0)),""))</f>
        <v>0</v>
      </c>
      <c r="Y361" s="20">
        <f>IF(B361="","",ROUND(IF(D361="",0,D361)*MAX(0,IF(W361="",0,W361)-IF(X361="",0,X361)),2))</f>
        <v>0</v>
      </c>
      <c r="Z361" s="20">
        <f>IF(B361="","",ROUND(MAX(0,IF(J361="",0,J361)-IF(I361="",0,I361)),2))</f>
        <v>0</v>
      </c>
      <c r="AA361" s="33">
        <f>IF(B361="","",IFERROR(INDEX(Channels!$S$5:$S$18,MATCH(IF(E361="",DefaultChannel,E361),Channels!$A$5:$A$18,0)),0))</f>
        <v>0</v>
      </c>
      <c r="AB361" s="20">
        <f>IF(B361="","",IFERROR(INDEX(Channels!$T$5:$T$18,MATCH(IF(E361="",DefaultChannel,E361),Channels!$A$5:$A$18,0)),0))</f>
        <v>0</v>
      </c>
      <c r="AC361" s="42">
        <f>IF(B361="","",IFERROR(INDEX(Channels!$O$5:$O$18,MATCH(IF(E361="",DefaultChannel,E361),Channels!$A$5:$A$18,0)),"No"))</f>
        <v>0</v>
      </c>
      <c r="AD361" s="20">
        <f>IF(B361="","",ROUND((V361+IF(AC361="Yes",IF(I361="",0,I361),0))*AA361+AB361,2))</f>
        <v>0</v>
      </c>
      <c r="AE361" s="20">
        <f>IF(B361="","",IF(K361&lt;&gt;"",K361,AD361))</f>
        <v>0</v>
      </c>
      <c r="AF361" s="20">
        <f>IF(B361="","",IF(K361="","",ROUND(K361-AD361,2)))</f>
        <v>0</v>
      </c>
      <c r="AG361" s="20">
        <f>IF(B361="","",ROUND(V361-Y361-AE361-Z361,2))</f>
        <v>0</v>
      </c>
      <c r="AH361" s="33">
        <f>IF(B361="","",IF(OR(V361="",V361=0),"",AG361/V361))</f>
        <v>0</v>
      </c>
      <c r="AI361" s="33">
        <f>IF(C361="","",IFERROR(INDEX(Products!$AW$5:$AW$304,MATCH(C361,Products!$A$5:$A$304,0)),""))</f>
        <v>0</v>
      </c>
      <c r="AJ361" s="33">
        <f>IF(B361="","",IF(OR(AH361="",AI361=""),"",AH361-AI361))</f>
        <v>0</v>
      </c>
      <c r="AK361" s="41">
        <f>IF(B361="","",IFERROR(ROUND(IF(D361="",0,D361)*INDEX(Products!$X$5:$X$304,MATCH(C361,Products!$A$5:$A$304,0))/60,2),""))</f>
        <v>0</v>
      </c>
      <c r="AL361" s="20">
        <f>IF(B361="","",IF(OR(AK361="",AK361=0),"",ROUND(AG361/AK361,2)))</f>
        <v>0</v>
      </c>
      <c r="AM361" s="43">
        <f>IF(B361="","",IF(C361="","Add - which product?",IF(AG361&lt;0,"Loss - this order cost you money",IF(M361="Refunded","Refunded - check why",IF(AND(AF361&lt;&gt;"",AF361&gt;0.25),"Check - fees higher than your settings",IF(Z361&gt;1,"Check - postage is eating the margin",IF(AND(AH361&lt;&gt;"",AH361&lt;MarginWarning),"Low margin on this order","OK")))))) )</f>
        <v>0</v>
      </c>
    </row>
    <row r="362" spans="1:39">
      <c r="A362" s="38">
        <f>IF(B362="","",SalePrefix&amp;TEXT(ROW()-4,"0000"))</f>
        <v>0</v>
      </c>
      <c r="Q362" s="13">
        <f>IF(C362="","",IFERROR(INDEX(Products!$B$5:$B$304,MATCH(C362,Products!$A$5:$A$304,0)),"Bundle or deleted"))</f>
        <v>0</v>
      </c>
      <c r="R362" s="13">
        <f>IF(B362="","",TEXT(B362,"yyyy-mm"))</f>
        <v>0</v>
      </c>
      <c r="S362" s="20">
        <f>IF(C362="","",IFERROR(INDEX(Products!$AR$5:$AR$304,MATCH(C362,Products!$A$5:$A$304,0)),""))</f>
        <v>0</v>
      </c>
      <c r="T362" s="20">
        <f>IF(B362="","",IF(F362&lt;&gt;"",F362,IF(S362="",0,S362)))</f>
        <v>0</v>
      </c>
      <c r="U362" s="20">
        <f>IF(B362="","",ROUND(IF(D362="",0,D362)*T362,2))</f>
        <v>0</v>
      </c>
      <c r="V362" s="20">
        <f>IF(B362="","",ROUND(U362-IF(G362="",0,G362)-IF(L362="",0,L362),2))</f>
        <v>0</v>
      </c>
      <c r="W362" s="20">
        <f>IF(C362="","",IFERROR(INDEX(Products!$AT$5:$AT$304,MATCH(C362,Products!$A$5:$A$304,0)),""))</f>
        <v>0</v>
      </c>
      <c r="X362" s="20">
        <f>IF(C362="","",IFERROR(INDEX(Products!$AG$5:$AG$304,MATCH(C362,Products!$A$5:$A$304,0)),""))</f>
        <v>0</v>
      </c>
      <c r="Y362" s="20">
        <f>IF(B362="","",ROUND(IF(D362="",0,D362)*MAX(0,IF(W362="",0,W362)-IF(X362="",0,X362)),2))</f>
        <v>0</v>
      </c>
      <c r="Z362" s="20">
        <f>IF(B362="","",ROUND(MAX(0,IF(J362="",0,J362)-IF(I362="",0,I362)),2))</f>
        <v>0</v>
      </c>
      <c r="AA362" s="33">
        <f>IF(B362="","",IFERROR(INDEX(Channels!$S$5:$S$18,MATCH(IF(E362="",DefaultChannel,E362),Channels!$A$5:$A$18,0)),0))</f>
        <v>0</v>
      </c>
      <c r="AB362" s="20">
        <f>IF(B362="","",IFERROR(INDEX(Channels!$T$5:$T$18,MATCH(IF(E362="",DefaultChannel,E362),Channels!$A$5:$A$18,0)),0))</f>
        <v>0</v>
      </c>
      <c r="AC362" s="42">
        <f>IF(B362="","",IFERROR(INDEX(Channels!$O$5:$O$18,MATCH(IF(E362="",DefaultChannel,E362),Channels!$A$5:$A$18,0)),"No"))</f>
        <v>0</v>
      </c>
      <c r="AD362" s="20">
        <f>IF(B362="","",ROUND((V362+IF(AC362="Yes",IF(I362="",0,I362),0))*AA362+AB362,2))</f>
        <v>0</v>
      </c>
      <c r="AE362" s="20">
        <f>IF(B362="","",IF(K362&lt;&gt;"",K362,AD362))</f>
        <v>0</v>
      </c>
      <c r="AF362" s="20">
        <f>IF(B362="","",IF(K362="","",ROUND(K362-AD362,2)))</f>
        <v>0</v>
      </c>
      <c r="AG362" s="20">
        <f>IF(B362="","",ROUND(V362-Y362-AE362-Z362,2))</f>
        <v>0</v>
      </c>
      <c r="AH362" s="33">
        <f>IF(B362="","",IF(OR(V362="",V362=0),"",AG362/V362))</f>
        <v>0</v>
      </c>
      <c r="AI362" s="33">
        <f>IF(C362="","",IFERROR(INDEX(Products!$AW$5:$AW$304,MATCH(C362,Products!$A$5:$A$304,0)),""))</f>
        <v>0</v>
      </c>
      <c r="AJ362" s="33">
        <f>IF(B362="","",IF(OR(AH362="",AI362=""),"",AH362-AI362))</f>
        <v>0</v>
      </c>
      <c r="AK362" s="41">
        <f>IF(B362="","",IFERROR(ROUND(IF(D362="",0,D362)*INDEX(Products!$X$5:$X$304,MATCH(C362,Products!$A$5:$A$304,0))/60,2),""))</f>
        <v>0</v>
      </c>
      <c r="AL362" s="20">
        <f>IF(B362="","",IF(OR(AK362="",AK362=0),"",ROUND(AG362/AK362,2)))</f>
        <v>0</v>
      </c>
      <c r="AM362" s="43">
        <f>IF(B362="","",IF(C362="","Add - which product?",IF(AG362&lt;0,"Loss - this order cost you money",IF(M362="Refunded","Refunded - check why",IF(AND(AF362&lt;&gt;"",AF362&gt;0.25),"Check - fees higher than your settings",IF(Z362&gt;1,"Check - postage is eating the margin",IF(AND(AH362&lt;&gt;"",AH362&lt;MarginWarning),"Low margin on this order","OK")))))) )</f>
        <v>0</v>
      </c>
    </row>
    <row r="363" spans="1:39">
      <c r="A363" s="38">
        <f>IF(B363="","",SalePrefix&amp;TEXT(ROW()-4,"0000"))</f>
        <v>0</v>
      </c>
      <c r="Q363" s="13">
        <f>IF(C363="","",IFERROR(INDEX(Products!$B$5:$B$304,MATCH(C363,Products!$A$5:$A$304,0)),"Bundle or deleted"))</f>
        <v>0</v>
      </c>
      <c r="R363" s="13">
        <f>IF(B363="","",TEXT(B363,"yyyy-mm"))</f>
        <v>0</v>
      </c>
      <c r="S363" s="20">
        <f>IF(C363="","",IFERROR(INDEX(Products!$AR$5:$AR$304,MATCH(C363,Products!$A$5:$A$304,0)),""))</f>
        <v>0</v>
      </c>
      <c r="T363" s="20">
        <f>IF(B363="","",IF(F363&lt;&gt;"",F363,IF(S363="",0,S363)))</f>
        <v>0</v>
      </c>
      <c r="U363" s="20">
        <f>IF(B363="","",ROUND(IF(D363="",0,D363)*T363,2))</f>
        <v>0</v>
      </c>
      <c r="V363" s="20">
        <f>IF(B363="","",ROUND(U363-IF(G363="",0,G363)-IF(L363="",0,L363),2))</f>
        <v>0</v>
      </c>
      <c r="W363" s="20">
        <f>IF(C363="","",IFERROR(INDEX(Products!$AT$5:$AT$304,MATCH(C363,Products!$A$5:$A$304,0)),""))</f>
        <v>0</v>
      </c>
      <c r="X363" s="20">
        <f>IF(C363="","",IFERROR(INDEX(Products!$AG$5:$AG$304,MATCH(C363,Products!$A$5:$A$304,0)),""))</f>
        <v>0</v>
      </c>
      <c r="Y363" s="20">
        <f>IF(B363="","",ROUND(IF(D363="",0,D363)*MAX(0,IF(W363="",0,W363)-IF(X363="",0,X363)),2))</f>
        <v>0</v>
      </c>
      <c r="Z363" s="20">
        <f>IF(B363="","",ROUND(MAX(0,IF(J363="",0,J363)-IF(I363="",0,I363)),2))</f>
        <v>0</v>
      </c>
      <c r="AA363" s="33">
        <f>IF(B363="","",IFERROR(INDEX(Channels!$S$5:$S$18,MATCH(IF(E363="",DefaultChannel,E363),Channels!$A$5:$A$18,0)),0))</f>
        <v>0</v>
      </c>
      <c r="AB363" s="20">
        <f>IF(B363="","",IFERROR(INDEX(Channels!$T$5:$T$18,MATCH(IF(E363="",DefaultChannel,E363),Channels!$A$5:$A$18,0)),0))</f>
        <v>0</v>
      </c>
      <c r="AC363" s="42">
        <f>IF(B363="","",IFERROR(INDEX(Channels!$O$5:$O$18,MATCH(IF(E363="",DefaultChannel,E363),Channels!$A$5:$A$18,0)),"No"))</f>
        <v>0</v>
      </c>
      <c r="AD363" s="20">
        <f>IF(B363="","",ROUND((V363+IF(AC363="Yes",IF(I363="",0,I363),0))*AA363+AB363,2))</f>
        <v>0</v>
      </c>
      <c r="AE363" s="20">
        <f>IF(B363="","",IF(K363&lt;&gt;"",K363,AD363))</f>
        <v>0</v>
      </c>
      <c r="AF363" s="20">
        <f>IF(B363="","",IF(K363="","",ROUND(K363-AD363,2)))</f>
        <v>0</v>
      </c>
      <c r="AG363" s="20">
        <f>IF(B363="","",ROUND(V363-Y363-AE363-Z363,2))</f>
        <v>0</v>
      </c>
      <c r="AH363" s="33">
        <f>IF(B363="","",IF(OR(V363="",V363=0),"",AG363/V363))</f>
        <v>0</v>
      </c>
      <c r="AI363" s="33">
        <f>IF(C363="","",IFERROR(INDEX(Products!$AW$5:$AW$304,MATCH(C363,Products!$A$5:$A$304,0)),""))</f>
        <v>0</v>
      </c>
      <c r="AJ363" s="33">
        <f>IF(B363="","",IF(OR(AH363="",AI363=""),"",AH363-AI363))</f>
        <v>0</v>
      </c>
      <c r="AK363" s="41">
        <f>IF(B363="","",IFERROR(ROUND(IF(D363="",0,D363)*INDEX(Products!$X$5:$X$304,MATCH(C363,Products!$A$5:$A$304,0))/60,2),""))</f>
        <v>0</v>
      </c>
      <c r="AL363" s="20">
        <f>IF(B363="","",IF(OR(AK363="",AK363=0),"",ROUND(AG363/AK363,2)))</f>
        <v>0</v>
      </c>
      <c r="AM363" s="43">
        <f>IF(B363="","",IF(C363="","Add - which product?",IF(AG363&lt;0,"Loss - this order cost you money",IF(M363="Refunded","Refunded - check why",IF(AND(AF363&lt;&gt;"",AF363&gt;0.25),"Check - fees higher than your settings",IF(Z363&gt;1,"Check - postage is eating the margin",IF(AND(AH363&lt;&gt;"",AH363&lt;MarginWarning),"Low margin on this order","OK")))))) )</f>
        <v>0</v>
      </c>
    </row>
    <row r="364" spans="1:39">
      <c r="A364" s="38">
        <f>IF(B364="","",SalePrefix&amp;TEXT(ROW()-4,"0000"))</f>
        <v>0</v>
      </c>
      <c r="Q364" s="13">
        <f>IF(C364="","",IFERROR(INDEX(Products!$B$5:$B$304,MATCH(C364,Products!$A$5:$A$304,0)),"Bundle or deleted"))</f>
        <v>0</v>
      </c>
      <c r="R364" s="13">
        <f>IF(B364="","",TEXT(B364,"yyyy-mm"))</f>
        <v>0</v>
      </c>
      <c r="S364" s="20">
        <f>IF(C364="","",IFERROR(INDEX(Products!$AR$5:$AR$304,MATCH(C364,Products!$A$5:$A$304,0)),""))</f>
        <v>0</v>
      </c>
      <c r="T364" s="20">
        <f>IF(B364="","",IF(F364&lt;&gt;"",F364,IF(S364="",0,S364)))</f>
        <v>0</v>
      </c>
      <c r="U364" s="20">
        <f>IF(B364="","",ROUND(IF(D364="",0,D364)*T364,2))</f>
        <v>0</v>
      </c>
      <c r="V364" s="20">
        <f>IF(B364="","",ROUND(U364-IF(G364="",0,G364)-IF(L364="",0,L364),2))</f>
        <v>0</v>
      </c>
      <c r="W364" s="20">
        <f>IF(C364="","",IFERROR(INDEX(Products!$AT$5:$AT$304,MATCH(C364,Products!$A$5:$A$304,0)),""))</f>
        <v>0</v>
      </c>
      <c r="X364" s="20">
        <f>IF(C364="","",IFERROR(INDEX(Products!$AG$5:$AG$304,MATCH(C364,Products!$A$5:$A$304,0)),""))</f>
        <v>0</v>
      </c>
      <c r="Y364" s="20">
        <f>IF(B364="","",ROUND(IF(D364="",0,D364)*MAX(0,IF(W364="",0,W364)-IF(X364="",0,X364)),2))</f>
        <v>0</v>
      </c>
      <c r="Z364" s="20">
        <f>IF(B364="","",ROUND(MAX(0,IF(J364="",0,J364)-IF(I364="",0,I364)),2))</f>
        <v>0</v>
      </c>
      <c r="AA364" s="33">
        <f>IF(B364="","",IFERROR(INDEX(Channels!$S$5:$S$18,MATCH(IF(E364="",DefaultChannel,E364),Channels!$A$5:$A$18,0)),0))</f>
        <v>0</v>
      </c>
      <c r="AB364" s="20">
        <f>IF(B364="","",IFERROR(INDEX(Channels!$T$5:$T$18,MATCH(IF(E364="",DefaultChannel,E364),Channels!$A$5:$A$18,0)),0))</f>
        <v>0</v>
      </c>
      <c r="AC364" s="42">
        <f>IF(B364="","",IFERROR(INDEX(Channels!$O$5:$O$18,MATCH(IF(E364="",DefaultChannel,E364),Channels!$A$5:$A$18,0)),"No"))</f>
        <v>0</v>
      </c>
      <c r="AD364" s="20">
        <f>IF(B364="","",ROUND((V364+IF(AC364="Yes",IF(I364="",0,I364),0))*AA364+AB364,2))</f>
        <v>0</v>
      </c>
      <c r="AE364" s="20">
        <f>IF(B364="","",IF(K364&lt;&gt;"",K364,AD364))</f>
        <v>0</v>
      </c>
      <c r="AF364" s="20">
        <f>IF(B364="","",IF(K364="","",ROUND(K364-AD364,2)))</f>
        <v>0</v>
      </c>
      <c r="AG364" s="20">
        <f>IF(B364="","",ROUND(V364-Y364-AE364-Z364,2))</f>
        <v>0</v>
      </c>
      <c r="AH364" s="33">
        <f>IF(B364="","",IF(OR(V364="",V364=0),"",AG364/V364))</f>
        <v>0</v>
      </c>
      <c r="AI364" s="33">
        <f>IF(C364="","",IFERROR(INDEX(Products!$AW$5:$AW$304,MATCH(C364,Products!$A$5:$A$304,0)),""))</f>
        <v>0</v>
      </c>
      <c r="AJ364" s="33">
        <f>IF(B364="","",IF(OR(AH364="",AI364=""),"",AH364-AI364))</f>
        <v>0</v>
      </c>
      <c r="AK364" s="41">
        <f>IF(B364="","",IFERROR(ROUND(IF(D364="",0,D364)*INDEX(Products!$X$5:$X$304,MATCH(C364,Products!$A$5:$A$304,0))/60,2),""))</f>
        <v>0</v>
      </c>
      <c r="AL364" s="20">
        <f>IF(B364="","",IF(OR(AK364="",AK364=0),"",ROUND(AG364/AK364,2)))</f>
        <v>0</v>
      </c>
      <c r="AM364" s="43">
        <f>IF(B364="","",IF(C364="","Add - which product?",IF(AG364&lt;0,"Loss - this order cost you money",IF(M364="Refunded","Refunded - check why",IF(AND(AF364&lt;&gt;"",AF364&gt;0.25),"Check - fees higher than your settings",IF(Z364&gt;1,"Check - postage is eating the margin",IF(AND(AH364&lt;&gt;"",AH364&lt;MarginWarning),"Low margin on this order","OK")))))) )</f>
        <v>0</v>
      </c>
    </row>
    <row r="365" spans="1:39">
      <c r="A365" s="38">
        <f>IF(B365="","",SalePrefix&amp;TEXT(ROW()-4,"0000"))</f>
        <v>0</v>
      </c>
      <c r="Q365" s="13">
        <f>IF(C365="","",IFERROR(INDEX(Products!$B$5:$B$304,MATCH(C365,Products!$A$5:$A$304,0)),"Bundle or deleted"))</f>
        <v>0</v>
      </c>
      <c r="R365" s="13">
        <f>IF(B365="","",TEXT(B365,"yyyy-mm"))</f>
        <v>0</v>
      </c>
      <c r="S365" s="20">
        <f>IF(C365="","",IFERROR(INDEX(Products!$AR$5:$AR$304,MATCH(C365,Products!$A$5:$A$304,0)),""))</f>
        <v>0</v>
      </c>
      <c r="T365" s="20">
        <f>IF(B365="","",IF(F365&lt;&gt;"",F365,IF(S365="",0,S365)))</f>
        <v>0</v>
      </c>
      <c r="U365" s="20">
        <f>IF(B365="","",ROUND(IF(D365="",0,D365)*T365,2))</f>
        <v>0</v>
      </c>
      <c r="V365" s="20">
        <f>IF(B365="","",ROUND(U365-IF(G365="",0,G365)-IF(L365="",0,L365),2))</f>
        <v>0</v>
      </c>
      <c r="W365" s="20">
        <f>IF(C365="","",IFERROR(INDEX(Products!$AT$5:$AT$304,MATCH(C365,Products!$A$5:$A$304,0)),""))</f>
        <v>0</v>
      </c>
      <c r="X365" s="20">
        <f>IF(C365="","",IFERROR(INDEX(Products!$AG$5:$AG$304,MATCH(C365,Products!$A$5:$A$304,0)),""))</f>
        <v>0</v>
      </c>
      <c r="Y365" s="20">
        <f>IF(B365="","",ROUND(IF(D365="",0,D365)*MAX(0,IF(W365="",0,W365)-IF(X365="",0,X365)),2))</f>
        <v>0</v>
      </c>
      <c r="Z365" s="20">
        <f>IF(B365="","",ROUND(MAX(0,IF(J365="",0,J365)-IF(I365="",0,I365)),2))</f>
        <v>0</v>
      </c>
      <c r="AA365" s="33">
        <f>IF(B365="","",IFERROR(INDEX(Channels!$S$5:$S$18,MATCH(IF(E365="",DefaultChannel,E365),Channels!$A$5:$A$18,0)),0))</f>
        <v>0</v>
      </c>
      <c r="AB365" s="20">
        <f>IF(B365="","",IFERROR(INDEX(Channels!$T$5:$T$18,MATCH(IF(E365="",DefaultChannel,E365),Channels!$A$5:$A$18,0)),0))</f>
        <v>0</v>
      </c>
      <c r="AC365" s="42">
        <f>IF(B365="","",IFERROR(INDEX(Channels!$O$5:$O$18,MATCH(IF(E365="",DefaultChannel,E365),Channels!$A$5:$A$18,0)),"No"))</f>
        <v>0</v>
      </c>
      <c r="AD365" s="20">
        <f>IF(B365="","",ROUND((V365+IF(AC365="Yes",IF(I365="",0,I365),0))*AA365+AB365,2))</f>
        <v>0</v>
      </c>
      <c r="AE365" s="20">
        <f>IF(B365="","",IF(K365&lt;&gt;"",K365,AD365))</f>
        <v>0</v>
      </c>
      <c r="AF365" s="20">
        <f>IF(B365="","",IF(K365="","",ROUND(K365-AD365,2)))</f>
        <v>0</v>
      </c>
      <c r="AG365" s="20">
        <f>IF(B365="","",ROUND(V365-Y365-AE365-Z365,2))</f>
        <v>0</v>
      </c>
      <c r="AH365" s="33">
        <f>IF(B365="","",IF(OR(V365="",V365=0),"",AG365/V365))</f>
        <v>0</v>
      </c>
      <c r="AI365" s="33">
        <f>IF(C365="","",IFERROR(INDEX(Products!$AW$5:$AW$304,MATCH(C365,Products!$A$5:$A$304,0)),""))</f>
        <v>0</v>
      </c>
      <c r="AJ365" s="33">
        <f>IF(B365="","",IF(OR(AH365="",AI365=""),"",AH365-AI365))</f>
        <v>0</v>
      </c>
      <c r="AK365" s="41">
        <f>IF(B365="","",IFERROR(ROUND(IF(D365="",0,D365)*INDEX(Products!$X$5:$X$304,MATCH(C365,Products!$A$5:$A$304,0))/60,2),""))</f>
        <v>0</v>
      </c>
      <c r="AL365" s="20">
        <f>IF(B365="","",IF(OR(AK365="",AK365=0),"",ROUND(AG365/AK365,2)))</f>
        <v>0</v>
      </c>
      <c r="AM365" s="43">
        <f>IF(B365="","",IF(C365="","Add - which product?",IF(AG365&lt;0,"Loss - this order cost you money",IF(M365="Refunded","Refunded - check why",IF(AND(AF365&lt;&gt;"",AF365&gt;0.25),"Check - fees higher than your settings",IF(Z365&gt;1,"Check - postage is eating the margin",IF(AND(AH365&lt;&gt;"",AH365&lt;MarginWarning),"Low margin on this order","OK")))))) )</f>
        <v>0</v>
      </c>
    </row>
    <row r="366" spans="1:39">
      <c r="A366" s="38">
        <f>IF(B366="","",SalePrefix&amp;TEXT(ROW()-4,"0000"))</f>
        <v>0</v>
      </c>
      <c r="Q366" s="13">
        <f>IF(C366="","",IFERROR(INDEX(Products!$B$5:$B$304,MATCH(C366,Products!$A$5:$A$304,0)),"Bundle or deleted"))</f>
        <v>0</v>
      </c>
      <c r="R366" s="13">
        <f>IF(B366="","",TEXT(B366,"yyyy-mm"))</f>
        <v>0</v>
      </c>
      <c r="S366" s="20">
        <f>IF(C366="","",IFERROR(INDEX(Products!$AR$5:$AR$304,MATCH(C366,Products!$A$5:$A$304,0)),""))</f>
        <v>0</v>
      </c>
      <c r="T366" s="20">
        <f>IF(B366="","",IF(F366&lt;&gt;"",F366,IF(S366="",0,S366)))</f>
        <v>0</v>
      </c>
      <c r="U366" s="20">
        <f>IF(B366="","",ROUND(IF(D366="",0,D366)*T366,2))</f>
        <v>0</v>
      </c>
      <c r="V366" s="20">
        <f>IF(B366="","",ROUND(U366-IF(G366="",0,G366)-IF(L366="",0,L366),2))</f>
        <v>0</v>
      </c>
      <c r="W366" s="20">
        <f>IF(C366="","",IFERROR(INDEX(Products!$AT$5:$AT$304,MATCH(C366,Products!$A$5:$A$304,0)),""))</f>
        <v>0</v>
      </c>
      <c r="X366" s="20">
        <f>IF(C366="","",IFERROR(INDEX(Products!$AG$5:$AG$304,MATCH(C366,Products!$A$5:$A$304,0)),""))</f>
        <v>0</v>
      </c>
      <c r="Y366" s="20">
        <f>IF(B366="","",ROUND(IF(D366="",0,D366)*MAX(0,IF(W366="",0,W366)-IF(X366="",0,X366)),2))</f>
        <v>0</v>
      </c>
      <c r="Z366" s="20">
        <f>IF(B366="","",ROUND(MAX(0,IF(J366="",0,J366)-IF(I366="",0,I366)),2))</f>
        <v>0</v>
      </c>
      <c r="AA366" s="33">
        <f>IF(B366="","",IFERROR(INDEX(Channels!$S$5:$S$18,MATCH(IF(E366="",DefaultChannel,E366),Channels!$A$5:$A$18,0)),0))</f>
        <v>0</v>
      </c>
      <c r="AB366" s="20">
        <f>IF(B366="","",IFERROR(INDEX(Channels!$T$5:$T$18,MATCH(IF(E366="",DefaultChannel,E366),Channels!$A$5:$A$18,0)),0))</f>
        <v>0</v>
      </c>
      <c r="AC366" s="42">
        <f>IF(B366="","",IFERROR(INDEX(Channels!$O$5:$O$18,MATCH(IF(E366="",DefaultChannel,E366),Channels!$A$5:$A$18,0)),"No"))</f>
        <v>0</v>
      </c>
      <c r="AD366" s="20">
        <f>IF(B366="","",ROUND((V366+IF(AC366="Yes",IF(I366="",0,I366),0))*AA366+AB366,2))</f>
        <v>0</v>
      </c>
      <c r="AE366" s="20">
        <f>IF(B366="","",IF(K366&lt;&gt;"",K366,AD366))</f>
        <v>0</v>
      </c>
      <c r="AF366" s="20">
        <f>IF(B366="","",IF(K366="","",ROUND(K366-AD366,2)))</f>
        <v>0</v>
      </c>
      <c r="AG366" s="20">
        <f>IF(B366="","",ROUND(V366-Y366-AE366-Z366,2))</f>
        <v>0</v>
      </c>
      <c r="AH366" s="33">
        <f>IF(B366="","",IF(OR(V366="",V366=0),"",AG366/V366))</f>
        <v>0</v>
      </c>
      <c r="AI366" s="33">
        <f>IF(C366="","",IFERROR(INDEX(Products!$AW$5:$AW$304,MATCH(C366,Products!$A$5:$A$304,0)),""))</f>
        <v>0</v>
      </c>
      <c r="AJ366" s="33">
        <f>IF(B366="","",IF(OR(AH366="",AI366=""),"",AH366-AI366))</f>
        <v>0</v>
      </c>
      <c r="AK366" s="41">
        <f>IF(B366="","",IFERROR(ROUND(IF(D366="",0,D366)*INDEX(Products!$X$5:$X$304,MATCH(C366,Products!$A$5:$A$304,0))/60,2),""))</f>
        <v>0</v>
      </c>
      <c r="AL366" s="20">
        <f>IF(B366="","",IF(OR(AK366="",AK366=0),"",ROUND(AG366/AK366,2)))</f>
        <v>0</v>
      </c>
      <c r="AM366" s="43">
        <f>IF(B366="","",IF(C366="","Add - which product?",IF(AG366&lt;0,"Loss - this order cost you money",IF(M366="Refunded","Refunded - check why",IF(AND(AF366&lt;&gt;"",AF366&gt;0.25),"Check - fees higher than your settings",IF(Z366&gt;1,"Check - postage is eating the margin",IF(AND(AH366&lt;&gt;"",AH366&lt;MarginWarning),"Low margin on this order","OK")))))) )</f>
        <v>0</v>
      </c>
    </row>
    <row r="367" spans="1:39">
      <c r="A367" s="38">
        <f>IF(B367="","",SalePrefix&amp;TEXT(ROW()-4,"0000"))</f>
        <v>0</v>
      </c>
      <c r="Q367" s="13">
        <f>IF(C367="","",IFERROR(INDEX(Products!$B$5:$B$304,MATCH(C367,Products!$A$5:$A$304,0)),"Bundle or deleted"))</f>
        <v>0</v>
      </c>
      <c r="R367" s="13">
        <f>IF(B367="","",TEXT(B367,"yyyy-mm"))</f>
        <v>0</v>
      </c>
      <c r="S367" s="20">
        <f>IF(C367="","",IFERROR(INDEX(Products!$AR$5:$AR$304,MATCH(C367,Products!$A$5:$A$304,0)),""))</f>
        <v>0</v>
      </c>
      <c r="T367" s="20">
        <f>IF(B367="","",IF(F367&lt;&gt;"",F367,IF(S367="",0,S367)))</f>
        <v>0</v>
      </c>
      <c r="U367" s="20">
        <f>IF(B367="","",ROUND(IF(D367="",0,D367)*T367,2))</f>
        <v>0</v>
      </c>
      <c r="V367" s="20">
        <f>IF(B367="","",ROUND(U367-IF(G367="",0,G367)-IF(L367="",0,L367),2))</f>
        <v>0</v>
      </c>
      <c r="W367" s="20">
        <f>IF(C367="","",IFERROR(INDEX(Products!$AT$5:$AT$304,MATCH(C367,Products!$A$5:$A$304,0)),""))</f>
        <v>0</v>
      </c>
      <c r="X367" s="20">
        <f>IF(C367="","",IFERROR(INDEX(Products!$AG$5:$AG$304,MATCH(C367,Products!$A$5:$A$304,0)),""))</f>
        <v>0</v>
      </c>
      <c r="Y367" s="20">
        <f>IF(B367="","",ROUND(IF(D367="",0,D367)*MAX(0,IF(W367="",0,W367)-IF(X367="",0,X367)),2))</f>
        <v>0</v>
      </c>
      <c r="Z367" s="20">
        <f>IF(B367="","",ROUND(MAX(0,IF(J367="",0,J367)-IF(I367="",0,I367)),2))</f>
        <v>0</v>
      </c>
      <c r="AA367" s="33">
        <f>IF(B367="","",IFERROR(INDEX(Channels!$S$5:$S$18,MATCH(IF(E367="",DefaultChannel,E367),Channels!$A$5:$A$18,0)),0))</f>
        <v>0</v>
      </c>
      <c r="AB367" s="20">
        <f>IF(B367="","",IFERROR(INDEX(Channels!$T$5:$T$18,MATCH(IF(E367="",DefaultChannel,E367),Channels!$A$5:$A$18,0)),0))</f>
        <v>0</v>
      </c>
      <c r="AC367" s="42">
        <f>IF(B367="","",IFERROR(INDEX(Channels!$O$5:$O$18,MATCH(IF(E367="",DefaultChannel,E367),Channels!$A$5:$A$18,0)),"No"))</f>
        <v>0</v>
      </c>
      <c r="AD367" s="20">
        <f>IF(B367="","",ROUND((V367+IF(AC367="Yes",IF(I367="",0,I367),0))*AA367+AB367,2))</f>
        <v>0</v>
      </c>
      <c r="AE367" s="20">
        <f>IF(B367="","",IF(K367&lt;&gt;"",K367,AD367))</f>
        <v>0</v>
      </c>
      <c r="AF367" s="20">
        <f>IF(B367="","",IF(K367="","",ROUND(K367-AD367,2)))</f>
        <v>0</v>
      </c>
      <c r="AG367" s="20">
        <f>IF(B367="","",ROUND(V367-Y367-AE367-Z367,2))</f>
        <v>0</v>
      </c>
      <c r="AH367" s="33">
        <f>IF(B367="","",IF(OR(V367="",V367=0),"",AG367/V367))</f>
        <v>0</v>
      </c>
      <c r="AI367" s="33">
        <f>IF(C367="","",IFERROR(INDEX(Products!$AW$5:$AW$304,MATCH(C367,Products!$A$5:$A$304,0)),""))</f>
        <v>0</v>
      </c>
      <c r="AJ367" s="33">
        <f>IF(B367="","",IF(OR(AH367="",AI367=""),"",AH367-AI367))</f>
        <v>0</v>
      </c>
      <c r="AK367" s="41">
        <f>IF(B367="","",IFERROR(ROUND(IF(D367="",0,D367)*INDEX(Products!$X$5:$X$304,MATCH(C367,Products!$A$5:$A$304,0))/60,2),""))</f>
        <v>0</v>
      </c>
      <c r="AL367" s="20">
        <f>IF(B367="","",IF(OR(AK367="",AK367=0),"",ROUND(AG367/AK367,2)))</f>
        <v>0</v>
      </c>
      <c r="AM367" s="43">
        <f>IF(B367="","",IF(C367="","Add - which product?",IF(AG367&lt;0,"Loss - this order cost you money",IF(M367="Refunded","Refunded - check why",IF(AND(AF367&lt;&gt;"",AF367&gt;0.25),"Check - fees higher than your settings",IF(Z367&gt;1,"Check - postage is eating the margin",IF(AND(AH367&lt;&gt;"",AH367&lt;MarginWarning),"Low margin on this order","OK")))))) )</f>
        <v>0</v>
      </c>
    </row>
    <row r="368" spans="1:39">
      <c r="A368" s="38">
        <f>IF(B368="","",SalePrefix&amp;TEXT(ROW()-4,"0000"))</f>
        <v>0</v>
      </c>
      <c r="Q368" s="13">
        <f>IF(C368="","",IFERROR(INDEX(Products!$B$5:$B$304,MATCH(C368,Products!$A$5:$A$304,0)),"Bundle or deleted"))</f>
        <v>0</v>
      </c>
      <c r="R368" s="13">
        <f>IF(B368="","",TEXT(B368,"yyyy-mm"))</f>
        <v>0</v>
      </c>
      <c r="S368" s="20">
        <f>IF(C368="","",IFERROR(INDEX(Products!$AR$5:$AR$304,MATCH(C368,Products!$A$5:$A$304,0)),""))</f>
        <v>0</v>
      </c>
      <c r="T368" s="20">
        <f>IF(B368="","",IF(F368&lt;&gt;"",F368,IF(S368="",0,S368)))</f>
        <v>0</v>
      </c>
      <c r="U368" s="20">
        <f>IF(B368="","",ROUND(IF(D368="",0,D368)*T368,2))</f>
        <v>0</v>
      </c>
      <c r="V368" s="20">
        <f>IF(B368="","",ROUND(U368-IF(G368="",0,G368)-IF(L368="",0,L368),2))</f>
        <v>0</v>
      </c>
      <c r="W368" s="20">
        <f>IF(C368="","",IFERROR(INDEX(Products!$AT$5:$AT$304,MATCH(C368,Products!$A$5:$A$304,0)),""))</f>
        <v>0</v>
      </c>
      <c r="X368" s="20">
        <f>IF(C368="","",IFERROR(INDEX(Products!$AG$5:$AG$304,MATCH(C368,Products!$A$5:$A$304,0)),""))</f>
        <v>0</v>
      </c>
      <c r="Y368" s="20">
        <f>IF(B368="","",ROUND(IF(D368="",0,D368)*MAX(0,IF(W368="",0,W368)-IF(X368="",0,X368)),2))</f>
        <v>0</v>
      </c>
      <c r="Z368" s="20">
        <f>IF(B368="","",ROUND(MAX(0,IF(J368="",0,J368)-IF(I368="",0,I368)),2))</f>
        <v>0</v>
      </c>
      <c r="AA368" s="33">
        <f>IF(B368="","",IFERROR(INDEX(Channels!$S$5:$S$18,MATCH(IF(E368="",DefaultChannel,E368),Channels!$A$5:$A$18,0)),0))</f>
        <v>0</v>
      </c>
      <c r="AB368" s="20">
        <f>IF(B368="","",IFERROR(INDEX(Channels!$T$5:$T$18,MATCH(IF(E368="",DefaultChannel,E368),Channels!$A$5:$A$18,0)),0))</f>
        <v>0</v>
      </c>
      <c r="AC368" s="42">
        <f>IF(B368="","",IFERROR(INDEX(Channels!$O$5:$O$18,MATCH(IF(E368="",DefaultChannel,E368),Channels!$A$5:$A$18,0)),"No"))</f>
        <v>0</v>
      </c>
      <c r="AD368" s="20">
        <f>IF(B368="","",ROUND((V368+IF(AC368="Yes",IF(I368="",0,I368),0))*AA368+AB368,2))</f>
        <v>0</v>
      </c>
      <c r="AE368" s="20">
        <f>IF(B368="","",IF(K368&lt;&gt;"",K368,AD368))</f>
        <v>0</v>
      </c>
      <c r="AF368" s="20">
        <f>IF(B368="","",IF(K368="","",ROUND(K368-AD368,2)))</f>
        <v>0</v>
      </c>
      <c r="AG368" s="20">
        <f>IF(B368="","",ROUND(V368-Y368-AE368-Z368,2))</f>
        <v>0</v>
      </c>
      <c r="AH368" s="33">
        <f>IF(B368="","",IF(OR(V368="",V368=0),"",AG368/V368))</f>
        <v>0</v>
      </c>
      <c r="AI368" s="33">
        <f>IF(C368="","",IFERROR(INDEX(Products!$AW$5:$AW$304,MATCH(C368,Products!$A$5:$A$304,0)),""))</f>
        <v>0</v>
      </c>
      <c r="AJ368" s="33">
        <f>IF(B368="","",IF(OR(AH368="",AI368=""),"",AH368-AI368))</f>
        <v>0</v>
      </c>
      <c r="AK368" s="41">
        <f>IF(B368="","",IFERROR(ROUND(IF(D368="",0,D368)*INDEX(Products!$X$5:$X$304,MATCH(C368,Products!$A$5:$A$304,0))/60,2),""))</f>
        <v>0</v>
      </c>
      <c r="AL368" s="20">
        <f>IF(B368="","",IF(OR(AK368="",AK368=0),"",ROUND(AG368/AK368,2)))</f>
        <v>0</v>
      </c>
      <c r="AM368" s="43">
        <f>IF(B368="","",IF(C368="","Add - which product?",IF(AG368&lt;0,"Loss - this order cost you money",IF(M368="Refunded","Refunded - check why",IF(AND(AF368&lt;&gt;"",AF368&gt;0.25),"Check - fees higher than your settings",IF(Z368&gt;1,"Check - postage is eating the margin",IF(AND(AH368&lt;&gt;"",AH368&lt;MarginWarning),"Low margin on this order","OK")))))) )</f>
        <v>0</v>
      </c>
    </row>
    <row r="369" spans="1:39">
      <c r="A369" s="38">
        <f>IF(B369="","",SalePrefix&amp;TEXT(ROW()-4,"0000"))</f>
        <v>0</v>
      </c>
      <c r="Q369" s="13">
        <f>IF(C369="","",IFERROR(INDEX(Products!$B$5:$B$304,MATCH(C369,Products!$A$5:$A$304,0)),"Bundle or deleted"))</f>
        <v>0</v>
      </c>
      <c r="R369" s="13">
        <f>IF(B369="","",TEXT(B369,"yyyy-mm"))</f>
        <v>0</v>
      </c>
      <c r="S369" s="20">
        <f>IF(C369="","",IFERROR(INDEX(Products!$AR$5:$AR$304,MATCH(C369,Products!$A$5:$A$304,0)),""))</f>
        <v>0</v>
      </c>
      <c r="T369" s="20">
        <f>IF(B369="","",IF(F369&lt;&gt;"",F369,IF(S369="",0,S369)))</f>
        <v>0</v>
      </c>
      <c r="U369" s="20">
        <f>IF(B369="","",ROUND(IF(D369="",0,D369)*T369,2))</f>
        <v>0</v>
      </c>
      <c r="V369" s="20">
        <f>IF(B369="","",ROUND(U369-IF(G369="",0,G369)-IF(L369="",0,L369),2))</f>
        <v>0</v>
      </c>
      <c r="W369" s="20">
        <f>IF(C369="","",IFERROR(INDEX(Products!$AT$5:$AT$304,MATCH(C369,Products!$A$5:$A$304,0)),""))</f>
        <v>0</v>
      </c>
      <c r="X369" s="20">
        <f>IF(C369="","",IFERROR(INDEX(Products!$AG$5:$AG$304,MATCH(C369,Products!$A$5:$A$304,0)),""))</f>
        <v>0</v>
      </c>
      <c r="Y369" s="20">
        <f>IF(B369="","",ROUND(IF(D369="",0,D369)*MAX(0,IF(W369="",0,W369)-IF(X369="",0,X369)),2))</f>
        <v>0</v>
      </c>
      <c r="Z369" s="20">
        <f>IF(B369="","",ROUND(MAX(0,IF(J369="",0,J369)-IF(I369="",0,I369)),2))</f>
        <v>0</v>
      </c>
      <c r="AA369" s="33">
        <f>IF(B369="","",IFERROR(INDEX(Channels!$S$5:$S$18,MATCH(IF(E369="",DefaultChannel,E369),Channels!$A$5:$A$18,0)),0))</f>
        <v>0</v>
      </c>
      <c r="AB369" s="20">
        <f>IF(B369="","",IFERROR(INDEX(Channels!$T$5:$T$18,MATCH(IF(E369="",DefaultChannel,E369),Channels!$A$5:$A$18,0)),0))</f>
        <v>0</v>
      </c>
      <c r="AC369" s="42">
        <f>IF(B369="","",IFERROR(INDEX(Channels!$O$5:$O$18,MATCH(IF(E369="",DefaultChannel,E369),Channels!$A$5:$A$18,0)),"No"))</f>
        <v>0</v>
      </c>
      <c r="AD369" s="20">
        <f>IF(B369="","",ROUND((V369+IF(AC369="Yes",IF(I369="",0,I369),0))*AA369+AB369,2))</f>
        <v>0</v>
      </c>
      <c r="AE369" s="20">
        <f>IF(B369="","",IF(K369&lt;&gt;"",K369,AD369))</f>
        <v>0</v>
      </c>
      <c r="AF369" s="20">
        <f>IF(B369="","",IF(K369="","",ROUND(K369-AD369,2)))</f>
        <v>0</v>
      </c>
      <c r="AG369" s="20">
        <f>IF(B369="","",ROUND(V369-Y369-AE369-Z369,2))</f>
        <v>0</v>
      </c>
      <c r="AH369" s="33">
        <f>IF(B369="","",IF(OR(V369="",V369=0),"",AG369/V369))</f>
        <v>0</v>
      </c>
      <c r="AI369" s="33">
        <f>IF(C369="","",IFERROR(INDEX(Products!$AW$5:$AW$304,MATCH(C369,Products!$A$5:$A$304,0)),""))</f>
        <v>0</v>
      </c>
      <c r="AJ369" s="33">
        <f>IF(B369="","",IF(OR(AH369="",AI369=""),"",AH369-AI369))</f>
        <v>0</v>
      </c>
      <c r="AK369" s="41">
        <f>IF(B369="","",IFERROR(ROUND(IF(D369="",0,D369)*INDEX(Products!$X$5:$X$304,MATCH(C369,Products!$A$5:$A$304,0))/60,2),""))</f>
        <v>0</v>
      </c>
      <c r="AL369" s="20">
        <f>IF(B369="","",IF(OR(AK369="",AK369=0),"",ROUND(AG369/AK369,2)))</f>
        <v>0</v>
      </c>
      <c r="AM369" s="43">
        <f>IF(B369="","",IF(C369="","Add - which product?",IF(AG369&lt;0,"Loss - this order cost you money",IF(M369="Refunded","Refunded - check why",IF(AND(AF369&lt;&gt;"",AF369&gt;0.25),"Check - fees higher than your settings",IF(Z369&gt;1,"Check - postage is eating the margin",IF(AND(AH369&lt;&gt;"",AH369&lt;MarginWarning),"Low margin on this order","OK")))))) )</f>
        <v>0</v>
      </c>
    </row>
    <row r="370" spans="1:39">
      <c r="A370" s="38">
        <f>IF(B370="","",SalePrefix&amp;TEXT(ROW()-4,"0000"))</f>
        <v>0</v>
      </c>
      <c r="Q370" s="13">
        <f>IF(C370="","",IFERROR(INDEX(Products!$B$5:$B$304,MATCH(C370,Products!$A$5:$A$304,0)),"Bundle or deleted"))</f>
        <v>0</v>
      </c>
      <c r="R370" s="13">
        <f>IF(B370="","",TEXT(B370,"yyyy-mm"))</f>
        <v>0</v>
      </c>
      <c r="S370" s="20">
        <f>IF(C370="","",IFERROR(INDEX(Products!$AR$5:$AR$304,MATCH(C370,Products!$A$5:$A$304,0)),""))</f>
        <v>0</v>
      </c>
      <c r="T370" s="20">
        <f>IF(B370="","",IF(F370&lt;&gt;"",F370,IF(S370="",0,S370)))</f>
        <v>0</v>
      </c>
      <c r="U370" s="20">
        <f>IF(B370="","",ROUND(IF(D370="",0,D370)*T370,2))</f>
        <v>0</v>
      </c>
      <c r="V370" s="20">
        <f>IF(B370="","",ROUND(U370-IF(G370="",0,G370)-IF(L370="",0,L370),2))</f>
        <v>0</v>
      </c>
      <c r="W370" s="20">
        <f>IF(C370="","",IFERROR(INDEX(Products!$AT$5:$AT$304,MATCH(C370,Products!$A$5:$A$304,0)),""))</f>
        <v>0</v>
      </c>
      <c r="X370" s="20">
        <f>IF(C370="","",IFERROR(INDEX(Products!$AG$5:$AG$304,MATCH(C370,Products!$A$5:$A$304,0)),""))</f>
        <v>0</v>
      </c>
      <c r="Y370" s="20">
        <f>IF(B370="","",ROUND(IF(D370="",0,D370)*MAX(0,IF(W370="",0,W370)-IF(X370="",0,X370)),2))</f>
        <v>0</v>
      </c>
      <c r="Z370" s="20">
        <f>IF(B370="","",ROUND(MAX(0,IF(J370="",0,J370)-IF(I370="",0,I370)),2))</f>
        <v>0</v>
      </c>
      <c r="AA370" s="33">
        <f>IF(B370="","",IFERROR(INDEX(Channels!$S$5:$S$18,MATCH(IF(E370="",DefaultChannel,E370),Channels!$A$5:$A$18,0)),0))</f>
        <v>0</v>
      </c>
      <c r="AB370" s="20">
        <f>IF(B370="","",IFERROR(INDEX(Channels!$T$5:$T$18,MATCH(IF(E370="",DefaultChannel,E370),Channels!$A$5:$A$18,0)),0))</f>
        <v>0</v>
      </c>
      <c r="AC370" s="42">
        <f>IF(B370="","",IFERROR(INDEX(Channels!$O$5:$O$18,MATCH(IF(E370="",DefaultChannel,E370),Channels!$A$5:$A$18,0)),"No"))</f>
        <v>0</v>
      </c>
      <c r="AD370" s="20">
        <f>IF(B370="","",ROUND((V370+IF(AC370="Yes",IF(I370="",0,I370),0))*AA370+AB370,2))</f>
        <v>0</v>
      </c>
      <c r="AE370" s="20">
        <f>IF(B370="","",IF(K370&lt;&gt;"",K370,AD370))</f>
        <v>0</v>
      </c>
      <c r="AF370" s="20">
        <f>IF(B370="","",IF(K370="","",ROUND(K370-AD370,2)))</f>
        <v>0</v>
      </c>
      <c r="AG370" s="20">
        <f>IF(B370="","",ROUND(V370-Y370-AE370-Z370,2))</f>
        <v>0</v>
      </c>
      <c r="AH370" s="33">
        <f>IF(B370="","",IF(OR(V370="",V370=0),"",AG370/V370))</f>
        <v>0</v>
      </c>
      <c r="AI370" s="33">
        <f>IF(C370="","",IFERROR(INDEX(Products!$AW$5:$AW$304,MATCH(C370,Products!$A$5:$A$304,0)),""))</f>
        <v>0</v>
      </c>
      <c r="AJ370" s="33">
        <f>IF(B370="","",IF(OR(AH370="",AI370=""),"",AH370-AI370))</f>
        <v>0</v>
      </c>
      <c r="AK370" s="41">
        <f>IF(B370="","",IFERROR(ROUND(IF(D370="",0,D370)*INDEX(Products!$X$5:$X$304,MATCH(C370,Products!$A$5:$A$304,0))/60,2),""))</f>
        <v>0</v>
      </c>
      <c r="AL370" s="20">
        <f>IF(B370="","",IF(OR(AK370="",AK370=0),"",ROUND(AG370/AK370,2)))</f>
        <v>0</v>
      </c>
      <c r="AM370" s="43">
        <f>IF(B370="","",IF(C370="","Add - which product?",IF(AG370&lt;0,"Loss - this order cost you money",IF(M370="Refunded","Refunded - check why",IF(AND(AF370&lt;&gt;"",AF370&gt;0.25),"Check - fees higher than your settings",IF(Z370&gt;1,"Check - postage is eating the margin",IF(AND(AH370&lt;&gt;"",AH370&lt;MarginWarning),"Low margin on this order","OK")))))) )</f>
        <v>0</v>
      </c>
    </row>
    <row r="371" spans="1:39">
      <c r="A371" s="38">
        <f>IF(B371="","",SalePrefix&amp;TEXT(ROW()-4,"0000"))</f>
        <v>0</v>
      </c>
      <c r="Q371" s="13">
        <f>IF(C371="","",IFERROR(INDEX(Products!$B$5:$B$304,MATCH(C371,Products!$A$5:$A$304,0)),"Bundle or deleted"))</f>
        <v>0</v>
      </c>
      <c r="R371" s="13">
        <f>IF(B371="","",TEXT(B371,"yyyy-mm"))</f>
        <v>0</v>
      </c>
      <c r="S371" s="20">
        <f>IF(C371="","",IFERROR(INDEX(Products!$AR$5:$AR$304,MATCH(C371,Products!$A$5:$A$304,0)),""))</f>
        <v>0</v>
      </c>
      <c r="T371" s="20">
        <f>IF(B371="","",IF(F371&lt;&gt;"",F371,IF(S371="",0,S371)))</f>
        <v>0</v>
      </c>
      <c r="U371" s="20">
        <f>IF(B371="","",ROUND(IF(D371="",0,D371)*T371,2))</f>
        <v>0</v>
      </c>
      <c r="V371" s="20">
        <f>IF(B371="","",ROUND(U371-IF(G371="",0,G371)-IF(L371="",0,L371),2))</f>
        <v>0</v>
      </c>
      <c r="W371" s="20">
        <f>IF(C371="","",IFERROR(INDEX(Products!$AT$5:$AT$304,MATCH(C371,Products!$A$5:$A$304,0)),""))</f>
        <v>0</v>
      </c>
      <c r="X371" s="20">
        <f>IF(C371="","",IFERROR(INDEX(Products!$AG$5:$AG$304,MATCH(C371,Products!$A$5:$A$304,0)),""))</f>
        <v>0</v>
      </c>
      <c r="Y371" s="20">
        <f>IF(B371="","",ROUND(IF(D371="",0,D371)*MAX(0,IF(W371="",0,W371)-IF(X371="",0,X371)),2))</f>
        <v>0</v>
      </c>
      <c r="Z371" s="20">
        <f>IF(B371="","",ROUND(MAX(0,IF(J371="",0,J371)-IF(I371="",0,I371)),2))</f>
        <v>0</v>
      </c>
      <c r="AA371" s="33">
        <f>IF(B371="","",IFERROR(INDEX(Channels!$S$5:$S$18,MATCH(IF(E371="",DefaultChannel,E371),Channels!$A$5:$A$18,0)),0))</f>
        <v>0</v>
      </c>
      <c r="AB371" s="20">
        <f>IF(B371="","",IFERROR(INDEX(Channels!$T$5:$T$18,MATCH(IF(E371="",DefaultChannel,E371),Channels!$A$5:$A$18,0)),0))</f>
        <v>0</v>
      </c>
      <c r="AC371" s="42">
        <f>IF(B371="","",IFERROR(INDEX(Channels!$O$5:$O$18,MATCH(IF(E371="",DefaultChannel,E371),Channels!$A$5:$A$18,0)),"No"))</f>
        <v>0</v>
      </c>
      <c r="AD371" s="20">
        <f>IF(B371="","",ROUND((V371+IF(AC371="Yes",IF(I371="",0,I371),0))*AA371+AB371,2))</f>
        <v>0</v>
      </c>
      <c r="AE371" s="20">
        <f>IF(B371="","",IF(K371&lt;&gt;"",K371,AD371))</f>
        <v>0</v>
      </c>
      <c r="AF371" s="20">
        <f>IF(B371="","",IF(K371="","",ROUND(K371-AD371,2)))</f>
        <v>0</v>
      </c>
      <c r="AG371" s="20">
        <f>IF(B371="","",ROUND(V371-Y371-AE371-Z371,2))</f>
        <v>0</v>
      </c>
      <c r="AH371" s="33">
        <f>IF(B371="","",IF(OR(V371="",V371=0),"",AG371/V371))</f>
        <v>0</v>
      </c>
      <c r="AI371" s="33">
        <f>IF(C371="","",IFERROR(INDEX(Products!$AW$5:$AW$304,MATCH(C371,Products!$A$5:$A$304,0)),""))</f>
        <v>0</v>
      </c>
      <c r="AJ371" s="33">
        <f>IF(B371="","",IF(OR(AH371="",AI371=""),"",AH371-AI371))</f>
        <v>0</v>
      </c>
      <c r="AK371" s="41">
        <f>IF(B371="","",IFERROR(ROUND(IF(D371="",0,D371)*INDEX(Products!$X$5:$X$304,MATCH(C371,Products!$A$5:$A$304,0))/60,2),""))</f>
        <v>0</v>
      </c>
      <c r="AL371" s="20">
        <f>IF(B371="","",IF(OR(AK371="",AK371=0),"",ROUND(AG371/AK371,2)))</f>
        <v>0</v>
      </c>
      <c r="AM371" s="43">
        <f>IF(B371="","",IF(C371="","Add - which product?",IF(AG371&lt;0,"Loss - this order cost you money",IF(M371="Refunded","Refunded - check why",IF(AND(AF371&lt;&gt;"",AF371&gt;0.25),"Check - fees higher than your settings",IF(Z371&gt;1,"Check - postage is eating the margin",IF(AND(AH371&lt;&gt;"",AH371&lt;MarginWarning),"Low margin on this order","OK")))))) )</f>
        <v>0</v>
      </c>
    </row>
    <row r="372" spans="1:39">
      <c r="A372" s="38">
        <f>IF(B372="","",SalePrefix&amp;TEXT(ROW()-4,"0000"))</f>
        <v>0</v>
      </c>
      <c r="Q372" s="13">
        <f>IF(C372="","",IFERROR(INDEX(Products!$B$5:$B$304,MATCH(C372,Products!$A$5:$A$304,0)),"Bundle or deleted"))</f>
        <v>0</v>
      </c>
      <c r="R372" s="13">
        <f>IF(B372="","",TEXT(B372,"yyyy-mm"))</f>
        <v>0</v>
      </c>
      <c r="S372" s="20">
        <f>IF(C372="","",IFERROR(INDEX(Products!$AR$5:$AR$304,MATCH(C372,Products!$A$5:$A$304,0)),""))</f>
        <v>0</v>
      </c>
      <c r="T372" s="20">
        <f>IF(B372="","",IF(F372&lt;&gt;"",F372,IF(S372="",0,S372)))</f>
        <v>0</v>
      </c>
      <c r="U372" s="20">
        <f>IF(B372="","",ROUND(IF(D372="",0,D372)*T372,2))</f>
        <v>0</v>
      </c>
      <c r="V372" s="20">
        <f>IF(B372="","",ROUND(U372-IF(G372="",0,G372)-IF(L372="",0,L372),2))</f>
        <v>0</v>
      </c>
      <c r="W372" s="20">
        <f>IF(C372="","",IFERROR(INDEX(Products!$AT$5:$AT$304,MATCH(C372,Products!$A$5:$A$304,0)),""))</f>
        <v>0</v>
      </c>
      <c r="X372" s="20">
        <f>IF(C372="","",IFERROR(INDEX(Products!$AG$5:$AG$304,MATCH(C372,Products!$A$5:$A$304,0)),""))</f>
        <v>0</v>
      </c>
      <c r="Y372" s="20">
        <f>IF(B372="","",ROUND(IF(D372="",0,D372)*MAX(0,IF(W372="",0,W372)-IF(X372="",0,X372)),2))</f>
        <v>0</v>
      </c>
      <c r="Z372" s="20">
        <f>IF(B372="","",ROUND(MAX(0,IF(J372="",0,J372)-IF(I372="",0,I372)),2))</f>
        <v>0</v>
      </c>
      <c r="AA372" s="33">
        <f>IF(B372="","",IFERROR(INDEX(Channels!$S$5:$S$18,MATCH(IF(E372="",DefaultChannel,E372),Channels!$A$5:$A$18,0)),0))</f>
        <v>0</v>
      </c>
      <c r="AB372" s="20">
        <f>IF(B372="","",IFERROR(INDEX(Channels!$T$5:$T$18,MATCH(IF(E372="",DefaultChannel,E372),Channels!$A$5:$A$18,0)),0))</f>
        <v>0</v>
      </c>
      <c r="AC372" s="42">
        <f>IF(B372="","",IFERROR(INDEX(Channels!$O$5:$O$18,MATCH(IF(E372="",DefaultChannel,E372),Channels!$A$5:$A$18,0)),"No"))</f>
        <v>0</v>
      </c>
      <c r="AD372" s="20">
        <f>IF(B372="","",ROUND((V372+IF(AC372="Yes",IF(I372="",0,I372),0))*AA372+AB372,2))</f>
        <v>0</v>
      </c>
      <c r="AE372" s="20">
        <f>IF(B372="","",IF(K372&lt;&gt;"",K372,AD372))</f>
        <v>0</v>
      </c>
      <c r="AF372" s="20">
        <f>IF(B372="","",IF(K372="","",ROUND(K372-AD372,2)))</f>
        <v>0</v>
      </c>
      <c r="AG372" s="20">
        <f>IF(B372="","",ROUND(V372-Y372-AE372-Z372,2))</f>
        <v>0</v>
      </c>
      <c r="AH372" s="33">
        <f>IF(B372="","",IF(OR(V372="",V372=0),"",AG372/V372))</f>
        <v>0</v>
      </c>
      <c r="AI372" s="33">
        <f>IF(C372="","",IFERROR(INDEX(Products!$AW$5:$AW$304,MATCH(C372,Products!$A$5:$A$304,0)),""))</f>
        <v>0</v>
      </c>
      <c r="AJ372" s="33">
        <f>IF(B372="","",IF(OR(AH372="",AI372=""),"",AH372-AI372))</f>
        <v>0</v>
      </c>
      <c r="AK372" s="41">
        <f>IF(B372="","",IFERROR(ROUND(IF(D372="",0,D372)*INDEX(Products!$X$5:$X$304,MATCH(C372,Products!$A$5:$A$304,0))/60,2),""))</f>
        <v>0</v>
      </c>
      <c r="AL372" s="20">
        <f>IF(B372="","",IF(OR(AK372="",AK372=0),"",ROUND(AG372/AK372,2)))</f>
        <v>0</v>
      </c>
      <c r="AM372" s="43">
        <f>IF(B372="","",IF(C372="","Add - which product?",IF(AG372&lt;0,"Loss - this order cost you money",IF(M372="Refunded","Refunded - check why",IF(AND(AF372&lt;&gt;"",AF372&gt;0.25),"Check - fees higher than your settings",IF(Z372&gt;1,"Check - postage is eating the margin",IF(AND(AH372&lt;&gt;"",AH372&lt;MarginWarning),"Low margin on this order","OK")))))) )</f>
        <v>0</v>
      </c>
    </row>
    <row r="373" spans="1:39">
      <c r="A373" s="38">
        <f>IF(B373="","",SalePrefix&amp;TEXT(ROW()-4,"0000"))</f>
        <v>0</v>
      </c>
      <c r="Q373" s="13">
        <f>IF(C373="","",IFERROR(INDEX(Products!$B$5:$B$304,MATCH(C373,Products!$A$5:$A$304,0)),"Bundle or deleted"))</f>
        <v>0</v>
      </c>
      <c r="R373" s="13">
        <f>IF(B373="","",TEXT(B373,"yyyy-mm"))</f>
        <v>0</v>
      </c>
      <c r="S373" s="20">
        <f>IF(C373="","",IFERROR(INDEX(Products!$AR$5:$AR$304,MATCH(C373,Products!$A$5:$A$304,0)),""))</f>
        <v>0</v>
      </c>
      <c r="T373" s="20">
        <f>IF(B373="","",IF(F373&lt;&gt;"",F373,IF(S373="",0,S373)))</f>
        <v>0</v>
      </c>
      <c r="U373" s="20">
        <f>IF(B373="","",ROUND(IF(D373="",0,D373)*T373,2))</f>
        <v>0</v>
      </c>
      <c r="V373" s="20">
        <f>IF(B373="","",ROUND(U373-IF(G373="",0,G373)-IF(L373="",0,L373),2))</f>
        <v>0</v>
      </c>
      <c r="W373" s="20">
        <f>IF(C373="","",IFERROR(INDEX(Products!$AT$5:$AT$304,MATCH(C373,Products!$A$5:$A$304,0)),""))</f>
        <v>0</v>
      </c>
      <c r="X373" s="20">
        <f>IF(C373="","",IFERROR(INDEX(Products!$AG$5:$AG$304,MATCH(C373,Products!$A$5:$A$304,0)),""))</f>
        <v>0</v>
      </c>
      <c r="Y373" s="20">
        <f>IF(B373="","",ROUND(IF(D373="",0,D373)*MAX(0,IF(W373="",0,W373)-IF(X373="",0,X373)),2))</f>
        <v>0</v>
      </c>
      <c r="Z373" s="20">
        <f>IF(B373="","",ROUND(MAX(0,IF(J373="",0,J373)-IF(I373="",0,I373)),2))</f>
        <v>0</v>
      </c>
      <c r="AA373" s="33">
        <f>IF(B373="","",IFERROR(INDEX(Channels!$S$5:$S$18,MATCH(IF(E373="",DefaultChannel,E373),Channels!$A$5:$A$18,0)),0))</f>
        <v>0</v>
      </c>
      <c r="AB373" s="20">
        <f>IF(B373="","",IFERROR(INDEX(Channels!$T$5:$T$18,MATCH(IF(E373="",DefaultChannel,E373),Channels!$A$5:$A$18,0)),0))</f>
        <v>0</v>
      </c>
      <c r="AC373" s="42">
        <f>IF(B373="","",IFERROR(INDEX(Channels!$O$5:$O$18,MATCH(IF(E373="",DefaultChannel,E373),Channels!$A$5:$A$18,0)),"No"))</f>
        <v>0</v>
      </c>
      <c r="AD373" s="20">
        <f>IF(B373="","",ROUND((V373+IF(AC373="Yes",IF(I373="",0,I373),0))*AA373+AB373,2))</f>
        <v>0</v>
      </c>
      <c r="AE373" s="20">
        <f>IF(B373="","",IF(K373&lt;&gt;"",K373,AD373))</f>
        <v>0</v>
      </c>
      <c r="AF373" s="20">
        <f>IF(B373="","",IF(K373="","",ROUND(K373-AD373,2)))</f>
        <v>0</v>
      </c>
      <c r="AG373" s="20">
        <f>IF(B373="","",ROUND(V373-Y373-AE373-Z373,2))</f>
        <v>0</v>
      </c>
      <c r="AH373" s="33">
        <f>IF(B373="","",IF(OR(V373="",V373=0),"",AG373/V373))</f>
        <v>0</v>
      </c>
      <c r="AI373" s="33">
        <f>IF(C373="","",IFERROR(INDEX(Products!$AW$5:$AW$304,MATCH(C373,Products!$A$5:$A$304,0)),""))</f>
        <v>0</v>
      </c>
      <c r="AJ373" s="33">
        <f>IF(B373="","",IF(OR(AH373="",AI373=""),"",AH373-AI373))</f>
        <v>0</v>
      </c>
      <c r="AK373" s="41">
        <f>IF(B373="","",IFERROR(ROUND(IF(D373="",0,D373)*INDEX(Products!$X$5:$X$304,MATCH(C373,Products!$A$5:$A$304,0))/60,2),""))</f>
        <v>0</v>
      </c>
      <c r="AL373" s="20">
        <f>IF(B373="","",IF(OR(AK373="",AK373=0),"",ROUND(AG373/AK373,2)))</f>
        <v>0</v>
      </c>
      <c r="AM373" s="43">
        <f>IF(B373="","",IF(C373="","Add - which product?",IF(AG373&lt;0,"Loss - this order cost you money",IF(M373="Refunded","Refunded - check why",IF(AND(AF373&lt;&gt;"",AF373&gt;0.25),"Check - fees higher than your settings",IF(Z373&gt;1,"Check - postage is eating the margin",IF(AND(AH373&lt;&gt;"",AH373&lt;MarginWarning),"Low margin on this order","OK")))))) )</f>
        <v>0</v>
      </c>
    </row>
    <row r="374" spans="1:39">
      <c r="A374" s="38">
        <f>IF(B374="","",SalePrefix&amp;TEXT(ROW()-4,"0000"))</f>
        <v>0</v>
      </c>
      <c r="Q374" s="13">
        <f>IF(C374="","",IFERROR(INDEX(Products!$B$5:$B$304,MATCH(C374,Products!$A$5:$A$304,0)),"Bundle or deleted"))</f>
        <v>0</v>
      </c>
      <c r="R374" s="13">
        <f>IF(B374="","",TEXT(B374,"yyyy-mm"))</f>
        <v>0</v>
      </c>
      <c r="S374" s="20">
        <f>IF(C374="","",IFERROR(INDEX(Products!$AR$5:$AR$304,MATCH(C374,Products!$A$5:$A$304,0)),""))</f>
        <v>0</v>
      </c>
      <c r="T374" s="20">
        <f>IF(B374="","",IF(F374&lt;&gt;"",F374,IF(S374="",0,S374)))</f>
        <v>0</v>
      </c>
      <c r="U374" s="20">
        <f>IF(B374="","",ROUND(IF(D374="",0,D374)*T374,2))</f>
        <v>0</v>
      </c>
      <c r="V374" s="20">
        <f>IF(B374="","",ROUND(U374-IF(G374="",0,G374)-IF(L374="",0,L374),2))</f>
        <v>0</v>
      </c>
      <c r="W374" s="20">
        <f>IF(C374="","",IFERROR(INDEX(Products!$AT$5:$AT$304,MATCH(C374,Products!$A$5:$A$304,0)),""))</f>
        <v>0</v>
      </c>
      <c r="X374" s="20">
        <f>IF(C374="","",IFERROR(INDEX(Products!$AG$5:$AG$304,MATCH(C374,Products!$A$5:$A$304,0)),""))</f>
        <v>0</v>
      </c>
      <c r="Y374" s="20">
        <f>IF(B374="","",ROUND(IF(D374="",0,D374)*MAX(0,IF(W374="",0,W374)-IF(X374="",0,X374)),2))</f>
        <v>0</v>
      </c>
      <c r="Z374" s="20">
        <f>IF(B374="","",ROUND(MAX(0,IF(J374="",0,J374)-IF(I374="",0,I374)),2))</f>
        <v>0</v>
      </c>
      <c r="AA374" s="33">
        <f>IF(B374="","",IFERROR(INDEX(Channels!$S$5:$S$18,MATCH(IF(E374="",DefaultChannel,E374),Channels!$A$5:$A$18,0)),0))</f>
        <v>0</v>
      </c>
      <c r="AB374" s="20">
        <f>IF(B374="","",IFERROR(INDEX(Channels!$T$5:$T$18,MATCH(IF(E374="",DefaultChannel,E374),Channels!$A$5:$A$18,0)),0))</f>
        <v>0</v>
      </c>
      <c r="AC374" s="42">
        <f>IF(B374="","",IFERROR(INDEX(Channels!$O$5:$O$18,MATCH(IF(E374="",DefaultChannel,E374),Channels!$A$5:$A$18,0)),"No"))</f>
        <v>0</v>
      </c>
      <c r="AD374" s="20">
        <f>IF(B374="","",ROUND((V374+IF(AC374="Yes",IF(I374="",0,I374),0))*AA374+AB374,2))</f>
        <v>0</v>
      </c>
      <c r="AE374" s="20">
        <f>IF(B374="","",IF(K374&lt;&gt;"",K374,AD374))</f>
        <v>0</v>
      </c>
      <c r="AF374" s="20">
        <f>IF(B374="","",IF(K374="","",ROUND(K374-AD374,2)))</f>
        <v>0</v>
      </c>
      <c r="AG374" s="20">
        <f>IF(B374="","",ROUND(V374-Y374-AE374-Z374,2))</f>
        <v>0</v>
      </c>
      <c r="AH374" s="33">
        <f>IF(B374="","",IF(OR(V374="",V374=0),"",AG374/V374))</f>
        <v>0</v>
      </c>
      <c r="AI374" s="33">
        <f>IF(C374="","",IFERROR(INDEX(Products!$AW$5:$AW$304,MATCH(C374,Products!$A$5:$A$304,0)),""))</f>
        <v>0</v>
      </c>
      <c r="AJ374" s="33">
        <f>IF(B374="","",IF(OR(AH374="",AI374=""),"",AH374-AI374))</f>
        <v>0</v>
      </c>
      <c r="AK374" s="41">
        <f>IF(B374="","",IFERROR(ROUND(IF(D374="",0,D374)*INDEX(Products!$X$5:$X$304,MATCH(C374,Products!$A$5:$A$304,0))/60,2),""))</f>
        <v>0</v>
      </c>
      <c r="AL374" s="20">
        <f>IF(B374="","",IF(OR(AK374="",AK374=0),"",ROUND(AG374/AK374,2)))</f>
        <v>0</v>
      </c>
      <c r="AM374" s="43">
        <f>IF(B374="","",IF(C374="","Add - which product?",IF(AG374&lt;0,"Loss - this order cost you money",IF(M374="Refunded","Refunded - check why",IF(AND(AF374&lt;&gt;"",AF374&gt;0.25),"Check - fees higher than your settings",IF(Z374&gt;1,"Check - postage is eating the margin",IF(AND(AH374&lt;&gt;"",AH374&lt;MarginWarning),"Low margin on this order","OK")))))) )</f>
        <v>0</v>
      </c>
    </row>
    <row r="375" spans="1:39">
      <c r="A375" s="38">
        <f>IF(B375="","",SalePrefix&amp;TEXT(ROW()-4,"0000"))</f>
        <v>0</v>
      </c>
      <c r="Q375" s="13">
        <f>IF(C375="","",IFERROR(INDEX(Products!$B$5:$B$304,MATCH(C375,Products!$A$5:$A$304,0)),"Bundle or deleted"))</f>
        <v>0</v>
      </c>
      <c r="R375" s="13">
        <f>IF(B375="","",TEXT(B375,"yyyy-mm"))</f>
        <v>0</v>
      </c>
      <c r="S375" s="20">
        <f>IF(C375="","",IFERROR(INDEX(Products!$AR$5:$AR$304,MATCH(C375,Products!$A$5:$A$304,0)),""))</f>
        <v>0</v>
      </c>
      <c r="T375" s="20">
        <f>IF(B375="","",IF(F375&lt;&gt;"",F375,IF(S375="",0,S375)))</f>
        <v>0</v>
      </c>
      <c r="U375" s="20">
        <f>IF(B375="","",ROUND(IF(D375="",0,D375)*T375,2))</f>
        <v>0</v>
      </c>
      <c r="V375" s="20">
        <f>IF(B375="","",ROUND(U375-IF(G375="",0,G375)-IF(L375="",0,L375),2))</f>
        <v>0</v>
      </c>
      <c r="W375" s="20">
        <f>IF(C375="","",IFERROR(INDEX(Products!$AT$5:$AT$304,MATCH(C375,Products!$A$5:$A$304,0)),""))</f>
        <v>0</v>
      </c>
      <c r="X375" s="20">
        <f>IF(C375="","",IFERROR(INDEX(Products!$AG$5:$AG$304,MATCH(C375,Products!$A$5:$A$304,0)),""))</f>
        <v>0</v>
      </c>
      <c r="Y375" s="20">
        <f>IF(B375="","",ROUND(IF(D375="",0,D375)*MAX(0,IF(W375="",0,W375)-IF(X375="",0,X375)),2))</f>
        <v>0</v>
      </c>
      <c r="Z375" s="20">
        <f>IF(B375="","",ROUND(MAX(0,IF(J375="",0,J375)-IF(I375="",0,I375)),2))</f>
        <v>0</v>
      </c>
      <c r="AA375" s="33">
        <f>IF(B375="","",IFERROR(INDEX(Channels!$S$5:$S$18,MATCH(IF(E375="",DefaultChannel,E375),Channels!$A$5:$A$18,0)),0))</f>
        <v>0</v>
      </c>
      <c r="AB375" s="20">
        <f>IF(B375="","",IFERROR(INDEX(Channels!$T$5:$T$18,MATCH(IF(E375="",DefaultChannel,E375),Channels!$A$5:$A$18,0)),0))</f>
        <v>0</v>
      </c>
      <c r="AC375" s="42">
        <f>IF(B375="","",IFERROR(INDEX(Channels!$O$5:$O$18,MATCH(IF(E375="",DefaultChannel,E375),Channels!$A$5:$A$18,0)),"No"))</f>
        <v>0</v>
      </c>
      <c r="AD375" s="20">
        <f>IF(B375="","",ROUND((V375+IF(AC375="Yes",IF(I375="",0,I375),0))*AA375+AB375,2))</f>
        <v>0</v>
      </c>
      <c r="AE375" s="20">
        <f>IF(B375="","",IF(K375&lt;&gt;"",K375,AD375))</f>
        <v>0</v>
      </c>
      <c r="AF375" s="20">
        <f>IF(B375="","",IF(K375="","",ROUND(K375-AD375,2)))</f>
        <v>0</v>
      </c>
      <c r="AG375" s="20">
        <f>IF(B375="","",ROUND(V375-Y375-AE375-Z375,2))</f>
        <v>0</v>
      </c>
      <c r="AH375" s="33">
        <f>IF(B375="","",IF(OR(V375="",V375=0),"",AG375/V375))</f>
        <v>0</v>
      </c>
      <c r="AI375" s="33">
        <f>IF(C375="","",IFERROR(INDEX(Products!$AW$5:$AW$304,MATCH(C375,Products!$A$5:$A$304,0)),""))</f>
        <v>0</v>
      </c>
      <c r="AJ375" s="33">
        <f>IF(B375="","",IF(OR(AH375="",AI375=""),"",AH375-AI375))</f>
        <v>0</v>
      </c>
      <c r="AK375" s="41">
        <f>IF(B375="","",IFERROR(ROUND(IF(D375="",0,D375)*INDEX(Products!$X$5:$X$304,MATCH(C375,Products!$A$5:$A$304,0))/60,2),""))</f>
        <v>0</v>
      </c>
      <c r="AL375" s="20">
        <f>IF(B375="","",IF(OR(AK375="",AK375=0),"",ROUND(AG375/AK375,2)))</f>
        <v>0</v>
      </c>
      <c r="AM375" s="43">
        <f>IF(B375="","",IF(C375="","Add - which product?",IF(AG375&lt;0,"Loss - this order cost you money",IF(M375="Refunded","Refunded - check why",IF(AND(AF375&lt;&gt;"",AF375&gt;0.25),"Check - fees higher than your settings",IF(Z375&gt;1,"Check - postage is eating the margin",IF(AND(AH375&lt;&gt;"",AH375&lt;MarginWarning),"Low margin on this order","OK")))))) )</f>
        <v>0</v>
      </c>
    </row>
    <row r="376" spans="1:39">
      <c r="A376" s="38">
        <f>IF(B376="","",SalePrefix&amp;TEXT(ROW()-4,"0000"))</f>
        <v>0</v>
      </c>
      <c r="Q376" s="13">
        <f>IF(C376="","",IFERROR(INDEX(Products!$B$5:$B$304,MATCH(C376,Products!$A$5:$A$304,0)),"Bundle or deleted"))</f>
        <v>0</v>
      </c>
      <c r="R376" s="13">
        <f>IF(B376="","",TEXT(B376,"yyyy-mm"))</f>
        <v>0</v>
      </c>
      <c r="S376" s="20">
        <f>IF(C376="","",IFERROR(INDEX(Products!$AR$5:$AR$304,MATCH(C376,Products!$A$5:$A$304,0)),""))</f>
        <v>0</v>
      </c>
      <c r="T376" s="20">
        <f>IF(B376="","",IF(F376&lt;&gt;"",F376,IF(S376="",0,S376)))</f>
        <v>0</v>
      </c>
      <c r="U376" s="20">
        <f>IF(B376="","",ROUND(IF(D376="",0,D376)*T376,2))</f>
        <v>0</v>
      </c>
      <c r="V376" s="20">
        <f>IF(B376="","",ROUND(U376-IF(G376="",0,G376)-IF(L376="",0,L376),2))</f>
        <v>0</v>
      </c>
      <c r="W376" s="20">
        <f>IF(C376="","",IFERROR(INDEX(Products!$AT$5:$AT$304,MATCH(C376,Products!$A$5:$A$304,0)),""))</f>
        <v>0</v>
      </c>
      <c r="X376" s="20">
        <f>IF(C376="","",IFERROR(INDEX(Products!$AG$5:$AG$304,MATCH(C376,Products!$A$5:$A$304,0)),""))</f>
        <v>0</v>
      </c>
      <c r="Y376" s="20">
        <f>IF(B376="","",ROUND(IF(D376="",0,D376)*MAX(0,IF(W376="",0,W376)-IF(X376="",0,X376)),2))</f>
        <v>0</v>
      </c>
      <c r="Z376" s="20">
        <f>IF(B376="","",ROUND(MAX(0,IF(J376="",0,J376)-IF(I376="",0,I376)),2))</f>
        <v>0</v>
      </c>
      <c r="AA376" s="33">
        <f>IF(B376="","",IFERROR(INDEX(Channels!$S$5:$S$18,MATCH(IF(E376="",DefaultChannel,E376),Channels!$A$5:$A$18,0)),0))</f>
        <v>0</v>
      </c>
      <c r="AB376" s="20">
        <f>IF(B376="","",IFERROR(INDEX(Channels!$T$5:$T$18,MATCH(IF(E376="",DefaultChannel,E376),Channels!$A$5:$A$18,0)),0))</f>
        <v>0</v>
      </c>
      <c r="AC376" s="42">
        <f>IF(B376="","",IFERROR(INDEX(Channels!$O$5:$O$18,MATCH(IF(E376="",DefaultChannel,E376),Channels!$A$5:$A$18,0)),"No"))</f>
        <v>0</v>
      </c>
      <c r="AD376" s="20">
        <f>IF(B376="","",ROUND((V376+IF(AC376="Yes",IF(I376="",0,I376),0))*AA376+AB376,2))</f>
        <v>0</v>
      </c>
      <c r="AE376" s="20">
        <f>IF(B376="","",IF(K376&lt;&gt;"",K376,AD376))</f>
        <v>0</v>
      </c>
      <c r="AF376" s="20">
        <f>IF(B376="","",IF(K376="","",ROUND(K376-AD376,2)))</f>
        <v>0</v>
      </c>
      <c r="AG376" s="20">
        <f>IF(B376="","",ROUND(V376-Y376-AE376-Z376,2))</f>
        <v>0</v>
      </c>
      <c r="AH376" s="33">
        <f>IF(B376="","",IF(OR(V376="",V376=0),"",AG376/V376))</f>
        <v>0</v>
      </c>
      <c r="AI376" s="33">
        <f>IF(C376="","",IFERROR(INDEX(Products!$AW$5:$AW$304,MATCH(C376,Products!$A$5:$A$304,0)),""))</f>
        <v>0</v>
      </c>
      <c r="AJ376" s="33">
        <f>IF(B376="","",IF(OR(AH376="",AI376=""),"",AH376-AI376))</f>
        <v>0</v>
      </c>
      <c r="AK376" s="41">
        <f>IF(B376="","",IFERROR(ROUND(IF(D376="",0,D376)*INDEX(Products!$X$5:$X$304,MATCH(C376,Products!$A$5:$A$304,0))/60,2),""))</f>
        <v>0</v>
      </c>
      <c r="AL376" s="20">
        <f>IF(B376="","",IF(OR(AK376="",AK376=0),"",ROUND(AG376/AK376,2)))</f>
        <v>0</v>
      </c>
      <c r="AM376" s="43">
        <f>IF(B376="","",IF(C376="","Add - which product?",IF(AG376&lt;0,"Loss - this order cost you money",IF(M376="Refunded","Refunded - check why",IF(AND(AF376&lt;&gt;"",AF376&gt;0.25),"Check - fees higher than your settings",IF(Z376&gt;1,"Check - postage is eating the margin",IF(AND(AH376&lt;&gt;"",AH376&lt;MarginWarning),"Low margin on this order","OK")))))) )</f>
        <v>0</v>
      </c>
    </row>
    <row r="377" spans="1:39">
      <c r="A377" s="38">
        <f>IF(B377="","",SalePrefix&amp;TEXT(ROW()-4,"0000"))</f>
        <v>0</v>
      </c>
      <c r="Q377" s="13">
        <f>IF(C377="","",IFERROR(INDEX(Products!$B$5:$B$304,MATCH(C377,Products!$A$5:$A$304,0)),"Bundle or deleted"))</f>
        <v>0</v>
      </c>
      <c r="R377" s="13">
        <f>IF(B377="","",TEXT(B377,"yyyy-mm"))</f>
        <v>0</v>
      </c>
      <c r="S377" s="20">
        <f>IF(C377="","",IFERROR(INDEX(Products!$AR$5:$AR$304,MATCH(C377,Products!$A$5:$A$304,0)),""))</f>
        <v>0</v>
      </c>
      <c r="T377" s="20">
        <f>IF(B377="","",IF(F377&lt;&gt;"",F377,IF(S377="",0,S377)))</f>
        <v>0</v>
      </c>
      <c r="U377" s="20">
        <f>IF(B377="","",ROUND(IF(D377="",0,D377)*T377,2))</f>
        <v>0</v>
      </c>
      <c r="V377" s="20">
        <f>IF(B377="","",ROUND(U377-IF(G377="",0,G377)-IF(L377="",0,L377),2))</f>
        <v>0</v>
      </c>
      <c r="W377" s="20">
        <f>IF(C377="","",IFERROR(INDEX(Products!$AT$5:$AT$304,MATCH(C377,Products!$A$5:$A$304,0)),""))</f>
        <v>0</v>
      </c>
      <c r="X377" s="20">
        <f>IF(C377="","",IFERROR(INDEX(Products!$AG$5:$AG$304,MATCH(C377,Products!$A$5:$A$304,0)),""))</f>
        <v>0</v>
      </c>
      <c r="Y377" s="20">
        <f>IF(B377="","",ROUND(IF(D377="",0,D377)*MAX(0,IF(W377="",0,W377)-IF(X377="",0,X377)),2))</f>
        <v>0</v>
      </c>
      <c r="Z377" s="20">
        <f>IF(B377="","",ROUND(MAX(0,IF(J377="",0,J377)-IF(I377="",0,I377)),2))</f>
        <v>0</v>
      </c>
      <c r="AA377" s="33">
        <f>IF(B377="","",IFERROR(INDEX(Channels!$S$5:$S$18,MATCH(IF(E377="",DefaultChannel,E377),Channels!$A$5:$A$18,0)),0))</f>
        <v>0</v>
      </c>
      <c r="AB377" s="20">
        <f>IF(B377="","",IFERROR(INDEX(Channels!$T$5:$T$18,MATCH(IF(E377="",DefaultChannel,E377),Channels!$A$5:$A$18,0)),0))</f>
        <v>0</v>
      </c>
      <c r="AC377" s="42">
        <f>IF(B377="","",IFERROR(INDEX(Channels!$O$5:$O$18,MATCH(IF(E377="",DefaultChannel,E377),Channels!$A$5:$A$18,0)),"No"))</f>
        <v>0</v>
      </c>
      <c r="AD377" s="20">
        <f>IF(B377="","",ROUND((V377+IF(AC377="Yes",IF(I377="",0,I377),0))*AA377+AB377,2))</f>
        <v>0</v>
      </c>
      <c r="AE377" s="20">
        <f>IF(B377="","",IF(K377&lt;&gt;"",K377,AD377))</f>
        <v>0</v>
      </c>
      <c r="AF377" s="20">
        <f>IF(B377="","",IF(K377="","",ROUND(K377-AD377,2)))</f>
        <v>0</v>
      </c>
      <c r="AG377" s="20">
        <f>IF(B377="","",ROUND(V377-Y377-AE377-Z377,2))</f>
        <v>0</v>
      </c>
      <c r="AH377" s="33">
        <f>IF(B377="","",IF(OR(V377="",V377=0),"",AG377/V377))</f>
        <v>0</v>
      </c>
      <c r="AI377" s="33">
        <f>IF(C377="","",IFERROR(INDEX(Products!$AW$5:$AW$304,MATCH(C377,Products!$A$5:$A$304,0)),""))</f>
        <v>0</v>
      </c>
      <c r="AJ377" s="33">
        <f>IF(B377="","",IF(OR(AH377="",AI377=""),"",AH377-AI377))</f>
        <v>0</v>
      </c>
      <c r="AK377" s="41">
        <f>IF(B377="","",IFERROR(ROUND(IF(D377="",0,D377)*INDEX(Products!$X$5:$X$304,MATCH(C377,Products!$A$5:$A$304,0))/60,2),""))</f>
        <v>0</v>
      </c>
      <c r="AL377" s="20">
        <f>IF(B377="","",IF(OR(AK377="",AK377=0),"",ROUND(AG377/AK377,2)))</f>
        <v>0</v>
      </c>
      <c r="AM377" s="43">
        <f>IF(B377="","",IF(C377="","Add - which product?",IF(AG377&lt;0,"Loss - this order cost you money",IF(M377="Refunded","Refunded - check why",IF(AND(AF377&lt;&gt;"",AF377&gt;0.25),"Check - fees higher than your settings",IF(Z377&gt;1,"Check - postage is eating the margin",IF(AND(AH377&lt;&gt;"",AH377&lt;MarginWarning),"Low margin on this order","OK")))))) )</f>
        <v>0</v>
      </c>
    </row>
    <row r="378" spans="1:39">
      <c r="A378" s="38">
        <f>IF(B378="","",SalePrefix&amp;TEXT(ROW()-4,"0000"))</f>
        <v>0</v>
      </c>
      <c r="Q378" s="13">
        <f>IF(C378="","",IFERROR(INDEX(Products!$B$5:$B$304,MATCH(C378,Products!$A$5:$A$304,0)),"Bundle or deleted"))</f>
        <v>0</v>
      </c>
      <c r="R378" s="13">
        <f>IF(B378="","",TEXT(B378,"yyyy-mm"))</f>
        <v>0</v>
      </c>
      <c r="S378" s="20">
        <f>IF(C378="","",IFERROR(INDEX(Products!$AR$5:$AR$304,MATCH(C378,Products!$A$5:$A$304,0)),""))</f>
        <v>0</v>
      </c>
      <c r="T378" s="20">
        <f>IF(B378="","",IF(F378&lt;&gt;"",F378,IF(S378="",0,S378)))</f>
        <v>0</v>
      </c>
      <c r="U378" s="20">
        <f>IF(B378="","",ROUND(IF(D378="",0,D378)*T378,2))</f>
        <v>0</v>
      </c>
      <c r="V378" s="20">
        <f>IF(B378="","",ROUND(U378-IF(G378="",0,G378)-IF(L378="",0,L378),2))</f>
        <v>0</v>
      </c>
      <c r="W378" s="20">
        <f>IF(C378="","",IFERROR(INDEX(Products!$AT$5:$AT$304,MATCH(C378,Products!$A$5:$A$304,0)),""))</f>
        <v>0</v>
      </c>
      <c r="X378" s="20">
        <f>IF(C378="","",IFERROR(INDEX(Products!$AG$5:$AG$304,MATCH(C378,Products!$A$5:$A$304,0)),""))</f>
        <v>0</v>
      </c>
      <c r="Y378" s="20">
        <f>IF(B378="","",ROUND(IF(D378="",0,D378)*MAX(0,IF(W378="",0,W378)-IF(X378="",0,X378)),2))</f>
        <v>0</v>
      </c>
      <c r="Z378" s="20">
        <f>IF(B378="","",ROUND(MAX(0,IF(J378="",0,J378)-IF(I378="",0,I378)),2))</f>
        <v>0</v>
      </c>
      <c r="AA378" s="33">
        <f>IF(B378="","",IFERROR(INDEX(Channels!$S$5:$S$18,MATCH(IF(E378="",DefaultChannel,E378),Channels!$A$5:$A$18,0)),0))</f>
        <v>0</v>
      </c>
      <c r="AB378" s="20">
        <f>IF(B378="","",IFERROR(INDEX(Channels!$T$5:$T$18,MATCH(IF(E378="",DefaultChannel,E378),Channels!$A$5:$A$18,0)),0))</f>
        <v>0</v>
      </c>
      <c r="AC378" s="42">
        <f>IF(B378="","",IFERROR(INDEX(Channels!$O$5:$O$18,MATCH(IF(E378="",DefaultChannel,E378),Channels!$A$5:$A$18,0)),"No"))</f>
        <v>0</v>
      </c>
      <c r="AD378" s="20">
        <f>IF(B378="","",ROUND((V378+IF(AC378="Yes",IF(I378="",0,I378),0))*AA378+AB378,2))</f>
        <v>0</v>
      </c>
      <c r="AE378" s="20">
        <f>IF(B378="","",IF(K378&lt;&gt;"",K378,AD378))</f>
        <v>0</v>
      </c>
      <c r="AF378" s="20">
        <f>IF(B378="","",IF(K378="","",ROUND(K378-AD378,2)))</f>
        <v>0</v>
      </c>
      <c r="AG378" s="20">
        <f>IF(B378="","",ROUND(V378-Y378-AE378-Z378,2))</f>
        <v>0</v>
      </c>
      <c r="AH378" s="33">
        <f>IF(B378="","",IF(OR(V378="",V378=0),"",AG378/V378))</f>
        <v>0</v>
      </c>
      <c r="AI378" s="33">
        <f>IF(C378="","",IFERROR(INDEX(Products!$AW$5:$AW$304,MATCH(C378,Products!$A$5:$A$304,0)),""))</f>
        <v>0</v>
      </c>
      <c r="AJ378" s="33">
        <f>IF(B378="","",IF(OR(AH378="",AI378=""),"",AH378-AI378))</f>
        <v>0</v>
      </c>
      <c r="AK378" s="41">
        <f>IF(B378="","",IFERROR(ROUND(IF(D378="",0,D378)*INDEX(Products!$X$5:$X$304,MATCH(C378,Products!$A$5:$A$304,0))/60,2),""))</f>
        <v>0</v>
      </c>
      <c r="AL378" s="20">
        <f>IF(B378="","",IF(OR(AK378="",AK378=0),"",ROUND(AG378/AK378,2)))</f>
        <v>0</v>
      </c>
      <c r="AM378" s="43">
        <f>IF(B378="","",IF(C378="","Add - which product?",IF(AG378&lt;0,"Loss - this order cost you money",IF(M378="Refunded","Refunded - check why",IF(AND(AF378&lt;&gt;"",AF378&gt;0.25),"Check - fees higher than your settings",IF(Z378&gt;1,"Check - postage is eating the margin",IF(AND(AH378&lt;&gt;"",AH378&lt;MarginWarning),"Low margin on this order","OK")))))) )</f>
        <v>0</v>
      </c>
    </row>
    <row r="379" spans="1:39">
      <c r="A379" s="38">
        <f>IF(B379="","",SalePrefix&amp;TEXT(ROW()-4,"0000"))</f>
        <v>0</v>
      </c>
      <c r="Q379" s="13">
        <f>IF(C379="","",IFERROR(INDEX(Products!$B$5:$B$304,MATCH(C379,Products!$A$5:$A$304,0)),"Bundle or deleted"))</f>
        <v>0</v>
      </c>
      <c r="R379" s="13">
        <f>IF(B379="","",TEXT(B379,"yyyy-mm"))</f>
        <v>0</v>
      </c>
      <c r="S379" s="20">
        <f>IF(C379="","",IFERROR(INDEX(Products!$AR$5:$AR$304,MATCH(C379,Products!$A$5:$A$304,0)),""))</f>
        <v>0</v>
      </c>
      <c r="T379" s="20">
        <f>IF(B379="","",IF(F379&lt;&gt;"",F379,IF(S379="",0,S379)))</f>
        <v>0</v>
      </c>
      <c r="U379" s="20">
        <f>IF(B379="","",ROUND(IF(D379="",0,D379)*T379,2))</f>
        <v>0</v>
      </c>
      <c r="V379" s="20">
        <f>IF(B379="","",ROUND(U379-IF(G379="",0,G379)-IF(L379="",0,L379),2))</f>
        <v>0</v>
      </c>
      <c r="W379" s="20">
        <f>IF(C379="","",IFERROR(INDEX(Products!$AT$5:$AT$304,MATCH(C379,Products!$A$5:$A$304,0)),""))</f>
        <v>0</v>
      </c>
      <c r="X379" s="20">
        <f>IF(C379="","",IFERROR(INDEX(Products!$AG$5:$AG$304,MATCH(C379,Products!$A$5:$A$304,0)),""))</f>
        <v>0</v>
      </c>
      <c r="Y379" s="20">
        <f>IF(B379="","",ROUND(IF(D379="",0,D379)*MAX(0,IF(W379="",0,W379)-IF(X379="",0,X379)),2))</f>
        <v>0</v>
      </c>
      <c r="Z379" s="20">
        <f>IF(B379="","",ROUND(MAX(0,IF(J379="",0,J379)-IF(I379="",0,I379)),2))</f>
        <v>0</v>
      </c>
      <c r="AA379" s="33">
        <f>IF(B379="","",IFERROR(INDEX(Channels!$S$5:$S$18,MATCH(IF(E379="",DefaultChannel,E379),Channels!$A$5:$A$18,0)),0))</f>
        <v>0</v>
      </c>
      <c r="AB379" s="20">
        <f>IF(B379="","",IFERROR(INDEX(Channels!$T$5:$T$18,MATCH(IF(E379="",DefaultChannel,E379),Channels!$A$5:$A$18,0)),0))</f>
        <v>0</v>
      </c>
      <c r="AC379" s="42">
        <f>IF(B379="","",IFERROR(INDEX(Channels!$O$5:$O$18,MATCH(IF(E379="",DefaultChannel,E379),Channels!$A$5:$A$18,0)),"No"))</f>
        <v>0</v>
      </c>
      <c r="AD379" s="20">
        <f>IF(B379="","",ROUND((V379+IF(AC379="Yes",IF(I379="",0,I379),0))*AA379+AB379,2))</f>
        <v>0</v>
      </c>
      <c r="AE379" s="20">
        <f>IF(B379="","",IF(K379&lt;&gt;"",K379,AD379))</f>
        <v>0</v>
      </c>
      <c r="AF379" s="20">
        <f>IF(B379="","",IF(K379="","",ROUND(K379-AD379,2)))</f>
        <v>0</v>
      </c>
      <c r="AG379" s="20">
        <f>IF(B379="","",ROUND(V379-Y379-AE379-Z379,2))</f>
        <v>0</v>
      </c>
      <c r="AH379" s="33">
        <f>IF(B379="","",IF(OR(V379="",V379=0),"",AG379/V379))</f>
        <v>0</v>
      </c>
      <c r="AI379" s="33">
        <f>IF(C379="","",IFERROR(INDEX(Products!$AW$5:$AW$304,MATCH(C379,Products!$A$5:$A$304,0)),""))</f>
        <v>0</v>
      </c>
      <c r="AJ379" s="33">
        <f>IF(B379="","",IF(OR(AH379="",AI379=""),"",AH379-AI379))</f>
        <v>0</v>
      </c>
      <c r="AK379" s="41">
        <f>IF(B379="","",IFERROR(ROUND(IF(D379="",0,D379)*INDEX(Products!$X$5:$X$304,MATCH(C379,Products!$A$5:$A$304,0))/60,2),""))</f>
        <v>0</v>
      </c>
      <c r="AL379" s="20">
        <f>IF(B379="","",IF(OR(AK379="",AK379=0),"",ROUND(AG379/AK379,2)))</f>
        <v>0</v>
      </c>
      <c r="AM379" s="43">
        <f>IF(B379="","",IF(C379="","Add - which product?",IF(AG379&lt;0,"Loss - this order cost you money",IF(M379="Refunded","Refunded - check why",IF(AND(AF379&lt;&gt;"",AF379&gt;0.25),"Check - fees higher than your settings",IF(Z379&gt;1,"Check - postage is eating the margin",IF(AND(AH379&lt;&gt;"",AH379&lt;MarginWarning),"Low margin on this order","OK")))))) )</f>
        <v>0</v>
      </c>
    </row>
    <row r="380" spans="1:39">
      <c r="A380" s="38">
        <f>IF(B380="","",SalePrefix&amp;TEXT(ROW()-4,"0000"))</f>
        <v>0</v>
      </c>
      <c r="Q380" s="13">
        <f>IF(C380="","",IFERROR(INDEX(Products!$B$5:$B$304,MATCH(C380,Products!$A$5:$A$304,0)),"Bundle or deleted"))</f>
        <v>0</v>
      </c>
      <c r="R380" s="13">
        <f>IF(B380="","",TEXT(B380,"yyyy-mm"))</f>
        <v>0</v>
      </c>
      <c r="S380" s="20">
        <f>IF(C380="","",IFERROR(INDEX(Products!$AR$5:$AR$304,MATCH(C380,Products!$A$5:$A$304,0)),""))</f>
        <v>0</v>
      </c>
      <c r="T380" s="20">
        <f>IF(B380="","",IF(F380&lt;&gt;"",F380,IF(S380="",0,S380)))</f>
        <v>0</v>
      </c>
      <c r="U380" s="20">
        <f>IF(B380="","",ROUND(IF(D380="",0,D380)*T380,2))</f>
        <v>0</v>
      </c>
      <c r="V380" s="20">
        <f>IF(B380="","",ROUND(U380-IF(G380="",0,G380)-IF(L380="",0,L380),2))</f>
        <v>0</v>
      </c>
      <c r="W380" s="20">
        <f>IF(C380="","",IFERROR(INDEX(Products!$AT$5:$AT$304,MATCH(C380,Products!$A$5:$A$304,0)),""))</f>
        <v>0</v>
      </c>
      <c r="X380" s="20">
        <f>IF(C380="","",IFERROR(INDEX(Products!$AG$5:$AG$304,MATCH(C380,Products!$A$5:$A$304,0)),""))</f>
        <v>0</v>
      </c>
      <c r="Y380" s="20">
        <f>IF(B380="","",ROUND(IF(D380="",0,D380)*MAX(0,IF(W380="",0,W380)-IF(X380="",0,X380)),2))</f>
        <v>0</v>
      </c>
      <c r="Z380" s="20">
        <f>IF(B380="","",ROUND(MAX(0,IF(J380="",0,J380)-IF(I380="",0,I380)),2))</f>
        <v>0</v>
      </c>
      <c r="AA380" s="33">
        <f>IF(B380="","",IFERROR(INDEX(Channels!$S$5:$S$18,MATCH(IF(E380="",DefaultChannel,E380),Channels!$A$5:$A$18,0)),0))</f>
        <v>0</v>
      </c>
      <c r="AB380" s="20">
        <f>IF(B380="","",IFERROR(INDEX(Channels!$T$5:$T$18,MATCH(IF(E380="",DefaultChannel,E380),Channels!$A$5:$A$18,0)),0))</f>
        <v>0</v>
      </c>
      <c r="AC380" s="42">
        <f>IF(B380="","",IFERROR(INDEX(Channels!$O$5:$O$18,MATCH(IF(E380="",DefaultChannel,E380),Channels!$A$5:$A$18,0)),"No"))</f>
        <v>0</v>
      </c>
      <c r="AD380" s="20">
        <f>IF(B380="","",ROUND((V380+IF(AC380="Yes",IF(I380="",0,I380),0))*AA380+AB380,2))</f>
        <v>0</v>
      </c>
      <c r="AE380" s="20">
        <f>IF(B380="","",IF(K380&lt;&gt;"",K380,AD380))</f>
        <v>0</v>
      </c>
      <c r="AF380" s="20">
        <f>IF(B380="","",IF(K380="","",ROUND(K380-AD380,2)))</f>
        <v>0</v>
      </c>
      <c r="AG380" s="20">
        <f>IF(B380="","",ROUND(V380-Y380-AE380-Z380,2))</f>
        <v>0</v>
      </c>
      <c r="AH380" s="33">
        <f>IF(B380="","",IF(OR(V380="",V380=0),"",AG380/V380))</f>
        <v>0</v>
      </c>
      <c r="AI380" s="33">
        <f>IF(C380="","",IFERROR(INDEX(Products!$AW$5:$AW$304,MATCH(C380,Products!$A$5:$A$304,0)),""))</f>
        <v>0</v>
      </c>
      <c r="AJ380" s="33">
        <f>IF(B380="","",IF(OR(AH380="",AI380=""),"",AH380-AI380))</f>
        <v>0</v>
      </c>
      <c r="AK380" s="41">
        <f>IF(B380="","",IFERROR(ROUND(IF(D380="",0,D380)*INDEX(Products!$X$5:$X$304,MATCH(C380,Products!$A$5:$A$304,0))/60,2),""))</f>
        <v>0</v>
      </c>
      <c r="AL380" s="20">
        <f>IF(B380="","",IF(OR(AK380="",AK380=0),"",ROUND(AG380/AK380,2)))</f>
        <v>0</v>
      </c>
      <c r="AM380" s="43">
        <f>IF(B380="","",IF(C380="","Add - which product?",IF(AG380&lt;0,"Loss - this order cost you money",IF(M380="Refunded","Refunded - check why",IF(AND(AF380&lt;&gt;"",AF380&gt;0.25),"Check - fees higher than your settings",IF(Z380&gt;1,"Check - postage is eating the margin",IF(AND(AH380&lt;&gt;"",AH380&lt;MarginWarning),"Low margin on this order","OK")))))) )</f>
        <v>0</v>
      </c>
    </row>
    <row r="381" spans="1:39">
      <c r="A381" s="38">
        <f>IF(B381="","",SalePrefix&amp;TEXT(ROW()-4,"0000"))</f>
        <v>0</v>
      </c>
      <c r="Q381" s="13">
        <f>IF(C381="","",IFERROR(INDEX(Products!$B$5:$B$304,MATCH(C381,Products!$A$5:$A$304,0)),"Bundle or deleted"))</f>
        <v>0</v>
      </c>
      <c r="R381" s="13">
        <f>IF(B381="","",TEXT(B381,"yyyy-mm"))</f>
        <v>0</v>
      </c>
      <c r="S381" s="20">
        <f>IF(C381="","",IFERROR(INDEX(Products!$AR$5:$AR$304,MATCH(C381,Products!$A$5:$A$304,0)),""))</f>
        <v>0</v>
      </c>
      <c r="T381" s="20">
        <f>IF(B381="","",IF(F381&lt;&gt;"",F381,IF(S381="",0,S381)))</f>
        <v>0</v>
      </c>
      <c r="U381" s="20">
        <f>IF(B381="","",ROUND(IF(D381="",0,D381)*T381,2))</f>
        <v>0</v>
      </c>
      <c r="V381" s="20">
        <f>IF(B381="","",ROUND(U381-IF(G381="",0,G381)-IF(L381="",0,L381),2))</f>
        <v>0</v>
      </c>
      <c r="W381" s="20">
        <f>IF(C381="","",IFERROR(INDEX(Products!$AT$5:$AT$304,MATCH(C381,Products!$A$5:$A$304,0)),""))</f>
        <v>0</v>
      </c>
      <c r="X381" s="20">
        <f>IF(C381="","",IFERROR(INDEX(Products!$AG$5:$AG$304,MATCH(C381,Products!$A$5:$A$304,0)),""))</f>
        <v>0</v>
      </c>
      <c r="Y381" s="20">
        <f>IF(B381="","",ROUND(IF(D381="",0,D381)*MAX(0,IF(W381="",0,W381)-IF(X381="",0,X381)),2))</f>
        <v>0</v>
      </c>
      <c r="Z381" s="20">
        <f>IF(B381="","",ROUND(MAX(0,IF(J381="",0,J381)-IF(I381="",0,I381)),2))</f>
        <v>0</v>
      </c>
      <c r="AA381" s="33">
        <f>IF(B381="","",IFERROR(INDEX(Channels!$S$5:$S$18,MATCH(IF(E381="",DefaultChannel,E381),Channels!$A$5:$A$18,0)),0))</f>
        <v>0</v>
      </c>
      <c r="AB381" s="20">
        <f>IF(B381="","",IFERROR(INDEX(Channels!$T$5:$T$18,MATCH(IF(E381="",DefaultChannel,E381),Channels!$A$5:$A$18,0)),0))</f>
        <v>0</v>
      </c>
      <c r="AC381" s="42">
        <f>IF(B381="","",IFERROR(INDEX(Channels!$O$5:$O$18,MATCH(IF(E381="",DefaultChannel,E381),Channels!$A$5:$A$18,0)),"No"))</f>
        <v>0</v>
      </c>
      <c r="AD381" s="20">
        <f>IF(B381="","",ROUND((V381+IF(AC381="Yes",IF(I381="",0,I381),0))*AA381+AB381,2))</f>
        <v>0</v>
      </c>
      <c r="AE381" s="20">
        <f>IF(B381="","",IF(K381&lt;&gt;"",K381,AD381))</f>
        <v>0</v>
      </c>
      <c r="AF381" s="20">
        <f>IF(B381="","",IF(K381="","",ROUND(K381-AD381,2)))</f>
        <v>0</v>
      </c>
      <c r="AG381" s="20">
        <f>IF(B381="","",ROUND(V381-Y381-AE381-Z381,2))</f>
        <v>0</v>
      </c>
      <c r="AH381" s="33">
        <f>IF(B381="","",IF(OR(V381="",V381=0),"",AG381/V381))</f>
        <v>0</v>
      </c>
      <c r="AI381" s="33">
        <f>IF(C381="","",IFERROR(INDEX(Products!$AW$5:$AW$304,MATCH(C381,Products!$A$5:$A$304,0)),""))</f>
        <v>0</v>
      </c>
      <c r="AJ381" s="33">
        <f>IF(B381="","",IF(OR(AH381="",AI381=""),"",AH381-AI381))</f>
        <v>0</v>
      </c>
      <c r="AK381" s="41">
        <f>IF(B381="","",IFERROR(ROUND(IF(D381="",0,D381)*INDEX(Products!$X$5:$X$304,MATCH(C381,Products!$A$5:$A$304,0))/60,2),""))</f>
        <v>0</v>
      </c>
      <c r="AL381" s="20">
        <f>IF(B381="","",IF(OR(AK381="",AK381=0),"",ROUND(AG381/AK381,2)))</f>
        <v>0</v>
      </c>
      <c r="AM381" s="43">
        <f>IF(B381="","",IF(C381="","Add - which product?",IF(AG381&lt;0,"Loss - this order cost you money",IF(M381="Refunded","Refunded - check why",IF(AND(AF381&lt;&gt;"",AF381&gt;0.25),"Check - fees higher than your settings",IF(Z381&gt;1,"Check - postage is eating the margin",IF(AND(AH381&lt;&gt;"",AH381&lt;MarginWarning),"Low margin on this order","OK")))))) )</f>
        <v>0</v>
      </c>
    </row>
    <row r="382" spans="1:39">
      <c r="A382" s="38">
        <f>IF(B382="","",SalePrefix&amp;TEXT(ROW()-4,"0000"))</f>
        <v>0</v>
      </c>
      <c r="Q382" s="13">
        <f>IF(C382="","",IFERROR(INDEX(Products!$B$5:$B$304,MATCH(C382,Products!$A$5:$A$304,0)),"Bundle or deleted"))</f>
        <v>0</v>
      </c>
      <c r="R382" s="13">
        <f>IF(B382="","",TEXT(B382,"yyyy-mm"))</f>
        <v>0</v>
      </c>
      <c r="S382" s="20">
        <f>IF(C382="","",IFERROR(INDEX(Products!$AR$5:$AR$304,MATCH(C382,Products!$A$5:$A$304,0)),""))</f>
        <v>0</v>
      </c>
      <c r="T382" s="20">
        <f>IF(B382="","",IF(F382&lt;&gt;"",F382,IF(S382="",0,S382)))</f>
        <v>0</v>
      </c>
      <c r="U382" s="20">
        <f>IF(B382="","",ROUND(IF(D382="",0,D382)*T382,2))</f>
        <v>0</v>
      </c>
      <c r="V382" s="20">
        <f>IF(B382="","",ROUND(U382-IF(G382="",0,G382)-IF(L382="",0,L382),2))</f>
        <v>0</v>
      </c>
      <c r="W382" s="20">
        <f>IF(C382="","",IFERROR(INDEX(Products!$AT$5:$AT$304,MATCH(C382,Products!$A$5:$A$304,0)),""))</f>
        <v>0</v>
      </c>
      <c r="X382" s="20">
        <f>IF(C382="","",IFERROR(INDEX(Products!$AG$5:$AG$304,MATCH(C382,Products!$A$5:$A$304,0)),""))</f>
        <v>0</v>
      </c>
      <c r="Y382" s="20">
        <f>IF(B382="","",ROUND(IF(D382="",0,D382)*MAX(0,IF(W382="",0,W382)-IF(X382="",0,X382)),2))</f>
        <v>0</v>
      </c>
      <c r="Z382" s="20">
        <f>IF(B382="","",ROUND(MAX(0,IF(J382="",0,J382)-IF(I382="",0,I382)),2))</f>
        <v>0</v>
      </c>
      <c r="AA382" s="33">
        <f>IF(B382="","",IFERROR(INDEX(Channels!$S$5:$S$18,MATCH(IF(E382="",DefaultChannel,E382),Channels!$A$5:$A$18,0)),0))</f>
        <v>0</v>
      </c>
      <c r="AB382" s="20">
        <f>IF(B382="","",IFERROR(INDEX(Channels!$T$5:$T$18,MATCH(IF(E382="",DefaultChannel,E382),Channels!$A$5:$A$18,0)),0))</f>
        <v>0</v>
      </c>
      <c r="AC382" s="42">
        <f>IF(B382="","",IFERROR(INDEX(Channels!$O$5:$O$18,MATCH(IF(E382="",DefaultChannel,E382),Channels!$A$5:$A$18,0)),"No"))</f>
        <v>0</v>
      </c>
      <c r="AD382" s="20">
        <f>IF(B382="","",ROUND((V382+IF(AC382="Yes",IF(I382="",0,I382),0))*AA382+AB382,2))</f>
        <v>0</v>
      </c>
      <c r="AE382" s="20">
        <f>IF(B382="","",IF(K382&lt;&gt;"",K382,AD382))</f>
        <v>0</v>
      </c>
      <c r="AF382" s="20">
        <f>IF(B382="","",IF(K382="","",ROUND(K382-AD382,2)))</f>
        <v>0</v>
      </c>
      <c r="AG382" s="20">
        <f>IF(B382="","",ROUND(V382-Y382-AE382-Z382,2))</f>
        <v>0</v>
      </c>
      <c r="AH382" s="33">
        <f>IF(B382="","",IF(OR(V382="",V382=0),"",AG382/V382))</f>
        <v>0</v>
      </c>
      <c r="AI382" s="33">
        <f>IF(C382="","",IFERROR(INDEX(Products!$AW$5:$AW$304,MATCH(C382,Products!$A$5:$A$304,0)),""))</f>
        <v>0</v>
      </c>
      <c r="AJ382" s="33">
        <f>IF(B382="","",IF(OR(AH382="",AI382=""),"",AH382-AI382))</f>
        <v>0</v>
      </c>
      <c r="AK382" s="41">
        <f>IF(B382="","",IFERROR(ROUND(IF(D382="",0,D382)*INDEX(Products!$X$5:$X$304,MATCH(C382,Products!$A$5:$A$304,0))/60,2),""))</f>
        <v>0</v>
      </c>
      <c r="AL382" s="20">
        <f>IF(B382="","",IF(OR(AK382="",AK382=0),"",ROUND(AG382/AK382,2)))</f>
        <v>0</v>
      </c>
      <c r="AM382" s="43">
        <f>IF(B382="","",IF(C382="","Add - which product?",IF(AG382&lt;0,"Loss - this order cost you money",IF(M382="Refunded","Refunded - check why",IF(AND(AF382&lt;&gt;"",AF382&gt;0.25),"Check - fees higher than your settings",IF(Z382&gt;1,"Check - postage is eating the margin",IF(AND(AH382&lt;&gt;"",AH382&lt;MarginWarning),"Low margin on this order","OK")))))) )</f>
        <v>0</v>
      </c>
    </row>
    <row r="383" spans="1:39">
      <c r="A383" s="38">
        <f>IF(B383="","",SalePrefix&amp;TEXT(ROW()-4,"0000"))</f>
        <v>0</v>
      </c>
      <c r="Q383" s="13">
        <f>IF(C383="","",IFERROR(INDEX(Products!$B$5:$B$304,MATCH(C383,Products!$A$5:$A$304,0)),"Bundle or deleted"))</f>
        <v>0</v>
      </c>
      <c r="R383" s="13">
        <f>IF(B383="","",TEXT(B383,"yyyy-mm"))</f>
        <v>0</v>
      </c>
      <c r="S383" s="20">
        <f>IF(C383="","",IFERROR(INDEX(Products!$AR$5:$AR$304,MATCH(C383,Products!$A$5:$A$304,0)),""))</f>
        <v>0</v>
      </c>
      <c r="T383" s="20">
        <f>IF(B383="","",IF(F383&lt;&gt;"",F383,IF(S383="",0,S383)))</f>
        <v>0</v>
      </c>
      <c r="U383" s="20">
        <f>IF(B383="","",ROUND(IF(D383="",0,D383)*T383,2))</f>
        <v>0</v>
      </c>
      <c r="V383" s="20">
        <f>IF(B383="","",ROUND(U383-IF(G383="",0,G383)-IF(L383="",0,L383),2))</f>
        <v>0</v>
      </c>
      <c r="W383" s="20">
        <f>IF(C383="","",IFERROR(INDEX(Products!$AT$5:$AT$304,MATCH(C383,Products!$A$5:$A$304,0)),""))</f>
        <v>0</v>
      </c>
      <c r="X383" s="20">
        <f>IF(C383="","",IFERROR(INDEX(Products!$AG$5:$AG$304,MATCH(C383,Products!$A$5:$A$304,0)),""))</f>
        <v>0</v>
      </c>
      <c r="Y383" s="20">
        <f>IF(B383="","",ROUND(IF(D383="",0,D383)*MAX(0,IF(W383="",0,W383)-IF(X383="",0,X383)),2))</f>
        <v>0</v>
      </c>
      <c r="Z383" s="20">
        <f>IF(B383="","",ROUND(MAX(0,IF(J383="",0,J383)-IF(I383="",0,I383)),2))</f>
        <v>0</v>
      </c>
      <c r="AA383" s="33">
        <f>IF(B383="","",IFERROR(INDEX(Channels!$S$5:$S$18,MATCH(IF(E383="",DefaultChannel,E383),Channels!$A$5:$A$18,0)),0))</f>
        <v>0</v>
      </c>
      <c r="AB383" s="20">
        <f>IF(B383="","",IFERROR(INDEX(Channels!$T$5:$T$18,MATCH(IF(E383="",DefaultChannel,E383),Channels!$A$5:$A$18,0)),0))</f>
        <v>0</v>
      </c>
      <c r="AC383" s="42">
        <f>IF(B383="","",IFERROR(INDEX(Channels!$O$5:$O$18,MATCH(IF(E383="",DefaultChannel,E383),Channels!$A$5:$A$18,0)),"No"))</f>
        <v>0</v>
      </c>
      <c r="AD383" s="20">
        <f>IF(B383="","",ROUND((V383+IF(AC383="Yes",IF(I383="",0,I383),0))*AA383+AB383,2))</f>
        <v>0</v>
      </c>
      <c r="AE383" s="20">
        <f>IF(B383="","",IF(K383&lt;&gt;"",K383,AD383))</f>
        <v>0</v>
      </c>
      <c r="AF383" s="20">
        <f>IF(B383="","",IF(K383="","",ROUND(K383-AD383,2)))</f>
        <v>0</v>
      </c>
      <c r="AG383" s="20">
        <f>IF(B383="","",ROUND(V383-Y383-AE383-Z383,2))</f>
        <v>0</v>
      </c>
      <c r="AH383" s="33">
        <f>IF(B383="","",IF(OR(V383="",V383=0),"",AG383/V383))</f>
        <v>0</v>
      </c>
      <c r="AI383" s="33">
        <f>IF(C383="","",IFERROR(INDEX(Products!$AW$5:$AW$304,MATCH(C383,Products!$A$5:$A$304,0)),""))</f>
        <v>0</v>
      </c>
      <c r="AJ383" s="33">
        <f>IF(B383="","",IF(OR(AH383="",AI383=""),"",AH383-AI383))</f>
        <v>0</v>
      </c>
      <c r="AK383" s="41">
        <f>IF(B383="","",IFERROR(ROUND(IF(D383="",0,D383)*INDEX(Products!$X$5:$X$304,MATCH(C383,Products!$A$5:$A$304,0))/60,2),""))</f>
        <v>0</v>
      </c>
      <c r="AL383" s="20">
        <f>IF(B383="","",IF(OR(AK383="",AK383=0),"",ROUND(AG383/AK383,2)))</f>
        <v>0</v>
      </c>
      <c r="AM383" s="43">
        <f>IF(B383="","",IF(C383="","Add - which product?",IF(AG383&lt;0,"Loss - this order cost you money",IF(M383="Refunded","Refunded - check why",IF(AND(AF383&lt;&gt;"",AF383&gt;0.25),"Check - fees higher than your settings",IF(Z383&gt;1,"Check - postage is eating the margin",IF(AND(AH383&lt;&gt;"",AH383&lt;MarginWarning),"Low margin on this order","OK")))))) )</f>
        <v>0</v>
      </c>
    </row>
    <row r="384" spans="1:39">
      <c r="A384" s="38">
        <f>IF(B384="","",SalePrefix&amp;TEXT(ROW()-4,"0000"))</f>
        <v>0</v>
      </c>
      <c r="Q384" s="13">
        <f>IF(C384="","",IFERROR(INDEX(Products!$B$5:$B$304,MATCH(C384,Products!$A$5:$A$304,0)),"Bundle or deleted"))</f>
        <v>0</v>
      </c>
      <c r="R384" s="13">
        <f>IF(B384="","",TEXT(B384,"yyyy-mm"))</f>
        <v>0</v>
      </c>
      <c r="S384" s="20">
        <f>IF(C384="","",IFERROR(INDEX(Products!$AR$5:$AR$304,MATCH(C384,Products!$A$5:$A$304,0)),""))</f>
        <v>0</v>
      </c>
      <c r="T384" s="20">
        <f>IF(B384="","",IF(F384&lt;&gt;"",F384,IF(S384="",0,S384)))</f>
        <v>0</v>
      </c>
      <c r="U384" s="20">
        <f>IF(B384="","",ROUND(IF(D384="",0,D384)*T384,2))</f>
        <v>0</v>
      </c>
      <c r="V384" s="20">
        <f>IF(B384="","",ROUND(U384-IF(G384="",0,G384)-IF(L384="",0,L384),2))</f>
        <v>0</v>
      </c>
      <c r="W384" s="20">
        <f>IF(C384="","",IFERROR(INDEX(Products!$AT$5:$AT$304,MATCH(C384,Products!$A$5:$A$304,0)),""))</f>
        <v>0</v>
      </c>
      <c r="X384" s="20">
        <f>IF(C384="","",IFERROR(INDEX(Products!$AG$5:$AG$304,MATCH(C384,Products!$A$5:$A$304,0)),""))</f>
        <v>0</v>
      </c>
      <c r="Y384" s="20">
        <f>IF(B384="","",ROUND(IF(D384="",0,D384)*MAX(0,IF(W384="",0,W384)-IF(X384="",0,X384)),2))</f>
        <v>0</v>
      </c>
      <c r="Z384" s="20">
        <f>IF(B384="","",ROUND(MAX(0,IF(J384="",0,J384)-IF(I384="",0,I384)),2))</f>
        <v>0</v>
      </c>
      <c r="AA384" s="33">
        <f>IF(B384="","",IFERROR(INDEX(Channels!$S$5:$S$18,MATCH(IF(E384="",DefaultChannel,E384),Channels!$A$5:$A$18,0)),0))</f>
        <v>0</v>
      </c>
      <c r="AB384" s="20">
        <f>IF(B384="","",IFERROR(INDEX(Channels!$T$5:$T$18,MATCH(IF(E384="",DefaultChannel,E384),Channels!$A$5:$A$18,0)),0))</f>
        <v>0</v>
      </c>
      <c r="AC384" s="42">
        <f>IF(B384="","",IFERROR(INDEX(Channels!$O$5:$O$18,MATCH(IF(E384="",DefaultChannel,E384),Channels!$A$5:$A$18,0)),"No"))</f>
        <v>0</v>
      </c>
      <c r="AD384" s="20">
        <f>IF(B384="","",ROUND((V384+IF(AC384="Yes",IF(I384="",0,I384),0))*AA384+AB384,2))</f>
        <v>0</v>
      </c>
      <c r="AE384" s="20">
        <f>IF(B384="","",IF(K384&lt;&gt;"",K384,AD384))</f>
        <v>0</v>
      </c>
      <c r="AF384" s="20">
        <f>IF(B384="","",IF(K384="","",ROUND(K384-AD384,2)))</f>
        <v>0</v>
      </c>
      <c r="AG384" s="20">
        <f>IF(B384="","",ROUND(V384-Y384-AE384-Z384,2))</f>
        <v>0</v>
      </c>
      <c r="AH384" s="33">
        <f>IF(B384="","",IF(OR(V384="",V384=0),"",AG384/V384))</f>
        <v>0</v>
      </c>
      <c r="AI384" s="33">
        <f>IF(C384="","",IFERROR(INDEX(Products!$AW$5:$AW$304,MATCH(C384,Products!$A$5:$A$304,0)),""))</f>
        <v>0</v>
      </c>
      <c r="AJ384" s="33">
        <f>IF(B384="","",IF(OR(AH384="",AI384=""),"",AH384-AI384))</f>
        <v>0</v>
      </c>
      <c r="AK384" s="41">
        <f>IF(B384="","",IFERROR(ROUND(IF(D384="",0,D384)*INDEX(Products!$X$5:$X$304,MATCH(C384,Products!$A$5:$A$304,0))/60,2),""))</f>
        <v>0</v>
      </c>
      <c r="AL384" s="20">
        <f>IF(B384="","",IF(OR(AK384="",AK384=0),"",ROUND(AG384/AK384,2)))</f>
        <v>0</v>
      </c>
      <c r="AM384" s="43">
        <f>IF(B384="","",IF(C384="","Add - which product?",IF(AG384&lt;0,"Loss - this order cost you money",IF(M384="Refunded","Refunded - check why",IF(AND(AF384&lt;&gt;"",AF384&gt;0.25),"Check - fees higher than your settings",IF(Z384&gt;1,"Check - postage is eating the margin",IF(AND(AH384&lt;&gt;"",AH384&lt;MarginWarning),"Low margin on this order","OK")))))) )</f>
        <v>0</v>
      </c>
    </row>
    <row r="385" spans="1:39">
      <c r="A385" s="38">
        <f>IF(B385="","",SalePrefix&amp;TEXT(ROW()-4,"0000"))</f>
        <v>0</v>
      </c>
      <c r="Q385" s="13">
        <f>IF(C385="","",IFERROR(INDEX(Products!$B$5:$B$304,MATCH(C385,Products!$A$5:$A$304,0)),"Bundle or deleted"))</f>
        <v>0</v>
      </c>
      <c r="R385" s="13">
        <f>IF(B385="","",TEXT(B385,"yyyy-mm"))</f>
        <v>0</v>
      </c>
      <c r="S385" s="20">
        <f>IF(C385="","",IFERROR(INDEX(Products!$AR$5:$AR$304,MATCH(C385,Products!$A$5:$A$304,0)),""))</f>
        <v>0</v>
      </c>
      <c r="T385" s="20">
        <f>IF(B385="","",IF(F385&lt;&gt;"",F385,IF(S385="",0,S385)))</f>
        <v>0</v>
      </c>
      <c r="U385" s="20">
        <f>IF(B385="","",ROUND(IF(D385="",0,D385)*T385,2))</f>
        <v>0</v>
      </c>
      <c r="V385" s="20">
        <f>IF(B385="","",ROUND(U385-IF(G385="",0,G385)-IF(L385="",0,L385),2))</f>
        <v>0</v>
      </c>
      <c r="W385" s="20">
        <f>IF(C385="","",IFERROR(INDEX(Products!$AT$5:$AT$304,MATCH(C385,Products!$A$5:$A$304,0)),""))</f>
        <v>0</v>
      </c>
      <c r="X385" s="20">
        <f>IF(C385="","",IFERROR(INDEX(Products!$AG$5:$AG$304,MATCH(C385,Products!$A$5:$A$304,0)),""))</f>
        <v>0</v>
      </c>
      <c r="Y385" s="20">
        <f>IF(B385="","",ROUND(IF(D385="",0,D385)*MAX(0,IF(W385="",0,W385)-IF(X385="",0,X385)),2))</f>
        <v>0</v>
      </c>
      <c r="Z385" s="20">
        <f>IF(B385="","",ROUND(MAX(0,IF(J385="",0,J385)-IF(I385="",0,I385)),2))</f>
        <v>0</v>
      </c>
      <c r="AA385" s="33">
        <f>IF(B385="","",IFERROR(INDEX(Channels!$S$5:$S$18,MATCH(IF(E385="",DefaultChannel,E385),Channels!$A$5:$A$18,0)),0))</f>
        <v>0</v>
      </c>
      <c r="AB385" s="20">
        <f>IF(B385="","",IFERROR(INDEX(Channels!$T$5:$T$18,MATCH(IF(E385="",DefaultChannel,E385),Channels!$A$5:$A$18,0)),0))</f>
        <v>0</v>
      </c>
      <c r="AC385" s="42">
        <f>IF(B385="","",IFERROR(INDEX(Channels!$O$5:$O$18,MATCH(IF(E385="",DefaultChannel,E385),Channels!$A$5:$A$18,0)),"No"))</f>
        <v>0</v>
      </c>
      <c r="AD385" s="20">
        <f>IF(B385="","",ROUND((V385+IF(AC385="Yes",IF(I385="",0,I385),0))*AA385+AB385,2))</f>
        <v>0</v>
      </c>
      <c r="AE385" s="20">
        <f>IF(B385="","",IF(K385&lt;&gt;"",K385,AD385))</f>
        <v>0</v>
      </c>
      <c r="AF385" s="20">
        <f>IF(B385="","",IF(K385="","",ROUND(K385-AD385,2)))</f>
        <v>0</v>
      </c>
      <c r="AG385" s="20">
        <f>IF(B385="","",ROUND(V385-Y385-AE385-Z385,2))</f>
        <v>0</v>
      </c>
      <c r="AH385" s="33">
        <f>IF(B385="","",IF(OR(V385="",V385=0),"",AG385/V385))</f>
        <v>0</v>
      </c>
      <c r="AI385" s="33">
        <f>IF(C385="","",IFERROR(INDEX(Products!$AW$5:$AW$304,MATCH(C385,Products!$A$5:$A$304,0)),""))</f>
        <v>0</v>
      </c>
      <c r="AJ385" s="33">
        <f>IF(B385="","",IF(OR(AH385="",AI385=""),"",AH385-AI385))</f>
        <v>0</v>
      </c>
      <c r="AK385" s="41">
        <f>IF(B385="","",IFERROR(ROUND(IF(D385="",0,D385)*INDEX(Products!$X$5:$X$304,MATCH(C385,Products!$A$5:$A$304,0))/60,2),""))</f>
        <v>0</v>
      </c>
      <c r="AL385" s="20">
        <f>IF(B385="","",IF(OR(AK385="",AK385=0),"",ROUND(AG385/AK385,2)))</f>
        <v>0</v>
      </c>
      <c r="AM385" s="43">
        <f>IF(B385="","",IF(C385="","Add - which product?",IF(AG385&lt;0,"Loss - this order cost you money",IF(M385="Refunded","Refunded - check why",IF(AND(AF385&lt;&gt;"",AF385&gt;0.25),"Check - fees higher than your settings",IF(Z385&gt;1,"Check - postage is eating the margin",IF(AND(AH385&lt;&gt;"",AH385&lt;MarginWarning),"Low margin on this order","OK")))))) )</f>
        <v>0</v>
      </c>
    </row>
    <row r="386" spans="1:39">
      <c r="A386" s="38">
        <f>IF(B386="","",SalePrefix&amp;TEXT(ROW()-4,"0000"))</f>
        <v>0</v>
      </c>
      <c r="Q386" s="13">
        <f>IF(C386="","",IFERROR(INDEX(Products!$B$5:$B$304,MATCH(C386,Products!$A$5:$A$304,0)),"Bundle or deleted"))</f>
        <v>0</v>
      </c>
      <c r="R386" s="13">
        <f>IF(B386="","",TEXT(B386,"yyyy-mm"))</f>
        <v>0</v>
      </c>
      <c r="S386" s="20">
        <f>IF(C386="","",IFERROR(INDEX(Products!$AR$5:$AR$304,MATCH(C386,Products!$A$5:$A$304,0)),""))</f>
        <v>0</v>
      </c>
      <c r="T386" s="20">
        <f>IF(B386="","",IF(F386&lt;&gt;"",F386,IF(S386="",0,S386)))</f>
        <v>0</v>
      </c>
      <c r="U386" s="20">
        <f>IF(B386="","",ROUND(IF(D386="",0,D386)*T386,2))</f>
        <v>0</v>
      </c>
      <c r="V386" s="20">
        <f>IF(B386="","",ROUND(U386-IF(G386="",0,G386)-IF(L386="",0,L386),2))</f>
        <v>0</v>
      </c>
      <c r="W386" s="20">
        <f>IF(C386="","",IFERROR(INDEX(Products!$AT$5:$AT$304,MATCH(C386,Products!$A$5:$A$304,0)),""))</f>
        <v>0</v>
      </c>
      <c r="X386" s="20">
        <f>IF(C386="","",IFERROR(INDEX(Products!$AG$5:$AG$304,MATCH(C386,Products!$A$5:$A$304,0)),""))</f>
        <v>0</v>
      </c>
      <c r="Y386" s="20">
        <f>IF(B386="","",ROUND(IF(D386="",0,D386)*MAX(0,IF(W386="",0,W386)-IF(X386="",0,X386)),2))</f>
        <v>0</v>
      </c>
      <c r="Z386" s="20">
        <f>IF(B386="","",ROUND(MAX(0,IF(J386="",0,J386)-IF(I386="",0,I386)),2))</f>
        <v>0</v>
      </c>
      <c r="AA386" s="33">
        <f>IF(B386="","",IFERROR(INDEX(Channels!$S$5:$S$18,MATCH(IF(E386="",DefaultChannel,E386),Channels!$A$5:$A$18,0)),0))</f>
        <v>0</v>
      </c>
      <c r="AB386" s="20">
        <f>IF(B386="","",IFERROR(INDEX(Channels!$T$5:$T$18,MATCH(IF(E386="",DefaultChannel,E386),Channels!$A$5:$A$18,0)),0))</f>
        <v>0</v>
      </c>
      <c r="AC386" s="42">
        <f>IF(B386="","",IFERROR(INDEX(Channels!$O$5:$O$18,MATCH(IF(E386="",DefaultChannel,E386),Channels!$A$5:$A$18,0)),"No"))</f>
        <v>0</v>
      </c>
      <c r="AD386" s="20">
        <f>IF(B386="","",ROUND((V386+IF(AC386="Yes",IF(I386="",0,I386),0))*AA386+AB386,2))</f>
        <v>0</v>
      </c>
      <c r="AE386" s="20">
        <f>IF(B386="","",IF(K386&lt;&gt;"",K386,AD386))</f>
        <v>0</v>
      </c>
      <c r="AF386" s="20">
        <f>IF(B386="","",IF(K386="","",ROUND(K386-AD386,2)))</f>
        <v>0</v>
      </c>
      <c r="AG386" s="20">
        <f>IF(B386="","",ROUND(V386-Y386-AE386-Z386,2))</f>
        <v>0</v>
      </c>
      <c r="AH386" s="33">
        <f>IF(B386="","",IF(OR(V386="",V386=0),"",AG386/V386))</f>
        <v>0</v>
      </c>
      <c r="AI386" s="33">
        <f>IF(C386="","",IFERROR(INDEX(Products!$AW$5:$AW$304,MATCH(C386,Products!$A$5:$A$304,0)),""))</f>
        <v>0</v>
      </c>
      <c r="AJ386" s="33">
        <f>IF(B386="","",IF(OR(AH386="",AI386=""),"",AH386-AI386))</f>
        <v>0</v>
      </c>
      <c r="AK386" s="41">
        <f>IF(B386="","",IFERROR(ROUND(IF(D386="",0,D386)*INDEX(Products!$X$5:$X$304,MATCH(C386,Products!$A$5:$A$304,0))/60,2),""))</f>
        <v>0</v>
      </c>
      <c r="AL386" s="20">
        <f>IF(B386="","",IF(OR(AK386="",AK386=0),"",ROUND(AG386/AK386,2)))</f>
        <v>0</v>
      </c>
      <c r="AM386" s="43">
        <f>IF(B386="","",IF(C386="","Add - which product?",IF(AG386&lt;0,"Loss - this order cost you money",IF(M386="Refunded","Refunded - check why",IF(AND(AF386&lt;&gt;"",AF386&gt;0.25),"Check - fees higher than your settings",IF(Z386&gt;1,"Check - postage is eating the margin",IF(AND(AH386&lt;&gt;"",AH386&lt;MarginWarning),"Low margin on this order","OK")))))) )</f>
        <v>0</v>
      </c>
    </row>
    <row r="387" spans="1:39">
      <c r="A387" s="38">
        <f>IF(B387="","",SalePrefix&amp;TEXT(ROW()-4,"0000"))</f>
        <v>0</v>
      </c>
      <c r="Q387" s="13">
        <f>IF(C387="","",IFERROR(INDEX(Products!$B$5:$B$304,MATCH(C387,Products!$A$5:$A$304,0)),"Bundle or deleted"))</f>
        <v>0</v>
      </c>
      <c r="R387" s="13">
        <f>IF(B387="","",TEXT(B387,"yyyy-mm"))</f>
        <v>0</v>
      </c>
      <c r="S387" s="20">
        <f>IF(C387="","",IFERROR(INDEX(Products!$AR$5:$AR$304,MATCH(C387,Products!$A$5:$A$304,0)),""))</f>
        <v>0</v>
      </c>
      <c r="T387" s="20">
        <f>IF(B387="","",IF(F387&lt;&gt;"",F387,IF(S387="",0,S387)))</f>
        <v>0</v>
      </c>
      <c r="U387" s="20">
        <f>IF(B387="","",ROUND(IF(D387="",0,D387)*T387,2))</f>
        <v>0</v>
      </c>
      <c r="V387" s="20">
        <f>IF(B387="","",ROUND(U387-IF(G387="",0,G387)-IF(L387="",0,L387),2))</f>
        <v>0</v>
      </c>
      <c r="W387" s="20">
        <f>IF(C387="","",IFERROR(INDEX(Products!$AT$5:$AT$304,MATCH(C387,Products!$A$5:$A$304,0)),""))</f>
        <v>0</v>
      </c>
      <c r="X387" s="20">
        <f>IF(C387="","",IFERROR(INDEX(Products!$AG$5:$AG$304,MATCH(C387,Products!$A$5:$A$304,0)),""))</f>
        <v>0</v>
      </c>
      <c r="Y387" s="20">
        <f>IF(B387="","",ROUND(IF(D387="",0,D387)*MAX(0,IF(W387="",0,W387)-IF(X387="",0,X387)),2))</f>
        <v>0</v>
      </c>
      <c r="Z387" s="20">
        <f>IF(B387="","",ROUND(MAX(0,IF(J387="",0,J387)-IF(I387="",0,I387)),2))</f>
        <v>0</v>
      </c>
      <c r="AA387" s="33">
        <f>IF(B387="","",IFERROR(INDEX(Channels!$S$5:$S$18,MATCH(IF(E387="",DefaultChannel,E387),Channels!$A$5:$A$18,0)),0))</f>
        <v>0</v>
      </c>
      <c r="AB387" s="20">
        <f>IF(B387="","",IFERROR(INDEX(Channels!$T$5:$T$18,MATCH(IF(E387="",DefaultChannel,E387),Channels!$A$5:$A$18,0)),0))</f>
        <v>0</v>
      </c>
      <c r="AC387" s="42">
        <f>IF(B387="","",IFERROR(INDEX(Channels!$O$5:$O$18,MATCH(IF(E387="",DefaultChannel,E387),Channels!$A$5:$A$18,0)),"No"))</f>
        <v>0</v>
      </c>
      <c r="AD387" s="20">
        <f>IF(B387="","",ROUND((V387+IF(AC387="Yes",IF(I387="",0,I387),0))*AA387+AB387,2))</f>
        <v>0</v>
      </c>
      <c r="AE387" s="20">
        <f>IF(B387="","",IF(K387&lt;&gt;"",K387,AD387))</f>
        <v>0</v>
      </c>
      <c r="AF387" s="20">
        <f>IF(B387="","",IF(K387="","",ROUND(K387-AD387,2)))</f>
        <v>0</v>
      </c>
      <c r="AG387" s="20">
        <f>IF(B387="","",ROUND(V387-Y387-AE387-Z387,2))</f>
        <v>0</v>
      </c>
      <c r="AH387" s="33">
        <f>IF(B387="","",IF(OR(V387="",V387=0),"",AG387/V387))</f>
        <v>0</v>
      </c>
      <c r="AI387" s="33">
        <f>IF(C387="","",IFERROR(INDEX(Products!$AW$5:$AW$304,MATCH(C387,Products!$A$5:$A$304,0)),""))</f>
        <v>0</v>
      </c>
      <c r="AJ387" s="33">
        <f>IF(B387="","",IF(OR(AH387="",AI387=""),"",AH387-AI387))</f>
        <v>0</v>
      </c>
      <c r="AK387" s="41">
        <f>IF(B387="","",IFERROR(ROUND(IF(D387="",0,D387)*INDEX(Products!$X$5:$X$304,MATCH(C387,Products!$A$5:$A$304,0))/60,2),""))</f>
        <v>0</v>
      </c>
      <c r="AL387" s="20">
        <f>IF(B387="","",IF(OR(AK387="",AK387=0),"",ROUND(AG387/AK387,2)))</f>
        <v>0</v>
      </c>
      <c r="AM387" s="43">
        <f>IF(B387="","",IF(C387="","Add - which product?",IF(AG387&lt;0,"Loss - this order cost you money",IF(M387="Refunded","Refunded - check why",IF(AND(AF387&lt;&gt;"",AF387&gt;0.25),"Check - fees higher than your settings",IF(Z387&gt;1,"Check - postage is eating the margin",IF(AND(AH387&lt;&gt;"",AH387&lt;MarginWarning),"Low margin on this order","OK")))))) )</f>
        <v>0</v>
      </c>
    </row>
    <row r="388" spans="1:39">
      <c r="A388" s="38">
        <f>IF(B388="","",SalePrefix&amp;TEXT(ROW()-4,"0000"))</f>
        <v>0</v>
      </c>
      <c r="Q388" s="13">
        <f>IF(C388="","",IFERROR(INDEX(Products!$B$5:$B$304,MATCH(C388,Products!$A$5:$A$304,0)),"Bundle or deleted"))</f>
        <v>0</v>
      </c>
      <c r="R388" s="13">
        <f>IF(B388="","",TEXT(B388,"yyyy-mm"))</f>
        <v>0</v>
      </c>
      <c r="S388" s="20">
        <f>IF(C388="","",IFERROR(INDEX(Products!$AR$5:$AR$304,MATCH(C388,Products!$A$5:$A$304,0)),""))</f>
        <v>0</v>
      </c>
      <c r="T388" s="20">
        <f>IF(B388="","",IF(F388&lt;&gt;"",F388,IF(S388="",0,S388)))</f>
        <v>0</v>
      </c>
      <c r="U388" s="20">
        <f>IF(B388="","",ROUND(IF(D388="",0,D388)*T388,2))</f>
        <v>0</v>
      </c>
      <c r="V388" s="20">
        <f>IF(B388="","",ROUND(U388-IF(G388="",0,G388)-IF(L388="",0,L388),2))</f>
        <v>0</v>
      </c>
      <c r="W388" s="20">
        <f>IF(C388="","",IFERROR(INDEX(Products!$AT$5:$AT$304,MATCH(C388,Products!$A$5:$A$304,0)),""))</f>
        <v>0</v>
      </c>
      <c r="X388" s="20">
        <f>IF(C388="","",IFERROR(INDEX(Products!$AG$5:$AG$304,MATCH(C388,Products!$A$5:$A$304,0)),""))</f>
        <v>0</v>
      </c>
      <c r="Y388" s="20">
        <f>IF(B388="","",ROUND(IF(D388="",0,D388)*MAX(0,IF(W388="",0,W388)-IF(X388="",0,X388)),2))</f>
        <v>0</v>
      </c>
      <c r="Z388" s="20">
        <f>IF(B388="","",ROUND(MAX(0,IF(J388="",0,J388)-IF(I388="",0,I388)),2))</f>
        <v>0</v>
      </c>
      <c r="AA388" s="33">
        <f>IF(B388="","",IFERROR(INDEX(Channels!$S$5:$S$18,MATCH(IF(E388="",DefaultChannel,E388),Channels!$A$5:$A$18,0)),0))</f>
        <v>0</v>
      </c>
      <c r="AB388" s="20">
        <f>IF(B388="","",IFERROR(INDEX(Channels!$T$5:$T$18,MATCH(IF(E388="",DefaultChannel,E388),Channels!$A$5:$A$18,0)),0))</f>
        <v>0</v>
      </c>
      <c r="AC388" s="42">
        <f>IF(B388="","",IFERROR(INDEX(Channels!$O$5:$O$18,MATCH(IF(E388="",DefaultChannel,E388),Channels!$A$5:$A$18,0)),"No"))</f>
        <v>0</v>
      </c>
      <c r="AD388" s="20">
        <f>IF(B388="","",ROUND((V388+IF(AC388="Yes",IF(I388="",0,I388),0))*AA388+AB388,2))</f>
        <v>0</v>
      </c>
      <c r="AE388" s="20">
        <f>IF(B388="","",IF(K388&lt;&gt;"",K388,AD388))</f>
        <v>0</v>
      </c>
      <c r="AF388" s="20">
        <f>IF(B388="","",IF(K388="","",ROUND(K388-AD388,2)))</f>
        <v>0</v>
      </c>
      <c r="AG388" s="20">
        <f>IF(B388="","",ROUND(V388-Y388-AE388-Z388,2))</f>
        <v>0</v>
      </c>
      <c r="AH388" s="33">
        <f>IF(B388="","",IF(OR(V388="",V388=0),"",AG388/V388))</f>
        <v>0</v>
      </c>
      <c r="AI388" s="33">
        <f>IF(C388="","",IFERROR(INDEX(Products!$AW$5:$AW$304,MATCH(C388,Products!$A$5:$A$304,0)),""))</f>
        <v>0</v>
      </c>
      <c r="AJ388" s="33">
        <f>IF(B388="","",IF(OR(AH388="",AI388=""),"",AH388-AI388))</f>
        <v>0</v>
      </c>
      <c r="AK388" s="41">
        <f>IF(B388="","",IFERROR(ROUND(IF(D388="",0,D388)*INDEX(Products!$X$5:$X$304,MATCH(C388,Products!$A$5:$A$304,0))/60,2),""))</f>
        <v>0</v>
      </c>
      <c r="AL388" s="20">
        <f>IF(B388="","",IF(OR(AK388="",AK388=0),"",ROUND(AG388/AK388,2)))</f>
        <v>0</v>
      </c>
      <c r="AM388" s="43">
        <f>IF(B388="","",IF(C388="","Add - which product?",IF(AG388&lt;0,"Loss - this order cost you money",IF(M388="Refunded","Refunded - check why",IF(AND(AF388&lt;&gt;"",AF388&gt;0.25),"Check - fees higher than your settings",IF(Z388&gt;1,"Check - postage is eating the margin",IF(AND(AH388&lt;&gt;"",AH388&lt;MarginWarning),"Low margin on this order","OK")))))) )</f>
        <v>0</v>
      </c>
    </row>
    <row r="389" spans="1:39">
      <c r="A389" s="38">
        <f>IF(B389="","",SalePrefix&amp;TEXT(ROW()-4,"0000"))</f>
        <v>0</v>
      </c>
      <c r="Q389" s="13">
        <f>IF(C389="","",IFERROR(INDEX(Products!$B$5:$B$304,MATCH(C389,Products!$A$5:$A$304,0)),"Bundle or deleted"))</f>
        <v>0</v>
      </c>
      <c r="R389" s="13">
        <f>IF(B389="","",TEXT(B389,"yyyy-mm"))</f>
        <v>0</v>
      </c>
      <c r="S389" s="20">
        <f>IF(C389="","",IFERROR(INDEX(Products!$AR$5:$AR$304,MATCH(C389,Products!$A$5:$A$304,0)),""))</f>
        <v>0</v>
      </c>
      <c r="T389" s="20">
        <f>IF(B389="","",IF(F389&lt;&gt;"",F389,IF(S389="",0,S389)))</f>
        <v>0</v>
      </c>
      <c r="U389" s="20">
        <f>IF(B389="","",ROUND(IF(D389="",0,D389)*T389,2))</f>
        <v>0</v>
      </c>
      <c r="V389" s="20">
        <f>IF(B389="","",ROUND(U389-IF(G389="",0,G389)-IF(L389="",0,L389),2))</f>
        <v>0</v>
      </c>
      <c r="W389" s="20">
        <f>IF(C389="","",IFERROR(INDEX(Products!$AT$5:$AT$304,MATCH(C389,Products!$A$5:$A$304,0)),""))</f>
        <v>0</v>
      </c>
      <c r="X389" s="20">
        <f>IF(C389="","",IFERROR(INDEX(Products!$AG$5:$AG$304,MATCH(C389,Products!$A$5:$A$304,0)),""))</f>
        <v>0</v>
      </c>
      <c r="Y389" s="20">
        <f>IF(B389="","",ROUND(IF(D389="",0,D389)*MAX(0,IF(W389="",0,W389)-IF(X389="",0,X389)),2))</f>
        <v>0</v>
      </c>
      <c r="Z389" s="20">
        <f>IF(B389="","",ROUND(MAX(0,IF(J389="",0,J389)-IF(I389="",0,I389)),2))</f>
        <v>0</v>
      </c>
      <c r="AA389" s="33">
        <f>IF(B389="","",IFERROR(INDEX(Channels!$S$5:$S$18,MATCH(IF(E389="",DefaultChannel,E389),Channels!$A$5:$A$18,0)),0))</f>
        <v>0</v>
      </c>
      <c r="AB389" s="20">
        <f>IF(B389="","",IFERROR(INDEX(Channels!$T$5:$T$18,MATCH(IF(E389="",DefaultChannel,E389),Channels!$A$5:$A$18,0)),0))</f>
        <v>0</v>
      </c>
      <c r="AC389" s="42">
        <f>IF(B389="","",IFERROR(INDEX(Channels!$O$5:$O$18,MATCH(IF(E389="",DefaultChannel,E389),Channels!$A$5:$A$18,0)),"No"))</f>
        <v>0</v>
      </c>
      <c r="AD389" s="20">
        <f>IF(B389="","",ROUND((V389+IF(AC389="Yes",IF(I389="",0,I389),0))*AA389+AB389,2))</f>
        <v>0</v>
      </c>
      <c r="AE389" s="20">
        <f>IF(B389="","",IF(K389&lt;&gt;"",K389,AD389))</f>
        <v>0</v>
      </c>
      <c r="AF389" s="20">
        <f>IF(B389="","",IF(K389="","",ROUND(K389-AD389,2)))</f>
        <v>0</v>
      </c>
      <c r="AG389" s="20">
        <f>IF(B389="","",ROUND(V389-Y389-AE389-Z389,2))</f>
        <v>0</v>
      </c>
      <c r="AH389" s="33">
        <f>IF(B389="","",IF(OR(V389="",V389=0),"",AG389/V389))</f>
        <v>0</v>
      </c>
      <c r="AI389" s="33">
        <f>IF(C389="","",IFERROR(INDEX(Products!$AW$5:$AW$304,MATCH(C389,Products!$A$5:$A$304,0)),""))</f>
        <v>0</v>
      </c>
      <c r="AJ389" s="33">
        <f>IF(B389="","",IF(OR(AH389="",AI389=""),"",AH389-AI389))</f>
        <v>0</v>
      </c>
      <c r="AK389" s="41">
        <f>IF(B389="","",IFERROR(ROUND(IF(D389="",0,D389)*INDEX(Products!$X$5:$X$304,MATCH(C389,Products!$A$5:$A$304,0))/60,2),""))</f>
        <v>0</v>
      </c>
      <c r="AL389" s="20">
        <f>IF(B389="","",IF(OR(AK389="",AK389=0),"",ROUND(AG389/AK389,2)))</f>
        <v>0</v>
      </c>
      <c r="AM389" s="43">
        <f>IF(B389="","",IF(C389="","Add - which product?",IF(AG389&lt;0,"Loss - this order cost you money",IF(M389="Refunded","Refunded - check why",IF(AND(AF389&lt;&gt;"",AF389&gt;0.25),"Check - fees higher than your settings",IF(Z389&gt;1,"Check - postage is eating the margin",IF(AND(AH389&lt;&gt;"",AH389&lt;MarginWarning),"Low margin on this order","OK")))))) )</f>
        <v>0</v>
      </c>
    </row>
    <row r="390" spans="1:39">
      <c r="A390" s="38">
        <f>IF(B390="","",SalePrefix&amp;TEXT(ROW()-4,"0000"))</f>
        <v>0</v>
      </c>
      <c r="Q390" s="13">
        <f>IF(C390="","",IFERROR(INDEX(Products!$B$5:$B$304,MATCH(C390,Products!$A$5:$A$304,0)),"Bundle or deleted"))</f>
        <v>0</v>
      </c>
      <c r="R390" s="13">
        <f>IF(B390="","",TEXT(B390,"yyyy-mm"))</f>
        <v>0</v>
      </c>
      <c r="S390" s="20">
        <f>IF(C390="","",IFERROR(INDEX(Products!$AR$5:$AR$304,MATCH(C390,Products!$A$5:$A$304,0)),""))</f>
        <v>0</v>
      </c>
      <c r="T390" s="20">
        <f>IF(B390="","",IF(F390&lt;&gt;"",F390,IF(S390="",0,S390)))</f>
        <v>0</v>
      </c>
      <c r="U390" s="20">
        <f>IF(B390="","",ROUND(IF(D390="",0,D390)*T390,2))</f>
        <v>0</v>
      </c>
      <c r="V390" s="20">
        <f>IF(B390="","",ROUND(U390-IF(G390="",0,G390)-IF(L390="",0,L390),2))</f>
        <v>0</v>
      </c>
      <c r="W390" s="20">
        <f>IF(C390="","",IFERROR(INDEX(Products!$AT$5:$AT$304,MATCH(C390,Products!$A$5:$A$304,0)),""))</f>
        <v>0</v>
      </c>
      <c r="X390" s="20">
        <f>IF(C390="","",IFERROR(INDEX(Products!$AG$5:$AG$304,MATCH(C390,Products!$A$5:$A$304,0)),""))</f>
        <v>0</v>
      </c>
      <c r="Y390" s="20">
        <f>IF(B390="","",ROUND(IF(D390="",0,D390)*MAX(0,IF(W390="",0,W390)-IF(X390="",0,X390)),2))</f>
        <v>0</v>
      </c>
      <c r="Z390" s="20">
        <f>IF(B390="","",ROUND(MAX(0,IF(J390="",0,J390)-IF(I390="",0,I390)),2))</f>
        <v>0</v>
      </c>
      <c r="AA390" s="33">
        <f>IF(B390="","",IFERROR(INDEX(Channels!$S$5:$S$18,MATCH(IF(E390="",DefaultChannel,E390),Channels!$A$5:$A$18,0)),0))</f>
        <v>0</v>
      </c>
      <c r="AB390" s="20">
        <f>IF(B390="","",IFERROR(INDEX(Channels!$T$5:$T$18,MATCH(IF(E390="",DefaultChannel,E390),Channels!$A$5:$A$18,0)),0))</f>
        <v>0</v>
      </c>
      <c r="AC390" s="42">
        <f>IF(B390="","",IFERROR(INDEX(Channels!$O$5:$O$18,MATCH(IF(E390="",DefaultChannel,E390),Channels!$A$5:$A$18,0)),"No"))</f>
        <v>0</v>
      </c>
      <c r="AD390" s="20">
        <f>IF(B390="","",ROUND((V390+IF(AC390="Yes",IF(I390="",0,I390),0))*AA390+AB390,2))</f>
        <v>0</v>
      </c>
      <c r="AE390" s="20">
        <f>IF(B390="","",IF(K390&lt;&gt;"",K390,AD390))</f>
        <v>0</v>
      </c>
      <c r="AF390" s="20">
        <f>IF(B390="","",IF(K390="","",ROUND(K390-AD390,2)))</f>
        <v>0</v>
      </c>
      <c r="AG390" s="20">
        <f>IF(B390="","",ROUND(V390-Y390-AE390-Z390,2))</f>
        <v>0</v>
      </c>
      <c r="AH390" s="33">
        <f>IF(B390="","",IF(OR(V390="",V390=0),"",AG390/V390))</f>
        <v>0</v>
      </c>
      <c r="AI390" s="33">
        <f>IF(C390="","",IFERROR(INDEX(Products!$AW$5:$AW$304,MATCH(C390,Products!$A$5:$A$304,0)),""))</f>
        <v>0</v>
      </c>
      <c r="AJ390" s="33">
        <f>IF(B390="","",IF(OR(AH390="",AI390=""),"",AH390-AI390))</f>
        <v>0</v>
      </c>
      <c r="AK390" s="41">
        <f>IF(B390="","",IFERROR(ROUND(IF(D390="",0,D390)*INDEX(Products!$X$5:$X$304,MATCH(C390,Products!$A$5:$A$304,0))/60,2),""))</f>
        <v>0</v>
      </c>
      <c r="AL390" s="20">
        <f>IF(B390="","",IF(OR(AK390="",AK390=0),"",ROUND(AG390/AK390,2)))</f>
        <v>0</v>
      </c>
      <c r="AM390" s="43">
        <f>IF(B390="","",IF(C390="","Add - which product?",IF(AG390&lt;0,"Loss - this order cost you money",IF(M390="Refunded","Refunded - check why",IF(AND(AF390&lt;&gt;"",AF390&gt;0.25),"Check - fees higher than your settings",IF(Z390&gt;1,"Check - postage is eating the margin",IF(AND(AH390&lt;&gt;"",AH390&lt;MarginWarning),"Low margin on this order","OK")))))) )</f>
        <v>0</v>
      </c>
    </row>
    <row r="391" spans="1:39">
      <c r="A391" s="38">
        <f>IF(B391="","",SalePrefix&amp;TEXT(ROW()-4,"0000"))</f>
        <v>0</v>
      </c>
      <c r="Q391" s="13">
        <f>IF(C391="","",IFERROR(INDEX(Products!$B$5:$B$304,MATCH(C391,Products!$A$5:$A$304,0)),"Bundle or deleted"))</f>
        <v>0</v>
      </c>
      <c r="R391" s="13">
        <f>IF(B391="","",TEXT(B391,"yyyy-mm"))</f>
        <v>0</v>
      </c>
      <c r="S391" s="20">
        <f>IF(C391="","",IFERROR(INDEX(Products!$AR$5:$AR$304,MATCH(C391,Products!$A$5:$A$304,0)),""))</f>
        <v>0</v>
      </c>
      <c r="T391" s="20">
        <f>IF(B391="","",IF(F391&lt;&gt;"",F391,IF(S391="",0,S391)))</f>
        <v>0</v>
      </c>
      <c r="U391" s="20">
        <f>IF(B391="","",ROUND(IF(D391="",0,D391)*T391,2))</f>
        <v>0</v>
      </c>
      <c r="V391" s="20">
        <f>IF(B391="","",ROUND(U391-IF(G391="",0,G391)-IF(L391="",0,L391),2))</f>
        <v>0</v>
      </c>
      <c r="W391" s="20">
        <f>IF(C391="","",IFERROR(INDEX(Products!$AT$5:$AT$304,MATCH(C391,Products!$A$5:$A$304,0)),""))</f>
        <v>0</v>
      </c>
      <c r="X391" s="20">
        <f>IF(C391="","",IFERROR(INDEX(Products!$AG$5:$AG$304,MATCH(C391,Products!$A$5:$A$304,0)),""))</f>
        <v>0</v>
      </c>
      <c r="Y391" s="20">
        <f>IF(B391="","",ROUND(IF(D391="",0,D391)*MAX(0,IF(W391="",0,W391)-IF(X391="",0,X391)),2))</f>
        <v>0</v>
      </c>
      <c r="Z391" s="20">
        <f>IF(B391="","",ROUND(MAX(0,IF(J391="",0,J391)-IF(I391="",0,I391)),2))</f>
        <v>0</v>
      </c>
      <c r="AA391" s="33">
        <f>IF(B391="","",IFERROR(INDEX(Channels!$S$5:$S$18,MATCH(IF(E391="",DefaultChannel,E391),Channels!$A$5:$A$18,0)),0))</f>
        <v>0</v>
      </c>
      <c r="AB391" s="20">
        <f>IF(B391="","",IFERROR(INDEX(Channels!$T$5:$T$18,MATCH(IF(E391="",DefaultChannel,E391),Channels!$A$5:$A$18,0)),0))</f>
        <v>0</v>
      </c>
      <c r="AC391" s="42">
        <f>IF(B391="","",IFERROR(INDEX(Channels!$O$5:$O$18,MATCH(IF(E391="",DefaultChannel,E391),Channels!$A$5:$A$18,0)),"No"))</f>
        <v>0</v>
      </c>
      <c r="AD391" s="20">
        <f>IF(B391="","",ROUND((V391+IF(AC391="Yes",IF(I391="",0,I391),0))*AA391+AB391,2))</f>
        <v>0</v>
      </c>
      <c r="AE391" s="20">
        <f>IF(B391="","",IF(K391&lt;&gt;"",K391,AD391))</f>
        <v>0</v>
      </c>
      <c r="AF391" s="20">
        <f>IF(B391="","",IF(K391="","",ROUND(K391-AD391,2)))</f>
        <v>0</v>
      </c>
      <c r="AG391" s="20">
        <f>IF(B391="","",ROUND(V391-Y391-AE391-Z391,2))</f>
        <v>0</v>
      </c>
      <c r="AH391" s="33">
        <f>IF(B391="","",IF(OR(V391="",V391=0),"",AG391/V391))</f>
        <v>0</v>
      </c>
      <c r="AI391" s="33">
        <f>IF(C391="","",IFERROR(INDEX(Products!$AW$5:$AW$304,MATCH(C391,Products!$A$5:$A$304,0)),""))</f>
        <v>0</v>
      </c>
      <c r="AJ391" s="33">
        <f>IF(B391="","",IF(OR(AH391="",AI391=""),"",AH391-AI391))</f>
        <v>0</v>
      </c>
      <c r="AK391" s="41">
        <f>IF(B391="","",IFERROR(ROUND(IF(D391="",0,D391)*INDEX(Products!$X$5:$X$304,MATCH(C391,Products!$A$5:$A$304,0))/60,2),""))</f>
        <v>0</v>
      </c>
      <c r="AL391" s="20">
        <f>IF(B391="","",IF(OR(AK391="",AK391=0),"",ROUND(AG391/AK391,2)))</f>
        <v>0</v>
      </c>
      <c r="AM391" s="43">
        <f>IF(B391="","",IF(C391="","Add - which product?",IF(AG391&lt;0,"Loss - this order cost you money",IF(M391="Refunded","Refunded - check why",IF(AND(AF391&lt;&gt;"",AF391&gt;0.25),"Check - fees higher than your settings",IF(Z391&gt;1,"Check - postage is eating the margin",IF(AND(AH391&lt;&gt;"",AH391&lt;MarginWarning),"Low margin on this order","OK")))))) )</f>
        <v>0</v>
      </c>
    </row>
    <row r="392" spans="1:39">
      <c r="A392" s="38">
        <f>IF(B392="","",SalePrefix&amp;TEXT(ROW()-4,"0000"))</f>
        <v>0</v>
      </c>
      <c r="Q392" s="13">
        <f>IF(C392="","",IFERROR(INDEX(Products!$B$5:$B$304,MATCH(C392,Products!$A$5:$A$304,0)),"Bundle or deleted"))</f>
        <v>0</v>
      </c>
      <c r="R392" s="13">
        <f>IF(B392="","",TEXT(B392,"yyyy-mm"))</f>
        <v>0</v>
      </c>
      <c r="S392" s="20">
        <f>IF(C392="","",IFERROR(INDEX(Products!$AR$5:$AR$304,MATCH(C392,Products!$A$5:$A$304,0)),""))</f>
        <v>0</v>
      </c>
      <c r="T392" s="20">
        <f>IF(B392="","",IF(F392&lt;&gt;"",F392,IF(S392="",0,S392)))</f>
        <v>0</v>
      </c>
      <c r="U392" s="20">
        <f>IF(B392="","",ROUND(IF(D392="",0,D392)*T392,2))</f>
        <v>0</v>
      </c>
      <c r="V392" s="20">
        <f>IF(B392="","",ROUND(U392-IF(G392="",0,G392)-IF(L392="",0,L392),2))</f>
        <v>0</v>
      </c>
      <c r="W392" s="20">
        <f>IF(C392="","",IFERROR(INDEX(Products!$AT$5:$AT$304,MATCH(C392,Products!$A$5:$A$304,0)),""))</f>
        <v>0</v>
      </c>
      <c r="X392" s="20">
        <f>IF(C392="","",IFERROR(INDEX(Products!$AG$5:$AG$304,MATCH(C392,Products!$A$5:$A$304,0)),""))</f>
        <v>0</v>
      </c>
      <c r="Y392" s="20">
        <f>IF(B392="","",ROUND(IF(D392="",0,D392)*MAX(0,IF(W392="",0,W392)-IF(X392="",0,X392)),2))</f>
        <v>0</v>
      </c>
      <c r="Z392" s="20">
        <f>IF(B392="","",ROUND(MAX(0,IF(J392="",0,J392)-IF(I392="",0,I392)),2))</f>
        <v>0</v>
      </c>
      <c r="AA392" s="33">
        <f>IF(B392="","",IFERROR(INDEX(Channels!$S$5:$S$18,MATCH(IF(E392="",DefaultChannel,E392),Channels!$A$5:$A$18,0)),0))</f>
        <v>0</v>
      </c>
      <c r="AB392" s="20">
        <f>IF(B392="","",IFERROR(INDEX(Channels!$T$5:$T$18,MATCH(IF(E392="",DefaultChannel,E392),Channels!$A$5:$A$18,0)),0))</f>
        <v>0</v>
      </c>
      <c r="AC392" s="42">
        <f>IF(B392="","",IFERROR(INDEX(Channels!$O$5:$O$18,MATCH(IF(E392="",DefaultChannel,E392),Channels!$A$5:$A$18,0)),"No"))</f>
        <v>0</v>
      </c>
      <c r="AD392" s="20">
        <f>IF(B392="","",ROUND((V392+IF(AC392="Yes",IF(I392="",0,I392),0))*AA392+AB392,2))</f>
        <v>0</v>
      </c>
      <c r="AE392" s="20">
        <f>IF(B392="","",IF(K392&lt;&gt;"",K392,AD392))</f>
        <v>0</v>
      </c>
      <c r="AF392" s="20">
        <f>IF(B392="","",IF(K392="","",ROUND(K392-AD392,2)))</f>
        <v>0</v>
      </c>
      <c r="AG392" s="20">
        <f>IF(B392="","",ROUND(V392-Y392-AE392-Z392,2))</f>
        <v>0</v>
      </c>
      <c r="AH392" s="33">
        <f>IF(B392="","",IF(OR(V392="",V392=0),"",AG392/V392))</f>
        <v>0</v>
      </c>
      <c r="AI392" s="33">
        <f>IF(C392="","",IFERROR(INDEX(Products!$AW$5:$AW$304,MATCH(C392,Products!$A$5:$A$304,0)),""))</f>
        <v>0</v>
      </c>
      <c r="AJ392" s="33">
        <f>IF(B392="","",IF(OR(AH392="",AI392=""),"",AH392-AI392))</f>
        <v>0</v>
      </c>
      <c r="AK392" s="41">
        <f>IF(B392="","",IFERROR(ROUND(IF(D392="",0,D392)*INDEX(Products!$X$5:$X$304,MATCH(C392,Products!$A$5:$A$304,0))/60,2),""))</f>
        <v>0</v>
      </c>
      <c r="AL392" s="20">
        <f>IF(B392="","",IF(OR(AK392="",AK392=0),"",ROUND(AG392/AK392,2)))</f>
        <v>0</v>
      </c>
      <c r="AM392" s="43">
        <f>IF(B392="","",IF(C392="","Add - which product?",IF(AG392&lt;0,"Loss - this order cost you money",IF(M392="Refunded","Refunded - check why",IF(AND(AF392&lt;&gt;"",AF392&gt;0.25),"Check - fees higher than your settings",IF(Z392&gt;1,"Check - postage is eating the margin",IF(AND(AH392&lt;&gt;"",AH392&lt;MarginWarning),"Low margin on this order","OK")))))) )</f>
        <v>0</v>
      </c>
    </row>
    <row r="393" spans="1:39">
      <c r="A393" s="38">
        <f>IF(B393="","",SalePrefix&amp;TEXT(ROW()-4,"0000"))</f>
        <v>0</v>
      </c>
      <c r="Q393" s="13">
        <f>IF(C393="","",IFERROR(INDEX(Products!$B$5:$B$304,MATCH(C393,Products!$A$5:$A$304,0)),"Bundle or deleted"))</f>
        <v>0</v>
      </c>
      <c r="R393" s="13">
        <f>IF(B393="","",TEXT(B393,"yyyy-mm"))</f>
        <v>0</v>
      </c>
      <c r="S393" s="20">
        <f>IF(C393="","",IFERROR(INDEX(Products!$AR$5:$AR$304,MATCH(C393,Products!$A$5:$A$304,0)),""))</f>
        <v>0</v>
      </c>
      <c r="T393" s="20">
        <f>IF(B393="","",IF(F393&lt;&gt;"",F393,IF(S393="",0,S393)))</f>
        <v>0</v>
      </c>
      <c r="U393" s="20">
        <f>IF(B393="","",ROUND(IF(D393="",0,D393)*T393,2))</f>
        <v>0</v>
      </c>
      <c r="V393" s="20">
        <f>IF(B393="","",ROUND(U393-IF(G393="",0,G393)-IF(L393="",0,L393),2))</f>
        <v>0</v>
      </c>
      <c r="W393" s="20">
        <f>IF(C393="","",IFERROR(INDEX(Products!$AT$5:$AT$304,MATCH(C393,Products!$A$5:$A$304,0)),""))</f>
        <v>0</v>
      </c>
      <c r="X393" s="20">
        <f>IF(C393="","",IFERROR(INDEX(Products!$AG$5:$AG$304,MATCH(C393,Products!$A$5:$A$304,0)),""))</f>
        <v>0</v>
      </c>
      <c r="Y393" s="20">
        <f>IF(B393="","",ROUND(IF(D393="",0,D393)*MAX(0,IF(W393="",0,W393)-IF(X393="",0,X393)),2))</f>
        <v>0</v>
      </c>
      <c r="Z393" s="20">
        <f>IF(B393="","",ROUND(MAX(0,IF(J393="",0,J393)-IF(I393="",0,I393)),2))</f>
        <v>0</v>
      </c>
      <c r="AA393" s="33">
        <f>IF(B393="","",IFERROR(INDEX(Channels!$S$5:$S$18,MATCH(IF(E393="",DefaultChannel,E393),Channels!$A$5:$A$18,0)),0))</f>
        <v>0</v>
      </c>
      <c r="AB393" s="20">
        <f>IF(B393="","",IFERROR(INDEX(Channels!$T$5:$T$18,MATCH(IF(E393="",DefaultChannel,E393),Channels!$A$5:$A$18,0)),0))</f>
        <v>0</v>
      </c>
      <c r="AC393" s="42">
        <f>IF(B393="","",IFERROR(INDEX(Channels!$O$5:$O$18,MATCH(IF(E393="",DefaultChannel,E393),Channels!$A$5:$A$18,0)),"No"))</f>
        <v>0</v>
      </c>
      <c r="AD393" s="20">
        <f>IF(B393="","",ROUND((V393+IF(AC393="Yes",IF(I393="",0,I393),0))*AA393+AB393,2))</f>
        <v>0</v>
      </c>
      <c r="AE393" s="20">
        <f>IF(B393="","",IF(K393&lt;&gt;"",K393,AD393))</f>
        <v>0</v>
      </c>
      <c r="AF393" s="20">
        <f>IF(B393="","",IF(K393="","",ROUND(K393-AD393,2)))</f>
        <v>0</v>
      </c>
      <c r="AG393" s="20">
        <f>IF(B393="","",ROUND(V393-Y393-AE393-Z393,2))</f>
        <v>0</v>
      </c>
      <c r="AH393" s="33">
        <f>IF(B393="","",IF(OR(V393="",V393=0),"",AG393/V393))</f>
        <v>0</v>
      </c>
      <c r="AI393" s="33">
        <f>IF(C393="","",IFERROR(INDEX(Products!$AW$5:$AW$304,MATCH(C393,Products!$A$5:$A$304,0)),""))</f>
        <v>0</v>
      </c>
      <c r="AJ393" s="33">
        <f>IF(B393="","",IF(OR(AH393="",AI393=""),"",AH393-AI393))</f>
        <v>0</v>
      </c>
      <c r="AK393" s="41">
        <f>IF(B393="","",IFERROR(ROUND(IF(D393="",0,D393)*INDEX(Products!$X$5:$X$304,MATCH(C393,Products!$A$5:$A$304,0))/60,2),""))</f>
        <v>0</v>
      </c>
      <c r="AL393" s="20">
        <f>IF(B393="","",IF(OR(AK393="",AK393=0),"",ROUND(AG393/AK393,2)))</f>
        <v>0</v>
      </c>
      <c r="AM393" s="43">
        <f>IF(B393="","",IF(C393="","Add - which product?",IF(AG393&lt;0,"Loss - this order cost you money",IF(M393="Refunded","Refunded - check why",IF(AND(AF393&lt;&gt;"",AF393&gt;0.25),"Check - fees higher than your settings",IF(Z393&gt;1,"Check - postage is eating the margin",IF(AND(AH393&lt;&gt;"",AH393&lt;MarginWarning),"Low margin on this order","OK")))))) )</f>
        <v>0</v>
      </c>
    </row>
    <row r="394" spans="1:39">
      <c r="A394" s="38">
        <f>IF(B394="","",SalePrefix&amp;TEXT(ROW()-4,"0000"))</f>
        <v>0</v>
      </c>
      <c r="Q394" s="13">
        <f>IF(C394="","",IFERROR(INDEX(Products!$B$5:$B$304,MATCH(C394,Products!$A$5:$A$304,0)),"Bundle or deleted"))</f>
        <v>0</v>
      </c>
      <c r="R394" s="13">
        <f>IF(B394="","",TEXT(B394,"yyyy-mm"))</f>
        <v>0</v>
      </c>
      <c r="S394" s="20">
        <f>IF(C394="","",IFERROR(INDEX(Products!$AR$5:$AR$304,MATCH(C394,Products!$A$5:$A$304,0)),""))</f>
        <v>0</v>
      </c>
      <c r="T394" s="20">
        <f>IF(B394="","",IF(F394&lt;&gt;"",F394,IF(S394="",0,S394)))</f>
        <v>0</v>
      </c>
      <c r="U394" s="20">
        <f>IF(B394="","",ROUND(IF(D394="",0,D394)*T394,2))</f>
        <v>0</v>
      </c>
      <c r="V394" s="20">
        <f>IF(B394="","",ROUND(U394-IF(G394="",0,G394)-IF(L394="",0,L394),2))</f>
        <v>0</v>
      </c>
      <c r="W394" s="20">
        <f>IF(C394="","",IFERROR(INDEX(Products!$AT$5:$AT$304,MATCH(C394,Products!$A$5:$A$304,0)),""))</f>
        <v>0</v>
      </c>
      <c r="X394" s="20">
        <f>IF(C394="","",IFERROR(INDEX(Products!$AG$5:$AG$304,MATCH(C394,Products!$A$5:$A$304,0)),""))</f>
        <v>0</v>
      </c>
      <c r="Y394" s="20">
        <f>IF(B394="","",ROUND(IF(D394="",0,D394)*MAX(0,IF(W394="",0,W394)-IF(X394="",0,X394)),2))</f>
        <v>0</v>
      </c>
      <c r="Z394" s="20">
        <f>IF(B394="","",ROUND(MAX(0,IF(J394="",0,J394)-IF(I394="",0,I394)),2))</f>
        <v>0</v>
      </c>
      <c r="AA394" s="33">
        <f>IF(B394="","",IFERROR(INDEX(Channels!$S$5:$S$18,MATCH(IF(E394="",DefaultChannel,E394),Channels!$A$5:$A$18,0)),0))</f>
        <v>0</v>
      </c>
      <c r="AB394" s="20">
        <f>IF(B394="","",IFERROR(INDEX(Channels!$T$5:$T$18,MATCH(IF(E394="",DefaultChannel,E394),Channels!$A$5:$A$18,0)),0))</f>
        <v>0</v>
      </c>
      <c r="AC394" s="42">
        <f>IF(B394="","",IFERROR(INDEX(Channels!$O$5:$O$18,MATCH(IF(E394="",DefaultChannel,E394),Channels!$A$5:$A$18,0)),"No"))</f>
        <v>0</v>
      </c>
      <c r="AD394" s="20">
        <f>IF(B394="","",ROUND((V394+IF(AC394="Yes",IF(I394="",0,I394),0))*AA394+AB394,2))</f>
        <v>0</v>
      </c>
      <c r="AE394" s="20">
        <f>IF(B394="","",IF(K394&lt;&gt;"",K394,AD394))</f>
        <v>0</v>
      </c>
      <c r="AF394" s="20">
        <f>IF(B394="","",IF(K394="","",ROUND(K394-AD394,2)))</f>
        <v>0</v>
      </c>
      <c r="AG394" s="20">
        <f>IF(B394="","",ROUND(V394-Y394-AE394-Z394,2))</f>
        <v>0</v>
      </c>
      <c r="AH394" s="33">
        <f>IF(B394="","",IF(OR(V394="",V394=0),"",AG394/V394))</f>
        <v>0</v>
      </c>
      <c r="AI394" s="33">
        <f>IF(C394="","",IFERROR(INDEX(Products!$AW$5:$AW$304,MATCH(C394,Products!$A$5:$A$304,0)),""))</f>
        <v>0</v>
      </c>
      <c r="AJ394" s="33">
        <f>IF(B394="","",IF(OR(AH394="",AI394=""),"",AH394-AI394))</f>
        <v>0</v>
      </c>
      <c r="AK394" s="41">
        <f>IF(B394="","",IFERROR(ROUND(IF(D394="",0,D394)*INDEX(Products!$X$5:$X$304,MATCH(C394,Products!$A$5:$A$304,0))/60,2),""))</f>
        <v>0</v>
      </c>
      <c r="AL394" s="20">
        <f>IF(B394="","",IF(OR(AK394="",AK394=0),"",ROUND(AG394/AK394,2)))</f>
        <v>0</v>
      </c>
      <c r="AM394" s="43">
        <f>IF(B394="","",IF(C394="","Add - which product?",IF(AG394&lt;0,"Loss - this order cost you money",IF(M394="Refunded","Refunded - check why",IF(AND(AF394&lt;&gt;"",AF394&gt;0.25),"Check - fees higher than your settings",IF(Z394&gt;1,"Check - postage is eating the margin",IF(AND(AH394&lt;&gt;"",AH394&lt;MarginWarning),"Low margin on this order","OK")))))) )</f>
        <v>0</v>
      </c>
    </row>
    <row r="395" spans="1:39">
      <c r="A395" s="38">
        <f>IF(B395="","",SalePrefix&amp;TEXT(ROW()-4,"0000"))</f>
        <v>0</v>
      </c>
      <c r="Q395" s="13">
        <f>IF(C395="","",IFERROR(INDEX(Products!$B$5:$B$304,MATCH(C395,Products!$A$5:$A$304,0)),"Bundle or deleted"))</f>
        <v>0</v>
      </c>
      <c r="R395" s="13">
        <f>IF(B395="","",TEXT(B395,"yyyy-mm"))</f>
        <v>0</v>
      </c>
      <c r="S395" s="20">
        <f>IF(C395="","",IFERROR(INDEX(Products!$AR$5:$AR$304,MATCH(C395,Products!$A$5:$A$304,0)),""))</f>
        <v>0</v>
      </c>
      <c r="T395" s="20">
        <f>IF(B395="","",IF(F395&lt;&gt;"",F395,IF(S395="",0,S395)))</f>
        <v>0</v>
      </c>
      <c r="U395" s="20">
        <f>IF(B395="","",ROUND(IF(D395="",0,D395)*T395,2))</f>
        <v>0</v>
      </c>
      <c r="V395" s="20">
        <f>IF(B395="","",ROUND(U395-IF(G395="",0,G395)-IF(L395="",0,L395),2))</f>
        <v>0</v>
      </c>
      <c r="W395" s="20">
        <f>IF(C395="","",IFERROR(INDEX(Products!$AT$5:$AT$304,MATCH(C395,Products!$A$5:$A$304,0)),""))</f>
        <v>0</v>
      </c>
      <c r="X395" s="20">
        <f>IF(C395="","",IFERROR(INDEX(Products!$AG$5:$AG$304,MATCH(C395,Products!$A$5:$A$304,0)),""))</f>
        <v>0</v>
      </c>
      <c r="Y395" s="20">
        <f>IF(B395="","",ROUND(IF(D395="",0,D395)*MAX(0,IF(W395="",0,W395)-IF(X395="",0,X395)),2))</f>
        <v>0</v>
      </c>
      <c r="Z395" s="20">
        <f>IF(B395="","",ROUND(MAX(0,IF(J395="",0,J395)-IF(I395="",0,I395)),2))</f>
        <v>0</v>
      </c>
      <c r="AA395" s="33">
        <f>IF(B395="","",IFERROR(INDEX(Channels!$S$5:$S$18,MATCH(IF(E395="",DefaultChannel,E395),Channels!$A$5:$A$18,0)),0))</f>
        <v>0</v>
      </c>
      <c r="AB395" s="20">
        <f>IF(B395="","",IFERROR(INDEX(Channels!$T$5:$T$18,MATCH(IF(E395="",DefaultChannel,E395),Channels!$A$5:$A$18,0)),0))</f>
        <v>0</v>
      </c>
      <c r="AC395" s="42">
        <f>IF(B395="","",IFERROR(INDEX(Channels!$O$5:$O$18,MATCH(IF(E395="",DefaultChannel,E395),Channels!$A$5:$A$18,0)),"No"))</f>
        <v>0</v>
      </c>
      <c r="AD395" s="20">
        <f>IF(B395="","",ROUND((V395+IF(AC395="Yes",IF(I395="",0,I395),0))*AA395+AB395,2))</f>
        <v>0</v>
      </c>
      <c r="AE395" s="20">
        <f>IF(B395="","",IF(K395&lt;&gt;"",K395,AD395))</f>
        <v>0</v>
      </c>
      <c r="AF395" s="20">
        <f>IF(B395="","",IF(K395="","",ROUND(K395-AD395,2)))</f>
        <v>0</v>
      </c>
      <c r="AG395" s="20">
        <f>IF(B395="","",ROUND(V395-Y395-AE395-Z395,2))</f>
        <v>0</v>
      </c>
      <c r="AH395" s="33">
        <f>IF(B395="","",IF(OR(V395="",V395=0),"",AG395/V395))</f>
        <v>0</v>
      </c>
      <c r="AI395" s="33">
        <f>IF(C395="","",IFERROR(INDEX(Products!$AW$5:$AW$304,MATCH(C395,Products!$A$5:$A$304,0)),""))</f>
        <v>0</v>
      </c>
      <c r="AJ395" s="33">
        <f>IF(B395="","",IF(OR(AH395="",AI395=""),"",AH395-AI395))</f>
        <v>0</v>
      </c>
      <c r="AK395" s="41">
        <f>IF(B395="","",IFERROR(ROUND(IF(D395="",0,D395)*INDEX(Products!$X$5:$X$304,MATCH(C395,Products!$A$5:$A$304,0))/60,2),""))</f>
        <v>0</v>
      </c>
      <c r="AL395" s="20">
        <f>IF(B395="","",IF(OR(AK395="",AK395=0),"",ROUND(AG395/AK395,2)))</f>
        <v>0</v>
      </c>
      <c r="AM395" s="43">
        <f>IF(B395="","",IF(C395="","Add - which product?",IF(AG395&lt;0,"Loss - this order cost you money",IF(M395="Refunded","Refunded - check why",IF(AND(AF395&lt;&gt;"",AF395&gt;0.25),"Check - fees higher than your settings",IF(Z395&gt;1,"Check - postage is eating the margin",IF(AND(AH395&lt;&gt;"",AH395&lt;MarginWarning),"Low margin on this order","OK")))))) )</f>
        <v>0</v>
      </c>
    </row>
    <row r="396" spans="1:39">
      <c r="A396" s="38">
        <f>IF(B396="","",SalePrefix&amp;TEXT(ROW()-4,"0000"))</f>
        <v>0</v>
      </c>
      <c r="Q396" s="13">
        <f>IF(C396="","",IFERROR(INDEX(Products!$B$5:$B$304,MATCH(C396,Products!$A$5:$A$304,0)),"Bundle or deleted"))</f>
        <v>0</v>
      </c>
      <c r="R396" s="13">
        <f>IF(B396="","",TEXT(B396,"yyyy-mm"))</f>
        <v>0</v>
      </c>
      <c r="S396" s="20">
        <f>IF(C396="","",IFERROR(INDEX(Products!$AR$5:$AR$304,MATCH(C396,Products!$A$5:$A$304,0)),""))</f>
        <v>0</v>
      </c>
      <c r="T396" s="20">
        <f>IF(B396="","",IF(F396&lt;&gt;"",F396,IF(S396="",0,S396)))</f>
        <v>0</v>
      </c>
      <c r="U396" s="20">
        <f>IF(B396="","",ROUND(IF(D396="",0,D396)*T396,2))</f>
        <v>0</v>
      </c>
      <c r="V396" s="20">
        <f>IF(B396="","",ROUND(U396-IF(G396="",0,G396)-IF(L396="",0,L396),2))</f>
        <v>0</v>
      </c>
      <c r="W396" s="20">
        <f>IF(C396="","",IFERROR(INDEX(Products!$AT$5:$AT$304,MATCH(C396,Products!$A$5:$A$304,0)),""))</f>
        <v>0</v>
      </c>
      <c r="X396" s="20">
        <f>IF(C396="","",IFERROR(INDEX(Products!$AG$5:$AG$304,MATCH(C396,Products!$A$5:$A$304,0)),""))</f>
        <v>0</v>
      </c>
      <c r="Y396" s="20">
        <f>IF(B396="","",ROUND(IF(D396="",0,D396)*MAX(0,IF(W396="",0,W396)-IF(X396="",0,X396)),2))</f>
        <v>0</v>
      </c>
      <c r="Z396" s="20">
        <f>IF(B396="","",ROUND(MAX(0,IF(J396="",0,J396)-IF(I396="",0,I396)),2))</f>
        <v>0</v>
      </c>
      <c r="AA396" s="33">
        <f>IF(B396="","",IFERROR(INDEX(Channels!$S$5:$S$18,MATCH(IF(E396="",DefaultChannel,E396),Channels!$A$5:$A$18,0)),0))</f>
        <v>0</v>
      </c>
      <c r="AB396" s="20">
        <f>IF(B396="","",IFERROR(INDEX(Channels!$T$5:$T$18,MATCH(IF(E396="",DefaultChannel,E396),Channels!$A$5:$A$18,0)),0))</f>
        <v>0</v>
      </c>
      <c r="AC396" s="42">
        <f>IF(B396="","",IFERROR(INDEX(Channels!$O$5:$O$18,MATCH(IF(E396="",DefaultChannel,E396),Channels!$A$5:$A$18,0)),"No"))</f>
        <v>0</v>
      </c>
      <c r="AD396" s="20">
        <f>IF(B396="","",ROUND((V396+IF(AC396="Yes",IF(I396="",0,I396),0))*AA396+AB396,2))</f>
        <v>0</v>
      </c>
      <c r="AE396" s="20">
        <f>IF(B396="","",IF(K396&lt;&gt;"",K396,AD396))</f>
        <v>0</v>
      </c>
      <c r="AF396" s="20">
        <f>IF(B396="","",IF(K396="","",ROUND(K396-AD396,2)))</f>
        <v>0</v>
      </c>
      <c r="AG396" s="20">
        <f>IF(B396="","",ROUND(V396-Y396-AE396-Z396,2))</f>
        <v>0</v>
      </c>
      <c r="AH396" s="33">
        <f>IF(B396="","",IF(OR(V396="",V396=0),"",AG396/V396))</f>
        <v>0</v>
      </c>
      <c r="AI396" s="33">
        <f>IF(C396="","",IFERROR(INDEX(Products!$AW$5:$AW$304,MATCH(C396,Products!$A$5:$A$304,0)),""))</f>
        <v>0</v>
      </c>
      <c r="AJ396" s="33">
        <f>IF(B396="","",IF(OR(AH396="",AI396=""),"",AH396-AI396))</f>
        <v>0</v>
      </c>
      <c r="AK396" s="41">
        <f>IF(B396="","",IFERROR(ROUND(IF(D396="",0,D396)*INDEX(Products!$X$5:$X$304,MATCH(C396,Products!$A$5:$A$304,0))/60,2),""))</f>
        <v>0</v>
      </c>
      <c r="AL396" s="20">
        <f>IF(B396="","",IF(OR(AK396="",AK396=0),"",ROUND(AG396/AK396,2)))</f>
        <v>0</v>
      </c>
      <c r="AM396" s="43">
        <f>IF(B396="","",IF(C396="","Add - which product?",IF(AG396&lt;0,"Loss - this order cost you money",IF(M396="Refunded","Refunded - check why",IF(AND(AF396&lt;&gt;"",AF396&gt;0.25),"Check - fees higher than your settings",IF(Z396&gt;1,"Check - postage is eating the margin",IF(AND(AH396&lt;&gt;"",AH396&lt;MarginWarning),"Low margin on this order","OK")))))) )</f>
        <v>0</v>
      </c>
    </row>
    <row r="397" spans="1:39">
      <c r="A397" s="38">
        <f>IF(B397="","",SalePrefix&amp;TEXT(ROW()-4,"0000"))</f>
        <v>0</v>
      </c>
      <c r="Q397" s="13">
        <f>IF(C397="","",IFERROR(INDEX(Products!$B$5:$B$304,MATCH(C397,Products!$A$5:$A$304,0)),"Bundle or deleted"))</f>
        <v>0</v>
      </c>
      <c r="R397" s="13">
        <f>IF(B397="","",TEXT(B397,"yyyy-mm"))</f>
        <v>0</v>
      </c>
      <c r="S397" s="20">
        <f>IF(C397="","",IFERROR(INDEX(Products!$AR$5:$AR$304,MATCH(C397,Products!$A$5:$A$304,0)),""))</f>
        <v>0</v>
      </c>
      <c r="T397" s="20">
        <f>IF(B397="","",IF(F397&lt;&gt;"",F397,IF(S397="",0,S397)))</f>
        <v>0</v>
      </c>
      <c r="U397" s="20">
        <f>IF(B397="","",ROUND(IF(D397="",0,D397)*T397,2))</f>
        <v>0</v>
      </c>
      <c r="V397" s="20">
        <f>IF(B397="","",ROUND(U397-IF(G397="",0,G397)-IF(L397="",0,L397),2))</f>
        <v>0</v>
      </c>
      <c r="W397" s="20">
        <f>IF(C397="","",IFERROR(INDEX(Products!$AT$5:$AT$304,MATCH(C397,Products!$A$5:$A$304,0)),""))</f>
        <v>0</v>
      </c>
      <c r="X397" s="20">
        <f>IF(C397="","",IFERROR(INDEX(Products!$AG$5:$AG$304,MATCH(C397,Products!$A$5:$A$304,0)),""))</f>
        <v>0</v>
      </c>
      <c r="Y397" s="20">
        <f>IF(B397="","",ROUND(IF(D397="",0,D397)*MAX(0,IF(W397="",0,W397)-IF(X397="",0,X397)),2))</f>
        <v>0</v>
      </c>
      <c r="Z397" s="20">
        <f>IF(B397="","",ROUND(MAX(0,IF(J397="",0,J397)-IF(I397="",0,I397)),2))</f>
        <v>0</v>
      </c>
      <c r="AA397" s="33">
        <f>IF(B397="","",IFERROR(INDEX(Channels!$S$5:$S$18,MATCH(IF(E397="",DefaultChannel,E397),Channels!$A$5:$A$18,0)),0))</f>
        <v>0</v>
      </c>
      <c r="AB397" s="20">
        <f>IF(B397="","",IFERROR(INDEX(Channels!$T$5:$T$18,MATCH(IF(E397="",DefaultChannel,E397),Channels!$A$5:$A$18,0)),0))</f>
        <v>0</v>
      </c>
      <c r="AC397" s="42">
        <f>IF(B397="","",IFERROR(INDEX(Channels!$O$5:$O$18,MATCH(IF(E397="",DefaultChannel,E397),Channels!$A$5:$A$18,0)),"No"))</f>
        <v>0</v>
      </c>
      <c r="AD397" s="20">
        <f>IF(B397="","",ROUND((V397+IF(AC397="Yes",IF(I397="",0,I397),0))*AA397+AB397,2))</f>
        <v>0</v>
      </c>
      <c r="AE397" s="20">
        <f>IF(B397="","",IF(K397&lt;&gt;"",K397,AD397))</f>
        <v>0</v>
      </c>
      <c r="AF397" s="20">
        <f>IF(B397="","",IF(K397="","",ROUND(K397-AD397,2)))</f>
        <v>0</v>
      </c>
      <c r="AG397" s="20">
        <f>IF(B397="","",ROUND(V397-Y397-AE397-Z397,2))</f>
        <v>0</v>
      </c>
      <c r="AH397" s="33">
        <f>IF(B397="","",IF(OR(V397="",V397=0),"",AG397/V397))</f>
        <v>0</v>
      </c>
      <c r="AI397" s="33">
        <f>IF(C397="","",IFERROR(INDEX(Products!$AW$5:$AW$304,MATCH(C397,Products!$A$5:$A$304,0)),""))</f>
        <v>0</v>
      </c>
      <c r="AJ397" s="33">
        <f>IF(B397="","",IF(OR(AH397="",AI397=""),"",AH397-AI397))</f>
        <v>0</v>
      </c>
      <c r="AK397" s="41">
        <f>IF(B397="","",IFERROR(ROUND(IF(D397="",0,D397)*INDEX(Products!$X$5:$X$304,MATCH(C397,Products!$A$5:$A$304,0))/60,2),""))</f>
        <v>0</v>
      </c>
      <c r="AL397" s="20">
        <f>IF(B397="","",IF(OR(AK397="",AK397=0),"",ROUND(AG397/AK397,2)))</f>
        <v>0</v>
      </c>
      <c r="AM397" s="43">
        <f>IF(B397="","",IF(C397="","Add - which product?",IF(AG397&lt;0,"Loss - this order cost you money",IF(M397="Refunded","Refunded - check why",IF(AND(AF397&lt;&gt;"",AF397&gt;0.25),"Check - fees higher than your settings",IF(Z397&gt;1,"Check - postage is eating the margin",IF(AND(AH397&lt;&gt;"",AH397&lt;MarginWarning),"Low margin on this order","OK")))))) )</f>
        <v>0</v>
      </c>
    </row>
    <row r="398" spans="1:39">
      <c r="A398" s="38">
        <f>IF(B398="","",SalePrefix&amp;TEXT(ROW()-4,"0000"))</f>
        <v>0</v>
      </c>
      <c r="Q398" s="13">
        <f>IF(C398="","",IFERROR(INDEX(Products!$B$5:$B$304,MATCH(C398,Products!$A$5:$A$304,0)),"Bundle or deleted"))</f>
        <v>0</v>
      </c>
      <c r="R398" s="13">
        <f>IF(B398="","",TEXT(B398,"yyyy-mm"))</f>
        <v>0</v>
      </c>
      <c r="S398" s="20">
        <f>IF(C398="","",IFERROR(INDEX(Products!$AR$5:$AR$304,MATCH(C398,Products!$A$5:$A$304,0)),""))</f>
        <v>0</v>
      </c>
      <c r="T398" s="20">
        <f>IF(B398="","",IF(F398&lt;&gt;"",F398,IF(S398="",0,S398)))</f>
        <v>0</v>
      </c>
      <c r="U398" s="20">
        <f>IF(B398="","",ROUND(IF(D398="",0,D398)*T398,2))</f>
        <v>0</v>
      </c>
      <c r="V398" s="20">
        <f>IF(B398="","",ROUND(U398-IF(G398="",0,G398)-IF(L398="",0,L398),2))</f>
        <v>0</v>
      </c>
      <c r="W398" s="20">
        <f>IF(C398="","",IFERROR(INDEX(Products!$AT$5:$AT$304,MATCH(C398,Products!$A$5:$A$304,0)),""))</f>
        <v>0</v>
      </c>
      <c r="X398" s="20">
        <f>IF(C398="","",IFERROR(INDEX(Products!$AG$5:$AG$304,MATCH(C398,Products!$A$5:$A$304,0)),""))</f>
        <v>0</v>
      </c>
      <c r="Y398" s="20">
        <f>IF(B398="","",ROUND(IF(D398="",0,D398)*MAX(0,IF(W398="",0,W398)-IF(X398="",0,X398)),2))</f>
        <v>0</v>
      </c>
      <c r="Z398" s="20">
        <f>IF(B398="","",ROUND(MAX(0,IF(J398="",0,J398)-IF(I398="",0,I398)),2))</f>
        <v>0</v>
      </c>
      <c r="AA398" s="33">
        <f>IF(B398="","",IFERROR(INDEX(Channels!$S$5:$S$18,MATCH(IF(E398="",DefaultChannel,E398),Channels!$A$5:$A$18,0)),0))</f>
        <v>0</v>
      </c>
      <c r="AB398" s="20">
        <f>IF(B398="","",IFERROR(INDEX(Channels!$T$5:$T$18,MATCH(IF(E398="",DefaultChannel,E398),Channels!$A$5:$A$18,0)),0))</f>
        <v>0</v>
      </c>
      <c r="AC398" s="42">
        <f>IF(B398="","",IFERROR(INDEX(Channels!$O$5:$O$18,MATCH(IF(E398="",DefaultChannel,E398),Channels!$A$5:$A$18,0)),"No"))</f>
        <v>0</v>
      </c>
      <c r="AD398" s="20">
        <f>IF(B398="","",ROUND((V398+IF(AC398="Yes",IF(I398="",0,I398),0))*AA398+AB398,2))</f>
        <v>0</v>
      </c>
      <c r="AE398" s="20">
        <f>IF(B398="","",IF(K398&lt;&gt;"",K398,AD398))</f>
        <v>0</v>
      </c>
      <c r="AF398" s="20">
        <f>IF(B398="","",IF(K398="","",ROUND(K398-AD398,2)))</f>
        <v>0</v>
      </c>
      <c r="AG398" s="20">
        <f>IF(B398="","",ROUND(V398-Y398-AE398-Z398,2))</f>
        <v>0</v>
      </c>
      <c r="AH398" s="33">
        <f>IF(B398="","",IF(OR(V398="",V398=0),"",AG398/V398))</f>
        <v>0</v>
      </c>
      <c r="AI398" s="33">
        <f>IF(C398="","",IFERROR(INDEX(Products!$AW$5:$AW$304,MATCH(C398,Products!$A$5:$A$304,0)),""))</f>
        <v>0</v>
      </c>
      <c r="AJ398" s="33">
        <f>IF(B398="","",IF(OR(AH398="",AI398=""),"",AH398-AI398))</f>
        <v>0</v>
      </c>
      <c r="AK398" s="41">
        <f>IF(B398="","",IFERROR(ROUND(IF(D398="",0,D398)*INDEX(Products!$X$5:$X$304,MATCH(C398,Products!$A$5:$A$304,0))/60,2),""))</f>
        <v>0</v>
      </c>
      <c r="AL398" s="20">
        <f>IF(B398="","",IF(OR(AK398="",AK398=0),"",ROUND(AG398/AK398,2)))</f>
        <v>0</v>
      </c>
      <c r="AM398" s="43">
        <f>IF(B398="","",IF(C398="","Add - which product?",IF(AG398&lt;0,"Loss - this order cost you money",IF(M398="Refunded","Refunded - check why",IF(AND(AF398&lt;&gt;"",AF398&gt;0.25),"Check - fees higher than your settings",IF(Z398&gt;1,"Check - postage is eating the margin",IF(AND(AH398&lt;&gt;"",AH398&lt;MarginWarning),"Low margin on this order","OK")))))) )</f>
        <v>0</v>
      </c>
    </row>
    <row r="399" spans="1:39">
      <c r="A399" s="38">
        <f>IF(B399="","",SalePrefix&amp;TEXT(ROW()-4,"0000"))</f>
        <v>0</v>
      </c>
      <c r="Q399" s="13">
        <f>IF(C399="","",IFERROR(INDEX(Products!$B$5:$B$304,MATCH(C399,Products!$A$5:$A$304,0)),"Bundle or deleted"))</f>
        <v>0</v>
      </c>
      <c r="R399" s="13">
        <f>IF(B399="","",TEXT(B399,"yyyy-mm"))</f>
        <v>0</v>
      </c>
      <c r="S399" s="20">
        <f>IF(C399="","",IFERROR(INDEX(Products!$AR$5:$AR$304,MATCH(C399,Products!$A$5:$A$304,0)),""))</f>
        <v>0</v>
      </c>
      <c r="T399" s="20">
        <f>IF(B399="","",IF(F399&lt;&gt;"",F399,IF(S399="",0,S399)))</f>
        <v>0</v>
      </c>
      <c r="U399" s="20">
        <f>IF(B399="","",ROUND(IF(D399="",0,D399)*T399,2))</f>
        <v>0</v>
      </c>
      <c r="V399" s="20">
        <f>IF(B399="","",ROUND(U399-IF(G399="",0,G399)-IF(L399="",0,L399),2))</f>
        <v>0</v>
      </c>
      <c r="W399" s="20">
        <f>IF(C399="","",IFERROR(INDEX(Products!$AT$5:$AT$304,MATCH(C399,Products!$A$5:$A$304,0)),""))</f>
        <v>0</v>
      </c>
      <c r="X399" s="20">
        <f>IF(C399="","",IFERROR(INDEX(Products!$AG$5:$AG$304,MATCH(C399,Products!$A$5:$A$304,0)),""))</f>
        <v>0</v>
      </c>
      <c r="Y399" s="20">
        <f>IF(B399="","",ROUND(IF(D399="",0,D399)*MAX(0,IF(W399="",0,W399)-IF(X399="",0,X399)),2))</f>
        <v>0</v>
      </c>
      <c r="Z399" s="20">
        <f>IF(B399="","",ROUND(MAX(0,IF(J399="",0,J399)-IF(I399="",0,I399)),2))</f>
        <v>0</v>
      </c>
      <c r="AA399" s="33">
        <f>IF(B399="","",IFERROR(INDEX(Channels!$S$5:$S$18,MATCH(IF(E399="",DefaultChannel,E399),Channels!$A$5:$A$18,0)),0))</f>
        <v>0</v>
      </c>
      <c r="AB399" s="20">
        <f>IF(B399="","",IFERROR(INDEX(Channels!$T$5:$T$18,MATCH(IF(E399="",DefaultChannel,E399),Channels!$A$5:$A$18,0)),0))</f>
        <v>0</v>
      </c>
      <c r="AC399" s="42">
        <f>IF(B399="","",IFERROR(INDEX(Channels!$O$5:$O$18,MATCH(IF(E399="",DefaultChannel,E399),Channels!$A$5:$A$18,0)),"No"))</f>
        <v>0</v>
      </c>
      <c r="AD399" s="20">
        <f>IF(B399="","",ROUND((V399+IF(AC399="Yes",IF(I399="",0,I399),0))*AA399+AB399,2))</f>
        <v>0</v>
      </c>
      <c r="AE399" s="20">
        <f>IF(B399="","",IF(K399&lt;&gt;"",K399,AD399))</f>
        <v>0</v>
      </c>
      <c r="AF399" s="20">
        <f>IF(B399="","",IF(K399="","",ROUND(K399-AD399,2)))</f>
        <v>0</v>
      </c>
      <c r="AG399" s="20">
        <f>IF(B399="","",ROUND(V399-Y399-AE399-Z399,2))</f>
        <v>0</v>
      </c>
      <c r="AH399" s="33">
        <f>IF(B399="","",IF(OR(V399="",V399=0),"",AG399/V399))</f>
        <v>0</v>
      </c>
      <c r="AI399" s="33">
        <f>IF(C399="","",IFERROR(INDEX(Products!$AW$5:$AW$304,MATCH(C399,Products!$A$5:$A$304,0)),""))</f>
        <v>0</v>
      </c>
      <c r="AJ399" s="33">
        <f>IF(B399="","",IF(OR(AH399="",AI399=""),"",AH399-AI399))</f>
        <v>0</v>
      </c>
      <c r="AK399" s="41">
        <f>IF(B399="","",IFERROR(ROUND(IF(D399="",0,D399)*INDEX(Products!$X$5:$X$304,MATCH(C399,Products!$A$5:$A$304,0))/60,2),""))</f>
        <v>0</v>
      </c>
      <c r="AL399" s="20">
        <f>IF(B399="","",IF(OR(AK399="",AK399=0),"",ROUND(AG399/AK399,2)))</f>
        <v>0</v>
      </c>
      <c r="AM399" s="43">
        <f>IF(B399="","",IF(C399="","Add - which product?",IF(AG399&lt;0,"Loss - this order cost you money",IF(M399="Refunded","Refunded - check why",IF(AND(AF399&lt;&gt;"",AF399&gt;0.25),"Check - fees higher than your settings",IF(Z399&gt;1,"Check - postage is eating the margin",IF(AND(AH399&lt;&gt;"",AH399&lt;MarginWarning),"Low margin on this order","OK")))))) )</f>
        <v>0</v>
      </c>
    </row>
    <row r="400" spans="1:39">
      <c r="A400" s="38">
        <f>IF(B400="","",SalePrefix&amp;TEXT(ROW()-4,"0000"))</f>
        <v>0</v>
      </c>
      <c r="Q400" s="13">
        <f>IF(C400="","",IFERROR(INDEX(Products!$B$5:$B$304,MATCH(C400,Products!$A$5:$A$304,0)),"Bundle or deleted"))</f>
        <v>0</v>
      </c>
      <c r="R400" s="13">
        <f>IF(B400="","",TEXT(B400,"yyyy-mm"))</f>
        <v>0</v>
      </c>
      <c r="S400" s="20">
        <f>IF(C400="","",IFERROR(INDEX(Products!$AR$5:$AR$304,MATCH(C400,Products!$A$5:$A$304,0)),""))</f>
        <v>0</v>
      </c>
      <c r="T400" s="20">
        <f>IF(B400="","",IF(F400&lt;&gt;"",F400,IF(S400="",0,S400)))</f>
        <v>0</v>
      </c>
      <c r="U400" s="20">
        <f>IF(B400="","",ROUND(IF(D400="",0,D400)*T400,2))</f>
        <v>0</v>
      </c>
      <c r="V400" s="20">
        <f>IF(B400="","",ROUND(U400-IF(G400="",0,G400)-IF(L400="",0,L400),2))</f>
        <v>0</v>
      </c>
      <c r="W400" s="20">
        <f>IF(C400="","",IFERROR(INDEX(Products!$AT$5:$AT$304,MATCH(C400,Products!$A$5:$A$304,0)),""))</f>
        <v>0</v>
      </c>
      <c r="X400" s="20">
        <f>IF(C400="","",IFERROR(INDEX(Products!$AG$5:$AG$304,MATCH(C400,Products!$A$5:$A$304,0)),""))</f>
        <v>0</v>
      </c>
      <c r="Y400" s="20">
        <f>IF(B400="","",ROUND(IF(D400="",0,D400)*MAX(0,IF(W400="",0,W400)-IF(X400="",0,X400)),2))</f>
        <v>0</v>
      </c>
      <c r="Z400" s="20">
        <f>IF(B400="","",ROUND(MAX(0,IF(J400="",0,J400)-IF(I400="",0,I400)),2))</f>
        <v>0</v>
      </c>
      <c r="AA400" s="33">
        <f>IF(B400="","",IFERROR(INDEX(Channels!$S$5:$S$18,MATCH(IF(E400="",DefaultChannel,E400),Channels!$A$5:$A$18,0)),0))</f>
        <v>0</v>
      </c>
      <c r="AB400" s="20">
        <f>IF(B400="","",IFERROR(INDEX(Channels!$T$5:$T$18,MATCH(IF(E400="",DefaultChannel,E400),Channels!$A$5:$A$18,0)),0))</f>
        <v>0</v>
      </c>
      <c r="AC400" s="42">
        <f>IF(B400="","",IFERROR(INDEX(Channels!$O$5:$O$18,MATCH(IF(E400="",DefaultChannel,E400),Channels!$A$5:$A$18,0)),"No"))</f>
        <v>0</v>
      </c>
      <c r="AD400" s="20">
        <f>IF(B400="","",ROUND((V400+IF(AC400="Yes",IF(I400="",0,I400),0))*AA400+AB400,2))</f>
        <v>0</v>
      </c>
      <c r="AE400" s="20">
        <f>IF(B400="","",IF(K400&lt;&gt;"",K400,AD400))</f>
        <v>0</v>
      </c>
      <c r="AF400" s="20">
        <f>IF(B400="","",IF(K400="","",ROUND(K400-AD400,2)))</f>
        <v>0</v>
      </c>
      <c r="AG400" s="20">
        <f>IF(B400="","",ROUND(V400-Y400-AE400-Z400,2))</f>
        <v>0</v>
      </c>
      <c r="AH400" s="33">
        <f>IF(B400="","",IF(OR(V400="",V400=0),"",AG400/V400))</f>
        <v>0</v>
      </c>
      <c r="AI400" s="33">
        <f>IF(C400="","",IFERROR(INDEX(Products!$AW$5:$AW$304,MATCH(C400,Products!$A$5:$A$304,0)),""))</f>
        <v>0</v>
      </c>
      <c r="AJ400" s="33">
        <f>IF(B400="","",IF(OR(AH400="",AI400=""),"",AH400-AI400))</f>
        <v>0</v>
      </c>
      <c r="AK400" s="41">
        <f>IF(B400="","",IFERROR(ROUND(IF(D400="",0,D400)*INDEX(Products!$X$5:$X$304,MATCH(C400,Products!$A$5:$A$304,0))/60,2),""))</f>
        <v>0</v>
      </c>
      <c r="AL400" s="20">
        <f>IF(B400="","",IF(OR(AK400="",AK400=0),"",ROUND(AG400/AK400,2)))</f>
        <v>0</v>
      </c>
      <c r="AM400" s="43">
        <f>IF(B400="","",IF(C400="","Add - which product?",IF(AG400&lt;0,"Loss - this order cost you money",IF(M400="Refunded","Refunded - check why",IF(AND(AF400&lt;&gt;"",AF400&gt;0.25),"Check - fees higher than your settings",IF(Z400&gt;1,"Check - postage is eating the margin",IF(AND(AH400&lt;&gt;"",AH400&lt;MarginWarning),"Low margin on this order","OK")))))) )</f>
        <v>0</v>
      </c>
    </row>
    <row r="401" spans="1:39">
      <c r="A401" s="38">
        <f>IF(B401="","",SalePrefix&amp;TEXT(ROW()-4,"0000"))</f>
        <v>0</v>
      </c>
      <c r="Q401" s="13">
        <f>IF(C401="","",IFERROR(INDEX(Products!$B$5:$B$304,MATCH(C401,Products!$A$5:$A$304,0)),"Bundle or deleted"))</f>
        <v>0</v>
      </c>
      <c r="R401" s="13">
        <f>IF(B401="","",TEXT(B401,"yyyy-mm"))</f>
        <v>0</v>
      </c>
      <c r="S401" s="20">
        <f>IF(C401="","",IFERROR(INDEX(Products!$AR$5:$AR$304,MATCH(C401,Products!$A$5:$A$304,0)),""))</f>
        <v>0</v>
      </c>
      <c r="T401" s="20">
        <f>IF(B401="","",IF(F401&lt;&gt;"",F401,IF(S401="",0,S401)))</f>
        <v>0</v>
      </c>
      <c r="U401" s="20">
        <f>IF(B401="","",ROUND(IF(D401="",0,D401)*T401,2))</f>
        <v>0</v>
      </c>
      <c r="V401" s="20">
        <f>IF(B401="","",ROUND(U401-IF(G401="",0,G401)-IF(L401="",0,L401),2))</f>
        <v>0</v>
      </c>
      <c r="W401" s="20">
        <f>IF(C401="","",IFERROR(INDEX(Products!$AT$5:$AT$304,MATCH(C401,Products!$A$5:$A$304,0)),""))</f>
        <v>0</v>
      </c>
      <c r="X401" s="20">
        <f>IF(C401="","",IFERROR(INDEX(Products!$AG$5:$AG$304,MATCH(C401,Products!$A$5:$A$304,0)),""))</f>
        <v>0</v>
      </c>
      <c r="Y401" s="20">
        <f>IF(B401="","",ROUND(IF(D401="",0,D401)*MAX(0,IF(W401="",0,W401)-IF(X401="",0,X401)),2))</f>
        <v>0</v>
      </c>
      <c r="Z401" s="20">
        <f>IF(B401="","",ROUND(MAX(0,IF(J401="",0,J401)-IF(I401="",0,I401)),2))</f>
        <v>0</v>
      </c>
      <c r="AA401" s="33">
        <f>IF(B401="","",IFERROR(INDEX(Channels!$S$5:$S$18,MATCH(IF(E401="",DefaultChannel,E401),Channels!$A$5:$A$18,0)),0))</f>
        <v>0</v>
      </c>
      <c r="AB401" s="20">
        <f>IF(B401="","",IFERROR(INDEX(Channels!$T$5:$T$18,MATCH(IF(E401="",DefaultChannel,E401),Channels!$A$5:$A$18,0)),0))</f>
        <v>0</v>
      </c>
      <c r="AC401" s="42">
        <f>IF(B401="","",IFERROR(INDEX(Channels!$O$5:$O$18,MATCH(IF(E401="",DefaultChannel,E401),Channels!$A$5:$A$18,0)),"No"))</f>
        <v>0</v>
      </c>
      <c r="AD401" s="20">
        <f>IF(B401="","",ROUND((V401+IF(AC401="Yes",IF(I401="",0,I401),0))*AA401+AB401,2))</f>
        <v>0</v>
      </c>
      <c r="AE401" s="20">
        <f>IF(B401="","",IF(K401&lt;&gt;"",K401,AD401))</f>
        <v>0</v>
      </c>
      <c r="AF401" s="20">
        <f>IF(B401="","",IF(K401="","",ROUND(K401-AD401,2)))</f>
        <v>0</v>
      </c>
      <c r="AG401" s="20">
        <f>IF(B401="","",ROUND(V401-Y401-AE401-Z401,2))</f>
        <v>0</v>
      </c>
      <c r="AH401" s="33">
        <f>IF(B401="","",IF(OR(V401="",V401=0),"",AG401/V401))</f>
        <v>0</v>
      </c>
      <c r="AI401" s="33">
        <f>IF(C401="","",IFERROR(INDEX(Products!$AW$5:$AW$304,MATCH(C401,Products!$A$5:$A$304,0)),""))</f>
        <v>0</v>
      </c>
      <c r="AJ401" s="33">
        <f>IF(B401="","",IF(OR(AH401="",AI401=""),"",AH401-AI401))</f>
        <v>0</v>
      </c>
      <c r="AK401" s="41">
        <f>IF(B401="","",IFERROR(ROUND(IF(D401="",0,D401)*INDEX(Products!$X$5:$X$304,MATCH(C401,Products!$A$5:$A$304,0))/60,2),""))</f>
        <v>0</v>
      </c>
      <c r="AL401" s="20">
        <f>IF(B401="","",IF(OR(AK401="",AK401=0),"",ROUND(AG401/AK401,2)))</f>
        <v>0</v>
      </c>
      <c r="AM401" s="43">
        <f>IF(B401="","",IF(C401="","Add - which product?",IF(AG401&lt;0,"Loss - this order cost you money",IF(M401="Refunded","Refunded - check why",IF(AND(AF401&lt;&gt;"",AF401&gt;0.25),"Check - fees higher than your settings",IF(Z401&gt;1,"Check - postage is eating the margin",IF(AND(AH401&lt;&gt;"",AH401&lt;MarginWarning),"Low margin on this order","OK")))))) )</f>
        <v>0</v>
      </c>
    </row>
    <row r="402" spans="1:39">
      <c r="A402" s="38">
        <f>IF(B402="","",SalePrefix&amp;TEXT(ROW()-4,"0000"))</f>
        <v>0</v>
      </c>
      <c r="Q402" s="13">
        <f>IF(C402="","",IFERROR(INDEX(Products!$B$5:$B$304,MATCH(C402,Products!$A$5:$A$304,0)),"Bundle or deleted"))</f>
        <v>0</v>
      </c>
      <c r="R402" s="13">
        <f>IF(B402="","",TEXT(B402,"yyyy-mm"))</f>
        <v>0</v>
      </c>
      <c r="S402" s="20">
        <f>IF(C402="","",IFERROR(INDEX(Products!$AR$5:$AR$304,MATCH(C402,Products!$A$5:$A$304,0)),""))</f>
        <v>0</v>
      </c>
      <c r="T402" s="20">
        <f>IF(B402="","",IF(F402&lt;&gt;"",F402,IF(S402="",0,S402)))</f>
        <v>0</v>
      </c>
      <c r="U402" s="20">
        <f>IF(B402="","",ROUND(IF(D402="",0,D402)*T402,2))</f>
        <v>0</v>
      </c>
      <c r="V402" s="20">
        <f>IF(B402="","",ROUND(U402-IF(G402="",0,G402)-IF(L402="",0,L402),2))</f>
        <v>0</v>
      </c>
      <c r="W402" s="20">
        <f>IF(C402="","",IFERROR(INDEX(Products!$AT$5:$AT$304,MATCH(C402,Products!$A$5:$A$304,0)),""))</f>
        <v>0</v>
      </c>
      <c r="X402" s="20">
        <f>IF(C402="","",IFERROR(INDEX(Products!$AG$5:$AG$304,MATCH(C402,Products!$A$5:$A$304,0)),""))</f>
        <v>0</v>
      </c>
      <c r="Y402" s="20">
        <f>IF(B402="","",ROUND(IF(D402="",0,D402)*MAX(0,IF(W402="",0,W402)-IF(X402="",0,X402)),2))</f>
        <v>0</v>
      </c>
      <c r="Z402" s="20">
        <f>IF(B402="","",ROUND(MAX(0,IF(J402="",0,J402)-IF(I402="",0,I402)),2))</f>
        <v>0</v>
      </c>
      <c r="AA402" s="33">
        <f>IF(B402="","",IFERROR(INDEX(Channels!$S$5:$S$18,MATCH(IF(E402="",DefaultChannel,E402),Channels!$A$5:$A$18,0)),0))</f>
        <v>0</v>
      </c>
      <c r="AB402" s="20">
        <f>IF(B402="","",IFERROR(INDEX(Channels!$T$5:$T$18,MATCH(IF(E402="",DefaultChannel,E402),Channels!$A$5:$A$18,0)),0))</f>
        <v>0</v>
      </c>
      <c r="AC402" s="42">
        <f>IF(B402="","",IFERROR(INDEX(Channels!$O$5:$O$18,MATCH(IF(E402="",DefaultChannel,E402),Channels!$A$5:$A$18,0)),"No"))</f>
        <v>0</v>
      </c>
      <c r="AD402" s="20">
        <f>IF(B402="","",ROUND((V402+IF(AC402="Yes",IF(I402="",0,I402),0))*AA402+AB402,2))</f>
        <v>0</v>
      </c>
      <c r="AE402" s="20">
        <f>IF(B402="","",IF(K402&lt;&gt;"",K402,AD402))</f>
        <v>0</v>
      </c>
      <c r="AF402" s="20">
        <f>IF(B402="","",IF(K402="","",ROUND(K402-AD402,2)))</f>
        <v>0</v>
      </c>
      <c r="AG402" s="20">
        <f>IF(B402="","",ROUND(V402-Y402-AE402-Z402,2))</f>
        <v>0</v>
      </c>
      <c r="AH402" s="33">
        <f>IF(B402="","",IF(OR(V402="",V402=0),"",AG402/V402))</f>
        <v>0</v>
      </c>
      <c r="AI402" s="33">
        <f>IF(C402="","",IFERROR(INDEX(Products!$AW$5:$AW$304,MATCH(C402,Products!$A$5:$A$304,0)),""))</f>
        <v>0</v>
      </c>
      <c r="AJ402" s="33">
        <f>IF(B402="","",IF(OR(AH402="",AI402=""),"",AH402-AI402))</f>
        <v>0</v>
      </c>
      <c r="AK402" s="41">
        <f>IF(B402="","",IFERROR(ROUND(IF(D402="",0,D402)*INDEX(Products!$X$5:$X$304,MATCH(C402,Products!$A$5:$A$304,0))/60,2),""))</f>
        <v>0</v>
      </c>
      <c r="AL402" s="20">
        <f>IF(B402="","",IF(OR(AK402="",AK402=0),"",ROUND(AG402/AK402,2)))</f>
        <v>0</v>
      </c>
      <c r="AM402" s="43">
        <f>IF(B402="","",IF(C402="","Add - which product?",IF(AG402&lt;0,"Loss - this order cost you money",IF(M402="Refunded","Refunded - check why",IF(AND(AF402&lt;&gt;"",AF402&gt;0.25),"Check - fees higher than your settings",IF(Z402&gt;1,"Check - postage is eating the margin",IF(AND(AH402&lt;&gt;"",AH402&lt;MarginWarning),"Low margin on this order","OK")))))) )</f>
        <v>0</v>
      </c>
    </row>
    <row r="403" spans="1:39">
      <c r="A403" s="38">
        <f>IF(B403="","",SalePrefix&amp;TEXT(ROW()-4,"0000"))</f>
        <v>0</v>
      </c>
      <c r="Q403" s="13">
        <f>IF(C403="","",IFERROR(INDEX(Products!$B$5:$B$304,MATCH(C403,Products!$A$5:$A$304,0)),"Bundle or deleted"))</f>
        <v>0</v>
      </c>
      <c r="R403" s="13">
        <f>IF(B403="","",TEXT(B403,"yyyy-mm"))</f>
        <v>0</v>
      </c>
      <c r="S403" s="20">
        <f>IF(C403="","",IFERROR(INDEX(Products!$AR$5:$AR$304,MATCH(C403,Products!$A$5:$A$304,0)),""))</f>
        <v>0</v>
      </c>
      <c r="T403" s="20">
        <f>IF(B403="","",IF(F403&lt;&gt;"",F403,IF(S403="",0,S403)))</f>
        <v>0</v>
      </c>
      <c r="U403" s="20">
        <f>IF(B403="","",ROUND(IF(D403="",0,D403)*T403,2))</f>
        <v>0</v>
      </c>
      <c r="V403" s="20">
        <f>IF(B403="","",ROUND(U403-IF(G403="",0,G403)-IF(L403="",0,L403),2))</f>
        <v>0</v>
      </c>
      <c r="W403" s="20">
        <f>IF(C403="","",IFERROR(INDEX(Products!$AT$5:$AT$304,MATCH(C403,Products!$A$5:$A$304,0)),""))</f>
        <v>0</v>
      </c>
      <c r="X403" s="20">
        <f>IF(C403="","",IFERROR(INDEX(Products!$AG$5:$AG$304,MATCH(C403,Products!$A$5:$A$304,0)),""))</f>
        <v>0</v>
      </c>
      <c r="Y403" s="20">
        <f>IF(B403="","",ROUND(IF(D403="",0,D403)*MAX(0,IF(W403="",0,W403)-IF(X403="",0,X403)),2))</f>
        <v>0</v>
      </c>
      <c r="Z403" s="20">
        <f>IF(B403="","",ROUND(MAX(0,IF(J403="",0,J403)-IF(I403="",0,I403)),2))</f>
        <v>0</v>
      </c>
      <c r="AA403" s="33">
        <f>IF(B403="","",IFERROR(INDEX(Channels!$S$5:$S$18,MATCH(IF(E403="",DefaultChannel,E403),Channels!$A$5:$A$18,0)),0))</f>
        <v>0</v>
      </c>
      <c r="AB403" s="20">
        <f>IF(B403="","",IFERROR(INDEX(Channels!$T$5:$T$18,MATCH(IF(E403="",DefaultChannel,E403),Channels!$A$5:$A$18,0)),0))</f>
        <v>0</v>
      </c>
      <c r="AC403" s="42">
        <f>IF(B403="","",IFERROR(INDEX(Channels!$O$5:$O$18,MATCH(IF(E403="",DefaultChannel,E403),Channels!$A$5:$A$18,0)),"No"))</f>
        <v>0</v>
      </c>
      <c r="AD403" s="20">
        <f>IF(B403="","",ROUND((V403+IF(AC403="Yes",IF(I403="",0,I403),0))*AA403+AB403,2))</f>
        <v>0</v>
      </c>
      <c r="AE403" s="20">
        <f>IF(B403="","",IF(K403&lt;&gt;"",K403,AD403))</f>
        <v>0</v>
      </c>
      <c r="AF403" s="20">
        <f>IF(B403="","",IF(K403="","",ROUND(K403-AD403,2)))</f>
        <v>0</v>
      </c>
      <c r="AG403" s="20">
        <f>IF(B403="","",ROUND(V403-Y403-AE403-Z403,2))</f>
        <v>0</v>
      </c>
      <c r="AH403" s="33">
        <f>IF(B403="","",IF(OR(V403="",V403=0),"",AG403/V403))</f>
        <v>0</v>
      </c>
      <c r="AI403" s="33">
        <f>IF(C403="","",IFERROR(INDEX(Products!$AW$5:$AW$304,MATCH(C403,Products!$A$5:$A$304,0)),""))</f>
        <v>0</v>
      </c>
      <c r="AJ403" s="33">
        <f>IF(B403="","",IF(OR(AH403="",AI403=""),"",AH403-AI403))</f>
        <v>0</v>
      </c>
      <c r="AK403" s="41">
        <f>IF(B403="","",IFERROR(ROUND(IF(D403="",0,D403)*INDEX(Products!$X$5:$X$304,MATCH(C403,Products!$A$5:$A$304,0))/60,2),""))</f>
        <v>0</v>
      </c>
      <c r="AL403" s="20">
        <f>IF(B403="","",IF(OR(AK403="",AK403=0),"",ROUND(AG403/AK403,2)))</f>
        <v>0</v>
      </c>
      <c r="AM403" s="43">
        <f>IF(B403="","",IF(C403="","Add - which product?",IF(AG403&lt;0,"Loss - this order cost you money",IF(M403="Refunded","Refunded - check why",IF(AND(AF403&lt;&gt;"",AF403&gt;0.25),"Check - fees higher than your settings",IF(Z403&gt;1,"Check - postage is eating the margin",IF(AND(AH403&lt;&gt;"",AH403&lt;MarginWarning),"Low margin on this order","OK")))))) )</f>
        <v>0</v>
      </c>
    </row>
    <row r="404" spans="1:39">
      <c r="A404" s="38">
        <f>IF(B404="","",SalePrefix&amp;TEXT(ROW()-4,"0000"))</f>
        <v>0</v>
      </c>
      <c r="Q404" s="13">
        <f>IF(C404="","",IFERROR(INDEX(Products!$B$5:$B$304,MATCH(C404,Products!$A$5:$A$304,0)),"Bundle or deleted"))</f>
        <v>0</v>
      </c>
      <c r="R404" s="13">
        <f>IF(B404="","",TEXT(B404,"yyyy-mm"))</f>
        <v>0</v>
      </c>
      <c r="S404" s="20">
        <f>IF(C404="","",IFERROR(INDEX(Products!$AR$5:$AR$304,MATCH(C404,Products!$A$5:$A$304,0)),""))</f>
        <v>0</v>
      </c>
      <c r="T404" s="20">
        <f>IF(B404="","",IF(F404&lt;&gt;"",F404,IF(S404="",0,S404)))</f>
        <v>0</v>
      </c>
      <c r="U404" s="20">
        <f>IF(B404="","",ROUND(IF(D404="",0,D404)*T404,2))</f>
        <v>0</v>
      </c>
      <c r="V404" s="20">
        <f>IF(B404="","",ROUND(U404-IF(G404="",0,G404)-IF(L404="",0,L404),2))</f>
        <v>0</v>
      </c>
      <c r="W404" s="20">
        <f>IF(C404="","",IFERROR(INDEX(Products!$AT$5:$AT$304,MATCH(C404,Products!$A$5:$A$304,0)),""))</f>
        <v>0</v>
      </c>
      <c r="X404" s="20">
        <f>IF(C404="","",IFERROR(INDEX(Products!$AG$5:$AG$304,MATCH(C404,Products!$A$5:$A$304,0)),""))</f>
        <v>0</v>
      </c>
      <c r="Y404" s="20">
        <f>IF(B404="","",ROUND(IF(D404="",0,D404)*MAX(0,IF(W404="",0,W404)-IF(X404="",0,X404)),2))</f>
        <v>0</v>
      </c>
      <c r="Z404" s="20">
        <f>IF(B404="","",ROUND(MAX(0,IF(J404="",0,J404)-IF(I404="",0,I404)),2))</f>
        <v>0</v>
      </c>
      <c r="AA404" s="33">
        <f>IF(B404="","",IFERROR(INDEX(Channels!$S$5:$S$18,MATCH(IF(E404="",DefaultChannel,E404),Channels!$A$5:$A$18,0)),0))</f>
        <v>0</v>
      </c>
      <c r="AB404" s="20">
        <f>IF(B404="","",IFERROR(INDEX(Channels!$T$5:$T$18,MATCH(IF(E404="",DefaultChannel,E404),Channels!$A$5:$A$18,0)),0))</f>
        <v>0</v>
      </c>
      <c r="AC404" s="42">
        <f>IF(B404="","",IFERROR(INDEX(Channels!$O$5:$O$18,MATCH(IF(E404="",DefaultChannel,E404),Channels!$A$5:$A$18,0)),"No"))</f>
        <v>0</v>
      </c>
      <c r="AD404" s="20">
        <f>IF(B404="","",ROUND((V404+IF(AC404="Yes",IF(I404="",0,I404),0))*AA404+AB404,2))</f>
        <v>0</v>
      </c>
      <c r="AE404" s="20">
        <f>IF(B404="","",IF(K404&lt;&gt;"",K404,AD404))</f>
        <v>0</v>
      </c>
      <c r="AF404" s="20">
        <f>IF(B404="","",IF(K404="","",ROUND(K404-AD404,2)))</f>
        <v>0</v>
      </c>
      <c r="AG404" s="20">
        <f>IF(B404="","",ROUND(V404-Y404-AE404-Z404,2))</f>
        <v>0</v>
      </c>
      <c r="AH404" s="33">
        <f>IF(B404="","",IF(OR(V404="",V404=0),"",AG404/V404))</f>
        <v>0</v>
      </c>
      <c r="AI404" s="33">
        <f>IF(C404="","",IFERROR(INDEX(Products!$AW$5:$AW$304,MATCH(C404,Products!$A$5:$A$304,0)),""))</f>
        <v>0</v>
      </c>
      <c r="AJ404" s="33">
        <f>IF(B404="","",IF(OR(AH404="",AI404=""),"",AH404-AI404))</f>
        <v>0</v>
      </c>
      <c r="AK404" s="41">
        <f>IF(B404="","",IFERROR(ROUND(IF(D404="",0,D404)*INDEX(Products!$X$5:$X$304,MATCH(C404,Products!$A$5:$A$304,0))/60,2),""))</f>
        <v>0</v>
      </c>
      <c r="AL404" s="20">
        <f>IF(B404="","",IF(OR(AK404="",AK404=0),"",ROUND(AG404/AK404,2)))</f>
        <v>0</v>
      </c>
      <c r="AM404" s="43">
        <f>IF(B404="","",IF(C404="","Add - which product?",IF(AG404&lt;0,"Loss - this order cost you money",IF(M404="Refunded","Refunded - check why",IF(AND(AF404&lt;&gt;"",AF404&gt;0.25),"Check - fees higher than your settings",IF(Z404&gt;1,"Check - postage is eating the margin",IF(AND(AH404&lt;&gt;"",AH404&lt;MarginWarning),"Low margin on this order","OK")))))) )</f>
        <v>0</v>
      </c>
    </row>
    <row r="405" spans="1:39">
      <c r="A405" s="38">
        <f>IF(B405="","",SalePrefix&amp;TEXT(ROW()-4,"0000"))</f>
        <v>0</v>
      </c>
      <c r="Q405" s="13">
        <f>IF(C405="","",IFERROR(INDEX(Products!$B$5:$B$304,MATCH(C405,Products!$A$5:$A$304,0)),"Bundle or deleted"))</f>
        <v>0</v>
      </c>
      <c r="R405" s="13">
        <f>IF(B405="","",TEXT(B405,"yyyy-mm"))</f>
        <v>0</v>
      </c>
      <c r="S405" s="20">
        <f>IF(C405="","",IFERROR(INDEX(Products!$AR$5:$AR$304,MATCH(C405,Products!$A$5:$A$304,0)),""))</f>
        <v>0</v>
      </c>
      <c r="T405" s="20">
        <f>IF(B405="","",IF(F405&lt;&gt;"",F405,IF(S405="",0,S405)))</f>
        <v>0</v>
      </c>
      <c r="U405" s="20">
        <f>IF(B405="","",ROUND(IF(D405="",0,D405)*T405,2))</f>
        <v>0</v>
      </c>
      <c r="V405" s="20">
        <f>IF(B405="","",ROUND(U405-IF(G405="",0,G405)-IF(L405="",0,L405),2))</f>
        <v>0</v>
      </c>
      <c r="W405" s="20">
        <f>IF(C405="","",IFERROR(INDEX(Products!$AT$5:$AT$304,MATCH(C405,Products!$A$5:$A$304,0)),""))</f>
        <v>0</v>
      </c>
      <c r="X405" s="20">
        <f>IF(C405="","",IFERROR(INDEX(Products!$AG$5:$AG$304,MATCH(C405,Products!$A$5:$A$304,0)),""))</f>
        <v>0</v>
      </c>
      <c r="Y405" s="20">
        <f>IF(B405="","",ROUND(IF(D405="",0,D405)*MAX(0,IF(W405="",0,W405)-IF(X405="",0,X405)),2))</f>
        <v>0</v>
      </c>
      <c r="Z405" s="20">
        <f>IF(B405="","",ROUND(MAX(0,IF(J405="",0,J405)-IF(I405="",0,I405)),2))</f>
        <v>0</v>
      </c>
      <c r="AA405" s="33">
        <f>IF(B405="","",IFERROR(INDEX(Channels!$S$5:$S$18,MATCH(IF(E405="",DefaultChannel,E405),Channels!$A$5:$A$18,0)),0))</f>
        <v>0</v>
      </c>
      <c r="AB405" s="20">
        <f>IF(B405="","",IFERROR(INDEX(Channels!$T$5:$T$18,MATCH(IF(E405="",DefaultChannel,E405),Channels!$A$5:$A$18,0)),0))</f>
        <v>0</v>
      </c>
      <c r="AC405" s="42">
        <f>IF(B405="","",IFERROR(INDEX(Channels!$O$5:$O$18,MATCH(IF(E405="",DefaultChannel,E405),Channels!$A$5:$A$18,0)),"No"))</f>
        <v>0</v>
      </c>
      <c r="AD405" s="20">
        <f>IF(B405="","",ROUND((V405+IF(AC405="Yes",IF(I405="",0,I405),0))*AA405+AB405,2))</f>
        <v>0</v>
      </c>
      <c r="AE405" s="20">
        <f>IF(B405="","",IF(K405&lt;&gt;"",K405,AD405))</f>
        <v>0</v>
      </c>
      <c r="AF405" s="20">
        <f>IF(B405="","",IF(K405="","",ROUND(K405-AD405,2)))</f>
        <v>0</v>
      </c>
      <c r="AG405" s="20">
        <f>IF(B405="","",ROUND(V405-Y405-AE405-Z405,2))</f>
        <v>0</v>
      </c>
      <c r="AH405" s="33">
        <f>IF(B405="","",IF(OR(V405="",V405=0),"",AG405/V405))</f>
        <v>0</v>
      </c>
      <c r="AI405" s="33">
        <f>IF(C405="","",IFERROR(INDEX(Products!$AW$5:$AW$304,MATCH(C405,Products!$A$5:$A$304,0)),""))</f>
        <v>0</v>
      </c>
      <c r="AJ405" s="33">
        <f>IF(B405="","",IF(OR(AH405="",AI405=""),"",AH405-AI405))</f>
        <v>0</v>
      </c>
      <c r="AK405" s="41">
        <f>IF(B405="","",IFERROR(ROUND(IF(D405="",0,D405)*INDEX(Products!$X$5:$X$304,MATCH(C405,Products!$A$5:$A$304,0))/60,2),""))</f>
        <v>0</v>
      </c>
      <c r="AL405" s="20">
        <f>IF(B405="","",IF(OR(AK405="",AK405=0),"",ROUND(AG405/AK405,2)))</f>
        <v>0</v>
      </c>
      <c r="AM405" s="43">
        <f>IF(B405="","",IF(C405="","Add - which product?",IF(AG405&lt;0,"Loss - this order cost you money",IF(M405="Refunded","Refunded - check why",IF(AND(AF405&lt;&gt;"",AF405&gt;0.25),"Check - fees higher than your settings",IF(Z405&gt;1,"Check - postage is eating the margin",IF(AND(AH405&lt;&gt;"",AH405&lt;MarginWarning),"Low margin on this order","OK")))))) )</f>
        <v>0</v>
      </c>
    </row>
    <row r="406" spans="1:39">
      <c r="A406" s="38">
        <f>IF(B406="","",SalePrefix&amp;TEXT(ROW()-4,"0000"))</f>
        <v>0</v>
      </c>
      <c r="Q406" s="13">
        <f>IF(C406="","",IFERROR(INDEX(Products!$B$5:$B$304,MATCH(C406,Products!$A$5:$A$304,0)),"Bundle or deleted"))</f>
        <v>0</v>
      </c>
      <c r="R406" s="13">
        <f>IF(B406="","",TEXT(B406,"yyyy-mm"))</f>
        <v>0</v>
      </c>
      <c r="S406" s="20">
        <f>IF(C406="","",IFERROR(INDEX(Products!$AR$5:$AR$304,MATCH(C406,Products!$A$5:$A$304,0)),""))</f>
        <v>0</v>
      </c>
      <c r="T406" s="20">
        <f>IF(B406="","",IF(F406&lt;&gt;"",F406,IF(S406="",0,S406)))</f>
        <v>0</v>
      </c>
      <c r="U406" s="20">
        <f>IF(B406="","",ROUND(IF(D406="",0,D406)*T406,2))</f>
        <v>0</v>
      </c>
      <c r="V406" s="20">
        <f>IF(B406="","",ROUND(U406-IF(G406="",0,G406)-IF(L406="",0,L406),2))</f>
        <v>0</v>
      </c>
      <c r="W406" s="20">
        <f>IF(C406="","",IFERROR(INDEX(Products!$AT$5:$AT$304,MATCH(C406,Products!$A$5:$A$304,0)),""))</f>
        <v>0</v>
      </c>
      <c r="X406" s="20">
        <f>IF(C406="","",IFERROR(INDEX(Products!$AG$5:$AG$304,MATCH(C406,Products!$A$5:$A$304,0)),""))</f>
        <v>0</v>
      </c>
      <c r="Y406" s="20">
        <f>IF(B406="","",ROUND(IF(D406="",0,D406)*MAX(0,IF(W406="",0,W406)-IF(X406="",0,X406)),2))</f>
        <v>0</v>
      </c>
      <c r="Z406" s="20">
        <f>IF(B406="","",ROUND(MAX(0,IF(J406="",0,J406)-IF(I406="",0,I406)),2))</f>
        <v>0</v>
      </c>
      <c r="AA406" s="33">
        <f>IF(B406="","",IFERROR(INDEX(Channels!$S$5:$S$18,MATCH(IF(E406="",DefaultChannel,E406),Channels!$A$5:$A$18,0)),0))</f>
        <v>0</v>
      </c>
      <c r="AB406" s="20">
        <f>IF(B406="","",IFERROR(INDEX(Channels!$T$5:$T$18,MATCH(IF(E406="",DefaultChannel,E406),Channels!$A$5:$A$18,0)),0))</f>
        <v>0</v>
      </c>
      <c r="AC406" s="42">
        <f>IF(B406="","",IFERROR(INDEX(Channels!$O$5:$O$18,MATCH(IF(E406="",DefaultChannel,E406),Channels!$A$5:$A$18,0)),"No"))</f>
        <v>0</v>
      </c>
      <c r="AD406" s="20">
        <f>IF(B406="","",ROUND((V406+IF(AC406="Yes",IF(I406="",0,I406),0))*AA406+AB406,2))</f>
        <v>0</v>
      </c>
      <c r="AE406" s="20">
        <f>IF(B406="","",IF(K406&lt;&gt;"",K406,AD406))</f>
        <v>0</v>
      </c>
      <c r="AF406" s="20">
        <f>IF(B406="","",IF(K406="","",ROUND(K406-AD406,2)))</f>
        <v>0</v>
      </c>
      <c r="AG406" s="20">
        <f>IF(B406="","",ROUND(V406-Y406-AE406-Z406,2))</f>
        <v>0</v>
      </c>
      <c r="AH406" s="33">
        <f>IF(B406="","",IF(OR(V406="",V406=0),"",AG406/V406))</f>
        <v>0</v>
      </c>
      <c r="AI406" s="33">
        <f>IF(C406="","",IFERROR(INDEX(Products!$AW$5:$AW$304,MATCH(C406,Products!$A$5:$A$304,0)),""))</f>
        <v>0</v>
      </c>
      <c r="AJ406" s="33">
        <f>IF(B406="","",IF(OR(AH406="",AI406=""),"",AH406-AI406))</f>
        <v>0</v>
      </c>
      <c r="AK406" s="41">
        <f>IF(B406="","",IFERROR(ROUND(IF(D406="",0,D406)*INDEX(Products!$X$5:$X$304,MATCH(C406,Products!$A$5:$A$304,0))/60,2),""))</f>
        <v>0</v>
      </c>
      <c r="AL406" s="20">
        <f>IF(B406="","",IF(OR(AK406="",AK406=0),"",ROUND(AG406/AK406,2)))</f>
        <v>0</v>
      </c>
      <c r="AM406" s="43">
        <f>IF(B406="","",IF(C406="","Add - which product?",IF(AG406&lt;0,"Loss - this order cost you money",IF(M406="Refunded","Refunded - check why",IF(AND(AF406&lt;&gt;"",AF406&gt;0.25),"Check - fees higher than your settings",IF(Z406&gt;1,"Check - postage is eating the margin",IF(AND(AH406&lt;&gt;"",AH406&lt;MarginWarning),"Low margin on this order","OK")))))) )</f>
        <v>0</v>
      </c>
    </row>
    <row r="407" spans="1:39">
      <c r="A407" s="38">
        <f>IF(B407="","",SalePrefix&amp;TEXT(ROW()-4,"0000"))</f>
        <v>0</v>
      </c>
      <c r="Q407" s="13">
        <f>IF(C407="","",IFERROR(INDEX(Products!$B$5:$B$304,MATCH(C407,Products!$A$5:$A$304,0)),"Bundle or deleted"))</f>
        <v>0</v>
      </c>
      <c r="R407" s="13">
        <f>IF(B407="","",TEXT(B407,"yyyy-mm"))</f>
        <v>0</v>
      </c>
      <c r="S407" s="20">
        <f>IF(C407="","",IFERROR(INDEX(Products!$AR$5:$AR$304,MATCH(C407,Products!$A$5:$A$304,0)),""))</f>
        <v>0</v>
      </c>
      <c r="T407" s="20">
        <f>IF(B407="","",IF(F407&lt;&gt;"",F407,IF(S407="",0,S407)))</f>
        <v>0</v>
      </c>
      <c r="U407" s="20">
        <f>IF(B407="","",ROUND(IF(D407="",0,D407)*T407,2))</f>
        <v>0</v>
      </c>
      <c r="V407" s="20">
        <f>IF(B407="","",ROUND(U407-IF(G407="",0,G407)-IF(L407="",0,L407),2))</f>
        <v>0</v>
      </c>
      <c r="W407" s="20">
        <f>IF(C407="","",IFERROR(INDEX(Products!$AT$5:$AT$304,MATCH(C407,Products!$A$5:$A$304,0)),""))</f>
        <v>0</v>
      </c>
      <c r="X407" s="20">
        <f>IF(C407="","",IFERROR(INDEX(Products!$AG$5:$AG$304,MATCH(C407,Products!$A$5:$A$304,0)),""))</f>
        <v>0</v>
      </c>
      <c r="Y407" s="20">
        <f>IF(B407="","",ROUND(IF(D407="",0,D407)*MAX(0,IF(W407="",0,W407)-IF(X407="",0,X407)),2))</f>
        <v>0</v>
      </c>
      <c r="Z407" s="20">
        <f>IF(B407="","",ROUND(MAX(0,IF(J407="",0,J407)-IF(I407="",0,I407)),2))</f>
        <v>0</v>
      </c>
      <c r="AA407" s="33">
        <f>IF(B407="","",IFERROR(INDEX(Channels!$S$5:$S$18,MATCH(IF(E407="",DefaultChannel,E407),Channels!$A$5:$A$18,0)),0))</f>
        <v>0</v>
      </c>
      <c r="AB407" s="20">
        <f>IF(B407="","",IFERROR(INDEX(Channels!$T$5:$T$18,MATCH(IF(E407="",DefaultChannel,E407),Channels!$A$5:$A$18,0)),0))</f>
        <v>0</v>
      </c>
      <c r="AC407" s="42">
        <f>IF(B407="","",IFERROR(INDEX(Channels!$O$5:$O$18,MATCH(IF(E407="",DefaultChannel,E407),Channels!$A$5:$A$18,0)),"No"))</f>
        <v>0</v>
      </c>
      <c r="AD407" s="20">
        <f>IF(B407="","",ROUND((V407+IF(AC407="Yes",IF(I407="",0,I407),0))*AA407+AB407,2))</f>
        <v>0</v>
      </c>
      <c r="AE407" s="20">
        <f>IF(B407="","",IF(K407&lt;&gt;"",K407,AD407))</f>
        <v>0</v>
      </c>
      <c r="AF407" s="20">
        <f>IF(B407="","",IF(K407="","",ROUND(K407-AD407,2)))</f>
        <v>0</v>
      </c>
      <c r="AG407" s="20">
        <f>IF(B407="","",ROUND(V407-Y407-AE407-Z407,2))</f>
        <v>0</v>
      </c>
      <c r="AH407" s="33">
        <f>IF(B407="","",IF(OR(V407="",V407=0),"",AG407/V407))</f>
        <v>0</v>
      </c>
      <c r="AI407" s="33">
        <f>IF(C407="","",IFERROR(INDEX(Products!$AW$5:$AW$304,MATCH(C407,Products!$A$5:$A$304,0)),""))</f>
        <v>0</v>
      </c>
      <c r="AJ407" s="33">
        <f>IF(B407="","",IF(OR(AH407="",AI407=""),"",AH407-AI407))</f>
        <v>0</v>
      </c>
      <c r="AK407" s="41">
        <f>IF(B407="","",IFERROR(ROUND(IF(D407="",0,D407)*INDEX(Products!$X$5:$X$304,MATCH(C407,Products!$A$5:$A$304,0))/60,2),""))</f>
        <v>0</v>
      </c>
      <c r="AL407" s="20">
        <f>IF(B407="","",IF(OR(AK407="",AK407=0),"",ROUND(AG407/AK407,2)))</f>
        <v>0</v>
      </c>
      <c r="AM407" s="43">
        <f>IF(B407="","",IF(C407="","Add - which product?",IF(AG407&lt;0,"Loss - this order cost you money",IF(M407="Refunded","Refunded - check why",IF(AND(AF407&lt;&gt;"",AF407&gt;0.25),"Check - fees higher than your settings",IF(Z407&gt;1,"Check - postage is eating the margin",IF(AND(AH407&lt;&gt;"",AH407&lt;MarginWarning),"Low margin on this order","OK")))))) )</f>
        <v>0</v>
      </c>
    </row>
    <row r="408" spans="1:39">
      <c r="A408" s="38">
        <f>IF(B408="","",SalePrefix&amp;TEXT(ROW()-4,"0000"))</f>
        <v>0</v>
      </c>
      <c r="Q408" s="13">
        <f>IF(C408="","",IFERROR(INDEX(Products!$B$5:$B$304,MATCH(C408,Products!$A$5:$A$304,0)),"Bundle or deleted"))</f>
        <v>0</v>
      </c>
      <c r="R408" s="13">
        <f>IF(B408="","",TEXT(B408,"yyyy-mm"))</f>
        <v>0</v>
      </c>
      <c r="S408" s="20">
        <f>IF(C408="","",IFERROR(INDEX(Products!$AR$5:$AR$304,MATCH(C408,Products!$A$5:$A$304,0)),""))</f>
        <v>0</v>
      </c>
      <c r="T408" s="20">
        <f>IF(B408="","",IF(F408&lt;&gt;"",F408,IF(S408="",0,S408)))</f>
        <v>0</v>
      </c>
      <c r="U408" s="20">
        <f>IF(B408="","",ROUND(IF(D408="",0,D408)*T408,2))</f>
        <v>0</v>
      </c>
      <c r="V408" s="20">
        <f>IF(B408="","",ROUND(U408-IF(G408="",0,G408)-IF(L408="",0,L408),2))</f>
        <v>0</v>
      </c>
      <c r="W408" s="20">
        <f>IF(C408="","",IFERROR(INDEX(Products!$AT$5:$AT$304,MATCH(C408,Products!$A$5:$A$304,0)),""))</f>
        <v>0</v>
      </c>
      <c r="X408" s="20">
        <f>IF(C408="","",IFERROR(INDEX(Products!$AG$5:$AG$304,MATCH(C408,Products!$A$5:$A$304,0)),""))</f>
        <v>0</v>
      </c>
      <c r="Y408" s="20">
        <f>IF(B408="","",ROUND(IF(D408="",0,D408)*MAX(0,IF(W408="",0,W408)-IF(X408="",0,X408)),2))</f>
        <v>0</v>
      </c>
      <c r="Z408" s="20">
        <f>IF(B408="","",ROUND(MAX(0,IF(J408="",0,J408)-IF(I408="",0,I408)),2))</f>
        <v>0</v>
      </c>
      <c r="AA408" s="33">
        <f>IF(B408="","",IFERROR(INDEX(Channels!$S$5:$S$18,MATCH(IF(E408="",DefaultChannel,E408),Channels!$A$5:$A$18,0)),0))</f>
        <v>0</v>
      </c>
      <c r="AB408" s="20">
        <f>IF(B408="","",IFERROR(INDEX(Channels!$T$5:$T$18,MATCH(IF(E408="",DefaultChannel,E408),Channels!$A$5:$A$18,0)),0))</f>
        <v>0</v>
      </c>
      <c r="AC408" s="42">
        <f>IF(B408="","",IFERROR(INDEX(Channels!$O$5:$O$18,MATCH(IF(E408="",DefaultChannel,E408),Channels!$A$5:$A$18,0)),"No"))</f>
        <v>0</v>
      </c>
      <c r="AD408" s="20">
        <f>IF(B408="","",ROUND((V408+IF(AC408="Yes",IF(I408="",0,I408),0))*AA408+AB408,2))</f>
        <v>0</v>
      </c>
      <c r="AE408" s="20">
        <f>IF(B408="","",IF(K408&lt;&gt;"",K408,AD408))</f>
        <v>0</v>
      </c>
      <c r="AF408" s="20">
        <f>IF(B408="","",IF(K408="","",ROUND(K408-AD408,2)))</f>
        <v>0</v>
      </c>
      <c r="AG408" s="20">
        <f>IF(B408="","",ROUND(V408-Y408-AE408-Z408,2))</f>
        <v>0</v>
      </c>
      <c r="AH408" s="33">
        <f>IF(B408="","",IF(OR(V408="",V408=0),"",AG408/V408))</f>
        <v>0</v>
      </c>
      <c r="AI408" s="33">
        <f>IF(C408="","",IFERROR(INDEX(Products!$AW$5:$AW$304,MATCH(C408,Products!$A$5:$A$304,0)),""))</f>
        <v>0</v>
      </c>
      <c r="AJ408" s="33">
        <f>IF(B408="","",IF(OR(AH408="",AI408=""),"",AH408-AI408))</f>
        <v>0</v>
      </c>
      <c r="AK408" s="41">
        <f>IF(B408="","",IFERROR(ROUND(IF(D408="",0,D408)*INDEX(Products!$X$5:$X$304,MATCH(C408,Products!$A$5:$A$304,0))/60,2),""))</f>
        <v>0</v>
      </c>
      <c r="AL408" s="20">
        <f>IF(B408="","",IF(OR(AK408="",AK408=0),"",ROUND(AG408/AK408,2)))</f>
        <v>0</v>
      </c>
      <c r="AM408" s="43">
        <f>IF(B408="","",IF(C408="","Add - which product?",IF(AG408&lt;0,"Loss - this order cost you money",IF(M408="Refunded","Refunded - check why",IF(AND(AF408&lt;&gt;"",AF408&gt;0.25),"Check - fees higher than your settings",IF(Z408&gt;1,"Check - postage is eating the margin",IF(AND(AH408&lt;&gt;"",AH408&lt;MarginWarning),"Low margin on this order","OK")))))) )</f>
        <v>0</v>
      </c>
    </row>
    <row r="409" spans="1:39">
      <c r="A409" s="38">
        <f>IF(B409="","",SalePrefix&amp;TEXT(ROW()-4,"0000"))</f>
        <v>0</v>
      </c>
      <c r="Q409" s="13">
        <f>IF(C409="","",IFERROR(INDEX(Products!$B$5:$B$304,MATCH(C409,Products!$A$5:$A$304,0)),"Bundle or deleted"))</f>
        <v>0</v>
      </c>
      <c r="R409" s="13">
        <f>IF(B409="","",TEXT(B409,"yyyy-mm"))</f>
        <v>0</v>
      </c>
      <c r="S409" s="20">
        <f>IF(C409="","",IFERROR(INDEX(Products!$AR$5:$AR$304,MATCH(C409,Products!$A$5:$A$304,0)),""))</f>
        <v>0</v>
      </c>
      <c r="T409" s="20">
        <f>IF(B409="","",IF(F409&lt;&gt;"",F409,IF(S409="",0,S409)))</f>
        <v>0</v>
      </c>
      <c r="U409" s="20">
        <f>IF(B409="","",ROUND(IF(D409="",0,D409)*T409,2))</f>
        <v>0</v>
      </c>
      <c r="V409" s="20">
        <f>IF(B409="","",ROUND(U409-IF(G409="",0,G409)-IF(L409="",0,L409),2))</f>
        <v>0</v>
      </c>
      <c r="W409" s="20">
        <f>IF(C409="","",IFERROR(INDEX(Products!$AT$5:$AT$304,MATCH(C409,Products!$A$5:$A$304,0)),""))</f>
        <v>0</v>
      </c>
      <c r="X409" s="20">
        <f>IF(C409="","",IFERROR(INDEX(Products!$AG$5:$AG$304,MATCH(C409,Products!$A$5:$A$304,0)),""))</f>
        <v>0</v>
      </c>
      <c r="Y409" s="20">
        <f>IF(B409="","",ROUND(IF(D409="",0,D409)*MAX(0,IF(W409="",0,W409)-IF(X409="",0,X409)),2))</f>
        <v>0</v>
      </c>
      <c r="Z409" s="20">
        <f>IF(B409="","",ROUND(MAX(0,IF(J409="",0,J409)-IF(I409="",0,I409)),2))</f>
        <v>0</v>
      </c>
      <c r="AA409" s="33">
        <f>IF(B409="","",IFERROR(INDEX(Channels!$S$5:$S$18,MATCH(IF(E409="",DefaultChannel,E409),Channels!$A$5:$A$18,0)),0))</f>
        <v>0</v>
      </c>
      <c r="AB409" s="20">
        <f>IF(B409="","",IFERROR(INDEX(Channels!$T$5:$T$18,MATCH(IF(E409="",DefaultChannel,E409),Channels!$A$5:$A$18,0)),0))</f>
        <v>0</v>
      </c>
      <c r="AC409" s="42">
        <f>IF(B409="","",IFERROR(INDEX(Channels!$O$5:$O$18,MATCH(IF(E409="",DefaultChannel,E409),Channels!$A$5:$A$18,0)),"No"))</f>
        <v>0</v>
      </c>
      <c r="AD409" s="20">
        <f>IF(B409="","",ROUND((V409+IF(AC409="Yes",IF(I409="",0,I409),0))*AA409+AB409,2))</f>
        <v>0</v>
      </c>
      <c r="AE409" s="20">
        <f>IF(B409="","",IF(K409&lt;&gt;"",K409,AD409))</f>
        <v>0</v>
      </c>
      <c r="AF409" s="20">
        <f>IF(B409="","",IF(K409="","",ROUND(K409-AD409,2)))</f>
        <v>0</v>
      </c>
      <c r="AG409" s="20">
        <f>IF(B409="","",ROUND(V409-Y409-AE409-Z409,2))</f>
        <v>0</v>
      </c>
      <c r="AH409" s="33">
        <f>IF(B409="","",IF(OR(V409="",V409=0),"",AG409/V409))</f>
        <v>0</v>
      </c>
      <c r="AI409" s="33">
        <f>IF(C409="","",IFERROR(INDEX(Products!$AW$5:$AW$304,MATCH(C409,Products!$A$5:$A$304,0)),""))</f>
        <v>0</v>
      </c>
      <c r="AJ409" s="33">
        <f>IF(B409="","",IF(OR(AH409="",AI409=""),"",AH409-AI409))</f>
        <v>0</v>
      </c>
      <c r="AK409" s="41">
        <f>IF(B409="","",IFERROR(ROUND(IF(D409="",0,D409)*INDEX(Products!$X$5:$X$304,MATCH(C409,Products!$A$5:$A$304,0))/60,2),""))</f>
        <v>0</v>
      </c>
      <c r="AL409" s="20">
        <f>IF(B409="","",IF(OR(AK409="",AK409=0),"",ROUND(AG409/AK409,2)))</f>
        <v>0</v>
      </c>
      <c r="AM409" s="43">
        <f>IF(B409="","",IF(C409="","Add - which product?",IF(AG409&lt;0,"Loss - this order cost you money",IF(M409="Refunded","Refunded - check why",IF(AND(AF409&lt;&gt;"",AF409&gt;0.25),"Check - fees higher than your settings",IF(Z409&gt;1,"Check - postage is eating the margin",IF(AND(AH409&lt;&gt;"",AH409&lt;MarginWarning),"Low margin on this order","OK")))))) )</f>
        <v>0</v>
      </c>
    </row>
    <row r="410" spans="1:39">
      <c r="A410" s="38">
        <f>IF(B410="","",SalePrefix&amp;TEXT(ROW()-4,"0000"))</f>
        <v>0</v>
      </c>
      <c r="Q410" s="13">
        <f>IF(C410="","",IFERROR(INDEX(Products!$B$5:$B$304,MATCH(C410,Products!$A$5:$A$304,0)),"Bundle or deleted"))</f>
        <v>0</v>
      </c>
      <c r="R410" s="13">
        <f>IF(B410="","",TEXT(B410,"yyyy-mm"))</f>
        <v>0</v>
      </c>
      <c r="S410" s="20">
        <f>IF(C410="","",IFERROR(INDEX(Products!$AR$5:$AR$304,MATCH(C410,Products!$A$5:$A$304,0)),""))</f>
        <v>0</v>
      </c>
      <c r="T410" s="20">
        <f>IF(B410="","",IF(F410&lt;&gt;"",F410,IF(S410="",0,S410)))</f>
        <v>0</v>
      </c>
      <c r="U410" s="20">
        <f>IF(B410="","",ROUND(IF(D410="",0,D410)*T410,2))</f>
        <v>0</v>
      </c>
      <c r="V410" s="20">
        <f>IF(B410="","",ROUND(U410-IF(G410="",0,G410)-IF(L410="",0,L410),2))</f>
        <v>0</v>
      </c>
      <c r="W410" s="20">
        <f>IF(C410="","",IFERROR(INDEX(Products!$AT$5:$AT$304,MATCH(C410,Products!$A$5:$A$304,0)),""))</f>
        <v>0</v>
      </c>
      <c r="X410" s="20">
        <f>IF(C410="","",IFERROR(INDEX(Products!$AG$5:$AG$304,MATCH(C410,Products!$A$5:$A$304,0)),""))</f>
        <v>0</v>
      </c>
      <c r="Y410" s="20">
        <f>IF(B410="","",ROUND(IF(D410="",0,D410)*MAX(0,IF(W410="",0,W410)-IF(X410="",0,X410)),2))</f>
        <v>0</v>
      </c>
      <c r="Z410" s="20">
        <f>IF(B410="","",ROUND(MAX(0,IF(J410="",0,J410)-IF(I410="",0,I410)),2))</f>
        <v>0</v>
      </c>
      <c r="AA410" s="33">
        <f>IF(B410="","",IFERROR(INDEX(Channels!$S$5:$S$18,MATCH(IF(E410="",DefaultChannel,E410),Channels!$A$5:$A$18,0)),0))</f>
        <v>0</v>
      </c>
      <c r="AB410" s="20">
        <f>IF(B410="","",IFERROR(INDEX(Channels!$T$5:$T$18,MATCH(IF(E410="",DefaultChannel,E410),Channels!$A$5:$A$18,0)),0))</f>
        <v>0</v>
      </c>
      <c r="AC410" s="42">
        <f>IF(B410="","",IFERROR(INDEX(Channels!$O$5:$O$18,MATCH(IF(E410="",DefaultChannel,E410),Channels!$A$5:$A$18,0)),"No"))</f>
        <v>0</v>
      </c>
      <c r="AD410" s="20">
        <f>IF(B410="","",ROUND((V410+IF(AC410="Yes",IF(I410="",0,I410),0))*AA410+AB410,2))</f>
        <v>0</v>
      </c>
      <c r="AE410" s="20">
        <f>IF(B410="","",IF(K410&lt;&gt;"",K410,AD410))</f>
        <v>0</v>
      </c>
      <c r="AF410" s="20">
        <f>IF(B410="","",IF(K410="","",ROUND(K410-AD410,2)))</f>
        <v>0</v>
      </c>
      <c r="AG410" s="20">
        <f>IF(B410="","",ROUND(V410-Y410-AE410-Z410,2))</f>
        <v>0</v>
      </c>
      <c r="AH410" s="33">
        <f>IF(B410="","",IF(OR(V410="",V410=0),"",AG410/V410))</f>
        <v>0</v>
      </c>
      <c r="AI410" s="33">
        <f>IF(C410="","",IFERROR(INDEX(Products!$AW$5:$AW$304,MATCH(C410,Products!$A$5:$A$304,0)),""))</f>
        <v>0</v>
      </c>
      <c r="AJ410" s="33">
        <f>IF(B410="","",IF(OR(AH410="",AI410=""),"",AH410-AI410))</f>
        <v>0</v>
      </c>
      <c r="AK410" s="41">
        <f>IF(B410="","",IFERROR(ROUND(IF(D410="",0,D410)*INDEX(Products!$X$5:$X$304,MATCH(C410,Products!$A$5:$A$304,0))/60,2),""))</f>
        <v>0</v>
      </c>
      <c r="AL410" s="20">
        <f>IF(B410="","",IF(OR(AK410="",AK410=0),"",ROUND(AG410/AK410,2)))</f>
        <v>0</v>
      </c>
      <c r="AM410" s="43">
        <f>IF(B410="","",IF(C410="","Add - which product?",IF(AG410&lt;0,"Loss - this order cost you money",IF(M410="Refunded","Refunded - check why",IF(AND(AF410&lt;&gt;"",AF410&gt;0.25),"Check - fees higher than your settings",IF(Z410&gt;1,"Check - postage is eating the margin",IF(AND(AH410&lt;&gt;"",AH410&lt;MarginWarning),"Low margin on this order","OK")))))) )</f>
        <v>0</v>
      </c>
    </row>
    <row r="411" spans="1:39">
      <c r="A411" s="38">
        <f>IF(B411="","",SalePrefix&amp;TEXT(ROW()-4,"0000"))</f>
        <v>0</v>
      </c>
      <c r="Q411" s="13">
        <f>IF(C411="","",IFERROR(INDEX(Products!$B$5:$B$304,MATCH(C411,Products!$A$5:$A$304,0)),"Bundle or deleted"))</f>
        <v>0</v>
      </c>
      <c r="R411" s="13">
        <f>IF(B411="","",TEXT(B411,"yyyy-mm"))</f>
        <v>0</v>
      </c>
      <c r="S411" s="20">
        <f>IF(C411="","",IFERROR(INDEX(Products!$AR$5:$AR$304,MATCH(C411,Products!$A$5:$A$304,0)),""))</f>
        <v>0</v>
      </c>
      <c r="T411" s="20">
        <f>IF(B411="","",IF(F411&lt;&gt;"",F411,IF(S411="",0,S411)))</f>
        <v>0</v>
      </c>
      <c r="U411" s="20">
        <f>IF(B411="","",ROUND(IF(D411="",0,D411)*T411,2))</f>
        <v>0</v>
      </c>
      <c r="V411" s="20">
        <f>IF(B411="","",ROUND(U411-IF(G411="",0,G411)-IF(L411="",0,L411),2))</f>
        <v>0</v>
      </c>
      <c r="W411" s="20">
        <f>IF(C411="","",IFERROR(INDEX(Products!$AT$5:$AT$304,MATCH(C411,Products!$A$5:$A$304,0)),""))</f>
        <v>0</v>
      </c>
      <c r="X411" s="20">
        <f>IF(C411="","",IFERROR(INDEX(Products!$AG$5:$AG$304,MATCH(C411,Products!$A$5:$A$304,0)),""))</f>
        <v>0</v>
      </c>
      <c r="Y411" s="20">
        <f>IF(B411="","",ROUND(IF(D411="",0,D411)*MAX(0,IF(W411="",0,W411)-IF(X411="",0,X411)),2))</f>
        <v>0</v>
      </c>
      <c r="Z411" s="20">
        <f>IF(B411="","",ROUND(MAX(0,IF(J411="",0,J411)-IF(I411="",0,I411)),2))</f>
        <v>0</v>
      </c>
      <c r="AA411" s="33">
        <f>IF(B411="","",IFERROR(INDEX(Channels!$S$5:$S$18,MATCH(IF(E411="",DefaultChannel,E411),Channels!$A$5:$A$18,0)),0))</f>
        <v>0</v>
      </c>
      <c r="AB411" s="20">
        <f>IF(B411="","",IFERROR(INDEX(Channels!$T$5:$T$18,MATCH(IF(E411="",DefaultChannel,E411),Channels!$A$5:$A$18,0)),0))</f>
        <v>0</v>
      </c>
      <c r="AC411" s="42">
        <f>IF(B411="","",IFERROR(INDEX(Channels!$O$5:$O$18,MATCH(IF(E411="",DefaultChannel,E411),Channels!$A$5:$A$18,0)),"No"))</f>
        <v>0</v>
      </c>
      <c r="AD411" s="20">
        <f>IF(B411="","",ROUND((V411+IF(AC411="Yes",IF(I411="",0,I411),0))*AA411+AB411,2))</f>
        <v>0</v>
      </c>
      <c r="AE411" s="20">
        <f>IF(B411="","",IF(K411&lt;&gt;"",K411,AD411))</f>
        <v>0</v>
      </c>
      <c r="AF411" s="20">
        <f>IF(B411="","",IF(K411="","",ROUND(K411-AD411,2)))</f>
        <v>0</v>
      </c>
      <c r="AG411" s="20">
        <f>IF(B411="","",ROUND(V411-Y411-AE411-Z411,2))</f>
        <v>0</v>
      </c>
      <c r="AH411" s="33">
        <f>IF(B411="","",IF(OR(V411="",V411=0),"",AG411/V411))</f>
        <v>0</v>
      </c>
      <c r="AI411" s="33">
        <f>IF(C411="","",IFERROR(INDEX(Products!$AW$5:$AW$304,MATCH(C411,Products!$A$5:$A$304,0)),""))</f>
        <v>0</v>
      </c>
      <c r="AJ411" s="33">
        <f>IF(B411="","",IF(OR(AH411="",AI411=""),"",AH411-AI411))</f>
        <v>0</v>
      </c>
      <c r="AK411" s="41">
        <f>IF(B411="","",IFERROR(ROUND(IF(D411="",0,D411)*INDEX(Products!$X$5:$X$304,MATCH(C411,Products!$A$5:$A$304,0))/60,2),""))</f>
        <v>0</v>
      </c>
      <c r="AL411" s="20">
        <f>IF(B411="","",IF(OR(AK411="",AK411=0),"",ROUND(AG411/AK411,2)))</f>
        <v>0</v>
      </c>
      <c r="AM411" s="43">
        <f>IF(B411="","",IF(C411="","Add - which product?",IF(AG411&lt;0,"Loss - this order cost you money",IF(M411="Refunded","Refunded - check why",IF(AND(AF411&lt;&gt;"",AF411&gt;0.25),"Check - fees higher than your settings",IF(Z411&gt;1,"Check - postage is eating the margin",IF(AND(AH411&lt;&gt;"",AH411&lt;MarginWarning),"Low margin on this order","OK")))))) )</f>
        <v>0</v>
      </c>
    </row>
    <row r="412" spans="1:39">
      <c r="A412" s="38">
        <f>IF(B412="","",SalePrefix&amp;TEXT(ROW()-4,"0000"))</f>
        <v>0</v>
      </c>
      <c r="Q412" s="13">
        <f>IF(C412="","",IFERROR(INDEX(Products!$B$5:$B$304,MATCH(C412,Products!$A$5:$A$304,0)),"Bundle or deleted"))</f>
        <v>0</v>
      </c>
      <c r="R412" s="13">
        <f>IF(B412="","",TEXT(B412,"yyyy-mm"))</f>
        <v>0</v>
      </c>
      <c r="S412" s="20">
        <f>IF(C412="","",IFERROR(INDEX(Products!$AR$5:$AR$304,MATCH(C412,Products!$A$5:$A$304,0)),""))</f>
        <v>0</v>
      </c>
      <c r="T412" s="20">
        <f>IF(B412="","",IF(F412&lt;&gt;"",F412,IF(S412="",0,S412)))</f>
        <v>0</v>
      </c>
      <c r="U412" s="20">
        <f>IF(B412="","",ROUND(IF(D412="",0,D412)*T412,2))</f>
        <v>0</v>
      </c>
      <c r="V412" s="20">
        <f>IF(B412="","",ROUND(U412-IF(G412="",0,G412)-IF(L412="",0,L412),2))</f>
        <v>0</v>
      </c>
      <c r="W412" s="20">
        <f>IF(C412="","",IFERROR(INDEX(Products!$AT$5:$AT$304,MATCH(C412,Products!$A$5:$A$304,0)),""))</f>
        <v>0</v>
      </c>
      <c r="X412" s="20">
        <f>IF(C412="","",IFERROR(INDEX(Products!$AG$5:$AG$304,MATCH(C412,Products!$A$5:$A$304,0)),""))</f>
        <v>0</v>
      </c>
      <c r="Y412" s="20">
        <f>IF(B412="","",ROUND(IF(D412="",0,D412)*MAX(0,IF(W412="",0,W412)-IF(X412="",0,X412)),2))</f>
        <v>0</v>
      </c>
      <c r="Z412" s="20">
        <f>IF(B412="","",ROUND(MAX(0,IF(J412="",0,J412)-IF(I412="",0,I412)),2))</f>
        <v>0</v>
      </c>
      <c r="AA412" s="33">
        <f>IF(B412="","",IFERROR(INDEX(Channels!$S$5:$S$18,MATCH(IF(E412="",DefaultChannel,E412),Channels!$A$5:$A$18,0)),0))</f>
        <v>0</v>
      </c>
      <c r="AB412" s="20">
        <f>IF(B412="","",IFERROR(INDEX(Channels!$T$5:$T$18,MATCH(IF(E412="",DefaultChannel,E412),Channels!$A$5:$A$18,0)),0))</f>
        <v>0</v>
      </c>
      <c r="AC412" s="42">
        <f>IF(B412="","",IFERROR(INDEX(Channels!$O$5:$O$18,MATCH(IF(E412="",DefaultChannel,E412),Channels!$A$5:$A$18,0)),"No"))</f>
        <v>0</v>
      </c>
      <c r="AD412" s="20">
        <f>IF(B412="","",ROUND((V412+IF(AC412="Yes",IF(I412="",0,I412),0))*AA412+AB412,2))</f>
        <v>0</v>
      </c>
      <c r="AE412" s="20">
        <f>IF(B412="","",IF(K412&lt;&gt;"",K412,AD412))</f>
        <v>0</v>
      </c>
      <c r="AF412" s="20">
        <f>IF(B412="","",IF(K412="","",ROUND(K412-AD412,2)))</f>
        <v>0</v>
      </c>
      <c r="AG412" s="20">
        <f>IF(B412="","",ROUND(V412-Y412-AE412-Z412,2))</f>
        <v>0</v>
      </c>
      <c r="AH412" s="33">
        <f>IF(B412="","",IF(OR(V412="",V412=0),"",AG412/V412))</f>
        <v>0</v>
      </c>
      <c r="AI412" s="33">
        <f>IF(C412="","",IFERROR(INDEX(Products!$AW$5:$AW$304,MATCH(C412,Products!$A$5:$A$304,0)),""))</f>
        <v>0</v>
      </c>
      <c r="AJ412" s="33">
        <f>IF(B412="","",IF(OR(AH412="",AI412=""),"",AH412-AI412))</f>
        <v>0</v>
      </c>
      <c r="AK412" s="41">
        <f>IF(B412="","",IFERROR(ROUND(IF(D412="",0,D412)*INDEX(Products!$X$5:$X$304,MATCH(C412,Products!$A$5:$A$304,0))/60,2),""))</f>
        <v>0</v>
      </c>
      <c r="AL412" s="20">
        <f>IF(B412="","",IF(OR(AK412="",AK412=0),"",ROUND(AG412/AK412,2)))</f>
        <v>0</v>
      </c>
      <c r="AM412" s="43">
        <f>IF(B412="","",IF(C412="","Add - which product?",IF(AG412&lt;0,"Loss - this order cost you money",IF(M412="Refunded","Refunded - check why",IF(AND(AF412&lt;&gt;"",AF412&gt;0.25),"Check - fees higher than your settings",IF(Z412&gt;1,"Check - postage is eating the margin",IF(AND(AH412&lt;&gt;"",AH412&lt;MarginWarning),"Low margin on this order","OK")))))) )</f>
        <v>0</v>
      </c>
    </row>
    <row r="413" spans="1:39">
      <c r="A413" s="38">
        <f>IF(B413="","",SalePrefix&amp;TEXT(ROW()-4,"0000"))</f>
        <v>0</v>
      </c>
      <c r="Q413" s="13">
        <f>IF(C413="","",IFERROR(INDEX(Products!$B$5:$B$304,MATCH(C413,Products!$A$5:$A$304,0)),"Bundle or deleted"))</f>
        <v>0</v>
      </c>
      <c r="R413" s="13">
        <f>IF(B413="","",TEXT(B413,"yyyy-mm"))</f>
        <v>0</v>
      </c>
      <c r="S413" s="20">
        <f>IF(C413="","",IFERROR(INDEX(Products!$AR$5:$AR$304,MATCH(C413,Products!$A$5:$A$304,0)),""))</f>
        <v>0</v>
      </c>
      <c r="T413" s="20">
        <f>IF(B413="","",IF(F413&lt;&gt;"",F413,IF(S413="",0,S413)))</f>
        <v>0</v>
      </c>
      <c r="U413" s="20">
        <f>IF(B413="","",ROUND(IF(D413="",0,D413)*T413,2))</f>
        <v>0</v>
      </c>
      <c r="V413" s="20">
        <f>IF(B413="","",ROUND(U413-IF(G413="",0,G413)-IF(L413="",0,L413),2))</f>
        <v>0</v>
      </c>
      <c r="W413" s="20">
        <f>IF(C413="","",IFERROR(INDEX(Products!$AT$5:$AT$304,MATCH(C413,Products!$A$5:$A$304,0)),""))</f>
        <v>0</v>
      </c>
      <c r="X413" s="20">
        <f>IF(C413="","",IFERROR(INDEX(Products!$AG$5:$AG$304,MATCH(C413,Products!$A$5:$A$304,0)),""))</f>
        <v>0</v>
      </c>
      <c r="Y413" s="20">
        <f>IF(B413="","",ROUND(IF(D413="",0,D413)*MAX(0,IF(W413="",0,W413)-IF(X413="",0,X413)),2))</f>
        <v>0</v>
      </c>
      <c r="Z413" s="20">
        <f>IF(B413="","",ROUND(MAX(0,IF(J413="",0,J413)-IF(I413="",0,I413)),2))</f>
        <v>0</v>
      </c>
      <c r="AA413" s="33">
        <f>IF(B413="","",IFERROR(INDEX(Channels!$S$5:$S$18,MATCH(IF(E413="",DefaultChannel,E413),Channels!$A$5:$A$18,0)),0))</f>
        <v>0</v>
      </c>
      <c r="AB413" s="20">
        <f>IF(B413="","",IFERROR(INDEX(Channels!$T$5:$T$18,MATCH(IF(E413="",DefaultChannel,E413),Channels!$A$5:$A$18,0)),0))</f>
        <v>0</v>
      </c>
      <c r="AC413" s="42">
        <f>IF(B413="","",IFERROR(INDEX(Channels!$O$5:$O$18,MATCH(IF(E413="",DefaultChannel,E413),Channels!$A$5:$A$18,0)),"No"))</f>
        <v>0</v>
      </c>
      <c r="AD413" s="20">
        <f>IF(B413="","",ROUND((V413+IF(AC413="Yes",IF(I413="",0,I413),0))*AA413+AB413,2))</f>
        <v>0</v>
      </c>
      <c r="AE413" s="20">
        <f>IF(B413="","",IF(K413&lt;&gt;"",K413,AD413))</f>
        <v>0</v>
      </c>
      <c r="AF413" s="20">
        <f>IF(B413="","",IF(K413="","",ROUND(K413-AD413,2)))</f>
        <v>0</v>
      </c>
      <c r="AG413" s="20">
        <f>IF(B413="","",ROUND(V413-Y413-AE413-Z413,2))</f>
        <v>0</v>
      </c>
      <c r="AH413" s="33">
        <f>IF(B413="","",IF(OR(V413="",V413=0),"",AG413/V413))</f>
        <v>0</v>
      </c>
      <c r="AI413" s="33">
        <f>IF(C413="","",IFERROR(INDEX(Products!$AW$5:$AW$304,MATCH(C413,Products!$A$5:$A$304,0)),""))</f>
        <v>0</v>
      </c>
      <c r="AJ413" s="33">
        <f>IF(B413="","",IF(OR(AH413="",AI413=""),"",AH413-AI413))</f>
        <v>0</v>
      </c>
      <c r="AK413" s="41">
        <f>IF(B413="","",IFERROR(ROUND(IF(D413="",0,D413)*INDEX(Products!$X$5:$X$304,MATCH(C413,Products!$A$5:$A$304,0))/60,2),""))</f>
        <v>0</v>
      </c>
      <c r="AL413" s="20">
        <f>IF(B413="","",IF(OR(AK413="",AK413=0),"",ROUND(AG413/AK413,2)))</f>
        <v>0</v>
      </c>
      <c r="AM413" s="43">
        <f>IF(B413="","",IF(C413="","Add - which product?",IF(AG413&lt;0,"Loss - this order cost you money",IF(M413="Refunded","Refunded - check why",IF(AND(AF413&lt;&gt;"",AF413&gt;0.25),"Check - fees higher than your settings",IF(Z413&gt;1,"Check - postage is eating the margin",IF(AND(AH413&lt;&gt;"",AH413&lt;MarginWarning),"Low margin on this order","OK")))))) )</f>
        <v>0</v>
      </c>
    </row>
    <row r="414" spans="1:39">
      <c r="A414" s="38">
        <f>IF(B414="","",SalePrefix&amp;TEXT(ROW()-4,"0000"))</f>
        <v>0</v>
      </c>
      <c r="Q414" s="13">
        <f>IF(C414="","",IFERROR(INDEX(Products!$B$5:$B$304,MATCH(C414,Products!$A$5:$A$304,0)),"Bundle or deleted"))</f>
        <v>0</v>
      </c>
      <c r="R414" s="13">
        <f>IF(B414="","",TEXT(B414,"yyyy-mm"))</f>
        <v>0</v>
      </c>
      <c r="S414" s="20">
        <f>IF(C414="","",IFERROR(INDEX(Products!$AR$5:$AR$304,MATCH(C414,Products!$A$5:$A$304,0)),""))</f>
        <v>0</v>
      </c>
      <c r="T414" s="20">
        <f>IF(B414="","",IF(F414&lt;&gt;"",F414,IF(S414="",0,S414)))</f>
        <v>0</v>
      </c>
      <c r="U414" s="20">
        <f>IF(B414="","",ROUND(IF(D414="",0,D414)*T414,2))</f>
        <v>0</v>
      </c>
      <c r="V414" s="20">
        <f>IF(B414="","",ROUND(U414-IF(G414="",0,G414)-IF(L414="",0,L414),2))</f>
        <v>0</v>
      </c>
      <c r="W414" s="20">
        <f>IF(C414="","",IFERROR(INDEX(Products!$AT$5:$AT$304,MATCH(C414,Products!$A$5:$A$304,0)),""))</f>
        <v>0</v>
      </c>
      <c r="X414" s="20">
        <f>IF(C414="","",IFERROR(INDEX(Products!$AG$5:$AG$304,MATCH(C414,Products!$A$5:$A$304,0)),""))</f>
        <v>0</v>
      </c>
      <c r="Y414" s="20">
        <f>IF(B414="","",ROUND(IF(D414="",0,D414)*MAX(0,IF(W414="",0,W414)-IF(X414="",0,X414)),2))</f>
        <v>0</v>
      </c>
      <c r="Z414" s="20">
        <f>IF(B414="","",ROUND(MAX(0,IF(J414="",0,J414)-IF(I414="",0,I414)),2))</f>
        <v>0</v>
      </c>
      <c r="AA414" s="33">
        <f>IF(B414="","",IFERROR(INDEX(Channels!$S$5:$S$18,MATCH(IF(E414="",DefaultChannel,E414),Channels!$A$5:$A$18,0)),0))</f>
        <v>0</v>
      </c>
      <c r="AB414" s="20">
        <f>IF(B414="","",IFERROR(INDEX(Channels!$T$5:$T$18,MATCH(IF(E414="",DefaultChannel,E414),Channels!$A$5:$A$18,0)),0))</f>
        <v>0</v>
      </c>
      <c r="AC414" s="42">
        <f>IF(B414="","",IFERROR(INDEX(Channels!$O$5:$O$18,MATCH(IF(E414="",DefaultChannel,E414),Channels!$A$5:$A$18,0)),"No"))</f>
        <v>0</v>
      </c>
      <c r="AD414" s="20">
        <f>IF(B414="","",ROUND((V414+IF(AC414="Yes",IF(I414="",0,I414),0))*AA414+AB414,2))</f>
        <v>0</v>
      </c>
      <c r="AE414" s="20">
        <f>IF(B414="","",IF(K414&lt;&gt;"",K414,AD414))</f>
        <v>0</v>
      </c>
      <c r="AF414" s="20">
        <f>IF(B414="","",IF(K414="","",ROUND(K414-AD414,2)))</f>
        <v>0</v>
      </c>
      <c r="AG414" s="20">
        <f>IF(B414="","",ROUND(V414-Y414-AE414-Z414,2))</f>
        <v>0</v>
      </c>
      <c r="AH414" s="33">
        <f>IF(B414="","",IF(OR(V414="",V414=0),"",AG414/V414))</f>
        <v>0</v>
      </c>
      <c r="AI414" s="33">
        <f>IF(C414="","",IFERROR(INDEX(Products!$AW$5:$AW$304,MATCH(C414,Products!$A$5:$A$304,0)),""))</f>
        <v>0</v>
      </c>
      <c r="AJ414" s="33">
        <f>IF(B414="","",IF(OR(AH414="",AI414=""),"",AH414-AI414))</f>
        <v>0</v>
      </c>
      <c r="AK414" s="41">
        <f>IF(B414="","",IFERROR(ROUND(IF(D414="",0,D414)*INDEX(Products!$X$5:$X$304,MATCH(C414,Products!$A$5:$A$304,0))/60,2),""))</f>
        <v>0</v>
      </c>
      <c r="AL414" s="20">
        <f>IF(B414="","",IF(OR(AK414="",AK414=0),"",ROUND(AG414/AK414,2)))</f>
        <v>0</v>
      </c>
      <c r="AM414" s="43">
        <f>IF(B414="","",IF(C414="","Add - which product?",IF(AG414&lt;0,"Loss - this order cost you money",IF(M414="Refunded","Refunded - check why",IF(AND(AF414&lt;&gt;"",AF414&gt;0.25),"Check - fees higher than your settings",IF(Z414&gt;1,"Check - postage is eating the margin",IF(AND(AH414&lt;&gt;"",AH414&lt;MarginWarning),"Low margin on this order","OK")))))) )</f>
        <v>0</v>
      </c>
    </row>
    <row r="415" spans="1:39">
      <c r="A415" s="38">
        <f>IF(B415="","",SalePrefix&amp;TEXT(ROW()-4,"0000"))</f>
        <v>0</v>
      </c>
      <c r="Q415" s="13">
        <f>IF(C415="","",IFERROR(INDEX(Products!$B$5:$B$304,MATCH(C415,Products!$A$5:$A$304,0)),"Bundle or deleted"))</f>
        <v>0</v>
      </c>
      <c r="R415" s="13">
        <f>IF(B415="","",TEXT(B415,"yyyy-mm"))</f>
        <v>0</v>
      </c>
      <c r="S415" s="20">
        <f>IF(C415="","",IFERROR(INDEX(Products!$AR$5:$AR$304,MATCH(C415,Products!$A$5:$A$304,0)),""))</f>
        <v>0</v>
      </c>
      <c r="T415" s="20">
        <f>IF(B415="","",IF(F415&lt;&gt;"",F415,IF(S415="",0,S415)))</f>
        <v>0</v>
      </c>
      <c r="U415" s="20">
        <f>IF(B415="","",ROUND(IF(D415="",0,D415)*T415,2))</f>
        <v>0</v>
      </c>
      <c r="V415" s="20">
        <f>IF(B415="","",ROUND(U415-IF(G415="",0,G415)-IF(L415="",0,L415),2))</f>
        <v>0</v>
      </c>
      <c r="W415" s="20">
        <f>IF(C415="","",IFERROR(INDEX(Products!$AT$5:$AT$304,MATCH(C415,Products!$A$5:$A$304,0)),""))</f>
        <v>0</v>
      </c>
      <c r="X415" s="20">
        <f>IF(C415="","",IFERROR(INDEX(Products!$AG$5:$AG$304,MATCH(C415,Products!$A$5:$A$304,0)),""))</f>
        <v>0</v>
      </c>
      <c r="Y415" s="20">
        <f>IF(B415="","",ROUND(IF(D415="",0,D415)*MAX(0,IF(W415="",0,W415)-IF(X415="",0,X415)),2))</f>
        <v>0</v>
      </c>
      <c r="Z415" s="20">
        <f>IF(B415="","",ROUND(MAX(0,IF(J415="",0,J415)-IF(I415="",0,I415)),2))</f>
        <v>0</v>
      </c>
      <c r="AA415" s="33">
        <f>IF(B415="","",IFERROR(INDEX(Channels!$S$5:$S$18,MATCH(IF(E415="",DefaultChannel,E415),Channels!$A$5:$A$18,0)),0))</f>
        <v>0</v>
      </c>
      <c r="AB415" s="20">
        <f>IF(B415="","",IFERROR(INDEX(Channels!$T$5:$T$18,MATCH(IF(E415="",DefaultChannel,E415),Channels!$A$5:$A$18,0)),0))</f>
        <v>0</v>
      </c>
      <c r="AC415" s="42">
        <f>IF(B415="","",IFERROR(INDEX(Channels!$O$5:$O$18,MATCH(IF(E415="",DefaultChannel,E415),Channels!$A$5:$A$18,0)),"No"))</f>
        <v>0</v>
      </c>
      <c r="AD415" s="20">
        <f>IF(B415="","",ROUND((V415+IF(AC415="Yes",IF(I415="",0,I415),0))*AA415+AB415,2))</f>
        <v>0</v>
      </c>
      <c r="AE415" s="20">
        <f>IF(B415="","",IF(K415&lt;&gt;"",K415,AD415))</f>
        <v>0</v>
      </c>
      <c r="AF415" s="20">
        <f>IF(B415="","",IF(K415="","",ROUND(K415-AD415,2)))</f>
        <v>0</v>
      </c>
      <c r="AG415" s="20">
        <f>IF(B415="","",ROUND(V415-Y415-AE415-Z415,2))</f>
        <v>0</v>
      </c>
      <c r="AH415" s="33">
        <f>IF(B415="","",IF(OR(V415="",V415=0),"",AG415/V415))</f>
        <v>0</v>
      </c>
      <c r="AI415" s="33">
        <f>IF(C415="","",IFERROR(INDEX(Products!$AW$5:$AW$304,MATCH(C415,Products!$A$5:$A$304,0)),""))</f>
        <v>0</v>
      </c>
      <c r="AJ415" s="33">
        <f>IF(B415="","",IF(OR(AH415="",AI415=""),"",AH415-AI415))</f>
        <v>0</v>
      </c>
      <c r="AK415" s="41">
        <f>IF(B415="","",IFERROR(ROUND(IF(D415="",0,D415)*INDEX(Products!$X$5:$X$304,MATCH(C415,Products!$A$5:$A$304,0))/60,2),""))</f>
        <v>0</v>
      </c>
      <c r="AL415" s="20">
        <f>IF(B415="","",IF(OR(AK415="",AK415=0),"",ROUND(AG415/AK415,2)))</f>
        <v>0</v>
      </c>
      <c r="AM415" s="43">
        <f>IF(B415="","",IF(C415="","Add - which product?",IF(AG415&lt;0,"Loss - this order cost you money",IF(M415="Refunded","Refunded - check why",IF(AND(AF415&lt;&gt;"",AF415&gt;0.25),"Check - fees higher than your settings",IF(Z415&gt;1,"Check - postage is eating the margin",IF(AND(AH415&lt;&gt;"",AH415&lt;MarginWarning),"Low margin on this order","OK")))))) )</f>
        <v>0</v>
      </c>
    </row>
    <row r="416" spans="1:39">
      <c r="A416" s="38">
        <f>IF(B416="","",SalePrefix&amp;TEXT(ROW()-4,"0000"))</f>
        <v>0</v>
      </c>
      <c r="Q416" s="13">
        <f>IF(C416="","",IFERROR(INDEX(Products!$B$5:$B$304,MATCH(C416,Products!$A$5:$A$304,0)),"Bundle or deleted"))</f>
        <v>0</v>
      </c>
      <c r="R416" s="13">
        <f>IF(B416="","",TEXT(B416,"yyyy-mm"))</f>
        <v>0</v>
      </c>
      <c r="S416" s="20">
        <f>IF(C416="","",IFERROR(INDEX(Products!$AR$5:$AR$304,MATCH(C416,Products!$A$5:$A$304,0)),""))</f>
        <v>0</v>
      </c>
      <c r="T416" s="20">
        <f>IF(B416="","",IF(F416&lt;&gt;"",F416,IF(S416="",0,S416)))</f>
        <v>0</v>
      </c>
      <c r="U416" s="20">
        <f>IF(B416="","",ROUND(IF(D416="",0,D416)*T416,2))</f>
        <v>0</v>
      </c>
      <c r="V416" s="20">
        <f>IF(B416="","",ROUND(U416-IF(G416="",0,G416)-IF(L416="",0,L416),2))</f>
        <v>0</v>
      </c>
      <c r="W416" s="20">
        <f>IF(C416="","",IFERROR(INDEX(Products!$AT$5:$AT$304,MATCH(C416,Products!$A$5:$A$304,0)),""))</f>
        <v>0</v>
      </c>
      <c r="X416" s="20">
        <f>IF(C416="","",IFERROR(INDEX(Products!$AG$5:$AG$304,MATCH(C416,Products!$A$5:$A$304,0)),""))</f>
        <v>0</v>
      </c>
      <c r="Y416" s="20">
        <f>IF(B416="","",ROUND(IF(D416="",0,D416)*MAX(0,IF(W416="",0,W416)-IF(X416="",0,X416)),2))</f>
        <v>0</v>
      </c>
      <c r="Z416" s="20">
        <f>IF(B416="","",ROUND(MAX(0,IF(J416="",0,J416)-IF(I416="",0,I416)),2))</f>
        <v>0</v>
      </c>
      <c r="AA416" s="33">
        <f>IF(B416="","",IFERROR(INDEX(Channels!$S$5:$S$18,MATCH(IF(E416="",DefaultChannel,E416),Channels!$A$5:$A$18,0)),0))</f>
        <v>0</v>
      </c>
      <c r="AB416" s="20">
        <f>IF(B416="","",IFERROR(INDEX(Channels!$T$5:$T$18,MATCH(IF(E416="",DefaultChannel,E416),Channels!$A$5:$A$18,0)),0))</f>
        <v>0</v>
      </c>
      <c r="AC416" s="42">
        <f>IF(B416="","",IFERROR(INDEX(Channels!$O$5:$O$18,MATCH(IF(E416="",DefaultChannel,E416),Channels!$A$5:$A$18,0)),"No"))</f>
        <v>0</v>
      </c>
      <c r="AD416" s="20">
        <f>IF(B416="","",ROUND((V416+IF(AC416="Yes",IF(I416="",0,I416),0))*AA416+AB416,2))</f>
        <v>0</v>
      </c>
      <c r="AE416" s="20">
        <f>IF(B416="","",IF(K416&lt;&gt;"",K416,AD416))</f>
        <v>0</v>
      </c>
      <c r="AF416" s="20">
        <f>IF(B416="","",IF(K416="","",ROUND(K416-AD416,2)))</f>
        <v>0</v>
      </c>
      <c r="AG416" s="20">
        <f>IF(B416="","",ROUND(V416-Y416-AE416-Z416,2))</f>
        <v>0</v>
      </c>
      <c r="AH416" s="33">
        <f>IF(B416="","",IF(OR(V416="",V416=0),"",AG416/V416))</f>
        <v>0</v>
      </c>
      <c r="AI416" s="33">
        <f>IF(C416="","",IFERROR(INDEX(Products!$AW$5:$AW$304,MATCH(C416,Products!$A$5:$A$304,0)),""))</f>
        <v>0</v>
      </c>
      <c r="AJ416" s="33">
        <f>IF(B416="","",IF(OR(AH416="",AI416=""),"",AH416-AI416))</f>
        <v>0</v>
      </c>
      <c r="AK416" s="41">
        <f>IF(B416="","",IFERROR(ROUND(IF(D416="",0,D416)*INDEX(Products!$X$5:$X$304,MATCH(C416,Products!$A$5:$A$304,0))/60,2),""))</f>
        <v>0</v>
      </c>
      <c r="AL416" s="20">
        <f>IF(B416="","",IF(OR(AK416="",AK416=0),"",ROUND(AG416/AK416,2)))</f>
        <v>0</v>
      </c>
      <c r="AM416" s="43">
        <f>IF(B416="","",IF(C416="","Add - which product?",IF(AG416&lt;0,"Loss - this order cost you money",IF(M416="Refunded","Refunded - check why",IF(AND(AF416&lt;&gt;"",AF416&gt;0.25),"Check - fees higher than your settings",IF(Z416&gt;1,"Check - postage is eating the margin",IF(AND(AH416&lt;&gt;"",AH416&lt;MarginWarning),"Low margin on this order","OK")))))) )</f>
        <v>0</v>
      </c>
    </row>
    <row r="417" spans="1:39">
      <c r="A417" s="38">
        <f>IF(B417="","",SalePrefix&amp;TEXT(ROW()-4,"0000"))</f>
        <v>0</v>
      </c>
      <c r="Q417" s="13">
        <f>IF(C417="","",IFERROR(INDEX(Products!$B$5:$B$304,MATCH(C417,Products!$A$5:$A$304,0)),"Bundle or deleted"))</f>
        <v>0</v>
      </c>
      <c r="R417" s="13">
        <f>IF(B417="","",TEXT(B417,"yyyy-mm"))</f>
        <v>0</v>
      </c>
      <c r="S417" s="20">
        <f>IF(C417="","",IFERROR(INDEX(Products!$AR$5:$AR$304,MATCH(C417,Products!$A$5:$A$304,0)),""))</f>
        <v>0</v>
      </c>
      <c r="T417" s="20">
        <f>IF(B417="","",IF(F417&lt;&gt;"",F417,IF(S417="",0,S417)))</f>
        <v>0</v>
      </c>
      <c r="U417" s="20">
        <f>IF(B417="","",ROUND(IF(D417="",0,D417)*T417,2))</f>
        <v>0</v>
      </c>
      <c r="V417" s="20">
        <f>IF(B417="","",ROUND(U417-IF(G417="",0,G417)-IF(L417="",0,L417),2))</f>
        <v>0</v>
      </c>
      <c r="W417" s="20">
        <f>IF(C417="","",IFERROR(INDEX(Products!$AT$5:$AT$304,MATCH(C417,Products!$A$5:$A$304,0)),""))</f>
        <v>0</v>
      </c>
      <c r="X417" s="20">
        <f>IF(C417="","",IFERROR(INDEX(Products!$AG$5:$AG$304,MATCH(C417,Products!$A$5:$A$304,0)),""))</f>
        <v>0</v>
      </c>
      <c r="Y417" s="20">
        <f>IF(B417="","",ROUND(IF(D417="",0,D417)*MAX(0,IF(W417="",0,W417)-IF(X417="",0,X417)),2))</f>
        <v>0</v>
      </c>
      <c r="Z417" s="20">
        <f>IF(B417="","",ROUND(MAX(0,IF(J417="",0,J417)-IF(I417="",0,I417)),2))</f>
        <v>0</v>
      </c>
      <c r="AA417" s="33">
        <f>IF(B417="","",IFERROR(INDEX(Channels!$S$5:$S$18,MATCH(IF(E417="",DefaultChannel,E417),Channels!$A$5:$A$18,0)),0))</f>
        <v>0</v>
      </c>
      <c r="AB417" s="20">
        <f>IF(B417="","",IFERROR(INDEX(Channels!$T$5:$T$18,MATCH(IF(E417="",DefaultChannel,E417),Channels!$A$5:$A$18,0)),0))</f>
        <v>0</v>
      </c>
      <c r="AC417" s="42">
        <f>IF(B417="","",IFERROR(INDEX(Channels!$O$5:$O$18,MATCH(IF(E417="",DefaultChannel,E417),Channels!$A$5:$A$18,0)),"No"))</f>
        <v>0</v>
      </c>
      <c r="AD417" s="20">
        <f>IF(B417="","",ROUND((V417+IF(AC417="Yes",IF(I417="",0,I417),0))*AA417+AB417,2))</f>
        <v>0</v>
      </c>
      <c r="AE417" s="20">
        <f>IF(B417="","",IF(K417&lt;&gt;"",K417,AD417))</f>
        <v>0</v>
      </c>
      <c r="AF417" s="20">
        <f>IF(B417="","",IF(K417="","",ROUND(K417-AD417,2)))</f>
        <v>0</v>
      </c>
      <c r="AG417" s="20">
        <f>IF(B417="","",ROUND(V417-Y417-AE417-Z417,2))</f>
        <v>0</v>
      </c>
      <c r="AH417" s="33">
        <f>IF(B417="","",IF(OR(V417="",V417=0),"",AG417/V417))</f>
        <v>0</v>
      </c>
      <c r="AI417" s="33">
        <f>IF(C417="","",IFERROR(INDEX(Products!$AW$5:$AW$304,MATCH(C417,Products!$A$5:$A$304,0)),""))</f>
        <v>0</v>
      </c>
      <c r="AJ417" s="33">
        <f>IF(B417="","",IF(OR(AH417="",AI417=""),"",AH417-AI417))</f>
        <v>0</v>
      </c>
      <c r="AK417" s="41">
        <f>IF(B417="","",IFERROR(ROUND(IF(D417="",0,D417)*INDEX(Products!$X$5:$X$304,MATCH(C417,Products!$A$5:$A$304,0))/60,2),""))</f>
        <v>0</v>
      </c>
      <c r="AL417" s="20">
        <f>IF(B417="","",IF(OR(AK417="",AK417=0),"",ROUND(AG417/AK417,2)))</f>
        <v>0</v>
      </c>
      <c r="AM417" s="43">
        <f>IF(B417="","",IF(C417="","Add - which product?",IF(AG417&lt;0,"Loss - this order cost you money",IF(M417="Refunded","Refunded - check why",IF(AND(AF417&lt;&gt;"",AF417&gt;0.25),"Check - fees higher than your settings",IF(Z417&gt;1,"Check - postage is eating the margin",IF(AND(AH417&lt;&gt;"",AH417&lt;MarginWarning),"Low margin on this order","OK")))))) )</f>
        <v>0</v>
      </c>
    </row>
    <row r="418" spans="1:39">
      <c r="A418" s="38">
        <f>IF(B418="","",SalePrefix&amp;TEXT(ROW()-4,"0000"))</f>
        <v>0</v>
      </c>
      <c r="Q418" s="13">
        <f>IF(C418="","",IFERROR(INDEX(Products!$B$5:$B$304,MATCH(C418,Products!$A$5:$A$304,0)),"Bundle or deleted"))</f>
        <v>0</v>
      </c>
      <c r="R418" s="13">
        <f>IF(B418="","",TEXT(B418,"yyyy-mm"))</f>
        <v>0</v>
      </c>
      <c r="S418" s="20">
        <f>IF(C418="","",IFERROR(INDEX(Products!$AR$5:$AR$304,MATCH(C418,Products!$A$5:$A$304,0)),""))</f>
        <v>0</v>
      </c>
      <c r="T418" s="20">
        <f>IF(B418="","",IF(F418&lt;&gt;"",F418,IF(S418="",0,S418)))</f>
        <v>0</v>
      </c>
      <c r="U418" s="20">
        <f>IF(B418="","",ROUND(IF(D418="",0,D418)*T418,2))</f>
        <v>0</v>
      </c>
      <c r="V418" s="20">
        <f>IF(B418="","",ROUND(U418-IF(G418="",0,G418)-IF(L418="",0,L418),2))</f>
        <v>0</v>
      </c>
      <c r="W418" s="20">
        <f>IF(C418="","",IFERROR(INDEX(Products!$AT$5:$AT$304,MATCH(C418,Products!$A$5:$A$304,0)),""))</f>
        <v>0</v>
      </c>
      <c r="X418" s="20">
        <f>IF(C418="","",IFERROR(INDEX(Products!$AG$5:$AG$304,MATCH(C418,Products!$A$5:$A$304,0)),""))</f>
        <v>0</v>
      </c>
      <c r="Y418" s="20">
        <f>IF(B418="","",ROUND(IF(D418="",0,D418)*MAX(0,IF(W418="",0,W418)-IF(X418="",0,X418)),2))</f>
        <v>0</v>
      </c>
      <c r="Z418" s="20">
        <f>IF(B418="","",ROUND(MAX(0,IF(J418="",0,J418)-IF(I418="",0,I418)),2))</f>
        <v>0</v>
      </c>
      <c r="AA418" s="33">
        <f>IF(B418="","",IFERROR(INDEX(Channels!$S$5:$S$18,MATCH(IF(E418="",DefaultChannel,E418),Channels!$A$5:$A$18,0)),0))</f>
        <v>0</v>
      </c>
      <c r="AB418" s="20">
        <f>IF(B418="","",IFERROR(INDEX(Channels!$T$5:$T$18,MATCH(IF(E418="",DefaultChannel,E418),Channels!$A$5:$A$18,0)),0))</f>
        <v>0</v>
      </c>
      <c r="AC418" s="42">
        <f>IF(B418="","",IFERROR(INDEX(Channels!$O$5:$O$18,MATCH(IF(E418="",DefaultChannel,E418),Channels!$A$5:$A$18,0)),"No"))</f>
        <v>0</v>
      </c>
      <c r="AD418" s="20">
        <f>IF(B418="","",ROUND((V418+IF(AC418="Yes",IF(I418="",0,I418),0))*AA418+AB418,2))</f>
        <v>0</v>
      </c>
      <c r="AE418" s="20">
        <f>IF(B418="","",IF(K418&lt;&gt;"",K418,AD418))</f>
        <v>0</v>
      </c>
      <c r="AF418" s="20">
        <f>IF(B418="","",IF(K418="","",ROUND(K418-AD418,2)))</f>
        <v>0</v>
      </c>
      <c r="AG418" s="20">
        <f>IF(B418="","",ROUND(V418-Y418-AE418-Z418,2))</f>
        <v>0</v>
      </c>
      <c r="AH418" s="33">
        <f>IF(B418="","",IF(OR(V418="",V418=0),"",AG418/V418))</f>
        <v>0</v>
      </c>
      <c r="AI418" s="33">
        <f>IF(C418="","",IFERROR(INDEX(Products!$AW$5:$AW$304,MATCH(C418,Products!$A$5:$A$304,0)),""))</f>
        <v>0</v>
      </c>
      <c r="AJ418" s="33">
        <f>IF(B418="","",IF(OR(AH418="",AI418=""),"",AH418-AI418))</f>
        <v>0</v>
      </c>
      <c r="AK418" s="41">
        <f>IF(B418="","",IFERROR(ROUND(IF(D418="",0,D418)*INDEX(Products!$X$5:$X$304,MATCH(C418,Products!$A$5:$A$304,0))/60,2),""))</f>
        <v>0</v>
      </c>
      <c r="AL418" s="20">
        <f>IF(B418="","",IF(OR(AK418="",AK418=0),"",ROUND(AG418/AK418,2)))</f>
        <v>0</v>
      </c>
      <c r="AM418" s="43">
        <f>IF(B418="","",IF(C418="","Add - which product?",IF(AG418&lt;0,"Loss - this order cost you money",IF(M418="Refunded","Refunded - check why",IF(AND(AF418&lt;&gt;"",AF418&gt;0.25),"Check - fees higher than your settings",IF(Z418&gt;1,"Check - postage is eating the margin",IF(AND(AH418&lt;&gt;"",AH418&lt;MarginWarning),"Low margin on this order","OK")))))) )</f>
        <v>0</v>
      </c>
    </row>
    <row r="419" spans="1:39">
      <c r="A419" s="38">
        <f>IF(B419="","",SalePrefix&amp;TEXT(ROW()-4,"0000"))</f>
        <v>0</v>
      </c>
      <c r="Q419" s="13">
        <f>IF(C419="","",IFERROR(INDEX(Products!$B$5:$B$304,MATCH(C419,Products!$A$5:$A$304,0)),"Bundle or deleted"))</f>
        <v>0</v>
      </c>
      <c r="R419" s="13">
        <f>IF(B419="","",TEXT(B419,"yyyy-mm"))</f>
        <v>0</v>
      </c>
      <c r="S419" s="20">
        <f>IF(C419="","",IFERROR(INDEX(Products!$AR$5:$AR$304,MATCH(C419,Products!$A$5:$A$304,0)),""))</f>
        <v>0</v>
      </c>
      <c r="T419" s="20">
        <f>IF(B419="","",IF(F419&lt;&gt;"",F419,IF(S419="",0,S419)))</f>
        <v>0</v>
      </c>
      <c r="U419" s="20">
        <f>IF(B419="","",ROUND(IF(D419="",0,D419)*T419,2))</f>
        <v>0</v>
      </c>
      <c r="V419" s="20">
        <f>IF(B419="","",ROUND(U419-IF(G419="",0,G419)-IF(L419="",0,L419),2))</f>
        <v>0</v>
      </c>
      <c r="W419" s="20">
        <f>IF(C419="","",IFERROR(INDEX(Products!$AT$5:$AT$304,MATCH(C419,Products!$A$5:$A$304,0)),""))</f>
        <v>0</v>
      </c>
      <c r="X419" s="20">
        <f>IF(C419="","",IFERROR(INDEX(Products!$AG$5:$AG$304,MATCH(C419,Products!$A$5:$A$304,0)),""))</f>
        <v>0</v>
      </c>
      <c r="Y419" s="20">
        <f>IF(B419="","",ROUND(IF(D419="",0,D419)*MAX(0,IF(W419="",0,W419)-IF(X419="",0,X419)),2))</f>
        <v>0</v>
      </c>
      <c r="Z419" s="20">
        <f>IF(B419="","",ROUND(MAX(0,IF(J419="",0,J419)-IF(I419="",0,I419)),2))</f>
        <v>0</v>
      </c>
      <c r="AA419" s="33">
        <f>IF(B419="","",IFERROR(INDEX(Channels!$S$5:$S$18,MATCH(IF(E419="",DefaultChannel,E419),Channels!$A$5:$A$18,0)),0))</f>
        <v>0</v>
      </c>
      <c r="AB419" s="20">
        <f>IF(B419="","",IFERROR(INDEX(Channels!$T$5:$T$18,MATCH(IF(E419="",DefaultChannel,E419),Channels!$A$5:$A$18,0)),0))</f>
        <v>0</v>
      </c>
      <c r="AC419" s="42">
        <f>IF(B419="","",IFERROR(INDEX(Channels!$O$5:$O$18,MATCH(IF(E419="",DefaultChannel,E419),Channels!$A$5:$A$18,0)),"No"))</f>
        <v>0</v>
      </c>
      <c r="AD419" s="20">
        <f>IF(B419="","",ROUND((V419+IF(AC419="Yes",IF(I419="",0,I419),0))*AA419+AB419,2))</f>
        <v>0</v>
      </c>
      <c r="AE419" s="20">
        <f>IF(B419="","",IF(K419&lt;&gt;"",K419,AD419))</f>
        <v>0</v>
      </c>
      <c r="AF419" s="20">
        <f>IF(B419="","",IF(K419="","",ROUND(K419-AD419,2)))</f>
        <v>0</v>
      </c>
      <c r="AG419" s="20">
        <f>IF(B419="","",ROUND(V419-Y419-AE419-Z419,2))</f>
        <v>0</v>
      </c>
      <c r="AH419" s="33">
        <f>IF(B419="","",IF(OR(V419="",V419=0),"",AG419/V419))</f>
        <v>0</v>
      </c>
      <c r="AI419" s="33">
        <f>IF(C419="","",IFERROR(INDEX(Products!$AW$5:$AW$304,MATCH(C419,Products!$A$5:$A$304,0)),""))</f>
        <v>0</v>
      </c>
      <c r="AJ419" s="33">
        <f>IF(B419="","",IF(OR(AH419="",AI419=""),"",AH419-AI419))</f>
        <v>0</v>
      </c>
      <c r="AK419" s="41">
        <f>IF(B419="","",IFERROR(ROUND(IF(D419="",0,D419)*INDEX(Products!$X$5:$X$304,MATCH(C419,Products!$A$5:$A$304,0))/60,2),""))</f>
        <v>0</v>
      </c>
      <c r="AL419" s="20">
        <f>IF(B419="","",IF(OR(AK419="",AK419=0),"",ROUND(AG419/AK419,2)))</f>
        <v>0</v>
      </c>
      <c r="AM419" s="43">
        <f>IF(B419="","",IF(C419="","Add - which product?",IF(AG419&lt;0,"Loss - this order cost you money",IF(M419="Refunded","Refunded - check why",IF(AND(AF419&lt;&gt;"",AF419&gt;0.25),"Check - fees higher than your settings",IF(Z419&gt;1,"Check - postage is eating the margin",IF(AND(AH419&lt;&gt;"",AH419&lt;MarginWarning),"Low margin on this order","OK")))))) )</f>
        <v>0</v>
      </c>
    </row>
    <row r="420" spans="1:39">
      <c r="A420" s="38">
        <f>IF(B420="","",SalePrefix&amp;TEXT(ROW()-4,"0000"))</f>
        <v>0</v>
      </c>
      <c r="Q420" s="13">
        <f>IF(C420="","",IFERROR(INDEX(Products!$B$5:$B$304,MATCH(C420,Products!$A$5:$A$304,0)),"Bundle or deleted"))</f>
        <v>0</v>
      </c>
      <c r="R420" s="13">
        <f>IF(B420="","",TEXT(B420,"yyyy-mm"))</f>
        <v>0</v>
      </c>
      <c r="S420" s="20">
        <f>IF(C420="","",IFERROR(INDEX(Products!$AR$5:$AR$304,MATCH(C420,Products!$A$5:$A$304,0)),""))</f>
        <v>0</v>
      </c>
      <c r="T420" s="20">
        <f>IF(B420="","",IF(F420&lt;&gt;"",F420,IF(S420="",0,S420)))</f>
        <v>0</v>
      </c>
      <c r="U420" s="20">
        <f>IF(B420="","",ROUND(IF(D420="",0,D420)*T420,2))</f>
        <v>0</v>
      </c>
      <c r="V420" s="20">
        <f>IF(B420="","",ROUND(U420-IF(G420="",0,G420)-IF(L420="",0,L420),2))</f>
        <v>0</v>
      </c>
      <c r="W420" s="20">
        <f>IF(C420="","",IFERROR(INDEX(Products!$AT$5:$AT$304,MATCH(C420,Products!$A$5:$A$304,0)),""))</f>
        <v>0</v>
      </c>
      <c r="X420" s="20">
        <f>IF(C420="","",IFERROR(INDEX(Products!$AG$5:$AG$304,MATCH(C420,Products!$A$5:$A$304,0)),""))</f>
        <v>0</v>
      </c>
      <c r="Y420" s="20">
        <f>IF(B420="","",ROUND(IF(D420="",0,D420)*MAX(0,IF(W420="",0,W420)-IF(X420="",0,X420)),2))</f>
        <v>0</v>
      </c>
      <c r="Z420" s="20">
        <f>IF(B420="","",ROUND(MAX(0,IF(J420="",0,J420)-IF(I420="",0,I420)),2))</f>
        <v>0</v>
      </c>
      <c r="AA420" s="33">
        <f>IF(B420="","",IFERROR(INDEX(Channels!$S$5:$S$18,MATCH(IF(E420="",DefaultChannel,E420),Channels!$A$5:$A$18,0)),0))</f>
        <v>0</v>
      </c>
      <c r="AB420" s="20">
        <f>IF(B420="","",IFERROR(INDEX(Channels!$T$5:$T$18,MATCH(IF(E420="",DefaultChannel,E420),Channels!$A$5:$A$18,0)),0))</f>
        <v>0</v>
      </c>
      <c r="AC420" s="42">
        <f>IF(B420="","",IFERROR(INDEX(Channels!$O$5:$O$18,MATCH(IF(E420="",DefaultChannel,E420),Channels!$A$5:$A$18,0)),"No"))</f>
        <v>0</v>
      </c>
      <c r="AD420" s="20">
        <f>IF(B420="","",ROUND((V420+IF(AC420="Yes",IF(I420="",0,I420),0))*AA420+AB420,2))</f>
        <v>0</v>
      </c>
      <c r="AE420" s="20">
        <f>IF(B420="","",IF(K420&lt;&gt;"",K420,AD420))</f>
        <v>0</v>
      </c>
      <c r="AF420" s="20">
        <f>IF(B420="","",IF(K420="","",ROUND(K420-AD420,2)))</f>
        <v>0</v>
      </c>
      <c r="AG420" s="20">
        <f>IF(B420="","",ROUND(V420-Y420-AE420-Z420,2))</f>
        <v>0</v>
      </c>
      <c r="AH420" s="33">
        <f>IF(B420="","",IF(OR(V420="",V420=0),"",AG420/V420))</f>
        <v>0</v>
      </c>
      <c r="AI420" s="33">
        <f>IF(C420="","",IFERROR(INDEX(Products!$AW$5:$AW$304,MATCH(C420,Products!$A$5:$A$304,0)),""))</f>
        <v>0</v>
      </c>
      <c r="AJ420" s="33">
        <f>IF(B420="","",IF(OR(AH420="",AI420=""),"",AH420-AI420))</f>
        <v>0</v>
      </c>
      <c r="AK420" s="41">
        <f>IF(B420="","",IFERROR(ROUND(IF(D420="",0,D420)*INDEX(Products!$X$5:$X$304,MATCH(C420,Products!$A$5:$A$304,0))/60,2),""))</f>
        <v>0</v>
      </c>
      <c r="AL420" s="20">
        <f>IF(B420="","",IF(OR(AK420="",AK420=0),"",ROUND(AG420/AK420,2)))</f>
        <v>0</v>
      </c>
      <c r="AM420" s="43">
        <f>IF(B420="","",IF(C420="","Add - which product?",IF(AG420&lt;0,"Loss - this order cost you money",IF(M420="Refunded","Refunded - check why",IF(AND(AF420&lt;&gt;"",AF420&gt;0.25),"Check - fees higher than your settings",IF(Z420&gt;1,"Check - postage is eating the margin",IF(AND(AH420&lt;&gt;"",AH420&lt;MarginWarning),"Low margin on this order","OK")))))) )</f>
        <v>0</v>
      </c>
    </row>
    <row r="421" spans="1:39">
      <c r="A421" s="38">
        <f>IF(B421="","",SalePrefix&amp;TEXT(ROW()-4,"0000"))</f>
        <v>0</v>
      </c>
      <c r="Q421" s="13">
        <f>IF(C421="","",IFERROR(INDEX(Products!$B$5:$B$304,MATCH(C421,Products!$A$5:$A$304,0)),"Bundle or deleted"))</f>
        <v>0</v>
      </c>
      <c r="R421" s="13">
        <f>IF(B421="","",TEXT(B421,"yyyy-mm"))</f>
        <v>0</v>
      </c>
      <c r="S421" s="20">
        <f>IF(C421="","",IFERROR(INDEX(Products!$AR$5:$AR$304,MATCH(C421,Products!$A$5:$A$304,0)),""))</f>
        <v>0</v>
      </c>
      <c r="T421" s="20">
        <f>IF(B421="","",IF(F421&lt;&gt;"",F421,IF(S421="",0,S421)))</f>
        <v>0</v>
      </c>
      <c r="U421" s="20">
        <f>IF(B421="","",ROUND(IF(D421="",0,D421)*T421,2))</f>
        <v>0</v>
      </c>
      <c r="V421" s="20">
        <f>IF(B421="","",ROUND(U421-IF(G421="",0,G421)-IF(L421="",0,L421),2))</f>
        <v>0</v>
      </c>
      <c r="W421" s="20">
        <f>IF(C421="","",IFERROR(INDEX(Products!$AT$5:$AT$304,MATCH(C421,Products!$A$5:$A$304,0)),""))</f>
        <v>0</v>
      </c>
      <c r="X421" s="20">
        <f>IF(C421="","",IFERROR(INDEX(Products!$AG$5:$AG$304,MATCH(C421,Products!$A$5:$A$304,0)),""))</f>
        <v>0</v>
      </c>
      <c r="Y421" s="20">
        <f>IF(B421="","",ROUND(IF(D421="",0,D421)*MAX(0,IF(W421="",0,W421)-IF(X421="",0,X421)),2))</f>
        <v>0</v>
      </c>
      <c r="Z421" s="20">
        <f>IF(B421="","",ROUND(MAX(0,IF(J421="",0,J421)-IF(I421="",0,I421)),2))</f>
        <v>0</v>
      </c>
      <c r="AA421" s="33">
        <f>IF(B421="","",IFERROR(INDEX(Channels!$S$5:$S$18,MATCH(IF(E421="",DefaultChannel,E421),Channels!$A$5:$A$18,0)),0))</f>
        <v>0</v>
      </c>
      <c r="AB421" s="20">
        <f>IF(B421="","",IFERROR(INDEX(Channels!$T$5:$T$18,MATCH(IF(E421="",DefaultChannel,E421),Channels!$A$5:$A$18,0)),0))</f>
        <v>0</v>
      </c>
      <c r="AC421" s="42">
        <f>IF(B421="","",IFERROR(INDEX(Channels!$O$5:$O$18,MATCH(IF(E421="",DefaultChannel,E421),Channels!$A$5:$A$18,0)),"No"))</f>
        <v>0</v>
      </c>
      <c r="AD421" s="20">
        <f>IF(B421="","",ROUND((V421+IF(AC421="Yes",IF(I421="",0,I421),0))*AA421+AB421,2))</f>
        <v>0</v>
      </c>
      <c r="AE421" s="20">
        <f>IF(B421="","",IF(K421&lt;&gt;"",K421,AD421))</f>
        <v>0</v>
      </c>
      <c r="AF421" s="20">
        <f>IF(B421="","",IF(K421="","",ROUND(K421-AD421,2)))</f>
        <v>0</v>
      </c>
      <c r="AG421" s="20">
        <f>IF(B421="","",ROUND(V421-Y421-AE421-Z421,2))</f>
        <v>0</v>
      </c>
      <c r="AH421" s="33">
        <f>IF(B421="","",IF(OR(V421="",V421=0),"",AG421/V421))</f>
        <v>0</v>
      </c>
      <c r="AI421" s="33">
        <f>IF(C421="","",IFERROR(INDEX(Products!$AW$5:$AW$304,MATCH(C421,Products!$A$5:$A$304,0)),""))</f>
        <v>0</v>
      </c>
      <c r="AJ421" s="33">
        <f>IF(B421="","",IF(OR(AH421="",AI421=""),"",AH421-AI421))</f>
        <v>0</v>
      </c>
      <c r="AK421" s="41">
        <f>IF(B421="","",IFERROR(ROUND(IF(D421="",0,D421)*INDEX(Products!$X$5:$X$304,MATCH(C421,Products!$A$5:$A$304,0))/60,2),""))</f>
        <v>0</v>
      </c>
      <c r="AL421" s="20">
        <f>IF(B421="","",IF(OR(AK421="",AK421=0),"",ROUND(AG421/AK421,2)))</f>
        <v>0</v>
      </c>
      <c r="AM421" s="43">
        <f>IF(B421="","",IF(C421="","Add - which product?",IF(AG421&lt;0,"Loss - this order cost you money",IF(M421="Refunded","Refunded - check why",IF(AND(AF421&lt;&gt;"",AF421&gt;0.25),"Check - fees higher than your settings",IF(Z421&gt;1,"Check - postage is eating the margin",IF(AND(AH421&lt;&gt;"",AH421&lt;MarginWarning),"Low margin on this order","OK")))))) )</f>
        <v>0</v>
      </c>
    </row>
    <row r="422" spans="1:39">
      <c r="A422" s="38">
        <f>IF(B422="","",SalePrefix&amp;TEXT(ROW()-4,"0000"))</f>
        <v>0</v>
      </c>
      <c r="Q422" s="13">
        <f>IF(C422="","",IFERROR(INDEX(Products!$B$5:$B$304,MATCH(C422,Products!$A$5:$A$304,0)),"Bundle or deleted"))</f>
        <v>0</v>
      </c>
      <c r="R422" s="13">
        <f>IF(B422="","",TEXT(B422,"yyyy-mm"))</f>
        <v>0</v>
      </c>
      <c r="S422" s="20">
        <f>IF(C422="","",IFERROR(INDEX(Products!$AR$5:$AR$304,MATCH(C422,Products!$A$5:$A$304,0)),""))</f>
        <v>0</v>
      </c>
      <c r="T422" s="20">
        <f>IF(B422="","",IF(F422&lt;&gt;"",F422,IF(S422="",0,S422)))</f>
        <v>0</v>
      </c>
      <c r="U422" s="20">
        <f>IF(B422="","",ROUND(IF(D422="",0,D422)*T422,2))</f>
        <v>0</v>
      </c>
      <c r="V422" s="20">
        <f>IF(B422="","",ROUND(U422-IF(G422="",0,G422)-IF(L422="",0,L422),2))</f>
        <v>0</v>
      </c>
      <c r="W422" s="20">
        <f>IF(C422="","",IFERROR(INDEX(Products!$AT$5:$AT$304,MATCH(C422,Products!$A$5:$A$304,0)),""))</f>
        <v>0</v>
      </c>
      <c r="X422" s="20">
        <f>IF(C422="","",IFERROR(INDEX(Products!$AG$5:$AG$304,MATCH(C422,Products!$A$5:$A$304,0)),""))</f>
        <v>0</v>
      </c>
      <c r="Y422" s="20">
        <f>IF(B422="","",ROUND(IF(D422="",0,D422)*MAX(0,IF(W422="",0,W422)-IF(X422="",0,X422)),2))</f>
        <v>0</v>
      </c>
      <c r="Z422" s="20">
        <f>IF(B422="","",ROUND(MAX(0,IF(J422="",0,J422)-IF(I422="",0,I422)),2))</f>
        <v>0</v>
      </c>
      <c r="AA422" s="33">
        <f>IF(B422="","",IFERROR(INDEX(Channels!$S$5:$S$18,MATCH(IF(E422="",DefaultChannel,E422),Channels!$A$5:$A$18,0)),0))</f>
        <v>0</v>
      </c>
      <c r="AB422" s="20">
        <f>IF(B422="","",IFERROR(INDEX(Channels!$T$5:$T$18,MATCH(IF(E422="",DefaultChannel,E422),Channels!$A$5:$A$18,0)),0))</f>
        <v>0</v>
      </c>
      <c r="AC422" s="42">
        <f>IF(B422="","",IFERROR(INDEX(Channels!$O$5:$O$18,MATCH(IF(E422="",DefaultChannel,E422),Channels!$A$5:$A$18,0)),"No"))</f>
        <v>0</v>
      </c>
      <c r="AD422" s="20">
        <f>IF(B422="","",ROUND((V422+IF(AC422="Yes",IF(I422="",0,I422),0))*AA422+AB422,2))</f>
        <v>0</v>
      </c>
      <c r="AE422" s="20">
        <f>IF(B422="","",IF(K422&lt;&gt;"",K422,AD422))</f>
        <v>0</v>
      </c>
      <c r="AF422" s="20">
        <f>IF(B422="","",IF(K422="","",ROUND(K422-AD422,2)))</f>
        <v>0</v>
      </c>
      <c r="AG422" s="20">
        <f>IF(B422="","",ROUND(V422-Y422-AE422-Z422,2))</f>
        <v>0</v>
      </c>
      <c r="AH422" s="33">
        <f>IF(B422="","",IF(OR(V422="",V422=0),"",AG422/V422))</f>
        <v>0</v>
      </c>
      <c r="AI422" s="33">
        <f>IF(C422="","",IFERROR(INDEX(Products!$AW$5:$AW$304,MATCH(C422,Products!$A$5:$A$304,0)),""))</f>
        <v>0</v>
      </c>
      <c r="AJ422" s="33">
        <f>IF(B422="","",IF(OR(AH422="",AI422=""),"",AH422-AI422))</f>
        <v>0</v>
      </c>
      <c r="AK422" s="41">
        <f>IF(B422="","",IFERROR(ROUND(IF(D422="",0,D422)*INDEX(Products!$X$5:$X$304,MATCH(C422,Products!$A$5:$A$304,0))/60,2),""))</f>
        <v>0</v>
      </c>
      <c r="AL422" s="20">
        <f>IF(B422="","",IF(OR(AK422="",AK422=0),"",ROUND(AG422/AK422,2)))</f>
        <v>0</v>
      </c>
      <c r="AM422" s="43">
        <f>IF(B422="","",IF(C422="","Add - which product?",IF(AG422&lt;0,"Loss - this order cost you money",IF(M422="Refunded","Refunded - check why",IF(AND(AF422&lt;&gt;"",AF422&gt;0.25),"Check - fees higher than your settings",IF(Z422&gt;1,"Check - postage is eating the margin",IF(AND(AH422&lt;&gt;"",AH422&lt;MarginWarning),"Low margin on this order","OK")))))) )</f>
        <v>0</v>
      </c>
    </row>
    <row r="423" spans="1:39">
      <c r="A423" s="38">
        <f>IF(B423="","",SalePrefix&amp;TEXT(ROW()-4,"0000"))</f>
        <v>0</v>
      </c>
      <c r="Q423" s="13">
        <f>IF(C423="","",IFERROR(INDEX(Products!$B$5:$B$304,MATCH(C423,Products!$A$5:$A$304,0)),"Bundle or deleted"))</f>
        <v>0</v>
      </c>
      <c r="R423" s="13">
        <f>IF(B423="","",TEXT(B423,"yyyy-mm"))</f>
        <v>0</v>
      </c>
      <c r="S423" s="20">
        <f>IF(C423="","",IFERROR(INDEX(Products!$AR$5:$AR$304,MATCH(C423,Products!$A$5:$A$304,0)),""))</f>
        <v>0</v>
      </c>
      <c r="T423" s="20">
        <f>IF(B423="","",IF(F423&lt;&gt;"",F423,IF(S423="",0,S423)))</f>
        <v>0</v>
      </c>
      <c r="U423" s="20">
        <f>IF(B423="","",ROUND(IF(D423="",0,D423)*T423,2))</f>
        <v>0</v>
      </c>
      <c r="V423" s="20">
        <f>IF(B423="","",ROUND(U423-IF(G423="",0,G423)-IF(L423="",0,L423),2))</f>
        <v>0</v>
      </c>
      <c r="W423" s="20">
        <f>IF(C423="","",IFERROR(INDEX(Products!$AT$5:$AT$304,MATCH(C423,Products!$A$5:$A$304,0)),""))</f>
        <v>0</v>
      </c>
      <c r="X423" s="20">
        <f>IF(C423="","",IFERROR(INDEX(Products!$AG$5:$AG$304,MATCH(C423,Products!$A$5:$A$304,0)),""))</f>
        <v>0</v>
      </c>
      <c r="Y423" s="20">
        <f>IF(B423="","",ROUND(IF(D423="",0,D423)*MAX(0,IF(W423="",0,W423)-IF(X423="",0,X423)),2))</f>
        <v>0</v>
      </c>
      <c r="Z423" s="20">
        <f>IF(B423="","",ROUND(MAX(0,IF(J423="",0,J423)-IF(I423="",0,I423)),2))</f>
        <v>0</v>
      </c>
      <c r="AA423" s="33">
        <f>IF(B423="","",IFERROR(INDEX(Channels!$S$5:$S$18,MATCH(IF(E423="",DefaultChannel,E423),Channels!$A$5:$A$18,0)),0))</f>
        <v>0</v>
      </c>
      <c r="AB423" s="20">
        <f>IF(B423="","",IFERROR(INDEX(Channels!$T$5:$T$18,MATCH(IF(E423="",DefaultChannel,E423),Channels!$A$5:$A$18,0)),0))</f>
        <v>0</v>
      </c>
      <c r="AC423" s="42">
        <f>IF(B423="","",IFERROR(INDEX(Channels!$O$5:$O$18,MATCH(IF(E423="",DefaultChannel,E423),Channels!$A$5:$A$18,0)),"No"))</f>
        <v>0</v>
      </c>
      <c r="AD423" s="20">
        <f>IF(B423="","",ROUND((V423+IF(AC423="Yes",IF(I423="",0,I423),0))*AA423+AB423,2))</f>
        <v>0</v>
      </c>
      <c r="AE423" s="20">
        <f>IF(B423="","",IF(K423&lt;&gt;"",K423,AD423))</f>
        <v>0</v>
      </c>
      <c r="AF423" s="20">
        <f>IF(B423="","",IF(K423="","",ROUND(K423-AD423,2)))</f>
        <v>0</v>
      </c>
      <c r="AG423" s="20">
        <f>IF(B423="","",ROUND(V423-Y423-AE423-Z423,2))</f>
        <v>0</v>
      </c>
      <c r="AH423" s="33">
        <f>IF(B423="","",IF(OR(V423="",V423=0),"",AG423/V423))</f>
        <v>0</v>
      </c>
      <c r="AI423" s="33">
        <f>IF(C423="","",IFERROR(INDEX(Products!$AW$5:$AW$304,MATCH(C423,Products!$A$5:$A$304,0)),""))</f>
        <v>0</v>
      </c>
      <c r="AJ423" s="33">
        <f>IF(B423="","",IF(OR(AH423="",AI423=""),"",AH423-AI423))</f>
        <v>0</v>
      </c>
      <c r="AK423" s="41">
        <f>IF(B423="","",IFERROR(ROUND(IF(D423="",0,D423)*INDEX(Products!$X$5:$X$304,MATCH(C423,Products!$A$5:$A$304,0))/60,2),""))</f>
        <v>0</v>
      </c>
      <c r="AL423" s="20">
        <f>IF(B423="","",IF(OR(AK423="",AK423=0),"",ROUND(AG423/AK423,2)))</f>
        <v>0</v>
      </c>
      <c r="AM423" s="43">
        <f>IF(B423="","",IF(C423="","Add - which product?",IF(AG423&lt;0,"Loss - this order cost you money",IF(M423="Refunded","Refunded - check why",IF(AND(AF423&lt;&gt;"",AF423&gt;0.25),"Check - fees higher than your settings",IF(Z423&gt;1,"Check - postage is eating the margin",IF(AND(AH423&lt;&gt;"",AH423&lt;MarginWarning),"Low margin on this order","OK")))))) )</f>
        <v>0</v>
      </c>
    </row>
    <row r="424" spans="1:39">
      <c r="A424" s="38">
        <f>IF(B424="","",SalePrefix&amp;TEXT(ROW()-4,"0000"))</f>
        <v>0</v>
      </c>
      <c r="Q424" s="13">
        <f>IF(C424="","",IFERROR(INDEX(Products!$B$5:$B$304,MATCH(C424,Products!$A$5:$A$304,0)),"Bundle or deleted"))</f>
        <v>0</v>
      </c>
      <c r="R424" s="13">
        <f>IF(B424="","",TEXT(B424,"yyyy-mm"))</f>
        <v>0</v>
      </c>
      <c r="S424" s="20">
        <f>IF(C424="","",IFERROR(INDEX(Products!$AR$5:$AR$304,MATCH(C424,Products!$A$5:$A$304,0)),""))</f>
        <v>0</v>
      </c>
      <c r="T424" s="20">
        <f>IF(B424="","",IF(F424&lt;&gt;"",F424,IF(S424="",0,S424)))</f>
        <v>0</v>
      </c>
      <c r="U424" s="20">
        <f>IF(B424="","",ROUND(IF(D424="",0,D424)*T424,2))</f>
        <v>0</v>
      </c>
      <c r="V424" s="20">
        <f>IF(B424="","",ROUND(U424-IF(G424="",0,G424)-IF(L424="",0,L424),2))</f>
        <v>0</v>
      </c>
      <c r="W424" s="20">
        <f>IF(C424="","",IFERROR(INDEX(Products!$AT$5:$AT$304,MATCH(C424,Products!$A$5:$A$304,0)),""))</f>
        <v>0</v>
      </c>
      <c r="X424" s="20">
        <f>IF(C424="","",IFERROR(INDEX(Products!$AG$5:$AG$304,MATCH(C424,Products!$A$5:$A$304,0)),""))</f>
        <v>0</v>
      </c>
      <c r="Y424" s="20">
        <f>IF(B424="","",ROUND(IF(D424="",0,D424)*MAX(0,IF(W424="",0,W424)-IF(X424="",0,X424)),2))</f>
        <v>0</v>
      </c>
      <c r="Z424" s="20">
        <f>IF(B424="","",ROUND(MAX(0,IF(J424="",0,J424)-IF(I424="",0,I424)),2))</f>
        <v>0</v>
      </c>
      <c r="AA424" s="33">
        <f>IF(B424="","",IFERROR(INDEX(Channels!$S$5:$S$18,MATCH(IF(E424="",DefaultChannel,E424),Channels!$A$5:$A$18,0)),0))</f>
        <v>0</v>
      </c>
      <c r="AB424" s="20">
        <f>IF(B424="","",IFERROR(INDEX(Channels!$T$5:$T$18,MATCH(IF(E424="",DefaultChannel,E424),Channels!$A$5:$A$18,0)),0))</f>
        <v>0</v>
      </c>
      <c r="AC424" s="42">
        <f>IF(B424="","",IFERROR(INDEX(Channels!$O$5:$O$18,MATCH(IF(E424="",DefaultChannel,E424),Channels!$A$5:$A$18,0)),"No"))</f>
        <v>0</v>
      </c>
      <c r="AD424" s="20">
        <f>IF(B424="","",ROUND((V424+IF(AC424="Yes",IF(I424="",0,I424),0))*AA424+AB424,2))</f>
        <v>0</v>
      </c>
      <c r="AE424" s="20">
        <f>IF(B424="","",IF(K424&lt;&gt;"",K424,AD424))</f>
        <v>0</v>
      </c>
      <c r="AF424" s="20">
        <f>IF(B424="","",IF(K424="","",ROUND(K424-AD424,2)))</f>
        <v>0</v>
      </c>
      <c r="AG424" s="20">
        <f>IF(B424="","",ROUND(V424-Y424-AE424-Z424,2))</f>
        <v>0</v>
      </c>
      <c r="AH424" s="33">
        <f>IF(B424="","",IF(OR(V424="",V424=0),"",AG424/V424))</f>
        <v>0</v>
      </c>
      <c r="AI424" s="33">
        <f>IF(C424="","",IFERROR(INDEX(Products!$AW$5:$AW$304,MATCH(C424,Products!$A$5:$A$304,0)),""))</f>
        <v>0</v>
      </c>
      <c r="AJ424" s="33">
        <f>IF(B424="","",IF(OR(AH424="",AI424=""),"",AH424-AI424))</f>
        <v>0</v>
      </c>
      <c r="AK424" s="41">
        <f>IF(B424="","",IFERROR(ROUND(IF(D424="",0,D424)*INDEX(Products!$X$5:$X$304,MATCH(C424,Products!$A$5:$A$304,0))/60,2),""))</f>
        <v>0</v>
      </c>
      <c r="AL424" s="20">
        <f>IF(B424="","",IF(OR(AK424="",AK424=0),"",ROUND(AG424/AK424,2)))</f>
        <v>0</v>
      </c>
      <c r="AM424" s="43">
        <f>IF(B424="","",IF(C424="","Add - which product?",IF(AG424&lt;0,"Loss - this order cost you money",IF(M424="Refunded","Refunded - check why",IF(AND(AF424&lt;&gt;"",AF424&gt;0.25),"Check - fees higher than your settings",IF(Z424&gt;1,"Check - postage is eating the margin",IF(AND(AH424&lt;&gt;"",AH424&lt;MarginWarning),"Low margin on this order","OK")))))) )</f>
        <v>0</v>
      </c>
    </row>
    <row r="425" spans="1:39">
      <c r="A425" s="38">
        <f>IF(B425="","",SalePrefix&amp;TEXT(ROW()-4,"0000"))</f>
        <v>0</v>
      </c>
      <c r="Q425" s="13">
        <f>IF(C425="","",IFERROR(INDEX(Products!$B$5:$B$304,MATCH(C425,Products!$A$5:$A$304,0)),"Bundle or deleted"))</f>
        <v>0</v>
      </c>
      <c r="R425" s="13">
        <f>IF(B425="","",TEXT(B425,"yyyy-mm"))</f>
        <v>0</v>
      </c>
      <c r="S425" s="20">
        <f>IF(C425="","",IFERROR(INDEX(Products!$AR$5:$AR$304,MATCH(C425,Products!$A$5:$A$304,0)),""))</f>
        <v>0</v>
      </c>
      <c r="T425" s="20">
        <f>IF(B425="","",IF(F425&lt;&gt;"",F425,IF(S425="",0,S425)))</f>
        <v>0</v>
      </c>
      <c r="U425" s="20">
        <f>IF(B425="","",ROUND(IF(D425="",0,D425)*T425,2))</f>
        <v>0</v>
      </c>
      <c r="V425" s="20">
        <f>IF(B425="","",ROUND(U425-IF(G425="",0,G425)-IF(L425="",0,L425),2))</f>
        <v>0</v>
      </c>
      <c r="W425" s="20">
        <f>IF(C425="","",IFERROR(INDEX(Products!$AT$5:$AT$304,MATCH(C425,Products!$A$5:$A$304,0)),""))</f>
        <v>0</v>
      </c>
      <c r="X425" s="20">
        <f>IF(C425="","",IFERROR(INDEX(Products!$AG$5:$AG$304,MATCH(C425,Products!$A$5:$A$304,0)),""))</f>
        <v>0</v>
      </c>
      <c r="Y425" s="20">
        <f>IF(B425="","",ROUND(IF(D425="",0,D425)*MAX(0,IF(W425="",0,W425)-IF(X425="",0,X425)),2))</f>
        <v>0</v>
      </c>
      <c r="Z425" s="20">
        <f>IF(B425="","",ROUND(MAX(0,IF(J425="",0,J425)-IF(I425="",0,I425)),2))</f>
        <v>0</v>
      </c>
      <c r="AA425" s="33">
        <f>IF(B425="","",IFERROR(INDEX(Channels!$S$5:$S$18,MATCH(IF(E425="",DefaultChannel,E425),Channels!$A$5:$A$18,0)),0))</f>
        <v>0</v>
      </c>
      <c r="AB425" s="20">
        <f>IF(B425="","",IFERROR(INDEX(Channels!$T$5:$T$18,MATCH(IF(E425="",DefaultChannel,E425),Channels!$A$5:$A$18,0)),0))</f>
        <v>0</v>
      </c>
      <c r="AC425" s="42">
        <f>IF(B425="","",IFERROR(INDEX(Channels!$O$5:$O$18,MATCH(IF(E425="",DefaultChannel,E425),Channels!$A$5:$A$18,0)),"No"))</f>
        <v>0</v>
      </c>
      <c r="AD425" s="20">
        <f>IF(B425="","",ROUND((V425+IF(AC425="Yes",IF(I425="",0,I425),0))*AA425+AB425,2))</f>
        <v>0</v>
      </c>
      <c r="AE425" s="20">
        <f>IF(B425="","",IF(K425&lt;&gt;"",K425,AD425))</f>
        <v>0</v>
      </c>
      <c r="AF425" s="20">
        <f>IF(B425="","",IF(K425="","",ROUND(K425-AD425,2)))</f>
        <v>0</v>
      </c>
      <c r="AG425" s="20">
        <f>IF(B425="","",ROUND(V425-Y425-AE425-Z425,2))</f>
        <v>0</v>
      </c>
      <c r="AH425" s="33">
        <f>IF(B425="","",IF(OR(V425="",V425=0),"",AG425/V425))</f>
        <v>0</v>
      </c>
      <c r="AI425" s="33">
        <f>IF(C425="","",IFERROR(INDEX(Products!$AW$5:$AW$304,MATCH(C425,Products!$A$5:$A$304,0)),""))</f>
        <v>0</v>
      </c>
      <c r="AJ425" s="33">
        <f>IF(B425="","",IF(OR(AH425="",AI425=""),"",AH425-AI425))</f>
        <v>0</v>
      </c>
      <c r="AK425" s="41">
        <f>IF(B425="","",IFERROR(ROUND(IF(D425="",0,D425)*INDEX(Products!$X$5:$X$304,MATCH(C425,Products!$A$5:$A$304,0))/60,2),""))</f>
        <v>0</v>
      </c>
      <c r="AL425" s="20">
        <f>IF(B425="","",IF(OR(AK425="",AK425=0),"",ROUND(AG425/AK425,2)))</f>
        <v>0</v>
      </c>
      <c r="AM425" s="43">
        <f>IF(B425="","",IF(C425="","Add - which product?",IF(AG425&lt;0,"Loss - this order cost you money",IF(M425="Refunded","Refunded - check why",IF(AND(AF425&lt;&gt;"",AF425&gt;0.25),"Check - fees higher than your settings",IF(Z425&gt;1,"Check - postage is eating the margin",IF(AND(AH425&lt;&gt;"",AH425&lt;MarginWarning),"Low margin on this order","OK")))))) )</f>
        <v>0</v>
      </c>
    </row>
    <row r="426" spans="1:39">
      <c r="A426" s="38">
        <f>IF(B426="","",SalePrefix&amp;TEXT(ROW()-4,"0000"))</f>
        <v>0</v>
      </c>
      <c r="Q426" s="13">
        <f>IF(C426="","",IFERROR(INDEX(Products!$B$5:$B$304,MATCH(C426,Products!$A$5:$A$304,0)),"Bundle or deleted"))</f>
        <v>0</v>
      </c>
      <c r="R426" s="13">
        <f>IF(B426="","",TEXT(B426,"yyyy-mm"))</f>
        <v>0</v>
      </c>
      <c r="S426" s="20">
        <f>IF(C426="","",IFERROR(INDEX(Products!$AR$5:$AR$304,MATCH(C426,Products!$A$5:$A$304,0)),""))</f>
        <v>0</v>
      </c>
      <c r="T426" s="20">
        <f>IF(B426="","",IF(F426&lt;&gt;"",F426,IF(S426="",0,S426)))</f>
        <v>0</v>
      </c>
      <c r="U426" s="20">
        <f>IF(B426="","",ROUND(IF(D426="",0,D426)*T426,2))</f>
        <v>0</v>
      </c>
      <c r="V426" s="20">
        <f>IF(B426="","",ROUND(U426-IF(G426="",0,G426)-IF(L426="",0,L426),2))</f>
        <v>0</v>
      </c>
      <c r="W426" s="20">
        <f>IF(C426="","",IFERROR(INDEX(Products!$AT$5:$AT$304,MATCH(C426,Products!$A$5:$A$304,0)),""))</f>
        <v>0</v>
      </c>
      <c r="X426" s="20">
        <f>IF(C426="","",IFERROR(INDEX(Products!$AG$5:$AG$304,MATCH(C426,Products!$A$5:$A$304,0)),""))</f>
        <v>0</v>
      </c>
      <c r="Y426" s="20">
        <f>IF(B426="","",ROUND(IF(D426="",0,D426)*MAX(0,IF(W426="",0,W426)-IF(X426="",0,X426)),2))</f>
        <v>0</v>
      </c>
      <c r="Z426" s="20">
        <f>IF(B426="","",ROUND(MAX(0,IF(J426="",0,J426)-IF(I426="",0,I426)),2))</f>
        <v>0</v>
      </c>
      <c r="AA426" s="33">
        <f>IF(B426="","",IFERROR(INDEX(Channels!$S$5:$S$18,MATCH(IF(E426="",DefaultChannel,E426),Channels!$A$5:$A$18,0)),0))</f>
        <v>0</v>
      </c>
      <c r="AB426" s="20">
        <f>IF(B426="","",IFERROR(INDEX(Channels!$T$5:$T$18,MATCH(IF(E426="",DefaultChannel,E426),Channels!$A$5:$A$18,0)),0))</f>
        <v>0</v>
      </c>
      <c r="AC426" s="42">
        <f>IF(B426="","",IFERROR(INDEX(Channels!$O$5:$O$18,MATCH(IF(E426="",DefaultChannel,E426),Channels!$A$5:$A$18,0)),"No"))</f>
        <v>0</v>
      </c>
      <c r="AD426" s="20">
        <f>IF(B426="","",ROUND((V426+IF(AC426="Yes",IF(I426="",0,I426),0))*AA426+AB426,2))</f>
        <v>0</v>
      </c>
      <c r="AE426" s="20">
        <f>IF(B426="","",IF(K426&lt;&gt;"",K426,AD426))</f>
        <v>0</v>
      </c>
      <c r="AF426" s="20">
        <f>IF(B426="","",IF(K426="","",ROUND(K426-AD426,2)))</f>
        <v>0</v>
      </c>
      <c r="AG426" s="20">
        <f>IF(B426="","",ROUND(V426-Y426-AE426-Z426,2))</f>
        <v>0</v>
      </c>
      <c r="AH426" s="33">
        <f>IF(B426="","",IF(OR(V426="",V426=0),"",AG426/V426))</f>
        <v>0</v>
      </c>
      <c r="AI426" s="33">
        <f>IF(C426="","",IFERROR(INDEX(Products!$AW$5:$AW$304,MATCH(C426,Products!$A$5:$A$304,0)),""))</f>
        <v>0</v>
      </c>
      <c r="AJ426" s="33">
        <f>IF(B426="","",IF(OR(AH426="",AI426=""),"",AH426-AI426))</f>
        <v>0</v>
      </c>
      <c r="AK426" s="41">
        <f>IF(B426="","",IFERROR(ROUND(IF(D426="",0,D426)*INDEX(Products!$X$5:$X$304,MATCH(C426,Products!$A$5:$A$304,0))/60,2),""))</f>
        <v>0</v>
      </c>
      <c r="AL426" s="20">
        <f>IF(B426="","",IF(OR(AK426="",AK426=0),"",ROUND(AG426/AK426,2)))</f>
        <v>0</v>
      </c>
      <c r="AM426" s="43">
        <f>IF(B426="","",IF(C426="","Add - which product?",IF(AG426&lt;0,"Loss - this order cost you money",IF(M426="Refunded","Refunded - check why",IF(AND(AF426&lt;&gt;"",AF426&gt;0.25),"Check - fees higher than your settings",IF(Z426&gt;1,"Check - postage is eating the margin",IF(AND(AH426&lt;&gt;"",AH426&lt;MarginWarning),"Low margin on this order","OK")))))) )</f>
        <v>0</v>
      </c>
    </row>
    <row r="427" spans="1:39">
      <c r="A427" s="38">
        <f>IF(B427="","",SalePrefix&amp;TEXT(ROW()-4,"0000"))</f>
        <v>0</v>
      </c>
      <c r="Q427" s="13">
        <f>IF(C427="","",IFERROR(INDEX(Products!$B$5:$B$304,MATCH(C427,Products!$A$5:$A$304,0)),"Bundle or deleted"))</f>
        <v>0</v>
      </c>
      <c r="R427" s="13">
        <f>IF(B427="","",TEXT(B427,"yyyy-mm"))</f>
        <v>0</v>
      </c>
      <c r="S427" s="20">
        <f>IF(C427="","",IFERROR(INDEX(Products!$AR$5:$AR$304,MATCH(C427,Products!$A$5:$A$304,0)),""))</f>
        <v>0</v>
      </c>
      <c r="T427" s="20">
        <f>IF(B427="","",IF(F427&lt;&gt;"",F427,IF(S427="",0,S427)))</f>
        <v>0</v>
      </c>
      <c r="U427" s="20">
        <f>IF(B427="","",ROUND(IF(D427="",0,D427)*T427,2))</f>
        <v>0</v>
      </c>
      <c r="V427" s="20">
        <f>IF(B427="","",ROUND(U427-IF(G427="",0,G427)-IF(L427="",0,L427),2))</f>
        <v>0</v>
      </c>
      <c r="W427" s="20">
        <f>IF(C427="","",IFERROR(INDEX(Products!$AT$5:$AT$304,MATCH(C427,Products!$A$5:$A$304,0)),""))</f>
        <v>0</v>
      </c>
      <c r="X427" s="20">
        <f>IF(C427="","",IFERROR(INDEX(Products!$AG$5:$AG$304,MATCH(C427,Products!$A$5:$A$304,0)),""))</f>
        <v>0</v>
      </c>
      <c r="Y427" s="20">
        <f>IF(B427="","",ROUND(IF(D427="",0,D427)*MAX(0,IF(W427="",0,W427)-IF(X427="",0,X427)),2))</f>
        <v>0</v>
      </c>
      <c r="Z427" s="20">
        <f>IF(B427="","",ROUND(MAX(0,IF(J427="",0,J427)-IF(I427="",0,I427)),2))</f>
        <v>0</v>
      </c>
      <c r="AA427" s="33">
        <f>IF(B427="","",IFERROR(INDEX(Channels!$S$5:$S$18,MATCH(IF(E427="",DefaultChannel,E427),Channels!$A$5:$A$18,0)),0))</f>
        <v>0</v>
      </c>
      <c r="AB427" s="20">
        <f>IF(B427="","",IFERROR(INDEX(Channels!$T$5:$T$18,MATCH(IF(E427="",DefaultChannel,E427),Channels!$A$5:$A$18,0)),0))</f>
        <v>0</v>
      </c>
      <c r="AC427" s="42">
        <f>IF(B427="","",IFERROR(INDEX(Channels!$O$5:$O$18,MATCH(IF(E427="",DefaultChannel,E427),Channels!$A$5:$A$18,0)),"No"))</f>
        <v>0</v>
      </c>
      <c r="AD427" s="20">
        <f>IF(B427="","",ROUND((V427+IF(AC427="Yes",IF(I427="",0,I427),0))*AA427+AB427,2))</f>
        <v>0</v>
      </c>
      <c r="AE427" s="20">
        <f>IF(B427="","",IF(K427&lt;&gt;"",K427,AD427))</f>
        <v>0</v>
      </c>
      <c r="AF427" s="20">
        <f>IF(B427="","",IF(K427="","",ROUND(K427-AD427,2)))</f>
        <v>0</v>
      </c>
      <c r="AG427" s="20">
        <f>IF(B427="","",ROUND(V427-Y427-AE427-Z427,2))</f>
        <v>0</v>
      </c>
      <c r="AH427" s="33">
        <f>IF(B427="","",IF(OR(V427="",V427=0),"",AG427/V427))</f>
        <v>0</v>
      </c>
      <c r="AI427" s="33">
        <f>IF(C427="","",IFERROR(INDEX(Products!$AW$5:$AW$304,MATCH(C427,Products!$A$5:$A$304,0)),""))</f>
        <v>0</v>
      </c>
      <c r="AJ427" s="33">
        <f>IF(B427="","",IF(OR(AH427="",AI427=""),"",AH427-AI427))</f>
        <v>0</v>
      </c>
      <c r="AK427" s="41">
        <f>IF(B427="","",IFERROR(ROUND(IF(D427="",0,D427)*INDEX(Products!$X$5:$X$304,MATCH(C427,Products!$A$5:$A$304,0))/60,2),""))</f>
        <v>0</v>
      </c>
      <c r="AL427" s="20">
        <f>IF(B427="","",IF(OR(AK427="",AK427=0),"",ROUND(AG427/AK427,2)))</f>
        <v>0</v>
      </c>
      <c r="AM427" s="43">
        <f>IF(B427="","",IF(C427="","Add - which product?",IF(AG427&lt;0,"Loss - this order cost you money",IF(M427="Refunded","Refunded - check why",IF(AND(AF427&lt;&gt;"",AF427&gt;0.25),"Check - fees higher than your settings",IF(Z427&gt;1,"Check - postage is eating the margin",IF(AND(AH427&lt;&gt;"",AH427&lt;MarginWarning),"Low margin on this order","OK")))))) )</f>
        <v>0</v>
      </c>
    </row>
    <row r="428" spans="1:39">
      <c r="A428" s="38">
        <f>IF(B428="","",SalePrefix&amp;TEXT(ROW()-4,"0000"))</f>
        <v>0</v>
      </c>
      <c r="Q428" s="13">
        <f>IF(C428="","",IFERROR(INDEX(Products!$B$5:$B$304,MATCH(C428,Products!$A$5:$A$304,0)),"Bundle or deleted"))</f>
        <v>0</v>
      </c>
      <c r="R428" s="13">
        <f>IF(B428="","",TEXT(B428,"yyyy-mm"))</f>
        <v>0</v>
      </c>
      <c r="S428" s="20">
        <f>IF(C428="","",IFERROR(INDEX(Products!$AR$5:$AR$304,MATCH(C428,Products!$A$5:$A$304,0)),""))</f>
        <v>0</v>
      </c>
      <c r="T428" s="20">
        <f>IF(B428="","",IF(F428&lt;&gt;"",F428,IF(S428="",0,S428)))</f>
        <v>0</v>
      </c>
      <c r="U428" s="20">
        <f>IF(B428="","",ROUND(IF(D428="",0,D428)*T428,2))</f>
        <v>0</v>
      </c>
      <c r="V428" s="20">
        <f>IF(B428="","",ROUND(U428-IF(G428="",0,G428)-IF(L428="",0,L428),2))</f>
        <v>0</v>
      </c>
      <c r="W428" s="20">
        <f>IF(C428="","",IFERROR(INDEX(Products!$AT$5:$AT$304,MATCH(C428,Products!$A$5:$A$304,0)),""))</f>
        <v>0</v>
      </c>
      <c r="X428" s="20">
        <f>IF(C428="","",IFERROR(INDEX(Products!$AG$5:$AG$304,MATCH(C428,Products!$A$5:$A$304,0)),""))</f>
        <v>0</v>
      </c>
      <c r="Y428" s="20">
        <f>IF(B428="","",ROUND(IF(D428="",0,D428)*MAX(0,IF(W428="",0,W428)-IF(X428="",0,X428)),2))</f>
        <v>0</v>
      </c>
      <c r="Z428" s="20">
        <f>IF(B428="","",ROUND(MAX(0,IF(J428="",0,J428)-IF(I428="",0,I428)),2))</f>
        <v>0</v>
      </c>
      <c r="AA428" s="33">
        <f>IF(B428="","",IFERROR(INDEX(Channels!$S$5:$S$18,MATCH(IF(E428="",DefaultChannel,E428),Channels!$A$5:$A$18,0)),0))</f>
        <v>0</v>
      </c>
      <c r="AB428" s="20">
        <f>IF(B428="","",IFERROR(INDEX(Channels!$T$5:$T$18,MATCH(IF(E428="",DefaultChannel,E428),Channels!$A$5:$A$18,0)),0))</f>
        <v>0</v>
      </c>
      <c r="AC428" s="42">
        <f>IF(B428="","",IFERROR(INDEX(Channels!$O$5:$O$18,MATCH(IF(E428="",DefaultChannel,E428),Channels!$A$5:$A$18,0)),"No"))</f>
        <v>0</v>
      </c>
      <c r="AD428" s="20">
        <f>IF(B428="","",ROUND((V428+IF(AC428="Yes",IF(I428="",0,I428),0))*AA428+AB428,2))</f>
        <v>0</v>
      </c>
      <c r="AE428" s="20">
        <f>IF(B428="","",IF(K428&lt;&gt;"",K428,AD428))</f>
        <v>0</v>
      </c>
      <c r="AF428" s="20">
        <f>IF(B428="","",IF(K428="","",ROUND(K428-AD428,2)))</f>
        <v>0</v>
      </c>
      <c r="AG428" s="20">
        <f>IF(B428="","",ROUND(V428-Y428-AE428-Z428,2))</f>
        <v>0</v>
      </c>
      <c r="AH428" s="33">
        <f>IF(B428="","",IF(OR(V428="",V428=0),"",AG428/V428))</f>
        <v>0</v>
      </c>
      <c r="AI428" s="33">
        <f>IF(C428="","",IFERROR(INDEX(Products!$AW$5:$AW$304,MATCH(C428,Products!$A$5:$A$304,0)),""))</f>
        <v>0</v>
      </c>
      <c r="AJ428" s="33">
        <f>IF(B428="","",IF(OR(AH428="",AI428=""),"",AH428-AI428))</f>
        <v>0</v>
      </c>
      <c r="AK428" s="41">
        <f>IF(B428="","",IFERROR(ROUND(IF(D428="",0,D428)*INDEX(Products!$X$5:$X$304,MATCH(C428,Products!$A$5:$A$304,0))/60,2),""))</f>
        <v>0</v>
      </c>
      <c r="AL428" s="20">
        <f>IF(B428="","",IF(OR(AK428="",AK428=0),"",ROUND(AG428/AK428,2)))</f>
        <v>0</v>
      </c>
      <c r="AM428" s="43">
        <f>IF(B428="","",IF(C428="","Add - which product?",IF(AG428&lt;0,"Loss - this order cost you money",IF(M428="Refunded","Refunded - check why",IF(AND(AF428&lt;&gt;"",AF428&gt;0.25),"Check - fees higher than your settings",IF(Z428&gt;1,"Check - postage is eating the margin",IF(AND(AH428&lt;&gt;"",AH428&lt;MarginWarning),"Low margin on this order","OK")))))) )</f>
        <v>0</v>
      </c>
    </row>
    <row r="429" spans="1:39">
      <c r="A429" s="38">
        <f>IF(B429="","",SalePrefix&amp;TEXT(ROW()-4,"0000"))</f>
        <v>0</v>
      </c>
      <c r="Q429" s="13">
        <f>IF(C429="","",IFERROR(INDEX(Products!$B$5:$B$304,MATCH(C429,Products!$A$5:$A$304,0)),"Bundle or deleted"))</f>
        <v>0</v>
      </c>
      <c r="R429" s="13">
        <f>IF(B429="","",TEXT(B429,"yyyy-mm"))</f>
        <v>0</v>
      </c>
      <c r="S429" s="20">
        <f>IF(C429="","",IFERROR(INDEX(Products!$AR$5:$AR$304,MATCH(C429,Products!$A$5:$A$304,0)),""))</f>
        <v>0</v>
      </c>
      <c r="T429" s="20">
        <f>IF(B429="","",IF(F429&lt;&gt;"",F429,IF(S429="",0,S429)))</f>
        <v>0</v>
      </c>
      <c r="U429" s="20">
        <f>IF(B429="","",ROUND(IF(D429="",0,D429)*T429,2))</f>
        <v>0</v>
      </c>
      <c r="V429" s="20">
        <f>IF(B429="","",ROUND(U429-IF(G429="",0,G429)-IF(L429="",0,L429),2))</f>
        <v>0</v>
      </c>
      <c r="W429" s="20">
        <f>IF(C429="","",IFERROR(INDEX(Products!$AT$5:$AT$304,MATCH(C429,Products!$A$5:$A$304,0)),""))</f>
        <v>0</v>
      </c>
      <c r="X429" s="20">
        <f>IF(C429="","",IFERROR(INDEX(Products!$AG$5:$AG$304,MATCH(C429,Products!$A$5:$A$304,0)),""))</f>
        <v>0</v>
      </c>
      <c r="Y429" s="20">
        <f>IF(B429="","",ROUND(IF(D429="",0,D429)*MAX(0,IF(W429="",0,W429)-IF(X429="",0,X429)),2))</f>
        <v>0</v>
      </c>
      <c r="Z429" s="20">
        <f>IF(B429="","",ROUND(MAX(0,IF(J429="",0,J429)-IF(I429="",0,I429)),2))</f>
        <v>0</v>
      </c>
      <c r="AA429" s="33">
        <f>IF(B429="","",IFERROR(INDEX(Channels!$S$5:$S$18,MATCH(IF(E429="",DefaultChannel,E429),Channels!$A$5:$A$18,0)),0))</f>
        <v>0</v>
      </c>
      <c r="AB429" s="20">
        <f>IF(B429="","",IFERROR(INDEX(Channels!$T$5:$T$18,MATCH(IF(E429="",DefaultChannel,E429),Channels!$A$5:$A$18,0)),0))</f>
        <v>0</v>
      </c>
      <c r="AC429" s="42">
        <f>IF(B429="","",IFERROR(INDEX(Channels!$O$5:$O$18,MATCH(IF(E429="",DefaultChannel,E429),Channels!$A$5:$A$18,0)),"No"))</f>
        <v>0</v>
      </c>
      <c r="AD429" s="20">
        <f>IF(B429="","",ROUND((V429+IF(AC429="Yes",IF(I429="",0,I429),0))*AA429+AB429,2))</f>
        <v>0</v>
      </c>
      <c r="AE429" s="20">
        <f>IF(B429="","",IF(K429&lt;&gt;"",K429,AD429))</f>
        <v>0</v>
      </c>
      <c r="AF429" s="20">
        <f>IF(B429="","",IF(K429="","",ROUND(K429-AD429,2)))</f>
        <v>0</v>
      </c>
      <c r="AG429" s="20">
        <f>IF(B429="","",ROUND(V429-Y429-AE429-Z429,2))</f>
        <v>0</v>
      </c>
      <c r="AH429" s="33">
        <f>IF(B429="","",IF(OR(V429="",V429=0),"",AG429/V429))</f>
        <v>0</v>
      </c>
      <c r="AI429" s="33">
        <f>IF(C429="","",IFERROR(INDEX(Products!$AW$5:$AW$304,MATCH(C429,Products!$A$5:$A$304,0)),""))</f>
        <v>0</v>
      </c>
      <c r="AJ429" s="33">
        <f>IF(B429="","",IF(OR(AH429="",AI429=""),"",AH429-AI429))</f>
        <v>0</v>
      </c>
      <c r="AK429" s="41">
        <f>IF(B429="","",IFERROR(ROUND(IF(D429="",0,D429)*INDEX(Products!$X$5:$X$304,MATCH(C429,Products!$A$5:$A$304,0))/60,2),""))</f>
        <v>0</v>
      </c>
      <c r="AL429" s="20">
        <f>IF(B429="","",IF(OR(AK429="",AK429=0),"",ROUND(AG429/AK429,2)))</f>
        <v>0</v>
      </c>
      <c r="AM429" s="43">
        <f>IF(B429="","",IF(C429="","Add - which product?",IF(AG429&lt;0,"Loss - this order cost you money",IF(M429="Refunded","Refunded - check why",IF(AND(AF429&lt;&gt;"",AF429&gt;0.25),"Check - fees higher than your settings",IF(Z429&gt;1,"Check - postage is eating the margin",IF(AND(AH429&lt;&gt;"",AH429&lt;MarginWarning),"Low margin on this order","OK")))))) )</f>
        <v>0</v>
      </c>
    </row>
    <row r="430" spans="1:39">
      <c r="A430" s="38">
        <f>IF(B430="","",SalePrefix&amp;TEXT(ROW()-4,"0000"))</f>
        <v>0</v>
      </c>
      <c r="Q430" s="13">
        <f>IF(C430="","",IFERROR(INDEX(Products!$B$5:$B$304,MATCH(C430,Products!$A$5:$A$304,0)),"Bundle or deleted"))</f>
        <v>0</v>
      </c>
      <c r="R430" s="13">
        <f>IF(B430="","",TEXT(B430,"yyyy-mm"))</f>
        <v>0</v>
      </c>
      <c r="S430" s="20">
        <f>IF(C430="","",IFERROR(INDEX(Products!$AR$5:$AR$304,MATCH(C430,Products!$A$5:$A$304,0)),""))</f>
        <v>0</v>
      </c>
      <c r="T430" s="20">
        <f>IF(B430="","",IF(F430&lt;&gt;"",F430,IF(S430="",0,S430)))</f>
        <v>0</v>
      </c>
      <c r="U430" s="20">
        <f>IF(B430="","",ROUND(IF(D430="",0,D430)*T430,2))</f>
        <v>0</v>
      </c>
      <c r="V430" s="20">
        <f>IF(B430="","",ROUND(U430-IF(G430="",0,G430)-IF(L430="",0,L430),2))</f>
        <v>0</v>
      </c>
      <c r="W430" s="20">
        <f>IF(C430="","",IFERROR(INDEX(Products!$AT$5:$AT$304,MATCH(C430,Products!$A$5:$A$304,0)),""))</f>
        <v>0</v>
      </c>
      <c r="X430" s="20">
        <f>IF(C430="","",IFERROR(INDEX(Products!$AG$5:$AG$304,MATCH(C430,Products!$A$5:$A$304,0)),""))</f>
        <v>0</v>
      </c>
      <c r="Y430" s="20">
        <f>IF(B430="","",ROUND(IF(D430="",0,D430)*MAX(0,IF(W430="",0,W430)-IF(X430="",0,X430)),2))</f>
        <v>0</v>
      </c>
      <c r="Z430" s="20">
        <f>IF(B430="","",ROUND(MAX(0,IF(J430="",0,J430)-IF(I430="",0,I430)),2))</f>
        <v>0</v>
      </c>
      <c r="AA430" s="33">
        <f>IF(B430="","",IFERROR(INDEX(Channels!$S$5:$S$18,MATCH(IF(E430="",DefaultChannel,E430),Channels!$A$5:$A$18,0)),0))</f>
        <v>0</v>
      </c>
      <c r="AB430" s="20">
        <f>IF(B430="","",IFERROR(INDEX(Channels!$T$5:$T$18,MATCH(IF(E430="",DefaultChannel,E430),Channels!$A$5:$A$18,0)),0))</f>
        <v>0</v>
      </c>
      <c r="AC430" s="42">
        <f>IF(B430="","",IFERROR(INDEX(Channels!$O$5:$O$18,MATCH(IF(E430="",DefaultChannel,E430),Channels!$A$5:$A$18,0)),"No"))</f>
        <v>0</v>
      </c>
      <c r="AD430" s="20">
        <f>IF(B430="","",ROUND((V430+IF(AC430="Yes",IF(I430="",0,I430),0))*AA430+AB430,2))</f>
        <v>0</v>
      </c>
      <c r="AE430" s="20">
        <f>IF(B430="","",IF(K430&lt;&gt;"",K430,AD430))</f>
        <v>0</v>
      </c>
      <c r="AF430" s="20">
        <f>IF(B430="","",IF(K430="","",ROUND(K430-AD430,2)))</f>
        <v>0</v>
      </c>
      <c r="AG430" s="20">
        <f>IF(B430="","",ROUND(V430-Y430-AE430-Z430,2))</f>
        <v>0</v>
      </c>
      <c r="AH430" s="33">
        <f>IF(B430="","",IF(OR(V430="",V430=0),"",AG430/V430))</f>
        <v>0</v>
      </c>
      <c r="AI430" s="33">
        <f>IF(C430="","",IFERROR(INDEX(Products!$AW$5:$AW$304,MATCH(C430,Products!$A$5:$A$304,0)),""))</f>
        <v>0</v>
      </c>
      <c r="AJ430" s="33">
        <f>IF(B430="","",IF(OR(AH430="",AI430=""),"",AH430-AI430))</f>
        <v>0</v>
      </c>
      <c r="AK430" s="41">
        <f>IF(B430="","",IFERROR(ROUND(IF(D430="",0,D430)*INDEX(Products!$X$5:$X$304,MATCH(C430,Products!$A$5:$A$304,0))/60,2),""))</f>
        <v>0</v>
      </c>
      <c r="AL430" s="20">
        <f>IF(B430="","",IF(OR(AK430="",AK430=0),"",ROUND(AG430/AK430,2)))</f>
        <v>0</v>
      </c>
      <c r="AM430" s="43">
        <f>IF(B430="","",IF(C430="","Add - which product?",IF(AG430&lt;0,"Loss - this order cost you money",IF(M430="Refunded","Refunded - check why",IF(AND(AF430&lt;&gt;"",AF430&gt;0.25),"Check - fees higher than your settings",IF(Z430&gt;1,"Check - postage is eating the margin",IF(AND(AH430&lt;&gt;"",AH430&lt;MarginWarning),"Low margin on this order","OK")))))) )</f>
        <v>0</v>
      </c>
    </row>
    <row r="431" spans="1:39">
      <c r="A431" s="38">
        <f>IF(B431="","",SalePrefix&amp;TEXT(ROW()-4,"0000"))</f>
        <v>0</v>
      </c>
      <c r="Q431" s="13">
        <f>IF(C431="","",IFERROR(INDEX(Products!$B$5:$B$304,MATCH(C431,Products!$A$5:$A$304,0)),"Bundle or deleted"))</f>
        <v>0</v>
      </c>
      <c r="R431" s="13">
        <f>IF(B431="","",TEXT(B431,"yyyy-mm"))</f>
        <v>0</v>
      </c>
      <c r="S431" s="20">
        <f>IF(C431="","",IFERROR(INDEX(Products!$AR$5:$AR$304,MATCH(C431,Products!$A$5:$A$304,0)),""))</f>
        <v>0</v>
      </c>
      <c r="T431" s="20">
        <f>IF(B431="","",IF(F431&lt;&gt;"",F431,IF(S431="",0,S431)))</f>
        <v>0</v>
      </c>
      <c r="U431" s="20">
        <f>IF(B431="","",ROUND(IF(D431="",0,D431)*T431,2))</f>
        <v>0</v>
      </c>
      <c r="V431" s="20">
        <f>IF(B431="","",ROUND(U431-IF(G431="",0,G431)-IF(L431="",0,L431),2))</f>
        <v>0</v>
      </c>
      <c r="W431" s="20">
        <f>IF(C431="","",IFERROR(INDEX(Products!$AT$5:$AT$304,MATCH(C431,Products!$A$5:$A$304,0)),""))</f>
        <v>0</v>
      </c>
      <c r="X431" s="20">
        <f>IF(C431="","",IFERROR(INDEX(Products!$AG$5:$AG$304,MATCH(C431,Products!$A$5:$A$304,0)),""))</f>
        <v>0</v>
      </c>
      <c r="Y431" s="20">
        <f>IF(B431="","",ROUND(IF(D431="",0,D431)*MAX(0,IF(W431="",0,W431)-IF(X431="",0,X431)),2))</f>
        <v>0</v>
      </c>
      <c r="Z431" s="20">
        <f>IF(B431="","",ROUND(MAX(0,IF(J431="",0,J431)-IF(I431="",0,I431)),2))</f>
        <v>0</v>
      </c>
      <c r="AA431" s="33">
        <f>IF(B431="","",IFERROR(INDEX(Channels!$S$5:$S$18,MATCH(IF(E431="",DefaultChannel,E431),Channels!$A$5:$A$18,0)),0))</f>
        <v>0</v>
      </c>
      <c r="AB431" s="20">
        <f>IF(B431="","",IFERROR(INDEX(Channels!$T$5:$T$18,MATCH(IF(E431="",DefaultChannel,E431),Channels!$A$5:$A$18,0)),0))</f>
        <v>0</v>
      </c>
      <c r="AC431" s="42">
        <f>IF(B431="","",IFERROR(INDEX(Channels!$O$5:$O$18,MATCH(IF(E431="",DefaultChannel,E431),Channels!$A$5:$A$18,0)),"No"))</f>
        <v>0</v>
      </c>
      <c r="AD431" s="20">
        <f>IF(B431="","",ROUND((V431+IF(AC431="Yes",IF(I431="",0,I431),0))*AA431+AB431,2))</f>
        <v>0</v>
      </c>
      <c r="AE431" s="20">
        <f>IF(B431="","",IF(K431&lt;&gt;"",K431,AD431))</f>
        <v>0</v>
      </c>
      <c r="AF431" s="20">
        <f>IF(B431="","",IF(K431="","",ROUND(K431-AD431,2)))</f>
        <v>0</v>
      </c>
      <c r="AG431" s="20">
        <f>IF(B431="","",ROUND(V431-Y431-AE431-Z431,2))</f>
        <v>0</v>
      </c>
      <c r="AH431" s="33">
        <f>IF(B431="","",IF(OR(V431="",V431=0),"",AG431/V431))</f>
        <v>0</v>
      </c>
      <c r="AI431" s="33">
        <f>IF(C431="","",IFERROR(INDEX(Products!$AW$5:$AW$304,MATCH(C431,Products!$A$5:$A$304,0)),""))</f>
        <v>0</v>
      </c>
      <c r="AJ431" s="33">
        <f>IF(B431="","",IF(OR(AH431="",AI431=""),"",AH431-AI431))</f>
        <v>0</v>
      </c>
      <c r="AK431" s="41">
        <f>IF(B431="","",IFERROR(ROUND(IF(D431="",0,D431)*INDEX(Products!$X$5:$X$304,MATCH(C431,Products!$A$5:$A$304,0))/60,2),""))</f>
        <v>0</v>
      </c>
      <c r="AL431" s="20">
        <f>IF(B431="","",IF(OR(AK431="",AK431=0),"",ROUND(AG431/AK431,2)))</f>
        <v>0</v>
      </c>
      <c r="AM431" s="43">
        <f>IF(B431="","",IF(C431="","Add - which product?",IF(AG431&lt;0,"Loss - this order cost you money",IF(M431="Refunded","Refunded - check why",IF(AND(AF431&lt;&gt;"",AF431&gt;0.25),"Check - fees higher than your settings",IF(Z431&gt;1,"Check - postage is eating the margin",IF(AND(AH431&lt;&gt;"",AH431&lt;MarginWarning),"Low margin on this order","OK")))))) )</f>
        <v>0</v>
      </c>
    </row>
    <row r="432" spans="1:39">
      <c r="A432" s="38">
        <f>IF(B432="","",SalePrefix&amp;TEXT(ROW()-4,"0000"))</f>
        <v>0</v>
      </c>
      <c r="Q432" s="13">
        <f>IF(C432="","",IFERROR(INDEX(Products!$B$5:$B$304,MATCH(C432,Products!$A$5:$A$304,0)),"Bundle or deleted"))</f>
        <v>0</v>
      </c>
      <c r="R432" s="13">
        <f>IF(B432="","",TEXT(B432,"yyyy-mm"))</f>
        <v>0</v>
      </c>
      <c r="S432" s="20">
        <f>IF(C432="","",IFERROR(INDEX(Products!$AR$5:$AR$304,MATCH(C432,Products!$A$5:$A$304,0)),""))</f>
        <v>0</v>
      </c>
      <c r="T432" s="20">
        <f>IF(B432="","",IF(F432&lt;&gt;"",F432,IF(S432="",0,S432)))</f>
        <v>0</v>
      </c>
      <c r="U432" s="20">
        <f>IF(B432="","",ROUND(IF(D432="",0,D432)*T432,2))</f>
        <v>0</v>
      </c>
      <c r="V432" s="20">
        <f>IF(B432="","",ROUND(U432-IF(G432="",0,G432)-IF(L432="",0,L432),2))</f>
        <v>0</v>
      </c>
      <c r="W432" s="20">
        <f>IF(C432="","",IFERROR(INDEX(Products!$AT$5:$AT$304,MATCH(C432,Products!$A$5:$A$304,0)),""))</f>
        <v>0</v>
      </c>
      <c r="X432" s="20">
        <f>IF(C432="","",IFERROR(INDEX(Products!$AG$5:$AG$304,MATCH(C432,Products!$A$5:$A$304,0)),""))</f>
        <v>0</v>
      </c>
      <c r="Y432" s="20">
        <f>IF(B432="","",ROUND(IF(D432="",0,D432)*MAX(0,IF(W432="",0,W432)-IF(X432="",0,X432)),2))</f>
        <v>0</v>
      </c>
      <c r="Z432" s="20">
        <f>IF(B432="","",ROUND(MAX(0,IF(J432="",0,J432)-IF(I432="",0,I432)),2))</f>
        <v>0</v>
      </c>
      <c r="AA432" s="33">
        <f>IF(B432="","",IFERROR(INDEX(Channels!$S$5:$S$18,MATCH(IF(E432="",DefaultChannel,E432),Channels!$A$5:$A$18,0)),0))</f>
        <v>0</v>
      </c>
      <c r="AB432" s="20">
        <f>IF(B432="","",IFERROR(INDEX(Channels!$T$5:$T$18,MATCH(IF(E432="",DefaultChannel,E432),Channels!$A$5:$A$18,0)),0))</f>
        <v>0</v>
      </c>
      <c r="AC432" s="42">
        <f>IF(B432="","",IFERROR(INDEX(Channels!$O$5:$O$18,MATCH(IF(E432="",DefaultChannel,E432),Channels!$A$5:$A$18,0)),"No"))</f>
        <v>0</v>
      </c>
      <c r="AD432" s="20">
        <f>IF(B432="","",ROUND((V432+IF(AC432="Yes",IF(I432="",0,I432),0))*AA432+AB432,2))</f>
        <v>0</v>
      </c>
      <c r="AE432" s="20">
        <f>IF(B432="","",IF(K432&lt;&gt;"",K432,AD432))</f>
        <v>0</v>
      </c>
      <c r="AF432" s="20">
        <f>IF(B432="","",IF(K432="","",ROUND(K432-AD432,2)))</f>
        <v>0</v>
      </c>
      <c r="AG432" s="20">
        <f>IF(B432="","",ROUND(V432-Y432-AE432-Z432,2))</f>
        <v>0</v>
      </c>
      <c r="AH432" s="33">
        <f>IF(B432="","",IF(OR(V432="",V432=0),"",AG432/V432))</f>
        <v>0</v>
      </c>
      <c r="AI432" s="33">
        <f>IF(C432="","",IFERROR(INDEX(Products!$AW$5:$AW$304,MATCH(C432,Products!$A$5:$A$304,0)),""))</f>
        <v>0</v>
      </c>
      <c r="AJ432" s="33">
        <f>IF(B432="","",IF(OR(AH432="",AI432=""),"",AH432-AI432))</f>
        <v>0</v>
      </c>
      <c r="AK432" s="41">
        <f>IF(B432="","",IFERROR(ROUND(IF(D432="",0,D432)*INDEX(Products!$X$5:$X$304,MATCH(C432,Products!$A$5:$A$304,0))/60,2),""))</f>
        <v>0</v>
      </c>
      <c r="AL432" s="20">
        <f>IF(B432="","",IF(OR(AK432="",AK432=0),"",ROUND(AG432/AK432,2)))</f>
        <v>0</v>
      </c>
      <c r="AM432" s="43">
        <f>IF(B432="","",IF(C432="","Add - which product?",IF(AG432&lt;0,"Loss - this order cost you money",IF(M432="Refunded","Refunded - check why",IF(AND(AF432&lt;&gt;"",AF432&gt;0.25),"Check - fees higher than your settings",IF(Z432&gt;1,"Check - postage is eating the margin",IF(AND(AH432&lt;&gt;"",AH432&lt;MarginWarning),"Low margin on this order","OK")))))) )</f>
        <v>0</v>
      </c>
    </row>
    <row r="433" spans="1:39">
      <c r="A433" s="38">
        <f>IF(B433="","",SalePrefix&amp;TEXT(ROW()-4,"0000"))</f>
        <v>0</v>
      </c>
      <c r="Q433" s="13">
        <f>IF(C433="","",IFERROR(INDEX(Products!$B$5:$B$304,MATCH(C433,Products!$A$5:$A$304,0)),"Bundle or deleted"))</f>
        <v>0</v>
      </c>
      <c r="R433" s="13">
        <f>IF(B433="","",TEXT(B433,"yyyy-mm"))</f>
        <v>0</v>
      </c>
      <c r="S433" s="20">
        <f>IF(C433="","",IFERROR(INDEX(Products!$AR$5:$AR$304,MATCH(C433,Products!$A$5:$A$304,0)),""))</f>
        <v>0</v>
      </c>
      <c r="T433" s="20">
        <f>IF(B433="","",IF(F433&lt;&gt;"",F433,IF(S433="",0,S433)))</f>
        <v>0</v>
      </c>
      <c r="U433" s="20">
        <f>IF(B433="","",ROUND(IF(D433="",0,D433)*T433,2))</f>
        <v>0</v>
      </c>
      <c r="V433" s="20">
        <f>IF(B433="","",ROUND(U433-IF(G433="",0,G433)-IF(L433="",0,L433),2))</f>
        <v>0</v>
      </c>
      <c r="W433" s="20">
        <f>IF(C433="","",IFERROR(INDEX(Products!$AT$5:$AT$304,MATCH(C433,Products!$A$5:$A$304,0)),""))</f>
        <v>0</v>
      </c>
      <c r="X433" s="20">
        <f>IF(C433="","",IFERROR(INDEX(Products!$AG$5:$AG$304,MATCH(C433,Products!$A$5:$A$304,0)),""))</f>
        <v>0</v>
      </c>
      <c r="Y433" s="20">
        <f>IF(B433="","",ROUND(IF(D433="",0,D433)*MAX(0,IF(W433="",0,W433)-IF(X433="",0,X433)),2))</f>
        <v>0</v>
      </c>
      <c r="Z433" s="20">
        <f>IF(B433="","",ROUND(MAX(0,IF(J433="",0,J433)-IF(I433="",0,I433)),2))</f>
        <v>0</v>
      </c>
      <c r="AA433" s="33">
        <f>IF(B433="","",IFERROR(INDEX(Channels!$S$5:$S$18,MATCH(IF(E433="",DefaultChannel,E433),Channels!$A$5:$A$18,0)),0))</f>
        <v>0</v>
      </c>
      <c r="AB433" s="20">
        <f>IF(B433="","",IFERROR(INDEX(Channels!$T$5:$T$18,MATCH(IF(E433="",DefaultChannel,E433),Channels!$A$5:$A$18,0)),0))</f>
        <v>0</v>
      </c>
      <c r="AC433" s="42">
        <f>IF(B433="","",IFERROR(INDEX(Channels!$O$5:$O$18,MATCH(IF(E433="",DefaultChannel,E433),Channels!$A$5:$A$18,0)),"No"))</f>
        <v>0</v>
      </c>
      <c r="AD433" s="20">
        <f>IF(B433="","",ROUND((V433+IF(AC433="Yes",IF(I433="",0,I433),0))*AA433+AB433,2))</f>
        <v>0</v>
      </c>
      <c r="AE433" s="20">
        <f>IF(B433="","",IF(K433&lt;&gt;"",K433,AD433))</f>
        <v>0</v>
      </c>
      <c r="AF433" s="20">
        <f>IF(B433="","",IF(K433="","",ROUND(K433-AD433,2)))</f>
        <v>0</v>
      </c>
      <c r="AG433" s="20">
        <f>IF(B433="","",ROUND(V433-Y433-AE433-Z433,2))</f>
        <v>0</v>
      </c>
      <c r="AH433" s="33">
        <f>IF(B433="","",IF(OR(V433="",V433=0),"",AG433/V433))</f>
        <v>0</v>
      </c>
      <c r="AI433" s="33">
        <f>IF(C433="","",IFERROR(INDEX(Products!$AW$5:$AW$304,MATCH(C433,Products!$A$5:$A$304,0)),""))</f>
        <v>0</v>
      </c>
      <c r="AJ433" s="33">
        <f>IF(B433="","",IF(OR(AH433="",AI433=""),"",AH433-AI433))</f>
        <v>0</v>
      </c>
      <c r="AK433" s="41">
        <f>IF(B433="","",IFERROR(ROUND(IF(D433="",0,D433)*INDEX(Products!$X$5:$X$304,MATCH(C433,Products!$A$5:$A$304,0))/60,2),""))</f>
        <v>0</v>
      </c>
      <c r="AL433" s="20">
        <f>IF(B433="","",IF(OR(AK433="",AK433=0),"",ROUND(AG433/AK433,2)))</f>
        <v>0</v>
      </c>
      <c r="AM433" s="43">
        <f>IF(B433="","",IF(C433="","Add - which product?",IF(AG433&lt;0,"Loss - this order cost you money",IF(M433="Refunded","Refunded - check why",IF(AND(AF433&lt;&gt;"",AF433&gt;0.25),"Check - fees higher than your settings",IF(Z433&gt;1,"Check - postage is eating the margin",IF(AND(AH433&lt;&gt;"",AH433&lt;MarginWarning),"Low margin on this order","OK")))))) )</f>
        <v>0</v>
      </c>
    </row>
    <row r="434" spans="1:39">
      <c r="A434" s="38">
        <f>IF(B434="","",SalePrefix&amp;TEXT(ROW()-4,"0000"))</f>
        <v>0</v>
      </c>
      <c r="Q434" s="13">
        <f>IF(C434="","",IFERROR(INDEX(Products!$B$5:$B$304,MATCH(C434,Products!$A$5:$A$304,0)),"Bundle or deleted"))</f>
        <v>0</v>
      </c>
      <c r="R434" s="13">
        <f>IF(B434="","",TEXT(B434,"yyyy-mm"))</f>
        <v>0</v>
      </c>
      <c r="S434" s="20">
        <f>IF(C434="","",IFERROR(INDEX(Products!$AR$5:$AR$304,MATCH(C434,Products!$A$5:$A$304,0)),""))</f>
        <v>0</v>
      </c>
      <c r="T434" s="20">
        <f>IF(B434="","",IF(F434&lt;&gt;"",F434,IF(S434="",0,S434)))</f>
        <v>0</v>
      </c>
      <c r="U434" s="20">
        <f>IF(B434="","",ROUND(IF(D434="",0,D434)*T434,2))</f>
        <v>0</v>
      </c>
      <c r="V434" s="20">
        <f>IF(B434="","",ROUND(U434-IF(G434="",0,G434)-IF(L434="",0,L434),2))</f>
        <v>0</v>
      </c>
      <c r="W434" s="20">
        <f>IF(C434="","",IFERROR(INDEX(Products!$AT$5:$AT$304,MATCH(C434,Products!$A$5:$A$304,0)),""))</f>
        <v>0</v>
      </c>
      <c r="X434" s="20">
        <f>IF(C434="","",IFERROR(INDEX(Products!$AG$5:$AG$304,MATCH(C434,Products!$A$5:$A$304,0)),""))</f>
        <v>0</v>
      </c>
      <c r="Y434" s="20">
        <f>IF(B434="","",ROUND(IF(D434="",0,D434)*MAX(0,IF(W434="",0,W434)-IF(X434="",0,X434)),2))</f>
        <v>0</v>
      </c>
      <c r="Z434" s="20">
        <f>IF(B434="","",ROUND(MAX(0,IF(J434="",0,J434)-IF(I434="",0,I434)),2))</f>
        <v>0</v>
      </c>
      <c r="AA434" s="33">
        <f>IF(B434="","",IFERROR(INDEX(Channels!$S$5:$S$18,MATCH(IF(E434="",DefaultChannel,E434),Channels!$A$5:$A$18,0)),0))</f>
        <v>0</v>
      </c>
      <c r="AB434" s="20">
        <f>IF(B434="","",IFERROR(INDEX(Channels!$T$5:$T$18,MATCH(IF(E434="",DefaultChannel,E434),Channels!$A$5:$A$18,0)),0))</f>
        <v>0</v>
      </c>
      <c r="AC434" s="42">
        <f>IF(B434="","",IFERROR(INDEX(Channels!$O$5:$O$18,MATCH(IF(E434="",DefaultChannel,E434),Channels!$A$5:$A$18,0)),"No"))</f>
        <v>0</v>
      </c>
      <c r="AD434" s="20">
        <f>IF(B434="","",ROUND((V434+IF(AC434="Yes",IF(I434="",0,I434),0))*AA434+AB434,2))</f>
        <v>0</v>
      </c>
      <c r="AE434" s="20">
        <f>IF(B434="","",IF(K434&lt;&gt;"",K434,AD434))</f>
        <v>0</v>
      </c>
      <c r="AF434" s="20">
        <f>IF(B434="","",IF(K434="","",ROUND(K434-AD434,2)))</f>
        <v>0</v>
      </c>
      <c r="AG434" s="20">
        <f>IF(B434="","",ROUND(V434-Y434-AE434-Z434,2))</f>
        <v>0</v>
      </c>
      <c r="AH434" s="33">
        <f>IF(B434="","",IF(OR(V434="",V434=0),"",AG434/V434))</f>
        <v>0</v>
      </c>
      <c r="AI434" s="33">
        <f>IF(C434="","",IFERROR(INDEX(Products!$AW$5:$AW$304,MATCH(C434,Products!$A$5:$A$304,0)),""))</f>
        <v>0</v>
      </c>
      <c r="AJ434" s="33">
        <f>IF(B434="","",IF(OR(AH434="",AI434=""),"",AH434-AI434))</f>
        <v>0</v>
      </c>
      <c r="AK434" s="41">
        <f>IF(B434="","",IFERROR(ROUND(IF(D434="",0,D434)*INDEX(Products!$X$5:$X$304,MATCH(C434,Products!$A$5:$A$304,0))/60,2),""))</f>
        <v>0</v>
      </c>
      <c r="AL434" s="20">
        <f>IF(B434="","",IF(OR(AK434="",AK434=0),"",ROUND(AG434/AK434,2)))</f>
        <v>0</v>
      </c>
      <c r="AM434" s="43">
        <f>IF(B434="","",IF(C434="","Add - which product?",IF(AG434&lt;0,"Loss - this order cost you money",IF(M434="Refunded","Refunded - check why",IF(AND(AF434&lt;&gt;"",AF434&gt;0.25),"Check - fees higher than your settings",IF(Z434&gt;1,"Check - postage is eating the margin",IF(AND(AH434&lt;&gt;"",AH434&lt;MarginWarning),"Low margin on this order","OK")))))) )</f>
        <v>0</v>
      </c>
    </row>
    <row r="435" spans="1:39">
      <c r="A435" s="38">
        <f>IF(B435="","",SalePrefix&amp;TEXT(ROW()-4,"0000"))</f>
        <v>0</v>
      </c>
      <c r="Q435" s="13">
        <f>IF(C435="","",IFERROR(INDEX(Products!$B$5:$B$304,MATCH(C435,Products!$A$5:$A$304,0)),"Bundle or deleted"))</f>
        <v>0</v>
      </c>
      <c r="R435" s="13">
        <f>IF(B435="","",TEXT(B435,"yyyy-mm"))</f>
        <v>0</v>
      </c>
      <c r="S435" s="20">
        <f>IF(C435="","",IFERROR(INDEX(Products!$AR$5:$AR$304,MATCH(C435,Products!$A$5:$A$304,0)),""))</f>
        <v>0</v>
      </c>
      <c r="T435" s="20">
        <f>IF(B435="","",IF(F435&lt;&gt;"",F435,IF(S435="",0,S435)))</f>
        <v>0</v>
      </c>
      <c r="U435" s="20">
        <f>IF(B435="","",ROUND(IF(D435="",0,D435)*T435,2))</f>
        <v>0</v>
      </c>
      <c r="V435" s="20">
        <f>IF(B435="","",ROUND(U435-IF(G435="",0,G435)-IF(L435="",0,L435),2))</f>
        <v>0</v>
      </c>
      <c r="W435" s="20">
        <f>IF(C435="","",IFERROR(INDEX(Products!$AT$5:$AT$304,MATCH(C435,Products!$A$5:$A$304,0)),""))</f>
        <v>0</v>
      </c>
      <c r="X435" s="20">
        <f>IF(C435="","",IFERROR(INDEX(Products!$AG$5:$AG$304,MATCH(C435,Products!$A$5:$A$304,0)),""))</f>
        <v>0</v>
      </c>
      <c r="Y435" s="20">
        <f>IF(B435="","",ROUND(IF(D435="",0,D435)*MAX(0,IF(W435="",0,W435)-IF(X435="",0,X435)),2))</f>
        <v>0</v>
      </c>
      <c r="Z435" s="20">
        <f>IF(B435="","",ROUND(MAX(0,IF(J435="",0,J435)-IF(I435="",0,I435)),2))</f>
        <v>0</v>
      </c>
      <c r="AA435" s="33">
        <f>IF(B435="","",IFERROR(INDEX(Channels!$S$5:$S$18,MATCH(IF(E435="",DefaultChannel,E435),Channels!$A$5:$A$18,0)),0))</f>
        <v>0</v>
      </c>
      <c r="AB435" s="20">
        <f>IF(B435="","",IFERROR(INDEX(Channels!$T$5:$T$18,MATCH(IF(E435="",DefaultChannel,E435),Channels!$A$5:$A$18,0)),0))</f>
        <v>0</v>
      </c>
      <c r="AC435" s="42">
        <f>IF(B435="","",IFERROR(INDEX(Channels!$O$5:$O$18,MATCH(IF(E435="",DefaultChannel,E435),Channels!$A$5:$A$18,0)),"No"))</f>
        <v>0</v>
      </c>
      <c r="AD435" s="20">
        <f>IF(B435="","",ROUND((V435+IF(AC435="Yes",IF(I435="",0,I435),0))*AA435+AB435,2))</f>
        <v>0</v>
      </c>
      <c r="AE435" s="20">
        <f>IF(B435="","",IF(K435&lt;&gt;"",K435,AD435))</f>
        <v>0</v>
      </c>
      <c r="AF435" s="20">
        <f>IF(B435="","",IF(K435="","",ROUND(K435-AD435,2)))</f>
        <v>0</v>
      </c>
      <c r="AG435" s="20">
        <f>IF(B435="","",ROUND(V435-Y435-AE435-Z435,2))</f>
        <v>0</v>
      </c>
      <c r="AH435" s="33">
        <f>IF(B435="","",IF(OR(V435="",V435=0),"",AG435/V435))</f>
        <v>0</v>
      </c>
      <c r="AI435" s="33">
        <f>IF(C435="","",IFERROR(INDEX(Products!$AW$5:$AW$304,MATCH(C435,Products!$A$5:$A$304,0)),""))</f>
        <v>0</v>
      </c>
      <c r="AJ435" s="33">
        <f>IF(B435="","",IF(OR(AH435="",AI435=""),"",AH435-AI435))</f>
        <v>0</v>
      </c>
      <c r="AK435" s="41">
        <f>IF(B435="","",IFERROR(ROUND(IF(D435="",0,D435)*INDEX(Products!$X$5:$X$304,MATCH(C435,Products!$A$5:$A$304,0))/60,2),""))</f>
        <v>0</v>
      </c>
      <c r="AL435" s="20">
        <f>IF(B435="","",IF(OR(AK435="",AK435=0),"",ROUND(AG435/AK435,2)))</f>
        <v>0</v>
      </c>
      <c r="AM435" s="43">
        <f>IF(B435="","",IF(C435="","Add - which product?",IF(AG435&lt;0,"Loss - this order cost you money",IF(M435="Refunded","Refunded - check why",IF(AND(AF435&lt;&gt;"",AF435&gt;0.25),"Check - fees higher than your settings",IF(Z435&gt;1,"Check - postage is eating the margin",IF(AND(AH435&lt;&gt;"",AH435&lt;MarginWarning),"Low margin on this order","OK")))))) )</f>
        <v>0</v>
      </c>
    </row>
    <row r="436" spans="1:39">
      <c r="A436" s="38">
        <f>IF(B436="","",SalePrefix&amp;TEXT(ROW()-4,"0000"))</f>
        <v>0</v>
      </c>
      <c r="Q436" s="13">
        <f>IF(C436="","",IFERROR(INDEX(Products!$B$5:$B$304,MATCH(C436,Products!$A$5:$A$304,0)),"Bundle or deleted"))</f>
        <v>0</v>
      </c>
      <c r="R436" s="13">
        <f>IF(B436="","",TEXT(B436,"yyyy-mm"))</f>
        <v>0</v>
      </c>
      <c r="S436" s="20">
        <f>IF(C436="","",IFERROR(INDEX(Products!$AR$5:$AR$304,MATCH(C436,Products!$A$5:$A$304,0)),""))</f>
        <v>0</v>
      </c>
      <c r="T436" s="20">
        <f>IF(B436="","",IF(F436&lt;&gt;"",F436,IF(S436="",0,S436)))</f>
        <v>0</v>
      </c>
      <c r="U436" s="20">
        <f>IF(B436="","",ROUND(IF(D436="",0,D436)*T436,2))</f>
        <v>0</v>
      </c>
      <c r="V436" s="20">
        <f>IF(B436="","",ROUND(U436-IF(G436="",0,G436)-IF(L436="",0,L436),2))</f>
        <v>0</v>
      </c>
      <c r="W436" s="20">
        <f>IF(C436="","",IFERROR(INDEX(Products!$AT$5:$AT$304,MATCH(C436,Products!$A$5:$A$304,0)),""))</f>
        <v>0</v>
      </c>
      <c r="X436" s="20">
        <f>IF(C436="","",IFERROR(INDEX(Products!$AG$5:$AG$304,MATCH(C436,Products!$A$5:$A$304,0)),""))</f>
        <v>0</v>
      </c>
      <c r="Y436" s="20">
        <f>IF(B436="","",ROUND(IF(D436="",0,D436)*MAX(0,IF(W436="",0,W436)-IF(X436="",0,X436)),2))</f>
        <v>0</v>
      </c>
      <c r="Z436" s="20">
        <f>IF(B436="","",ROUND(MAX(0,IF(J436="",0,J436)-IF(I436="",0,I436)),2))</f>
        <v>0</v>
      </c>
      <c r="AA436" s="33">
        <f>IF(B436="","",IFERROR(INDEX(Channels!$S$5:$S$18,MATCH(IF(E436="",DefaultChannel,E436),Channels!$A$5:$A$18,0)),0))</f>
        <v>0</v>
      </c>
      <c r="AB436" s="20">
        <f>IF(B436="","",IFERROR(INDEX(Channels!$T$5:$T$18,MATCH(IF(E436="",DefaultChannel,E436),Channels!$A$5:$A$18,0)),0))</f>
        <v>0</v>
      </c>
      <c r="AC436" s="42">
        <f>IF(B436="","",IFERROR(INDEX(Channels!$O$5:$O$18,MATCH(IF(E436="",DefaultChannel,E436),Channels!$A$5:$A$18,0)),"No"))</f>
        <v>0</v>
      </c>
      <c r="AD436" s="20">
        <f>IF(B436="","",ROUND((V436+IF(AC436="Yes",IF(I436="",0,I436),0))*AA436+AB436,2))</f>
        <v>0</v>
      </c>
      <c r="AE436" s="20">
        <f>IF(B436="","",IF(K436&lt;&gt;"",K436,AD436))</f>
        <v>0</v>
      </c>
      <c r="AF436" s="20">
        <f>IF(B436="","",IF(K436="","",ROUND(K436-AD436,2)))</f>
        <v>0</v>
      </c>
      <c r="AG436" s="20">
        <f>IF(B436="","",ROUND(V436-Y436-AE436-Z436,2))</f>
        <v>0</v>
      </c>
      <c r="AH436" s="33">
        <f>IF(B436="","",IF(OR(V436="",V436=0),"",AG436/V436))</f>
        <v>0</v>
      </c>
      <c r="AI436" s="33">
        <f>IF(C436="","",IFERROR(INDEX(Products!$AW$5:$AW$304,MATCH(C436,Products!$A$5:$A$304,0)),""))</f>
        <v>0</v>
      </c>
      <c r="AJ436" s="33">
        <f>IF(B436="","",IF(OR(AH436="",AI436=""),"",AH436-AI436))</f>
        <v>0</v>
      </c>
      <c r="AK436" s="41">
        <f>IF(B436="","",IFERROR(ROUND(IF(D436="",0,D436)*INDEX(Products!$X$5:$X$304,MATCH(C436,Products!$A$5:$A$304,0))/60,2),""))</f>
        <v>0</v>
      </c>
      <c r="AL436" s="20">
        <f>IF(B436="","",IF(OR(AK436="",AK436=0),"",ROUND(AG436/AK436,2)))</f>
        <v>0</v>
      </c>
      <c r="AM436" s="43">
        <f>IF(B436="","",IF(C436="","Add - which product?",IF(AG436&lt;0,"Loss - this order cost you money",IF(M436="Refunded","Refunded - check why",IF(AND(AF436&lt;&gt;"",AF436&gt;0.25),"Check - fees higher than your settings",IF(Z436&gt;1,"Check - postage is eating the margin",IF(AND(AH436&lt;&gt;"",AH436&lt;MarginWarning),"Low margin on this order","OK")))))) )</f>
        <v>0</v>
      </c>
    </row>
    <row r="437" spans="1:39">
      <c r="A437" s="38">
        <f>IF(B437="","",SalePrefix&amp;TEXT(ROW()-4,"0000"))</f>
        <v>0</v>
      </c>
      <c r="Q437" s="13">
        <f>IF(C437="","",IFERROR(INDEX(Products!$B$5:$B$304,MATCH(C437,Products!$A$5:$A$304,0)),"Bundle or deleted"))</f>
        <v>0</v>
      </c>
      <c r="R437" s="13">
        <f>IF(B437="","",TEXT(B437,"yyyy-mm"))</f>
        <v>0</v>
      </c>
      <c r="S437" s="20">
        <f>IF(C437="","",IFERROR(INDEX(Products!$AR$5:$AR$304,MATCH(C437,Products!$A$5:$A$304,0)),""))</f>
        <v>0</v>
      </c>
      <c r="T437" s="20">
        <f>IF(B437="","",IF(F437&lt;&gt;"",F437,IF(S437="",0,S437)))</f>
        <v>0</v>
      </c>
      <c r="U437" s="20">
        <f>IF(B437="","",ROUND(IF(D437="",0,D437)*T437,2))</f>
        <v>0</v>
      </c>
      <c r="V437" s="20">
        <f>IF(B437="","",ROUND(U437-IF(G437="",0,G437)-IF(L437="",0,L437),2))</f>
        <v>0</v>
      </c>
      <c r="W437" s="20">
        <f>IF(C437="","",IFERROR(INDEX(Products!$AT$5:$AT$304,MATCH(C437,Products!$A$5:$A$304,0)),""))</f>
        <v>0</v>
      </c>
      <c r="X437" s="20">
        <f>IF(C437="","",IFERROR(INDEX(Products!$AG$5:$AG$304,MATCH(C437,Products!$A$5:$A$304,0)),""))</f>
        <v>0</v>
      </c>
      <c r="Y437" s="20">
        <f>IF(B437="","",ROUND(IF(D437="",0,D437)*MAX(0,IF(W437="",0,W437)-IF(X437="",0,X437)),2))</f>
        <v>0</v>
      </c>
      <c r="Z437" s="20">
        <f>IF(B437="","",ROUND(MAX(0,IF(J437="",0,J437)-IF(I437="",0,I437)),2))</f>
        <v>0</v>
      </c>
      <c r="AA437" s="33">
        <f>IF(B437="","",IFERROR(INDEX(Channels!$S$5:$S$18,MATCH(IF(E437="",DefaultChannel,E437),Channels!$A$5:$A$18,0)),0))</f>
        <v>0</v>
      </c>
      <c r="AB437" s="20">
        <f>IF(B437="","",IFERROR(INDEX(Channels!$T$5:$T$18,MATCH(IF(E437="",DefaultChannel,E437),Channels!$A$5:$A$18,0)),0))</f>
        <v>0</v>
      </c>
      <c r="AC437" s="42">
        <f>IF(B437="","",IFERROR(INDEX(Channels!$O$5:$O$18,MATCH(IF(E437="",DefaultChannel,E437),Channels!$A$5:$A$18,0)),"No"))</f>
        <v>0</v>
      </c>
      <c r="AD437" s="20">
        <f>IF(B437="","",ROUND((V437+IF(AC437="Yes",IF(I437="",0,I437),0))*AA437+AB437,2))</f>
        <v>0</v>
      </c>
      <c r="AE437" s="20">
        <f>IF(B437="","",IF(K437&lt;&gt;"",K437,AD437))</f>
        <v>0</v>
      </c>
      <c r="AF437" s="20">
        <f>IF(B437="","",IF(K437="","",ROUND(K437-AD437,2)))</f>
        <v>0</v>
      </c>
      <c r="AG437" s="20">
        <f>IF(B437="","",ROUND(V437-Y437-AE437-Z437,2))</f>
        <v>0</v>
      </c>
      <c r="AH437" s="33">
        <f>IF(B437="","",IF(OR(V437="",V437=0),"",AG437/V437))</f>
        <v>0</v>
      </c>
      <c r="AI437" s="33">
        <f>IF(C437="","",IFERROR(INDEX(Products!$AW$5:$AW$304,MATCH(C437,Products!$A$5:$A$304,0)),""))</f>
        <v>0</v>
      </c>
      <c r="AJ437" s="33">
        <f>IF(B437="","",IF(OR(AH437="",AI437=""),"",AH437-AI437))</f>
        <v>0</v>
      </c>
      <c r="AK437" s="41">
        <f>IF(B437="","",IFERROR(ROUND(IF(D437="",0,D437)*INDEX(Products!$X$5:$X$304,MATCH(C437,Products!$A$5:$A$304,0))/60,2),""))</f>
        <v>0</v>
      </c>
      <c r="AL437" s="20">
        <f>IF(B437="","",IF(OR(AK437="",AK437=0),"",ROUND(AG437/AK437,2)))</f>
        <v>0</v>
      </c>
      <c r="AM437" s="43">
        <f>IF(B437="","",IF(C437="","Add - which product?",IF(AG437&lt;0,"Loss - this order cost you money",IF(M437="Refunded","Refunded - check why",IF(AND(AF437&lt;&gt;"",AF437&gt;0.25),"Check - fees higher than your settings",IF(Z437&gt;1,"Check - postage is eating the margin",IF(AND(AH437&lt;&gt;"",AH437&lt;MarginWarning),"Low margin on this order","OK")))))) )</f>
        <v>0</v>
      </c>
    </row>
    <row r="438" spans="1:39">
      <c r="A438" s="38">
        <f>IF(B438="","",SalePrefix&amp;TEXT(ROW()-4,"0000"))</f>
        <v>0</v>
      </c>
      <c r="Q438" s="13">
        <f>IF(C438="","",IFERROR(INDEX(Products!$B$5:$B$304,MATCH(C438,Products!$A$5:$A$304,0)),"Bundle or deleted"))</f>
        <v>0</v>
      </c>
      <c r="R438" s="13">
        <f>IF(B438="","",TEXT(B438,"yyyy-mm"))</f>
        <v>0</v>
      </c>
      <c r="S438" s="20">
        <f>IF(C438="","",IFERROR(INDEX(Products!$AR$5:$AR$304,MATCH(C438,Products!$A$5:$A$304,0)),""))</f>
        <v>0</v>
      </c>
      <c r="T438" s="20">
        <f>IF(B438="","",IF(F438&lt;&gt;"",F438,IF(S438="",0,S438)))</f>
        <v>0</v>
      </c>
      <c r="U438" s="20">
        <f>IF(B438="","",ROUND(IF(D438="",0,D438)*T438,2))</f>
        <v>0</v>
      </c>
      <c r="V438" s="20">
        <f>IF(B438="","",ROUND(U438-IF(G438="",0,G438)-IF(L438="",0,L438),2))</f>
        <v>0</v>
      </c>
      <c r="W438" s="20">
        <f>IF(C438="","",IFERROR(INDEX(Products!$AT$5:$AT$304,MATCH(C438,Products!$A$5:$A$304,0)),""))</f>
        <v>0</v>
      </c>
      <c r="X438" s="20">
        <f>IF(C438="","",IFERROR(INDEX(Products!$AG$5:$AG$304,MATCH(C438,Products!$A$5:$A$304,0)),""))</f>
        <v>0</v>
      </c>
      <c r="Y438" s="20">
        <f>IF(B438="","",ROUND(IF(D438="",0,D438)*MAX(0,IF(W438="",0,W438)-IF(X438="",0,X438)),2))</f>
        <v>0</v>
      </c>
      <c r="Z438" s="20">
        <f>IF(B438="","",ROUND(MAX(0,IF(J438="",0,J438)-IF(I438="",0,I438)),2))</f>
        <v>0</v>
      </c>
      <c r="AA438" s="33">
        <f>IF(B438="","",IFERROR(INDEX(Channels!$S$5:$S$18,MATCH(IF(E438="",DefaultChannel,E438),Channels!$A$5:$A$18,0)),0))</f>
        <v>0</v>
      </c>
      <c r="AB438" s="20">
        <f>IF(B438="","",IFERROR(INDEX(Channels!$T$5:$T$18,MATCH(IF(E438="",DefaultChannel,E438),Channels!$A$5:$A$18,0)),0))</f>
        <v>0</v>
      </c>
      <c r="AC438" s="42">
        <f>IF(B438="","",IFERROR(INDEX(Channels!$O$5:$O$18,MATCH(IF(E438="",DefaultChannel,E438),Channels!$A$5:$A$18,0)),"No"))</f>
        <v>0</v>
      </c>
      <c r="AD438" s="20">
        <f>IF(B438="","",ROUND((V438+IF(AC438="Yes",IF(I438="",0,I438),0))*AA438+AB438,2))</f>
        <v>0</v>
      </c>
      <c r="AE438" s="20">
        <f>IF(B438="","",IF(K438&lt;&gt;"",K438,AD438))</f>
        <v>0</v>
      </c>
      <c r="AF438" s="20">
        <f>IF(B438="","",IF(K438="","",ROUND(K438-AD438,2)))</f>
        <v>0</v>
      </c>
      <c r="AG438" s="20">
        <f>IF(B438="","",ROUND(V438-Y438-AE438-Z438,2))</f>
        <v>0</v>
      </c>
      <c r="AH438" s="33">
        <f>IF(B438="","",IF(OR(V438="",V438=0),"",AG438/V438))</f>
        <v>0</v>
      </c>
      <c r="AI438" s="33">
        <f>IF(C438="","",IFERROR(INDEX(Products!$AW$5:$AW$304,MATCH(C438,Products!$A$5:$A$304,0)),""))</f>
        <v>0</v>
      </c>
      <c r="AJ438" s="33">
        <f>IF(B438="","",IF(OR(AH438="",AI438=""),"",AH438-AI438))</f>
        <v>0</v>
      </c>
      <c r="AK438" s="41">
        <f>IF(B438="","",IFERROR(ROUND(IF(D438="",0,D438)*INDEX(Products!$X$5:$X$304,MATCH(C438,Products!$A$5:$A$304,0))/60,2),""))</f>
        <v>0</v>
      </c>
      <c r="AL438" s="20">
        <f>IF(B438="","",IF(OR(AK438="",AK438=0),"",ROUND(AG438/AK438,2)))</f>
        <v>0</v>
      </c>
      <c r="AM438" s="43">
        <f>IF(B438="","",IF(C438="","Add - which product?",IF(AG438&lt;0,"Loss - this order cost you money",IF(M438="Refunded","Refunded - check why",IF(AND(AF438&lt;&gt;"",AF438&gt;0.25),"Check - fees higher than your settings",IF(Z438&gt;1,"Check - postage is eating the margin",IF(AND(AH438&lt;&gt;"",AH438&lt;MarginWarning),"Low margin on this order","OK")))))) )</f>
        <v>0</v>
      </c>
    </row>
    <row r="439" spans="1:39">
      <c r="A439" s="38">
        <f>IF(B439="","",SalePrefix&amp;TEXT(ROW()-4,"0000"))</f>
        <v>0</v>
      </c>
      <c r="Q439" s="13">
        <f>IF(C439="","",IFERROR(INDEX(Products!$B$5:$B$304,MATCH(C439,Products!$A$5:$A$304,0)),"Bundle or deleted"))</f>
        <v>0</v>
      </c>
      <c r="R439" s="13">
        <f>IF(B439="","",TEXT(B439,"yyyy-mm"))</f>
        <v>0</v>
      </c>
      <c r="S439" s="20">
        <f>IF(C439="","",IFERROR(INDEX(Products!$AR$5:$AR$304,MATCH(C439,Products!$A$5:$A$304,0)),""))</f>
        <v>0</v>
      </c>
      <c r="T439" s="20">
        <f>IF(B439="","",IF(F439&lt;&gt;"",F439,IF(S439="",0,S439)))</f>
        <v>0</v>
      </c>
      <c r="U439" s="20">
        <f>IF(B439="","",ROUND(IF(D439="",0,D439)*T439,2))</f>
        <v>0</v>
      </c>
      <c r="V439" s="20">
        <f>IF(B439="","",ROUND(U439-IF(G439="",0,G439)-IF(L439="",0,L439),2))</f>
        <v>0</v>
      </c>
      <c r="W439" s="20">
        <f>IF(C439="","",IFERROR(INDEX(Products!$AT$5:$AT$304,MATCH(C439,Products!$A$5:$A$304,0)),""))</f>
        <v>0</v>
      </c>
      <c r="X439" s="20">
        <f>IF(C439="","",IFERROR(INDEX(Products!$AG$5:$AG$304,MATCH(C439,Products!$A$5:$A$304,0)),""))</f>
        <v>0</v>
      </c>
      <c r="Y439" s="20">
        <f>IF(B439="","",ROUND(IF(D439="",0,D439)*MAX(0,IF(W439="",0,W439)-IF(X439="",0,X439)),2))</f>
        <v>0</v>
      </c>
      <c r="Z439" s="20">
        <f>IF(B439="","",ROUND(MAX(0,IF(J439="",0,J439)-IF(I439="",0,I439)),2))</f>
        <v>0</v>
      </c>
      <c r="AA439" s="33">
        <f>IF(B439="","",IFERROR(INDEX(Channels!$S$5:$S$18,MATCH(IF(E439="",DefaultChannel,E439),Channels!$A$5:$A$18,0)),0))</f>
        <v>0</v>
      </c>
      <c r="AB439" s="20">
        <f>IF(B439="","",IFERROR(INDEX(Channels!$T$5:$T$18,MATCH(IF(E439="",DefaultChannel,E439),Channels!$A$5:$A$18,0)),0))</f>
        <v>0</v>
      </c>
      <c r="AC439" s="42">
        <f>IF(B439="","",IFERROR(INDEX(Channels!$O$5:$O$18,MATCH(IF(E439="",DefaultChannel,E439),Channels!$A$5:$A$18,0)),"No"))</f>
        <v>0</v>
      </c>
      <c r="AD439" s="20">
        <f>IF(B439="","",ROUND((V439+IF(AC439="Yes",IF(I439="",0,I439),0))*AA439+AB439,2))</f>
        <v>0</v>
      </c>
      <c r="AE439" s="20">
        <f>IF(B439="","",IF(K439&lt;&gt;"",K439,AD439))</f>
        <v>0</v>
      </c>
      <c r="AF439" s="20">
        <f>IF(B439="","",IF(K439="","",ROUND(K439-AD439,2)))</f>
        <v>0</v>
      </c>
      <c r="AG439" s="20">
        <f>IF(B439="","",ROUND(V439-Y439-AE439-Z439,2))</f>
        <v>0</v>
      </c>
      <c r="AH439" s="33">
        <f>IF(B439="","",IF(OR(V439="",V439=0),"",AG439/V439))</f>
        <v>0</v>
      </c>
      <c r="AI439" s="33">
        <f>IF(C439="","",IFERROR(INDEX(Products!$AW$5:$AW$304,MATCH(C439,Products!$A$5:$A$304,0)),""))</f>
        <v>0</v>
      </c>
      <c r="AJ439" s="33">
        <f>IF(B439="","",IF(OR(AH439="",AI439=""),"",AH439-AI439))</f>
        <v>0</v>
      </c>
      <c r="AK439" s="41">
        <f>IF(B439="","",IFERROR(ROUND(IF(D439="",0,D439)*INDEX(Products!$X$5:$X$304,MATCH(C439,Products!$A$5:$A$304,0))/60,2),""))</f>
        <v>0</v>
      </c>
      <c r="AL439" s="20">
        <f>IF(B439="","",IF(OR(AK439="",AK439=0),"",ROUND(AG439/AK439,2)))</f>
        <v>0</v>
      </c>
      <c r="AM439" s="43">
        <f>IF(B439="","",IF(C439="","Add - which product?",IF(AG439&lt;0,"Loss - this order cost you money",IF(M439="Refunded","Refunded - check why",IF(AND(AF439&lt;&gt;"",AF439&gt;0.25),"Check - fees higher than your settings",IF(Z439&gt;1,"Check - postage is eating the margin",IF(AND(AH439&lt;&gt;"",AH439&lt;MarginWarning),"Low margin on this order","OK")))))) )</f>
        <v>0</v>
      </c>
    </row>
    <row r="440" spans="1:39">
      <c r="A440" s="38">
        <f>IF(B440="","",SalePrefix&amp;TEXT(ROW()-4,"0000"))</f>
        <v>0</v>
      </c>
      <c r="Q440" s="13">
        <f>IF(C440="","",IFERROR(INDEX(Products!$B$5:$B$304,MATCH(C440,Products!$A$5:$A$304,0)),"Bundle or deleted"))</f>
        <v>0</v>
      </c>
      <c r="R440" s="13">
        <f>IF(B440="","",TEXT(B440,"yyyy-mm"))</f>
        <v>0</v>
      </c>
      <c r="S440" s="20">
        <f>IF(C440="","",IFERROR(INDEX(Products!$AR$5:$AR$304,MATCH(C440,Products!$A$5:$A$304,0)),""))</f>
        <v>0</v>
      </c>
      <c r="T440" s="20">
        <f>IF(B440="","",IF(F440&lt;&gt;"",F440,IF(S440="",0,S440)))</f>
        <v>0</v>
      </c>
      <c r="U440" s="20">
        <f>IF(B440="","",ROUND(IF(D440="",0,D440)*T440,2))</f>
        <v>0</v>
      </c>
      <c r="V440" s="20">
        <f>IF(B440="","",ROUND(U440-IF(G440="",0,G440)-IF(L440="",0,L440),2))</f>
        <v>0</v>
      </c>
      <c r="W440" s="20">
        <f>IF(C440="","",IFERROR(INDEX(Products!$AT$5:$AT$304,MATCH(C440,Products!$A$5:$A$304,0)),""))</f>
        <v>0</v>
      </c>
      <c r="X440" s="20">
        <f>IF(C440="","",IFERROR(INDEX(Products!$AG$5:$AG$304,MATCH(C440,Products!$A$5:$A$304,0)),""))</f>
        <v>0</v>
      </c>
      <c r="Y440" s="20">
        <f>IF(B440="","",ROUND(IF(D440="",0,D440)*MAX(0,IF(W440="",0,W440)-IF(X440="",0,X440)),2))</f>
        <v>0</v>
      </c>
      <c r="Z440" s="20">
        <f>IF(B440="","",ROUND(MAX(0,IF(J440="",0,J440)-IF(I440="",0,I440)),2))</f>
        <v>0</v>
      </c>
      <c r="AA440" s="33">
        <f>IF(B440="","",IFERROR(INDEX(Channels!$S$5:$S$18,MATCH(IF(E440="",DefaultChannel,E440),Channels!$A$5:$A$18,0)),0))</f>
        <v>0</v>
      </c>
      <c r="AB440" s="20">
        <f>IF(B440="","",IFERROR(INDEX(Channels!$T$5:$T$18,MATCH(IF(E440="",DefaultChannel,E440),Channels!$A$5:$A$18,0)),0))</f>
        <v>0</v>
      </c>
      <c r="AC440" s="42">
        <f>IF(B440="","",IFERROR(INDEX(Channels!$O$5:$O$18,MATCH(IF(E440="",DefaultChannel,E440),Channels!$A$5:$A$18,0)),"No"))</f>
        <v>0</v>
      </c>
      <c r="AD440" s="20">
        <f>IF(B440="","",ROUND((V440+IF(AC440="Yes",IF(I440="",0,I440),0))*AA440+AB440,2))</f>
        <v>0</v>
      </c>
      <c r="AE440" s="20">
        <f>IF(B440="","",IF(K440&lt;&gt;"",K440,AD440))</f>
        <v>0</v>
      </c>
      <c r="AF440" s="20">
        <f>IF(B440="","",IF(K440="","",ROUND(K440-AD440,2)))</f>
        <v>0</v>
      </c>
      <c r="AG440" s="20">
        <f>IF(B440="","",ROUND(V440-Y440-AE440-Z440,2))</f>
        <v>0</v>
      </c>
      <c r="AH440" s="33">
        <f>IF(B440="","",IF(OR(V440="",V440=0),"",AG440/V440))</f>
        <v>0</v>
      </c>
      <c r="AI440" s="33">
        <f>IF(C440="","",IFERROR(INDEX(Products!$AW$5:$AW$304,MATCH(C440,Products!$A$5:$A$304,0)),""))</f>
        <v>0</v>
      </c>
      <c r="AJ440" s="33">
        <f>IF(B440="","",IF(OR(AH440="",AI440=""),"",AH440-AI440))</f>
        <v>0</v>
      </c>
      <c r="AK440" s="41">
        <f>IF(B440="","",IFERROR(ROUND(IF(D440="",0,D440)*INDEX(Products!$X$5:$X$304,MATCH(C440,Products!$A$5:$A$304,0))/60,2),""))</f>
        <v>0</v>
      </c>
      <c r="AL440" s="20">
        <f>IF(B440="","",IF(OR(AK440="",AK440=0),"",ROUND(AG440/AK440,2)))</f>
        <v>0</v>
      </c>
      <c r="AM440" s="43">
        <f>IF(B440="","",IF(C440="","Add - which product?",IF(AG440&lt;0,"Loss - this order cost you money",IF(M440="Refunded","Refunded - check why",IF(AND(AF440&lt;&gt;"",AF440&gt;0.25),"Check - fees higher than your settings",IF(Z440&gt;1,"Check - postage is eating the margin",IF(AND(AH440&lt;&gt;"",AH440&lt;MarginWarning),"Low margin on this order","OK")))))) )</f>
        <v>0</v>
      </c>
    </row>
    <row r="441" spans="1:39">
      <c r="A441" s="38">
        <f>IF(B441="","",SalePrefix&amp;TEXT(ROW()-4,"0000"))</f>
        <v>0</v>
      </c>
      <c r="Q441" s="13">
        <f>IF(C441="","",IFERROR(INDEX(Products!$B$5:$B$304,MATCH(C441,Products!$A$5:$A$304,0)),"Bundle or deleted"))</f>
        <v>0</v>
      </c>
      <c r="R441" s="13">
        <f>IF(B441="","",TEXT(B441,"yyyy-mm"))</f>
        <v>0</v>
      </c>
      <c r="S441" s="20">
        <f>IF(C441="","",IFERROR(INDEX(Products!$AR$5:$AR$304,MATCH(C441,Products!$A$5:$A$304,0)),""))</f>
        <v>0</v>
      </c>
      <c r="T441" s="20">
        <f>IF(B441="","",IF(F441&lt;&gt;"",F441,IF(S441="",0,S441)))</f>
        <v>0</v>
      </c>
      <c r="U441" s="20">
        <f>IF(B441="","",ROUND(IF(D441="",0,D441)*T441,2))</f>
        <v>0</v>
      </c>
      <c r="V441" s="20">
        <f>IF(B441="","",ROUND(U441-IF(G441="",0,G441)-IF(L441="",0,L441),2))</f>
        <v>0</v>
      </c>
      <c r="W441" s="20">
        <f>IF(C441="","",IFERROR(INDEX(Products!$AT$5:$AT$304,MATCH(C441,Products!$A$5:$A$304,0)),""))</f>
        <v>0</v>
      </c>
      <c r="X441" s="20">
        <f>IF(C441="","",IFERROR(INDEX(Products!$AG$5:$AG$304,MATCH(C441,Products!$A$5:$A$304,0)),""))</f>
        <v>0</v>
      </c>
      <c r="Y441" s="20">
        <f>IF(B441="","",ROUND(IF(D441="",0,D441)*MAX(0,IF(W441="",0,W441)-IF(X441="",0,X441)),2))</f>
        <v>0</v>
      </c>
      <c r="Z441" s="20">
        <f>IF(B441="","",ROUND(MAX(0,IF(J441="",0,J441)-IF(I441="",0,I441)),2))</f>
        <v>0</v>
      </c>
      <c r="AA441" s="33">
        <f>IF(B441="","",IFERROR(INDEX(Channels!$S$5:$S$18,MATCH(IF(E441="",DefaultChannel,E441),Channels!$A$5:$A$18,0)),0))</f>
        <v>0</v>
      </c>
      <c r="AB441" s="20">
        <f>IF(B441="","",IFERROR(INDEX(Channels!$T$5:$T$18,MATCH(IF(E441="",DefaultChannel,E441),Channels!$A$5:$A$18,0)),0))</f>
        <v>0</v>
      </c>
      <c r="AC441" s="42">
        <f>IF(B441="","",IFERROR(INDEX(Channels!$O$5:$O$18,MATCH(IF(E441="",DefaultChannel,E441),Channels!$A$5:$A$18,0)),"No"))</f>
        <v>0</v>
      </c>
      <c r="AD441" s="20">
        <f>IF(B441="","",ROUND((V441+IF(AC441="Yes",IF(I441="",0,I441),0))*AA441+AB441,2))</f>
        <v>0</v>
      </c>
      <c r="AE441" s="20">
        <f>IF(B441="","",IF(K441&lt;&gt;"",K441,AD441))</f>
        <v>0</v>
      </c>
      <c r="AF441" s="20">
        <f>IF(B441="","",IF(K441="","",ROUND(K441-AD441,2)))</f>
        <v>0</v>
      </c>
      <c r="AG441" s="20">
        <f>IF(B441="","",ROUND(V441-Y441-AE441-Z441,2))</f>
        <v>0</v>
      </c>
      <c r="AH441" s="33">
        <f>IF(B441="","",IF(OR(V441="",V441=0),"",AG441/V441))</f>
        <v>0</v>
      </c>
      <c r="AI441" s="33">
        <f>IF(C441="","",IFERROR(INDEX(Products!$AW$5:$AW$304,MATCH(C441,Products!$A$5:$A$304,0)),""))</f>
        <v>0</v>
      </c>
      <c r="AJ441" s="33">
        <f>IF(B441="","",IF(OR(AH441="",AI441=""),"",AH441-AI441))</f>
        <v>0</v>
      </c>
      <c r="AK441" s="41">
        <f>IF(B441="","",IFERROR(ROUND(IF(D441="",0,D441)*INDEX(Products!$X$5:$X$304,MATCH(C441,Products!$A$5:$A$304,0))/60,2),""))</f>
        <v>0</v>
      </c>
      <c r="AL441" s="20">
        <f>IF(B441="","",IF(OR(AK441="",AK441=0),"",ROUND(AG441/AK441,2)))</f>
        <v>0</v>
      </c>
      <c r="AM441" s="43">
        <f>IF(B441="","",IF(C441="","Add - which product?",IF(AG441&lt;0,"Loss - this order cost you money",IF(M441="Refunded","Refunded - check why",IF(AND(AF441&lt;&gt;"",AF441&gt;0.25),"Check - fees higher than your settings",IF(Z441&gt;1,"Check - postage is eating the margin",IF(AND(AH441&lt;&gt;"",AH441&lt;MarginWarning),"Low margin on this order","OK")))))) )</f>
        <v>0</v>
      </c>
    </row>
    <row r="442" spans="1:39">
      <c r="A442" s="38">
        <f>IF(B442="","",SalePrefix&amp;TEXT(ROW()-4,"0000"))</f>
        <v>0</v>
      </c>
      <c r="Q442" s="13">
        <f>IF(C442="","",IFERROR(INDEX(Products!$B$5:$B$304,MATCH(C442,Products!$A$5:$A$304,0)),"Bundle or deleted"))</f>
        <v>0</v>
      </c>
      <c r="R442" s="13">
        <f>IF(B442="","",TEXT(B442,"yyyy-mm"))</f>
        <v>0</v>
      </c>
      <c r="S442" s="20">
        <f>IF(C442="","",IFERROR(INDEX(Products!$AR$5:$AR$304,MATCH(C442,Products!$A$5:$A$304,0)),""))</f>
        <v>0</v>
      </c>
      <c r="T442" s="20">
        <f>IF(B442="","",IF(F442&lt;&gt;"",F442,IF(S442="",0,S442)))</f>
        <v>0</v>
      </c>
      <c r="U442" s="20">
        <f>IF(B442="","",ROUND(IF(D442="",0,D442)*T442,2))</f>
        <v>0</v>
      </c>
      <c r="V442" s="20">
        <f>IF(B442="","",ROUND(U442-IF(G442="",0,G442)-IF(L442="",0,L442),2))</f>
        <v>0</v>
      </c>
      <c r="W442" s="20">
        <f>IF(C442="","",IFERROR(INDEX(Products!$AT$5:$AT$304,MATCH(C442,Products!$A$5:$A$304,0)),""))</f>
        <v>0</v>
      </c>
      <c r="X442" s="20">
        <f>IF(C442="","",IFERROR(INDEX(Products!$AG$5:$AG$304,MATCH(C442,Products!$A$5:$A$304,0)),""))</f>
        <v>0</v>
      </c>
      <c r="Y442" s="20">
        <f>IF(B442="","",ROUND(IF(D442="",0,D442)*MAX(0,IF(W442="",0,W442)-IF(X442="",0,X442)),2))</f>
        <v>0</v>
      </c>
      <c r="Z442" s="20">
        <f>IF(B442="","",ROUND(MAX(0,IF(J442="",0,J442)-IF(I442="",0,I442)),2))</f>
        <v>0</v>
      </c>
      <c r="AA442" s="33">
        <f>IF(B442="","",IFERROR(INDEX(Channels!$S$5:$S$18,MATCH(IF(E442="",DefaultChannel,E442),Channels!$A$5:$A$18,0)),0))</f>
        <v>0</v>
      </c>
      <c r="AB442" s="20">
        <f>IF(B442="","",IFERROR(INDEX(Channels!$T$5:$T$18,MATCH(IF(E442="",DefaultChannel,E442),Channels!$A$5:$A$18,0)),0))</f>
        <v>0</v>
      </c>
      <c r="AC442" s="42">
        <f>IF(B442="","",IFERROR(INDEX(Channels!$O$5:$O$18,MATCH(IF(E442="",DefaultChannel,E442),Channels!$A$5:$A$18,0)),"No"))</f>
        <v>0</v>
      </c>
      <c r="AD442" s="20">
        <f>IF(B442="","",ROUND((V442+IF(AC442="Yes",IF(I442="",0,I442),0))*AA442+AB442,2))</f>
        <v>0</v>
      </c>
      <c r="AE442" s="20">
        <f>IF(B442="","",IF(K442&lt;&gt;"",K442,AD442))</f>
        <v>0</v>
      </c>
      <c r="AF442" s="20">
        <f>IF(B442="","",IF(K442="","",ROUND(K442-AD442,2)))</f>
        <v>0</v>
      </c>
      <c r="AG442" s="20">
        <f>IF(B442="","",ROUND(V442-Y442-AE442-Z442,2))</f>
        <v>0</v>
      </c>
      <c r="AH442" s="33">
        <f>IF(B442="","",IF(OR(V442="",V442=0),"",AG442/V442))</f>
        <v>0</v>
      </c>
      <c r="AI442" s="33">
        <f>IF(C442="","",IFERROR(INDEX(Products!$AW$5:$AW$304,MATCH(C442,Products!$A$5:$A$304,0)),""))</f>
        <v>0</v>
      </c>
      <c r="AJ442" s="33">
        <f>IF(B442="","",IF(OR(AH442="",AI442=""),"",AH442-AI442))</f>
        <v>0</v>
      </c>
      <c r="AK442" s="41">
        <f>IF(B442="","",IFERROR(ROUND(IF(D442="",0,D442)*INDEX(Products!$X$5:$X$304,MATCH(C442,Products!$A$5:$A$304,0))/60,2),""))</f>
        <v>0</v>
      </c>
      <c r="AL442" s="20">
        <f>IF(B442="","",IF(OR(AK442="",AK442=0),"",ROUND(AG442/AK442,2)))</f>
        <v>0</v>
      </c>
      <c r="AM442" s="43">
        <f>IF(B442="","",IF(C442="","Add - which product?",IF(AG442&lt;0,"Loss - this order cost you money",IF(M442="Refunded","Refunded - check why",IF(AND(AF442&lt;&gt;"",AF442&gt;0.25),"Check - fees higher than your settings",IF(Z442&gt;1,"Check - postage is eating the margin",IF(AND(AH442&lt;&gt;"",AH442&lt;MarginWarning),"Low margin on this order","OK")))))) )</f>
        <v>0</v>
      </c>
    </row>
    <row r="443" spans="1:39">
      <c r="A443" s="38">
        <f>IF(B443="","",SalePrefix&amp;TEXT(ROW()-4,"0000"))</f>
        <v>0</v>
      </c>
      <c r="Q443" s="13">
        <f>IF(C443="","",IFERROR(INDEX(Products!$B$5:$B$304,MATCH(C443,Products!$A$5:$A$304,0)),"Bundle or deleted"))</f>
        <v>0</v>
      </c>
      <c r="R443" s="13">
        <f>IF(B443="","",TEXT(B443,"yyyy-mm"))</f>
        <v>0</v>
      </c>
      <c r="S443" s="20">
        <f>IF(C443="","",IFERROR(INDEX(Products!$AR$5:$AR$304,MATCH(C443,Products!$A$5:$A$304,0)),""))</f>
        <v>0</v>
      </c>
      <c r="T443" s="20">
        <f>IF(B443="","",IF(F443&lt;&gt;"",F443,IF(S443="",0,S443)))</f>
        <v>0</v>
      </c>
      <c r="U443" s="20">
        <f>IF(B443="","",ROUND(IF(D443="",0,D443)*T443,2))</f>
        <v>0</v>
      </c>
      <c r="V443" s="20">
        <f>IF(B443="","",ROUND(U443-IF(G443="",0,G443)-IF(L443="",0,L443),2))</f>
        <v>0</v>
      </c>
      <c r="W443" s="20">
        <f>IF(C443="","",IFERROR(INDEX(Products!$AT$5:$AT$304,MATCH(C443,Products!$A$5:$A$304,0)),""))</f>
        <v>0</v>
      </c>
      <c r="X443" s="20">
        <f>IF(C443="","",IFERROR(INDEX(Products!$AG$5:$AG$304,MATCH(C443,Products!$A$5:$A$304,0)),""))</f>
        <v>0</v>
      </c>
      <c r="Y443" s="20">
        <f>IF(B443="","",ROUND(IF(D443="",0,D443)*MAX(0,IF(W443="",0,W443)-IF(X443="",0,X443)),2))</f>
        <v>0</v>
      </c>
      <c r="Z443" s="20">
        <f>IF(B443="","",ROUND(MAX(0,IF(J443="",0,J443)-IF(I443="",0,I443)),2))</f>
        <v>0</v>
      </c>
      <c r="AA443" s="33">
        <f>IF(B443="","",IFERROR(INDEX(Channels!$S$5:$S$18,MATCH(IF(E443="",DefaultChannel,E443),Channels!$A$5:$A$18,0)),0))</f>
        <v>0</v>
      </c>
      <c r="AB443" s="20">
        <f>IF(B443="","",IFERROR(INDEX(Channels!$T$5:$T$18,MATCH(IF(E443="",DefaultChannel,E443),Channels!$A$5:$A$18,0)),0))</f>
        <v>0</v>
      </c>
      <c r="AC443" s="42">
        <f>IF(B443="","",IFERROR(INDEX(Channels!$O$5:$O$18,MATCH(IF(E443="",DefaultChannel,E443),Channels!$A$5:$A$18,0)),"No"))</f>
        <v>0</v>
      </c>
      <c r="AD443" s="20">
        <f>IF(B443="","",ROUND((V443+IF(AC443="Yes",IF(I443="",0,I443),0))*AA443+AB443,2))</f>
        <v>0</v>
      </c>
      <c r="AE443" s="20">
        <f>IF(B443="","",IF(K443&lt;&gt;"",K443,AD443))</f>
        <v>0</v>
      </c>
      <c r="AF443" s="20">
        <f>IF(B443="","",IF(K443="","",ROUND(K443-AD443,2)))</f>
        <v>0</v>
      </c>
      <c r="AG443" s="20">
        <f>IF(B443="","",ROUND(V443-Y443-AE443-Z443,2))</f>
        <v>0</v>
      </c>
      <c r="AH443" s="33">
        <f>IF(B443="","",IF(OR(V443="",V443=0),"",AG443/V443))</f>
        <v>0</v>
      </c>
      <c r="AI443" s="33">
        <f>IF(C443="","",IFERROR(INDEX(Products!$AW$5:$AW$304,MATCH(C443,Products!$A$5:$A$304,0)),""))</f>
        <v>0</v>
      </c>
      <c r="AJ443" s="33">
        <f>IF(B443="","",IF(OR(AH443="",AI443=""),"",AH443-AI443))</f>
        <v>0</v>
      </c>
      <c r="AK443" s="41">
        <f>IF(B443="","",IFERROR(ROUND(IF(D443="",0,D443)*INDEX(Products!$X$5:$X$304,MATCH(C443,Products!$A$5:$A$304,0))/60,2),""))</f>
        <v>0</v>
      </c>
      <c r="AL443" s="20">
        <f>IF(B443="","",IF(OR(AK443="",AK443=0),"",ROUND(AG443/AK443,2)))</f>
        <v>0</v>
      </c>
      <c r="AM443" s="43">
        <f>IF(B443="","",IF(C443="","Add - which product?",IF(AG443&lt;0,"Loss - this order cost you money",IF(M443="Refunded","Refunded - check why",IF(AND(AF443&lt;&gt;"",AF443&gt;0.25),"Check - fees higher than your settings",IF(Z443&gt;1,"Check - postage is eating the margin",IF(AND(AH443&lt;&gt;"",AH443&lt;MarginWarning),"Low margin on this order","OK")))))) )</f>
        <v>0</v>
      </c>
    </row>
    <row r="444" spans="1:39">
      <c r="A444" s="38">
        <f>IF(B444="","",SalePrefix&amp;TEXT(ROW()-4,"0000"))</f>
        <v>0</v>
      </c>
      <c r="Q444" s="13">
        <f>IF(C444="","",IFERROR(INDEX(Products!$B$5:$B$304,MATCH(C444,Products!$A$5:$A$304,0)),"Bundle or deleted"))</f>
        <v>0</v>
      </c>
      <c r="R444" s="13">
        <f>IF(B444="","",TEXT(B444,"yyyy-mm"))</f>
        <v>0</v>
      </c>
      <c r="S444" s="20">
        <f>IF(C444="","",IFERROR(INDEX(Products!$AR$5:$AR$304,MATCH(C444,Products!$A$5:$A$304,0)),""))</f>
        <v>0</v>
      </c>
      <c r="T444" s="20">
        <f>IF(B444="","",IF(F444&lt;&gt;"",F444,IF(S444="",0,S444)))</f>
        <v>0</v>
      </c>
      <c r="U444" s="20">
        <f>IF(B444="","",ROUND(IF(D444="",0,D444)*T444,2))</f>
        <v>0</v>
      </c>
      <c r="V444" s="20">
        <f>IF(B444="","",ROUND(U444-IF(G444="",0,G444)-IF(L444="",0,L444),2))</f>
        <v>0</v>
      </c>
      <c r="W444" s="20">
        <f>IF(C444="","",IFERROR(INDEX(Products!$AT$5:$AT$304,MATCH(C444,Products!$A$5:$A$304,0)),""))</f>
        <v>0</v>
      </c>
      <c r="X444" s="20">
        <f>IF(C444="","",IFERROR(INDEX(Products!$AG$5:$AG$304,MATCH(C444,Products!$A$5:$A$304,0)),""))</f>
        <v>0</v>
      </c>
      <c r="Y444" s="20">
        <f>IF(B444="","",ROUND(IF(D444="",0,D444)*MAX(0,IF(W444="",0,W444)-IF(X444="",0,X444)),2))</f>
        <v>0</v>
      </c>
      <c r="Z444" s="20">
        <f>IF(B444="","",ROUND(MAX(0,IF(J444="",0,J444)-IF(I444="",0,I444)),2))</f>
        <v>0</v>
      </c>
      <c r="AA444" s="33">
        <f>IF(B444="","",IFERROR(INDEX(Channels!$S$5:$S$18,MATCH(IF(E444="",DefaultChannel,E444),Channels!$A$5:$A$18,0)),0))</f>
        <v>0</v>
      </c>
      <c r="AB444" s="20">
        <f>IF(B444="","",IFERROR(INDEX(Channels!$T$5:$T$18,MATCH(IF(E444="",DefaultChannel,E444),Channels!$A$5:$A$18,0)),0))</f>
        <v>0</v>
      </c>
      <c r="AC444" s="42">
        <f>IF(B444="","",IFERROR(INDEX(Channels!$O$5:$O$18,MATCH(IF(E444="",DefaultChannel,E444),Channels!$A$5:$A$18,0)),"No"))</f>
        <v>0</v>
      </c>
      <c r="AD444" s="20">
        <f>IF(B444="","",ROUND((V444+IF(AC444="Yes",IF(I444="",0,I444),0))*AA444+AB444,2))</f>
        <v>0</v>
      </c>
      <c r="AE444" s="20">
        <f>IF(B444="","",IF(K444&lt;&gt;"",K444,AD444))</f>
        <v>0</v>
      </c>
      <c r="AF444" s="20">
        <f>IF(B444="","",IF(K444="","",ROUND(K444-AD444,2)))</f>
        <v>0</v>
      </c>
      <c r="AG444" s="20">
        <f>IF(B444="","",ROUND(V444-Y444-AE444-Z444,2))</f>
        <v>0</v>
      </c>
      <c r="AH444" s="33">
        <f>IF(B444="","",IF(OR(V444="",V444=0),"",AG444/V444))</f>
        <v>0</v>
      </c>
      <c r="AI444" s="33">
        <f>IF(C444="","",IFERROR(INDEX(Products!$AW$5:$AW$304,MATCH(C444,Products!$A$5:$A$304,0)),""))</f>
        <v>0</v>
      </c>
      <c r="AJ444" s="33">
        <f>IF(B444="","",IF(OR(AH444="",AI444=""),"",AH444-AI444))</f>
        <v>0</v>
      </c>
      <c r="AK444" s="41">
        <f>IF(B444="","",IFERROR(ROUND(IF(D444="",0,D444)*INDEX(Products!$X$5:$X$304,MATCH(C444,Products!$A$5:$A$304,0))/60,2),""))</f>
        <v>0</v>
      </c>
      <c r="AL444" s="20">
        <f>IF(B444="","",IF(OR(AK444="",AK444=0),"",ROUND(AG444/AK444,2)))</f>
        <v>0</v>
      </c>
      <c r="AM444" s="43">
        <f>IF(B444="","",IF(C444="","Add - which product?",IF(AG444&lt;0,"Loss - this order cost you money",IF(M444="Refunded","Refunded - check why",IF(AND(AF444&lt;&gt;"",AF444&gt;0.25),"Check - fees higher than your settings",IF(Z444&gt;1,"Check - postage is eating the margin",IF(AND(AH444&lt;&gt;"",AH444&lt;MarginWarning),"Low margin on this order","OK")))))) )</f>
        <v>0</v>
      </c>
    </row>
    <row r="445" spans="1:39">
      <c r="A445" s="38">
        <f>IF(B445="","",SalePrefix&amp;TEXT(ROW()-4,"0000"))</f>
        <v>0</v>
      </c>
      <c r="Q445" s="13">
        <f>IF(C445="","",IFERROR(INDEX(Products!$B$5:$B$304,MATCH(C445,Products!$A$5:$A$304,0)),"Bundle or deleted"))</f>
        <v>0</v>
      </c>
      <c r="R445" s="13">
        <f>IF(B445="","",TEXT(B445,"yyyy-mm"))</f>
        <v>0</v>
      </c>
      <c r="S445" s="20">
        <f>IF(C445="","",IFERROR(INDEX(Products!$AR$5:$AR$304,MATCH(C445,Products!$A$5:$A$304,0)),""))</f>
        <v>0</v>
      </c>
      <c r="T445" s="20">
        <f>IF(B445="","",IF(F445&lt;&gt;"",F445,IF(S445="",0,S445)))</f>
        <v>0</v>
      </c>
      <c r="U445" s="20">
        <f>IF(B445="","",ROUND(IF(D445="",0,D445)*T445,2))</f>
        <v>0</v>
      </c>
      <c r="V445" s="20">
        <f>IF(B445="","",ROUND(U445-IF(G445="",0,G445)-IF(L445="",0,L445),2))</f>
        <v>0</v>
      </c>
      <c r="W445" s="20">
        <f>IF(C445="","",IFERROR(INDEX(Products!$AT$5:$AT$304,MATCH(C445,Products!$A$5:$A$304,0)),""))</f>
        <v>0</v>
      </c>
      <c r="X445" s="20">
        <f>IF(C445="","",IFERROR(INDEX(Products!$AG$5:$AG$304,MATCH(C445,Products!$A$5:$A$304,0)),""))</f>
        <v>0</v>
      </c>
      <c r="Y445" s="20">
        <f>IF(B445="","",ROUND(IF(D445="",0,D445)*MAX(0,IF(W445="",0,W445)-IF(X445="",0,X445)),2))</f>
        <v>0</v>
      </c>
      <c r="Z445" s="20">
        <f>IF(B445="","",ROUND(MAX(0,IF(J445="",0,J445)-IF(I445="",0,I445)),2))</f>
        <v>0</v>
      </c>
      <c r="AA445" s="33">
        <f>IF(B445="","",IFERROR(INDEX(Channels!$S$5:$S$18,MATCH(IF(E445="",DefaultChannel,E445),Channels!$A$5:$A$18,0)),0))</f>
        <v>0</v>
      </c>
      <c r="AB445" s="20">
        <f>IF(B445="","",IFERROR(INDEX(Channels!$T$5:$T$18,MATCH(IF(E445="",DefaultChannel,E445),Channels!$A$5:$A$18,0)),0))</f>
        <v>0</v>
      </c>
      <c r="AC445" s="42">
        <f>IF(B445="","",IFERROR(INDEX(Channels!$O$5:$O$18,MATCH(IF(E445="",DefaultChannel,E445),Channels!$A$5:$A$18,0)),"No"))</f>
        <v>0</v>
      </c>
      <c r="AD445" s="20">
        <f>IF(B445="","",ROUND((V445+IF(AC445="Yes",IF(I445="",0,I445),0))*AA445+AB445,2))</f>
        <v>0</v>
      </c>
      <c r="AE445" s="20">
        <f>IF(B445="","",IF(K445&lt;&gt;"",K445,AD445))</f>
        <v>0</v>
      </c>
      <c r="AF445" s="20">
        <f>IF(B445="","",IF(K445="","",ROUND(K445-AD445,2)))</f>
        <v>0</v>
      </c>
      <c r="AG445" s="20">
        <f>IF(B445="","",ROUND(V445-Y445-AE445-Z445,2))</f>
        <v>0</v>
      </c>
      <c r="AH445" s="33">
        <f>IF(B445="","",IF(OR(V445="",V445=0),"",AG445/V445))</f>
        <v>0</v>
      </c>
      <c r="AI445" s="33">
        <f>IF(C445="","",IFERROR(INDEX(Products!$AW$5:$AW$304,MATCH(C445,Products!$A$5:$A$304,0)),""))</f>
        <v>0</v>
      </c>
      <c r="AJ445" s="33">
        <f>IF(B445="","",IF(OR(AH445="",AI445=""),"",AH445-AI445))</f>
        <v>0</v>
      </c>
      <c r="AK445" s="41">
        <f>IF(B445="","",IFERROR(ROUND(IF(D445="",0,D445)*INDEX(Products!$X$5:$X$304,MATCH(C445,Products!$A$5:$A$304,0))/60,2),""))</f>
        <v>0</v>
      </c>
      <c r="AL445" s="20">
        <f>IF(B445="","",IF(OR(AK445="",AK445=0),"",ROUND(AG445/AK445,2)))</f>
        <v>0</v>
      </c>
      <c r="AM445" s="43">
        <f>IF(B445="","",IF(C445="","Add - which product?",IF(AG445&lt;0,"Loss - this order cost you money",IF(M445="Refunded","Refunded - check why",IF(AND(AF445&lt;&gt;"",AF445&gt;0.25),"Check - fees higher than your settings",IF(Z445&gt;1,"Check - postage is eating the margin",IF(AND(AH445&lt;&gt;"",AH445&lt;MarginWarning),"Low margin on this order","OK")))))) )</f>
        <v>0</v>
      </c>
    </row>
    <row r="446" spans="1:39">
      <c r="A446" s="38">
        <f>IF(B446="","",SalePrefix&amp;TEXT(ROW()-4,"0000"))</f>
        <v>0</v>
      </c>
      <c r="Q446" s="13">
        <f>IF(C446="","",IFERROR(INDEX(Products!$B$5:$B$304,MATCH(C446,Products!$A$5:$A$304,0)),"Bundle or deleted"))</f>
        <v>0</v>
      </c>
      <c r="R446" s="13">
        <f>IF(B446="","",TEXT(B446,"yyyy-mm"))</f>
        <v>0</v>
      </c>
      <c r="S446" s="20">
        <f>IF(C446="","",IFERROR(INDEX(Products!$AR$5:$AR$304,MATCH(C446,Products!$A$5:$A$304,0)),""))</f>
        <v>0</v>
      </c>
      <c r="T446" s="20">
        <f>IF(B446="","",IF(F446&lt;&gt;"",F446,IF(S446="",0,S446)))</f>
        <v>0</v>
      </c>
      <c r="U446" s="20">
        <f>IF(B446="","",ROUND(IF(D446="",0,D446)*T446,2))</f>
        <v>0</v>
      </c>
      <c r="V446" s="20">
        <f>IF(B446="","",ROUND(U446-IF(G446="",0,G446)-IF(L446="",0,L446),2))</f>
        <v>0</v>
      </c>
      <c r="W446" s="20">
        <f>IF(C446="","",IFERROR(INDEX(Products!$AT$5:$AT$304,MATCH(C446,Products!$A$5:$A$304,0)),""))</f>
        <v>0</v>
      </c>
      <c r="X446" s="20">
        <f>IF(C446="","",IFERROR(INDEX(Products!$AG$5:$AG$304,MATCH(C446,Products!$A$5:$A$304,0)),""))</f>
        <v>0</v>
      </c>
      <c r="Y446" s="20">
        <f>IF(B446="","",ROUND(IF(D446="",0,D446)*MAX(0,IF(W446="",0,W446)-IF(X446="",0,X446)),2))</f>
        <v>0</v>
      </c>
      <c r="Z446" s="20">
        <f>IF(B446="","",ROUND(MAX(0,IF(J446="",0,J446)-IF(I446="",0,I446)),2))</f>
        <v>0</v>
      </c>
      <c r="AA446" s="33">
        <f>IF(B446="","",IFERROR(INDEX(Channels!$S$5:$S$18,MATCH(IF(E446="",DefaultChannel,E446),Channels!$A$5:$A$18,0)),0))</f>
        <v>0</v>
      </c>
      <c r="AB446" s="20">
        <f>IF(B446="","",IFERROR(INDEX(Channels!$T$5:$T$18,MATCH(IF(E446="",DefaultChannel,E446),Channels!$A$5:$A$18,0)),0))</f>
        <v>0</v>
      </c>
      <c r="AC446" s="42">
        <f>IF(B446="","",IFERROR(INDEX(Channels!$O$5:$O$18,MATCH(IF(E446="",DefaultChannel,E446),Channels!$A$5:$A$18,0)),"No"))</f>
        <v>0</v>
      </c>
      <c r="AD446" s="20">
        <f>IF(B446="","",ROUND((V446+IF(AC446="Yes",IF(I446="",0,I446),0))*AA446+AB446,2))</f>
        <v>0</v>
      </c>
      <c r="AE446" s="20">
        <f>IF(B446="","",IF(K446&lt;&gt;"",K446,AD446))</f>
        <v>0</v>
      </c>
      <c r="AF446" s="20">
        <f>IF(B446="","",IF(K446="","",ROUND(K446-AD446,2)))</f>
        <v>0</v>
      </c>
      <c r="AG446" s="20">
        <f>IF(B446="","",ROUND(V446-Y446-AE446-Z446,2))</f>
        <v>0</v>
      </c>
      <c r="AH446" s="33">
        <f>IF(B446="","",IF(OR(V446="",V446=0),"",AG446/V446))</f>
        <v>0</v>
      </c>
      <c r="AI446" s="33">
        <f>IF(C446="","",IFERROR(INDEX(Products!$AW$5:$AW$304,MATCH(C446,Products!$A$5:$A$304,0)),""))</f>
        <v>0</v>
      </c>
      <c r="AJ446" s="33">
        <f>IF(B446="","",IF(OR(AH446="",AI446=""),"",AH446-AI446))</f>
        <v>0</v>
      </c>
      <c r="AK446" s="41">
        <f>IF(B446="","",IFERROR(ROUND(IF(D446="",0,D446)*INDEX(Products!$X$5:$X$304,MATCH(C446,Products!$A$5:$A$304,0))/60,2),""))</f>
        <v>0</v>
      </c>
      <c r="AL446" s="20">
        <f>IF(B446="","",IF(OR(AK446="",AK446=0),"",ROUND(AG446/AK446,2)))</f>
        <v>0</v>
      </c>
      <c r="AM446" s="43">
        <f>IF(B446="","",IF(C446="","Add - which product?",IF(AG446&lt;0,"Loss - this order cost you money",IF(M446="Refunded","Refunded - check why",IF(AND(AF446&lt;&gt;"",AF446&gt;0.25),"Check - fees higher than your settings",IF(Z446&gt;1,"Check - postage is eating the margin",IF(AND(AH446&lt;&gt;"",AH446&lt;MarginWarning),"Low margin on this order","OK")))))) )</f>
        <v>0</v>
      </c>
    </row>
    <row r="447" spans="1:39">
      <c r="A447" s="38">
        <f>IF(B447="","",SalePrefix&amp;TEXT(ROW()-4,"0000"))</f>
        <v>0</v>
      </c>
      <c r="Q447" s="13">
        <f>IF(C447="","",IFERROR(INDEX(Products!$B$5:$B$304,MATCH(C447,Products!$A$5:$A$304,0)),"Bundle or deleted"))</f>
        <v>0</v>
      </c>
      <c r="R447" s="13">
        <f>IF(B447="","",TEXT(B447,"yyyy-mm"))</f>
        <v>0</v>
      </c>
      <c r="S447" s="20">
        <f>IF(C447="","",IFERROR(INDEX(Products!$AR$5:$AR$304,MATCH(C447,Products!$A$5:$A$304,0)),""))</f>
        <v>0</v>
      </c>
      <c r="T447" s="20">
        <f>IF(B447="","",IF(F447&lt;&gt;"",F447,IF(S447="",0,S447)))</f>
        <v>0</v>
      </c>
      <c r="U447" s="20">
        <f>IF(B447="","",ROUND(IF(D447="",0,D447)*T447,2))</f>
        <v>0</v>
      </c>
      <c r="V447" s="20">
        <f>IF(B447="","",ROUND(U447-IF(G447="",0,G447)-IF(L447="",0,L447),2))</f>
        <v>0</v>
      </c>
      <c r="W447" s="20">
        <f>IF(C447="","",IFERROR(INDEX(Products!$AT$5:$AT$304,MATCH(C447,Products!$A$5:$A$304,0)),""))</f>
        <v>0</v>
      </c>
      <c r="X447" s="20">
        <f>IF(C447="","",IFERROR(INDEX(Products!$AG$5:$AG$304,MATCH(C447,Products!$A$5:$A$304,0)),""))</f>
        <v>0</v>
      </c>
      <c r="Y447" s="20">
        <f>IF(B447="","",ROUND(IF(D447="",0,D447)*MAX(0,IF(W447="",0,W447)-IF(X447="",0,X447)),2))</f>
        <v>0</v>
      </c>
      <c r="Z447" s="20">
        <f>IF(B447="","",ROUND(MAX(0,IF(J447="",0,J447)-IF(I447="",0,I447)),2))</f>
        <v>0</v>
      </c>
      <c r="AA447" s="33">
        <f>IF(B447="","",IFERROR(INDEX(Channels!$S$5:$S$18,MATCH(IF(E447="",DefaultChannel,E447),Channels!$A$5:$A$18,0)),0))</f>
        <v>0</v>
      </c>
      <c r="AB447" s="20">
        <f>IF(B447="","",IFERROR(INDEX(Channels!$T$5:$T$18,MATCH(IF(E447="",DefaultChannel,E447),Channels!$A$5:$A$18,0)),0))</f>
        <v>0</v>
      </c>
      <c r="AC447" s="42">
        <f>IF(B447="","",IFERROR(INDEX(Channels!$O$5:$O$18,MATCH(IF(E447="",DefaultChannel,E447),Channels!$A$5:$A$18,0)),"No"))</f>
        <v>0</v>
      </c>
      <c r="AD447" s="20">
        <f>IF(B447="","",ROUND((V447+IF(AC447="Yes",IF(I447="",0,I447),0))*AA447+AB447,2))</f>
        <v>0</v>
      </c>
      <c r="AE447" s="20">
        <f>IF(B447="","",IF(K447&lt;&gt;"",K447,AD447))</f>
        <v>0</v>
      </c>
      <c r="AF447" s="20">
        <f>IF(B447="","",IF(K447="","",ROUND(K447-AD447,2)))</f>
        <v>0</v>
      </c>
      <c r="AG447" s="20">
        <f>IF(B447="","",ROUND(V447-Y447-AE447-Z447,2))</f>
        <v>0</v>
      </c>
      <c r="AH447" s="33">
        <f>IF(B447="","",IF(OR(V447="",V447=0),"",AG447/V447))</f>
        <v>0</v>
      </c>
      <c r="AI447" s="33">
        <f>IF(C447="","",IFERROR(INDEX(Products!$AW$5:$AW$304,MATCH(C447,Products!$A$5:$A$304,0)),""))</f>
        <v>0</v>
      </c>
      <c r="AJ447" s="33">
        <f>IF(B447="","",IF(OR(AH447="",AI447=""),"",AH447-AI447))</f>
        <v>0</v>
      </c>
      <c r="AK447" s="41">
        <f>IF(B447="","",IFERROR(ROUND(IF(D447="",0,D447)*INDEX(Products!$X$5:$X$304,MATCH(C447,Products!$A$5:$A$304,0))/60,2),""))</f>
        <v>0</v>
      </c>
      <c r="AL447" s="20">
        <f>IF(B447="","",IF(OR(AK447="",AK447=0),"",ROUND(AG447/AK447,2)))</f>
        <v>0</v>
      </c>
      <c r="AM447" s="43">
        <f>IF(B447="","",IF(C447="","Add - which product?",IF(AG447&lt;0,"Loss - this order cost you money",IF(M447="Refunded","Refunded - check why",IF(AND(AF447&lt;&gt;"",AF447&gt;0.25),"Check - fees higher than your settings",IF(Z447&gt;1,"Check - postage is eating the margin",IF(AND(AH447&lt;&gt;"",AH447&lt;MarginWarning),"Low margin on this order","OK")))))) )</f>
        <v>0</v>
      </c>
    </row>
    <row r="448" spans="1:39">
      <c r="A448" s="38">
        <f>IF(B448="","",SalePrefix&amp;TEXT(ROW()-4,"0000"))</f>
        <v>0</v>
      </c>
      <c r="Q448" s="13">
        <f>IF(C448="","",IFERROR(INDEX(Products!$B$5:$B$304,MATCH(C448,Products!$A$5:$A$304,0)),"Bundle or deleted"))</f>
        <v>0</v>
      </c>
      <c r="R448" s="13">
        <f>IF(B448="","",TEXT(B448,"yyyy-mm"))</f>
        <v>0</v>
      </c>
      <c r="S448" s="20">
        <f>IF(C448="","",IFERROR(INDEX(Products!$AR$5:$AR$304,MATCH(C448,Products!$A$5:$A$304,0)),""))</f>
        <v>0</v>
      </c>
      <c r="T448" s="20">
        <f>IF(B448="","",IF(F448&lt;&gt;"",F448,IF(S448="",0,S448)))</f>
        <v>0</v>
      </c>
      <c r="U448" s="20">
        <f>IF(B448="","",ROUND(IF(D448="",0,D448)*T448,2))</f>
        <v>0</v>
      </c>
      <c r="V448" s="20">
        <f>IF(B448="","",ROUND(U448-IF(G448="",0,G448)-IF(L448="",0,L448),2))</f>
        <v>0</v>
      </c>
      <c r="W448" s="20">
        <f>IF(C448="","",IFERROR(INDEX(Products!$AT$5:$AT$304,MATCH(C448,Products!$A$5:$A$304,0)),""))</f>
        <v>0</v>
      </c>
      <c r="X448" s="20">
        <f>IF(C448="","",IFERROR(INDEX(Products!$AG$5:$AG$304,MATCH(C448,Products!$A$5:$A$304,0)),""))</f>
        <v>0</v>
      </c>
      <c r="Y448" s="20">
        <f>IF(B448="","",ROUND(IF(D448="",0,D448)*MAX(0,IF(W448="",0,W448)-IF(X448="",0,X448)),2))</f>
        <v>0</v>
      </c>
      <c r="Z448" s="20">
        <f>IF(B448="","",ROUND(MAX(0,IF(J448="",0,J448)-IF(I448="",0,I448)),2))</f>
        <v>0</v>
      </c>
      <c r="AA448" s="33">
        <f>IF(B448="","",IFERROR(INDEX(Channels!$S$5:$S$18,MATCH(IF(E448="",DefaultChannel,E448),Channels!$A$5:$A$18,0)),0))</f>
        <v>0</v>
      </c>
      <c r="AB448" s="20">
        <f>IF(B448="","",IFERROR(INDEX(Channels!$T$5:$T$18,MATCH(IF(E448="",DefaultChannel,E448),Channels!$A$5:$A$18,0)),0))</f>
        <v>0</v>
      </c>
      <c r="AC448" s="42">
        <f>IF(B448="","",IFERROR(INDEX(Channels!$O$5:$O$18,MATCH(IF(E448="",DefaultChannel,E448),Channels!$A$5:$A$18,0)),"No"))</f>
        <v>0</v>
      </c>
      <c r="AD448" s="20">
        <f>IF(B448="","",ROUND((V448+IF(AC448="Yes",IF(I448="",0,I448),0))*AA448+AB448,2))</f>
        <v>0</v>
      </c>
      <c r="AE448" s="20">
        <f>IF(B448="","",IF(K448&lt;&gt;"",K448,AD448))</f>
        <v>0</v>
      </c>
      <c r="AF448" s="20">
        <f>IF(B448="","",IF(K448="","",ROUND(K448-AD448,2)))</f>
        <v>0</v>
      </c>
      <c r="AG448" s="20">
        <f>IF(B448="","",ROUND(V448-Y448-AE448-Z448,2))</f>
        <v>0</v>
      </c>
      <c r="AH448" s="33">
        <f>IF(B448="","",IF(OR(V448="",V448=0),"",AG448/V448))</f>
        <v>0</v>
      </c>
      <c r="AI448" s="33">
        <f>IF(C448="","",IFERROR(INDEX(Products!$AW$5:$AW$304,MATCH(C448,Products!$A$5:$A$304,0)),""))</f>
        <v>0</v>
      </c>
      <c r="AJ448" s="33">
        <f>IF(B448="","",IF(OR(AH448="",AI448=""),"",AH448-AI448))</f>
        <v>0</v>
      </c>
      <c r="AK448" s="41">
        <f>IF(B448="","",IFERROR(ROUND(IF(D448="",0,D448)*INDEX(Products!$X$5:$X$304,MATCH(C448,Products!$A$5:$A$304,0))/60,2),""))</f>
        <v>0</v>
      </c>
      <c r="AL448" s="20">
        <f>IF(B448="","",IF(OR(AK448="",AK448=0),"",ROUND(AG448/AK448,2)))</f>
        <v>0</v>
      </c>
      <c r="AM448" s="43">
        <f>IF(B448="","",IF(C448="","Add - which product?",IF(AG448&lt;0,"Loss - this order cost you money",IF(M448="Refunded","Refunded - check why",IF(AND(AF448&lt;&gt;"",AF448&gt;0.25),"Check - fees higher than your settings",IF(Z448&gt;1,"Check - postage is eating the margin",IF(AND(AH448&lt;&gt;"",AH448&lt;MarginWarning),"Low margin on this order","OK")))))) )</f>
        <v>0</v>
      </c>
    </row>
    <row r="449" spans="1:39">
      <c r="A449" s="38">
        <f>IF(B449="","",SalePrefix&amp;TEXT(ROW()-4,"0000"))</f>
        <v>0</v>
      </c>
      <c r="Q449" s="13">
        <f>IF(C449="","",IFERROR(INDEX(Products!$B$5:$B$304,MATCH(C449,Products!$A$5:$A$304,0)),"Bundle or deleted"))</f>
        <v>0</v>
      </c>
      <c r="R449" s="13">
        <f>IF(B449="","",TEXT(B449,"yyyy-mm"))</f>
        <v>0</v>
      </c>
      <c r="S449" s="20">
        <f>IF(C449="","",IFERROR(INDEX(Products!$AR$5:$AR$304,MATCH(C449,Products!$A$5:$A$304,0)),""))</f>
        <v>0</v>
      </c>
      <c r="T449" s="20">
        <f>IF(B449="","",IF(F449&lt;&gt;"",F449,IF(S449="",0,S449)))</f>
        <v>0</v>
      </c>
      <c r="U449" s="20">
        <f>IF(B449="","",ROUND(IF(D449="",0,D449)*T449,2))</f>
        <v>0</v>
      </c>
      <c r="V449" s="20">
        <f>IF(B449="","",ROUND(U449-IF(G449="",0,G449)-IF(L449="",0,L449),2))</f>
        <v>0</v>
      </c>
      <c r="W449" s="20">
        <f>IF(C449="","",IFERROR(INDEX(Products!$AT$5:$AT$304,MATCH(C449,Products!$A$5:$A$304,0)),""))</f>
        <v>0</v>
      </c>
      <c r="X449" s="20">
        <f>IF(C449="","",IFERROR(INDEX(Products!$AG$5:$AG$304,MATCH(C449,Products!$A$5:$A$304,0)),""))</f>
        <v>0</v>
      </c>
      <c r="Y449" s="20">
        <f>IF(B449="","",ROUND(IF(D449="",0,D449)*MAX(0,IF(W449="",0,W449)-IF(X449="",0,X449)),2))</f>
        <v>0</v>
      </c>
      <c r="Z449" s="20">
        <f>IF(B449="","",ROUND(MAX(0,IF(J449="",0,J449)-IF(I449="",0,I449)),2))</f>
        <v>0</v>
      </c>
      <c r="AA449" s="33">
        <f>IF(B449="","",IFERROR(INDEX(Channels!$S$5:$S$18,MATCH(IF(E449="",DefaultChannel,E449),Channels!$A$5:$A$18,0)),0))</f>
        <v>0</v>
      </c>
      <c r="AB449" s="20">
        <f>IF(B449="","",IFERROR(INDEX(Channels!$T$5:$T$18,MATCH(IF(E449="",DefaultChannel,E449),Channels!$A$5:$A$18,0)),0))</f>
        <v>0</v>
      </c>
      <c r="AC449" s="42">
        <f>IF(B449="","",IFERROR(INDEX(Channels!$O$5:$O$18,MATCH(IF(E449="",DefaultChannel,E449),Channels!$A$5:$A$18,0)),"No"))</f>
        <v>0</v>
      </c>
      <c r="AD449" s="20">
        <f>IF(B449="","",ROUND((V449+IF(AC449="Yes",IF(I449="",0,I449),0))*AA449+AB449,2))</f>
        <v>0</v>
      </c>
      <c r="AE449" s="20">
        <f>IF(B449="","",IF(K449&lt;&gt;"",K449,AD449))</f>
        <v>0</v>
      </c>
      <c r="AF449" s="20">
        <f>IF(B449="","",IF(K449="","",ROUND(K449-AD449,2)))</f>
        <v>0</v>
      </c>
      <c r="AG449" s="20">
        <f>IF(B449="","",ROUND(V449-Y449-AE449-Z449,2))</f>
        <v>0</v>
      </c>
      <c r="AH449" s="33">
        <f>IF(B449="","",IF(OR(V449="",V449=0),"",AG449/V449))</f>
        <v>0</v>
      </c>
      <c r="AI449" s="33">
        <f>IF(C449="","",IFERROR(INDEX(Products!$AW$5:$AW$304,MATCH(C449,Products!$A$5:$A$304,0)),""))</f>
        <v>0</v>
      </c>
      <c r="AJ449" s="33">
        <f>IF(B449="","",IF(OR(AH449="",AI449=""),"",AH449-AI449))</f>
        <v>0</v>
      </c>
      <c r="AK449" s="41">
        <f>IF(B449="","",IFERROR(ROUND(IF(D449="",0,D449)*INDEX(Products!$X$5:$X$304,MATCH(C449,Products!$A$5:$A$304,0))/60,2),""))</f>
        <v>0</v>
      </c>
      <c r="AL449" s="20">
        <f>IF(B449="","",IF(OR(AK449="",AK449=0),"",ROUND(AG449/AK449,2)))</f>
        <v>0</v>
      </c>
      <c r="AM449" s="43">
        <f>IF(B449="","",IF(C449="","Add - which product?",IF(AG449&lt;0,"Loss - this order cost you money",IF(M449="Refunded","Refunded - check why",IF(AND(AF449&lt;&gt;"",AF449&gt;0.25),"Check - fees higher than your settings",IF(Z449&gt;1,"Check - postage is eating the margin",IF(AND(AH449&lt;&gt;"",AH449&lt;MarginWarning),"Low margin on this order","OK")))))) )</f>
        <v>0</v>
      </c>
    </row>
    <row r="450" spans="1:39">
      <c r="A450" s="38">
        <f>IF(B450="","",SalePrefix&amp;TEXT(ROW()-4,"0000"))</f>
        <v>0</v>
      </c>
      <c r="Q450" s="13">
        <f>IF(C450="","",IFERROR(INDEX(Products!$B$5:$B$304,MATCH(C450,Products!$A$5:$A$304,0)),"Bundle or deleted"))</f>
        <v>0</v>
      </c>
      <c r="R450" s="13">
        <f>IF(B450="","",TEXT(B450,"yyyy-mm"))</f>
        <v>0</v>
      </c>
      <c r="S450" s="20">
        <f>IF(C450="","",IFERROR(INDEX(Products!$AR$5:$AR$304,MATCH(C450,Products!$A$5:$A$304,0)),""))</f>
        <v>0</v>
      </c>
      <c r="T450" s="20">
        <f>IF(B450="","",IF(F450&lt;&gt;"",F450,IF(S450="",0,S450)))</f>
        <v>0</v>
      </c>
      <c r="U450" s="20">
        <f>IF(B450="","",ROUND(IF(D450="",0,D450)*T450,2))</f>
        <v>0</v>
      </c>
      <c r="V450" s="20">
        <f>IF(B450="","",ROUND(U450-IF(G450="",0,G450)-IF(L450="",0,L450),2))</f>
        <v>0</v>
      </c>
      <c r="W450" s="20">
        <f>IF(C450="","",IFERROR(INDEX(Products!$AT$5:$AT$304,MATCH(C450,Products!$A$5:$A$304,0)),""))</f>
        <v>0</v>
      </c>
      <c r="X450" s="20">
        <f>IF(C450="","",IFERROR(INDEX(Products!$AG$5:$AG$304,MATCH(C450,Products!$A$5:$A$304,0)),""))</f>
        <v>0</v>
      </c>
      <c r="Y450" s="20">
        <f>IF(B450="","",ROUND(IF(D450="",0,D450)*MAX(0,IF(W450="",0,W450)-IF(X450="",0,X450)),2))</f>
        <v>0</v>
      </c>
      <c r="Z450" s="20">
        <f>IF(B450="","",ROUND(MAX(0,IF(J450="",0,J450)-IF(I450="",0,I450)),2))</f>
        <v>0</v>
      </c>
      <c r="AA450" s="33">
        <f>IF(B450="","",IFERROR(INDEX(Channels!$S$5:$S$18,MATCH(IF(E450="",DefaultChannel,E450),Channels!$A$5:$A$18,0)),0))</f>
        <v>0</v>
      </c>
      <c r="AB450" s="20">
        <f>IF(B450="","",IFERROR(INDEX(Channels!$T$5:$T$18,MATCH(IF(E450="",DefaultChannel,E450),Channels!$A$5:$A$18,0)),0))</f>
        <v>0</v>
      </c>
      <c r="AC450" s="42">
        <f>IF(B450="","",IFERROR(INDEX(Channels!$O$5:$O$18,MATCH(IF(E450="",DefaultChannel,E450),Channels!$A$5:$A$18,0)),"No"))</f>
        <v>0</v>
      </c>
      <c r="AD450" s="20">
        <f>IF(B450="","",ROUND((V450+IF(AC450="Yes",IF(I450="",0,I450),0))*AA450+AB450,2))</f>
        <v>0</v>
      </c>
      <c r="AE450" s="20">
        <f>IF(B450="","",IF(K450&lt;&gt;"",K450,AD450))</f>
        <v>0</v>
      </c>
      <c r="AF450" s="20">
        <f>IF(B450="","",IF(K450="","",ROUND(K450-AD450,2)))</f>
        <v>0</v>
      </c>
      <c r="AG450" s="20">
        <f>IF(B450="","",ROUND(V450-Y450-AE450-Z450,2))</f>
        <v>0</v>
      </c>
      <c r="AH450" s="33">
        <f>IF(B450="","",IF(OR(V450="",V450=0),"",AG450/V450))</f>
        <v>0</v>
      </c>
      <c r="AI450" s="33">
        <f>IF(C450="","",IFERROR(INDEX(Products!$AW$5:$AW$304,MATCH(C450,Products!$A$5:$A$304,0)),""))</f>
        <v>0</v>
      </c>
      <c r="AJ450" s="33">
        <f>IF(B450="","",IF(OR(AH450="",AI450=""),"",AH450-AI450))</f>
        <v>0</v>
      </c>
      <c r="AK450" s="41">
        <f>IF(B450="","",IFERROR(ROUND(IF(D450="",0,D450)*INDEX(Products!$X$5:$X$304,MATCH(C450,Products!$A$5:$A$304,0))/60,2),""))</f>
        <v>0</v>
      </c>
      <c r="AL450" s="20">
        <f>IF(B450="","",IF(OR(AK450="",AK450=0),"",ROUND(AG450/AK450,2)))</f>
        <v>0</v>
      </c>
      <c r="AM450" s="43">
        <f>IF(B450="","",IF(C450="","Add - which product?",IF(AG450&lt;0,"Loss - this order cost you money",IF(M450="Refunded","Refunded - check why",IF(AND(AF450&lt;&gt;"",AF450&gt;0.25),"Check - fees higher than your settings",IF(Z450&gt;1,"Check - postage is eating the margin",IF(AND(AH450&lt;&gt;"",AH450&lt;MarginWarning),"Low margin on this order","OK")))))) )</f>
        <v>0</v>
      </c>
    </row>
    <row r="451" spans="1:39">
      <c r="A451" s="38">
        <f>IF(B451="","",SalePrefix&amp;TEXT(ROW()-4,"0000"))</f>
        <v>0</v>
      </c>
      <c r="Q451" s="13">
        <f>IF(C451="","",IFERROR(INDEX(Products!$B$5:$B$304,MATCH(C451,Products!$A$5:$A$304,0)),"Bundle or deleted"))</f>
        <v>0</v>
      </c>
      <c r="R451" s="13">
        <f>IF(B451="","",TEXT(B451,"yyyy-mm"))</f>
        <v>0</v>
      </c>
      <c r="S451" s="20">
        <f>IF(C451="","",IFERROR(INDEX(Products!$AR$5:$AR$304,MATCH(C451,Products!$A$5:$A$304,0)),""))</f>
        <v>0</v>
      </c>
      <c r="T451" s="20">
        <f>IF(B451="","",IF(F451&lt;&gt;"",F451,IF(S451="",0,S451)))</f>
        <v>0</v>
      </c>
      <c r="U451" s="20">
        <f>IF(B451="","",ROUND(IF(D451="",0,D451)*T451,2))</f>
        <v>0</v>
      </c>
      <c r="V451" s="20">
        <f>IF(B451="","",ROUND(U451-IF(G451="",0,G451)-IF(L451="",0,L451),2))</f>
        <v>0</v>
      </c>
      <c r="W451" s="20">
        <f>IF(C451="","",IFERROR(INDEX(Products!$AT$5:$AT$304,MATCH(C451,Products!$A$5:$A$304,0)),""))</f>
        <v>0</v>
      </c>
      <c r="X451" s="20">
        <f>IF(C451="","",IFERROR(INDEX(Products!$AG$5:$AG$304,MATCH(C451,Products!$A$5:$A$304,0)),""))</f>
        <v>0</v>
      </c>
      <c r="Y451" s="20">
        <f>IF(B451="","",ROUND(IF(D451="",0,D451)*MAX(0,IF(W451="",0,W451)-IF(X451="",0,X451)),2))</f>
        <v>0</v>
      </c>
      <c r="Z451" s="20">
        <f>IF(B451="","",ROUND(MAX(0,IF(J451="",0,J451)-IF(I451="",0,I451)),2))</f>
        <v>0</v>
      </c>
      <c r="AA451" s="33">
        <f>IF(B451="","",IFERROR(INDEX(Channels!$S$5:$S$18,MATCH(IF(E451="",DefaultChannel,E451),Channels!$A$5:$A$18,0)),0))</f>
        <v>0</v>
      </c>
      <c r="AB451" s="20">
        <f>IF(B451="","",IFERROR(INDEX(Channels!$T$5:$T$18,MATCH(IF(E451="",DefaultChannel,E451),Channels!$A$5:$A$18,0)),0))</f>
        <v>0</v>
      </c>
      <c r="AC451" s="42">
        <f>IF(B451="","",IFERROR(INDEX(Channels!$O$5:$O$18,MATCH(IF(E451="",DefaultChannel,E451),Channels!$A$5:$A$18,0)),"No"))</f>
        <v>0</v>
      </c>
      <c r="AD451" s="20">
        <f>IF(B451="","",ROUND((V451+IF(AC451="Yes",IF(I451="",0,I451),0))*AA451+AB451,2))</f>
        <v>0</v>
      </c>
      <c r="AE451" s="20">
        <f>IF(B451="","",IF(K451&lt;&gt;"",K451,AD451))</f>
        <v>0</v>
      </c>
      <c r="AF451" s="20">
        <f>IF(B451="","",IF(K451="","",ROUND(K451-AD451,2)))</f>
        <v>0</v>
      </c>
      <c r="AG451" s="20">
        <f>IF(B451="","",ROUND(V451-Y451-AE451-Z451,2))</f>
        <v>0</v>
      </c>
      <c r="AH451" s="33">
        <f>IF(B451="","",IF(OR(V451="",V451=0),"",AG451/V451))</f>
        <v>0</v>
      </c>
      <c r="AI451" s="33">
        <f>IF(C451="","",IFERROR(INDEX(Products!$AW$5:$AW$304,MATCH(C451,Products!$A$5:$A$304,0)),""))</f>
        <v>0</v>
      </c>
      <c r="AJ451" s="33">
        <f>IF(B451="","",IF(OR(AH451="",AI451=""),"",AH451-AI451))</f>
        <v>0</v>
      </c>
      <c r="AK451" s="41">
        <f>IF(B451="","",IFERROR(ROUND(IF(D451="",0,D451)*INDEX(Products!$X$5:$X$304,MATCH(C451,Products!$A$5:$A$304,0))/60,2),""))</f>
        <v>0</v>
      </c>
      <c r="AL451" s="20">
        <f>IF(B451="","",IF(OR(AK451="",AK451=0),"",ROUND(AG451/AK451,2)))</f>
        <v>0</v>
      </c>
      <c r="AM451" s="43">
        <f>IF(B451="","",IF(C451="","Add - which product?",IF(AG451&lt;0,"Loss - this order cost you money",IF(M451="Refunded","Refunded - check why",IF(AND(AF451&lt;&gt;"",AF451&gt;0.25),"Check - fees higher than your settings",IF(Z451&gt;1,"Check - postage is eating the margin",IF(AND(AH451&lt;&gt;"",AH451&lt;MarginWarning),"Low margin on this order","OK")))))) )</f>
        <v>0</v>
      </c>
    </row>
    <row r="452" spans="1:39">
      <c r="A452" s="38">
        <f>IF(B452="","",SalePrefix&amp;TEXT(ROW()-4,"0000"))</f>
        <v>0</v>
      </c>
      <c r="Q452" s="13">
        <f>IF(C452="","",IFERROR(INDEX(Products!$B$5:$B$304,MATCH(C452,Products!$A$5:$A$304,0)),"Bundle or deleted"))</f>
        <v>0</v>
      </c>
      <c r="R452" s="13">
        <f>IF(B452="","",TEXT(B452,"yyyy-mm"))</f>
        <v>0</v>
      </c>
      <c r="S452" s="20">
        <f>IF(C452="","",IFERROR(INDEX(Products!$AR$5:$AR$304,MATCH(C452,Products!$A$5:$A$304,0)),""))</f>
        <v>0</v>
      </c>
      <c r="T452" s="20">
        <f>IF(B452="","",IF(F452&lt;&gt;"",F452,IF(S452="",0,S452)))</f>
        <v>0</v>
      </c>
      <c r="U452" s="20">
        <f>IF(B452="","",ROUND(IF(D452="",0,D452)*T452,2))</f>
        <v>0</v>
      </c>
      <c r="V452" s="20">
        <f>IF(B452="","",ROUND(U452-IF(G452="",0,G452)-IF(L452="",0,L452),2))</f>
        <v>0</v>
      </c>
      <c r="W452" s="20">
        <f>IF(C452="","",IFERROR(INDEX(Products!$AT$5:$AT$304,MATCH(C452,Products!$A$5:$A$304,0)),""))</f>
        <v>0</v>
      </c>
      <c r="X452" s="20">
        <f>IF(C452="","",IFERROR(INDEX(Products!$AG$5:$AG$304,MATCH(C452,Products!$A$5:$A$304,0)),""))</f>
        <v>0</v>
      </c>
      <c r="Y452" s="20">
        <f>IF(B452="","",ROUND(IF(D452="",0,D452)*MAX(0,IF(W452="",0,W452)-IF(X452="",0,X452)),2))</f>
        <v>0</v>
      </c>
      <c r="Z452" s="20">
        <f>IF(B452="","",ROUND(MAX(0,IF(J452="",0,J452)-IF(I452="",0,I452)),2))</f>
        <v>0</v>
      </c>
      <c r="AA452" s="33">
        <f>IF(B452="","",IFERROR(INDEX(Channels!$S$5:$S$18,MATCH(IF(E452="",DefaultChannel,E452),Channels!$A$5:$A$18,0)),0))</f>
        <v>0</v>
      </c>
      <c r="AB452" s="20">
        <f>IF(B452="","",IFERROR(INDEX(Channels!$T$5:$T$18,MATCH(IF(E452="",DefaultChannel,E452),Channels!$A$5:$A$18,0)),0))</f>
        <v>0</v>
      </c>
      <c r="AC452" s="42">
        <f>IF(B452="","",IFERROR(INDEX(Channels!$O$5:$O$18,MATCH(IF(E452="",DefaultChannel,E452),Channels!$A$5:$A$18,0)),"No"))</f>
        <v>0</v>
      </c>
      <c r="AD452" s="20">
        <f>IF(B452="","",ROUND((V452+IF(AC452="Yes",IF(I452="",0,I452),0))*AA452+AB452,2))</f>
        <v>0</v>
      </c>
      <c r="AE452" s="20">
        <f>IF(B452="","",IF(K452&lt;&gt;"",K452,AD452))</f>
        <v>0</v>
      </c>
      <c r="AF452" s="20">
        <f>IF(B452="","",IF(K452="","",ROUND(K452-AD452,2)))</f>
        <v>0</v>
      </c>
      <c r="AG452" s="20">
        <f>IF(B452="","",ROUND(V452-Y452-AE452-Z452,2))</f>
        <v>0</v>
      </c>
      <c r="AH452" s="33">
        <f>IF(B452="","",IF(OR(V452="",V452=0),"",AG452/V452))</f>
        <v>0</v>
      </c>
      <c r="AI452" s="33">
        <f>IF(C452="","",IFERROR(INDEX(Products!$AW$5:$AW$304,MATCH(C452,Products!$A$5:$A$304,0)),""))</f>
        <v>0</v>
      </c>
      <c r="AJ452" s="33">
        <f>IF(B452="","",IF(OR(AH452="",AI452=""),"",AH452-AI452))</f>
        <v>0</v>
      </c>
      <c r="AK452" s="41">
        <f>IF(B452="","",IFERROR(ROUND(IF(D452="",0,D452)*INDEX(Products!$X$5:$X$304,MATCH(C452,Products!$A$5:$A$304,0))/60,2),""))</f>
        <v>0</v>
      </c>
      <c r="AL452" s="20">
        <f>IF(B452="","",IF(OR(AK452="",AK452=0),"",ROUND(AG452/AK452,2)))</f>
        <v>0</v>
      </c>
      <c r="AM452" s="43">
        <f>IF(B452="","",IF(C452="","Add - which product?",IF(AG452&lt;0,"Loss - this order cost you money",IF(M452="Refunded","Refunded - check why",IF(AND(AF452&lt;&gt;"",AF452&gt;0.25),"Check - fees higher than your settings",IF(Z452&gt;1,"Check - postage is eating the margin",IF(AND(AH452&lt;&gt;"",AH452&lt;MarginWarning),"Low margin on this order","OK")))))) )</f>
        <v>0</v>
      </c>
    </row>
    <row r="453" spans="1:39">
      <c r="A453" s="38">
        <f>IF(B453="","",SalePrefix&amp;TEXT(ROW()-4,"0000"))</f>
        <v>0</v>
      </c>
      <c r="Q453" s="13">
        <f>IF(C453="","",IFERROR(INDEX(Products!$B$5:$B$304,MATCH(C453,Products!$A$5:$A$304,0)),"Bundle or deleted"))</f>
        <v>0</v>
      </c>
      <c r="R453" s="13">
        <f>IF(B453="","",TEXT(B453,"yyyy-mm"))</f>
        <v>0</v>
      </c>
      <c r="S453" s="20">
        <f>IF(C453="","",IFERROR(INDEX(Products!$AR$5:$AR$304,MATCH(C453,Products!$A$5:$A$304,0)),""))</f>
        <v>0</v>
      </c>
      <c r="T453" s="20">
        <f>IF(B453="","",IF(F453&lt;&gt;"",F453,IF(S453="",0,S453)))</f>
        <v>0</v>
      </c>
      <c r="U453" s="20">
        <f>IF(B453="","",ROUND(IF(D453="",0,D453)*T453,2))</f>
        <v>0</v>
      </c>
      <c r="V453" s="20">
        <f>IF(B453="","",ROUND(U453-IF(G453="",0,G453)-IF(L453="",0,L453),2))</f>
        <v>0</v>
      </c>
      <c r="W453" s="20">
        <f>IF(C453="","",IFERROR(INDEX(Products!$AT$5:$AT$304,MATCH(C453,Products!$A$5:$A$304,0)),""))</f>
        <v>0</v>
      </c>
      <c r="X453" s="20">
        <f>IF(C453="","",IFERROR(INDEX(Products!$AG$5:$AG$304,MATCH(C453,Products!$A$5:$A$304,0)),""))</f>
        <v>0</v>
      </c>
      <c r="Y453" s="20">
        <f>IF(B453="","",ROUND(IF(D453="",0,D453)*MAX(0,IF(W453="",0,W453)-IF(X453="",0,X453)),2))</f>
        <v>0</v>
      </c>
      <c r="Z453" s="20">
        <f>IF(B453="","",ROUND(MAX(0,IF(J453="",0,J453)-IF(I453="",0,I453)),2))</f>
        <v>0</v>
      </c>
      <c r="AA453" s="33">
        <f>IF(B453="","",IFERROR(INDEX(Channels!$S$5:$S$18,MATCH(IF(E453="",DefaultChannel,E453),Channels!$A$5:$A$18,0)),0))</f>
        <v>0</v>
      </c>
      <c r="AB453" s="20">
        <f>IF(B453="","",IFERROR(INDEX(Channels!$T$5:$T$18,MATCH(IF(E453="",DefaultChannel,E453),Channels!$A$5:$A$18,0)),0))</f>
        <v>0</v>
      </c>
      <c r="AC453" s="42">
        <f>IF(B453="","",IFERROR(INDEX(Channels!$O$5:$O$18,MATCH(IF(E453="",DefaultChannel,E453),Channels!$A$5:$A$18,0)),"No"))</f>
        <v>0</v>
      </c>
      <c r="AD453" s="20">
        <f>IF(B453="","",ROUND((V453+IF(AC453="Yes",IF(I453="",0,I453),0))*AA453+AB453,2))</f>
        <v>0</v>
      </c>
      <c r="AE453" s="20">
        <f>IF(B453="","",IF(K453&lt;&gt;"",K453,AD453))</f>
        <v>0</v>
      </c>
      <c r="AF453" s="20">
        <f>IF(B453="","",IF(K453="","",ROUND(K453-AD453,2)))</f>
        <v>0</v>
      </c>
      <c r="AG453" s="20">
        <f>IF(B453="","",ROUND(V453-Y453-AE453-Z453,2))</f>
        <v>0</v>
      </c>
      <c r="AH453" s="33">
        <f>IF(B453="","",IF(OR(V453="",V453=0),"",AG453/V453))</f>
        <v>0</v>
      </c>
      <c r="AI453" s="33">
        <f>IF(C453="","",IFERROR(INDEX(Products!$AW$5:$AW$304,MATCH(C453,Products!$A$5:$A$304,0)),""))</f>
        <v>0</v>
      </c>
      <c r="AJ453" s="33">
        <f>IF(B453="","",IF(OR(AH453="",AI453=""),"",AH453-AI453))</f>
        <v>0</v>
      </c>
      <c r="AK453" s="41">
        <f>IF(B453="","",IFERROR(ROUND(IF(D453="",0,D453)*INDEX(Products!$X$5:$X$304,MATCH(C453,Products!$A$5:$A$304,0))/60,2),""))</f>
        <v>0</v>
      </c>
      <c r="AL453" s="20">
        <f>IF(B453="","",IF(OR(AK453="",AK453=0),"",ROUND(AG453/AK453,2)))</f>
        <v>0</v>
      </c>
      <c r="AM453" s="43">
        <f>IF(B453="","",IF(C453="","Add - which product?",IF(AG453&lt;0,"Loss - this order cost you money",IF(M453="Refunded","Refunded - check why",IF(AND(AF453&lt;&gt;"",AF453&gt;0.25),"Check - fees higher than your settings",IF(Z453&gt;1,"Check - postage is eating the margin",IF(AND(AH453&lt;&gt;"",AH453&lt;MarginWarning),"Low margin on this order","OK")))))) )</f>
        <v>0</v>
      </c>
    </row>
    <row r="454" spans="1:39">
      <c r="A454" s="38">
        <f>IF(B454="","",SalePrefix&amp;TEXT(ROW()-4,"0000"))</f>
        <v>0</v>
      </c>
      <c r="Q454" s="13">
        <f>IF(C454="","",IFERROR(INDEX(Products!$B$5:$B$304,MATCH(C454,Products!$A$5:$A$304,0)),"Bundle or deleted"))</f>
        <v>0</v>
      </c>
      <c r="R454" s="13">
        <f>IF(B454="","",TEXT(B454,"yyyy-mm"))</f>
        <v>0</v>
      </c>
      <c r="S454" s="20">
        <f>IF(C454="","",IFERROR(INDEX(Products!$AR$5:$AR$304,MATCH(C454,Products!$A$5:$A$304,0)),""))</f>
        <v>0</v>
      </c>
      <c r="T454" s="20">
        <f>IF(B454="","",IF(F454&lt;&gt;"",F454,IF(S454="",0,S454)))</f>
        <v>0</v>
      </c>
      <c r="U454" s="20">
        <f>IF(B454="","",ROUND(IF(D454="",0,D454)*T454,2))</f>
        <v>0</v>
      </c>
      <c r="V454" s="20">
        <f>IF(B454="","",ROUND(U454-IF(G454="",0,G454)-IF(L454="",0,L454),2))</f>
        <v>0</v>
      </c>
      <c r="W454" s="20">
        <f>IF(C454="","",IFERROR(INDEX(Products!$AT$5:$AT$304,MATCH(C454,Products!$A$5:$A$304,0)),""))</f>
        <v>0</v>
      </c>
      <c r="X454" s="20">
        <f>IF(C454="","",IFERROR(INDEX(Products!$AG$5:$AG$304,MATCH(C454,Products!$A$5:$A$304,0)),""))</f>
        <v>0</v>
      </c>
      <c r="Y454" s="20">
        <f>IF(B454="","",ROUND(IF(D454="",0,D454)*MAX(0,IF(W454="",0,W454)-IF(X454="",0,X454)),2))</f>
        <v>0</v>
      </c>
      <c r="Z454" s="20">
        <f>IF(B454="","",ROUND(MAX(0,IF(J454="",0,J454)-IF(I454="",0,I454)),2))</f>
        <v>0</v>
      </c>
      <c r="AA454" s="33">
        <f>IF(B454="","",IFERROR(INDEX(Channels!$S$5:$S$18,MATCH(IF(E454="",DefaultChannel,E454),Channels!$A$5:$A$18,0)),0))</f>
        <v>0</v>
      </c>
      <c r="AB454" s="20">
        <f>IF(B454="","",IFERROR(INDEX(Channels!$T$5:$T$18,MATCH(IF(E454="",DefaultChannel,E454),Channels!$A$5:$A$18,0)),0))</f>
        <v>0</v>
      </c>
      <c r="AC454" s="42">
        <f>IF(B454="","",IFERROR(INDEX(Channels!$O$5:$O$18,MATCH(IF(E454="",DefaultChannel,E454),Channels!$A$5:$A$18,0)),"No"))</f>
        <v>0</v>
      </c>
      <c r="AD454" s="20">
        <f>IF(B454="","",ROUND((V454+IF(AC454="Yes",IF(I454="",0,I454),0))*AA454+AB454,2))</f>
        <v>0</v>
      </c>
      <c r="AE454" s="20">
        <f>IF(B454="","",IF(K454&lt;&gt;"",K454,AD454))</f>
        <v>0</v>
      </c>
      <c r="AF454" s="20">
        <f>IF(B454="","",IF(K454="","",ROUND(K454-AD454,2)))</f>
        <v>0</v>
      </c>
      <c r="AG454" s="20">
        <f>IF(B454="","",ROUND(V454-Y454-AE454-Z454,2))</f>
        <v>0</v>
      </c>
      <c r="AH454" s="33">
        <f>IF(B454="","",IF(OR(V454="",V454=0),"",AG454/V454))</f>
        <v>0</v>
      </c>
      <c r="AI454" s="33">
        <f>IF(C454="","",IFERROR(INDEX(Products!$AW$5:$AW$304,MATCH(C454,Products!$A$5:$A$304,0)),""))</f>
        <v>0</v>
      </c>
      <c r="AJ454" s="33">
        <f>IF(B454="","",IF(OR(AH454="",AI454=""),"",AH454-AI454))</f>
        <v>0</v>
      </c>
      <c r="AK454" s="41">
        <f>IF(B454="","",IFERROR(ROUND(IF(D454="",0,D454)*INDEX(Products!$X$5:$X$304,MATCH(C454,Products!$A$5:$A$304,0))/60,2),""))</f>
        <v>0</v>
      </c>
      <c r="AL454" s="20">
        <f>IF(B454="","",IF(OR(AK454="",AK454=0),"",ROUND(AG454/AK454,2)))</f>
        <v>0</v>
      </c>
      <c r="AM454" s="43">
        <f>IF(B454="","",IF(C454="","Add - which product?",IF(AG454&lt;0,"Loss - this order cost you money",IF(M454="Refunded","Refunded - check why",IF(AND(AF454&lt;&gt;"",AF454&gt;0.25),"Check - fees higher than your settings",IF(Z454&gt;1,"Check - postage is eating the margin",IF(AND(AH454&lt;&gt;"",AH454&lt;MarginWarning),"Low margin on this order","OK")))))) )</f>
        <v>0</v>
      </c>
    </row>
    <row r="455" spans="1:39">
      <c r="A455" s="38">
        <f>IF(B455="","",SalePrefix&amp;TEXT(ROW()-4,"0000"))</f>
        <v>0</v>
      </c>
      <c r="Q455" s="13">
        <f>IF(C455="","",IFERROR(INDEX(Products!$B$5:$B$304,MATCH(C455,Products!$A$5:$A$304,0)),"Bundle or deleted"))</f>
        <v>0</v>
      </c>
      <c r="R455" s="13">
        <f>IF(B455="","",TEXT(B455,"yyyy-mm"))</f>
        <v>0</v>
      </c>
      <c r="S455" s="20">
        <f>IF(C455="","",IFERROR(INDEX(Products!$AR$5:$AR$304,MATCH(C455,Products!$A$5:$A$304,0)),""))</f>
        <v>0</v>
      </c>
      <c r="T455" s="20">
        <f>IF(B455="","",IF(F455&lt;&gt;"",F455,IF(S455="",0,S455)))</f>
        <v>0</v>
      </c>
      <c r="U455" s="20">
        <f>IF(B455="","",ROUND(IF(D455="",0,D455)*T455,2))</f>
        <v>0</v>
      </c>
      <c r="V455" s="20">
        <f>IF(B455="","",ROUND(U455-IF(G455="",0,G455)-IF(L455="",0,L455),2))</f>
        <v>0</v>
      </c>
      <c r="W455" s="20">
        <f>IF(C455="","",IFERROR(INDEX(Products!$AT$5:$AT$304,MATCH(C455,Products!$A$5:$A$304,0)),""))</f>
        <v>0</v>
      </c>
      <c r="X455" s="20">
        <f>IF(C455="","",IFERROR(INDEX(Products!$AG$5:$AG$304,MATCH(C455,Products!$A$5:$A$304,0)),""))</f>
        <v>0</v>
      </c>
      <c r="Y455" s="20">
        <f>IF(B455="","",ROUND(IF(D455="",0,D455)*MAX(0,IF(W455="",0,W455)-IF(X455="",0,X455)),2))</f>
        <v>0</v>
      </c>
      <c r="Z455" s="20">
        <f>IF(B455="","",ROUND(MAX(0,IF(J455="",0,J455)-IF(I455="",0,I455)),2))</f>
        <v>0</v>
      </c>
      <c r="AA455" s="33">
        <f>IF(B455="","",IFERROR(INDEX(Channels!$S$5:$S$18,MATCH(IF(E455="",DefaultChannel,E455),Channels!$A$5:$A$18,0)),0))</f>
        <v>0</v>
      </c>
      <c r="AB455" s="20">
        <f>IF(B455="","",IFERROR(INDEX(Channels!$T$5:$T$18,MATCH(IF(E455="",DefaultChannel,E455),Channels!$A$5:$A$18,0)),0))</f>
        <v>0</v>
      </c>
      <c r="AC455" s="42">
        <f>IF(B455="","",IFERROR(INDEX(Channels!$O$5:$O$18,MATCH(IF(E455="",DefaultChannel,E455),Channels!$A$5:$A$18,0)),"No"))</f>
        <v>0</v>
      </c>
      <c r="AD455" s="20">
        <f>IF(B455="","",ROUND((V455+IF(AC455="Yes",IF(I455="",0,I455),0))*AA455+AB455,2))</f>
        <v>0</v>
      </c>
      <c r="AE455" s="20">
        <f>IF(B455="","",IF(K455&lt;&gt;"",K455,AD455))</f>
        <v>0</v>
      </c>
      <c r="AF455" s="20">
        <f>IF(B455="","",IF(K455="","",ROUND(K455-AD455,2)))</f>
        <v>0</v>
      </c>
      <c r="AG455" s="20">
        <f>IF(B455="","",ROUND(V455-Y455-AE455-Z455,2))</f>
        <v>0</v>
      </c>
      <c r="AH455" s="33">
        <f>IF(B455="","",IF(OR(V455="",V455=0),"",AG455/V455))</f>
        <v>0</v>
      </c>
      <c r="AI455" s="33">
        <f>IF(C455="","",IFERROR(INDEX(Products!$AW$5:$AW$304,MATCH(C455,Products!$A$5:$A$304,0)),""))</f>
        <v>0</v>
      </c>
      <c r="AJ455" s="33">
        <f>IF(B455="","",IF(OR(AH455="",AI455=""),"",AH455-AI455))</f>
        <v>0</v>
      </c>
      <c r="AK455" s="41">
        <f>IF(B455="","",IFERROR(ROUND(IF(D455="",0,D455)*INDEX(Products!$X$5:$X$304,MATCH(C455,Products!$A$5:$A$304,0))/60,2),""))</f>
        <v>0</v>
      </c>
      <c r="AL455" s="20">
        <f>IF(B455="","",IF(OR(AK455="",AK455=0),"",ROUND(AG455/AK455,2)))</f>
        <v>0</v>
      </c>
      <c r="AM455" s="43">
        <f>IF(B455="","",IF(C455="","Add - which product?",IF(AG455&lt;0,"Loss - this order cost you money",IF(M455="Refunded","Refunded - check why",IF(AND(AF455&lt;&gt;"",AF455&gt;0.25),"Check - fees higher than your settings",IF(Z455&gt;1,"Check - postage is eating the margin",IF(AND(AH455&lt;&gt;"",AH455&lt;MarginWarning),"Low margin on this order","OK")))))) )</f>
        <v>0</v>
      </c>
    </row>
    <row r="456" spans="1:39">
      <c r="A456" s="38">
        <f>IF(B456="","",SalePrefix&amp;TEXT(ROW()-4,"0000"))</f>
        <v>0</v>
      </c>
      <c r="Q456" s="13">
        <f>IF(C456="","",IFERROR(INDEX(Products!$B$5:$B$304,MATCH(C456,Products!$A$5:$A$304,0)),"Bundle or deleted"))</f>
        <v>0</v>
      </c>
      <c r="R456" s="13">
        <f>IF(B456="","",TEXT(B456,"yyyy-mm"))</f>
        <v>0</v>
      </c>
      <c r="S456" s="20">
        <f>IF(C456="","",IFERROR(INDEX(Products!$AR$5:$AR$304,MATCH(C456,Products!$A$5:$A$304,0)),""))</f>
        <v>0</v>
      </c>
      <c r="T456" s="20">
        <f>IF(B456="","",IF(F456&lt;&gt;"",F456,IF(S456="",0,S456)))</f>
        <v>0</v>
      </c>
      <c r="U456" s="20">
        <f>IF(B456="","",ROUND(IF(D456="",0,D456)*T456,2))</f>
        <v>0</v>
      </c>
      <c r="V456" s="20">
        <f>IF(B456="","",ROUND(U456-IF(G456="",0,G456)-IF(L456="",0,L456),2))</f>
        <v>0</v>
      </c>
      <c r="W456" s="20">
        <f>IF(C456="","",IFERROR(INDEX(Products!$AT$5:$AT$304,MATCH(C456,Products!$A$5:$A$304,0)),""))</f>
        <v>0</v>
      </c>
      <c r="X456" s="20">
        <f>IF(C456="","",IFERROR(INDEX(Products!$AG$5:$AG$304,MATCH(C456,Products!$A$5:$A$304,0)),""))</f>
        <v>0</v>
      </c>
      <c r="Y456" s="20">
        <f>IF(B456="","",ROUND(IF(D456="",0,D456)*MAX(0,IF(W456="",0,W456)-IF(X456="",0,X456)),2))</f>
        <v>0</v>
      </c>
      <c r="Z456" s="20">
        <f>IF(B456="","",ROUND(MAX(0,IF(J456="",0,J456)-IF(I456="",0,I456)),2))</f>
        <v>0</v>
      </c>
      <c r="AA456" s="33">
        <f>IF(B456="","",IFERROR(INDEX(Channels!$S$5:$S$18,MATCH(IF(E456="",DefaultChannel,E456),Channels!$A$5:$A$18,0)),0))</f>
        <v>0</v>
      </c>
      <c r="AB456" s="20">
        <f>IF(B456="","",IFERROR(INDEX(Channels!$T$5:$T$18,MATCH(IF(E456="",DefaultChannel,E456),Channels!$A$5:$A$18,0)),0))</f>
        <v>0</v>
      </c>
      <c r="AC456" s="42">
        <f>IF(B456="","",IFERROR(INDEX(Channels!$O$5:$O$18,MATCH(IF(E456="",DefaultChannel,E456),Channels!$A$5:$A$18,0)),"No"))</f>
        <v>0</v>
      </c>
      <c r="AD456" s="20">
        <f>IF(B456="","",ROUND((V456+IF(AC456="Yes",IF(I456="",0,I456),0))*AA456+AB456,2))</f>
        <v>0</v>
      </c>
      <c r="AE456" s="20">
        <f>IF(B456="","",IF(K456&lt;&gt;"",K456,AD456))</f>
        <v>0</v>
      </c>
      <c r="AF456" s="20">
        <f>IF(B456="","",IF(K456="","",ROUND(K456-AD456,2)))</f>
        <v>0</v>
      </c>
      <c r="AG456" s="20">
        <f>IF(B456="","",ROUND(V456-Y456-AE456-Z456,2))</f>
        <v>0</v>
      </c>
      <c r="AH456" s="33">
        <f>IF(B456="","",IF(OR(V456="",V456=0),"",AG456/V456))</f>
        <v>0</v>
      </c>
      <c r="AI456" s="33">
        <f>IF(C456="","",IFERROR(INDEX(Products!$AW$5:$AW$304,MATCH(C456,Products!$A$5:$A$304,0)),""))</f>
        <v>0</v>
      </c>
      <c r="AJ456" s="33">
        <f>IF(B456="","",IF(OR(AH456="",AI456=""),"",AH456-AI456))</f>
        <v>0</v>
      </c>
      <c r="AK456" s="41">
        <f>IF(B456="","",IFERROR(ROUND(IF(D456="",0,D456)*INDEX(Products!$X$5:$X$304,MATCH(C456,Products!$A$5:$A$304,0))/60,2),""))</f>
        <v>0</v>
      </c>
      <c r="AL456" s="20">
        <f>IF(B456="","",IF(OR(AK456="",AK456=0),"",ROUND(AG456/AK456,2)))</f>
        <v>0</v>
      </c>
      <c r="AM456" s="43">
        <f>IF(B456="","",IF(C456="","Add - which product?",IF(AG456&lt;0,"Loss - this order cost you money",IF(M456="Refunded","Refunded - check why",IF(AND(AF456&lt;&gt;"",AF456&gt;0.25),"Check - fees higher than your settings",IF(Z456&gt;1,"Check - postage is eating the margin",IF(AND(AH456&lt;&gt;"",AH456&lt;MarginWarning),"Low margin on this order","OK")))))) )</f>
        <v>0</v>
      </c>
    </row>
    <row r="457" spans="1:39">
      <c r="A457" s="38">
        <f>IF(B457="","",SalePrefix&amp;TEXT(ROW()-4,"0000"))</f>
        <v>0</v>
      </c>
      <c r="Q457" s="13">
        <f>IF(C457="","",IFERROR(INDEX(Products!$B$5:$B$304,MATCH(C457,Products!$A$5:$A$304,0)),"Bundle or deleted"))</f>
        <v>0</v>
      </c>
      <c r="R457" s="13">
        <f>IF(B457="","",TEXT(B457,"yyyy-mm"))</f>
        <v>0</v>
      </c>
      <c r="S457" s="20">
        <f>IF(C457="","",IFERROR(INDEX(Products!$AR$5:$AR$304,MATCH(C457,Products!$A$5:$A$304,0)),""))</f>
        <v>0</v>
      </c>
      <c r="T457" s="20">
        <f>IF(B457="","",IF(F457&lt;&gt;"",F457,IF(S457="",0,S457)))</f>
        <v>0</v>
      </c>
      <c r="U457" s="20">
        <f>IF(B457="","",ROUND(IF(D457="",0,D457)*T457,2))</f>
        <v>0</v>
      </c>
      <c r="V457" s="20">
        <f>IF(B457="","",ROUND(U457-IF(G457="",0,G457)-IF(L457="",0,L457),2))</f>
        <v>0</v>
      </c>
      <c r="W457" s="20">
        <f>IF(C457="","",IFERROR(INDEX(Products!$AT$5:$AT$304,MATCH(C457,Products!$A$5:$A$304,0)),""))</f>
        <v>0</v>
      </c>
      <c r="X457" s="20">
        <f>IF(C457="","",IFERROR(INDEX(Products!$AG$5:$AG$304,MATCH(C457,Products!$A$5:$A$304,0)),""))</f>
        <v>0</v>
      </c>
      <c r="Y457" s="20">
        <f>IF(B457="","",ROUND(IF(D457="",0,D457)*MAX(0,IF(W457="",0,W457)-IF(X457="",0,X457)),2))</f>
        <v>0</v>
      </c>
      <c r="Z457" s="20">
        <f>IF(B457="","",ROUND(MAX(0,IF(J457="",0,J457)-IF(I457="",0,I457)),2))</f>
        <v>0</v>
      </c>
      <c r="AA457" s="33">
        <f>IF(B457="","",IFERROR(INDEX(Channels!$S$5:$S$18,MATCH(IF(E457="",DefaultChannel,E457),Channels!$A$5:$A$18,0)),0))</f>
        <v>0</v>
      </c>
      <c r="AB457" s="20">
        <f>IF(B457="","",IFERROR(INDEX(Channels!$T$5:$T$18,MATCH(IF(E457="",DefaultChannel,E457),Channels!$A$5:$A$18,0)),0))</f>
        <v>0</v>
      </c>
      <c r="AC457" s="42">
        <f>IF(B457="","",IFERROR(INDEX(Channels!$O$5:$O$18,MATCH(IF(E457="",DefaultChannel,E457),Channels!$A$5:$A$18,0)),"No"))</f>
        <v>0</v>
      </c>
      <c r="AD457" s="20">
        <f>IF(B457="","",ROUND((V457+IF(AC457="Yes",IF(I457="",0,I457),0))*AA457+AB457,2))</f>
        <v>0</v>
      </c>
      <c r="AE457" s="20">
        <f>IF(B457="","",IF(K457&lt;&gt;"",K457,AD457))</f>
        <v>0</v>
      </c>
      <c r="AF457" s="20">
        <f>IF(B457="","",IF(K457="","",ROUND(K457-AD457,2)))</f>
        <v>0</v>
      </c>
      <c r="AG457" s="20">
        <f>IF(B457="","",ROUND(V457-Y457-AE457-Z457,2))</f>
        <v>0</v>
      </c>
      <c r="AH457" s="33">
        <f>IF(B457="","",IF(OR(V457="",V457=0),"",AG457/V457))</f>
        <v>0</v>
      </c>
      <c r="AI457" s="33">
        <f>IF(C457="","",IFERROR(INDEX(Products!$AW$5:$AW$304,MATCH(C457,Products!$A$5:$A$304,0)),""))</f>
        <v>0</v>
      </c>
      <c r="AJ457" s="33">
        <f>IF(B457="","",IF(OR(AH457="",AI457=""),"",AH457-AI457))</f>
        <v>0</v>
      </c>
      <c r="AK457" s="41">
        <f>IF(B457="","",IFERROR(ROUND(IF(D457="",0,D457)*INDEX(Products!$X$5:$X$304,MATCH(C457,Products!$A$5:$A$304,0))/60,2),""))</f>
        <v>0</v>
      </c>
      <c r="AL457" s="20">
        <f>IF(B457="","",IF(OR(AK457="",AK457=0),"",ROUND(AG457/AK457,2)))</f>
        <v>0</v>
      </c>
      <c r="AM457" s="43">
        <f>IF(B457="","",IF(C457="","Add - which product?",IF(AG457&lt;0,"Loss - this order cost you money",IF(M457="Refunded","Refunded - check why",IF(AND(AF457&lt;&gt;"",AF457&gt;0.25),"Check - fees higher than your settings",IF(Z457&gt;1,"Check - postage is eating the margin",IF(AND(AH457&lt;&gt;"",AH457&lt;MarginWarning),"Low margin on this order","OK")))))) )</f>
        <v>0</v>
      </c>
    </row>
    <row r="458" spans="1:39">
      <c r="A458" s="38">
        <f>IF(B458="","",SalePrefix&amp;TEXT(ROW()-4,"0000"))</f>
        <v>0</v>
      </c>
      <c r="Q458" s="13">
        <f>IF(C458="","",IFERROR(INDEX(Products!$B$5:$B$304,MATCH(C458,Products!$A$5:$A$304,0)),"Bundle or deleted"))</f>
        <v>0</v>
      </c>
      <c r="R458" s="13">
        <f>IF(B458="","",TEXT(B458,"yyyy-mm"))</f>
        <v>0</v>
      </c>
      <c r="S458" s="20">
        <f>IF(C458="","",IFERROR(INDEX(Products!$AR$5:$AR$304,MATCH(C458,Products!$A$5:$A$304,0)),""))</f>
        <v>0</v>
      </c>
      <c r="T458" s="20">
        <f>IF(B458="","",IF(F458&lt;&gt;"",F458,IF(S458="",0,S458)))</f>
        <v>0</v>
      </c>
      <c r="U458" s="20">
        <f>IF(B458="","",ROUND(IF(D458="",0,D458)*T458,2))</f>
        <v>0</v>
      </c>
      <c r="V458" s="20">
        <f>IF(B458="","",ROUND(U458-IF(G458="",0,G458)-IF(L458="",0,L458),2))</f>
        <v>0</v>
      </c>
      <c r="W458" s="20">
        <f>IF(C458="","",IFERROR(INDEX(Products!$AT$5:$AT$304,MATCH(C458,Products!$A$5:$A$304,0)),""))</f>
        <v>0</v>
      </c>
      <c r="X458" s="20">
        <f>IF(C458="","",IFERROR(INDEX(Products!$AG$5:$AG$304,MATCH(C458,Products!$A$5:$A$304,0)),""))</f>
        <v>0</v>
      </c>
      <c r="Y458" s="20">
        <f>IF(B458="","",ROUND(IF(D458="",0,D458)*MAX(0,IF(W458="",0,W458)-IF(X458="",0,X458)),2))</f>
        <v>0</v>
      </c>
      <c r="Z458" s="20">
        <f>IF(B458="","",ROUND(MAX(0,IF(J458="",0,J458)-IF(I458="",0,I458)),2))</f>
        <v>0</v>
      </c>
      <c r="AA458" s="33">
        <f>IF(B458="","",IFERROR(INDEX(Channels!$S$5:$S$18,MATCH(IF(E458="",DefaultChannel,E458),Channels!$A$5:$A$18,0)),0))</f>
        <v>0</v>
      </c>
      <c r="AB458" s="20">
        <f>IF(B458="","",IFERROR(INDEX(Channels!$T$5:$T$18,MATCH(IF(E458="",DefaultChannel,E458),Channels!$A$5:$A$18,0)),0))</f>
        <v>0</v>
      </c>
      <c r="AC458" s="42">
        <f>IF(B458="","",IFERROR(INDEX(Channels!$O$5:$O$18,MATCH(IF(E458="",DefaultChannel,E458),Channels!$A$5:$A$18,0)),"No"))</f>
        <v>0</v>
      </c>
      <c r="AD458" s="20">
        <f>IF(B458="","",ROUND((V458+IF(AC458="Yes",IF(I458="",0,I458),0))*AA458+AB458,2))</f>
        <v>0</v>
      </c>
      <c r="AE458" s="20">
        <f>IF(B458="","",IF(K458&lt;&gt;"",K458,AD458))</f>
        <v>0</v>
      </c>
      <c r="AF458" s="20">
        <f>IF(B458="","",IF(K458="","",ROUND(K458-AD458,2)))</f>
        <v>0</v>
      </c>
      <c r="AG458" s="20">
        <f>IF(B458="","",ROUND(V458-Y458-AE458-Z458,2))</f>
        <v>0</v>
      </c>
      <c r="AH458" s="33">
        <f>IF(B458="","",IF(OR(V458="",V458=0),"",AG458/V458))</f>
        <v>0</v>
      </c>
      <c r="AI458" s="33">
        <f>IF(C458="","",IFERROR(INDEX(Products!$AW$5:$AW$304,MATCH(C458,Products!$A$5:$A$304,0)),""))</f>
        <v>0</v>
      </c>
      <c r="AJ458" s="33">
        <f>IF(B458="","",IF(OR(AH458="",AI458=""),"",AH458-AI458))</f>
        <v>0</v>
      </c>
      <c r="AK458" s="41">
        <f>IF(B458="","",IFERROR(ROUND(IF(D458="",0,D458)*INDEX(Products!$X$5:$X$304,MATCH(C458,Products!$A$5:$A$304,0))/60,2),""))</f>
        <v>0</v>
      </c>
      <c r="AL458" s="20">
        <f>IF(B458="","",IF(OR(AK458="",AK458=0),"",ROUND(AG458/AK458,2)))</f>
        <v>0</v>
      </c>
      <c r="AM458" s="43">
        <f>IF(B458="","",IF(C458="","Add - which product?",IF(AG458&lt;0,"Loss - this order cost you money",IF(M458="Refunded","Refunded - check why",IF(AND(AF458&lt;&gt;"",AF458&gt;0.25),"Check - fees higher than your settings",IF(Z458&gt;1,"Check - postage is eating the margin",IF(AND(AH458&lt;&gt;"",AH458&lt;MarginWarning),"Low margin on this order","OK")))))) )</f>
        <v>0</v>
      </c>
    </row>
    <row r="459" spans="1:39">
      <c r="A459" s="38">
        <f>IF(B459="","",SalePrefix&amp;TEXT(ROW()-4,"0000"))</f>
        <v>0</v>
      </c>
      <c r="Q459" s="13">
        <f>IF(C459="","",IFERROR(INDEX(Products!$B$5:$B$304,MATCH(C459,Products!$A$5:$A$304,0)),"Bundle or deleted"))</f>
        <v>0</v>
      </c>
      <c r="R459" s="13">
        <f>IF(B459="","",TEXT(B459,"yyyy-mm"))</f>
        <v>0</v>
      </c>
      <c r="S459" s="20">
        <f>IF(C459="","",IFERROR(INDEX(Products!$AR$5:$AR$304,MATCH(C459,Products!$A$5:$A$304,0)),""))</f>
        <v>0</v>
      </c>
      <c r="T459" s="20">
        <f>IF(B459="","",IF(F459&lt;&gt;"",F459,IF(S459="",0,S459)))</f>
        <v>0</v>
      </c>
      <c r="U459" s="20">
        <f>IF(B459="","",ROUND(IF(D459="",0,D459)*T459,2))</f>
        <v>0</v>
      </c>
      <c r="V459" s="20">
        <f>IF(B459="","",ROUND(U459-IF(G459="",0,G459)-IF(L459="",0,L459),2))</f>
        <v>0</v>
      </c>
      <c r="W459" s="20">
        <f>IF(C459="","",IFERROR(INDEX(Products!$AT$5:$AT$304,MATCH(C459,Products!$A$5:$A$304,0)),""))</f>
        <v>0</v>
      </c>
      <c r="X459" s="20">
        <f>IF(C459="","",IFERROR(INDEX(Products!$AG$5:$AG$304,MATCH(C459,Products!$A$5:$A$304,0)),""))</f>
        <v>0</v>
      </c>
      <c r="Y459" s="20">
        <f>IF(B459="","",ROUND(IF(D459="",0,D459)*MAX(0,IF(W459="",0,W459)-IF(X459="",0,X459)),2))</f>
        <v>0</v>
      </c>
      <c r="Z459" s="20">
        <f>IF(B459="","",ROUND(MAX(0,IF(J459="",0,J459)-IF(I459="",0,I459)),2))</f>
        <v>0</v>
      </c>
      <c r="AA459" s="33">
        <f>IF(B459="","",IFERROR(INDEX(Channels!$S$5:$S$18,MATCH(IF(E459="",DefaultChannel,E459),Channels!$A$5:$A$18,0)),0))</f>
        <v>0</v>
      </c>
      <c r="AB459" s="20">
        <f>IF(B459="","",IFERROR(INDEX(Channels!$T$5:$T$18,MATCH(IF(E459="",DefaultChannel,E459),Channels!$A$5:$A$18,0)),0))</f>
        <v>0</v>
      </c>
      <c r="AC459" s="42">
        <f>IF(B459="","",IFERROR(INDEX(Channels!$O$5:$O$18,MATCH(IF(E459="",DefaultChannel,E459),Channels!$A$5:$A$18,0)),"No"))</f>
        <v>0</v>
      </c>
      <c r="AD459" s="20">
        <f>IF(B459="","",ROUND((V459+IF(AC459="Yes",IF(I459="",0,I459),0))*AA459+AB459,2))</f>
        <v>0</v>
      </c>
      <c r="AE459" s="20">
        <f>IF(B459="","",IF(K459&lt;&gt;"",K459,AD459))</f>
        <v>0</v>
      </c>
      <c r="AF459" s="20">
        <f>IF(B459="","",IF(K459="","",ROUND(K459-AD459,2)))</f>
        <v>0</v>
      </c>
      <c r="AG459" s="20">
        <f>IF(B459="","",ROUND(V459-Y459-AE459-Z459,2))</f>
        <v>0</v>
      </c>
      <c r="AH459" s="33">
        <f>IF(B459="","",IF(OR(V459="",V459=0),"",AG459/V459))</f>
        <v>0</v>
      </c>
      <c r="AI459" s="33">
        <f>IF(C459="","",IFERROR(INDEX(Products!$AW$5:$AW$304,MATCH(C459,Products!$A$5:$A$304,0)),""))</f>
        <v>0</v>
      </c>
      <c r="AJ459" s="33">
        <f>IF(B459="","",IF(OR(AH459="",AI459=""),"",AH459-AI459))</f>
        <v>0</v>
      </c>
      <c r="AK459" s="41">
        <f>IF(B459="","",IFERROR(ROUND(IF(D459="",0,D459)*INDEX(Products!$X$5:$X$304,MATCH(C459,Products!$A$5:$A$304,0))/60,2),""))</f>
        <v>0</v>
      </c>
      <c r="AL459" s="20">
        <f>IF(B459="","",IF(OR(AK459="",AK459=0),"",ROUND(AG459/AK459,2)))</f>
        <v>0</v>
      </c>
      <c r="AM459" s="43">
        <f>IF(B459="","",IF(C459="","Add - which product?",IF(AG459&lt;0,"Loss - this order cost you money",IF(M459="Refunded","Refunded - check why",IF(AND(AF459&lt;&gt;"",AF459&gt;0.25),"Check - fees higher than your settings",IF(Z459&gt;1,"Check - postage is eating the margin",IF(AND(AH459&lt;&gt;"",AH459&lt;MarginWarning),"Low margin on this order","OK")))))) )</f>
        <v>0</v>
      </c>
    </row>
    <row r="460" spans="1:39">
      <c r="A460" s="38">
        <f>IF(B460="","",SalePrefix&amp;TEXT(ROW()-4,"0000"))</f>
        <v>0</v>
      </c>
      <c r="Q460" s="13">
        <f>IF(C460="","",IFERROR(INDEX(Products!$B$5:$B$304,MATCH(C460,Products!$A$5:$A$304,0)),"Bundle or deleted"))</f>
        <v>0</v>
      </c>
      <c r="R460" s="13">
        <f>IF(B460="","",TEXT(B460,"yyyy-mm"))</f>
        <v>0</v>
      </c>
      <c r="S460" s="20">
        <f>IF(C460="","",IFERROR(INDEX(Products!$AR$5:$AR$304,MATCH(C460,Products!$A$5:$A$304,0)),""))</f>
        <v>0</v>
      </c>
      <c r="T460" s="20">
        <f>IF(B460="","",IF(F460&lt;&gt;"",F460,IF(S460="",0,S460)))</f>
        <v>0</v>
      </c>
      <c r="U460" s="20">
        <f>IF(B460="","",ROUND(IF(D460="",0,D460)*T460,2))</f>
        <v>0</v>
      </c>
      <c r="V460" s="20">
        <f>IF(B460="","",ROUND(U460-IF(G460="",0,G460)-IF(L460="",0,L460),2))</f>
        <v>0</v>
      </c>
      <c r="W460" s="20">
        <f>IF(C460="","",IFERROR(INDEX(Products!$AT$5:$AT$304,MATCH(C460,Products!$A$5:$A$304,0)),""))</f>
        <v>0</v>
      </c>
      <c r="X460" s="20">
        <f>IF(C460="","",IFERROR(INDEX(Products!$AG$5:$AG$304,MATCH(C460,Products!$A$5:$A$304,0)),""))</f>
        <v>0</v>
      </c>
      <c r="Y460" s="20">
        <f>IF(B460="","",ROUND(IF(D460="",0,D460)*MAX(0,IF(W460="",0,W460)-IF(X460="",0,X460)),2))</f>
        <v>0</v>
      </c>
      <c r="Z460" s="20">
        <f>IF(B460="","",ROUND(MAX(0,IF(J460="",0,J460)-IF(I460="",0,I460)),2))</f>
        <v>0</v>
      </c>
      <c r="AA460" s="33">
        <f>IF(B460="","",IFERROR(INDEX(Channels!$S$5:$S$18,MATCH(IF(E460="",DefaultChannel,E460),Channels!$A$5:$A$18,0)),0))</f>
        <v>0</v>
      </c>
      <c r="AB460" s="20">
        <f>IF(B460="","",IFERROR(INDEX(Channels!$T$5:$T$18,MATCH(IF(E460="",DefaultChannel,E460),Channels!$A$5:$A$18,0)),0))</f>
        <v>0</v>
      </c>
      <c r="AC460" s="42">
        <f>IF(B460="","",IFERROR(INDEX(Channels!$O$5:$O$18,MATCH(IF(E460="",DefaultChannel,E460),Channels!$A$5:$A$18,0)),"No"))</f>
        <v>0</v>
      </c>
      <c r="AD460" s="20">
        <f>IF(B460="","",ROUND((V460+IF(AC460="Yes",IF(I460="",0,I460),0))*AA460+AB460,2))</f>
        <v>0</v>
      </c>
      <c r="AE460" s="20">
        <f>IF(B460="","",IF(K460&lt;&gt;"",K460,AD460))</f>
        <v>0</v>
      </c>
      <c r="AF460" s="20">
        <f>IF(B460="","",IF(K460="","",ROUND(K460-AD460,2)))</f>
        <v>0</v>
      </c>
      <c r="AG460" s="20">
        <f>IF(B460="","",ROUND(V460-Y460-AE460-Z460,2))</f>
        <v>0</v>
      </c>
      <c r="AH460" s="33">
        <f>IF(B460="","",IF(OR(V460="",V460=0),"",AG460/V460))</f>
        <v>0</v>
      </c>
      <c r="AI460" s="33">
        <f>IF(C460="","",IFERROR(INDEX(Products!$AW$5:$AW$304,MATCH(C460,Products!$A$5:$A$304,0)),""))</f>
        <v>0</v>
      </c>
      <c r="AJ460" s="33">
        <f>IF(B460="","",IF(OR(AH460="",AI460=""),"",AH460-AI460))</f>
        <v>0</v>
      </c>
      <c r="AK460" s="41">
        <f>IF(B460="","",IFERROR(ROUND(IF(D460="",0,D460)*INDEX(Products!$X$5:$X$304,MATCH(C460,Products!$A$5:$A$304,0))/60,2),""))</f>
        <v>0</v>
      </c>
      <c r="AL460" s="20">
        <f>IF(B460="","",IF(OR(AK460="",AK460=0),"",ROUND(AG460/AK460,2)))</f>
        <v>0</v>
      </c>
      <c r="AM460" s="43">
        <f>IF(B460="","",IF(C460="","Add - which product?",IF(AG460&lt;0,"Loss - this order cost you money",IF(M460="Refunded","Refunded - check why",IF(AND(AF460&lt;&gt;"",AF460&gt;0.25),"Check - fees higher than your settings",IF(Z460&gt;1,"Check - postage is eating the margin",IF(AND(AH460&lt;&gt;"",AH460&lt;MarginWarning),"Low margin on this order","OK")))))) )</f>
        <v>0</v>
      </c>
    </row>
    <row r="461" spans="1:39">
      <c r="A461" s="38">
        <f>IF(B461="","",SalePrefix&amp;TEXT(ROW()-4,"0000"))</f>
        <v>0</v>
      </c>
      <c r="Q461" s="13">
        <f>IF(C461="","",IFERROR(INDEX(Products!$B$5:$B$304,MATCH(C461,Products!$A$5:$A$304,0)),"Bundle or deleted"))</f>
        <v>0</v>
      </c>
      <c r="R461" s="13">
        <f>IF(B461="","",TEXT(B461,"yyyy-mm"))</f>
        <v>0</v>
      </c>
      <c r="S461" s="20">
        <f>IF(C461="","",IFERROR(INDEX(Products!$AR$5:$AR$304,MATCH(C461,Products!$A$5:$A$304,0)),""))</f>
        <v>0</v>
      </c>
      <c r="T461" s="20">
        <f>IF(B461="","",IF(F461&lt;&gt;"",F461,IF(S461="",0,S461)))</f>
        <v>0</v>
      </c>
      <c r="U461" s="20">
        <f>IF(B461="","",ROUND(IF(D461="",0,D461)*T461,2))</f>
        <v>0</v>
      </c>
      <c r="V461" s="20">
        <f>IF(B461="","",ROUND(U461-IF(G461="",0,G461)-IF(L461="",0,L461),2))</f>
        <v>0</v>
      </c>
      <c r="W461" s="20">
        <f>IF(C461="","",IFERROR(INDEX(Products!$AT$5:$AT$304,MATCH(C461,Products!$A$5:$A$304,0)),""))</f>
        <v>0</v>
      </c>
      <c r="X461" s="20">
        <f>IF(C461="","",IFERROR(INDEX(Products!$AG$5:$AG$304,MATCH(C461,Products!$A$5:$A$304,0)),""))</f>
        <v>0</v>
      </c>
      <c r="Y461" s="20">
        <f>IF(B461="","",ROUND(IF(D461="",0,D461)*MAX(0,IF(W461="",0,W461)-IF(X461="",0,X461)),2))</f>
        <v>0</v>
      </c>
      <c r="Z461" s="20">
        <f>IF(B461="","",ROUND(MAX(0,IF(J461="",0,J461)-IF(I461="",0,I461)),2))</f>
        <v>0</v>
      </c>
      <c r="AA461" s="33">
        <f>IF(B461="","",IFERROR(INDEX(Channels!$S$5:$S$18,MATCH(IF(E461="",DefaultChannel,E461),Channels!$A$5:$A$18,0)),0))</f>
        <v>0</v>
      </c>
      <c r="AB461" s="20">
        <f>IF(B461="","",IFERROR(INDEX(Channels!$T$5:$T$18,MATCH(IF(E461="",DefaultChannel,E461),Channels!$A$5:$A$18,0)),0))</f>
        <v>0</v>
      </c>
      <c r="AC461" s="42">
        <f>IF(B461="","",IFERROR(INDEX(Channels!$O$5:$O$18,MATCH(IF(E461="",DefaultChannel,E461),Channels!$A$5:$A$18,0)),"No"))</f>
        <v>0</v>
      </c>
      <c r="AD461" s="20">
        <f>IF(B461="","",ROUND((V461+IF(AC461="Yes",IF(I461="",0,I461),0))*AA461+AB461,2))</f>
        <v>0</v>
      </c>
      <c r="AE461" s="20">
        <f>IF(B461="","",IF(K461&lt;&gt;"",K461,AD461))</f>
        <v>0</v>
      </c>
      <c r="AF461" s="20">
        <f>IF(B461="","",IF(K461="","",ROUND(K461-AD461,2)))</f>
        <v>0</v>
      </c>
      <c r="AG461" s="20">
        <f>IF(B461="","",ROUND(V461-Y461-AE461-Z461,2))</f>
        <v>0</v>
      </c>
      <c r="AH461" s="33">
        <f>IF(B461="","",IF(OR(V461="",V461=0),"",AG461/V461))</f>
        <v>0</v>
      </c>
      <c r="AI461" s="33">
        <f>IF(C461="","",IFERROR(INDEX(Products!$AW$5:$AW$304,MATCH(C461,Products!$A$5:$A$304,0)),""))</f>
        <v>0</v>
      </c>
      <c r="AJ461" s="33">
        <f>IF(B461="","",IF(OR(AH461="",AI461=""),"",AH461-AI461))</f>
        <v>0</v>
      </c>
      <c r="AK461" s="41">
        <f>IF(B461="","",IFERROR(ROUND(IF(D461="",0,D461)*INDEX(Products!$X$5:$X$304,MATCH(C461,Products!$A$5:$A$304,0))/60,2),""))</f>
        <v>0</v>
      </c>
      <c r="AL461" s="20">
        <f>IF(B461="","",IF(OR(AK461="",AK461=0),"",ROUND(AG461/AK461,2)))</f>
        <v>0</v>
      </c>
      <c r="AM461" s="43">
        <f>IF(B461="","",IF(C461="","Add - which product?",IF(AG461&lt;0,"Loss - this order cost you money",IF(M461="Refunded","Refunded - check why",IF(AND(AF461&lt;&gt;"",AF461&gt;0.25),"Check - fees higher than your settings",IF(Z461&gt;1,"Check - postage is eating the margin",IF(AND(AH461&lt;&gt;"",AH461&lt;MarginWarning),"Low margin on this order","OK")))))) )</f>
        <v>0</v>
      </c>
    </row>
    <row r="462" spans="1:39">
      <c r="A462" s="38">
        <f>IF(B462="","",SalePrefix&amp;TEXT(ROW()-4,"0000"))</f>
        <v>0</v>
      </c>
      <c r="Q462" s="13">
        <f>IF(C462="","",IFERROR(INDEX(Products!$B$5:$B$304,MATCH(C462,Products!$A$5:$A$304,0)),"Bundle or deleted"))</f>
        <v>0</v>
      </c>
      <c r="R462" s="13">
        <f>IF(B462="","",TEXT(B462,"yyyy-mm"))</f>
        <v>0</v>
      </c>
      <c r="S462" s="20">
        <f>IF(C462="","",IFERROR(INDEX(Products!$AR$5:$AR$304,MATCH(C462,Products!$A$5:$A$304,0)),""))</f>
        <v>0</v>
      </c>
      <c r="T462" s="20">
        <f>IF(B462="","",IF(F462&lt;&gt;"",F462,IF(S462="",0,S462)))</f>
        <v>0</v>
      </c>
      <c r="U462" s="20">
        <f>IF(B462="","",ROUND(IF(D462="",0,D462)*T462,2))</f>
        <v>0</v>
      </c>
      <c r="V462" s="20">
        <f>IF(B462="","",ROUND(U462-IF(G462="",0,G462)-IF(L462="",0,L462),2))</f>
        <v>0</v>
      </c>
      <c r="W462" s="20">
        <f>IF(C462="","",IFERROR(INDEX(Products!$AT$5:$AT$304,MATCH(C462,Products!$A$5:$A$304,0)),""))</f>
        <v>0</v>
      </c>
      <c r="X462" s="20">
        <f>IF(C462="","",IFERROR(INDEX(Products!$AG$5:$AG$304,MATCH(C462,Products!$A$5:$A$304,0)),""))</f>
        <v>0</v>
      </c>
      <c r="Y462" s="20">
        <f>IF(B462="","",ROUND(IF(D462="",0,D462)*MAX(0,IF(W462="",0,W462)-IF(X462="",0,X462)),2))</f>
        <v>0</v>
      </c>
      <c r="Z462" s="20">
        <f>IF(B462="","",ROUND(MAX(0,IF(J462="",0,J462)-IF(I462="",0,I462)),2))</f>
        <v>0</v>
      </c>
      <c r="AA462" s="33">
        <f>IF(B462="","",IFERROR(INDEX(Channels!$S$5:$S$18,MATCH(IF(E462="",DefaultChannel,E462),Channels!$A$5:$A$18,0)),0))</f>
        <v>0</v>
      </c>
      <c r="AB462" s="20">
        <f>IF(B462="","",IFERROR(INDEX(Channels!$T$5:$T$18,MATCH(IF(E462="",DefaultChannel,E462),Channels!$A$5:$A$18,0)),0))</f>
        <v>0</v>
      </c>
      <c r="AC462" s="42">
        <f>IF(B462="","",IFERROR(INDEX(Channels!$O$5:$O$18,MATCH(IF(E462="",DefaultChannel,E462),Channels!$A$5:$A$18,0)),"No"))</f>
        <v>0</v>
      </c>
      <c r="AD462" s="20">
        <f>IF(B462="","",ROUND((V462+IF(AC462="Yes",IF(I462="",0,I462),0))*AA462+AB462,2))</f>
        <v>0</v>
      </c>
      <c r="AE462" s="20">
        <f>IF(B462="","",IF(K462&lt;&gt;"",K462,AD462))</f>
        <v>0</v>
      </c>
      <c r="AF462" s="20">
        <f>IF(B462="","",IF(K462="","",ROUND(K462-AD462,2)))</f>
        <v>0</v>
      </c>
      <c r="AG462" s="20">
        <f>IF(B462="","",ROUND(V462-Y462-AE462-Z462,2))</f>
        <v>0</v>
      </c>
      <c r="AH462" s="33">
        <f>IF(B462="","",IF(OR(V462="",V462=0),"",AG462/V462))</f>
        <v>0</v>
      </c>
      <c r="AI462" s="33">
        <f>IF(C462="","",IFERROR(INDEX(Products!$AW$5:$AW$304,MATCH(C462,Products!$A$5:$A$304,0)),""))</f>
        <v>0</v>
      </c>
      <c r="AJ462" s="33">
        <f>IF(B462="","",IF(OR(AH462="",AI462=""),"",AH462-AI462))</f>
        <v>0</v>
      </c>
      <c r="AK462" s="41">
        <f>IF(B462="","",IFERROR(ROUND(IF(D462="",0,D462)*INDEX(Products!$X$5:$X$304,MATCH(C462,Products!$A$5:$A$304,0))/60,2),""))</f>
        <v>0</v>
      </c>
      <c r="AL462" s="20">
        <f>IF(B462="","",IF(OR(AK462="",AK462=0),"",ROUND(AG462/AK462,2)))</f>
        <v>0</v>
      </c>
      <c r="AM462" s="43">
        <f>IF(B462="","",IF(C462="","Add - which product?",IF(AG462&lt;0,"Loss - this order cost you money",IF(M462="Refunded","Refunded - check why",IF(AND(AF462&lt;&gt;"",AF462&gt;0.25),"Check - fees higher than your settings",IF(Z462&gt;1,"Check - postage is eating the margin",IF(AND(AH462&lt;&gt;"",AH462&lt;MarginWarning),"Low margin on this order","OK")))))) )</f>
        <v>0</v>
      </c>
    </row>
    <row r="463" spans="1:39">
      <c r="A463" s="38">
        <f>IF(B463="","",SalePrefix&amp;TEXT(ROW()-4,"0000"))</f>
        <v>0</v>
      </c>
      <c r="Q463" s="13">
        <f>IF(C463="","",IFERROR(INDEX(Products!$B$5:$B$304,MATCH(C463,Products!$A$5:$A$304,0)),"Bundle or deleted"))</f>
        <v>0</v>
      </c>
      <c r="R463" s="13">
        <f>IF(B463="","",TEXT(B463,"yyyy-mm"))</f>
        <v>0</v>
      </c>
      <c r="S463" s="20">
        <f>IF(C463="","",IFERROR(INDEX(Products!$AR$5:$AR$304,MATCH(C463,Products!$A$5:$A$304,0)),""))</f>
        <v>0</v>
      </c>
      <c r="T463" s="20">
        <f>IF(B463="","",IF(F463&lt;&gt;"",F463,IF(S463="",0,S463)))</f>
        <v>0</v>
      </c>
      <c r="U463" s="20">
        <f>IF(B463="","",ROUND(IF(D463="",0,D463)*T463,2))</f>
        <v>0</v>
      </c>
      <c r="V463" s="20">
        <f>IF(B463="","",ROUND(U463-IF(G463="",0,G463)-IF(L463="",0,L463),2))</f>
        <v>0</v>
      </c>
      <c r="W463" s="20">
        <f>IF(C463="","",IFERROR(INDEX(Products!$AT$5:$AT$304,MATCH(C463,Products!$A$5:$A$304,0)),""))</f>
        <v>0</v>
      </c>
      <c r="X463" s="20">
        <f>IF(C463="","",IFERROR(INDEX(Products!$AG$5:$AG$304,MATCH(C463,Products!$A$5:$A$304,0)),""))</f>
        <v>0</v>
      </c>
      <c r="Y463" s="20">
        <f>IF(B463="","",ROUND(IF(D463="",0,D463)*MAX(0,IF(W463="",0,W463)-IF(X463="",0,X463)),2))</f>
        <v>0</v>
      </c>
      <c r="Z463" s="20">
        <f>IF(B463="","",ROUND(MAX(0,IF(J463="",0,J463)-IF(I463="",0,I463)),2))</f>
        <v>0</v>
      </c>
      <c r="AA463" s="33">
        <f>IF(B463="","",IFERROR(INDEX(Channels!$S$5:$S$18,MATCH(IF(E463="",DefaultChannel,E463),Channels!$A$5:$A$18,0)),0))</f>
        <v>0</v>
      </c>
      <c r="AB463" s="20">
        <f>IF(B463="","",IFERROR(INDEX(Channels!$T$5:$T$18,MATCH(IF(E463="",DefaultChannel,E463),Channels!$A$5:$A$18,0)),0))</f>
        <v>0</v>
      </c>
      <c r="AC463" s="42">
        <f>IF(B463="","",IFERROR(INDEX(Channels!$O$5:$O$18,MATCH(IF(E463="",DefaultChannel,E463),Channels!$A$5:$A$18,0)),"No"))</f>
        <v>0</v>
      </c>
      <c r="AD463" s="20">
        <f>IF(B463="","",ROUND((V463+IF(AC463="Yes",IF(I463="",0,I463),0))*AA463+AB463,2))</f>
        <v>0</v>
      </c>
      <c r="AE463" s="20">
        <f>IF(B463="","",IF(K463&lt;&gt;"",K463,AD463))</f>
        <v>0</v>
      </c>
      <c r="AF463" s="20">
        <f>IF(B463="","",IF(K463="","",ROUND(K463-AD463,2)))</f>
        <v>0</v>
      </c>
      <c r="AG463" s="20">
        <f>IF(B463="","",ROUND(V463-Y463-AE463-Z463,2))</f>
        <v>0</v>
      </c>
      <c r="AH463" s="33">
        <f>IF(B463="","",IF(OR(V463="",V463=0),"",AG463/V463))</f>
        <v>0</v>
      </c>
      <c r="AI463" s="33">
        <f>IF(C463="","",IFERROR(INDEX(Products!$AW$5:$AW$304,MATCH(C463,Products!$A$5:$A$304,0)),""))</f>
        <v>0</v>
      </c>
      <c r="AJ463" s="33">
        <f>IF(B463="","",IF(OR(AH463="",AI463=""),"",AH463-AI463))</f>
        <v>0</v>
      </c>
      <c r="AK463" s="41">
        <f>IF(B463="","",IFERROR(ROUND(IF(D463="",0,D463)*INDEX(Products!$X$5:$X$304,MATCH(C463,Products!$A$5:$A$304,0))/60,2),""))</f>
        <v>0</v>
      </c>
      <c r="AL463" s="20">
        <f>IF(B463="","",IF(OR(AK463="",AK463=0),"",ROUND(AG463/AK463,2)))</f>
        <v>0</v>
      </c>
      <c r="AM463" s="43">
        <f>IF(B463="","",IF(C463="","Add - which product?",IF(AG463&lt;0,"Loss - this order cost you money",IF(M463="Refunded","Refunded - check why",IF(AND(AF463&lt;&gt;"",AF463&gt;0.25),"Check - fees higher than your settings",IF(Z463&gt;1,"Check - postage is eating the margin",IF(AND(AH463&lt;&gt;"",AH463&lt;MarginWarning),"Low margin on this order","OK")))))) )</f>
        <v>0</v>
      </c>
    </row>
    <row r="464" spans="1:39">
      <c r="A464" s="38">
        <f>IF(B464="","",SalePrefix&amp;TEXT(ROW()-4,"0000"))</f>
        <v>0</v>
      </c>
      <c r="Q464" s="13">
        <f>IF(C464="","",IFERROR(INDEX(Products!$B$5:$B$304,MATCH(C464,Products!$A$5:$A$304,0)),"Bundle or deleted"))</f>
        <v>0</v>
      </c>
      <c r="R464" s="13">
        <f>IF(B464="","",TEXT(B464,"yyyy-mm"))</f>
        <v>0</v>
      </c>
      <c r="S464" s="20">
        <f>IF(C464="","",IFERROR(INDEX(Products!$AR$5:$AR$304,MATCH(C464,Products!$A$5:$A$304,0)),""))</f>
        <v>0</v>
      </c>
      <c r="T464" s="20">
        <f>IF(B464="","",IF(F464&lt;&gt;"",F464,IF(S464="",0,S464)))</f>
        <v>0</v>
      </c>
      <c r="U464" s="20">
        <f>IF(B464="","",ROUND(IF(D464="",0,D464)*T464,2))</f>
        <v>0</v>
      </c>
      <c r="V464" s="20">
        <f>IF(B464="","",ROUND(U464-IF(G464="",0,G464)-IF(L464="",0,L464),2))</f>
        <v>0</v>
      </c>
      <c r="W464" s="20">
        <f>IF(C464="","",IFERROR(INDEX(Products!$AT$5:$AT$304,MATCH(C464,Products!$A$5:$A$304,0)),""))</f>
        <v>0</v>
      </c>
      <c r="X464" s="20">
        <f>IF(C464="","",IFERROR(INDEX(Products!$AG$5:$AG$304,MATCH(C464,Products!$A$5:$A$304,0)),""))</f>
        <v>0</v>
      </c>
      <c r="Y464" s="20">
        <f>IF(B464="","",ROUND(IF(D464="",0,D464)*MAX(0,IF(W464="",0,W464)-IF(X464="",0,X464)),2))</f>
        <v>0</v>
      </c>
      <c r="Z464" s="20">
        <f>IF(B464="","",ROUND(MAX(0,IF(J464="",0,J464)-IF(I464="",0,I464)),2))</f>
        <v>0</v>
      </c>
      <c r="AA464" s="33">
        <f>IF(B464="","",IFERROR(INDEX(Channels!$S$5:$S$18,MATCH(IF(E464="",DefaultChannel,E464),Channels!$A$5:$A$18,0)),0))</f>
        <v>0</v>
      </c>
      <c r="AB464" s="20">
        <f>IF(B464="","",IFERROR(INDEX(Channels!$T$5:$T$18,MATCH(IF(E464="",DefaultChannel,E464),Channels!$A$5:$A$18,0)),0))</f>
        <v>0</v>
      </c>
      <c r="AC464" s="42">
        <f>IF(B464="","",IFERROR(INDEX(Channels!$O$5:$O$18,MATCH(IF(E464="",DefaultChannel,E464),Channels!$A$5:$A$18,0)),"No"))</f>
        <v>0</v>
      </c>
      <c r="AD464" s="20">
        <f>IF(B464="","",ROUND((V464+IF(AC464="Yes",IF(I464="",0,I464),0))*AA464+AB464,2))</f>
        <v>0</v>
      </c>
      <c r="AE464" s="20">
        <f>IF(B464="","",IF(K464&lt;&gt;"",K464,AD464))</f>
        <v>0</v>
      </c>
      <c r="AF464" s="20">
        <f>IF(B464="","",IF(K464="","",ROUND(K464-AD464,2)))</f>
        <v>0</v>
      </c>
      <c r="AG464" s="20">
        <f>IF(B464="","",ROUND(V464-Y464-AE464-Z464,2))</f>
        <v>0</v>
      </c>
      <c r="AH464" s="33">
        <f>IF(B464="","",IF(OR(V464="",V464=0),"",AG464/V464))</f>
        <v>0</v>
      </c>
      <c r="AI464" s="33">
        <f>IF(C464="","",IFERROR(INDEX(Products!$AW$5:$AW$304,MATCH(C464,Products!$A$5:$A$304,0)),""))</f>
        <v>0</v>
      </c>
      <c r="AJ464" s="33">
        <f>IF(B464="","",IF(OR(AH464="",AI464=""),"",AH464-AI464))</f>
        <v>0</v>
      </c>
      <c r="AK464" s="41">
        <f>IF(B464="","",IFERROR(ROUND(IF(D464="",0,D464)*INDEX(Products!$X$5:$X$304,MATCH(C464,Products!$A$5:$A$304,0))/60,2),""))</f>
        <v>0</v>
      </c>
      <c r="AL464" s="20">
        <f>IF(B464="","",IF(OR(AK464="",AK464=0),"",ROUND(AG464/AK464,2)))</f>
        <v>0</v>
      </c>
      <c r="AM464" s="43">
        <f>IF(B464="","",IF(C464="","Add - which product?",IF(AG464&lt;0,"Loss - this order cost you money",IF(M464="Refunded","Refunded - check why",IF(AND(AF464&lt;&gt;"",AF464&gt;0.25),"Check - fees higher than your settings",IF(Z464&gt;1,"Check - postage is eating the margin",IF(AND(AH464&lt;&gt;"",AH464&lt;MarginWarning),"Low margin on this order","OK")))))) )</f>
        <v>0</v>
      </c>
    </row>
    <row r="465" spans="1:39">
      <c r="A465" s="38">
        <f>IF(B465="","",SalePrefix&amp;TEXT(ROW()-4,"0000"))</f>
        <v>0</v>
      </c>
      <c r="Q465" s="13">
        <f>IF(C465="","",IFERROR(INDEX(Products!$B$5:$B$304,MATCH(C465,Products!$A$5:$A$304,0)),"Bundle or deleted"))</f>
        <v>0</v>
      </c>
      <c r="R465" s="13">
        <f>IF(B465="","",TEXT(B465,"yyyy-mm"))</f>
        <v>0</v>
      </c>
      <c r="S465" s="20">
        <f>IF(C465="","",IFERROR(INDEX(Products!$AR$5:$AR$304,MATCH(C465,Products!$A$5:$A$304,0)),""))</f>
        <v>0</v>
      </c>
      <c r="T465" s="20">
        <f>IF(B465="","",IF(F465&lt;&gt;"",F465,IF(S465="",0,S465)))</f>
        <v>0</v>
      </c>
      <c r="U465" s="20">
        <f>IF(B465="","",ROUND(IF(D465="",0,D465)*T465,2))</f>
        <v>0</v>
      </c>
      <c r="V465" s="20">
        <f>IF(B465="","",ROUND(U465-IF(G465="",0,G465)-IF(L465="",0,L465),2))</f>
        <v>0</v>
      </c>
      <c r="W465" s="20">
        <f>IF(C465="","",IFERROR(INDEX(Products!$AT$5:$AT$304,MATCH(C465,Products!$A$5:$A$304,0)),""))</f>
        <v>0</v>
      </c>
      <c r="X465" s="20">
        <f>IF(C465="","",IFERROR(INDEX(Products!$AG$5:$AG$304,MATCH(C465,Products!$A$5:$A$304,0)),""))</f>
        <v>0</v>
      </c>
      <c r="Y465" s="20">
        <f>IF(B465="","",ROUND(IF(D465="",0,D465)*MAX(0,IF(W465="",0,W465)-IF(X465="",0,X465)),2))</f>
        <v>0</v>
      </c>
      <c r="Z465" s="20">
        <f>IF(B465="","",ROUND(MAX(0,IF(J465="",0,J465)-IF(I465="",0,I465)),2))</f>
        <v>0</v>
      </c>
      <c r="AA465" s="33">
        <f>IF(B465="","",IFERROR(INDEX(Channels!$S$5:$S$18,MATCH(IF(E465="",DefaultChannel,E465),Channels!$A$5:$A$18,0)),0))</f>
        <v>0</v>
      </c>
      <c r="AB465" s="20">
        <f>IF(B465="","",IFERROR(INDEX(Channels!$T$5:$T$18,MATCH(IF(E465="",DefaultChannel,E465),Channels!$A$5:$A$18,0)),0))</f>
        <v>0</v>
      </c>
      <c r="AC465" s="42">
        <f>IF(B465="","",IFERROR(INDEX(Channels!$O$5:$O$18,MATCH(IF(E465="",DefaultChannel,E465),Channels!$A$5:$A$18,0)),"No"))</f>
        <v>0</v>
      </c>
      <c r="AD465" s="20">
        <f>IF(B465="","",ROUND((V465+IF(AC465="Yes",IF(I465="",0,I465),0))*AA465+AB465,2))</f>
        <v>0</v>
      </c>
      <c r="AE465" s="20">
        <f>IF(B465="","",IF(K465&lt;&gt;"",K465,AD465))</f>
        <v>0</v>
      </c>
      <c r="AF465" s="20">
        <f>IF(B465="","",IF(K465="","",ROUND(K465-AD465,2)))</f>
        <v>0</v>
      </c>
      <c r="AG465" s="20">
        <f>IF(B465="","",ROUND(V465-Y465-AE465-Z465,2))</f>
        <v>0</v>
      </c>
      <c r="AH465" s="33">
        <f>IF(B465="","",IF(OR(V465="",V465=0),"",AG465/V465))</f>
        <v>0</v>
      </c>
      <c r="AI465" s="33">
        <f>IF(C465="","",IFERROR(INDEX(Products!$AW$5:$AW$304,MATCH(C465,Products!$A$5:$A$304,0)),""))</f>
        <v>0</v>
      </c>
      <c r="AJ465" s="33">
        <f>IF(B465="","",IF(OR(AH465="",AI465=""),"",AH465-AI465))</f>
        <v>0</v>
      </c>
      <c r="AK465" s="41">
        <f>IF(B465="","",IFERROR(ROUND(IF(D465="",0,D465)*INDEX(Products!$X$5:$X$304,MATCH(C465,Products!$A$5:$A$304,0))/60,2),""))</f>
        <v>0</v>
      </c>
      <c r="AL465" s="20">
        <f>IF(B465="","",IF(OR(AK465="",AK465=0),"",ROUND(AG465/AK465,2)))</f>
        <v>0</v>
      </c>
      <c r="AM465" s="43">
        <f>IF(B465="","",IF(C465="","Add - which product?",IF(AG465&lt;0,"Loss - this order cost you money",IF(M465="Refunded","Refunded - check why",IF(AND(AF465&lt;&gt;"",AF465&gt;0.25),"Check - fees higher than your settings",IF(Z465&gt;1,"Check - postage is eating the margin",IF(AND(AH465&lt;&gt;"",AH465&lt;MarginWarning),"Low margin on this order","OK")))))) )</f>
        <v>0</v>
      </c>
    </row>
    <row r="466" spans="1:39">
      <c r="A466" s="38">
        <f>IF(B466="","",SalePrefix&amp;TEXT(ROW()-4,"0000"))</f>
        <v>0</v>
      </c>
      <c r="Q466" s="13">
        <f>IF(C466="","",IFERROR(INDEX(Products!$B$5:$B$304,MATCH(C466,Products!$A$5:$A$304,0)),"Bundle or deleted"))</f>
        <v>0</v>
      </c>
      <c r="R466" s="13">
        <f>IF(B466="","",TEXT(B466,"yyyy-mm"))</f>
        <v>0</v>
      </c>
      <c r="S466" s="20">
        <f>IF(C466="","",IFERROR(INDEX(Products!$AR$5:$AR$304,MATCH(C466,Products!$A$5:$A$304,0)),""))</f>
        <v>0</v>
      </c>
      <c r="T466" s="20">
        <f>IF(B466="","",IF(F466&lt;&gt;"",F466,IF(S466="",0,S466)))</f>
        <v>0</v>
      </c>
      <c r="U466" s="20">
        <f>IF(B466="","",ROUND(IF(D466="",0,D466)*T466,2))</f>
        <v>0</v>
      </c>
      <c r="V466" s="20">
        <f>IF(B466="","",ROUND(U466-IF(G466="",0,G466)-IF(L466="",0,L466),2))</f>
        <v>0</v>
      </c>
      <c r="W466" s="20">
        <f>IF(C466="","",IFERROR(INDEX(Products!$AT$5:$AT$304,MATCH(C466,Products!$A$5:$A$304,0)),""))</f>
        <v>0</v>
      </c>
      <c r="X466" s="20">
        <f>IF(C466="","",IFERROR(INDEX(Products!$AG$5:$AG$304,MATCH(C466,Products!$A$5:$A$304,0)),""))</f>
        <v>0</v>
      </c>
      <c r="Y466" s="20">
        <f>IF(B466="","",ROUND(IF(D466="",0,D466)*MAX(0,IF(W466="",0,W466)-IF(X466="",0,X466)),2))</f>
        <v>0</v>
      </c>
      <c r="Z466" s="20">
        <f>IF(B466="","",ROUND(MAX(0,IF(J466="",0,J466)-IF(I466="",0,I466)),2))</f>
        <v>0</v>
      </c>
      <c r="AA466" s="33">
        <f>IF(B466="","",IFERROR(INDEX(Channels!$S$5:$S$18,MATCH(IF(E466="",DefaultChannel,E466),Channels!$A$5:$A$18,0)),0))</f>
        <v>0</v>
      </c>
      <c r="AB466" s="20">
        <f>IF(B466="","",IFERROR(INDEX(Channels!$T$5:$T$18,MATCH(IF(E466="",DefaultChannel,E466),Channels!$A$5:$A$18,0)),0))</f>
        <v>0</v>
      </c>
      <c r="AC466" s="42">
        <f>IF(B466="","",IFERROR(INDEX(Channels!$O$5:$O$18,MATCH(IF(E466="",DefaultChannel,E466),Channels!$A$5:$A$18,0)),"No"))</f>
        <v>0</v>
      </c>
      <c r="AD466" s="20">
        <f>IF(B466="","",ROUND((V466+IF(AC466="Yes",IF(I466="",0,I466),0))*AA466+AB466,2))</f>
        <v>0</v>
      </c>
      <c r="AE466" s="20">
        <f>IF(B466="","",IF(K466&lt;&gt;"",K466,AD466))</f>
        <v>0</v>
      </c>
      <c r="AF466" s="20">
        <f>IF(B466="","",IF(K466="","",ROUND(K466-AD466,2)))</f>
        <v>0</v>
      </c>
      <c r="AG466" s="20">
        <f>IF(B466="","",ROUND(V466-Y466-AE466-Z466,2))</f>
        <v>0</v>
      </c>
      <c r="AH466" s="33">
        <f>IF(B466="","",IF(OR(V466="",V466=0),"",AG466/V466))</f>
        <v>0</v>
      </c>
      <c r="AI466" s="33">
        <f>IF(C466="","",IFERROR(INDEX(Products!$AW$5:$AW$304,MATCH(C466,Products!$A$5:$A$304,0)),""))</f>
        <v>0</v>
      </c>
      <c r="AJ466" s="33">
        <f>IF(B466="","",IF(OR(AH466="",AI466=""),"",AH466-AI466))</f>
        <v>0</v>
      </c>
      <c r="AK466" s="41">
        <f>IF(B466="","",IFERROR(ROUND(IF(D466="",0,D466)*INDEX(Products!$X$5:$X$304,MATCH(C466,Products!$A$5:$A$304,0))/60,2),""))</f>
        <v>0</v>
      </c>
      <c r="AL466" s="20">
        <f>IF(B466="","",IF(OR(AK466="",AK466=0),"",ROUND(AG466/AK466,2)))</f>
        <v>0</v>
      </c>
      <c r="AM466" s="43">
        <f>IF(B466="","",IF(C466="","Add - which product?",IF(AG466&lt;0,"Loss - this order cost you money",IF(M466="Refunded","Refunded - check why",IF(AND(AF466&lt;&gt;"",AF466&gt;0.25),"Check - fees higher than your settings",IF(Z466&gt;1,"Check - postage is eating the margin",IF(AND(AH466&lt;&gt;"",AH466&lt;MarginWarning),"Low margin on this order","OK")))))) )</f>
        <v>0</v>
      </c>
    </row>
    <row r="467" spans="1:39">
      <c r="A467" s="38">
        <f>IF(B467="","",SalePrefix&amp;TEXT(ROW()-4,"0000"))</f>
        <v>0</v>
      </c>
      <c r="Q467" s="13">
        <f>IF(C467="","",IFERROR(INDEX(Products!$B$5:$B$304,MATCH(C467,Products!$A$5:$A$304,0)),"Bundle or deleted"))</f>
        <v>0</v>
      </c>
      <c r="R467" s="13">
        <f>IF(B467="","",TEXT(B467,"yyyy-mm"))</f>
        <v>0</v>
      </c>
      <c r="S467" s="20">
        <f>IF(C467="","",IFERROR(INDEX(Products!$AR$5:$AR$304,MATCH(C467,Products!$A$5:$A$304,0)),""))</f>
        <v>0</v>
      </c>
      <c r="T467" s="20">
        <f>IF(B467="","",IF(F467&lt;&gt;"",F467,IF(S467="",0,S467)))</f>
        <v>0</v>
      </c>
      <c r="U467" s="20">
        <f>IF(B467="","",ROUND(IF(D467="",0,D467)*T467,2))</f>
        <v>0</v>
      </c>
      <c r="V467" s="20">
        <f>IF(B467="","",ROUND(U467-IF(G467="",0,G467)-IF(L467="",0,L467),2))</f>
        <v>0</v>
      </c>
      <c r="W467" s="20">
        <f>IF(C467="","",IFERROR(INDEX(Products!$AT$5:$AT$304,MATCH(C467,Products!$A$5:$A$304,0)),""))</f>
        <v>0</v>
      </c>
      <c r="X467" s="20">
        <f>IF(C467="","",IFERROR(INDEX(Products!$AG$5:$AG$304,MATCH(C467,Products!$A$5:$A$304,0)),""))</f>
        <v>0</v>
      </c>
      <c r="Y467" s="20">
        <f>IF(B467="","",ROUND(IF(D467="",0,D467)*MAX(0,IF(W467="",0,W467)-IF(X467="",0,X467)),2))</f>
        <v>0</v>
      </c>
      <c r="Z467" s="20">
        <f>IF(B467="","",ROUND(MAX(0,IF(J467="",0,J467)-IF(I467="",0,I467)),2))</f>
        <v>0</v>
      </c>
      <c r="AA467" s="33">
        <f>IF(B467="","",IFERROR(INDEX(Channels!$S$5:$S$18,MATCH(IF(E467="",DefaultChannel,E467),Channels!$A$5:$A$18,0)),0))</f>
        <v>0</v>
      </c>
      <c r="AB467" s="20">
        <f>IF(B467="","",IFERROR(INDEX(Channels!$T$5:$T$18,MATCH(IF(E467="",DefaultChannel,E467),Channels!$A$5:$A$18,0)),0))</f>
        <v>0</v>
      </c>
      <c r="AC467" s="42">
        <f>IF(B467="","",IFERROR(INDEX(Channels!$O$5:$O$18,MATCH(IF(E467="",DefaultChannel,E467),Channels!$A$5:$A$18,0)),"No"))</f>
        <v>0</v>
      </c>
      <c r="AD467" s="20">
        <f>IF(B467="","",ROUND((V467+IF(AC467="Yes",IF(I467="",0,I467),0))*AA467+AB467,2))</f>
        <v>0</v>
      </c>
      <c r="AE467" s="20">
        <f>IF(B467="","",IF(K467&lt;&gt;"",K467,AD467))</f>
        <v>0</v>
      </c>
      <c r="AF467" s="20">
        <f>IF(B467="","",IF(K467="","",ROUND(K467-AD467,2)))</f>
        <v>0</v>
      </c>
      <c r="AG467" s="20">
        <f>IF(B467="","",ROUND(V467-Y467-AE467-Z467,2))</f>
        <v>0</v>
      </c>
      <c r="AH467" s="33">
        <f>IF(B467="","",IF(OR(V467="",V467=0),"",AG467/V467))</f>
        <v>0</v>
      </c>
      <c r="AI467" s="33">
        <f>IF(C467="","",IFERROR(INDEX(Products!$AW$5:$AW$304,MATCH(C467,Products!$A$5:$A$304,0)),""))</f>
        <v>0</v>
      </c>
      <c r="AJ467" s="33">
        <f>IF(B467="","",IF(OR(AH467="",AI467=""),"",AH467-AI467))</f>
        <v>0</v>
      </c>
      <c r="AK467" s="41">
        <f>IF(B467="","",IFERROR(ROUND(IF(D467="",0,D467)*INDEX(Products!$X$5:$X$304,MATCH(C467,Products!$A$5:$A$304,0))/60,2),""))</f>
        <v>0</v>
      </c>
      <c r="AL467" s="20">
        <f>IF(B467="","",IF(OR(AK467="",AK467=0),"",ROUND(AG467/AK467,2)))</f>
        <v>0</v>
      </c>
      <c r="AM467" s="43">
        <f>IF(B467="","",IF(C467="","Add - which product?",IF(AG467&lt;0,"Loss - this order cost you money",IF(M467="Refunded","Refunded - check why",IF(AND(AF467&lt;&gt;"",AF467&gt;0.25),"Check - fees higher than your settings",IF(Z467&gt;1,"Check - postage is eating the margin",IF(AND(AH467&lt;&gt;"",AH467&lt;MarginWarning),"Low margin on this order","OK")))))) )</f>
        <v>0</v>
      </c>
    </row>
    <row r="468" spans="1:39">
      <c r="A468" s="38">
        <f>IF(B468="","",SalePrefix&amp;TEXT(ROW()-4,"0000"))</f>
        <v>0</v>
      </c>
      <c r="Q468" s="13">
        <f>IF(C468="","",IFERROR(INDEX(Products!$B$5:$B$304,MATCH(C468,Products!$A$5:$A$304,0)),"Bundle or deleted"))</f>
        <v>0</v>
      </c>
      <c r="R468" s="13">
        <f>IF(B468="","",TEXT(B468,"yyyy-mm"))</f>
        <v>0</v>
      </c>
      <c r="S468" s="20">
        <f>IF(C468="","",IFERROR(INDEX(Products!$AR$5:$AR$304,MATCH(C468,Products!$A$5:$A$304,0)),""))</f>
        <v>0</v>
      </c>
      <c r="T468" s="20">
        <f>IF(B468="","",IF(F468&lt;&gt;"",F468,IF(S468="",0,S468)))</f>
        <v>0</v>
      </c>
      <c r="U468" s="20">
        <f>IF(B468="","",ROUND(IF(D468="",0,D468)*T468,2))</f>
        <v>0</v>
      </c>
      <c r="V468" s="20">
        <f>IF(B468="","",ROUND(U468-IF(G468="",0,G468)-IF(L468="",0,L468),2))</f>
        <v>0</v>
      </c>
      <c r="W468" s="20">
        <f>IF(C468="","",IFERROR(INDEX(Products!$AT$5:$AT$304,MATCH(C468,Products!$A$5:$A$304,0)),""))</f>
        <v>0</v>
      </c>
      <c r="X468" s="20">
        <f>IF(C468="","",IFERROR(INDEX(Products!$AG$5:$AG$304,MATCH(C468,Products!$A$5:$A$304,0)),""))</f>
        <v>0</v>
      </c>
      <c r="Y468" s="20">
        <f>IF(B468="","",ROUND(IF(D468="",0,D468)*MAX(0,IF(W468="",0,W468)-IF(X468="",0,X468)),2))</f>
        <v>0</v>
      </c>
      <c r="Z468" s="20">
        <f>IF(B468="","",ROUND(MAX(0,IF(J468="",0,J468)-IF(I468="",0,I468)),2))</f>
        <v>0</v>
      </c>
      <c r="AA468" s="33">
        <f>IF(B468="","",IFERROR(INDEX(Channels!$S$5:$S$18,MATCH(IF(E468="",DefaultChannel,E468),Channels!$A$5:$A$18,0)),0))</f>
        <v>0</v>
      </c>
      <c r="AB468" s="20">
        <f>IF(B468="","",IFERROR(INDEX(Channels!$T$5:$T$18,MATCH(IF(E468="",DefaultChannel,E468),Channels!$A$5:$A$18,0)),0))</f>
        <v>0</v>
      </c>
      <c r="AC468" s="42">
        <f>IF(B468="","",IFERROR(INDEX(Channels!$O$5:$O$18,MATCH(IF(E468="",DefaultChannel,E468),Channels!$A$5:$A$18,0)),"No"))</f>
        <v>0</v>
      </c>
      <c r="AD468" s="20">
        <f>IF(B468="","",ROUND((V468+IF(AC468="Yes",IF(I468="",0,I468),0))*AA468+AB468,2))</f>
        <v>0</v>
      </c>
      <c r="AE468" s="20">
        <f>IF(B468="","",IF(K468&lt;&gt;"",K468,AD468))</f>
        <v>0</v>
      </c>
      <c r="AF468" s="20">
        <f>IF(B468="","",IF(K468="","",ROUND(K468-AD468,2)))</f>
        <v>0</v>
      </c>
      <c r="AG468" s="20">
        <f>IF(B468="","",ROUND(V468-Y468-AE468-Z468,2))</f>
        <v>0</v>
      </c>
      <c r="AH468" s="33">
        <f>IF(B468="","",IF(OR(V468="",V468=0),"",AG468/V468))</f>
        <v>0</v>
      </c>
      <c r="AI468" s="33">
        <f>IF(C468="","",IFERROR(INDEX(Products!$AW$5:$AW$304,MATCH(C468,Products!$A$5:$A$304,0)),""))</f>
        <v>0</v>
      </c>
      <c r="AJ468" s="33">
        <f>IF(B468="","",IF(OR(AH468="",AI468=""),"",AH468-AI468))</f>
        <v>0</v>
      </c>
      <c r="AK468" s="41">
        <f>IF(B468="","",IFERROR(ROUND(IF(D468="",0,D468)*INDEX(Products!$X$5:$X$304,MATCH(C468,Products!$A$5:$A$304,0))/60,2),""))</f>
        <v>0</v>
      </c>
      <c r="AL468" s="20">
        <f>IF(B468="","",IF(OR(AK468="",AK468=0),"",ROUND(AG468/AK468,2)))</f>
        <v>0</v>
      </c>
      <c r="AM468" s="43">
        <f>IF(B468="","",IF(C468="","Add - which product?",IF(AG468&lt;0,"Loss - this order cost you money",IF(M468="Refunded","Refunded - check why",IF(AND(AF468&lt;&gt;"",AF468&gt;0.25),"Check - fees higher than your settings",IF(Z468&gt;1,"Check - postage is eating the margin",IF(AND(AH468&lt;&gt;"",AH468&lt;MarginWarning),"Low margin on this order","OK")))))) )</f>
        <v>0</v>
      </c>
    </row>
    <row r="469" spans="1:39">
      <c r="A469" s="38">
        <f>IF(B469="","",SalePrefix&amp;TEXT(ROW()-4,"0000"))</f>
        <v>0</v>
      </c>
      <c r="Q469" s="13">
        <f>IF(C469="","",IFERROR(INDEX(Products!$B$5:$B$304,MATCH(C469,Products!$A$5:$A$304,0)),"Bundle or deleted"))</f>
        <v>0</v>
      </c>
      <c r="R469" s="13">
        <f>IF(B469="","",TEXT(B469,"yyyy-mm"))</f>
        <v>0</v>
      </c>
      <c r="S469" s="20">
        <f>IF(C469="","",IFERROR(INDEX(Products!$AR$5:$AR$304,MATCH(C469,Products!$A$5:$A$304,0)),""))</f>
        <v>0</v>
      </c>
      <c r="T469" s="20">
        <f>IF(B469="","",IF(F469&lt;&gt;"",F469,IF(S469="",0,S469)))</f>
        <v>0</v>
      </c>
      <c r="U469" s="20">
        <f>IF(B469="","",ROUND(IF(D469="",0,D469)*T469,2))</f>
        <v>0</v>
      </c>
      <c r="V469" s="20">
        <f>IF(B469="","",ROUND(U469-IF(G469="",0,G469)-IF(L469="",0,L469),2))</f>
        <v>0</v>
      </c>
      <c r="W469" s="20">
        <f>IF(C469="","",IFERROR(INDEX(Products!$AT$5:$AT$304,MATCH(C469,Products!$A$5:$A$304,0)),""))</f>
        <v>0</v>
      </c>
      <c r="X469" s="20">
        <f>IF(C469="","",IFERROR(INDEX(Products!$AG$5:$AG$304,MATCH(C469,Products!$A$5:$A$304,0)),""))</f>
        <v>0</v>
      </c>
      <c r="Y469" s="20">
        <f>IF(B469="","",ROUND(IF(D469="",0,D469)*MAX(0,IF(W469="",0,W469)-IF(X469="",0,X469)),2))</f>
        <v>0</v>
      </c>
      <c r="Z469" s="20">
        <f>IF(B469="","",ROUND(MAX(0,IF(J469="",0,J469)-IF(I469="",0,I469)),2))</f>
        <v>0</v>
      </c>
      <c r="AA469" s="33">
        <f>IF(B469="","",IFERROR(INDEX(Channels!$S$5:$S$18,MATCH(IF(E469="",DefaultChannel,E469),Channels!$A$5:$A$18,0)),0))</f>
        <v>0</v>
      </c>
      <c r="AB469" s="20">
        <f>IF(B469="","",IFERROR(INDEX(Channels!$T$5:$T$18,MATCH(IF(E469="",DefaultChannel,E469),Channels!$A$5:$A$18,0)),0))</f>
        <v>0</v>
      </c>
      <c r="AC469" s="42">
        <f>IF(B469="","",IFERROR(INDEX(Channels!$O$5:$O$18,MATCH(IF(E469="",DefaultChannel,E469),Channels!$A$5:$A$18,0)),"No"))</f>
        <v>0</v>
      </c>
      <c r="AD469" s="20">
        <f>IF(B469="","",ROUND((V469+IF(AC469="Yes",IF(I469="",0,I469),0))*AA469+AB469,2))</f>
        <v>0</v>
      </c>
      <c r="AE469" s="20">
        <f>IF(B469="","",IF(K469&lt;&gt;"",K469,AD469))</f>
        <v>0</v>
      </c>
      <c r="AF469" s="20">
        <f>IF(B469="","",IF(K469="","",ROUND(K469-AD469,2)))</f>
        <v>0</v>
      </c>
      <c r="AG469" s="20">
        <f>IF(B469="","",ROUND(V469-Y469-AE469-Z469,2))</f>
        <v>0</v>
      </c>
      <c r="AH469" s="33">
        <f>IF(B469="","",IF(OR(V469="",V469=0),"",AG469/V469))</f>
        <v>0</v>
      </c>
      <c r="AI469" s="33">
        <f>IF(C469="","",IFERROR(INDEX(Products!$AW$5:$AW$304,MATCH(C469,Products!$A$5:$A$304,0)),""))</f>
        <v>0</v>
      </c>
      <c r="AJ469" s="33">
        <f>IF(B469="","",IF(OR(AH469="",AI469=""),"",AH469-AI469))</f>
        <v>0</v>
      </c>
      <c r="AK469" s="41">
        <f>IF(B469="","",IFERROR(ROUND(IF(D469="",0,D469)*INDEX(Products!$X$5:$X$304,MATCH(C469,Products!$A$5:$A$304,0))/60,2),""))</f>
        <v>0</v>
      </c>
      <c r="AL469" s="20">
        <f>IF(B469="","",IF(OR(AK469="",AK469=0),"",ROUND(AG469/AK469,2)))</f>
        <v>0</v>
      </c>
      <c r="AM469" s="43">
        <f>IF(B469="","",IF(C469="","Add - which product?",IF(AG469&lt;0,"Loss - this order cost you money",IF(M469="Refunded","Refunded - check why",IF(AND(AF469&lt;&gt;"",AF469&gt;0.25),"Check - fees higher than your settings",IF(Z469&gt;1,"Check - postage is eating the margin",IF(AND(AH469&lt;&gt;"",AH469&lt;MarginWarning),"Low margin on this order","OK")))))) )</f>
        <v>0</v>
      </c>
    </row>
    <row r="470" spans="1:39">
      <c r="A470" s="38">
        <f>IF(B470="","",SalePrefix&amp;TEXT(ROW()-4,"0000"))</f>
        <v>0</v>
      </c>
      <c r="Q470" s="13">
        <f>IF(C470="","",IFERROR(INDEX(Products!$B$5:$B$304,MATCH(C470,Products!$A$5:$A$304,0)),"Bundle or deleted"))</f>
        <v>0</v>
      </c>
      <c r="R470" s="13">
        <f>IF(B470="","",TEXT(B470,"yyyy-mm"))</f>
        <v>0</v>
      </c>
      <c r="S470" s="20">
        <f>IF(C470="","",IFERROR(INDEX(Products!$AR$5:$AR$304,MATCH(C470,Products!$A$5:$A$304,0)),""))</f>
        <v>0</v>
      </c>
      <c r="T470" s="20">
        <f>IF(B470="","",IF(F470&lt;&gt;"",F470,IF(S470="",0,S470)))</f>
        <v>0</v>
      </c>
      <c r="U470" s="20">
        <f>IF(B470="","",ROUND(IF(D470="",0,D470)*T470,2))</f>
        <v>0</v>
      </c>
      <c r="V470" s="20">
        <f>IF(B470="","",ROUND(U470-IF(G470="",0,G470)-IF(L470="",0,L470),2))</f>
        <v>0</v>
      </c>
      <c r="W470" s="20">
        <f>IF(C470="","",IFERROR(INDEX(Products!$AT$5:$AT$304,MATCH(C470,Products!$A$5:$A$304,0)),""))</f>
        <v>0</v>
      </c>
      <c r="X470" s="20">
        <f>IF(C470="","",IFERROR(INDEX(Products!$AG$5:$AG$304,MATCH(C470,Products!$A$5:$A$304,0)),""))</f>
        <v>0</v>
      </c>
      <c r="Y470" s="20">
        <f>IF(B470="","",ROUND(IF(D470="",0,D470)*MAX(0,IF(W470="",0,W470)-IF(X470="",0,X470)),2))</f>
        <v>0</v>
      </c>
      <c r="Z470" s="20">
        <f>IF(B470="","",ROUND(MAX(0,IF(J470="",0,J470)-IF(I470="",0,I470)),2))</f>
        <v>0</v>
      </c>
      <c r="AA470" s="33">
        <f>IF(B470="","",IFERROR(INDEX(Channels!$S$5:$S$18,MATCH(IF(E470="",DefaultChannel,E470),Channels!$A$5:$A$18,0)),0))</f>
        <v>0</v>
      </c>
      <c r="AB470" s="20">
        <f>IF(B470="","",IFERROR(INDEX(Channels!$T$5:$T$18,MATCH(IF(E470="",DefaultChannel,E470),Channels!$A$5:$A$18,0)),0))</f>
        <v>0</v>
      </c>
      <c r="AC470" s="42">
        <f>IF(B470="","",IFERROR(INDEX(Channels!$O$5:$O$18,MATCH(IF(E470="",DefaultChannel,E470),Channels!$A$5:$A$18,0)),"No"))</f>
        <v>0</v>
      </c>
      <c r="AD470" s="20">
        <f>IF(B470="","",ROUND((V470+IF(AC470="Yes",IF(I470="",0,I470),0))*AA470+AB470,2))</f>
        <v>0</v>
      </c>
      <c r="AE470" s="20">
        <f>IF(B470="","",IF(K470&lt;&gt;"",K470,AD470))</f>
        <v>0</v>
      </c>
      <c r="AF470" s="20">
        <f>IF(B470="","",IF(K470="","",ROUND(K470-AD470,2)))</f>
        <v>0</v>
      </c>
      <c r="AG470" s="20">
        <f>IF(B470="","",ROUND(V470-Y470-AE470-Z470,2))</f>
        <v>0</v>
      </c>
      <c r="AH470" s="33">
        <f>IF(B470="","",IF(OR(V470="",V470=0),"",AG470/V470))</f>
        <v>0</v>
      </c>
      <c r="AI470" s="33">
        <f>IF(C470="","",IFERROR(INDEX(Products!$AW$5:$AW$304,MATCH(C470,Products!$A$5:$A$304,0)),""))</f>
        <v>0</v>
      </c>
      <c r="AJ470" s="33">
        <f>IF(B470="","",IF(OR(AH470="",AI470=""),"",AH470-AI470))</f>
        <v>0</v>
      </c>
      <c r="AK470" s="41">
        <f>IF(B470="","",IFERROR(ROUND(IF(D470="",0,D470)*INDEX(Products!$X$5:$X$304,MATCH(C470,Products!$A$5:$A$304,0))/60,2),""))</f>
        <v>0</v>
      </c>
      <c r="AL470" s="20">
        <f>IF(B470="","",IF(OR(AK470="",AK470=0),"",ROUND(AG470/AK470,2)))</f>
        <v>0</v>
      </c>
      <c r="AM470" s="43">
        <f>IF(B470="","",IF(C470="","Add - which product?",IF(AG470&lt;0,"Loss - this order cost you money",IF(M470="Refunded","Refunded - check why",IF(AND(AF470&lt;&gt;"",AF470&gt;0.25),"Check - fees higher than your settings",IF(Z470&gt;1,"Check - postage is eating the margin",IF(AND(AH470&lt;&gt;"",AH470&lt;MarginWarning),"Low margin on this order","OK")))))) )</f>
        <v>0</v>
      </c>
    </row>
    <row r="471" spans="1:39">
      <c r="A471" s="38">
        <f>IF(B471="","",SalePrefix&amp;TEXT(ROW()-4,"0000"))</f>
        <v>0</v>
      </c>
      <c r="Q471" s="13">
        <f>IF(C471="","",IFERROR(INDEX(Products!$B$5:$B$304,MATCH(C471,Products!$A$5:$A$304,0)),"Bundle or deleted"))</f>
        <v>0</v>
      </c>
      <c r="R471" s="13">
        <f>IF(B471="","",TEXT(B471,"yyyy-mm"))</f>
        <v>0</v>
      </c>
      <c r="S471" s="20">
        <f>IF(C471="","",IFERROR(INDEX(Products!$AR$5:$AR$304,MATCH(C471,Products!$A$5:$A$304,0)),""))</f>
        <v>0</v>
      </c>
      <c r="T471" s="20">
        <f>IF(B471="","",IF(F471&lt;&gt;"",F471,IF(S471="",0,S471)))</f>
        <v>0</v>
      </c>
      <c r="U471" s="20">
        <f>IF(B471="","",ROUND(IF(D471="",0,D471)*T471,2))</f>
        <v>0</v>
      </c>
      <c r="V471" s="20">
        <f>IF(B471="","",ROUND(U471-IF(G471="",0,G471)-IF(L471="",0,L471),2))</f>
        <v>0</v>
      </c>
      <c r="W471" s="20">
        <f>IF(C471="","",IFERROR(INDEX(Products!$AT$5:$AT$304,MATCH(C471,Products!$A$5:$A$304,0)),""))</f>
        <v>0</v>
      </c>
      <c r="X471" s="20">
        <f>IF(C471="","",IFERROR(INDEX(Products!$AG$5:$AG$304,MATCH(C471,Products!$A$5:$A$304,0)),""))</f>
        <v>0</v>
      </c>
      <c r="Y471" s="20">
        <f>IF(B471="","",ROUND(IF(D471="",0,D471)*MAX(0,IF(W471="",0,W471)-IF(X471="",0,X471)),2))</f>
        <v>0</v>
      </c>
      <c r="Z471" s="20">
        <f>IF(B471="","",ROUND(MAX(0,IF(J471="",0,J471)-IF(I471="",0,I471)),2))</f>
        <v>0</v>
      </c>
      <c r="AA471" s="33">
        <f>IF(B471="","",IFERROR(INDEX(Channels!$S$5:$S$18,MATCH(IF(E471="",DefaultChannel,E471),Channels!$A$5:$A$18,0)),0))</f>
        <v>0</v>
      </c>
      <c r="AB471" s="20">
        <f>IF(B471="","",IFERROR(INDEX(Channels!$T$5:$T$18,MATCH(IF(E471="",DefaultChannel,E471),Channels!$A$5:$A$18,0)),0))</f>
        <v>0</v>
      </c>
      <c r="AC471" s="42">
        <f>IF(B471="","",IFERROR(INDEX(Channels!$O$5:$O$18,MATCH(IF(E471="",DefaultChannel,E471),Channels!$A$5:$A$18,0)),"No"))</f>
        <v>0</v>
      </c>
      <c r="AD471" s="20">
        <f>IF(B471="","",ROUND((V471+IF(AC471="Yes",IF(I471="",0,I471),0))*AA471+AB471,2))</f>
        <v>0</v>
      </c>
      <c r="AE471" s="20">
        <f>IF(B471="","",IF(K471&lt;&gt;"",K471,AD471))</f>
        <v>0</v>
      </c>
      <c r="AF471" s="20">
        <f>IF(B471="","",IF(K471="","",ROUND(K471-AD471,2)))</f>
        <v>0</v>
      </c>
      <c r="AG471" s="20">
        <f>IF(B471="","",ROUND(V471-Y471-AE471-Z471,2))</f>
        <v>0</v>
      </c>
      <c r="AH471" s="33">
        <f>IF(B471="","",IF(OR(V471="",V471=0),"",AG471/V471))</f>
        <v>0</v>
      </c>
      <c r="AI471" s="33">
        <f>IF(C471="","",IFERROR(INDEX(Products!$AW$5:$AW$304,MATCH(C471,Products!$A$5:$A$304,0)),""))</f>
        <v>0</v>
      </c>
      <c r="AJ471" s="33">
        <f>IF(B471="","",IF(OR(AH471="",AI471=""),"",AH471-AI471))</f>
        <v>0</v>
      </c>
      <c r="AK471" s="41">
        <f>IF(B471="","",IFERROR(ROUND(IF(D471="",0,D471)*INDEX(Products!$X$5:$X$304,MATCH(C471,Products!$A$5:$A$304,0))/60,2),""))</f>
        <v>0</v>
      </c>
      <c r="AL471" s="20">
        <f>IF(B471="","",IF(OR(AK471="",AK471=0),"",ROUND(AG471/AK471,2)))</f>
        <v>0</v>
      </c>
      <c r="AM471" s="43">
        <f>IF(B471="","",IF(C471="","Add - which product?",IF(AG471&lt;0,"Loss - this order cost you money",IF(M471="Refunded","Refunded - check why",IF(AND(AF471&lt;&gt;"",AF471&gt;0.25),"Check - fees higher than your settings",IF(Z471&gt;1,"Check - postage is eating the margin",IF(AND(AH471&lt;&gt;"",AH471&lt;MarginWarning),"Low margin on this order","OK")))))) )</f>
        <v>0</v>
      </c>
    </row>
    <row r="472" spans="1:39">
      <c r="A472" s="38">
        <f>IF(B472="","",SalePrefix&amp;TEXT(ROW()-4,"0000"))</f>
        <v>0</v>
      </c>
      <c r="Q472" s="13">
        <f>IF(C472="","",IFERROR(INDEX(Products!$B$5:$B$304,MATCH(C472,Products!$A$5:$A$304,0)),"Bundle or deleted"))</f>
        <v>0</v>
      </c>
      <c r="R472" s="13">
        <f>IF(B472="","",TEXT(B472,"yyyy-mm"))</f>
        <v>0</v>
      </c>
      <c r="S472" s="20">
        <f>IF(C472="","",IFERROR(INDEX(Products!$AR$5:$AR$304,MATCH(C472,Products!$A$5:$A$304,0)),""))</f>
        <v>0</v>
      </c>
      <c r="T472" s="20">
        <f>IF(B472="","",IF(F472&lt;&gt;"",F472,IF(S472="",0,S472)))</f>
        <v>0</v>
      </c>
      <c r="U472" s="20">
        <f>IF(B472="","",ROUND(IF(D472="",0,D472)*T472,2))</f>
        <v>0</v>
      </c>
      <c r="V472" s="20">
        <f>IF(B472="","",ROUND(U472-IF(G472="",0,G472)-IF(L472="",0,L472),2))</f>
        <v>0</v>
      </c>
      <c r="W472" s="20">
        <f>IF(C472="","",IFERROR(INDEX(Products!$AT$5:$AT$304,MATCH(C472,Products!$A$5:$A$304,0)),""))</f>
        <v>0</v>
      </c>
      <c r="X472" s="20">
        <f>IF(C472="","",IFERROR(INDEX(Products!$AG$5:$AG$304,MATCH(C472,Products!$A$5:$A$304,0)),""))</f>
        <v>0</v>
      </c>
      <c r="Y472" s="20">
        <f>IF(B472="","",ROUND(IF(D472="",0,D472)*MAX(0,IF(W472="",0,W472)-IF(X472="",0,X472)),2))</f>
        <v>0</v>
      </c>
      <c r="Z472" s="20">
        <f>IF(B472="","",ROUND(MAX(0,IF(J472="",0,J472)-IF(I472="",0,I472)),2))</f>
        <v>0</v>
      </c>
      <c r="AA472" s="33">
        <f>IF(B472="","",IFERROR(INDEX(Channels!$S$5:$S$18,MATCH(IF(E472="",DefaultChannel,E472),Channels!$A$5:$A$18,0)),0))</f>
        <v>0</v>
      </c>
      <c r="AB472" s="20">
        <f>IF(B472="","",IFERROR(INDEX(Channels!$T$5:$T$18,MATCH(IF(E472="",DefaultChannel,E472),Channels!$A$5:$A$18,0)),0))</f>
        <v>0</v>
      </c>
      <c r="AC472" s="42">
        <f>IF(B472="","",IFERROR(INDEX(Channels!$O$5:$O$18,MATCH(IF(E472="",DefaultChannel,E472),Channels!$A$5:$A$18,0)),"No"))</f>
        <v>0</v>
      </c>
      <c r="AD472" s="20">
        <f>IF(B472="","",ROUND((V472+IF(AC472="Yes",IF(I472="",0,I472),0))*AA472+AB472,2))</f>
        <v>0</v>
      </c>
      <c r="AE472" s="20">
        <f>IF(B472="","",IF(K472&lt;&gt;"",K472,AD472))</f>
        <v>0</v>
      </c>
      <c r="AF472" s="20">
        <f>IF(B472="","",IF(K472="","",ROUND(K472-AD472,2)))</f>
        <v>0</v>
      </c>
      <c r="AG472" s="20">
        <f>IF(B472="","",ROUND(V472-Y472-AE472-Z472,2))</f>
        <v>0</v>
      </c>
      <c r="AH472" s="33">
        <f>IF(B472="","",IF(OR(V472="",V472=0),"",AG472/V472))</f>
        <v>0</v>
      </c>
      <c r="AI472" s="33">
        <f>IF(C472="","",IFERROR(INDEX(Products!$AW$5:$AW$304,MATCH(C472,Products!$A$5:$A$304,0)),""))</f>
        <v>0</v>
      </c>
      <c r="AJ472" s="33">
        <f>IF(B472="","",IF(OR(AH472="",AI472=""),"",AH472-AI472))</f>
        <v>0</v>
      </c>
      <c r="AK472" s="41">
        <f>IF(B472="","",IFERROR(ROUND(IF(D472="",0,D472)*INDEX(Products!$X$5:$X$304,MATCH(C472,Products!$A$5:$A$304,0))/60,2),""))</f>
        <v>0</v>
      </c>
      <c r="AL472" s="20">
        <f>IF(B472="","",IF(OR(AK472="",AK472=0),"",ROUND(AG472/AK472,2)))</f>
        <v>0</v>
      </c>
      <c r="AM472" s="43">
        <f>IF(B472="","",IF(C472="","Add - which product?",IF(AG472&lt;0,"Loss - this order cost you money",IF(M472="Refunded","Refunded - check why",IF(AND(AF472&lt;&gt;"",AF472&gt;0.25),"Check - fees higher than your settings",IF(Z472&gt;1,"Check - postage is eating the margin",IF(AND(AH472&lt;&gt;"",AH472&lt;MarginWarning),"Low margin on this order","OK")))))) )</f>
        <v>0</v>
      </c>
    </row>
    <row r="473" spans="1:39">
      <c r="A473" s="38">
        <f>IF(B473="","",SalePrefix&amp;TEXT(ROW()-4,"0000"))</f>
        <v>0</v>
      </c>
      <c r="Q473" s="13">
        <f>IF(C473="","",IFERROR(INDEX(Products!$B$5:$B$304,MATCH(C473,Products!$A$5:$A$304,0)),"Bundle or deleted"))</f>
        <v>0</v>
      </c>
      <c r="R473" s="13">
        <f>IF(B473="","",TEXT(B473,"yyyy-mm"))</f>
        <v>0</v>
      </c>
      <c r="S473" s="20">
        <f>IF(C473="","",IFERROR(INDEX(Products!$AR$5:$AR$304,MATCH(C473,Products!$A$5:$A$304,0)),""))</f>
        <v>0</v>
      </c>
      <c r="T473" s="20">
        <f>IF(B473="","",IF(F473&lt;&gt;"",F473,IF(S473="",0,S473)))</f>
        <v>0</v>
      </c>
      <c r="U473" s="20">
        <f>IF(B473="","",ROUND(IF(D473="",0,D473)*T473,2))</f>
        <v>0</v>
      </c>
      <c r="V473" s="20">
        <f>IF(B473="","",ROUND(U473-IF(G473="",0,G473)-IF(L473="",0,L473),2))</f>
        <v>0</v>
      </c>
      <c r="W473" s="20">
        <f>IF(C473="","",IFERROR(INDEX(Products!$AT$5:$AT$304,MATCH(C473,Products!$A$5:$A$304,0)),""))</f>
        <v>0</v>
      </c>
      <c r="X473" s="20">
        <f>IF(C473="","",IFERROR(INDEX(Products!$AG$5:$AG$304,MATCH(C473,Products!$A$5:$A$304,0)),""))</f>
        <v>0</v>
      </c>
      <c r="Y473" s="20">
        <f>IF(B473="","",ROUND(IF(D473="",0,D473)*MAX(0,IF(W473="",0,W473)-IF(X473="",0,X473)),2))</f>
        <v>0</v>
      </c>
      <c r="Z473" s="20">
        <f>IF(B473="","",ROUND(MAX(0,IF(J473="",0,J473)-IF(I473="",0,I473)),2))</f>
        <v>0</v>
      </c>
      <c r="AA473" s="33">
        <f>IF(B473="","",IFERROR(INDEX(Channels!$S$5:$S$18,MATCH(IF(E473="",DefaultChannel,E473),Channels!$A$5:$A$18,0)),0))</f>
        <v>0</v>
      </c>
      <c r="AB473" s="20">
        <f>IF(B473="","",IFERROR(INDEX(Channels!$T$5:$T$18,MATCH(IF(E473="",DefaultChannel,E473),Channels!$A$5:$A$18,0)),0))</f>
        <v>0</v>
      </c>
      <c r="AC473" s="42">
        <f>IF(B473="","",IFERROR(INDEX(Channels!$O$5:$O$18,MATCH(IF(E473="",DefaultChannel,E473),Channels!$A$5:$A$18,0)),"No"))</f>
        <v>0</v>
      </c>
      <c r="AD473" s="20">
        <f>IF(B473="","",ROUND((V473+IF(AC473="Yes",IF(I473="",0,I473),0))*AA473+AB473,2))</f>
        <v>0</v>
      </c>
      <c r="AE473" s="20">
        <f>IF(B473="","",IF(K473&lt;&gt;"",K473,AD473))</f>
        <v>0</v>
      </c>
      <c r="AF473" s="20">
        <f>IF(B473="","",IF(K473="","",ROUND(K473-AD473,2)))</f>
        <v>0</v>
      </c>
      <c r="AG473" s="20">
        <f>IF(B473="","",ROUND(V473-Y473-AE473-Z473,2))</f>
        <v>0</v>
      </c>
      <c r="AH473" s="33">
        <f>IF(B473="","",IF(OR(V473="",V473=0),"",AG473/V473))</f>
        <v>0</v>
      </c>
      <c r="AI473" s="33">
        <f>IF(C473="","",IFERROR(INDEX(Products!$AW$5:$AW$304,MATCH(C473,Products!$A$5:$A$304,0)),""))</f>
        <v>0</v>
      </c>
      <c r="AJ473" s="33">
        <f>IF(B473="","",IF(OR(AH473="",AI473=""),"",AH473-AI473))</f>
        <v>0</v>
      </c>
      <c r="AK473" s="41">
        <f>IF(B473="","",IFERROR(ROUND(IF(D473="",0,D473)*INDEX(Products!$X$5:$X$304,MATCH(C473,Products!$A$5:$A$304,0))/60,2),""))</f>
        <v>0</v>
      </c>
      <c r="AL473" s="20">
        <f>IF(B473="","",IF(OR(AK473="",AK473=0),"",ROUND(AG473/AK473,2)))</f>
        <v>0</v>
      </c>
      <c r="AM473" s="43">
        <f>IF(B473="","",IF(C473="","Add - which product?",IF(AG473&lt;0,"Loss - this order cost you money",IF(M473="Refunded","Refunded - check why",IF(AND(AF473&lt;&gt;"",AF473&gt;0.25),"Check - fees higher than your settings",IF(Z473&gt;1,"Check - postage is eating the margin",IF(AND(AH473&lt;&gt;"",AH473&lt;MarginWarning),"Low margin on this order","OK")))))) )</f>
        <v>0</v>
      </c>
    </row>
    <row r="474" spans="1:39">
      <c r="A474" s="38">
        <f>IF(B474="","",SalePrefix&amp;TEXT(ROW()-4,"0000"))</f>
        <v>0</v>
      </c>
      <c r="Q474" s="13">
        <f>IF(C474="","",IFERROR(INDEX(Products!$B$5:$B$304,MATCH(C474,Products!$A$5:$A$304,0)),"Bundle or deleted"))</f>
        <v>0</v>
      </c>
      <c r="R474" s="13">
        <f>IF(B474="","",TEXT(B474,"yyyy-mm"))</f>
        <v>0</v>
      </c>
      <c r="S474" s="20">
        <f>IF(C474="","",IFERROR(INDEX(Products!$AR$5:$AR$304,MATCH(C474,Products!$A$5:$A$304,0)),""))</f>
        <v>0</v>
      </c>
      <c r="T474" s="20">
        <f>IF(B474="","",IF(F474&lt;&gt;"",F474,IF(S474="",0,S474)))</f>
        <v>0</v>
      </c>
      <c r="U474" s="20">
        <f>IF(B474="","",ROUND(IF(D474="",0,D474)*T474,2))</f>
        <v>0</v>
      </c>
      <c r="V474" s="20">
        <f>IF(B474="","",ROUND(U474-IF(G474="",0,G474)-IF(L474="",0,L474),2))</f>
        <v>0</v>
      </c>
      <c r="W474" s="20">
        <f>IF(C474="","",IFERROR(INDEX(Products!$AT$5:$AT$304,MATCH(C474,Products!$A$5:$A$304,0)),""))</f>
        <v>0</v>
      </c>
      <c r="X474" s="20">
        <f>IF(C474="","",IFERROR(INDEX(Products!$AG$5:$AG$304,MATCH(C474,Products!$A$5:$A$304,0)),""))</f>
        <v>0</v>
      </c>
      <c r="Y474" s="20">
        <f>IF(B474="","",ROUND(IF(D474="",0,D474)*MAX(0,IF(W474="",0,W474)-IF(X474="",0,X474)),2))</f>
        <v>0</v>
      </c>
      <c r="Z474" s="20">
        <f>IF(B474="","",ROUND(MAX(0,IF(J474="",0,J474)-IF(I474="",0,I474)),2))</f>
        <v>0</v>
      </c>
      <c r="AA474" s="33">
        <f>IF(B474="","",IFERROR(INDEX(Channels!$S$5:$S$18,MATCH(IF(E474="",DefaultChannel,E474),Channels!$A$5:$A$18,0)),0))</f>
        <v>0</v>
      </c>
      <c r="AB474" s="20">
        <f>IF(B474="","",IFERROR(INDEX(Channels!$T$5:$T$18,MATCH(IF(E474="",DefaultChannel,E474),Channels!$A$5:$A$18,0)),0))</f>
        <v>0</v>
      </c>
      <c r="AC474" s="42">
        <f>IF(B474="","",IFERROR(INDEX(Channels!$O$5:$O$18,MATCH(IF(E474="",DefaultChannel,E474),Channels!$A$5:$A$18,0)),"No"))</f>
        <v>0</v>
      </c>
      <c r="AD474" s="20">
        <f>IF(B474="","",ROUND((V474+IF(AC474="Yes",IF(I474="",0,I474),0))*AA474+AB474,2))</f>
        <v>0</v>
      </c>
      <c r="AE474" s="20">
        <f>IF(B474="","",IF(K474&lt;&gt;"",K474,AD474))</f>
        <v>0</v>
      </c>
      <c r="AF474" s="20">
        <f>IF(B474="","",IF(K474="","",ROUND(K474-AD474,2)))</f>
        <v>0</v>
      </c>
      <c r="AG474" s="20">
        <f>IF(B474="","",ROUND(V474-Y474-AE474-Z474,2))</f>
        <v>0</v>
      </c>
      <c r="AH474" s="33">
        <f>IF(B474="","",IF(OR(V474="",V474=0),"",AG474/V474))</f>
        <v>0</v>
      </c>
      <c r="AI474" s="33">
        <f>IF(C474="","",IFERROR(INDEX(Products!$AW$5:$AW$304,MATCH(C474,Products!$A$5:$A$304,0)),""))</f>
        <v>0</v>
      </c>
      <c r="AJ474" s="33">
        <f>IF(B474="","",IF(OR(AH474="",AI474=""),"",AH474-AI474))</f>
        <v>0</v>
      </c>
      <c r="AK474" s="41">
        <f>IF(B474="","",IFERROR(ROUND(IF(D474="",0,D474)*INDEX(Products!$X$5:$X$304,MATCH(C474,Products!$A$5:$A$304,0))/60,2),""))</f>
        <v>0</v>
      </c>
      <c r="AL474" s="20">
        <f>IF(B474="","",IF(OR(AK474="",AK474=0),"",ROUND(AG474/AK474,2)))</f>
        <v>0</v>
      </c>
      <c r="AM474" s="43">
        <f>IF(B474="","",IF(C474="","Add - which product?",IF(AG474&lt;0,"Loss - this order cost you money",IF(M474="Refunded","Refunded - check why",IF(AND(AF474&lt;&gt;"",AF474&gt;0.25),"Check - fees higher than your settings",IF(Z474&gt;1,"Check - postage is eating the margin",IF(AND(AH474&lt;&gt;"",AH474&lt;MarginWarning),"Low margin on this order","OK")))))) )</f>
        <v>0</v>
      </c>
    </row>
    <row r="475" spans="1:39">
      <c r="A475" s="38">
        <f>IF(B475="","",SalePrefix&amp;TEXT(ROW()-4,"0000"))</f>
        <v>0</v>
      </c>
      <c r="Q475" s="13">
        <f>IF(C475="","",IFERROR(INDEX(Products!$B$5:$B$304,MATCH(C475,Products!$A$5:$A$304,0)),"Bundle or deleted"))</f>
        <v>0</v>
      </c>
      <c r="R475" s="13">
        <f>IF(B475="","",TEXT(B475,"yyyy-mm"))</f>
        <v>0</v>
      </c>
      <c r="S475" s="20">
        <f>IF(C475="","",IFERROR(INDEX(Products!$AR$5:$AR$304,MATCH(C475,Products!$A$5:$A$304,0)),""))</f>
        <v>0</v>
      </c>
      <c r="T475" s="20">
        <f>IF(B475="","",IF(F475&lt;&gt;"",F475,IF(S475="",0,S475)))</f>
        <v>0</v>
      </c>
      <c r="U475" s="20">
        <f>IF(B475="","",ROUND(IF(D475="",0,D475)*T475,2))</f>
        <v>0</v>
      </c>
      <c r="V475" s="20">
        <f>IF(B475="","",ROUND(U475-IF(G475="",0,G475)-IF(L475="",0,L475),2))</f>
        <v>0</v>
      </c>
      <c r="W475" s="20">
        <f>IF(C475="","",IFERROR(INDEX(Products!$AT$5:$AT$304,MATCH(C475,Products!$A$5:$A$304,0)),""))</f>
        <v>0</v>
      </c>
      <c r="X475" s="20">
        <f>IF(C475="","",IFERROR(INDEX(Products!$AG$5:$AG$304,MATCH(C475,Products!$A$5:$A$304,0)),""))</f>
        <v>0</v>
      </c>
      <c r="Y475" s="20">
        <f>IF(B475="","",ROUND(IF(D475="",0,D475)*MAX(0,IF(W475="",0,W475)-IF(X475="",0,X475)),2))</f>
        <v>0</v>
      </c>
      <c r="Z475" s="20">
        <f>IF(B475="","",ROUND(MAX(0,IF(J475="",0,J475)-IF(I475="",0,I475)),2))</f>
        <v>0</v>
      </c>
      <c r="AA475" s="33">
        <f>IF(B475="","",IFERROR(INDEX(Channels!$S$5:$S$18,MATCH(IF(E475="",DefaultChannel,E475),Channels!$A$5:$A$18,0)),0))</f>
        <v>0</v>
      </c>
      <c r="AB475" s="20">
        <f>IF(B475="","",IFERROR(INDEX(Channels!$T$5:$T$18,MATCH(IF(E475="",DefaultChannel,E475),Channels!$A$5:$A$18,0)),0))</f>
        <v>0</v>
      </c>
      <c r="AC475" s="42">
        <f>IF(B475="","",IFERROR(INDEX(Channels!$O$5:$O$18,MATCH(IF(E475="",DefaultChannel,E475),Channels!$A$5:$A$18,0)),"No"))</f>
        <v>0</v>
      </c>
      <c r="AD475" s="20">
        <f>IF(B475="","",ROUND((V475+IF(AC475="Yes",IF(I475="",0,I475),0))*AA475+AB475,2))</f>
        <v>0</v>
      </c>
      <c r="AE475" s="20">
        <f>IF(B475="","",IF(K475&lt;&gt;"",K475,AD475))</f>
        <v>0</v>
      </c>
      <c r="AF475" s="20">
        <f>IF(B475="","",IF(K475="","",ROUND(K475-AD475,2)))</f>
        <v>0</v>
      </c>
      <c r="AG475" s="20">
        <f>IF(B475="","",ROUND(V475-Y475-AE475-Z475,2))</f>
        <v>0</v>
      </c>
      <c r="AH475" s="33">
        <f>IF(B475="","",IF(OR(V475="",V475=0),"",AG475/V475))</f>
        <v>0</v>
      </c>
      <c r="AI475" s="33">
        <f>IF(C475="","",IFERROR(INDEX(Products!$AW$5:$AW$304,MATCH(C475,Products!$A$5:$A$304,0)),""))</f>
        <v>0</v>
      </c>
      <c r="AJ475" s="33">
        <f>IF(B475="","",IF(OR(AH475="",AI475=""),"",AH475-AI475))</f>
        <v>0</v>
      </c>
      <c r="AK475" s="41">
        <f>IF(B475="","",IFERROR(ROUND(IF(D475="",0,D475)*INDEX(Products!$X$5:$X$304,MATCH(C475,Products!$A$5:$A$304,0))/60,2),""))</f>
        <v>0</v>
      </c>
      <c r="AL475" s="20">
        <f>IF(B475="","",IF(OR(AK475="",AK475=0),"",ROUND(AG475/AK475,2)))</f>
        <v>0</v>
      </c>
      <c r="AM475" s="43">
        <f>IF(B475="","",IF(C475="","Add - which product?",IF(AG475&lt;0,"Loss - this order cost you money",IF(M475="Refunded","Refunded - check why",IF(AND(AF475&lt;&gt;"",AF475&gt;0.25),"Check - fees higher than your settings",IF(Z475&gt;1,"Check - postage is eating the margin",IF(AND(AH475&lt;&gt;"",AH475&lt;MarginWarning),"Low margin on this order","OK")))))) )</f>
        <v>0</v>
      </c>
    </row>
    <row r="476" spans="1:39">
      <c r="A476" s="38">
        <f>IF(B476="","",SalePrefix&amp;TEXT(ROW()-4,"0000"))</f>
        <v>0</v>
      </c>
      <c r="Q476" s="13">
        <f>IF(C476="","",IFERROR(INDEX(Products!$B$5:$B$304,MATCH(C476,Products!$A$5:$A$304,0)),"Bundle or deleted"))</f>
        <v>0</v>
      </c>
      <c r="R476" s="13">
        <f>IF(B476="","",TEXT(B476,"yyyy-mm"))</f>
        <v>0</v>
      </c>
      <c r="S476" s="20">
        <f>IF(C476="","",IFERROR(INDEX(Products!$AR$5:$AR$304,MATCH(C476,Products!$A$5:$A$304,0)),""))</f>
        <v>0</v>
      </c>
      <c r="T476" s="20">
        <f>IF(B476="","",IF(F476&lt;&gt;"",F476,IF(S476="",0,S476)))</f>
        <v>0</v>
      </c>
      <c r="U476" s="20">
        <f>IF(B476="","",ROUND(IF(D476="",0,D476)*T476,2))</f>
        <v>0</v>
      </c>
      <c r="V476" s="20">
        <f>IF(B476="","",ROUND(U476-IF(G476="",0,G476)-IF(L476="",0,L476),2))</f>
        <v>0</v>
      </c>
      <c r="W476" s="20">
        <f>IF(C476="","",IFERROR(INDEX(Products!$AT$5:$AT$304,MATCH(C476,Products!$A$5:$A$304,0)),""))</f>
        <v>0</v>
      </c>
      <c r="X476" s="20">
        <f>IF(C476="","",IFERROR(INDEX(Products!$AG$5:$AG$304,MATCH(C476,Products!$A$5:$A$304,0)),""))</f>
        <v>0</v>
      </c>
      <c r="Y476" s="20">
        <f>IF(B476="","",ROUND(IF(D476="",0,D476)*MAX(0,IF(W476="",0,W476)-IF(X476="",0,X476)),2))</f>
        <v>0</v>
      </c>
      <c r="Z476" s="20">
        <f>IF(B476="","",ROUND(MAX(0,IF(J476="",0,J476)-IF(I476="",0,I476)),2))</f>
        <v>0</v>
      </c>
      <c r="AA476" s="33">
        <f>IF(B476="","",IFERROR(INDEX(Channels!$S$5:$S$18,MATCH(IF(E476="",DefaultChannel,E476),Channels!$A$5:$A$18,0)),0))</f>
        <v>0</v>
      </c>
      <c r="AB476" s="20">
        <f>IF(B476="","",IFERROR(INDEX(Channels!$T$5:$T$18,MATCH(IF(E476="",DefaultChannel,E476),Channels!$A$5:$A$18,0)),0))</f>
        <v>0</v>
      </c>
      <c r="AC476" s="42">
        <f>IF(B476="","",IFERROR(INDEX(Channels!$O$5:$O$18,MATCH(IF(E476="",DefaultChannel,E476),Channels!$A$5:$A$18,0)),"No"))</f>
        <v>0</v>
      </c>
      <c r="AD476" s="20">
        <f>IF(B476="","",ROUND((V476+IF(AC476="Yes",IF(I476="",0,I476),0))*AA476+AB476,2))</f>
        <v>0</v>
      </c>
      <c r="AE476" s="20">
        <f>IF(B476="","",IF(K476&lt;&gt;"",K476,AD476))</f>
        <v>0</v>
      </c>
      <c r="AF476" s="20">
        <f>IF(B476="","",IF(K476="","",ROUND(K476-AD476,2)))</f>
        <v>0</v>
      </c>
      <c r="AG476" s="20">
        <f>IF(B476="","",ROUND(V476-Y476-AE476-Z476,2))</f>
        <v>0</v>
      </c>
      <c r="AH476" s="33">
        <f>IF(B476="","",IF(OR(V476="",V476=0),"",AG476/V476))</f>
        <v>0</v>
      </c>
      <c r="AI476" s="33">
        <f>IF(C476="","",IFERROR(INDEX(Products!$AW$5:$AW$304,MATCH(C476,Products!$A$5:$A$304,0)),""))</f>
        <v>0</v>
      </c>
      <c r="AJ476" s="33">
        <f>IF(B476="","",IF(OR(AH476="",AI476=""),"",AH476-AI476))</f>
        <v>0</v>
      </c>
      <c r="AK476" s="41">
        <f>IF(B476="","",IFERROR(ROUND(IF(D476="",0,D476)*INDEX(Products!$X$5:$X$304,MATCH(C476,Products!$A$5:$A$304,0))/60,2),""))</f>
        <v>0</v>
      </c>
      <c r="AL476" s="20">
        <f>IF(B476="","",IF(OR(AK476="",AK476=0),"",ROUND(AG476/AK476,2)))</f>
        <v>0</v>
      </c>
      <c r="AM476" s="43">
        <f>IF(B476="","",IF(C476="","Add - which product?",IF(AG476&lt;0,"Loss - this order cost you money",IF(M476="Refunded","Refunded - check why",IF(AND(AF476&lt;&gt;"",AF476&gt;0.25),"Check - fees higher than your settings",IF(Z476&gt;1,"Check - postage is eating the margin",IF(AND(AH476&lt;&gt;"",AH476&lt;MarginWarning),"Low margin on this order","OK")))))) )</f>
        <v>0</v>
      </c>
    </row>
    <row r="477" spans="1:39">
      <c r="A477" s="38">
        <f>IF(B477="","",SalePrefix&amp;TEXT(ROW()-4,"0000"))</f>
        <v>0</v>
      </c>
      <c r="Q477" s="13">
        <f>IF(C477="","",IFERROR(INDEX(Products!$B$5:$B$304,MATCH(C477,Products!$A$5:$A$304,0)),"Bundle or deleted"))</f>
        <v>0</v>
      </c>
      <c r="R477" s="13">
        <f>IF(B477="","",TEXT(B477,"yyyy-mm"))</f>
        <v>0</v>
      </c>
      <c r="S477" s="20">
        <f>IF(C477="","",IFERROR(INDEX(Products!$AR$5:$AR$304,MATCH(C477,Products!$A$5:$A$304,0)),""))</f>
        <v>0</v>
      </c>
      <c r="T477" s="20">
        <f>IF(B477="","",IF(F477&lt;&gt;"",F477,IF(S477="",0,S477)))</f>
        <v>0</v>
      </c>
      <c r="U477" s="20">
        <f>IF(B477="","",ROUND(IF(D477="",0,D477)*T477,2))</f>
        <v>0</v>
      </c>
      <c r="V477" s="20">
        <f>IF(B477="","",ROUND(U477-IF(G477="",0,G477)-IF(L477="",0,L477),2))</f>
        <v>0</v>
      </c>
      <c r="W477" s="20">
        <f>IF(C477="","",IFERROR(INDEX(Products!$AT$5:$AT$304,MATCH(C477,Products!$A$5:$A$304,0)),""))</f>
        <v>0</v>
      </c>
      <c r="X477" s="20">
        <f>IF(C477="","",IFERROR(INDEX(Products!$AG$5:$AG$304,MATCH(C477,Products!$A$5:$A$304,0)),""))</f>
        <v>0</v>
      </c>
      <c r="Y477" s="20">
        <f>IF(B477="","",ROUND(IF(D477="",0,D477)*MAX(0,IF(W477="",0,W477)-IF(X477="",0,X477)),2))</f>
        <v>0</v>
      </c>
      <c r="Z477" s="20">
        <f>IF(B477="","",ROUND(MAX(0,IF(J477="",0,J477)-IF(I477="",0,I477)),2))</f>
        <v>0</v>
      </c>
      <c r="AA477" s="33">
        <f>IF(B477="","",IFERROR(INDEX(Channels!$S$5:$S$18,MATCH(IF(E477="",DefaultChannel,E477),Channels!$A$5:$A$18,0)),0))</f>
        <v>0</v>
      </c>
      <c r="AB477" s="20">
        <f>IF(B477="","",IFERROR(INDEX(Channels!$T$5:$T$18,MATCH(IF(E477="",DefaultChannel,E477),Channels!$A$5:$A$18,0)),0))</f>
        <v>0</v>
      </c>
      <c r="AC477" s="42">
        <f>IF(B477="","",IFERROR(INDEX(Channels!$O$5:$O$18,MATCH(IF(E477="",DefaultChannel,E477),Channels!$A$5:$A$18,0)),"No"))</f>
        <v>0</v>
      </c>
      <c r="AD477" s="20">
        <f>IF(B477="","",ROUND((V477+IF(AC477="Yes",IF(I477="",0,I477),0))*AA477+AB477,2))</f>
        <v>0</v>
      </c>
      <c r="AE477" s="20">
        <f>IF(B477="","",IF(K477&lt;&gt;"",K477,AD477))</f>
        <v>0</v>
      </c>
      <c r="AF477" s="20">
        <f>IF(B477="","",IF(K477="","",ROUND(K477-AD477,2)))</f>
        <v>0</v>
      </c>
      <c r="AG477" s="20">
        <f>IF(B477="","",ROUND(V477-Y477-AE477-Z477,2))</f>
        <v>0</v>
      </c>
      <c r="AH477" s="33">
        <f>IF(B477="","",IF(OR(V477="",V477=0),"",AG477/V477))</f>
        <v>0</v>
      </c>
      <c r="AI477" s="33">
        <f>IF(C477="","",IFERROR(INDEX(Products!$AW$5:$AW$304,MATCH(C477,Products!$A$5:$A$304,0)),""))</f>
        <v>0</v>
      </c>
      <c r="AJ477" s="33">
        <f>IF(B477="","",IF(OR(AH477="",AI477=""),"",AH477-AI477))</f>
        <v>0</v>
      </c>
      <c r="AK477" s="41">
        <f>IF(B477="","",IFERROR(ROUND(IF(D477="",0,D477)*INDEX(Products!$X$5:$X$304,MATCH(C477,Products!$A$5:$A$304,0))/60,2),""))</f>
        <v>0</v>
      </c>
      <c r="AL477" s="20">
        <f>IF(B477="","",IF(OR(AK477="",AK477=0),"",ROUND(AG477/AK477,2)))</f>
        <v>0</v>
      </c>
      <c r="AM477" s="43">
        <f>IF(B477="","",IF(C477="","Add - which product?",IF(AG477&lt;0,"Loss - this order cost you money",IF(M477="Refunded","Refunded - check why",IF(AND(AF477&lt;&gt;"",AF477&gt;0.25),"Check - fees higher than your settings",IF(Z477&gt;1,"Check - postage is eating the margin",IF(AND(AH477&lt;&gt;"",AH477&lt;MarginWarning),"Low margin on this order","OK")))))) )</f>
        <v>0</v>
      </c>
    </row>
    <row r="478" spans="1:39">
      <c r="A478" s="38">
        <f>IF(B478="","",SalePrefix&amp;TEXT(ROW()-4,"0000"))</f>
        <v>0</v>
      </c>
      <c r="Q478" s="13">
        <f>IF(C478="","",IFERROR(INDEX(Products!$B$5:$B$304,MATCH(C478,Products!$A$5:$A$304,0)),"Bundle or deleted"))</f>
        <v>0</v>
      </c>
      <c r="R478" s="13">
        <f>IF(B478="","",TEXT(B478,"yyyy-mm"))</f>
        <v>0</v>
      </c>
      <c r="S478" s="20">
        <f>IF(C478="","",IFERROR(INDEX(Products!$AR$5:$AR$304,MATCH(C478,Products!$A$5:$A$304,0)),""))</f>
        <v>0</v>
      </c>
      <c r="T478" s="20">
        <f>IF(B478="","",IF(F478&lt;&gt;"",F478,IF(S478="",0,S478)))</f>
        <v>0</v>
      </c>
      <c r="U478" s="20">
        <f>IF(B478="","",ROUND(IF(D478="",0,D478)*T478,2))</f>
        <v>0</v>
      </c>
      <c r="V478" s="20">
        <f>IF(B478="","",ROUND(U478-IF(G478="",0,G478)-IF(L478="",0,L478),2))</f>
        <v>0</v>
      </c>
      <c r="W478" s="20">
        <f>IF(C478="","",IFERROR(INDEX(Products!$AT$5:$AT$304,MATCH(C478,Products!$A$5:$A$304,0)),""))</f>
        <v>0</v>
      </c>
      <c r="X478" s="20">
        <f>IF(C478="","",IFERROR(INDEX(Products!$AG$5:$AG$304,MATCH(C478,Products!$A$5:$A$304,0)),""))</f>
        <v>0</v>
      </c>
      <c r="Y478" s="20">
        <f>IF(B478="","",ROUND(IF(D478="",0,D478)*MAX(0,IF(W478="",0,W478)-IF(X478="",0,X478)),2))</f>
        <v>0</v>
      </c>
      <c r="Z478" s="20">
        <f>IF(B478="","",ROUND(MAX(0,IF(J478="",0,J478)-IF(I478="",0,I478)),2))</f>
        <v>0</v>
      </c>
      <c r="AA478" s="33">
        <f>IF(B478="","",IFERROR(INDEX(Channels!$S$5:$S$18,MATCH(IF(E478="",DefaultChannel,E478),Channels!$A$5:$A$18,0)),0))</f>
        <v>0</v>
      </c>
      <c r="AB478" s="20">
        <f>IF(B478="","",IFERROR(INDEX(Channels!$T$5:$T$18,MATCH(IF(E478="",DefaultChannel,E478),Channels!$A$5:$A$18,0)),0))</f>
        <v>0</v>
      </c>
      <c r="AC478" s="42">
        <f>IF(B478="","",IFERROR(INDEX(Channels!$O$5:$O$18,MATCH(IF(E478="",DefaultChannel,E478),Channels!$A$5:$A$18,0)),"No"))</f>
        <v>0</v>
      </c>
      <c r="AD478" s="20">
        <f>IF(B478="","",ROUND((V478+IF(AC478="Yes",IF(I478="",0,I478),0))*AA478+AB478,2))</f>
        <v>0</v>
      </c>
      <c r="AE478" s="20">
        <f>IF(B478="","",IF(K478&lt;&gt;"",K478,AD478))</f>
        <v>0</v>
      </c>
      <c r="AF478" s="20">
        <f>IF(B478="","",IF(K478="","",ROUND(K478-AD478,2)))</f>
        <v>0</v>
      </c>
      <c r="AG478" s="20">
        <f>IF(B478="","",ROUND(V478-Y478-AE478-Z478,2))</f>
        <v>0</v>
      </c>
      <c r="AH478" s="33">
        <f>IF(B478="","",IF(OR(V478="",V478=0),"",AG478/V478))</f>
        <v>0</v>
      </c>
      <c r="AI478" s="33">
        <f>IF(C478="","",IFERROR(INDEX(Products!$AW$5:$AW$304,MATCH(C478,Products!$A$5:$A$304,0)),""))</f>
        <v>0</v>
      </c>
      <c r="AJ478" s="33">
        <f>IF(B478="","",IF(OR(AH478="",AI478=""),"",AH478-AI478))</f>
        <v>0</v>
      </c>
      <c r="AK478" s="41">
        <f>IF(B478="","",IFERROR(ROUND(IF(D478="",0,D478)*INDEX(Products!$X$5:$X$304,MATCH(C478,Products!$A$5:$A$304,0))/60,2),""))</f>
        <v>0</v>
      </c>
      <c r="AL478" s="20">
        <f>IF(B478="","",IF(OR(AK478="",AK478=0),"",ROUND(AG478/AK478,2)))</f>
        <v>0</v>
      </c>
      <c r="AM478" s="43">
        <f>IF(B478="","",IF(C478="","Add - which product?",IF(AG478&lt;0,"Loss - this order cost you money",IF(M478="Refunded","Refunded - check why",IF(AND(AF478&lt;&gt;"",AF478&gt;0.25),"Check - fees higher than your settings",IF(Z478&gt;1,"Check - postage is eating the margin",IF(AND(AH478&lt;&gt;"",AH478&lt;MarginWarning),"Low margin on this order","OK")))))) )</f>
        <v>0</v>
      </c>
    </row>
    <row r="479" spans="1:39">
      <c r="A479" s="38">
        <f>IF(B479="","",SalePrefix&amp;TEXT(ROW()-4,"0000"))</f>
        <v>0</v>
      </c>
      <c r="Q479" s="13">
        <f>IF(C479="","",IFERROR(INDEX(Products!$B$5:$B$304,MATCH(C479,Products!$A$5:$A$304,0)),"Bundle or deleted"))</f>
        <v>0</v>
      </c>
      <c r="R479" s="13">
        <f>IF(B479="","",TEXT(B479,"yyyy-mm"))</f>
        <v>0</v>
      </c>
      <c r="S479" s="20">
        <f>IF(C479="","",IFERROR(INDEX(Products!$AR$5:$AR$304,MATCH(C479,Products!$A$5:$A$304,0)),""))</f>
        <v>0</v>
      </c>
      <c r="T479" s="20">
        <f>IF(B479="","",IF(F479&lt;&gt;"",F479,IF(S479="",0,S479)))</f>
        <v>0</v>
      </c>
      <c r="U479" s="20">
        <f>IF(B479="","",ROUND(IF(D479="",0,D479)*T479,2))</f>
        <v>0</v>
      </c>
      <c r="V479" s="20">
        <f>IF(B479="","",ROUND(U479-IF(G479="",0,G479)-IF(L479="",0,L479),2))</f>
        <v>0</v>
      </c>
      <c r="W479" s="20">
        <f>IF(C479="","",IFERROR(INDEX(Products!$AT$5:$AT$304,MATCH(C479,Products!$A$5:$A$304,0)),""))</f>
        <v>0</v>
      </c>
      <c r="X479" s="20">
        <f>IF(C479="","",IFERROR(INDEX(Products!$AG$5:$AG$304,MATCH(C479,Products!$A$5:$A$304,0)),""))</f>
        <v>0</v>
      </c>
      <c r="Y479" s="20">
        <f>IF(B479="","",ROUND(IF(D479="",0,D479)*MAX(0,IF(W479="",0,W479)-IF(X479="",0,X479)),2))</f>
        <v>0</v>
      </c>
      <c r="Z479" s="20">
        <f>IF(B479="","",ROUND(MAX(0,IF(J479="",0,J479)-IF(I479="",0,I479)),2))</f>
        <v>0</v>
      </c>
      <c r="AA479" s="33">
        <f>IF(B479="","",IFERROR(INDEX(Channels!$S$5:$S$18,MATCH(IF(E479="",DefaultChannel,E479),Channels!$A$5:$A$18,0)),0))</f>
        <v>0</v>
      </c>
      <c r="AB479" s="20">
        <f>IF(B479="","",IFERROR(INDEX(Channels!$T$5:$T$18,MATCH(IF(E479="",DefaultChannel,E479),Channels!$A$5:$A$18,0)),0))</f>
        <v>0</v>
      </c>
      <c r="AC479" s="42">
        <f>IF(B479="","",IFERROR(INDEX(Channels!$O$5:$O$18,MATCH(IF(E479="",DefaultChannel,E479),Channels!$A$5:$A$18,0)),"No"))</f>
        <v>0</v>
      </c>
      <c r="AD479" s="20">
        <f>IF(B479="","",ROUND((V479+IF(AC479="Yes",IF(I479="",0,I479),0))*AA479+AB479,2))</f>
        <v>0</v>
      </c>
      <c r="AE479" s="20">
        <f>IF(B479="","",IF(K479&lt;&gt;"",K479,AD479))</f>
        <v>0</v>
      </c>
      <c r="AF479" s="20">
        <f>IF(B479="","",IF(K479="","",ROUND(K479-AD479,2)))</f>
        <v>0</v>
      </c>
      <c r="AG479" s="20">
        <f>IF(B479="","",ROUND(V479-Y479-AE479-Z479,2))</f>
        <v>0</v>
      </c>
      <c r="AH479" s="33">
        <f>IF(B479="","",IF(OR(V479="",V479=0),"",AG479/V479))</f>
        <v>0</v>
      </c>
      <c r="AI479" s="33">
        <f>IF(C479="","",IFERROR(INDEX(Products!$AW$5:$AW$304,MATCH(C479,Products!$A$5:$A$304,0)),""))</f>
        <v>0</v>
      </c>
      <c r="AJ479" s="33">
        <f>IF(B479="","",IF(OR(AH479="",AI479=""),"",AH479-AI479))</f>
        <v>0</v>
      </c>
      <c r="AK479" s="41">
        <f>IF(B479="","",IFERROR(ROUND(IF(D479="",0,D479)*INDEX(Products!$X$5:$X$304,MATCH(C479,Products!$A$5:$A$304,0))/60,2),""))</f>
        <v>0</v>
      </c>
      <c r="AL479" s="20">
        <f>IF(B479="","",IF(OR(AK479="",AK479=0),"",ROUND(AG479/AK479,2)))</f>
        <v>0</v>
      </c>
      <c r="AM479" s="43">
        <f>IF(B479="","",IF(C479="","Add - which product?",IF(AG479&lt;0,"Loss - this order cost you money",IF(M479="Refunded","Refunded - check why",IF(AND(AF479&lt;&gt;"",AF479&gt;0.25),"Check - fees higher than your settings",IF(Z479&gt;1,"Check - postage is eating the margin",IF(AND(AH479&lt;&gt;"",AH479&lt;MarginWarning),"Low margin on this order","OK")))))) )</f>
        <v>0</v>
      </c>
    </row>
    <row r="480" spans="1:39">
      <c r="A480" s="38">
        <f>IF(B480="","",SalePrefix&amp;TEXT(ROW()-4,"0000"))</f>
        <v>0</v>
      </c>
      <c r="Q480" s="13">
        <f>IF(C480="","",IFERROR(INDEX(Products!$B$5:$B$304,MATCH(C480,Products!$A$5:$A$304,0)),"Bundle or deleted"))</f>
        <v>0</v>
      </c>
      <c r="R480" s="13">
        <f>IF(B480="","",TEXT(B480,"yyyy-mm"))</f>
        <v>0</v>
      </c>
      <c r="S480" s="20">
        <f>IF(C480="","",IFERROR(INDEX(Products!$AR$5:$AR$304,MATCH(C480,Products!$A$5:$A$304,0)),""))</f>
        <v>0</v>
      </c>
      <c r="T480" s="20">
        <f>IF(B480="","",IF(F480&lt;&gt;"",F480,IF(S480="",0,S480)))</f>
        <v>0</v>
      </c>
      <c r="U480" s="20">
        <f>IF(B480="","",ROUND(IF(D480="",0,D480)*T480,2))</f>
        <v>0</v>
      </c>
      <c r="V480" s="20">
        <f>IF(B480="","",ROUND(U480-IF(G480="",0,G480)-IF(L480="",0,L480),2))</f>
        <v>0</v>
      </c>
      <c r="W480" s="20">
        <f>IF(C480="","",IFERROR(INDEX(Products!$AT$5:$AT$304,MATCH(C480,Products!$A$5:$A$304,0)),""))</f>
        <v>0</v>
      </c>
      <c r="X480" s="20">
        <f>IF(C480="","",IFERROR(INDEX(Products!$AG$5:$AG$304,MATCH(C480,Products!$A$5:$A$304,0)),""))</f>
        <v>0</v>
      </c>
      <c r="Y480" s="20">
        <f>IF(B480="","",ROUND(IF(D480="",0,D480)*MAX(0,IF(W480="",0,W480)-IF(X480="",0,X480)),2))</f>
        <v>0</v>
      </c>
      <c r="Z480" s="20">
        <f>IF(B480="","",ROUND(MAX(0,IF(J480="",0,J480)-IF(I480="",0,I480)),2))</f>
        <v>0</v>
      </c>
      <c r="AA480" s="33">
        <f>IF(B480="","",IFERROR(INDEX(Channels!$S$5:$S$18,MATCH(IF(E480="",DefaultChannel,E480),Channels!$A$5:$A$18,0)),0))</f>
        <v>0</v>
      </c>
      <c r="AB480" s="20">
        <f>IF(B480="","",IFERROR(INDEX(Channels!$T$5:$T$18,MATCH(IF(E480="",DefaultChannel,E480),Channels!$A$5:$A$18,0)),0))</f>
        <v>0</v>
      </c>
      <c r="AC480" s="42">
        <f>IF(B480="","",IFERROR(INDEX(Channels!$O$5:$O$18,MATCH(IF(E480="",DefaultChannel,E480),Channels!$A$5:$A$18,0)),"No"))</f>
        <v>0</v>
      </c>
      <c r="AD480" s="20">
        <f>IF(B480="","",ROUND((V480+IF(AC480="Yes",IF(I480="",0,I480),0))*AA480+AB480,2))</f>
        <v>0</v>
      </c>
      <c r="AE480" s="20">
        <f>IF(B480="","",IF(K480&lt;&gt;"",K480,AD480))</f>
        <v>0</v>
      </c>
      <c r="AF480" s="20">
        <f>IF(B480="","",IF(K480="","",ROUND(K480-AD480,2)))</f>
        <v>0</v>
      </c>
      <c r="AG480" s="20">
        <f>IF(B480="","",ROUND(V480-Y480-AE480-Z480,2))</f>
        <v>0</v>
      </c>
      <c r="AH480" s="33">
        <f>IF(B480="","",IF(OR(V480="",V480=0),"",AG480/V480))</f>
        <v>0</v>
      </c>
      <c r="AI480" s="33">
        <f>IF(C480="","",IFERROR(INDEX(Products!$AW$5:$AW$304,MATCH(C480,Products!$A$5:$A$304,0)),""))</f>
        <v>0</v>
      </c>
      <c r="AJ480" s="33">
        <f>IF(B480="","",IF(OR(AH480="",AI480=""),"",AH480-AI480))</f>
        <v>0</v>
      </c>
      <c r="AK480" s="41">
        <f>IF(B480="","",IFERROR(ROUND(IF(D480="",0,D480)*INDEX(Products!$X$5:$X$304,MATCH(C480,Products!$A$5:$A$304,0))/60,2),""))</f>
        <v>0</v>
      </c>
      <c r="AL480" s="20">
        <f>IF(B480="","",IF(OR(AK480="",AK480=0),"",ROUND(AG480/AK480,2)))</f>
        <v>0</v>
      </c>
      <c r="AM480" s="43">
        <f>IF(B480="","",IF(C480="","Add - which product?",IF(AG480&lt;0,"Loss - this order cost you money",IF(M480="Refunded","Refunded - check why",IF(AND(AF480&lt;&gt;"",AF480&gt;0.25),"Check - fees higher than your settings",IF(Z480&gt;1,"Check - postage is eating the margin",IF(AND(AH480&lt;&gt;"",AH480&lt;MarginWarning),"Low margin on this order","OK")))))) )</f>
        <v>0</v>
      </c>
    </row>
    <row r="481" spans="1:39">
      <c r="A481" s="38">
        <f>IF(B481="","",SalePrefix&amp;TEXT(ROW()-4,"0000"))</f>
        <v>0</v>
      </c>
      <c r="Q481" s="13">
        <f>IF(C481="","",IFERROR(INDEX(Products!$B$5:$B$304,MATCH(C481,Products!$A$5:$A$304,0)),"Bundle or deleted"))</f>
        <v>0</v>
      </c>
      <c r="R481" s="13">
        <f>IF(B481="","",TEXT(B481,"yyyy-mm"))</f>
        <v>0</v>
      </c>
      <c r="S481" s="20">
        <f>IF(C481="","",IFERROR(INDEX(Products!$AR$5:$AR$304,MATCH(C481,Products!$A$5:$A$304,0)),""))</f>
        <v>0</v>
      </c>
      <c r="T481" s="20">
        <f>IF(B481="","",IF(F481&lt;&gt;"",F481,IF(S481="",0,S481)))</f>
        <v>0</v>
      </c>
      <c r="U481" s="20">
        <f>IF(B481="","",ROUND(IF(D481="",0,D481)*T481,2))</f>
        <v>0</v>
      </c>
      <c r="V481" s="20">
        <f>IF(B481="","",ROUND(U481-IF(G481="",0,G481)-IF(L481="",0,L481),2))</f>
        <v>0</v>
      </c>
      <c r="W481" s="20">
        <f>IF(C481="","",IFERROR(INDEX(Products!$AT$5:$AT$304,MATCH(C481,Products!$A$5:$A$304,0)),""))</f>
        <v>0</v>
      </c>
      <c r="X481" s="20">
        <f>IF(C481="","",IFERROR(INDEX(Products!$AG$5:$AG$304,MATCH(C481,Products!$A$5:$A$304,0)),""))</f>
        <v>0</v>
      </c>
      <c r="Y481" s="20">
        <f>IF(B481="","",ROUND(IF(D481="",0,D481)*MAX(0,IF(W481="",0,W481)-IF(X481="",0,X481)),2))</f>
        <v>0</v>
      </c>
      <c r="Z481" s="20">
        <f>IF(B481="","",ROUND(MAX(0,IF(J481="",0,J481)-IF(I481="",0,I481)),2))</f>
        <v>0</v>
      </c>
      <c r="AA481" s="33">
        <f>IF(B481="","",IFERROR(INDEX(Channels!$S$5:$S$18,MATCH(IF(E481="",DefaultChannel,E481),Channels!$A$5:$A$18,0)),0))</f>
        <v>0</v>
      </c>
      <c r="AB481" s="20">
        <f>IF(B481="","",IFERROR(INDEX(Channels!$T$5:$T$18,MATCH(IF(E481="",DefaultChannel,E481),Channels!$A$5:$A$18,0)),0))</f>
        <v>0</v>
      </c>
      <c r="AC481" s="42">
        <f>IF(B481="","",IFERROR(INDEX(Channels!$O$5:$O$18,MATCH(IF(E481="",DefaultChannel,E481),Channels!$A$5:$A$18,0)),"No"))</f>
        <v>0</v>
      </c>
      <c r="AD481" s="20">
        <f>IF(B481="","",ROUND((V481+IF(AC481="Yes",IF(I481="",0,I481),0))*AA481+AB481,2))</f>
        <v>0</v>
      </c>
      <c r="AE481" s="20">
        <f>IF(B481="","",IF(K481&lt;&gt;"",K481,AD481))</f>
        <v>0</v>
      </c>
      <c r="AF481" s="20">
        <f>IF(B481="","",IF(K481="","",ROUND(K481-AD481,2)))</f>
        <v>0</v>
      </c>
      <c r="AG481" s="20">
        <f>IF(B481="","",ROUND(V481-Y481-AE481-Z481,2))</f>
        <v>0</v>
      </c>
      <c r="AH481" s="33">
        <f>IF(B481="","",IF(OR(V481="",V481=0),"",AG481/V481))</f>
        <v>0</v>
      </c>
      <c r="AI481" s="33">
        <f>IF(C481="","",IFERROR(INDEX(Products!$AW$5:$AW$304,MATCH(C481,Products!$A$5:$A$304,0)),""))</f>
        <v>0</v>
      </c>
      <c r="AJ481" s="33">
        <f>IF(B481="","",IF(OR(AH481="",AI481=""),"",AH481-AI481))</f>
        <v>0</v>
      </c>
      <c r="AK481" s="41">
        <f>IF(B481="","",IFERROR(ROUND(IF(D481="",0,D481)*INDEX(Products!$X$5:$X$304,MATCH(C481,Products!$A$5:$A$304,0))/60,2),""))</f>
        <v>0</v>
      </c>
      <c r="AL481" s="20">
        <f>IF(B481="","",IF(OR(AK481="",AK481=0),"",ROUND(AG481/AK481,2)))</f>
        <v>0</v>
      </c>
      <c r="AM481" s="43">
        <f>IF(B481="","",IF(C481="","Add - which product?",IF(AG481&lt;0,"Loss - this order cost you money",IF(M481="Refunded","Refunded - check why",IF(AND(AF481&lt;&gt;"",AF481&gt;0.25),"Check - fees higher than your settings",IF(Z481&gt;1,"Check - postage is eating the margin",IF(AND(AH481&lt;&gt;"",AH481&lt;MarginWarning),"Low margin on this order","OK")))))) )</f>
        <v>0</v>
      </c>
    </row>
    <row r="482" spans="1:39">
      <c r="A482" s="38">
        <f>IF(B482="","",SalePrefix&amp;TEXT(ROW()-4,"0000"))</f>
        <v>0</v>
      </c>
      <c r="Q482" s="13">
        <f>IF(C482="","",IFERROR(INDEX(Products!$B$5:$B$304,MATCH(C482,Products!$A$5:$A$304,0)),"Bundle or deleted"))</f>
        <v>0</v>
      </c>
      <c r="R482" s="13">
        <f>IF(B482="","",TEXT(B482,"yyyy-mm"))</f>
        <v>0</v>
      </c>
      <c r="S482" s="20">
        <f>IF(C482="","",IFERROR(INDEX(Products!$AR$5:$AR$304,MATCH(C482,Products!$A$5:$A$304,0)),""))</f>
        <v>0</v>
      </c>
      <c r="T482" s="20">
        <f>IF(B482="","",IF(F482&lt;&gt;"",F482,IF(S482="",0,S482)))</f>
        <v>0</v>
      </c>
      <c r="U482" s="20">
        <f>IF(B482="","",ROUND(IF(D482="",0,D482)*T482,2))</f>
        <v>0</v>
      </c>
      <c r="V482" s="20">
        <f>IF(B482="","",ROUND(U482-IF(G482="",0,G482)-IF(L482="",0,L482),2))</f>
        <v>0</v>
      </c>
      <c r="W482" s="20">
        <f>IF(C482="","",IFERROR(INDEX(Products!$AT$5:$AT$304,MATCH(C482,Products!$A$5:$A$304,0)),""))</f>
        <v>0</v>
      </c>
      <c r="X482" s="20">
        <f>IF(C482="","",IFERROR(INDEX(Products!$AG$5:$AG$304,MATCH(C482,Products!$A$5:$A$304,0)),""))</f>
        <v>0</v>
      </c>
      <c r="Y482" s="20">
        <f>IF(B482="","",ROUND(IF(D482="",0,D482)*MAX(0,IF(W482="",0,W482)-IF(X482="",0,X482)),2))</f>
        <v>0</v>
      </c>
      <c r="Z482" s="20">
        <f>IF(B482="","",ROUND(MAX(0,IF(J482="",0,J482)-IF(I482="",0,I482)),2))</f>
        <v>0</v>
      </c>
      <c r="AA482" s="33">
        <f>IF(B482="","",IFERROR(INDEX(Channels!$S$5:$S$18,MATCH(IF(E482="",DefaultChannel,E482),Channels!$A$5:$A$18,0)),0))</f>
        <v>0</v>
      </c>
      <c r="AB482" s="20">
        <f>IF(B482="","",IFERROR(INDEX(Channels!$T$5:$T$18,MATCH(IF(E482="",DefaultChannel,E482),Channels!$A$5:$A$18,0)),0))</f>
        <v>0</v>
      </c>
      <c r="AC482" s="42">
        <f>IF(B482="","",IFERROR(INDEX(Channels!$O$5:$O$18,MATCH(IF(E482="",DefaultChannel,E482),Channels!$A$5:$A$18,0)),"No"))</f>
        <v>0</v>
      </c>
      <c r="AD482" s="20">
        <f>IF(B482="","",ROUND((V482+IF(AC482="Yes",IF(I482="",0,I482),0))*AA482+AB482,2))</f>
        <v>0</v>
      </c>
      <c r="AE482" s="20">
        <f>IF(B482="","",IF(K482&lt;&gt;"",K482,AD482))</f>
        <v>0</v>
      </c>
      <c r="AF482" s="20">
        <f>IF(B482="","",IF(K482="","",ROUND(K482-AD482,2)))</f>
        <v>0</v>
      </c>
      <c r="AG482" s="20">
        <f>IF(B482="","",ROUND(V482-Y482-AE482-Z482,2))</f>
        <v>0</v>
      </c>
      <c r="AH482" s="33">
        <f>IF(B482="","",IF(OR(V482="",V482=0),"",AG482/V482))</f>
        <v>0</v>
      </c>
      <c r="AI482" s="33">
        <f>IF(C482="","",IFERROR(INDEX(Products!$AW$5:$AW$304,MATCH(C482,Products!$A$5:$A$304,0)),""))</f>
        <v>0</v>
      </c>
      <c r="AJ482" s="33">
        <f>IF(B482="","",IF(OR(AH482="",AI482=""),"",AH482-AI482))</f>
        <v>0</v>
      </c>
      <c r="AK482" s="41">
        <f>IF(B482="","",IFERROR(ROUND(IF(D482="",0,D482)*INDEX(Products!$X$5:$X$304,MATCH(C482,Products!$A$5:$A$304,0))/60,2),""))</f>
        <v>0</v>
      </c>
      <c r="AL482" s="20">
        <f>IF(B482="","",IF(OR(AK482="",AK482=0),"",ROUND(AG482/AK482,2)))</f>
        <v>0</v>
      </c>
      <c r="AM482" s="43">
        <f>IF(B482="","",IF(C482="","Add - which product?",IF(AG482&lt;0,"Loss - this order cost you money",IF(M482="Refunded","Refunded - check why",IF(AND(AF482&lt;&gt;"",AF482&gt;0.25),"Check - fees higher than your settings",IF(Z482&gt;1,"Check - postage is eating the margin",IF(AND(AH482&lt;&gt;"",AH482&lt;MarginWarning),"Low margin on this order","OK")))))) )</f>
        <v>0</v>
      </c>
    </row>
    <row r="483" spans="1:39">
      <c r="A483" s="38">
        <f>IF(B483="","",SalePrefix&amp;TEXT(ROW()-4,"0000"))</f>
        <v>0</v>
      </c>
      <c r="Q483" s="13">
        <f>IF(C483="","",IFERROR(INDEX(Products!$B$5:$B$304,MATCH(C483,Products!$A$5:$A$304,0)),"Bundle or deleted"))</f>
        <v>0</v>
      </c>
      <c r="R483" s="13">
        <f>IF(B483="","",TEXT(B483,"yyyy-mm"))</f>
        <v>0</v>
      </c>
      <c r="S483" s="20">
        <f>IF(C483="","",IFERROR(INDEX(Products!$AR$5:$AR$304,MATCH(C483,Products!$A$5:$A$304,0)),""))</f>
        <v>0</v>
      </c>
      <c r="T483" s="20">
        <f>IF(B483="","",IF(F483&lt;&gt;"",F483,IF(S483="",0,S483)))</f>
        <v>0</v>
      </c>
      <c r="U483" s="20">
        <f>IF(B483="","",ROUND(IF(D483="",0,D483)*T483,2))</f>
        <v>0</v>
      </c>
      <c r="V483" s="20">
        <f>IF(B483="","",ROUND(U483-IF(G483="",0,G483)-IF(L483="",0,L483),2))</f>
        <v>0</v>
      </c>
      <c r="W483" s="20">
        <f>IF(C483="","",IFERROR(INDEX(Products!$AT$5:$AT$304,MATCH(C483,Products!$A$5:$A$304,0)),""))</f>
        <v>0</v>
      </c>
      <c r="X483" s="20">
        <f>IF(C483="","",IFERROR(INDEX(Products!$AG$5:$AG$304,MATCH(C483,Products!$A$5:$A$304,0)),""))</f>
        <v>0</v>
      </c>
      <c r="Y483" s="20">
        <f>IF(B483="","",ROUND(IF(D483="",0,D483)*MAX(0,IF(W483="",0,W483)-IF(X483="",0,X483)),2))</f>
        <v>0</v>
      </c>
      <c r="Z483" s="20">
        <f>IF(B483="","",ROUND(MAX(0,IF(J483="",0,J483)-IF(I483="",0,I483)),2))</f>
        <v>0</v>
      </c>
      <c r="AA483" s="33">
        <f>IF(B483="","",IFERROR(INDEX(Channels!$S$5:$S$18,MATCH(IF(E483="",DefaultChannel,E483),Channels!$A$5:$A$18,0)),0))</f>
        <v>0</v>
      </c>
      <c r="AB483" s="20">
        <f>IF(B483="","",IFERROR(INDEX(Channels!$T$5:$T$18,MATCH(IF(E483="",DefaultChannel,E483),Channels!$A$5:$A$18,0)),0))</f>
        <v>0</v>
      </c>
      <c r="AC483" s="42">
        <f>IF(B483="","",IFERROR(INDEX(Channels!$O$5:$O$18,MATCH(IF(E483="",DefaultChannel,E483),Channels!$A$5:$A$18,0)),"No"))</f>
        <v>0</v>
      </c>
      <c r="AD483" s="20">
        <f>IF(B483="","",ROUND((V483+IF(AC483="Yes",IF(I483="",0,I483),0))*AA483+AB483,2))</f>
        <v>0</v>
      </c>
      <c r="AE483" s="20">
        <f>IF(B483="","",IF(K483&lt;&gt;"",K483,AD483))</f>
        <v>0</v>
      </c>
      <c r="AF483" s="20">
        <f>IF(B483="","",IF(K483="","",ROUND(K483-AD483,2)))</f>
        <v>0</v>
      </c>
      <c r="AG483" s="20">
        <f>IF(B483="","",ROUND(V483-Y483-AE483-Z483,2))</f>
        <v>0</v>
      </c>
      <c r="AH483" s="33">
        <f>IF(B483="","",IF(OR(V483="",V483=0),"",AG483/V483))</f>
        <v>0</v>
      </c>
      <c r="AI483" s="33">
        <f>IF(C483="","",IFERROR(INDEX(Products!$AW$5:$AW$304,MATCH(C483,Products!$A$5:$A$304,0)),""))</f>
        <v>0</v>
      </c>
      <c r="AJ483" s="33">
        <f>IF(B483="","",IF(OR(AH483="",AI483=""),"",AH483-AI483))</f>
        <v>0</v>
      </c>
      <c r="AK483" s="41">
        <f>IF(B483="","",IFERROR(ROUND(IF(D483="",0,D483)*INDEX(Products!$X$5:$X$304,MATCH(C483,Products!$A$5:$A$304,0))/60,2),""))</f>
        <v>0</v>
      </c>
      <c r="AL483" s="20">
        <f>IF(B483="","",IF(OR(AK483="",AK483=0),"",ROUND(AG483/AK483,2)))</f>
        <v>0</v>
      </c>
      <c r="AM483" s="43">
        <f>IF(B483="","",IF(C483="","Add - which product?",IF(AG483&lt;0,"Loss - this order cost you money",IF(M483="Refunded","Refunded - check why",IF(AND(AF483&lt;&gt;"",AF483&gt;0.25),"Check - fees higher than your settings",IF(Z483&gt;1,"Check - postage is eating the margin",IF(AND(AH483&lt;&gt;"",AH483&lt;MarginWarning),"Low margin on this order","OK")))))) )</f>
        <v>0</v>
      </c>
    </row>
    <row r="484" spans="1:39">
      <c r="A484" s="38">
        <f>IF(B484="","",SalePrefix&amp;TEXT(ROW()-4,"0000"))</f>
        <v>0</v>
      </c>
      <c r="Q484" s="13">
        <f>IF(C484="","",IFERROR(INDEX(Products!$B$5:$B$304,MATCH(C484,Products!$A$5:$A$304,0)),"Bundle or deleted"))</f>
        <v>0</v>
      </c>
      <c r="R484" s="13">
        <f>IF(B484="","",TEXT(B484,"yyyy-mm"))</f>
        <v>0</v>
      </c>
      <c r="S484" s="20">
        <f>IF(C484="","",IFERROR(INDEX(Products!$AR$5:$AR$304,MATCH(C484,Products!$A$5:$A$304,0)),""))</f>
        <v>0</v>
      </c>
      <c r="T484" s="20">
        <f>IF(B484="","",IF(F484&lt;&gt;"",F484,IF(S484="",0,S484)))</f>
        <v>0</v>
      </c>
      <c r="U484" s="20">
        <f>IF(B484="","",ROUND(IF(D484="",0,D484)*T484,2))</f>
        <v>0</v>
      </c>
      <c r="V484" s="20">
        <f>IF(B484="","",ROUND(U484-IF(G484="",0,G484)-IF(L484="",0,L484),2))</f>
        <v>0</v>
      </c>
      <c r="W484" s="20">
        <f>IF(C484="","",IFERROR(INDEX(Products!$AT$5:$AT$304,MATCH(C484,Products!$A$5:$A$304,0)),""))</f>
        <v>0</v>
      </c>
      <c r="X484" s="20">
        <f>IF(C484="","",IFERROR(INDEX(Products!$AG$5:$AG$304,MATCH(C484,Products!$A$5:$A$304,0)),""))</f>
        <v>0</v>
      </c>
      <c r="Y484" s="20">
        <f>IF(B484="","",ROUND(IF(D484="",0,D484)*MAX(0,IF(W484="",0,W484)-IF(X484="",0,X484)),2))</f>
        <v>0</v>
      </c>
      <c r="Z484" s="20">
        <f>IF(B484="","",ROUND(MAX(0,IF(J484="",0,J484)-IF(I484="",0,I484)),2))</f>
        <v>0</v>
      </c>
      <c r="AA484" s="33">
        <f>IF(B484="","",IFERROR(INDEX(Channels!$S$5:$S$18,MATCH(IF(E484="",DefaultChannel,E484),Channels!$A$5:$A$18,0)),0))</f>
        <v>0</v>
      </c>
      <c r="AB484" s="20">
        <f>IF(B484="","",IFERROR(INDEX(Channels!$T$5:$T$18,MATCH(IF(E484="",DefaultChannel,E484),Channels!$A$5:$A$18,0)),0))</f>
        <v>0</v>
      </c>
      <c r="AC484" s="42">
        <f>IF(B484="","",IFERROR(INDEX(Channels!$O$5:$O$18,MATCH(IF(E484="",DefaultChannel,E484),Channels!$A$5:$A$18,0)),"No"))</f>
        <v>0</v>
      </c>
      <c r="AD484" s="20">
        <f>IF(B484="","",ROUND((V484+IF(AC484="Yes",IF(I484="",0,I484),0))*AA484+AB484,2))</f>
        <v>0</v>
      </c>
      <c r="AE484" s="20">
        <f>IF(B484="","",IF(K484&lt;&gt;"",K484,AD484))</f>
        <v>0</v>
      </c>
      <c r="AF484" s="20">
        <f>IF(B484="","",IF(K484="","",ROUND(K484-AD484,2)))</f>
        <v>0</v>
      </c>
      <c r="AG484" s="20">
        <f>IF(B484="","",ROUND(V484-Y484-AE484-Z484,2))</f>
        <v>0</v>
      </c>
      <c r="AH484" s="33">
        <f>IF(B484="","",IF(OR(V484="",V484=0),"",AG484/V484))</f>
        <v>0</v>
      </c>
      <c r="AI484" s="33">
        <f>IF(C484="","",IFERROR(INDEX(Products!$AW$5:$AW$304,MATCH(C484,Products!$A$5:$A$304,0)),""))</f>
        <v>0</v>
      </c>
      <c r="AJ484" s="33">
        <f>IF(B484="","",IF(OR(AH484="",AI484=""),"",AH484-AI484))</f>
        <v>0</v>
      </c>
      <c r="AK484" s="41">
        <f>IF(B484="","",IFERROR(ROUND(IF(D484="",0,D484)*INDEX(Products!$X$5:$X$304,MATCH(C484,Products!$A$5:$A$304,0))/60,2),""))</f>
        <v>0</v>
      </c>
      <c r="AL484" s="20">
        <f>IF(B484="","",IF(OR(AK484="",AK484=0),"",ROUND(AG484/AK484,2)))</f>
        <v>0</v>
      </c>
      <c r="AM484" s="43">
        <f>IF(B484="","",IF(C484="","Add - which product?",IF(AG484&lt;0,"Loss - this order cost you money",IF(M484="Refunded","Refunded - check why",IF(AND(AF484&lt;&gt;"",AF484&gt;0.25),"Check - fees higher than your settings",IF(Z484&gt;1,"Check - postage is eating the margin",IF(AND(AH484&lt;&gt;"",AH484&lt;MarginWarning),"Low margin on this order","OK")))))) )</f>
        <v>0</v>
      </c>
    </row>
    <row r="485" spans="1:39">
      <c r="A485" s="38">
        <f>IF(B485="","",SalePrefix&amp;TEXT(ROW()-4,"0000"))</f>
        <v>0</v>
      </c>
      <c r="Q485" s="13">
        <f>IF(C485="","",IFERROR(INDEX(Products!$B$5:$B$304,MATCH(C485,Products!$A$5:$A$304,0)),"Bundle or deleted"))</f>
        <v>0</v>
      </c>
      <c r="R485" s="13">
        <f>IF(B485="","",TEXT(B485,"yyyy-mm"))</f>
        <v>0</v>
      </c>
      <c r="S485" s="20">
        <f>IF(C485="","",IFERROR(INDEX(Products!$AR$5:$AR$304,MATCH(C485,Products!$A$5:$A$304,0)),""))</f>
        <v>0</v>
      </c>
      <c r="T485" s="20">
        <f>IF(B485="","",IF(F485&lt;&gt;"",F485,IF(S485="",0,S485)))</f>
        <v>0</v>
      </c>
      <c r="U485" s="20">
        <f>IF(B485="","",ROUND(IF(D485="",0,D485)*T485,2))</f>
        <v>0</v>
      </c>
      <c r="V485" s="20">
        <f>IF(B485="","",ROUND(U485-IF(G485="",0,G485)-IF(L485="",0,L485),2))</f>
        <v>0</v>
      </c>
      <c r="W485" s="20">
        <f>IF(C485="","",IFERROR(INDEX(Products!$AT$5:$AT$304,MATCH(C485,Products!$A$5:$A$304,0)),""))</f>
        <v>0</v>
      </c>
      <c r="X485" s="20">
        <f>IF(C485="","",IFERROR(INDEX(Products!$AG$5:$AG$304,MATCH(C485,Products!$A$5:$A$304,0)),""))</f>
        <v>0</v>
      </c>
      <c r="Y485" s="20">
        <f>IF(B485="","",ROUND(IF(D485="",0,D485)*MAX(0,IF(W485="",0,W485)-IF(X485="",0,X485)),2))</f>
        <v>0</v>
      </c>
      <c r="Z485" s="20">
        <f>IF(B485="","",ROUND(MAX(0,IF(J485="",0,J485)-IF(I485="",0,I485)),2))</f>
        <v>0</v>
      </c>
      <c r="AA485" s="33">
        <f>IF(B485="","",IFERROR(INDEX(Channels!$S$5:$S$18,MATCH(IF(E485="",DefaultChannel,E485),Channels!$A$5:$A$18,0)),0))</f>
        <v>0</v>
      </c>
      <c r="AB485" s="20">
        <f>IF(B485="","",IFERROR(INDEX(Channels!$T$5:$T$18,MATCH(IF(E485="",DefaultChannel,E485),Channels!$A$5:$A$18,0)),0))</f>
        <v>0</v>
      </c>
      <c r="AC485" s="42">
        <f>IF(B485="","",IFERROR(INDEX(Channels!$O$5:$O$18,MATCH(IF(E485="",DefaultChannel,E485),Channels!$A$5:$A$18,0)),"No"))</f>
        <v>0</v>
      </c>
      <c r="AD485" s="20">
        <f>IF(B485="","",ROUND((V485+IF(AC485="Yes",IF(I485="",0,I485),0))*AA485+AB485,2))</f>
        <v>0</v>
      </c>
      <c r="AE485" s="20">
        <f>IF(B485="","",IF(K485&lt;&gt;"",K485,AD485))</f>
        <v>0</v>
      </c>
      <c r="AF485" s="20">
        <f>IF(B485="","",IF(K485="","",ROUND(K485-AD485,2)))</f>
        <v>0</v>
      </c>
      <c r="AG485" s="20">
        <f>IF(B485="","",ROUND(V485-Y485-AE485-Z485,2))</f>
        <v>0</v>
      </c>
      <c r="AH485" s="33">
        <f>IF(B485="","",IF(OR(V485="",V485=0),"",AG485/V485))</f>
        <v>0</v>
      </c>
      <c r="AI485" s="33">
        <f>IF(C485="","",IFERROR(INDEX(Products!$AW$5:$AW$304,MATCH(C485,Products!$A$5:$A$304,0)),""))</f>
        <v>0</v>
      </c>
      <c r="AJ485" s="33">
        <f>IF(B485="","",IF(OR(AH485="",AI485=""),"",AH485-AI485))</f>
        <v>0</v>
      </c>
      <c r="AK485" s="41">
        <f>IF(B485="","",IFERROR(ROUND(IF(D485="",0,D485)*INDEX(Products!$X$5:$X$304,MATCH(C485,Products!$A$5:$A$304,0))/60,2),""))</f>
        <v>0</v>
      </c>
      <c r="AL485" s="20">
        <f>IF(B485="","",IF(OR(AK485="",AK485=0),"",ROUND(AG485/AK485,2)))</f>
        <v>0</v>
      </c>
      <c r="AM485" s="43">
        <f>IF(B485="","",IF(C485="","Add - which product?",IF(AG485&lt;0,"Loss - this order cost you money",IF(M485="Refunded","Refunded - check why",IF(AND(AF485&lt;&gt;"",AF485&gt;0.25),"Check - fees higher than your settings",IF(Z485&gt;1,"Check - postage is eating the margin",IF(AND(AH485&lt;&gt;"",AH485&lt;MarginWarning),"Low margin on this order","OK")))))) )</f>
        <v>0</v>
      </c>
    </row>
    <row r="486" spans="1:39">
      <c r="A486" s="38">
        <f>IF(B486="","",SalePrefix&amp;TEXT(ROW()-4,"0000"))</f>
        <v>0</v>
      </c>
      <c r="Q486" s="13">
        <f>IF(C486="","",IFERROR(INDEX(Products!$B$5:$B$304,MATCH(C486,Products!$A$5:$A$304,0)),"Bundle or deleted"))</f>
        <v>0</v>
      </c>
      <c r="R486" s="13">
        <f>IF(B486="","",TEXT(B486,"yyyy-mm"))</f>
        <v>0</v>
      </c>
      <c r="S486" s="20">
        <f>IF(C486="","",IFERROR(INDEX(Products!$AR$5:$AR$304,MATCH(C486,Products!$A$5:$A$304,0)),""))</f>
        <v>0</v>
      </c>
      <c r="T486" s="20">
        <f>IF(B486="","",IF(F486&lt;&gt;"",F486,IF(S486="",0,S486)))</f>
        <v>0</v>
      </c>
      <c r="U486" s="20">
        <f>IF(B486="","",ROUND(IF(D486="",0,D486)*T486,2))</f>
        <v>0</v>
      </c>
      <c r="V486" s="20">
        <f>IF(B486="","",ROUND(U486-IF(G486="",0,G486)-IF(L486="",0,L486),2))</f>
        <v>0</v>
      </c>
      <c r="W486" s="20">
        <f>IF(C486="","",IFERROR(INDEX(Products!$AT$5:$AT$304,MATCH(C486,Products!$A$5:$A$304,0)),""))</f>
        <v>0</v>
      </c>
      <c r="X486" s="20">
        <f>IF(C486="","",IFERROR(INDEX(Products!$AG$5:$AG$304,MATCH(C486,Products!$A$5:$A$304,0)),""))</f>
        <v>0</v>
      </c>
      <c r="Y486" s="20">
        <f>IF(B486="","",ROUND(IF(D486="",0,D486)*MAX(0,IF(W486="",0,W486)-IF(X486="",0,X486)),2))</f>
        <v>0</v>
      </c>
      <c r="Z486" s="20">
        <f>IF(B486="","",ROUND(MAX(0,IF(J486="",0,J486)-IF(I486="",0,I486)),2))</f>
        <v>0</v>
      </c>
      <c r="AA486" s="33">
        <f>IF(B486="","",IFERROR(INDEX(Channels!$S$5:$S$18,MATCH(IF(E486="",DefaultChannel,E486),Channels!$A$5:$A$18,0)),0))</f>
        <v>0</v>
      </c>
      <c r="AB486" s="20">
        <f>IF(B486="","",IFERROR(INDEX(Channels!$T$5:$T$18,MATCH(IF(E486="",DefaultChannel,E486),Channels!$A$5:$A$18,0)),0))</f>
        <v>0</v>
      </c>
      <c r="AC486" s="42">
        <f>IF(B486="","",IFERROR(INDEX(Channels!$O$5:$O$18,MATCH(IF(E486="",DefaultChannel,E486),Channels!$A$5:$A$18,0)),"No"))</f>
        <v>0</v>
      </c>
      <c r="AD486" s="20">
        <f>IF(B486="","",ROUND((V486+IF(AC486="Yes",IF(I486="",0,I486),0))*AA486+AB486,2))</f>
        <v>0</v>
      </c>
      <c r="AE486" s="20">
        <f>IF(B486="","",IF(K486&lt;&gt;"",K486,AD486))</f>
        <v>0</v>
      </c>
      <c r="AF486" s="20">
        <f>IF(B486="","",IF(K486="","",ROUND(K486-AD486,2)))</f>
        <v>0</v>
      </c>
      <c r="AG486" s="20">
        <f>IF(B486="","",ROUND(V486-Y486-AE486-Z486,2))</f>
        <v>0</v>
      </c>
      <c r="AH486" s="33">
        <f>IF(B486="","",IF(OR(V486="",V486=0),"",AG486/V486))</f>
        <v>0</v>
      </c>
      <c r="AI486" s="33">
        <f>IF(C486="","",IFERROR(INDEX(Products!$AW$5:$AW$304,MATCH(C486,Products!$A$5:$A$304,0)),""))</f>
        <v>0</v>
      </c>
      <c r="AJ486" s="33">
        <f>IF(B486="","",IF(OR(AH486="",AI486=""),"",AH486-AI486))</f>
        <v>0</v>
      </c>
      <c r="AK486" s="41">
        <f>IF(B486="","",IFERROR(ROUND(IF(D486="",0,D486)*INDEX(Products!$X$5:$X$304,MATCH(C486,Products!$A$5:$A$304,0))/60,2),""))</f>
        <v>0</v>
      </c>
      <c r="AL486" s="20">
        <f>IF(B486="","",IF(OR(AK486="",AK486=0),"",ROUND(AG486/AK486,2)))</f>
        <v>0</v>
      </c>
      <c r="AM486" s="43">
        <f>IF(B486="","",IF(C486="","Add - which product?",IF(AG486&lt;0,"Loss - this order cost you money",IF(M486="Refunded","Refunded - check why",IF(AND(AF486&lt;&gt;"",AF486&gt;0.25),"Check - fees higher than your settings",IF(Z486&gt;1,"Check - postage is eating the margin",IF(AND(AH486&lt;&gt;"",AH486&lt;MarginWarning),"Low margin on this order","OK")))))) )</f>
        <v>0</v>
      </c>
    </row>
    <row r="487" spans="1:39">
      <c r="A487" s="38">
        <f>IF(B487="","",SalePrefix&amp;TEXT(ROW()-4,"0000"))</f>
        <v>0</v>
      </c>
      <c r="Q487" s="13">
        <f>IF(C487="","",IFERROR(INDEX(Products!$B$5:$B$304,MATCH(C487,Products!$A$5:$A$304,0)),"Bundle or deleted"))</f>
        <v>0</v>
      </c>
      <c r="R487" s="13">
        <f>IF(B487="","",TEXT(B487,"yyyy-mm"))</f>
        <v>0</v>
      </c>
      <c r="S487" s="20">
        <f>IF(C487="","",IFERROR(INDEX(Products!$AR$5:$AR$304,MATCH(C487,Products!$A$5:$A$304,0)),""))</f>
        <v>0</v>
      </c>
      <c r="T487" s="20">
        <f>IF(B487="","",IF(F487&lt;&gt;"",F487,IF(S487="",0,S487)))</f>
        <v>0</v>
      </c>
      <c r="U487" s="20">
        <f>IF(B487="","",ROUND(IF(D487="",0,D487)*T487,2))</f>
        <v>0</v>
      </c>
      <c r="V487" s="20">
        <f>IF(B487="","",ROUND(U487-IF(G487="",0,G487)-IF(L487="",0,L487),2))</f>
        <v>0</v>
      </c>
      <c r="W487" s="20">
        <f>IF(C487="","",IFERROR(INDEX(Products!$AT$5:$AT$304,MATCH(C487,Products!$A$5:$A$304,0)),""))</f>
        <v>0</v>
      </c>
      <c r="X487" s="20">
        <f>IF(C487="","",IFERROR(INDEX(Products!$AG$5:$AG$304,MATCH(C487,Products!$A$5:$A$304,0)),""))</f>
        <v>0</v>
      </c>
      <c r="Y487" s="20">
        <f>IF(B487="","",ROUND(IF(D487="",0,D487)*MAX(0,IF(W487="",0,W487)-IF(X487="",0,X487)),2))</f>
        <v>0</v>
      </c>
      <c r="Z487" s="20">
        <f>IF(B487="","",ROUND(MAX(0,IF(J487="",0,J487)-IF(I487="",0,I487)),2))</f>
        <v>0</v>
      </c>
      <c r="AA487" s="33">
        <f>IF(B487="","",IFERROR(INDEX(Channels!$S$5:$S$18,MATCH(IF(E487="",DefaultChannel,E487),Channels!$A$5:$A$18,0)),0))</f>
        <v>0</v>
      </c>
      <c r="AB487" s="20">
        <f>IF(B487="","",IFERROR(INDEX(Channels!$T$5:$T$18,MATCH(IF(E487="",DefaultChannel,E487),Channels!$A$5:$A$18,0)),0))</f>
        <v>0</v>
      </c>
      <c r="AC487" s="42">
        <f>IF(B487="","",IFERROR(INDEX(Channels!$O$5:$O$18,MATCH(IF(E487="",DefaultChannel,E487),Channels!$A$5:$A$18,0)),"No"))</f>
        <v>0</v>
      </c>
      <c r="AD487" s="20">
        <f>IF(B487="","",ROUND((V487+IF(AC487="Yes",IF(I487="",0,I487),0))*AA487+AB487,2))</f>
        <v>0</v>
      </c>
      <c r="AE487" s="20">
        <f>IF(B487="","",IF(K487&lt;&gt;"",K487,AD487))</f>
        <v>0</v>
      </c>
      <c r="AF487" s="20">
        <f>IF(B487="","",IF(K487="","",ROUND(K487-AD487,2)))</f>
        <v>0</v>
      </c>
      <c r="AG487" s="20">
        <f>IF(B487="","",ROUND(V487-Y487-AE487-Z487,2))</f>
        <v>0</v>
      </c>
      <c r="AH487" s="33">
        <f>IF(B487="","",IF(OR(V487="",V487=0),"",AG487/V487))</f>
        <v>0</v>
      </c>
      <c r="AI487" s="33">
        <f>IF(C487="","",IFERROR(INDEX(Products!$AW$5:$AW$304,MATCH(C487,Products!$A$5:$A$304,0)),""))</f>
        <v>0</v>
      </c>
      <c r="AJ487" s="33">
        <f>IF(B487="","",IF(OR(AH487="",AI487=""),"",AH487-AI487))</f>
        <v>0</v>
      </c>
      <c r="AK487" s="41">
        <f>IF(B487="","",IFERROR(ROUND(IF(D487="",0,D487)*INDEX(Products!$X$5:$X$304,MATCH(C487,Products!$A$5:$A$304,0))/60,2),""))</f>
        <v>0</v>
      </c>
      <c r="AL487" s="20">
        <f>IF(B487="","",IF(OR(AK487="",AK487=0),"",ROUND(AG487/AK487,2)))</f>
        <v>0</v>
      </c>
      <c r="AM487" s="43">
        <f>IF(B487="","",IF(C487="","Add - which product?",IF(AG487&lt;0,"Loss - this order cost you money",IF(M487="Refunded","Refunded - check why",IF(AND(AF487&lt;&gt;"",AF487&gt;0.25),"Check - fees higher than your settings",IF(Z487&gt;1,"Check - postage is eating the margin",IF(AND(AH487&lt;&gt;"",AH487&lt;MarginWarning),"Low margin on this order","OK")))))) )</f>
        <v>0</v>
      </c>
    </row>
    <row r="488" spans="1:39">
      <c r="A488" s="38">
        <f>IF(B488="","",SalePrefix&amp;TEXT(ROW()-4,"0000"))</f>
        <v>0</v>
      </c>
      <c r="Q488" s="13">
        <f>IF(C488="","",IFERROR(INDEX(Products!$B$5:$B$304,MATCH(C488,Products!$A$5:$A$304,0)),"Bundle or deleted"))</f>
        <v>0</v>
      </c>
      <c r="R488" s="13">
        <f>IF(B488="","",TEXT(B488,"yyyy-mm"))</f>
        <v>0</v>
      </c>
      <c r="S488" s="20">
        <f>IF(C488="","",IFERROR(INDEX(Products!$AR$5:$AR$304,MATCH(C488,Products!$A$5:$A$304,0)),""))</f>
        <v>0</v>
      </c>
      <c r="T488" s="20">
        <f>IF(B488="","",IF(F488&lt;&gt;"",F488,IF(S488="",0,S488)))</f>
        <v>0</v>
      </c>
      <c r="U488" s="20">
        <f>IF(B488="","",ROUND(IF(D488="",0,D488)*T488,2))</f>
        <v>0</v>
      </c>
      <c r="V488" s="20">
        <f>IF(B488="","",ROUND(U488-IF(G488="",0,G488)-IF(L488="",0,L488),2))</f>
        <v>0</v>
      </c>
      <c r="W488" s="20">
        <f>IF(C488="","",IFERROR(INDEX(Products!$AT$5:$AT$304,MATCH(C488,Products!$A$5:$A$304,0)),""))</f>
        <v>0</v>
      </c>
      <c r="X488" s="20">
        <f>IF(C488="","",IFERROR(INDEX(Products!$AG$5:$AG$304,MATCH(C488,Products!$A$5:$A$304,0)),""))</f>
        <v>0</v>
      </c>
      <c r="Y488" s="20">
        <f>IF(B488="","",ROUND(IF(D488="",0,D488)*MAX(0,IF(W488="",0,W488)-IF(X488="",0,X488)),2))</f>
        <v>0</v>
      </c>
      <c r="Z488" s="20">
        <f>IF(B488="","",ROUND(MAX(0,IF(J488="",0,J488)-IF(I488="",0,I488)),2))</f>
        <v>0</v>
      </c>
      <c r="AA488" s="33">
        <f>IF(B488="","",IFERROR(INDEX(Channels!$S$5:$S$18,MATCH(IF(E488="",DefaultChannel,E488),Channels!$A$5:$A$18,0)),0))</f>
        <v>0</v>
      </c>
      <c r="AB488" s="20">
        <f>IF(B488="","",IFERROR(INDEX(Channels!$T$5:$T$18,MATCH(IF(E488="",DefaultChannel,E488),Channels!$A$5:$A$18,0)),0))</f>
        <v>0</v>
      </c>
      <c r="AC488" s="42">
        <f>IF(B488="","",IFERROR(INDEX(Channels!$O$5:$O$18,MATCH(IF(E488="",DefaultChannel,E488),Channels!$A$5:$A$18,0)),"No"))</f>
        <v>0</v>
      </c>
      <c r="AD488" s="20">
        <f>IF(B488="","",ROUND((V488+IF(AC488="Yes",IF(I488="",0,I488),0))*AA488+AB488,2))</f>
        <v>0</v>
      </c>
      <c r="AE488" s="20">
        <f>IF(B488="","",IF(K488&lt;&gt;"",K488,AD488))</f>
        <v>0</v>
      </c>
      <c r="AF488" s="20">
        <f>IF(B488="","",IF(K488="","",ROUND(K488-AD488,2)))</f>
        <v>0</v>
      </c>
      <c r="AG488" s="20">
        <f>IF(B488="","",ROUND(V488-Y488-AE488-Z488,2))</f>
        <v>0</v>
      </c>
      <c r="AH488" s="33">
        <f>IF(B488="","",IF(OR(V488="",V488=0),"",AG488/V488))</f>
        <v>0</v>
      </c>
      <c r="AI488" s="33">
        <f>IF(C488="","",IFERROR(INDEX(Products!$AW$5:$AW$304,MATCH(C488,Products!$A$5:$A$304,0)),""))</f>
        <v>0</v>
      </c>
      <c r="AJ488" s="33">
        <f>IF(B488="","",IF(OR(AH488="",AI488=""),"",AH488-AI488))</f>
        <v>0</v>
      </c>
      <c r="AK488" s="41">
        <f>IF(B488="","",IFERROR(ROUND(IF(D488="",0,D488)*INDEX(Products!$X$5:$X$304,MATCH(C488,Products!$A$5:$A$304,0))/60,2),""))</f>
        <v>0</v>
      </c>
      <c r="AL488" s="20">
        <f>IF(B488="","",IF(OR(AK488="",AK488=0),"",ROUND(AG488/AK488,2)))</f>
        <v>0</v>
      </c>
      <c r="AM488" s="43">
        <f>IF(B488="","",IF(C488="","Add - which product?",IF(AG488&lt;0,"Loss - this order cost you money",IF(M488="Refunded","Refunded - check why",IF(AND(AF488&lt;&gt;"",AF488&gt;0.25),"Check - fees higher than your settings",IF(Z488&gt;1,"Check - postage is eating the margin",IF(AND(AH488&lt;&gt;"",AH488&lt;MarginWarning),"Low margin on this order","OK")))))) )</f>
        <v>0</v>
      </c>
    </row>
    <row r="489" spans="1:39">
      <c r="A489" s="38">
        <f>IF(B489="","",SalePrefix&amp;TEXT(ROW()-4,"0000"))</f>
        <v>0</v>
      </c>
      <c r="Q489" s="13">
        <f>IF(C489="","",IFERROR(INDEX(Products!$B$5:$B$304,MATCH(C489,Products!$A$5:$A$304,0)),"Bundle or deleted"))</f>
        <v>0</v>
      </c>
      <c r="R489" s="13">
        <f>IF(B489="","",TEXT(B489,"yyyy-mm"))</f>
        <v>0</v>
      </c>
      <c r="S489" s="20">
        <f>IF(C489="","",IFERROR(INDEX(Products!$AR$5:$AR$304,MATCH(C489,Products!$A$5:$A$304,0)),""))</f>
        <v>0</v>
      </c>
      <c r="T489" s="20">
        <f>IF(B489="","",IF(F489&lt;&gt;"",F489,IF(S489="",0,S489)))</f>
        <v>0</v>
      </c>
      <c r="U489" s="20">
        <f>IF(B489="","",ROUND(IF(D489="",0,D489)*T489,2))</f>
        <v>0</v>
      </c>
      <c r="V489" s="20">
        <f>IF(B489="","",ROUND(U489-IF(G489="",0,G489)-IF(L489="",0,L489),2))</f>
        <v>0</v>
      </c>
      <c r="W489" s="20">
        <f>IF(C489="","",IFERROR(INDEX(Products!$AT$5:$AT$304,MATCH(C489,Products!$A$5:$A$304,0)),""))</f>
        <v>0</v>
      </c>
      <c r="X489" s="20">
        <f>IF(C489="","",IFERROR(INDEX(Products!$AG$5:$AG$304,MATCH(C489,Products!$A$5:$A$304,0)),""))</f>
        <v>0</v>
      </c>
      <c r="Y489" s="20">
        <f>IF(B489="","",ROUND(IF(D489="",0,D489)*MAX(0,IF(W489="",0,W489)-IF(X489="",0,X489)),2))</f>
        <v>0</v>
      </c>
      <c r="Z489" s="20">
        <f>IF(B489="","",ROUND(MAX(0,IF(J489="",0,J489)-IF(I489="",0,I489)),2))</f>
        <v>0</v>
      </c>
      <c r="AA489" s="33">
        <f>IF(B489="","",IFERROR(INDEX(Channels!$S$5:$S$18,MATCH(IF(E489="",DefaultChannel,E489),Channels!$A$5:$A$18,0)),0))</f>
        <v>0</v>
      </c>
      <c r="AB489" s="20">
        <f>IF(B489="","",IFERROR(INDEX(Channels!$T$5:$T$18,MATCH(IF(E489="",DefaultChannel,E489),Channels!$A$5:$A$18,0)),0))</f>
        <v>0</v>
      </c>
      <c r="AC489" s="42">
        <f>IF(B489="","",IFERROR(INDEX(Channels!$O$5:$O$18,MATCH(IF(E489="",DefaultChannel,E489),Channels!$A$5:$A$18,0)),"No"))</f>
        <v>0</v>
      </c>
      <c r="AD489" s="20">
        <f>IF(B489="","",ROUND((V489+IF(AC489="Yes",IF(I489="",0,I489),0))*AA489+AB489,2))</f>
        <v>0</v>
      </c>
      <c r="AE489" s="20">
        <f>IF(B489="","",IF(K489&lt;&gt;"",K489,AD489))</f>
        <v>0</v>
      </c>
      <c r="AF489" s="20">
        <f>IF(B489="","",IF(K489="","",ROUND(K489-AD489,2)))</f>
        <v>0</v>
      </c>
      <c r="AG489" s="20">
        <f>IF(B489="","",ROUND(V489-Y489-AE489-Z489,2))</f>
        <v>0</v>
      </c>
      <c r="AH489" s="33">
        <f>IF(B489="","",IF(OR(V489="",V489=0),"",AG489/V489))</f>
        <v>0</v>
      </c>
      <c r="AI489" s="33">
        <f>IF(C489="","",IFERROR(INDEX(Products!$AW$5:$AW$304,MATCH(C489,Products!$A$5:$A$304,0)),""))</f>
        <v>0</v>
      </c>
      <c r="AJ489" s="33">
        <f>IF(B489="","",IF(OR(AH489="",AI489=""),"",AH489-AI489))</f>
        <v>0</v>
      </c>
      <c r="AK489" s="41">
        <f>IF(B489="","",IFERROR(ROUND(IF(D489="",0,D489)*INDEX(Products!$X$5:$X$304,MATCH(C489,Products!$A$5:$A$304,0))/60,2),""))</f>
        <v>0</v>
      </c>
      <c r="AL489" s="20">
        <f>IF(B489="","",IF(OR(AK489="",AK489=0),"",ROUND(AG489/AK489,2)))</f>
        <v>0</v>
      </c>
      <c r="AM489" s="43">
        <f>IF(B489="","",IF(C489="","Add - which product?",IF(AG489&lt;0,"Loss - this order cost you money",IF(M489="Refunded","Refunded - check why",IF(AND(AF489&lt;&gt;"",AF489&gt;0.25),"Check - fees higher than your settings",IF(Z489&gt;1,"Check - postage is eating the margin",IF(AND(AH489&lt;&gt;"",AH489&lt;MarginWarning),"Low margin on this order","OK")))))) )</f>
        <v>0</v>
      </c>
    </row>
    <row r="490" spans="1:39">
      <c r="A490" s="38">
        <f>IF(B490="","",SalePrefix&amp;TEXT(ROW()-4,"0000"))</f>
        <v>0</v>
      </c>
      <c r="Q490" s="13">
        <f>IF(C490="","",IFERROR(INDEX(Products!$B$5:$B$304,MATCH(C490,Products!$A$5:$A$304,0)),"Bundle or deleted"))</f>
        <v>0</v>
      </c>
      <c r="R490" s="13">
        <f>IF(B490="","",TEXT(B490,"yyyy-mm"))</f>
        <v>0</v>
      </c>
      <c r="S490" s="20">
        <f>IF(C490="","",IFERROR(INDEX(Products!$AR$5:$AR$304,MATCH(C490,Products!$A$5:$A$304,0)),""))</f>
        <v>0</v>
      </c>
      <c r="T490" s="20">
        <f>IF(B490="","",IF(F490&lt;&gt;"",F490,IF(S490="",0,S490)))</f>
        <v>0</v>
      </c>
      <c r="U490" s="20">
        <f>IF(B490="","",ROUND(IF(D490="",0,D490)*T490,2))</f>
        <v>0</v>
      </c>
      <c r="V490" s="20">
        <f>IF(B490="","",ROUND(U490-IF(G490="",0,G490)-IF(L490="",0,L490),2))</f>
        <v>0</v>
      </c>
      <c r="W490" s="20">
        <f>IF(C490="","",IFERROR(INDEX(Products!$AT$5:$AT$304,MATCH(C490,Products!$A$5:$A$304,0)),""))</f>
        <v>0</v>
      </c>
      <c r="X490" s="20">
        <f>IF(C490="","",IFERROR(INDEX(Products!$AG$5:$AG$304,MATCH(C490,Products!$A$5:$A$304,0)),""))</f>
        <v>0</v>
      </c>
      <c r="Y490" s="20">
        <f>IF(B490="","",ROUND(IF(D490="",0,D490)*MAX(0,IF(W490="",0,W490)-IF(X490="",0,X490)),2))</f>
        <v>0</v>
      </c>
      <c r="Z490" s="20">
        <f>IF(B490="","",ROUND(MAX(0,IF(J490="",0,J490)-IF(I490="",0,I490)),2))</f>
        <v>0</v>
      </c>
      <c r="AA490" s="33">
        <f>IF(B490="","",IFERROR(INDEX(Channels!$S$5:$S$18,MATCH(IF(E490="",DefaultChannel,E490),Channels!$A$5:$A$18,0)),0))</f>
        <v>0</v>
      </c>
      <c r="AB490" s="20">
        <f>IF(B490="","",IFERROR(INDEX(Channels!$T$5:$T$18,MATCH(IF(E490="",DefaultChannel,E490),Channels!$A$5:$A$18,0)),0))</f>
        <v>0</v>
      </c>
      <c r="AC490" s="42">
        <f>IF(B490="","",IFERROR(INDEX(Channels!$O$5:$O$18,MATCH(IF(E490="",DefaultChannel,E490),Channels!$A$5:$A$18,0)),"No"))</f>
        <v>0</v>
      </c>
      <c r="AD490" s="20">
        <f>IF(B490="","",ROUND((V490+IF(AC490="Yes",IF(I490="",0,I490),0))*AA490+AB490,2))</f>
        <v>0</v>
      </c>
      <c r="AE490" s="20">
        <f>IF(B490="","",IF(K490&lt;&gt;"",K490,AD490))</f>
        <v>0</v>
      </c>
      <c r="AF490" s="20">
        <f>IF(B490="","",IF(K490="","",ROUND(K490-AD490,2)))</f>
        <v>0</v>
      </c>
      <c r="AG490" s="20">
        <f>IF(B490="","",ROUND(V490-Y490-AE490-Z490,2))</f>
        <v>0</v>
      </c>
      <c r="AH490" s="33">
        <f>IF(B490="","",IF(OR(V490="",V490=0),"",AG490/V490))</f>
        <v>0</v>
      </c>
      <c r="AI490" s="33">
        <f>IF(C490="","",IFERROR(INDEX(Products!$AW$5:$AW$304,MATCH(C490,Products!$A$5:$A$304,0)),""))</f>
        <v>0</v>
      </c>
      <c r="AJ490" s="33">
        <f>IF(B490="","",IF(OR(AH490="",AI490=""),"",AH490-AI490))</f>
        <v>0</v>
      </c>
      <c r="AK490" s="41">
        <f>IF(B490="","",IFERROR(ROUND(IF(D490="",0,D490)*INDEX(Products!$X$5:$X$304,MATCH(C490,Products!$A$5:$A$304,0))/60,2),""))</f>
        <v>0</v>
      </c>
      <c r="AL490" s="20">
        <f>IF(B490="","",IF(OR(AK490="",AK490=0),"",ROUND(AG490/AK490,2)))</f>
        <v>0</v>
      </c>
      <c r="AM490" s="43">
        <f>IF(B490="","",IF(C490="","Add - which product?",IF(AG490&lt;0,"Loss - this order cost you money",IF(M490="Refunded","Refunded - check why",IF(AND(AF490&lt;&gt;"",AF490&gt;0.25),"Check - fees higher than your settings",IF(Z490&gt;1,"Check - postage is eating the margin",IF(AND(AH490&lt;&gt;"",AH490&lt;MarginWarning),"Low margin on this order","OK")))))) )</f>
        <v>0</v>
      </c>
    </row>
    <row r="491" spans="1:39">
      <c r="A491" s="38">
        <f>IF(B491="","",SalePrefix&amp;TEXT(ROW()-4,"0000"))</f>
        <v>0</v>
      </c>
      <c r="Q491" s="13">
        <f>IF(C491="","",IFERROR(INDEX(Products!$B$5:$B$304,MATCH(C491,Products!$A$5:$A$304,0)),"Bundle or deleted"))</f>
        <v>0</v>
      </c>
      <c r="R491" s="13">
        <f>IF(B491="","",TEXT(B491,"yyyy-mm"))</f>
        <v>0</v>
      </c>
      <c r="S491" s="20">
        <f>IF(C491="","",IFERROR(INDEX(Products!$AR$5:$AR$304,MATCH(C491,Products!$A$5:$A$304,0)),""))</f>
        <v>0</v>
      </c>
      <c r="T491" s="20">
        <f>IF(B491="","",IF(F491&lt;&gt;"",F491,IF(S491="",0,S491)))</f>
        <v>0</v>
      </c>
      <c r="U491" s="20">
        <f>IF(B491="","",ROUND(IF(D491="",0,D491)*T491,2))</f>
        <v>0</v>
      </c>
      <c r="V491" s="20">
        <f>IF(B491="","",ROUND(U491-IF(G491="",0,G491)-IF(L491="",0,L491),2))</f>
        <v>0</v>
      </c>
      <c r="W491" s="20">
        <f>IF(C491="","",IFERROR(INDEX(Products!$AT$5:$AT$304,MATCH(C491,Products!$A$5:$A$304,0)),""))</f>
        <v>0</v>
      </c>
      <c r="X491" s="20">
        <f>IF(C491="","",IFERROR(INDEX(Products!$AG$5:$AG$304,MATCH(C491,Products!$A$5:$A$304,0)),""))</f>
        <v>0</v>
      </c>
      <c r="Y491" s="20">
        <f>IF(B491="","",ROUND(IF(D491="",0,D491)*MAX(0,IF(W491="",0,W491)-IF(X491="",0,X491)),2))</f>
        <v>0</v>
      </c>
      <c r="Z491" s="20">
        <f>IF(B491="","",ROUND(MAX(0,IF(J491="",0,J491)-IF(I491="",0,I491)),2))</f>
        <v>0</v>
      </c>
      <c r="AA491" s="33">
        <f>IF(B491="","",IFERROR(INDEX(Channels!$S$5:$S$18,MATCH(IF(E491="",DefaultChannel,E491),Channels!$A$5:$A$18,0)),0))</f>
        <v>0</v>
      </c>
      <c r="AB491" s="20">
        <f>IF(B491="","",IFERROR(INDEX(Channels!$T$5:$T$18,MATCH(IF(E491="",DefaultChannel,E491),Channels!$A$5:$A$18,0)),0))</f>
        <v>0</v>
      </c>
      <c r="AC491" s="42">
        <f>IF(B491="","",IFERROR(INDEX(Channels!$O$5:$O$18,MATCH(IF(E491="",DefaultChannel,E491),Channels!$A$5:$A$18,0)),"No"))</f>
        <v>0</v>
      </c>
      <c r="AD491" s="20">
        <f>IF(B491="","",ROUND((V491+IF(AC491="Yes",IF(I491="",0,I491),0))*AA491+AB491,2))</f>
        <v>0</v>
      </c>
      <c r="AE491" s="20">
        <f>IF(B491="","",IF(K491&lt;&gt;"",K491,AD491))</f>
        <v>0</v>
      </c>
      <c r="AF491" s="20">
        <f>IF(B491="","",IF(K491="","",ROUND(K491-AD491,2)))</f>
        <v>0</v>
      </c>
      <c r="AG491" s="20">
        <f>IF(B491="","",ROUND(V491-Y491-AE491-Z491,2))</f>
        <v>0</v>
      </c>
      <c r="AH491" s="33">
        <f>IF(B491="","",IF(OR(V491="",V491=0),"",AG491/V491))</f>
        <v>0</v>
      </c>
      <c r="AI491" s="33">
        <f>IF(C491="","",IFERROR(INDEX(Products!$AW$5:$AW$304,MATCH(C491,Products!$A$5:$A$304,0)),""))</f>
        <v>0</v>
      </c>
      <c r="AJ491" s="33">
        <f>IF(B491="","",IF(OR(AH491="",AI491=""),"",AH491-AI491))</f>
        <v>0</v>
      </c>
      <c r="AK491" s="41">
        <f>IF(B491="","",IFERROR(ROUND(IF(D491="",0,D491)*INDEX(Products!$X$5:$X$304,MATCH(C491,Products!$A$5:$A$304,0))/60,2),""))</f>
        <v>0</v>
      </c>
      <c r="AL491" s="20">
        <f>IF(B491="","",IF(OR(AK491="",AK491=0),"",ROUND(AG491/AK491,2)))</f>
        <v>0</v>
      </c>
      <c r="AM491" s="43">
        <f>IF(B491="","",IF(C491="","Add - which product?",IF(AG491&lt;0,"Loss - this order cost you money",IF(M491="Refunded","Refunded - check why",IF(AND(AF491&lt;&gt;"",AF491&gt;0.25),"Check - fees higher than your settings",IF(Z491&gt;1,"Check - postage is eating the margin",IF(AND(AH491&lt;&gt;"",AH491&lt;MarginWarning),"Low margin on this order","OK")))))) )</f>
        <v>0</v>
      </c>
    </row>
    <row r="492" spans="1:39">
      <c r="A492" s="38">
        <f>IF(B492="","",SalePrefix&amp;TEXT(ROW()-4,"0000"))</f>
        <v>0</v>
      </c>
      <c r="Q492" s="13">
        <f>IF(C492="","",IFERROR(INDEX(Products!$B$5:$B$304,MATCH(C492,Products!$A$5:$A$304,0)),"Bundle or deleted"))</f>
        <v>0</v>
      </c>
      <c r="R492" s="13">
        <f>IF(B492="","",TEXT(B492,"yyyy-mm"))</f>
        <v>0</v>
      </c>
      <c r="S492" s="20">
        <f>IF(C492="","",IFERROR(INDEX(Products!$AR$5:$AR$304,MATCH(C492,Products!$A$5:$A$304,0)),""))</f>
        <v>0</v>
      </c>
      <c r="T492" s="20">
        <f>IF(B492="","",IF(F492&lt;&gt;"",F492,IF(S492="",0,S492)))</f>
        <v>0</v>
      </c>
      <c r="U492" s="20">
        <f>IF(B492="","",ROUND(IF(D492="",0,D492)*T492,2))</f>
        <v>0</v>
      </c>
      <c r="V492" s="20">
        <f>IF(B492="","",ROUND(U492-IF(G492="",0,G492)-IF(L492="",0,L492),2))</f>
        <v>0</v>
      </c>
      <c r="W492" s="20">
        <f>IF(C492="","",IFERROR(INDEX(Products!$AT$5:$AT$304,MATCH(C492,Products!$A$5:$A$304,0)),""))</f>
        <v>0</v>
      </c>
      <c r="X492" s="20">
        <f>IF(C492="","",IFERROR(INDEX(Products!$AG$5:$AG$304,MATCH(C492,Products!$A$5:$A$304,0)),""))</f>
        <v>0</v>
      </c>
      <c r="Y492" s="20">
        <f>IF(B492="","",ROUND(IF(D492="",0,D492)*MAX(0,IF(W492="",0,W492)-IF(X492="",0,X492)),2))</f>
        <v>0</v>
      </c>
      <c r="Z492" s="20">
        <f>IF(B492="","",ROUND(MAX(0,IF(J492="",0,J492)-IF(I492="",0,I492)),2))</f>
        <v>0</v>
      </c>
      <c r="AA492" s="33">
        <f>IF(B492="","",IFERROR(INDEX(Channels!$S$5:$S$18,MATCH(IF(E492="",DefaultChannel,E492),Channels!$A$5:$A$18,0)),0))</f>
        <v>0</v>
      </c>
      <c r="AB492" s="20">
        <f>IF(B492="","",IFERROR(INDEX(Channels!$T$5:$T$18,MATCH(IF(E492="",DefaultChannel,E492),Channels!$A$5:$A$18,0)),0))</f>
        <v>0</v>
      </c>
      <c r="AC492" s="42">
        <f>IF(B492="","",IFERROR(INDEX(Channels!$O$5:$O$18,MATCH(IF(E492="",DefaultChannel,E492),Channels!$A$5:$A$18,0)),"No"))</f>
        <v>0</v>
      </c>
      <c r="AD492" s="20">
        <f>IF(B492="","",ROUND((V492+IF(AC492="Yes",IF(I492="",0,I492),0))*AA492+AB492,2))</f>
        <v>0</v>
      </c>
      <c r="AE492" s="20">
        <f>IF(B492="","",IF(K492&lt;&gt;"",K492,AD492))</f>
        <v>0</v>
      </c>
      <c r="AF492" s="20">
        <f>IF(B492="","",IF(K492="","",ROUND(K492-AD492,2)))</f>
        <v>0</v>
      </c>
      <c r="AG492" s="20">
        <f>IF(B492="","",ROUND(V492-Y492-AE492-Z492,2))</f>
        <v>0</v>
      </c>
      <c r="AH492" s="33">
        <f>IF(B492="","",IF(OR(V492="",V492=0),"",AG492/V492))</f>
        <v>0</v>
      </c>
      <c r="AI492" s="33">
        <f>IF(C492="","",IFERROR(INDEX(Products!$AW$5:$AW$304,MATCH(C492,Products!$A$5:$A$304,0)),""))</f>
        <v>0</v>
      </c>
      <c r="AJ492" s="33">
        <f>IF(B492="","",IF(OR(AH492="",AI492=""),"",AH492-AI492))</f>
        <v>0</v>
      </c>
      <c r="AK492" s="41">
        <f>IF(B492="","",IFERROR(ROUND(IF(D492="",0,D492)*INDEX(Products!$X$5:$X$304,MATCH(C492,Products!$A$5:$A$304,0))/60,2),""))</f>
        <v>0</v>
      </c>
      <c r="AL492" s="20">
        <f>IF(B492="","",IF(OR(AK492="",AK492=0),"",ROUND(AG492/AK492,2)))</f>
        <v>0</v>
      </c>
      <c r="AM492" s="43">
        <f>IF(B492="","",IF(C492="","Add - which product?",IF(AG492&lt;0,"Loss - this order cost you money",IF(M492="Refunded","Refunded - check why",IF(AND(AF492&lt;&gt;"",AF492&gt;0.25),"Check - fees higher than your settings",IF(Z492&gt;1,"Check - postage is eating the margin",IF(AND(AH492&lt;&gt;"",AH492&lt;MarginWarning),"Low margin on this order","OK")))))) )</f>
        <v>0</v>
      </c>
    </row>
    <row r="493" spans="1:39">
      <c r="A493" s="38">
        <f>IF(B493="","",SalePrefix&amp;TEXT(ROW()-4,"0000"))</f>
        <v>0</v>
      </c>
      <c r="Q493" s="13">
        <f>IF(C493="","",IFERROR(INDEX(Products!$B$5:$B$304,MATCH(C493,Products!$A$5:$A$304,0)),"Bundle or deleted"))</f>
        <v>0</v>
      </c>
      <c r="R493" s="13">
        <f>IF(B493="","",TEXT(B493,"yyyy-mm"))</f>
        <v>0</v>
      </c>
      <c r="S493" s="20">
        <f>IF(C493="","",IFERROR(INDEX(Products!$AR$5:$AR$304,MATCH(C493,Products!$A$5:$A$304,0)),""))</f>
        <v>0</v>
      </c>
      <c r="T493" s="20">
        <f>IF(B493="","",IF(F493&lt;&gt;"",F493,IF(S493="",0,S493)))</f>
        <v>0</v>
      </c>
      <c r="U493" s="20">
        <f>IF(B493="","",ROUND(IF(D493="",0,D493)*T493,2))</f>
        <v>0</v>
      </c>
      <c r="V493" s="20">
        <f>IF(B493="","",ROUND(U493-IF(G493="",0,G493)-IF(L493="",0,L493),2))</f>
        <v>0</v>
      </c>
      <c r="W493" s="20">
        <f>IF(C493="","",IFERROR(INDEX(Products!$AT$5:$AT$304,MATCH(C493,Products!$A$5:$A$304,0)),""))</f>
        <v>0</v>
      </c>
      <c r="X493" s="20">
        <f>IF(C493="","",IFERROR(INDEX(Products!$AG$5:$AG$304,MATCH(C493,Products!$A$5:$A$304,0)),""))</f>
        <v>0</v>
      </c>
      <c r="Y493" s="20">
        <f>IF(B493="","",ROUND(IF(D493="",0,D493)*MAX(0,IF(W493="",0,W493)-IF(X493="",0,X493)),2))</f>
        <v>0</v>
      </c>
      <c r="Z493" s="20">
        <f>IF(B493="","",ROUND(MAX(0,IF(J493="",0,J493)-IF(I493="",0,I493)),2))</f>
        <v>0</v>
      </c>
      <c r="AA493" s="33">
        <f>IF(B493="","",IFERROR(INDEX(Channels!$S$5:$S$18,MATCH(IF(E493="",DefaultChannel,E493),Channels!$A$5:$A$18,0)),0))</f>
        <v>0</v>
      </c>
      <c r="AB493" s="20">
        <f>IF(B493="","",IFERROR(INDEX(Channels!$T$5:$T$18,MATCH(IF(E493="",DefaultChannel,E493),Channels!$A$5:$A$18,0)),0))</f>
        <v>0</v>
      </c>
      <c r="AC493" s="42">
        <f>IF(B493="","",IFERROR(INDEX(Channels!$O$5:$O$18,MATCH(IF(E493="",DefaultChannel,E493),Channels!$A$5:$A$18,0)),"No"))</f>
        <v>0</v>
      </c>
      <c r="AD493" s="20">
        <f>IF(B493="","",ROUND((V493+IF(AC493="Yes",IF(I493="",0,I493),0))*AA493+AB493,2))</f>
        <v>0</v>
      </c>
      <c r="AE493" s="20">
        <f>IF(B493="","",IF(K493&lt;&gt;"",K493,AD493))</f>
        <v>0</v>
      </c>
      <c r="AF493" s="20">
        <f>IF(B493="","",IF(K493="","",ROUND(K493-AD493,2)))</f>
        <v>0</v>
      </c>
      <c r="AG493" s="20">
        <f>IF(B493="","",ROUND(V493-Y493-AE493-Z493,2))</f>
        <v>0</v>
      </c>
      <c r="AH493" s="33">
        <f>IF(B493="","",IF(OR(V493="",V493=0),"",AG493/V493))</f>
        <v>0</v>
      </c>
      <c r="AI493" s="33">
        <f>IF(C493="","",IFERROR(INDEX(Products!$AW$5:$AW$304,MATCH(C493,Products!$A$5:$A$304,0)),""))</f>
        <v>0</v>
      </c>
      <c r="AJ493" s="33">
        <f>IF(B493="","",IF(OR(AH493="",AI493=""),"",AH493-AI493))</f>
        <v>0</v>
      </c>
      <c r="AK493" s="41">
        <f>IF(B493="","",IFERROR(ROUND(IF(D493="",0,D493)*INDEX(Products!$X$5:$X$304,MATCH(C493,Products!$A$5:$A$304,0))/60,2),""))</f>
        <v>0</v>
      </c>
      <c r="AL493" s="20">
        <f>IF(B493="","",IF(OR(AK493="",AK493=0),"",ROUND(AG493/AK493,2)))</f>
        <v>0</v>
      </c>
      <c r="AM493" s="43">
        <f>IF(B493="","",IF(C493="","Add - which product?",IF(AG493&lt;0,"Loss - this order cost you money",IF(M493="Refunded","Refunded - check why",IF(AND(AF493&lt;&gt;"",AF493&gt;0.25),"Check - fees higher than your settings",IF(Z493&gt;1,"Check - postage is eating the margin",IF(AND(AH493&lt;&gt;"",AH493&lt;MarginWarning),"Low margin on this order","OK")))))) )</f>
        <v>0</v>
      </c>
    </row>
    <row r="494" spans="1:39">
      <c r="A494" s="38">
        <f>IF(B494="","",SalePrefix&amp;TEXT(ROW()-4,"0000"))</f>
        <v>0</v>
      </c>
      <c r="Q494" s="13">
        <f>IF(C494="","",IFERROR(INDEX(Products!$B$5:$B$304,MATCH(C494,Products!$A$5:$A$304,0)),"Bundle or deleted"))</f>
        <v>0</v>
      </c>
      <c r="R494" s="13">
        <f>IF(B494="","",TEXT(B494,"yyyy-mm"))</f>
        <v>0</v>
      </c>
      <c r="S494" s="20">
        <f>IF(C494="","",IFERROR(INDEX(Products!$AR$5:$AR$304,MATCH(C494,Products!$A$5:$A$304,0)),""))</f>
        <v>0</v>
      </c>
      <c r="T494" s="20">
        <f>IF(B494="","",IF(F494&lt;&gt;"",F494,IF(S494="",0,S494)))</f>
        <v>0</v>
      </c>
      <c r="U494" s="20">
        <f>IF(B494="","",ROUND(IF(D494="",0,D494)*T494,2))</f>
        <v>0</v>
      </c>
      <c r="V494" s="20">
        <f>IF(B494="","",ROUND(U494-IF(G494="",0,G494)-IF(L494="",0,L494),2))</f>
        <v>0</v>
      </c>
      <c r="W494" s="20">
        <f>IF(C494="","",IFERROR(INDEX(Products!$AT$5:$AT$304,MATCH(C494,Products!$A$5:$A$304,0)),""))</f>
        <v>0</v>
      </c>
      <c r="X494" s="20">
        <f>IF(C494="","",IFERROR(INDEX(Products!$AG$5:$AG$304,MATCH(C494,Products!$A$5:$A$304,0)),""))</f>
        <v>0</v>
      </c>
      <c r="Y494" s="20">
        <f>IF(B494="","",ROUND(IF(D494="",0,D494)*MAX(0,IF(W494="",0,W494)-IF(X494="",0,X494)),2))</f>
        <v>0</v>
      </c>
      <c r="Z494" s="20">
        <f>IF(B494="","",ROUND(MAX(0,IF(J494="",0,J494)-IF(I494="",0,I494)),2))</f>
        <v>0</v>
      </c>
      <c r="AA494" s="33">
        <f>IF(B494="","",IFERROR(INDEX(Channels!$S$5:$S$18,MATCH(IF(E494="",DefaultChannel,E494),Channels!$A$5:$A$18,0)),0))</f>
        <v>0</v>
      </c>
      <c r="AB494" s="20">
        <f>IF(B494="","",IFERROR(INDEX(Channels!$T$5:$T$18,MATCH(IF(E494="",DefaultChannel,E494),Channels!$A$5:$A$18,0)),0))</f>
        <v>0</v>
      </c>
      <c r="AC494" s="42">
        <f>IF(B494="","",IFERROR(INDEX(Channels!$O$5:$O$18,MATCH(IF(E494="",DefaultChannel,E494),Channels!$A$5:$A$18,0)),"No"))</f>
        <v>0</v>
      </c>
      <c r="AD494" s="20">
        <f>IF(B494="","",ROUND((V494+IF(AC494="Yes",IF(I494="",0,I494),0))*AA494+AB494,2))</f>
        <v>0</v>
      </c>
      <c r="AE494" s="20">
        <f>IF(B494="","",IF(K494&lt;&gt;"",K494,AD494))</f>
        <v>0</v>
      </c>
      <c r="AF494" s="20">
        <f>IF(B494="","",IF(K494="","",ROUND(K494-AD494,2)))</f>
        <v>0</v>
      </c>
      <c r="AG494" s="20">
        <f>IF(B494="","",ROUND(V494-Y494-AE494-Z494,2))</f>
        <v>0</v>
      </c>
      <c r="AH494" s="33">
        <f>IF(B494="","",IF(OR(V494="",V494=0),"",AG494/V494))</f>
        <v>0</v>
      </c>
      <c r="AI494" s="33">
        <f>IF(C494="","",IFERROR(INDEX(Products!$AW$5:$AW$304,MATCH(C494,Products!$A$5:$A$304,0)),""))</f>
        <v>0</v>
      </c>
      <c r="AJ494" s="33">
        <f>IF(B494="","",IF(OR(AH494="",AI494=""),"",AH494-AI494))</f>
        <v>0</v>
      </c>
      <c r="AK494" s="41">
        <f>IF(B494="","",IFERROR(ROUND(IF(D494="",0,D494)*INDEX(Products!$X$5:$X$304,MATCH(C494,Products!$A$5:$A$304,0))/60,2),""))</f>
        <v>0</v>
      </c>
      <c r="AL494" s="20">
        <f>IF(B494="","",IF(OR(AK494="",AK494=0),"",ROUND(AG494/AK494,2)))</f>
        <v>0</v>
      </c>
      <c r="AM494" s="43">
        <f>IF(B494="","",IF(C494="","Add - which product?",IF(AG494&lt;0,"Loss - this order cost you money",IF(M494="Refunded","Refunded - check why",IF(AND(AF494&lt;&gt;"",AF494&gt;0.25),"Check - fees higher than your settings",IF(Z494&gt;1,"Check - postage is eating the margin",IF(AND(AH494&lt;&gt;"",AH494&lt;MarginWarning),"Low margin on this order","OK")))))) )</f>
        <v>0</v>
      </c>
    </row>
    <row r="495" spans="1:39">
      <c r="A495" s="38">
        <f>IF(B495="","",SalePrefix&amp;TEXT(ROW()-4,"0000"))</f>
        <v>0</v>
      </c>
      <c r="Q495" s="13">
        <f>IF(C495="","",IFERROR(INDEX(Products!$B$5:$B$304,MATCH(C495,Products!$A$5:$A$304,0)),"Bundle or deleted"))</f>
        <v>0</v>
      </c>
      <c r="R495" s="13">
        <f>IF(B495="","",TEXT(B495,"yyyy-mm"))</f>
        <v>0</v>
      </c>
      <c r="S495" s="20">
        <f>IF(C495="","",IFERROR(INDEX(Products!$AR$5:$AR$304,MATCH(C495,Products!$A$5:$A$304,0)),""))</f>
        <v>0</v>
      </c>
      <c r="T495" s="20">
        <f>IF(B495="","",IF(F495&lt;&gt;"",F495,IF(S495="",0,S495)))</f>
        <v>0</v>
      </c>
      <c r="U495" s="20">
        <f>IF(B495="","",ROUND(IF(D495="",0,D495)*T495,2))</f>
        <v>0</v>
      </c>
      <c r="V495" s="20">
        <f>IF(B495="","",ROUND(U495-IF(G495="",0,G495)-IF(L495="",0,L495),2))</f>
        <v>0</v>
      </c>
      <c r="W495" s="20">
        <f>IF(C495="","",IFERROR(INDEX(Products!$AT$5:$AT$304,MATCH(C495,Products!$A$5:$A$304,0)),""))</f>
        <v>0</v>
      </c>
      <c r="X495" s="20">
        <f>IF(C495="","",IFERROR(INDEX(Products!$AG$5:$AG$304,MATCH(C495,Products!$A$5:$A$304,0)),""))</f>
        <v>0</v>
      </c>
      <c r="Y495" s="20">
        <f>IF(B495="","",ROUND(IF(D495="",0,D495)*MAX(0,IF(W495="",0,W495)-IF(X495="",0,X495)),2))</f>
        <v>0</v>
      </c>
      <c r="Z495" s="20">
        <f>IF(B495="","",ROUND(MAX(0,IF(J495="",0,J495)-IF(I495="",0,I495)),2))</f>
        <v>0</v>
      </c>
      <c r="AA495" s="33">
        <f>IF(B495="","",IFERROR(INDEX(Channels!$S$5:$S$18,MATCH(IF(E495="",DefaultChannel,E495),Channels!$A$5:$A$18,0)),0))</f>
        <v>0</v>
      </c>
      <c r="AB495" s="20">
        <f>IF(B495="","",IFERROR(INDEX(Channels!$T$5:$T$18,MATCH(IF(E495="",DefaultChannel,E495),Channels!$A$5:$A$18,0)),0))</f>
        <v>0</v>
      </c>
      <c r="AC495" s="42">
        <f>IF(B495="","",IFERROR(INDEX(Channels!$O$5:$O$18,MATCH(IF(E495="",DefaultChannel,E495),Channels!$A$5:$A$18,0)),"No"))</f>
        <v>0</v>
      </c>
      <c r="AD495" s="20">
        <f>IF(B495="","",ROUND((V495+IF(AC495="Yes",IF(I495="",0,I495),0))*AA495+AB495,2))</f>
        <v>0</v>
      </c>
      <c r="AE495" s="20">
        <f>IF(B495="","",IF(K495&lt;&gt;"",K495,AD495))</f>
        <v>0</v>
      </c>
      <c r="AF495" s="20">
        <f>IF(B495="","",IF(K495="","",ROUND(K495-AD495,2)))</f>
        <v>0</v>
      </c>
      <c r="AG495" s="20">
        <f>IF(B495="","",ROUND(V495-Y495-AE495-Z495,2))</f>
        <v>0</v>
      </c>
      <c r="AH495" s="33">
        <f>IF(B495="","",IF(OR(V495="",V495=0),"",AG495/V495))</f>
        <v>0</v>
      </c>
      <c r="AI495" s="33">
        <f>IF(C495="","",IFERROR(INDEX(Products!$AW$5:$AW$304,MATCH(C495,Products!$A$5:$A$304,0)),""))</f>
        <v>0</v>
      </c>
      <c r="AJ495" s="33">
        <f>IF(B495="","",IF(OR(AH495="",AI495=""),"",AH495-AI495))</f>
        <v>0</v>
      </c>
      <c r="AK495" s="41">
        <f>IF(B495="","",IFERROR(ROUND(IF(D495="",0,D495)*INDEX(Products!$X$5:$X$304,MATCH(C495,Products!$A$5:$A$304,0))/60,2),""))</f>
        <v>0</v>
      </c>
      <c r="AL495" s="20">
        <f>IF(B495="","",IF(OR(AK495="",AK495=0),"",ROUND(AG495/AK495,2)))</f>
        <v>0</v>
      </c>
      <c r="AM495" s="43">
        <f>IF(B495="","",IF(C495="","Add - which product?",IF(AG495&lt;0,"Loss - this order cost you money",IF(M495="Refunded","Refunded - check why",IF(AND(AF495&lt;&gt;"",AF495&gt;0.25),"Check - fees higher than your settings",IF(Z495&gt;1,"Check - postage is eating the margin",IF(AND(AH495&lt;&gt;"",AH495&lt;MarginWarning),"Low margin on this order","OK")))))) )</f>
        <v>0</v>
      </c>
    </row>
    <row r="496" spans="1:39">
      <c r="A496" s="38">
        <f>IF(B496="","",SalePrefix&amp;TEXT(ROW()-4,"0000"))</f>
        <v>0</v>
      </c>
      <c r="Q496" s="13">
        <f>IF(C496="","",IFERROR(INDEX(Products!$B$5:$B$304,MATCH(C496,Products!$A$5:$A$304,0)),"Bundle or deleted"))</f>
        <v>0</v>
      </c>
      <c r="R496" s="13">
        <f>IF(B496="","",TEXT(B496,"yyyy-mm"))</f>
        <v>0</v>
      </c>
      <c r="S496" s="20">
        <f>IF(C496="","",IFERROR(INDEX(Products!$AR$5:$AR$304,MATCH(C496,Products!$A$5:$A$304,0)),""))</f>
        <v>0</v>
      </c>
      <c r="T496" s="20">
        <f>IF(B496="","",IF(F496&lt;&gt;"",F496,IF(S496="",0,S496)))</f>
        <v>0</v>
      </c>
      <c r="U496" s="20">
        <f>IF(B496="","",ROUND(IF(D496="",0,D496)*T496,2))</f>
        <v>0</v>
      </c>
      <c r="V496" s="20">
        <f>IF(B496="","",ROUND(U496-IF(G496="",0,G496)-IF(L496="",0,L496),2))</f>
        <v>0</v>
      </c>
      <c r="W496" s="20">
        <f>IF(C496="","",IFERROR(INDEX(Products!$AT$5:$AT$304,MATCH(C496,Products!$A$5:$A$304,0)),""))</f>
        <v>0</v>
      </c>
      <c r="X496" s="20">
        <f>IF(C496="","",IFERROR(INDEX(Products!$AG$5:$AG$304,MATCH(C496,Products!$A$5:$A$304,0)),""))</f>
        <v>0</v>
      </c>
      <c r="Y496" s="20">
        <f>IF(B496="","",ROUND(IF(D496="",0,D496)*MAX(0,IF(W496="",0,W496)-IF(X496="",0,X496)),2))</f>
        <v>0</v>
      </c>
      <c r="Z496" s="20">
        <f>IF(B496="","",ROUND(MAX(0,IF(J496="",0,J496)-IF(I496="",0,I496)),2))</f>
        <v>0</v>
      </c>
      <c r="AA496" s="33">
        <f>IF(B496="","",IFERROR(INDEX(Channels!$S$5:$S$18,MATCH(IF(E496="",DefaultChannel,E496),Channels!$A$5:$A$18,0)),0))</f>
        <v>0</v>
      </c>
      <c r="AB496" s="20">
        <f>IF(B496="","",IFERROR(INDEX(Channels!$T$5:$T$18,MATCH(IF(E496="",DefaultChannel,E496),Channels!$A$5:$A$18,0)),0))</f>
        <v>0</v>
      </c>
      <c r="AC496" s="42">
        <f>IF(B496="","",IFERROR(INDEX(Channels!$O$5:$O$18,MATCH(IF(E496="",DefaultChannel,E496),Channels!$A$5:$A$18,0)),"No"))</f>
        <v>0</v>
      </c>
      <c r="AD496" s="20">
        <f>IF(B496="","",ROUND((V496+IF(AC496="Yes",IF(I496="",0,I496),0))*AA496+AB496,2))</f>
        <v>0</v>
      </c>
      <c r="AE496" s="20">
        <f>IF(B496="","",IF(K496&lt;&gt;"",K496,AD496))</f>
        <v>0</v>
      </c>
      <c r="AF496" s="20">
        <f>IF(B496="","",IF(K496="","",ROUND(K496-AD496,2)))</f>
        <v>0</v>
      </c>
      <c r="AG496" s="20">
        <f>IF(B496="","",ROUND(V496-Y496-AE496-Z496,2))</f>
        <v>0</v>
      </c>
      <c r="AH496" s="33">
        <f>IF(B496="","",IF(OR(V496="",V496=0),"",AG496/V496))</f>
        <v>0</v>
      </c>
      <c r="AI496" s="33">
        <f>IF(C496="","",IFERROR(INDEX(Products!$AW$5:$AW$304,MATCH(C496,Products!$A$5:$A$304,0)),""))</f>
        <v>0</v>
      </c>
      <c r="AJ496" s="33">
        <f>IF(B496="","",IF(OR(AH496="",AI496=""),"",AH496-AI496))</f>
        <v>0</v>
      </c>
      <c r="AK496" s="41">
        <f>IF(B496="","",IFERROR(ROUND(IF(D496="",0,D496)*INDEX(Products!$X$5:$X$304,MATCH(C496,Products!$A$5:$A$304,0))/60,2),""))</f>
        <v>0</v>
      </c>
      <c r="AL496" s="20">
        <f>IF(B496="","",IF(OR(AK496="",AK496=0),"",ROUND(AG496/AK496,2)))</f>
        <v>0</v>
      </c>
      <c r="AM496" s="43">
        <f>IF(B496="","",IF(C496="","Add - which product?",IF(AG496&lt;0,"Loss - this order cost you money",IF(M496="Refunded","Refunded - check why",IF(AND(AF496&lt;&gt;"",AF496&gt;0.25),"Check - fees higher than your settings",IF(Z496&gt;1,"Check - postage is eating the margin",IF(AND(AH496&lt;&gt;"",AH496&lt;MarginWarning),"Low margin on this order","OK")))))) )</f>
        <v>0</v>
      </c>
    </row>
    <row r="497" spans="1:39">
      <c r="A497" s="38">
        <f>IF(B497="","",SalePrefix&amp;TEXT(ROW()-4,"0000"))</f>
        <v>0</v>
      </c>
      <c r="Q497" s="13">
        <f>IF(C497="","",IFERROR(INDEX(Products!$B$5:$B$304,MATCH(C497,Products!$A$5:$A$304,0)),"Bundle or deleted"))</f>
        <v>0</v>
      </c>
      <c r="R497" s="13">
        <f>IF(B497="","",TEXT(B497,"yyyy-mm"))</f>
        <v>0</v>
      </c>
      <c r="S497" s="20">
        <f>IF(C497="","",IFERROR(INDEX(Products!$AR$5:$AR$304,MATCH(C497,Products!$A$5:$A$304,0)),""))</f>
        <v>0</v>
      </c>
      <c r="T497" s="20">
        <f>IF(B497="","",IF(F497&lt;&gt;"",F497,IF(S497="",0,S497)))</f>
        <v>0</v>
      </c>
      <c r="U497" s="20">
        <f>IF(B497="","",ROUND(IF(D497="",0,D497)*T497,2))</f>
        <v>0</v>
      </c>
      <c r="V497" s="20">
        <f>IF(B497="","",ROUND(U497-IF(G497="",0,G497)-IF(L497="",0,L497),2))</f>
        <v>0</v>
      </c>
      <c r="W497" s="20">
        <f>IF(C497="","",IFERROR(INDEX(Products!$AT$5:$AT$304,MATCH(C497,Products!$A$5:$A$304,0)),""))</f>
        <v>0</v>
      </c>
      <c r="X497" s="20">
        <f>IF(C497="","",IFERROR(INDEX(Products!$AG$5:$AG$304,MATCH(C497,Products!$A$5:$A$304,0)),""))</f>
        <v>0</v>
      </c>
      <c r="Y497" s="20">
        <f>IF(B497="","",ROUND(IF(D497="",0,D497)*MAX(0,IF(W497="",0,W497)-IF(X497="",0,X497)),2))</f>
        <v>0</v>
      </c>
      <c r="Z497" s="20">
        <f>IF(B497="","",ROUND(MAX(0,IF(J497="",0,J497)-IF(I497="",0,I497)),2))</f>
        <v>0</v>
      </c>
      <c r="AA497" s="33">
        <f>IF(B497="","",IFERROR(INDEX(Channels!$S$5:$S$18,MATCH(IF(E497="",DefaultChannel,E497),Channels!$A$5:$A$18,0)),0))</f>
        <v>0</v>
      </c>
      <c r="AB497" s="20">
        <f>IF(B497="","",IFERROR(INDEX(Channels!$T$5:$T$18,MATCH(IF(E497="",DefaultChannel,E497),Channels!$A$5:$A$18,0)),0))</f>
        <v>0</v>
      </c>
      <c r="AC497" s="42">
        <f>IF(B497="","",IFERROR(INDEX(Channels!$O$5:$O$18,MATCH(IF(E497="",DefaultChannel,E497),Channels!$A$5:$A$18,0)),"No"))</f>
        <v>0</v>
      </c>
      <c r="AD497" s="20">
        <f>IF(B497="","",ROUND((V497+IF(AC497="Yes",IF(I497="",0,I497),0))*AA497+AB497,2))</f>
        <v>0</v>
      </c>
      <c r="AE497" s="20">
        <f>IF(B497="","",IF(K497&lt;&gt;"",K497,AD497))</f>
        <v>0</v>
      </c>
      <c r="AF497" s="20">
        <f>IF(B497="","",IF(K497="","",ROUND(K497-AD497,2)))</f>
        <v>0</v>
      </c>
      <c r="AG497" s="20">
        <f>IF(B497="","",ROUND(V497-Y497-AE497-Z497,2))</f>
        <v>0</v>
      </c>
      <c r="AH497" s="33">
        <f>IF(B497="","",IF(OR(V497="",V497=0),"",AG497/V497))</f>
        <v>0</v>
      </c>
      <c r="AI497" s="33">
        <f>IF(C497="","",IFERROR(INDEX(Products!$AW$5:$AW$304,MATCH(C497,Products!$A$5:$A$304,0)),""))</f>
        <v>0</v>
      </c>
      <c r="AJ497" s="33">
        <f>IF(B497="","",IF(OR(AH497="",AI497=""),"",AH497-AI497))</f>
        <v>0</v>
      </c>
      <c r="AK497" s="41">
        <f>IF(B497="","",IFERROR(ROUND(IF(D497="",0,D497)*INDEX(Products!$X$5:$X$304,MATCH(C497,Products!$A$5:$A$304,0))/60,2),""))</f>
        <v>0</v>
      </c>
      <c r="AL497" s="20">
        <f>IF(B497="","",IF(OR(AK497="",AK497=0),"",ROUND(AG497/AK497,2)))</f>
        <v>0</v>
      </c>
      <c r="AM497" s="43">
        <f>IF(B497="","",IF(C497="","Add - which product?",IF(AG497&lt;0,"Loss - this order cost you money",IF(M497="Refunded","Refunded - check why",IF(AND(AF497&lt;&gt;"",AF497&gt;0.25),"Check - fees higher than your settings",IF(Z497&gt;1,"Check - postage is eating the margin",IF(AND(AH497&lt;&gt;"",AH497&lt;MarginWarning),"Low margin on this order","OK")))))) )</f>
        <v>0</v>
      </c>
    </row>
    <row r="498" spans="1:39">
      <c r="A498" s="38">
        <f>IF(B498="","",SalePrefix&amp;TEXT(ROW()-4,"0000"))</f>
        <v>0</v>
      </c>
      <c r="Q498" s="13">
        <f>IF(C498="","",IFERROR(INDEX(Products!$B$5:$B$304,MATCH(C498,Products!$A$5:$A$304,0)),"Bundle or deleted"))</f>
        <v>0</v>
      </c>
      <c r="R498" s="13">
        <f>IF(B498="","",TEXT(B498,"yyyy-mm"))</f>
        <v>0</v>
      </c>
      <c r="S498" s="20">
        <f>IF(C498="","",IFERROR(INDEX(Products!$AR$5:$AR$304,MATCH(C498,Products!$A$5:$A$304,0)),""))</f>
        <v>0</v>
      </c>
      <c r="T498" s="20">
        <f>IF(B498="","",IF(F498&lt;&gt;"",F498,IF(S498="",0,S498)))</f>
        <v>0</v>
      </c>
      <c r="U498" s="20">
        <f>IF(B498="","",ROUND(IF(D498="",0,D498)*T498,2))</f>
        <v>0</v>
      </c>
      <c r="V498" s="20">
        <f>IF(B498="","",ROUND(U498-IF(G498="",0,G498)-IF(L498="",0,L498),2))</f>
        <v>0</v>
      </c>
      <c r="W498" s="20">
        <f>IF(C498="","",IFERROR(INDEX(Products!$AT$5:$AT$304,MATCH(C498,Products!$A$5:$A$304,0)),""))</f>
        <v>0</v>
      </c>
      <c r="X498" s="20">
        <f>IF(C498="","",IFERROR(INDEX(Products!$AG$5:$AG$304,MATCH(C498,Products!$A$5:$A$304,0)),""))</f>
        <v>0</v>
      </c>
      <c r="Y498" s="20">
        <f>IF(B498="","",ROUND(IF(D498="",0,D498)*MAX(0,IF(W498="",0,W498)-IF(X498="",0,X498)),2))</f>
        <v>0</v>
      </c>
      <c r="Z498" s="20">
        <f>IF(B498="","",ROUND(MAX(0,IF(J498="",0,J498)-IF(I498="",0,I498)),2))</f>
        <v>0</v>
      </c>
      <c r="AA498" s="33">
        <f>IF(B498="","",IFERROR(INDEX(Channels!$S$5:$S$18,MATCH(IF(E498="",DefaultChannel,E498),Channels!$A$5:$A$18,0)),0))</f>
        <v>0</v>
      </c>
      <c r="AB498" s="20">
        <f>IF(B498="","",IFERROR(INDEX(Channels!$T$5:$T$18,MATCH(IF(E498="",DefaultChannel,E498),Channels!$A$5:$A$18,0)),0))</f>
        <v>0</v>
      </c>
      <c r="AC498" s="42">
        <f>IF(B498="","",IFERROR(INDEX(Channels!$O$5:$O$18,MATCH(IF(E498="",DefaultChannel,E498),Channels!$A$5:$A$18,0)),"No"))</f>
        <v>0</v>
      </c>
      <c r="AD498" s="20">
        <f>IF(B498="","",ROUND((V498+IF(AC498="Yes",IF(I498="",0,I498),0))*AA498+AB498,2))</f>
        <v>0</v>
      </c>
      <c r="AE498" s="20">
        <f>IF(B498="","",IF(K498&lt;&gt;"",K498,AD498))</f>
        <v>0</v>
      </c>
      <c r="AF498" s="20">
        <f>IF(B498="","",IF(K498="","",ROUND(K498-AD498,2)))</f>
        <v>0</v>
      </c>
      <c r="AG498" s="20">
        <f>IF(B498="","",ROUND(V498-Y498-AE498-Z498,2))</f>
        <v>0</v>
      </c>
      <c r="AH498" s="33">
        <f>IF(B498="","",IF(OR(V498="",V498=0),"",AG498/V498))</f>
        <v>0</v>
      </c>
      <c r="AI498" s="33">
        <f>IF(C498="","",IFERROR(INDEX(Products!$AW$5:$AW$304,MATCH(C498,Products!$A$5:$A$304,0)),""))</f>
        <v>0</v>
      </c>
      <c r="AJ498" s="33">
        <f>IF(B498="","",IF(OR(AH498="",AI498=""),"",AH498-AI498))</f>
        <v>0</v>
      </c>
      <c r="AK498" s="41">
        <f>IF(B498="","",IFERROR(ROUND(IF(D498="",0,D498)*INDEX(Products!$X$5:$X$304,MATCH(C498,Products!$A$5:$A$304,0))/60,2),""))</f>
        <v>0</v>
      </c>
      <c r="AL498" s="20">
        <f>IF(B498="","",IF(OR(AK498="",AK498=0),"",ROUND(AG498/AK498,2)))</f>
        <v>0</v>
      </c>
      <c r="AM498" s="43">
        <f>IF(B498="","",IF(C498="","Add - which product?",IF(AG498&lt;0,"Loss - this order cost you money",IF(M498="Refunded","Refunded - check why",IF(AND(AF498&lt;&gt;"",AF498&gt;0.25),"Check - fees higher than your settings",IF(Z498&gt;1,"Check - postage is eating the margin",IF(AND(AH498&lt;&gt;"",AH498&lt;MarginWarning),"Low margin on this order","OK")))))) )</f>
        <v>0</v>
      </c>
    </row>
    <row r="499" spans="1:39">
      <c r="A499" s="38">
        <f>IF(B499="","",SalePrefix&amp;TEXT(ROW()-4,"0000"))</f>
        <v>0</v>
      </c>
      <c r="Q499" s="13">
        <f>IF(C499="","",IFERROR(INDEX(Products!$B$5:$B$304,MATCH(C499,Products!$A$5:$A$304,0)),"Bundle or deleted"))</f>
        <v>0</v>
      </c>
      <c r="R499" s="13">
        <f>IF(B499="","",TEXT(B499,"yyyy-mm"))</f>
        <v>0</v>
      </c>
      <c r="S499" s="20">
        <f>IF(C499="","",IFERROR(INDEX(Products!$AR$5:$AR$304,MATCH(C499,Products!$A$5:$A$304,0)),""))</f>
        <v>0</v>
      </c>
      <c r="T499" s="20">
        <f>IF(B499="","",IF(F499&lt;&gt;"",F499,IF(S499="",0,S499)))</f>
        <v>0</v>
      </c>
      <c r="U499" s="20">
        <f>IF(B499="","",ROUND(IF(D499="",0,D499)*T499,2))</f>
        <v>0</v>
      </c>
      <c r="V499" s="20">
        <f>IF(B499="","",ROUND(U499-IF(G499="",0,G499)-IF(L499="",0,L499),2))</f>
        <v>0</v>
      </c>
      <c r="W499" s="20">
        <f>IF(C499="","",IFERROR(INDEX(Products!$AT$5:$AT$304,MATCH(C499,Products!$A$5:$A$304,0)),""))</f>
        <v>0</v>
      </c>
      <c r="X499" s="20">
        <f>IF(C499="","",IFERROR(INDEX(Products!$AG$5:$AG$304,MATCH(C499,Products!$A$5:$A$304,0)),""))</f>
        <v>0</v>
      </c>
      <c r="Y499" s="20">
        <f>IF(B499="","",ROUND(IF(D499="",0,D499)*MAX(0,IF(W499="",0,W499)-IF(X499="",0,X499)),2))</f>
        <v>0</v>
      </c>
      <c r="Z499" s="20">
        <f>IF(B499="","",ROUND(MAX(0,IF(J499="",0,J499)-IF(I499="",0,I499)),2))</f>
        <v>0</v>
      </c>
      <c r="AA499" s="33">
        <f>IF(B499="","",IFERROR(INDEX(Channels!$S$5:$S$18,MATCH(IF(E499="",DefaultChannel,E499),Channels!$A$5:$A$18,0)),0))</f>
        <v>0</v>
      </c>
      <c r="AB499" s="20">
        <f>IF(B499="","",IFERROR(INDEX(Channels!$T$5:$T$18,MATCH(IF(E499="",DefaultChannel,E499),Channels!$A$5:$A$18,0)),0))</f>
        <v>0</v>
      </c>
      <c r="AC499" s="42">
        <f>IF(B499="","",IFERROR(INDEX(Channels!$O$5:$O$18,MATCH(IF(E499="",DefaultChannel,E499),Channels!$A$5:$A$18,0)),"No"))</f>
        <v>0</v>
      </c>
      <c r="AD499" s="20">
        <f>IF(B499="","",ROUND((V499+IF(AC499="Yes",IF(I499="",0,I499),0))*AA499+AB499,2))</f>
        <v>0</v>
      </c>
      <c r="AE499" s="20">
        <f>IF(B499="","",IF(K499&lt;&gt;"",K499,AD499))</f>
        <v>0</v>
      </c>
      <c r="AF499" s="20">
        <f>IF(B499="","",IF(K499="","",ROUND(K499-AD499,2)))</f>
        <v>0</v>
      </c>
      <c r="AG499" s="20">
        <f>IF(B499="","",ROUND(V499-Y499-AE499-Z499,2))</f>
        <v>0</v>
      </c>
      <c r="AH499" s="33">
        <f>IF(B499="","",IF(OR(V499="",V499=0),"",AG499/V499))</f>
        <v>0</v>
      </c>
      <c r="AI499" s="33">
        <f>IF(C499="","",IFERROR(INDEX(Products!$AW$5:$AW$304,MATCH(C499,Products!$A$5:$A$304,0)),""))</f>
        <v>0</v>
      </c>
      <c r="AJ499" s="33">
        <f>IF(B499="","",IF(OR(AH499="",AI499=""),"",AH499-AI499))</f>
        <v>0</v>
      </c>
      <c r="AK499" s="41">
        <f>IF(B499="","",IFERROR(ROUND(IF(D499="",0,D499)*INDEX(Products!$X$5:$X$304,MATCH(C499,Products!$A$5:$A$304,0))/60,2),""))</f>
        <v>0</v>
      </c>
      <c r="AL499" s="20">
        <f>IF(B499="","",IF(OR(AK499="",AK499=0),"",ROUND(AG499/AK499,2)))</f>
        <v>0</v>
      </c>
      <c r="AM499" s="43">
        <f>IF(B499="","",IF(C499="","Add - which product?",IF(AG499&lt;0,"Loss - this order cost you money",IF(M499="Refunded","Refunded - check why",IF(AND(AF499&lt;&gt;"",AF499&gt;0.25),"Check - fees higher than your settings",IF(Z499&gt;1,"Check - postage is eating the margin",IF(AND(AH499&lt;&gt;"",AH499&lt;MarginWarning),"Low margin on this order","OK")))))) )</f>
        <v>0</v>
      </c>
    </row>
    <row r="500" spans="1:39">
      <c r="A500" s="38">
        <f>IF(B500="","",SalePrefix&amp;TEXT(ROW()-4,"0000"))</f>
        <v>0</v>
      </c>
      <c r="Q500" s="13">
        <f>IF(C500="","",IFERROR(INDEX(Products!$B$5:$B$304,MATCH(C500,Products!$A$5:$A$304,0)),"Bundle or deleted"))</f>
        <v>0</v>
      </c>
      <c r="R500" s="13">
        <f>IF(B500="","",TEXT(B500,"yyyy-mm"))</f>
        <v>0</v>
      </c>
      <c r="S500" s="20">
        <f>IF(C500="","",IFERROR(INDEX(Products!$AR$5:$AR$304,MATCH(C500,Products!$A$5:$A$304,0)),""))</f>
        <v>0</v>
      </c>
      <c r="T500" s="20">
        <f>IF(B500="","",IF(F500&lt;&gt;"",F500,IF(S500="",0,S500)))</f>
        <v>0</v>
      </c>
      <c r="U500" s="20">
        <f>IF(B500="","",ROUND(IF(D500="",0,D500)*T500,2))</f>
        <v>0</v>
      </c>
      <c r="V500" s="20">
        <f>IF(B500="","",ROUND(U500-IF(G500="",0,G500)-IF(L500="",0,L500),2))</f>
        <v>0</v>
      </c>
      <c r="W500" s="20">
        <f>IF(C500="","",IFERROR(INDEX(Products!$AT$5:$AT$304,MATCH(C500,Products!$A$5:$A$304,0)),""))</f>
        <v>0</v>
      </c>
      <c r="X500" s="20">
        <f>IF(C500="","",IFERROR(INDEX(Products!$AG$5:$AG$304,MATCH(C500,Products!$A$5:$A$304,0)),""))</f>
        <v>0</v>
      </c>
      <c r="Y500" s="20">
        <f>IF(B500="","",ROUND(IF(D500="",0,D500)*MAX(0,IF(W500="",0,W500)-IF(X500="",0,X500)),2))</f>
        <v>0</v>
      </c>
      <c r="Z500" s="20">
        <f>IF(B500="","",ROUND(MAX(0,IF(J500="",0,J500)-IF(I500="",0,I500)),2))</f>
        <v>0</v>
      </c>
      <c r="AA500" s="33">
        <f>IF(B500="","",IFERROR(INDEX(Channels!$S$5:$S$18,MATCH(IF(E500="",DefaultChannel,E500),Channels!$A$5:$A$18,0)),0))</f>
        <v>0</v>
      </c>
      <c r="AB500" s="20">
        <f>IF(B500="","",IFERROR(INDEX(Channels!$T$5:$T$18,MATCH(IF(E500="",DefaultChannel,E500),Channels!$A$5:$A$18,0)),0))</f>
        <v>0</v>
      </c>
      <c r="AC500" s="42">
        <f>IF(B500="","",IFERROR(INDEX(Channels!$O$5:$O$18,MATCH(IF(E500="",DefaultChannel,E500),Channels!$A$5:$A$18,0)),"No"))</f>
        <v>0</v>
      </c>
      <c r="AD500" s="20">
        <f>IF(B500="","",ROUND((V500+IF(AC500="Yes",IF(I500="",0,I500),0))*AA500+AB500,2))</f>
        <v>0</v>
      </c>
      <c r="AE500" s="20">
        <f>IF(B500="","",IF(K500&lt;&gt;"",K500,AD500))</f>
        <v>0</v>
      </c>
      <c r="AF500" s="20">
        <f>IF(B500="","",IF(K500="","",ROUND(K500-AD500,2)))</f>
        <v>0</v>
      </c>
      <c r="AG500" s="20">
        <f>IF(B500="","",ROUND(V500-Y500-AE500-Z500,2))</f>
        <v>0</v>
      </c>
      <c r="AH500" s="33">
        <f>IF(B500="","",IF(OR(V500="",V500=0),"",AG500/V500))</f>
        <v>0</v>
      </c>
      <c r="AI500" s="33">
        <f>IF(C500="","",IFERROR(INDEX(Products!$AW$5:$AW$304,MATCH(C500,Products!$A$5:$A$304,0)),""))</f>
        <v>0</v>
      </c>
      <c r="AJ500" s="33">
        <f>IF(B500="","",IF(OR(AH500="",AI500=""),"",AH500-AI500))</f>
        <v>0</v>
      </c>
      <c r="AK500" s="41">
        <f>IF(B500="","",IFERROR(ROUND(IF(D500="",0,D500)*INDEX(Products!$X$5:$X$304,MATCH(C500,Products!$A$5:$A$304,0))/60,2),""))</f>
        <v>0</v>
      </c>
      <c r="AL500" s="20">
        <f>IF(B500="","",IF(OR(AK500="",AK500=0),"",ROUND(AG500/AK500,2)))</f>
        <v>0</v>
      </c>
      <c r="AM500" s="43">
        <f>IF(B500="","",IF(C500="","Add - which product?",IF(AG500&lt;0,"Loss - this order cost you money",IF(M500="Refunded","Refunded - check why",IF(AND(AF500&lt;&gt;"",AF500&gt;0.25),"Check - fees higher than your settings",IF(Z500&gt;1,"Check - postage is eating the margin",IF(AND(AH500&lt;&gt;"",AH500&lt;MarginWarning),"Low margin on this order","OK")))))) )</f>
        <v>0</v>
      </c>
    </row>
    <row r="501" spans="1:39">
      <c r="A501" s="38">
        <f>IF(B501="","",SalePrefix&amp;TEXT(ROW()-4,"0000"))</f>
        <v>0</v>
      </c>
      <c r="Q501" s="13">
        <f>IF(C501="","",IFERROR(INDEX(Products!$B$5:$B$304,MATCH(C501,Products!$A$5:$A$304,0)),"Bundle or deleted"))</f>
        <v>0</v>
      </c>
      <c r="R501" s="13">
        <f>IF(B501="","",TEXT(B501,"yyyy-mm"))</f>
        <v>0</v>
      </c>
      <c r="S501" s="20">
        <f>IF(C501="","",IFERROR(INDEX(Products!$AR$5:$AR$304,MATCH(C501,Products!$A$5:$A$304,0)),""))</f>
        <v>0</v>
      </c>
      <c r="T501" s="20">
        <f>IF(B501="","",IF(F501&lt;&gt;"",F501,IF(S501="",0,S501)))</f>
        <v>0</v>
      </c>
      <c r="U501" s="20">
        <f>IF(B501="","",ROUND(IF(D501="",0,D501)*T501,2))</f>
        <v>0</v>
      </c>
      <c r="V501" s="20">
        <f>IF(B501="","",ROUND(U501-IF(G501="",0,G501)-IF(L501="",0,L501),2))</f>
        <v>0</v>
      </c>
      <c r="W501" s="20">
        <f>IF(C501="","",IFERROR(INDEX(Products!$AT$5:$AT$304,MATCH(C501,Products!$A$5:$A$304,0)),""))</f>
        <v>0</v>
      </c>
      <c r="X501" s="20">
        <f>IF(C501="","",IFERROR(INDEX(Products!$AG$5:$AG$304,MATCH(C501,Products!$A$5:$A$304,0)),""))</f>
        <v>0</v>
      </c>
      <c r="Y501" s="20">
        <f>IF(B501="","",ROUND(IF(D501="",0,D501)*MAX(0,IF(W501="",0,W501)-IF(X501="",0,X501)),2))</f>
        <v>0</v>
      </c>
      <c r="Z501" s="20">
        <f>IF(B501="","",ROUND(MAX(0,IF(J501="",0,J501)-IF(I501="",0,I501)),2))</f>
        <v>0</v>
      </c>
      <c r="AA501" s="33">
        <f>IF(B501="","",IFERROR(INDEX(Channels!$S$5:$S$18,MATCH(IF(E501="",DefaultChannel,E501),Channels!$A$5:$A$18,0)),0))</f>
        <v>0</v>
      </c>
      <c r="AB501" s="20">
        <f>IF(B501="","",IFERROR(INDEX(Channels!$T$5:$T$18,MATCH(IF(E501="",DefaultChannel,E501),Channels!$A$5:$A$18,0)),0))</f>
        <v>0</v>
      </c>
      <c r="AC501" s="42">
        <f>IF(B501="","",IFERROR(INDEX(Channels!$O$5:$O$18,MATCH(IF(E501="",DefaultChannel,E501),Channels!$A$5:$A$18,0)),"No"))</f>
        <v>0</v>
      </c>
      <c r="AD501" s="20">
        <f>IF(B501="","",ROUND((V501+IF(AC501="Yes",IF(I501="",0,I501),0))*AA501+AB501,2))</f>
        <v>0</v>
      </c>
      <c r="AE501" s="20">
        <f>IF(B501="","",IF(K501&lt;&gt;"",K501,AD501))</f>
        <v>0</v>
      </c>
      <c r="AF501" s="20">
        <f>IF(B501="","",IF(K501="","",ROUND(K501-AD501,2)))</f>
        <v>0</v>
      </c>
      <c r="AG501" s="20">
        <f>IF(B501="","",ROUND(V501-Y501-AE501-Z501,2))</f>
        <v>0</v>
      </c>
      <c r="AH501" s="33">
        <f>IF(B501="","",IF(OR(V501="",V501=0),"",AG501/V501))</f>
        <v>0</v>
      </c>
      <c r="AI501" s="33">
        <f>IF(C501="","",IFERROR(INDEX(Products!$AW$5:$AW$304,MATCH(C501,Products!$A$5:$A$304,0)),""))</f>
        <v>0</v>
      </c>
      <c r="AJ501" s="33">
        <f>IF(B501="","",IF(OR(AH501="",AI501=""),"",AH501-AI501))</f>
        <v>0</v>
      </c>
      <c r="AK501" s="41">
        <f>IF(B501="","",IFERROR(ROUND(IF(D501="",0,D501)*INDEX(Products!$X$5:$X$304,MATCH(C501,Products!$A$5:$A$304,0))/60,2),""))</f>
        <v>0</v>
      </c>
      <c r="AL501" s="20">
        <f>IF(B501="","",IF(OR(AK501="",AK501=0),"",ROUND(AG501/AK501,2)))</f>
        <v>0</v>
      </c>
      <c r="AM501" s="43">
        <f>IF(B501="","",IF(C501="","Add - which product?",IF(AG501&lt;0,"Loss - this order cost you money",IF(M501="Refunded","Refunded - check why",IF(AND(AF501&lt;&gt;"",AF501&gt;0.25),"Check - fees higher than your settings",IF(Z501&gt;1,"Check - postage is eating the margin",IF(AND(AH501&lt;&gt;"",AH501&lt;MarginWarning),"Low margin on this order","OK")))))) )</f>
        <v>0</v>
      </c>
    </row>
    <row r="502" spans="1:39">
      <c r="A502" s="38">
        <f>IF(B502="","",SalePrefix&amp;TEXT(ROW()-4,"0000"))</f>
        <v>0</v>
      </c>
      <c r="Q502" s="13">
        <f>IF(C502="","",IFERROR(INDEX(Products!$B$5:$B$304,MATCH(C502,Products!$A$5:$A$304,0)),"Bundle or deleted"))</f>
        <v>0</v>
      </c>
      <c r="R502" s="13">
        <f>IF(B502="","",TEXT(B502,"yyyy-mm"))</f>
        <v>0</v>
      </c>
      <c r="S502" s="20">
        <f>IF(C502="","",IFERROR(INDEX(Products!$AR$5:$AR$304,MATCH(C502,Products!$A$5:$A$304,0)),""))</f>
        <v>0</v>
      </c>
      <c r="T502" s="20">
        <f>IF(B502="","",IF(F502&lt;&gt;"",F502,IF(S502="",0,S502)))</f>
        <v>0</v>
      </c>
      <c r="U502" s="20">
        <f>IF(B502="","",ROUND(IF(D502="",0,D502)*T502,2))</f>
        <v>0</v>
      </c>
      <c r="V502" s="20">
        <f>IF(B502="","",ROUND(U502-IF(G502="",0,G502)-IF(L502="",0,L502),2))</f>
        <v>0</v>
      </c>
      <c r="W502" s="20">
        <f>IF(C502="","",IFERROR(INDEX(Products!$AT$5:$AT$304,MATCH(C502,Products!$A$5:$A$304,0)),""))</f>
        <v>0</v>
      </c>
      <c r="X502" s="20">
        <f>IF(C502="","",IFERROR(INDEX(Products!$AG$5:$AG$304,MATCH(C502,Products!$A$5:$A$304,0)),""))</f>
        <v>0</v>
      </c>
      <c r="Y502" s="20">
        <f>IF(B502="","",ROUND(IF(D502="",0,D502)*MAX(0,IF(W502="",0,W502)-IF(X502="",0,X502)),2))</f>
        <v>0</v>
      </c>
      <c r="Z502" s="20">
        <f>IF(B502="","",ROUND(MAX(0,IF(J502="",0,J502)-IF(I502="",0,I502)),2))</f>
        <v>0</v>
      </c>
      <c r="AA502" s="33">
        <f>IF(B502="","",IFERROR(INDEX(Channels!$S$5:$S$18,MATCH(IF(E502="",DefaultChannel,E502),Channels!$A$5:$A$18,0)),0))</f>
        <v>0</v>
      </c>
      <c r="AB502" s="20">
        <f>IF(B502="","",IFERROR(INDEX(Channels!$T$5:$T$18,MATCH(IF(E502="",DefaultChannel,E502),Channels!$A$5:$A$18,0)),0))</f>
        <v>0</v>
      </c>
      <c r="AC502" s="42">
        <f>IF(B502="","",IFERROR(INDEX(Channels!$O$5:$O$18,MATCH(IF(E502="",DefaultChannel,E502),Channels!$A$5:$A$18,0)),"No"))</f>
        <v>0</v>
      </c>
      <c r="AD502" s="20">
        <f>IF(B502="","",ROUND((V502+IF(AC502="Yes",IF(I502="",0,I502),0))*AA502+AB502,2))</f>
        <v>0</v>
      </c>
      <c r="AE502" s="20">
        <f>IF(B502="","",IF(K502&lt;&gt;"",K502,AD502))</f>
        <v>0</v>
      </c>
      <c r="AF502" s="20">
        <f>IF(B502="","",IF(K502="","",ROUND(K502-AD502,2)))</f>
        <v>0</v>
      </c>
      <c r="AG502" s="20">
        <f>IF(B502="","",ROUND(V502-Y502-AE502-Z502,2))</f>
        <v>0</v>
      </c>
      <c r="AH502" s="33">
        <f>IF(B502="","",IF(OR(V502="",V502=0),"",AG502/V502))</f>
        <v>0</v>
      </c>
      <c r="AI502" s="33">
        <f>IF(C502="","",IFERROR(INDEX(Products!$AW$5:$AW$304,MATCH(C502,Products!$A$5:$A$304,0)),""))</f>
        <v>0</v>
      </c>
      <c r="AJ502" s="33">
        <f>IF(B502="","",IF(OR(AH502="",AI502=""),"",AH502-AI502))</f>
        <v>0</v>
      </c>
      <c r="AK502" s="41">
        <f>IF(B502="","",IFERROR(ROUND(IF(D502="",0,D502)*INDEX(Products!$X$5:$X$304,MATCH(C502,Products!$A$5:$A$304,0))/60,2),""))</f>
        <v>0</v>
      </c>
      <c r="AL502" s="20">
        <f>IF(B502="","",IF(OR(AK502="",AK502=0),"",ROUND(AG502/AK502,2)))</f>
        <v>0</v>
      </c>
      <c r="AM502" s="43">
        <f>IF(B502="","",IF(C502="","Add - which product?",IF(AG502&lt;0,"Loss - this order cost you money",IF(M502="Refunded","Refunded - check why",IF(AND(AF502&lt;&gt;"",AF502&gt;0.25),"Check - fees higher than your settings",IF(Z502&gt;1,"Check - postage is eating the margin",IF(AND(AH502&lt;&gt;"",AH502&lt;MarginWarning),"Low margin on this order","OK")))))) )</f>
        <v>0</v>
      </c>
    </row>
    <row r="503" spans="1:39">
      <c r="A503" s="38">
        <f>IF(B503="","",SalePrefix&amp;TEXT(ROW()-4,"0000"))</f>
        <v>0</v>
      </c>
      <c r="Q503" s="13">
        <f>IF(C503="","",IFERROR(INDEX(Products!$B$5:$B$304,MATCH(C503,Products!$A$5:$A$304,0)),"Bundle or deleted"))</f>
        <v>0</v>
      </c>
      <c r="R503" s="13">
        <f>IF(B503="","",TEXT(B503,"yyyy-mm"))</f>
        <v>0</v>
      </c>
      <c r="S503" s="20">
        <f>IF(C503="","",IFERROR(INDEX(Products!$AR$5:$AR$304,MATCH(C503,Products!$A$5:$A$304,0)),""))</f>
        <v>0</v>
      </c>
      <c r="T503" s="20">
        <f>IF(B503="","",IF(F503&lt;&gt;"",F503,IF(S503="",0,S503)))</f>
        <v>0</v>
      </c>
      <c r="U503" s="20">
        <f>IF(B503="","",ROUND(IF(D503="",0,D503)*T503,2))</f>
        <v>0</v>
      </c>
      <c r="V503" s="20">
        <f>IF(B503="","",ROUND(U503-IF(G503="",0,G503)-IF(L503="",0,L503),2))</f>
        <v>0</v>
      </c>
      <c r="W503" s="20">
        <f>IF(C503="","",IFERROR(INDEX(Products!$AT$5:$AT$304,MATCH(C503,Products!$A$5:$A$304,0)),""))</f>
        <v>0</v>
      </c>
      <c r="X503" s="20">
        <f>IF(C503="","",IFERROR(INDEX(Products!$AG$5:$AG$304,MATCH(C503,Products!$A$5:$A$304,0)),""))</f>
        <v>0</v>
      </c>
      <c r="Y503" s="20">
        <f>IF(B503="","",ROUND(IF(D503="",0,D503)*MAX(0,IF(W503="",0,W503)-IF(X503="",0,X503)),2))</f>
        <v>0</v>
      </c>
      <c r="Z503" s="20">
        <f>IF(B503="","",ROUND(MAX(0,IF(J503="",0,J503)-IF(I503="",0,I503)),2))</f>
        <v>0</v>
      </c>
      <c r="AA503" s="33">
        <f>IF(B503="","",IFERROR(INDEX(Channels!$S$5:$S$18,MATCH(IF(E503="",DefaultChannel,E503),Channels!$A$5:$A$18,0)),0))</f>
        <v>0</v>
      </c>
      <c r="AB503" s="20">
        <f>IF(B503="","",IFERROR(INDEX(Channels!$T$5:$T$18,MATCH(IF(E503="",DefaultChannel,E503),Channels!$A$5:$A$18,0)),0))</f>
        <v>0</v>
      </c>
      <c r="AC503" s="42">
        <f>IF(B503="","",IFERROR(INDEX(Channels!$O$5:$O$18,MATCH(IF(E503="",DefaultChannel,E503),Channels!$A$5:$A$18,0)),"No"))</f>
        <v>0</v>
      </c>
      <c r="AD503" s="20">
        <f>IF(B503="","",ROUND((V503+IF(AC503="Yes",IF(I503="",0,I503),0))*AA503+AB503,2))</f>
        <v>0</v>
      </c>
      <c r="AE503" s="20">
        <f>IF(B503="","",IF(K503&lt;&gt;"",K503,AD503))</f>
        <v>0</v>
      </c>
      <c r="AF503" s="20">
        <f>IF(B503="","",IF(K503="","",ROUND(K503-AD503,2)))</f>
        <v>0</v>
      </c>
      <c r="AG503" s="20">
        <f>IF(B503="","",ROUND(V503-Y503-AE503-Z503,2))</f>
        <v>0</v>
      </c>
      <c r="AH503" s="33">
        <f>IF(B503="","",IF(OR(V503="",V503=0),"",AG503/V503))</f>
        <v>0</v>
      </c>
      <c r="AI503" s="33">
        <f>IF(C503="","",IFERROR(INDEX(Products!$AW$5:$AW$304,MATCH(C503,Products!$A$5:$A$304,0)),""))</f>
        <v>0</v>
      </c>
      <c r="AJ503" s="33">
        <f>IF(B503="","",IF(OR(AH503="",AI503=""),"",AH503-AI503))</f>
        <v>0</v>
      </c>
      <c r="AK503" s="41">
        <f>IF(B503="","",IFERROR(ROUND(IF(D503="",0,D503)*INDEX(Products!$X$5:$X$304,MATCH(C503,Products!$A$5:$A$304,0))/60,2),""))</f>
        <v>0</v>
      </c>
      <c r="AL503" s="20">
        <f>IF(B503="","",IF(OR(AK503="",AK503=0),"",ROUND(AG503/AK503,2)))</f>
        <v>0</v>
      </c>
      <c r="AM503" s="43">
        <f>IF(B503="","",IF(C503="","Add - which product?",IF(AG503&lt;0,"Loss - this order cost you money",IF(M503="Refunded","Refunded - check why",IF(AND(AF503&lt;&gt;"",AF503&gt;0.25),"Check - fees higher than your settings",IF(Z503&gt;1,"Check - postage is eating the margin",IF(AND(AH503&lt;&gt;"",AH503&lt;MarginWarning),"Low margin on this order","OK")))))) )</f>
        <v>0</v>
      </c>
    </row>
    <row r="504" spans="1:39">
      <c r="A504" s="38">
        <f>IF(B504="","",SalePrefix&amp;TEXT(ROW()-4,"0000"))</f>
        <v>0</v>
      </c>
      <c r="Q504" s="13">
        <f>IF(C504="","",IFERROR(INDEX(Products!$B$5:$B$304,MATCH(C504,Products!$A$5:$A$304,0)),"Bundle or deleted"))</f>
        <v>0</v>
      </c>
      <c r="R504" s="13">
        <f>IF(B504="","",TEXT(B504,"yyyy-mm"))</f>
        <v>0</v>
      </c>
      <c r="S504" s="20">
        <f>IF(C504="","",IFERROR(INDEX(Products!$AR$5:$AR$304,MATCH(C504,Products!$A$5:$A$304,0)),""))</f>
        <v>0</v>
      </c>
      <c r="T504" s="20">
        <f>IF(B504="","",IF(F504&lt;&gt;"",F504,IF(S504="",0,S504)))</f>
        <v>0</v>
      </c>
      <c r="U504" s="20">
        <f>IF(B504="","",ROUND(IF(D504="",0,D504)*T504,2))</f>
        <v>0</v>
      </c>
      <c r="V504" s="20">
        <f>IF(B504="","",ROUND(U504-IF(G504="",0,G504)-IF(L504="",0,L504),2))</f>
        <v>0</v>
      </c>
      <c r="W504" s="20">
        <f>IF(C504="","",IFERROR(INDEX(Products!$AT$5:$AT$304,MATCH(C504,Products!$A$5:$A$304,0)),""))</f>
        <v>0</v>
      </c>
      <c r="X504" s="20">
        <f>IF(C504="","",IFERROR(INDEX(Products!$AG$5:$AG$304,MATCH(C504,Products!$A$5:$A$304,0)),""))</f>
        <v>0</v>
      </c>
      <c r="Y504" s="20">
        <f>IF(B504="","",ROUND(IF(D504="",0,D504)*MAX(0,IF(W504="",0,W504)-IF(X504="",0,X504)),2))</f>
        <v>0</v>
      </c>
      <c r="Z504" s="20">
        <f>IF(B504="","",ROUND(MAX(0,IF(J504="",0,J504)-IF(I504="",0,I504)),2))</f>
        <v>0</v>
      </c>
      <c r="AA504" s="33">
        <f>IF(B504="","",IFERROR(INDEX(Channels!$S$5:$S$18,MATCH(IF(E504="",DefaultChannel,E504),Channels!$A$5:$A$18,0)),0))</f>
        <v>0</v>
      </c>
      <c r="AB504" s="20">
        <f>IF(B504="","",IFERROR(INDEX(Channels!$T$5:$T$18,MATCH(IF(E504="",DefaultChannel,E504),Channels!$A$5:$A$18,0)),0))</f>
        <v>0</v>
      </c>
      <c r="AC504" s="42">
        <f>IF(B504="","",IFERROR(INDEX(Channels!$O$5:$O$18,MATCH(IF(E504="",DefaultChannel,E504),Channels!$A$5:$A$18,0)),"No"))</f>
        <v>0</v>
      </c>
      <c r="AD504" s="20">
        <f>IF(B504="","",ROUND((V504+IF(AC504="Yes",IF(I504="",0,I504),0))*AA504+AB504,2))</f>
        <v>0</v>
      </c>
      <c r="AE504" s="20">
        <f>IF(B504="","",IF(K504&lt;&gt;"",K504,AD504))</f>
        <v>0</v>
      </c>
      <c r="AF504" s="20">
        <f>IF(B504="","",IF(K504="","",ROUND(K504-AD504,2)))</f>
        <v>0</v>
      </c>
      <c r="AG504" s="20">
        <f>IF(B504="","",ROUND(V504-Y504-AE504-Z504,2))</f>
        <v>0</v>
      </c>
      <c r="AH504" s="33">
        <f>IF(B504="","",IF(OR(V504="",V504=0),"",AG504/V504))</f>
        <v>0</v>
      </c>
      <c r="AI504" s="33">
        <f>IF(C504="","",IFERROR(INDEX(Products!$AW$5:$AW$304,MATCH(C504,Products!$A$5:$A$304,0)),""))</f>
        <v>0</v>
      </c>
      <c r="AJ504" s="33">
        <f>IF(B504="","",IF(OR(AH504="",AI504=""),"",AH504-AI504))</f>
        <v>0</v>
      </c>
      <c r="AK504" s="41">
        <f>IF(B504="","",IFERROR(ROUND(IF(D504="",0,D504)*INDEX(Products!$X$5:$X$304,MATCH(C504,Products!$A$5:$A$304,0))/60,2),""))</f>
        <v>0</v>
      </c>
      <c r="AL504" s="20">
        <f>IF(B504="","",IF(OR(AK504="",AK504=0),"",ROUND(AG504/AK504,2)))</f>
        <v>0</v>
      </c>
      <c r="AM504" s="43">
        <f>IF(B504="","",IF(C504="","Add - which product?",IF(AG504&lt;0,"Loss - this order cost you money",IF(M504="Refunded","Refunded - check why",IF(AND(AF504&lt;&gt;"",AF504&gt;0.25),"Check - fees higher than your settings",IF(Z504&gt;1,"Check - postage is eating the margin",IF(AND(AH504&lt;&gt;"",AH504&lt;MarginWarning),"Low margin on this order","OK")))))) )</f>
        <v>0</v>
      </c>
    </row>
    <row r="505" spans="1:39">
      <c r="A505" s="38">
        <f>IF(B505="","",SalePrefix&amp;TEXT(ROW()-4,"0000"))</f>
        <v>0</v>
      </c>
      <c r="Q505" s="13">
        <f>IF(C505="","",IFERROR(INDEX(Products!$B$5:$B$304,MATCH(C505,Products!$A$5:$A$304,0)),"Bundle or deleted"))</f>
        <v>0</v>
      </c>
      <c r="R505" s="13">
        <f>IF(B505="","",TEXT(B505,"yyyy-mm"))</f>
        <v>0</v>
      </c>
      <c r="S505" s="20">
        <f>IF(C505="","",IFERROR(INDEX(Products!$AR$5:$AR$304,MATCH(C505,Products!$A$5:$A$304,0)),""))</f>
        <v>0</v>
      </c>
      <c r="T505" s="20">
        <f>IF(B505="","",IF(F505&lt;&gt;"",F505,IF(S505="",0,S505)))</f>
        <v>0</v>
      </c>
      <c r="U505" s="20">
        <f>IF(B505="","",ROUND(IF(D505="",0,D505)*T505,2))</f>
        <v>0</v>
      </c>
      <c r="V505" s="20">
        <f>IF(B505="","",ROUND(U505-IF(G505="",0,G505)-IF(L505="",0,L505),2))</f>
        <v>0</v>
      </c>
      <c r="W505" s="20">
        <f>IF(C505="","",IFERROR(INDEX(Products!$AT$5:$AT$304,MATCH(C505,Products!$A$5:$A$304,0)),""))</f>
        <v>0</v>
      </c>
      <c r="X505" s="20">
        <f>IF(C505="","",IFERROR(INDEX(Products!$AG$5:$AG$304,MATCH(C505,Products!$A$5:$A$304,0)),""))</f>
        <v>0</v>
      </c>
      <c r="Y505" s="20">
        <f>IF(B505="","",ROUND(IF(D505="",0,D505)*MAX(0,IF(W505="",0,W505)-IF(X505="",0,X505)),2))</f>
        <v>0</v>
      </c>
      <c r="Z505" s="20">
        <f>IF(B505="","",ROUND(MAX(0,IF(J505="",0,J505)-IF(I505="",0,I505)),2))</f>
        <v>0</v>
      </c>
      <c r="AA505" s="33">
        <f>IF(B505="","",IFERROR(INDEX(Channels!$S$5:$S$18,MATCH(IF(E505="",DefaultChannel,E505),Channels!$A$5:$A$18,0)),0))</f>
        <v>0</v>
      </c>
      <c r="AB505" s="20">
        <f>IF(B505="","",IFERROR(INDEX(Channels!$T$5:$T$18,MATCH(IF(E505="",DefaultChannel,E505),Channels!$A$5:$A$18,0)),0))</f>
        <v>0</v>
      </c>
      <c r="AC505" s="42">
        <f>IF(B505="","",IFERROR(INDEX(Channels!$O$5:$O$18,MATCH(IF(E505="",DefaultChannel,E505),Channels!$A$5:$A$18,0)),"No"))</f>
        <v>0</v>
      </c>
      <c r="AD505" s="20">
        <f>IF(B505="","",ROUND((V505+IF(AC505="Yes",IF(I505="",0,I505),0))*AA505+AB505,2))</f>
        <v>0</v>
      </c>
      <c r="AE505" s="20">
        <f>IF(B505="","",IF(K505&lt;&gt;"",K505,AD505))</f>
        <v>0</v>
      </c>
      <c r="AF505" s="20">
        <f>IF(B505="","",IF(K505="","",ROUND(K505-AD505,2)))</f>
        <v>0</v>
      </c>
      <c r="AG505" s="20">
        <f>IF(B505="","",ROUND(V505-Y505-AE505-Z505,2))</f>
        <v>0</v>
      </c>
      <c r="AH505" s="33">
        <f>IF(B505="","",IF(OR(V505="",V505=0),"",AG505/V505))</f>
        <v>0</v>
      </c>
      <c r="AI505" s="33">
        <f>IF(C505="","",IFERROR(INDEX(Products!$AW$5:$AW$304,MATCH(C505,Products!$A$5:$A$304,0)),""))</f>
        <v>0</v>
      </c>
      <c r="AJ505" s="33">
        <f>IF(B505="","",IF(OR(AH505="",AI505=""),"",AH505-AI505))</f>
        <v>0</v>
      </c>
      <c r="AK505" s="41">
        <f>IF(B505="","",IFERROR(ROUND(IF(D505="",0,D505)*INDEX(Products!$X$5:$X$304,MATCH(C505,Products!$A$5:$A$304,0))/60,2),""))</f>
        <v>0</v>
      </c>
      <c r="AL505" s="20">
        <f>IF(B505="","",IF(OR(AK505="",AK505=0),"",ROUND(AG505/AK505,2)))</f>
        <v>0</v>
      </c>
      <c r="AM505" s="43">
        <f>IF(B505="","",IF(C505="","Add - which product?",IF(AG505&lt;0,"Loss - this order cost you money",IF(M505="Refunded","Refunded - check why",IF(AND(AF505&lt;&gt;"",AF505&gt;0.25),"Check - fees higher than your settings",IF(Z505&gt;1,"Check - postage is eating the margin",IF(AND(AH505&lt;&gt;"",AH505&lt;MarginWarning),"Low margin on this order","OK")))))) )</f>
        <v>0</v>
      </c>
    </row>
    <row r="506" spans="1:39">
      <c r="A506" s="38">
        <f>IF(B506="","",SalePrefix&amp;TEXT(ROW()-4,"0000"))</f>
        <v>0</v>
      </c>
      <c r="Q506" s="13">
        <f>IF(C506="","",IFERROR(INDEX(Products!$B$5:$B$304,MATCH(C506,Products!$A$5:$A$304,0)),"Bundle or deleted"))</f>
        <v>0</v>
      </c>
      <c r="R506" s="13">
        <f>IF(B506="","",TEXT(B506,"yyyy-mm"))</f>
        <v>0</v>
      </c>
      <c r="S506" s="20">
        <f>IF(C506="","",IFERROR(INDEX(Products!$AR$5:$AR$304,MATCH(C506,Products!$A$5:$A$304,0)),""))</f>
        <v>0</v>
      </c>
      <c r="T506" s="20">
        <f>IF(B506="","",IF(F506&lt;&gt;"",F506,IF(S506="",0,S506)))</f>
        <v>0</v>
      </c>
      <c r="U506" s="20">
        <f>IF(B506="","",ROUND(IF(D506="",0,D506)*T506,2))</f>
        <v>0</v>
      </c>
      <c r="V506" s="20">
        <f>IF(B506="","",ROUND(U506-IF(G506="",0,G506)-IF(L506="",0,L506),2))</f>
        <v>0</v>
      </c>
      <c r="W506" s="20">
        <f>IF(C506="","",IFERROR(INDEX(Products!$AT$5:$AT$304,MATCH(C506,Products!$A$5:$A$304,0)),""))</f>
        <v>0</v>
      </c>
      <c r="X506" s="20">
        <f>IF(C506="","",IFERROR(INDEX(Products!$AG$5:$AG$304,MATCH(C506,Products!$A$5:$A$304,0)),""))</f>
        <v>0</v>
      </c>
      <c r="Y506" s="20">
        <f>IF(B506="","",ROUND(IF(D506="",0,D506)*MAX(0,IF(W506="",0,W506)-IF(X506="",0,X506)),2))</f>
        <v>0</v>
      </c>
      <c r="Z506" s="20">
        <f>IF(B506="","",ROUND(MAX(0,IF(J506="",0,J506)-IF(I506="",0,I506)),2))</f>
        <v>0</v>
      </c>
      <c r="AA506" s="33">
        <f>IF(B506="","",IFERROR(INDEX(Channels!$S$5:$S$18,MATCH(IF(E506="",DefaultChannel,E506),Channels!$A$5:$A$18,0)),0))</f>
        <v>0</v>
      </c>
      <c r="AB506" s="20">
        <f>IF(B506="","",IFERROR(INDEX(Channels!$T$5:$T$18,MATCH(IF(E506="",DefaultChannel,E506),Channels!$A$5:$A$18,0)),0))</f>
        <v>0</v>
      </c>
      <c r="AC506" s="42">
        <f>IF(B506="","",IFERROR(INDEX(Channels!$O$5:$O$18,MATCH(IF(E506="",DefaultChannel,E506),Channels!$A$5:$A$18,0)),"No"))</f>
        <v>0</v>
      </c>
      <c r="AD506" s="20">
        <f>IF(B506="","",ROUND((V506+IF(AC506="Yes",IF(I506="",0,I506),0))*AA506+AB506,2))</f>
        <v>0</v>
      </c>
      <c r="AE506" s="20">
        <f>IF(B506="","",IF(K506&lt;&gt;"",K506,AD506))</f>
        <v>0</v>
      </c>
      <c r="AF506" s="20">
        <f>IF(B506="","",IF(K506="","",ROUND(K506-AD506,2)))</f>
        <v>0</v>
      </c>
      <c r="AG506" s="20">
        <f>IF(B506="","",ROUND(V506-Y506-AE506-Z506,2))</f>
        <v>0</v>
      </c>
      <c r="AH506" s="33">
        <f>IF(B506="","",IF(OR(V506="",V506=0),"",AG506/V506))</f>
        <v>0</v>
      </c>
      <c r="AI506" s="33">
        <f>IF(C506="","",IFERROR(INDEX(Products!$AW$5:$AW$304,MATCH(C506,Products!$A$5:$A$304,0)),""))</f>
        <v>0</v>
      </c>
      <c r="AJ506" s="33">
        <f>IF(B506="","",IF(OR(AH506="",AI506=""),"",AH506-AI506))</f>
        <v>0</v>
      </c>
      <c r="AK506" s="41">
        <f>IF(B506="","",IFERROR(ROUND(IF(D506="",0,D506)*INDEX(Products!$X$5:$X$304,MATCH(C506,Products!$A$5:$A$304,0))/60,2),""))</f>
        <v>0</v>
      </c>
      <c r="AL506" s="20">
        <f>IF(B506="","",IF(OR(AK506="",AK506=0),"",ROUND(AG506/AK506,2)))</f>
        <v>0</v>
      </c>
      <c r="AM506" s="43">
        <f>IF(B506="","",IF(C506="","Add - which product?",IF(AG506&lt;0,"Loss - this order cost you money",IF(M506="Refunded","Refunded - check why",IF(AND(AF506&lt;&gt;"",AF506&gt;0.25),"Check - fees higher than your settings",IF(Z506&gt;1,"Check - postage is eating the margin",IF(AND(AH506&lt;&gt;"",AH506&lt;MarginWarning),"Low margin on this order","OK")))))) )</f>
        <v>0</v>
      </c>
    </row>
    <row r="507" spans="1:39">
      <c r="A507" s="38">
        <f>IF(B507="","",SalePrefix&amp;TEXT(ROW()-4,"0000"))</f>
        <v>0</v>
      </c>
      <c r="Q507" s="13">
        <f>IF(C507="","",IFERROR(INDEX(Products!$B$5:$B$304,MATCH(C507,Products!$A$5:$A$304,0)),"Bundle or deleted"))</f>
        <v>0</v>
      </c>
      <c r="R507" s="13">
        <f>IF(B507="","",TEXT(B507,"yyyy-mm"))</f>
        <v>0</v>
      </c>
      <c r="S507" s="20">
        <f>IF(C507="","",IFERROR(INDEX(Products!$AR$5:$AR$304,MATCH(C507,Products!$A$5:$A$304,0)),""))</f>
        <v>0</v>
      </c>
      <c r="T507" s="20">
        <f>IF(B507="","",IF(F507&lt;&gt;"",F507,IF(S507="",0,S507)))</f>
        <v>0</v>
      </c>
      <c r="U507" s="20">
        <f>IF(B507="","",ROUND(IF(D507="",0,D507)*T507,2))</f>
        <v>0</v>
      </c>
      <c r="V507" s="20">
        <f>IF(B507="","",ROUND(U507-IF(G507="",0,G507)-IF(L507="",0,L507),2))</f>
        <v>0</v>
      </c>
      <c r="W507" s="20">
        <f>IF(C507="","",IFERROR(INDEX(Products!$AT$5:$AT$304,MATCH(C507,Products!$A$5:$A$304,0)),""))</f>
        <v>0</v>
      </c>
      <c r="X507" s="20">
        <f>IF(C507="","",IFERROR(INDEX(Products!$AG$5:$AG$304,MATCH(C507,Products!$A$5:$A$304,0)),""))</f>
        <v>0</v>
      </c>
      <c r="Y507" s="20">
        <f>IF(B507="","",ROUND(IF(D507="",0,D507)*MAX(0,IF(W507="",0,W507)-IF(X507="",0,X507)),2))</f>
        <v>0</v>
      </c>
      <c r="Z507" s="20">
        <f>IF(B507="","",ROUND(MAX(0,IF(J507="",0,J507)-IF(I507="",0,I507)),2))</f>
        <v>0</v>
      </c>
      <c r="AA507" s="33">
        <f>IF(B507="","",IFERROR(INDEX(Channels!$S$5:$S$18,MATCH(IF(E507="",DefaultChannel,E507),Channels!$A$5:$A$18,0)),0))</f>
        <v>0</v>
      </c>
      <c r="AB507" s="20">
        <f>IF(B507="","",IFERROR(INDEX(Channels!$T$5:$T$18,MATCH(IF(E507="",DefaultChannel,E507),Channels!$A$5:$A$18,0)),0))</f>
        <v>0</v>
      </c>
      <c r="AC507" s="42">
        <f>IF(B507="","",IFERROR(INDEX(Channels!$O$5:$O$18,MATCH(IF(E507="",DefaultChannel,E507),Channels!$A$5:$A$18,0)),"No"))</f>
        <v>0</v>
      </c>
      <c r="AD507" s="20">
        <f>IF(B507="","",ROUND((V507+IF(AC507="Yes",IF(I507="",0,I507),0))*AA507+AB507,2))</f>
        <v>0</v>
      </c>
      <c r="AE507" s="20">
        <f>IF(B507="","",IF(K507&lt;&gt;"",K507,AD507))</f>
        <v>0</v>
      </c>
      <c r="AF507" s="20">
        <f>IF(B507="","",IF(K507="","",ROUND(K507-AD507,2)))</f>
        <v>0</v>
      </c>
      <c r="AG507" s="20">
        <f>IF(B507="","",ROUND(V507-Y507-AE507-Z507,2))</f>
        <v>0</v>
      </c>
      <c r="AH507" s="33">
        <f>IF(B507="","",IF(OR(V507="",V507=0),"",AG507/V507))</f>
        <v>0</v>
      </c>
      <c r="AI507" s="33">
        <f>IF(C507="","",IFERROR(INDEX(Products!$AW$5:$AW$304,MATCH(C507,Products!$A$5:$A$304,0)),""))</f>
        <v>0</v>
      </c>
      <c r="AJ507" s="33">
        <f>IF(B507="","",IF(OR(AH507="",AI507=""),"",AH507-AI507))</f>
        <v>0</v>
      </c>
      <c r="AK507" s="41">
        <f>IF(B507="","",IFERROR(ROUND(IF(D507="",0,D507)*INDEX(Products!$X$5:$X$304,MATCH(C507,Products!$A$5:$A$304,0))/60,2),""))</f>
        <v>0</v>
      </c>
      <c r="AL507" s="20">
        <f>IF(B507="","",IF(OR(AK507="",AK507=0),"",ROUND(AG507/AK507,2)))</f>
        <v>0</v>
      </c>
      <c r="AM507" s="43">
        <f>IF(B507="","",IF(C507="","Add - which product?",IF(AG507&lt;0,"Loss - this order cost you money",IF(M507="Refunded","Refunded - check why",IF(AND(AF507&lt;&gt;"",AF507&gt;0.25),"Check - fees higher than your settings",IF(Z507&gt;1,"Check - postage is eating the margin",IF(AND(AH507&lt;&gt;"",AH507&lt;MarginWarning),"Low margin on this order","OK")))))) )</f>
        <v>0</v>
      </c>
    </row>
    <row r="508" spans="1:39">
      <c r="A508" s="38">
        <f>IF(B508="","",SalePrefix&amp;TEXT(ROW()-4,"0000"))</f>
        <v>0</v>
      </c>
      <c r="Q508" s="13">
        <f>IF(C508="","",IFERROR(INDEX(Products!$B$5:$B$304,MATCH(C508,Products!$A$5:$A$304,0)),"Bundle or deleted"))</f>
        <v>0</v>
      </c>
      <c r="R508" s="13">
        <f>IF(B508="","",TEXT(B508,"yyyy-mm"))</f>
        <v>0</v>
      </c>
      <c r="S508" s="20">
        <f>IF(C508="","",IFERROR(INDEX(Products!$AR$5:$AR$304,MATCH(C508,Products!$A$5:$A$304,0)),""))</f>
        <v>0</v>
      </c>
      <c r="T508" s="20">
        <f>IF(B508="","",IF(F508&lt;&gt;"",F508,IF(S508="",0,S508)))</f>
        <v>0</v>
      </c>
      <c r="U508" s="20">
        <f>IF(B508="","",ROUND(IF(D508="",0,D508)*T508,2))</f>
        <v>0</v>
      </c>
      <c r="V508" s="20">
        <f>IF(B508="","",ROUND(U508-IF(G508="",0,G508)-IF(L508="",0,L508),2))</f>
        <v>0</v>
      </c>
      <c r="W508" s="20">
        <f>IF(C508="","",IFERROR(INDEX(Products!$AT$5:$AT$304,MATCH(C508,Products!$A$5:$A$304,0)),""))</f>
        <v>0</v>
      </c>
      <c r="X508" s="20">
        <f>IF(C508="","",IFERROR(INDEX(Products!$AG$5:$AG$304,MATCH(C508,Products!$A$5:$A$304,0)),""))</f>
        <v>0</v>
      </c>
      <c r="Y508" s="20">
        <f>IF(B508="","",ROUND(IF(D508="",0,D508)*MAX(0,IF(W508="",0,W508)-IF(X508="",0,X508)),2))</f>
        <v>0</v>
      </c>
      <c r="Z508" s="20">
        <f>IF(B508="","",ROUND(MAX(0,IF(J508="",0,J508)-IF(I508="",0,I508)),2))</f>
        <v>0</v>
      </c>
      <c r="AA508" s="33">
        <f>IF(B508="","",IFERROR(INDEX(Channels!$S$5:$S$18,MATCH(IF(E508="",DefaultChannel,E508),Channels!$A$5:$A$18,0)),0))</f>
        <v>0</v>
      </c>
      <c r="AB508" s="20">
        <f>IF(B508="","",IFERROR(INDEX(Channels!$T$5:$T$18,MATCH(IF(E508="",DefaultChannel,E508),Channels!$A$5:$A$18,0)),0))</f>
        <v>0</v>
      </c>
      <c r="AC508" s="42">
        <f>IF(B508="","",IFERROR(INDEX(Channels!$O$5:$O$18,MATCH(IF(E508="",DefaultChannel,E508),Channels!$A$5:$A$18,0)),"No"))</f>
        <v>0</v>
      </c>
      <c r="AD508" s="20">
        <f>IF(B508="","",ROUND((V508+IF(AC508="Yes",IF(I508="",0,I508),0))*AA508+AB508,2))</f>
        <v>0</v>
      </c>
      <c r="AE508" s="20">
        <f>IF(B508="","",IF(K508&lt;&gt;"",K508,AD508))</f>
        <v>0</v>
      </c>
      <c r="AF508" s="20">
        <f>IF(B508="","",IF(K508="","",ROUND(K508-AD508,2)))</f>
        <v>0</v>
      </c>
      <c r="AG508" s="20">
        <f>IF(B508="","",ROUND(V508-Y508-AE508-Z508,2))</f>
        <v>0</v>
      </c>
      <c r="AH508" s="33">
        <f>IF(B508="","",IF(OR(V508="",V508=0),"",AG508/V508))</f>
        <v>0</v>
      </c>
      <c r="AI508" s="33">
        <f>IF(C508="","",IFERROR(INDEX(Products!$AW$5:$AW$304,MATCH(C508,Products!$A$5:$A$304,0)),""))</f>
        <v>0</v>
      </c>
      <c r="AJ508" s="33">
        <f>IF(B508="","",IF(OR(AH508="",AI508=""),"",AH508-AI508))</f>
        <v>0</v>
      </c>
      <c r="AK508" s="41">
        <f>IF(B508="","",IFERROR(ROUND(IF(D508="",0,D508)*INDEX(Products!$X$5:$X$304,MATCH(C508,Products!$A$5:$A$304,0))/60,2),""))</f>
        <v>0</v>
      </c>
      <c r="AL508" s="20">
        <f>IF(B508="","",IF(OR(AK508="",AK508=0),"",ROUND(AG508/AK508,2)))</f>
        <v>0</v>
      </c>
      <c r="AM508" s="43">
        <f>IF(B508="","",IF(C508="","Add - which product?",IF(AG508&lt;0,"Loss - this order cost you money",IF(M508="Refunded","Refunded - check why",IF(AND(AF508&lt;&gt;"",AF508&gt;0.25),"Check - fees higher than your settings",IF(Z508&gt;1,"Check - postage is eating the margin",IF(AND(AH508&lt;&gt;"",AH508&lt;MarginWarning),"Low margin on this order","OK")))))) )</f>
        <v>0</v>
      </c>
    </row>
    <row r="509" spans="1:39">
      <c r="A509" s="38">
        <f>IF(B509="","",SalePrefix&amp;TEXT(ROW()-4,"0000"))</f>
        <v>0</v>
      </c>
      <c r="Q509" s="13">
        <f>IF(C509="","",IFERROR(INDEX(Products!$B$5:$B$304,MATCH(C509,Products!$A$5:$A$304,0)),"Bundle or deleted"))</f>
        <v>0</v>
      </c>
      <c r="R509" s="13">
        <f>IF(B509="","",TEXT(B509,"yyyy-mm"))</f>
        <v>0</v>
      </c>
      <c r="S509" s="20">
        <f>IF(C509="","",IFERROR(INDEX(Products!$AR$5:$AR$304,MATCH(C509,Products!$A$5:$A$304,0)),""))</f>
        <v>0</v>
      </c>
      <c r="T509" s="20">
        <f>IF(B509="","",IF(F509&lt;&gt;"",F509,IF(S509="",0,S509)))</f>
        <v>0</v>
      </c>
      <c r="U509" s="20">
        <f>IF(B509="","",ROUND(IF(D509="",0,D509)*T509,2))</f>
        <v>0</v>
      </c>
      <c r="V509" s="20">
        <f>IF(B509="","",ROUND(U509-IF(G509="",0,G509)-IF(L509="",0,L509),2))</f>
        <v>0</v>
      </c>
      <c r="W509" s="20">
        <f>IF(C509="","",IFERROR(INDEX(Products!$AT$5:$AT$304,MATCH(C509,Products!$A$5:$A$304,0)),""))</f>
        <v>0</v>
      </c>
      <c r="X509" s="20">
        <f>IF(C509="","",IFERROR(INDEX(Products!$AG$5:$AG$304,MATCH(C509,Products!$A$5:$A$304,0)),""))</f>
        <v>0</v>
      </c>
      <c r="Y509" s="20">
        <f>IF(B509="","",ROUND(IF(D509="",0,D509)*MAX(0,IF(W509="",0,W509)-IF(X509="",0,X509)),2))</f>
        <v>0</v>
      </c>
      <c r="Z509" s="20">
        <f>IF(B509="","",ROUND(MAX(0,IF(J509="",0,J509)-IF(I509="",0,I509)),2))</f>
        <v>0</v>
      </c>
      <c r="AA509" s="33">
        <f>IF(B509="","",IFERROR(INDEX(Channels!$S$5:$S$18,MATCH(IF(E509="",DefaultChannel,E509),Channels!$A$5:$A$18,0)),0))</f>
        <v>0</v>
      </c>
      <c r="AB509" s="20">
        <f>IF(B509="","",IFERROR(INDEX(Channels!$T$5:$T$18,MATCH(IF(E509="",DefaultChannel,E509),Channels!$A$5:$A$18,0)),0))</f>
        <v>0</v>
      </c>
      <c r="AC509" s="42">
        <f>IF(B509="","",IFERROR(INDEX(Channels!$O$5:$O$18,MATCH(IF(E509="",DefaultChannel,E509),Channels!$A$5:$A$18,0)),"No"))</f>
        <v>0</v>
      </c>
      <c r="AD509" s="20">
        <f>IF(B509="","",ROUND((V509+IF(AC509="Yes",IF(I509="",0,I509),0))*AA509+AB509,2))</f>
        <v>0</v>
      </c>
      <c r="AE509" s="20">
        <f>IF(B509="","",IF(K509&lt;&gt;"",K509,AD509))</f>
        <v>0</v>
      </c>
      <c r="AF509" s="20">
        <f>IF(B509="","",IF(K509="","",ROUND(K509-AD509,2)))</f>
        <v>0</v>
      </c>
      <c r="AG509" s="20">
        <f>IF(B509="","",ROUND(V509-Y509-AE509-Z509,2))</f>
        <v>0</v>
      </c>
      <c r="AH509" s="33">
        <f>IF(B509="","",IF(OR(V509="",V509=0),"",AG509/V509))</f>
        <v>0</v>
      </c>
      <c r="AI509" s="33">
        <f>IF(C509="","",IFERROR(INDEX(Products!$AW$5:$AW$304,MATCH(C509,Products!$A$5:$A$304,0)),""))</f>
        <v>0</v>
      </c>
      <c r="AJ509" s="33">
        <f>IF(B509="","",IF(OR(AH509="",AI509=""),"",AH509-AI509))</f>
        <v>0</v>
      </c>
      <c r="AK509" s="41">
        <f>IF(B509="","",IFERROR(ROUND(IF(D509="",0,D509)*INDEX(Products!$X$5:$X$304,MATCH(C509,Products!$A$5:$A$304,0))/60,2),""))</f>
        <v>0</v>
      </c>
      <c r="AL509" s="20">
        <f>IF(B509="","",IF(OR(AK509="",AK509=0),"",ROUND(AG509/AK509,2)))</f>
        <v>0</v>
      </c>
      <c r="AM509" s="43">
        <f>IF(B509="","",IF(C509="","Add - which product?",IF(AG509&lt;0,"Loss - this order cost you money",IF(M509="Refunded","Refunded - check why",IF(AND(AF509&lt;&gt;"",AF509&gt;0.25),"Check - fees higher than your settings",IF(Z509&gt;1,"Check - postage is eating the margin",IF(AND(AH509&lt;&gt;"",AH509&lt;MarginWarning),"Low margin on this order","OK")))))) )</f>
        <v>0</v>
      </c>
    </row>
    <row r="510" spans="1:39">
      <c r="A510" s="38">
        <f>IF(B510="","",SalePrefix&amp;TEXT(ROW()-4,"0000"))</f>
        <v>0</v>
      </c>
      <c r="Q510" s="13">
        <f>IF(C510="","",IFERROR(INDEX(Products!$B$5:$B$304,MATCH(C510,Products!$A$5:$A$304,0)),"Bundle or deleted"))</f>
        <v>0</v>
      </c>
      <c r="R510" s="13">
        <f>IF(B510="","",TEXT(B510,"yyyy-mm"))</f>
        <v>0</v>
      </c>
      <c r="S510" s="20">
        <f>IF(C510="","",IFERROR(INDEX(Products!$AR$5:$AR$304,MATCH(C510,Products!$A$5:$A$304,0)),""))</f>
        <v>0</v>
      </c>
      <c r="T510" s="20">
        <f>IF(B510="","",IF(F510&lt;&gt;"",F510,IF(S510="",0,S510)))</f>
        <v>0</v>
      </c>
      <c r="U510" s="20">
        <f>IF(B510="","",ROUND(IF(D510="",0,D510)*T510,2))</f>
        <v>0</v>
      </c>
      <c r="V510" s="20">
        <f>IF(B510="","",ROUND(U510-IF(G510="",0,G510)-IF(L510="",0,L510),2))</f>
        <v>0</v>
      </c>
      <c r="W510" s="20">
        <f>IF(C510="","",IFERROR(INDEX(Products!$AT$5:$AT$304,MATCH(C510,Products!$A$5:$A$304,0)),""))</f>
        <v>0</v>
      </c>
      <c r="X510" s="20">
        <f>IF(C510="","",IFERROR(INDEX(Products!$AG$5:$AG$304,MATCH(C510,Products!$A$5:$A$304,0)),""))</f>
        <v>0</v>
      </c>
      <c r="Y510" s="20">
        <f>IF(B510="","",ROUND(IF(D510="",0,D510)*MAX(0,IF(W510="",0,W510)-IF(X510="",0,X510)),2))</f>
        <v>0</v>
      </c>
      <c r="Z510" s="20">
        <f>IF(B510="","",ROUND(MAX(0,IF(J510="",0,J510)-IF(I510="",0,I510)),2))</f>
        <v>0</v>
      </c>
      <c r="AA510" s="33">
        <f>IF(B510="","",IFERROR(INDEX(Channels!$S$5:$S$18,MATCH(IF(E510="",DefaultChannel,E510),Channels!$A$5:$A$18,0)),0))</f>
        <v>0</v>
      </c>
      <c r="AB510" s="20">
        <f>IF(B510="","",IFERROR(INDEX(Channels!$T$5:$T$18,MATCH(IF(E510="",DefaultChannel,E510),Channels!$A$5:$A$18,0)),0))</f>
        <v>0</v>
      </c>
      <c r="AC510" s="42">
        <f>IF(B510="","",IFERROR(INDEX(Channels!$O$5:$O$18,MATCH(IF(E510="",DefaultChannel,E510),Channels!$A$5:$A$18,0)),"No"))</f>
        <v>0</v>
      </c>
      <c r="AD510" s="20">
        <f>IF(B510="","",ROUND((V510+IF(AC510="Yes",IF(I510="",0,I510),0))*AA510+AB510,2))</f>
        <v>0</v>
      </c>
      <c r="AE510" s="20">
        <f>IF(B510="","",IF(K510&lt;&gt;"",K510,AD510))</f>
        <v>0</v>
      </c>
      <c r="AF510" s="20">
        <f>IF(B510="","",IF(K510="","",ROUND(K510-AD510,2)))</f>
        <v>0</v>
      </c>
      <c r="AG510" s="20">
        <f>IF(B510="","",ROUND(V510-Y510-AE510-Z510,2))</f>
        <v>0</v>
      </c>
      <c r="AH510" s="33">
        <f>IF(B510="","",IF(OR(V510="",V510=0),"",AG510/V510))</f>
        <v>0</v>
      </c>
      <c r="AI510" s="33">
        <f>IF(C510="","",IFERROR(INDEX(Products!$AW$5:$AW$304,MATCH(C510,Products!$A$5:$A$304,0)),""))</f>
        <v>0</v>
      </c>
      <c r="AJ510" s="33">
        <f>IF(B510="","",IF(OR(AH510="",AI510=""),"",AH510-AI510))</f>
        <v>0</v>
      </c>
      <c r="AK510" s="41">
        <f>IF(B510="","",IFERROR(ROUND(IF(D510="",0,D510)*INDEX(Products!$X$5:$X$304,MATCH(C510,Products!$A$5:$A$304,0))/60,2),""))</f>
        <v>0</v>
      </c>
      <c r="AL510" s="20">
        <f>IF(B510="","",IF(OR(AK510="",AK510=0),"",ROUND(AG510/AK510,2)))</f>
        <v>0</v>
      </c>
      <c r="AM510" s="43">
        <f>IF(B510="","",IF(C510="","Add - which product?",IF(AG510&lt;0,"Loss - this order cost you money",IF(M510="Refunded","Refunded - check why",IF(AND(AF510&lt;&gt;"",AF510&gt;0.25),"Check - fees higher than your settings",IF(Z510&gt;1,"Check - postage is eating the margin",IF(AND(AH510&lt;&gt;"",AH510&lt;MarginWarning),"Low margin on this order","OK")))))) )</f>
        <v>0</v>
      </c>
    </row>
    <row r="511" spans="1:39">
      <c r="A511" s="38">
        <f>IF(B511="","",SalePrefix&amp;TEXT(ROW()-4,"0000"))</f>
        <v>0</v>
      </c>
      <c r="Q511" s="13">
        <f>IF(C511="","",IFERROR(INDEX(Products!$B$5:$B$304,MATCH(C511,Products!$A$5:$A$304,0)),"Bundle or deleted"))</f>
        <v>0</v>
      </c>
      <c r="R511" s="13">
        <f>IF(B511="","",TEXT(B511,"yyyy-mm"))</f>
        <v>0</v>
      </c>
      <c r="S511" s="20">
        <f>IF(C511="","",IFERROR(INDEX(Products!$AR$5:$AR$304,MATCH(C511,Products!$A$5:$A$304,0)),""))</f>
        <v>0</v>
      </c>
      <c r="T511" s="20">
        <f>IF(B511="","",IF(F511&lt;&gt;"",F511,IF(S511="",0,S511)))</f>
        <v>0</v>
      </c>
      <c r="U511" s="20">
        <f>IF(B511="","",ROUND(IF(D511="",0,D511)*T511,2))</f>
        <v>0</v>
      </c>
      <c r="V511" s="20">
        <f>IF(B511="","",ROUND(U511-IF(G511="",0,G511)-IF(L511="",0,L511),2))</f>
        <v>0</v>
      </c>
      <c r="W511" s="20">
        <f>IF(C511="","",IFERROR(INDEX(Products!$AT$5:$AT$304,MATCH(C511,Products!$A$5:$A$304,0)),""))</f>
        <v>0</v>
      </c>
      <c r="X511" s="20">
        <f>IF(C511="","",IFERROR(INDEX(Products!$AG$5:$AG$304,MATCH(C511,Products!$A$5:$A$304,0)),""))</f>
        <v>0</v>
      </c>
      <c r="Y511" s="20">
        <f>IF(B511="","",ROUND(IF(D511="",0,D511)*MAX(0,IF(W511="",0,W511)-IF(X511="",0,X511)),2))</f>
        <v>0</v>
      </c>
      <c r="Z511" s="20">
        <f>IF(B511="","",ROUND(MAX(0,IF(J511="",0,J511)-IF(I511="",0,I511)),2))</f>
        <v>0</v>
      </c>
      <c r="AA511" s="33">
        <f>IF(B511="","",IFERROR(INDEX(Channels!$S$5:$S$18,MATCH(IF(E511="",DefaultChannel,E511),Channels!$A$5:$A$18,0)),0))</f>
        <v>0</v>
      </c>
      <c r="AB511" s="20">
        <f>IF(B511="","",IFERROR(INDEX(Channels!$T$5:$T$18,MATCH(IF(E511="",DefaultChannel,E511),Channels!$A$5:$A$18,0)),0))</f>
        <v>0</v>
      </c>
      <c r="AC511" s="42">
        <f>IF(B511="","",IFERROR(INDEX(Channels!$O$5:$O$18,MATCH(IF(E511="",DefaultChannel,E511),Channels!$A$5:$A$18,0)),"No"))</f>
        <v>0</v>
      </c>
      <c r="AD511" s="20">
        <f>IF(B511="","",ROUND((V511+IF(AC511="Yes",IF(I511="",0,I511),0))*AA511+AB511,2))</f>
        <v>0</v>
      </c>
      <c r="AE511" s="20">
        <f>IF(B511="","",IF(K511&lt;&gt;"",K511,AD511))</f>
        <v>0</v>
      </c>
      <c r="AF511" s="20">
        <f>IF(B511="","",IF(K511="","",ROUND(K511-AD511,2)))</f>
        <v>0</v>
      </c>
      <c r="AG511" s="20">
        <f>IF(B511="","",ROUND(V511-Y511-AE511-Z511,2))</f>
        <v>0</v>
      </c>
      <c r="AH511" s="33">
        <f>IF(B511="","",IF(OR(V511="",V511=0),"",AG511/V511))</f>
        <v>0</v>
      </c>
      <c r="AI511" s="33">
        <f>IF(C511="","",IFERROR(INDEX(Products!$AW$5:$AW$304,MATCH(C511,Products!$A$5:$A$304,0)),""))</f>
        <v>0</v>
      </c>
      <c r="AJ511" s="33">
        <f>IF(B511="","",IF(OR(AH511="",AI511=""),"",AH511-AI511))</f>
        <v>0</v>
      </c>
      <c r="AK511" s="41">
        <f>IF(B511="","",IFERROR(ROUND(IF(D511="",0,D511)*INDEX(Products!$X$5:$X$304,MATCH(C511,Products!$A$5:$A$304,0))/60,2),""))</f>
        <v>0</v>
      </c>
      <c r="AL511" s="20">
        <f>IF(B511="","",IF(OR(AK511="",AK511=0),"",ROUND(AG511/AK511,2)))</f>
        <v>0</v>
      </c>
      <c r="AM511" s="43">
        <f>IF(B511="","",IF(C511="","Add - which product?",IF(AG511&lt;0,"Loss - this order cost you money",IF(M511="Refunded","Refunded - check why",IF(AND(AF511&lt;&gt;"",AF511&gt;0.25),"Check - fees higher than your settings",IF(Z511&gt;1,"Check - postage is eating the margin",IF(AND(AH511&lt;&gt;"",AH511&lt;MarginWarning),"Low margin on this order","OK")))))) )</f>
        <v>0</v>
      </c>
    </row>
    <row r="512" spans="1:39">
      <c r="A512" s="38">
        <f>IF(B512="","",SalePrefix&amp;TEXT(ROW()-4,"0000"))</f>
        <v>0</v>
      </c>
      <c r="Q512" s="13">
        <f>IF(C512="","",IFERROR(INDEX(Products!$B$5:$B$304,MATCH(C512,Products!$A$5:$A$304,0)),"Bundle or deleted"))</f>
        <v>0</v>
      </c>
      <c r="R512" s="13">
        <f>IF(B512="","",TEXT(B512,"yyyy-mm"))</f>
        <v>0</v>
      </c>
      <c r="S512" s="20">
        <f>IF(C512="","",IFERROR(INDEX(Products!$AR$5:$AR$304,MATCH(C512,Products!$A$5:$A$304,0)),""))</f>
        <v>0</v>
      </c>
      <c r="T512" s="20">
        <f>IF(B512="","",IF(F512&lt;&gt;"",F512,IF(S512="",0,S512)))</f>
        <v>0</v>
      </c>
      <c r="U512" s="20">
        <f>IF(B512="","",ROUND(IF(D512="",0,D512)*T512,2))</f>
        <v>0</v>
      </c>
      <c r="V512" s="20">
        <f>IF(B512="","",ROUND(U512-IF(G512="",0,G512)-IF(L512="",0,L512),2))</f>
        <v>0</v>
      </c>
      <c r="W512" s="20">
        <f>IF(C512="","",IFERROR(INDEX(Products!$AT$5:$AT$304,MATCH(C512,Products!$A$5:$A$304,0)),""))</f>
        <v>0</v>
      </c>
      <c r="X512" s="20">
        <f>IF(C512="","",IFERROR(INDEX(Products!$AG$5:$AG$304,MATCH(C512,Products!$A$5:$A$304,0)),""))</f>
        <v>0</v>
      </c>
      <c r="Y512" s="20">
        <f>IF(B512="","",ROUND(IF(D512="",0,D512)*MAX(0,IF(W512="",0,W512)-IF(X512="",0,X512)),2))</f>
        <v>0</v>
      </c>
      <c r="Z512" s="20">
        <f>IF(B512="","",ROUND(MAX(0,IF(J512="",0,J512)-IF(I512="",0,I512)),2))</f>
        <v>0</v>
      </c>
      <c r="AA512" s="33">
        <f>IF(B512="","",IFERROR(INDEX(Channels!$S$5:$S$18,MATCH(IF(E512="",DefaultChannel,E512),Channels!$A$5:$A$18,0)),0))</f>
        <v>0</v>
      </c>
      <c r="AB512" s="20">
        <f>IF(B512="","",IFERROR(INDEX(Channels!$T$5:$T$18,MATCH(IF(E512="",DefaultChannel,E512),Channels!$A$5:$A$18,0)),0))</f>
        <v>0</v>
      </c>
      <c r="AC512" s="42">
        <f>IF(B512="","",IFERROR(INDEX(Channels!$O$5:$O$18,MATCH(IF(E512="",DefaultChannel,E512),Channels!$A$5:$A$18,0)),"No"))</f>
        <v>0</v>
      </c>
      <c r="AD512" s="20">
        <f>IF(B512="","",ROUND((V512+IF(AC512="Yes",IF(I512="",0,I512),0))*AA512+AB512,2))</f>
        <v>0</v>
      </c>
      <c r="AE512" s="20">
        <f>IF(B512="","",IF(K512&lt;&gt;"",K512,AD512))</f>
        <v>0</v>
      </c>
      <c r="AF512" s="20">
        <f>IF(B512="","",IF(K512="","",ROUND(K512-AD512,2)))</f>
        <v>0</v>
      </c>
      <c r="AG512" s="20">
        <f>IF(B512="","",ROUND(V512-Y512-AE512-Z512,2))</f>
        <v>0</v>
      </c>
      <c r="AH512" s="33">
        <f>IF(B512="","",IF(OR(V512="",V512=0),"",AG512/V512))</f>
        <v>0</v>
      </c>
      <c r="AI512" s="33">
        <f>IF(C512="","",IFERROR(INDEX(Products!$AW$5:$AW$304,MATCH(C512,Products!$A$5:$A$304,0)),""))</f>
        <v>0</v>
      </c>
      <c r="AJ512" s="33">
        <f>IF(B512="","",IF(OR(AH512="",AI512=""),"",AH512-AI512))</f>
        <v>0</v>
      </c>
      <c r="AK512" s="41">
        <f>IF(B512="","",IFERROR(ROUND(IF(D512="",0,D512)*INDEX(Products!$X$5:$X$304,MATCH(C512,Products!$A$5:$A$304,0))/60,2),""))</f>
        <v>0</v>
      </c>
      <c r="AL512" s="20">
        <f>IF(B512="","",IF(OR(AK512="",AK512=0),"",ROUND(AG512/AK512,2)))</f>
        <v>0</v>
      </c>
      <c r="AM512" s="43">
        <f>IF(B512="","",IF(C512="","Add - which product?",IF(AG512&lt;0,"Loss - this order cost you money",IF(M512="Refunded","Refunded - check why",IF(AND(AF512&lt;&gt;"",AF512&gt;0.25),"Check - fees higher than your settings",IF(Z512&gt;1,"Check - postage is eating the margin",IF(AND(AH512&lt;&gt;"",AH512&lt;MarginWarning),"Low margin on this order","OK")))))) )</f>
        <v>0</v>
      </c>
    </row>
    <row r="513" spans="1:39">
      <c r="A513" s="38">
        <f>IF(B513="","",SalePrefix&amp;TEXT(ROW()-4,"0000"))</f>
        <v>0</v>
      </c>
      <c r="Q513" s="13">
        <f>IF(C513="","",IFERROR(INDEX(Products!$B$5:$B$304,MATCH(C513,Products!$A$5:$A$304,0)),"Bundle or deleted"))</f>
        <v>0</v>
      </c>
      <c r="R513" s="13">
        <f>IF(B513="","",TEXT(B513,"yyyy-mm"))</f>
        <v>0</v>
      </c>
      <c r="S513" s="20">
        <f>IF(C513="","",IFERROR(INDEX(Products!$AR$5:$AR$304,MATCH(C513,Products!$A$5:$A$304,0)),""))</f>
        <v>0</v>
      </c>
      <c r="T513" s="20">
        <f>IF(B513="","",IF(F513&lt;&gt;"",F513,IF(S513="",0,S513)))</f>
        <v>0</v>
      </c>
      <c r="U513" s="20">
        <f>IF(B513="","",ROUND(IF(D513="",0,D513)*T513,2))</f>
        <v>0</v>
      </c>
      <c r="V513" s="20">
        <f>IF(B513="","",ROUND(U513-IF(G513="",0,G513)-IF(L513="",0,L513),2))</f>
        <v>0</v>
      </c>
      <c r="W513" s="20">
        <f>IF(C513="","",IFERROR(INDEX(Products!$AT$5:$AT$304,MATCH(C513,Products!$A$5:$A$304,0)),""))</f>
        <v>0</v>
      </c>
      <c r="X513" s="20">
        <f>IF(C513="","",IFERROR(INDEX(Products!$AG$5:$AG$304,MATCH(C513,Products!$A$5:$A$304,0)),""))</f>
        <v>0</v>
      </c>
      <c r="Y513" s="20">
        <f>IF(B513="","",ROUND(IF(D513="",0,D513)*MAX(0,IF(W513="",0,W513)-IF(X513="",0,X513)),2))</f>
        <v>0</v>
      </c>
      <c r="Z513" s="20">
        <f>IF(B513="","",ROUND(MAX(0,IF(J513="",0,J513)-IF(I513="",0,I513)),2))</f>
        <v>0</v>
      </c>
      <c r="AA513" s="33">
        <f>IF(B513="","",IFERROR(INDEX(Channels!$S$5:$S$18,MATCH(IF(E513="",DefaultChannel,E513),Channels!$A$5:$A$18,0)),0))</f>
        <v>0</v>
      </c>
      <c r="AB513" s="20">
        <f>IF(B513="","",IFERROR(INDEX(Channels!$T$5:$T$18,MATCH(IF(E513="",DefaultChannel,E513),Channels!$A$5:$A$18,0)),0))</f>
        <v>0</v>
      </c>
      <c r="AC513" s="42">
        <f>IF(B513="","",IFERROR(INDEX(Channels!$O$5:$O$18,MATCH(IF(E513="",DefaultChannel,E513),Channels!$A$5:$A$18,0)),"No"))</f>
        <v>0</v>
      </c>
      <c r="AD513" s="20">
        <f>IF(B513="","",ROUND((V513+IF(AC513="Yes",IF(I513="",0,I513),0))*AA513+AB513,2))</f>
        <v>0</v>
      </c>
      <c r="AE513" s="20">
        <f>IF(B513="","",IF(K513&lt;&gt;"",K513,AD513))</f>
        <v>0</v>
      </c>
      <c r="AF513" s="20">
        <f>IF(B513="","",IF(K513="","",ROUND(K513-AD513,2)))</f>
        <v>0</v>
      </c>
      <c r="AG513" s="20">
        <f>IF(B513="","",ROUND(V513-Y513-AE513-Z513,2))</f>
        <v>0</v>
      </c>
      <c r="AH513" s="33">
        <f>IF(B513="","",IF(OR(V513="",V513=0),"",AG513/V513))</f>
        <v>0</v>
      </c>
      <c r="AI513" s="33">
        <f>IF(C513="","",IFERROR(INDEX(Products!$AW$5:$AW$304,MATCH(C513,Products!$A$5:$A$304,0)),""))</f>
        <v>0</v>
      </c>
      <c r="AJ513" s="33">
        <f>IF(B513="","",IF(OR(AH513="",AI513=""),"",AH513-AI513))</f>
        <v>0</v>
      </c>
      <c r="AK513" s="41">
        <f>IF(B513="","",IFERROR(ROUND(IF(D513="",0,D513)*INDEX(Products!$X$5:$X$304,MATCH(C513,Products!$A$5:$A$304,0))/60,2),""))</f>
        <v>0</v>
      </c>
      <c r="AL513" s="20">
        <f>IF(B513="","",IF(OR(AK513="",AK513=0),"",ROUND(AG513/AK513,2)))</f>
        <v>0</v>
      </c>
      <c r="AM513" s="43">
        <f>IF(B513="","",IF(C513="","Add - which product?",IF(AG513&lt;0,"Loss - this order cost you money",IF(M513="Refunded","Refunded - check why",IF(AND(AF513&lt;&gt;"",AF513&gt;0.25),"Check - fees higher than your settings",IF(Z513&gt;1,"Check - postage is eating the margin",IF(AND(AH513&lt;&gt;"",AH513&lt;MarginWarning),"Low margin on this order","OK")))))) )</f>
        <v>0</v>
      </c>
    </row>
    <row r="514" spans="1:39">
      <c r="A514" s="38">
        <f>IF(B514="","",SalePrefix&amp;TEXT(ROW()-4,"0000"))</f>
        <v>0</v>
      </c>
      <c r="Q514" s="13">
        <f>IF(C514="","",IFERROR(INDEX(Products!$B$5:$B$304,MATCH(C514,Products!$A$5:$A$304,0)),"Bundle or deleted"))</f>
        <v>0</v>
      </c>
      <c r="R514" s="13">
        <f>IF(B514="","",TEXT(B514,"yyyy-mm"))</f>
        <v>0</v>
      </c>
      <c r="S514" s="20">
        <f>IF(C514="","",IFERROR(INDEX(Products!$AR$5:$AR$304,MATCH(C514,Products!$A$5:$A$304,0)),""))</f>
        <v>0</v>
      </c>
      <c r="T514" s="20">
        <f>IF(B514="","",IF(F514&lt;&gt;"",F514,IF(S514="",0,S514)))</f>
        <v>0</v>
      </c>
      <c r="U514" s="20">
        <f>IF(B514="","",ROUND(IF(D514="",0,D514)*T514,2))</f>
        <v>0</v>
      </c>
      <c r="V514" s="20">
        <f>IF(B514="","",ROUND(U514-IF(G514="",0,G514)-IF(L514="",0,L514),2))</f>
        <v>0</v>
      </c>
      <c r="W514" s="20">
        <f>IF(C514="","",IFERROR(INDEX(Products!$AT$5:$AT$304,MATCH(C514,Products!$A$5:$A$304,0)),""))</f>
        <v>0</v>
      </c>
      <c r="X514" s="20">
        <f>IF(C514="","",IFERROR(INDEX(Products!$AG$5:$AG$304,MATCH(C514,Products!$A$5:$A$304,0)),""))</f>
        <v>0</v>
      </c>
      <c r="Y514" s="20">
        <f>IF(B514="","",ROUND(IF(D514="",0,D514)*MAX(0,IF(W514="",0,W514)-IF(X514="",0,X514)),2))</f>
        <v>0</v>
      </c>
      <c r="Z514" s="20">
        <f>IF(B514="","",ROUND(MAX(0,IF(J514="",0,J514)-IF(I514="",0,I514)),2))</f>
        <v>0</v>
      </c>
      <c r="AA514" s="33">
        <f>IF(B514="","",IFERROR(INDEX(Channels!$S$5:$S$18,MATCH(IF(E514="",DefaultChannel,E514),Channels!$A$5:$A$18,0)),0))</f>
        <v>0</v>
      </c>
      <c r="AB514" s="20">
        <f>IF(B514="","",IFERROR(INDEX(Channels!$T$5:$T$18,MATCH(IF(E514="",DefaultChannel,E514),Channels!$A$5:$A$18,0)),0))</f>
        <v>0</v>
      </c>
      <c r="AC514" s="42">
        <f>IF(B514="","",IFERROR(INDEX(Channels!$O$5:$O$18,MATCH(IF(E514="",DefaultChannel,E514),Channels!$A$5:$A$18,0)),"No"))</f>
        <v>0</v>
      </c>
      <c r="AD514" s="20">
        <f>IF(B514="","",ROUND((V514+IF(AC514="Yes",IF(I514="",0,I514),0))*AA514+AB514,2))</f>
        <v>0</v>
      </c>
      <c r="AE514" s="20">
        <f>IF(B514="","",IF(K514&lt;&gt;"",K514,AD514))</f>
        <v>0</v>
      </c>
      <c r="AF514" s="20">
        <f>IF(B514="","",IF(K514="","",ROUND(K514-AD514,2)))</f>
        <v>0</v>
      </c>
      <c r="AG514" s="20">
        <f>IF(B514="","",ROUND(V514-Y514-AE514-Z514,2))</f>
        <v>0</v>
      </c>
      <c r="AH514" s="33">
        <f>IF(B514="","",IF(OR(V514="",V514=0),"",AG514/V514))</f>
        <v>0</v>
      </c>
      <c r="AI514" s="33">
        <f>IF(C514="","",IFERROR(INDEX(Products!$AW$5:$AW$304,MATCH(C514,Products!$A$5:$A$304,0)),""))</f>
        <v>0</v>
      </c>
      <c r="AJ514" s="33">
        <f>IF(B514="","",IF(OR(AH514="",AI514=""),"",AH514-AI514))</f>
        <v>0</v>
      </c>
      <c r="AK514" s="41">
        <f>IF(B514="","",IFERROR(ROUND(IF(D514="",0,D514)*INDEX(Products!$X$5:$X$304,MATCH(C514,Products!$A$5:$A$304,0))/60,2),""))</f>
        <v>0</v>
      </c>
      <c r="AL514" s="20">
        <f>IF(B514="","",IF(OR(AK514="",AK514=0),"",ROUND(AG514/AK514,2)))</f>
        <v>0</v>
      </c>
      <c r="AM514" s="43">
        <f>IF(B514="","",IF(C514="","Add - which product?",IF(AG514&lt;0,"Loss - this order cost you money",IF(M514="Refunded","Refunded - check why",IF(AND(AF514&lt;&gt;"",AF514&gt;0.25),"Check - fees higher than your settings",IF(Z514&gt;1,"Check - postage is eating the margin",IF(AND(AH514&lt;&gt;"",AH514&lt;MarginWarning),"Low margin on this order","OK")))))) )</f>
        <v>0</v>
      </c>
    </row>
    <row r="515" spans="1:39">
      <c r="A515" s="38">
        <f>IF(B515="","",SalePrefix&amp;TEXT(ROW()-4,"0000"))</f>
        <v>0</v>
      </c>
      <c r="Q515" s="13">
        <f>IF(C515="","",IFERROR(INDEX(Products!$B$5:$B$304,MATCH(C515,Products!$A$5:$A$304,0)),"Bundle or deleted"))</f>
        <v>0</v>
      </c>
      <c r="R515" s="13">
        <f>IF(B515="","",TEXT(B515,"yyyy-mm"))</f>
        <v>0</v>
      </c>
      <c r="S515" s="20">
        <f>IF(C515="","",IFERROR(INDEX(Products!$AR$5:$AR$304,MATCH(C515,Products!$A$5:$A$304,0)),""))</f>
        <v>0</v>
      </c>
      <c r="T515" s="20">
        <f>IF(B515="","",IF(F515&lt;&gt;"",F515,IF(S515="",0,S515)))</f>
        <v>0</v>
      </c>
      <c r="U515" s="20">
        <f>IF(B515="","",ROUND(IF(D515="",0,D515)*T515,2))</f>
        <v>0</v>
      </c>
      <c r="V515" s="20">
        <f>IF(B515="","",ROUND(U515-IF(G515="",0,G515)-IF(L515="",0,L515),2))</f>
        <v>0</v>
      </c>
      <c r="W515" s="20">
        <f>IF(C515="","",IFERROR(INDEX(Products!$AT$5:$AT$304,MATCH(C515,Products!$A$5:$A$304,0)),""))</f>
        <v>0</v>
      </c>
      <c r="X515" s="20">
        <f>IF(C515="","",IFERROR(INDEX(Products!$AG$5:$AG$304,MATCH(C515,Products!$A$5:$A$304,0)),""))</f>
        <v>0</v>
      </c>
      <c r="Y515" s="20">
        <f>IF(B515="","",ROUND(IF(D515="",0,D515)*MAX(0,IF(W515="",0,W515)-IF(X515="",0,X515)),2))</f>
        <v>0</v>
      </c>
      <c r="Z515" s="20">
        <f>IF(B515="","",ROUND(MAX(0,IF(J515="",0,J515)-IF(I515="",0,I515)),2))</f>
        <v>0</v>
      </c>
      <c r="AA515" s="33">
        <f>IF(B515="","",IFERROR(INDEX(Channels!$S$5:$S$18,MATCH(IF(E515="",DefaultChannel,E515),Channels!$A$5:$A$18,0)),0))</f>
        <v>0</v>
      </c>
      <c r="AB515" s="20">
        <f>IF(B515="","",IFERROR(INDEX(Channels!$T$5:$T$18,MATCH(IF(E515="",DefaultChannel,E515),Channels!$A$5:$A$18,0)),0))</f>
        <v>0</v>
      </c>
      <c r="AC515" s="42">
        <f>IF(B515="","",IFERROR(INDEX(Channels!$O$5:$O$18,MATCH(IF(E515="",DefaultChannel,E515),Channels!$A$5:$A$18,0)),"No"))</f>
        <v>0</v>
      </c>
      <c r="AD515" s="20">
        <f>IF(B515="","",ROUND((V515+IF(AC515="Yes",IF(I515="",0,I515),0))*AA515+AB515,2))</f>
        <v>0</v>
      </c>
      <c r="AE515" s="20">
        <f>IF(B515="","",IF(K515&lt;&gt;"",K515,AD515))</f>
        <v>0</v>
      </c>
      <c r="AF515" s="20">
        <f>IF(B515="","",IF(K515="","",ROUND(K515-AD515,2)))</f>
        <v>0</v>
      </c>
      <c r="AG515" s="20">
        <f>IF(B515="","",ROUND(V515-Y515-AE515-Z515,2))</f>
        <v>0</v>
      </c>
      <c r="AH515" s="33">
        <f>IF(B515="","",IF(OR(V515="",V515=0),"",AG515/V515))</f>
        <v>0</v>
      </c>
      <c r="AI515" s="33">
        <f>IF(C515="","",IFERROR(INDEX(Products!$AW$5:$AW$304,MATCH(C515,Products!$A$5:$A$304,0)),""))</f>
        <v>0</v>
      </c>
      <c r="AJ515" s="33">
        <f>IF(B515="","",IF(OR(AH515="",AI515=""),"",AH515-AI515))</f>
        <v>0</v>
      </c>
      <c r="AK515" s="41">
        <f>IF(B515="","",IFERROR(ROUND(IF(D515="",0,D515)*INDEX(Products!$X$5:$X$304,MATCH(C515,Products!$A$5:$A$304,0))/60,2),""))</f>
        <v>0</v>
      </c>
      <c r="AL515" s="20">
        <f>IF(B515="","",IF(OR(AK515="",AK515=0),"",ROUND(AG515/AK515,2)))</f>
        <v>0</v>
      </c>
      <c r="AM515" s="43">
        <f>IF(B515="","",IF(C515="","Add - which product?",IF(AG515&lt;0,"Loss - this order cost you money",IF(M515="Refunded","Refunded - check why",IF(AND(AF515&lt;&gt;"",AF515&gt;0.25),"Check - fees higher than your settings",IF(Z515&gt;1,"Check - postage is eating the margin",IF(AND(AH515&lt;&gt;"",AH515&lt;MarginWarning),"Low margin on this order","OK")))))) )</f>
        <v>0</v>
      </c>
    </row>
    <row r="516" spans="1:39">
      <c r="A516" s="38">
        <f>IF(B516="","",SalePrefix&amp;TEXT(ROW()-4,"0000"))</f>
        <v>0</v>
      </c>
      <c r="Q516" s="13">
        <f>IF(C516="","",IFERROR(INDEX(Products!$B$5:$B$304,MATCH(C516,Products!$A$5:$A$304,0)),"Bundle or deleted"))</f>
        <v>0</v>
      </c>
      <c r="R516" s="13">
        <f>IF(B516="","",TEXT(B516,"yyyy-mm"))</f>
        <v>0</v>
      </c>
      <c r="S516" s="20">
        <f>IF(C516="","",IFERROR(INDEX(Products!$AR$5:$AR$304,MATCH(C516,Products!$A$5:$A$304,0)),""))</f>
        <v>0</v>
      </c>
      <c r="T516" s="20">
        <f>IF(B516="","",IF(F516&lt;&gt;"",F516,IF(S516="",0,S516)))</f>
        <v>0</v>
      </c>
      <c r="U516" s="20">
        <f>IF(B516="","",ROUND(IF(D516="",0,D516)*T516,2))</f>
        <v>0</v>
      </c>
      <c r="V516" s="20">
        <f>IF(B516="","",ROUND(U516-IF(G516="",0,G516)-IF(L516="",0,L516),2))</f>
        <v>0</v>
      </c>
      <c r="W516" s="20">
        <f>IF(C516="","",IFERROR(INDEX(Products!$AT$5:$AT$304,MATCH(C516,Products!$A$5:$A$304,0)),""))</f>
        <v>0</v>
      </c>
      <c r="X516" s="20">
        <f>IF(C516="","",IFERROR(INDEX(Products!$AG$5:$AG$304,MATCH(C516,Products!$A$5:$A$304,0)),""))</f>
        <v>0</v>
      </c>
      <c r="Y516" s="20">
        <f>IF(B516="","",ROUND(IF(D516="",0,D516)*MAX(0,IF(W516="",0,W516)-IF(X516="",0,X516)),2))</f>
        <v>0</v>
      </c>
      <c r="Z516" s="20">
        <f>IF(B516="","",ROUND(MAX(0,IF(J516="",0,J516)-IF(I516="",0,I516)),2))</f>
        <v>0</v>
      </c>
      <c r="AA516" s="33">
        <f>IF(B516="","",IFERROR(INDEX(Channels!$S$5:$S$18,MATCH(IF(E516="",DefaultChannel,E516),Channels!$A$5:$A$18,0)),0))</f>
        <v>0</v>
      </c>
      <c r="AB516" s="20">
        <f>IF(B516="","",IFERROR(INDEX(Channels!$T$5:$T$18,MATCH(IF(E516="",DefaultChannel,E516),Channels!$A$5:$A$18,0)),0))</f>
        <v>0</v>
      </c>
      <c r="AC516" s="42">
        <f>IF(B516="","",IFERROR(INDEX(Channels!$O$5:$O$18,MATCH(IF(E516="",DefaultChannel,E516),Channels!$A$5:$A$18,0)),"No"))</f>
        <v>0</v>
      </c>
      <c r="AD516" s="20">
        <f>IF(B516="","",ROUND((V516+IF(AC516="Yes",IF(I516="",0,I516),0))*AA516+AB516,2))</f>
        <v>0</v>
      </c>
      <c r="AE516" s="20">
        <f>IF(B516="","",IF(K516&lt;&gt;"",K516,AD516))</f>
        <v>0</v>
      </c>
      <c r="AF516" s="20">
        <f>IF(B516="","",IF(K516="","",ROUND(K516-AD516,2)))</f>
        <v>0</v>
      </c>
      <c r="AG516" s="20">
        <f>IF(B516="","",ROUND(V516-Y516-AE516-Z516,2))</f>
        <v>0</v>
      </c>
      <c r="AH516" s="33">
        <f>IF(B516="","",IF(OR(V516="",V516=0),"",AG516/V516))</f>
        <v>0</v>
      </c>
      <c r="AI516" s="33">
        <f>IF(C516="","",IFERROR(INDEX(Products!$AW$5:$AW$304,MATCH(C516,Products!$A$5:$A$304,0)),""))</f>
        <v>0</v>
      </c>
      <c r="AJ516" s="33">
        <f>IF(B516="","",IF(OR(AH516="",AI516=""),"",AH516-AI516))</f>
        <v>0</v>
      </c>
      <c r="AK516" s="41">
        <f>IF(B516="","",IFERROR(ROUND(IF(D516="",0,D516)*INDEX(Products!$X$5:$X$304,MATCH(C516,Products!$A$5:$A$304,0))/60,2),""))</f>
        <v>0</v>
      </c>
      <c r="AL516" s="20">
        <f>IF(B516="","",IF(OR(AK516="",AK516=0),"",ROUND(AG516/AK516,2)))</f>
        <v>0</v>
      </c>
      <c r="AM516" s="43">
        <f>IF(B516="","",IF(C516="","Add - which product?",IF(AG516&lt;0,"Loss - this order cost you money",IF(M516="Refunded","Refunded - check why",IF(AND(AF516&lt;&gt;"",AF516&gt;0.25),"Check - fees higher than your settings",IF(Z516&gt;1,"Check - postage is eating the margin",IF(AND(AH516&lt;&gt;"",AH516&lt;MarginWarning),"Low margin on this order","OK")))))) )</f>
        <v>0</v>
      </c>
    </row>
    <row r="517" spans="1:39">
      <c r="A517" s="38">
        <f>IF(B517="","",SalePrefix&amp;TEXT(ROW()-4,"0000"))</f>
        <v>0</v>
      </c>
      <c r="Q517" s="13">
        <f>IF(C517="","",IFERROR(INDEX(Products!$B$5:$B$304,MATCH(C517,Products!$A$5:$A$304,0)),"Bundle or deleted"))</f>
        <v>0</v>
      </c>
      <c r="R517" s="13">
        <f>IF(B517="","",TEXT(B517,"yyyy-mm"))</f>
        <v>0</v>
      </c>
      <c r="S517" s="20">
        <f>IF(C517="","",IFERROR(INDEX(Products!$AR$5:$AR$304,MATCH(C517,Products!$A$5:$A$304,0)),""))</f>
        <v>0</v>
      </c>
      <c r="T517" s="20">
        <f>IF(B517="","",IF(F517&lt;&gt;"",F517,IF(S517="",0,S517)))</f>
        <v>0</v>
      </c>
      <c r="U517" s="20">
        <f>IF(B517="","",ROUND(IF(D517="",0,D517)*T517,2))</f>
        <v>0</v>
      </c>
      <c r="V517" s="20">
        <f>IF(B517="","",ROUND(U517-IF(G517="",0,G517)-IF(L517="",0,L517),2))</f>
        <v>0</v>
      </c>
      <c r="W517" s="20">
        <f>IF(C517="","",IFERROR(INDEX(Products!$AT$5:$AT$304,MATCH(C517,Products!$A$5:$A$304,0)),""))</f>
        <v>0</v>
      </c>
      <c r="X517" s="20">
        <f>IF(C517="","",IFERROR(INDEX(Products!$AG$5:$AG$304,MATCH(C517,Products!$A$5:$A$304,0)),""))</f>
        <v>0</v>
      </c>
      <c r="Y517" s="20">
        <f>IF(B517="","",ROUND(IF(D517="",0,D517)*MAX(0,IF(W517="",0,W517)-IF(X517="",0,X517)),2))</f>
        <v>0</v>
      </c>
      <c r="Z517" s="20">
        <f>IF(B517="","",ROUND(MAX(0,IF(J517="",0,J517)-IF(I517="",0,I517)),2))</f>
        <v>0</v>
      </c>
      <c r="AA517" s="33">
        <f>IF(B517="","",IFERROR(INDEX(Channels!$S$5:$S$18,MATCH(IF(E517="",DefaultChannel,E517),Channels!$A$5:$A$18,0)),0))</f>
        <v>0</v>
      </c>
      <c r="AB517" s="20">
        <f>IF(B517="","",IFERROR(INDEX(Channels!$T$5:$T$18,MATCH(IF(E517="",DefaultChannel,E517),Channels!$A$5:$A$18,0)),0))</f>
        <v>0</v>
      </c>
      <c r="AC517" s="42">
        <f>IF(B517="","",IFERROR(INDEX(Channels!$O$5:$O$18,MATCH(IF(E517="",DefaultChannel,E517),Channels!$A$5:$A$18,0)),"No"))</f>
        <v>0</v>
      </c>
      <c r="AD517" s="20">
        <f>IF(B517="","",ROUND((V517+IF(AC517="Yes",IF(I517="",0,I517),0))*AA517+AB517,2))</f>
        <v>0</v>
      </c>
      <c r="AE517" s="20">
        <f>IF(B517="","",IF(K517&lt;&gt;"",K517,AD517))</f>
        <v>0</v>
      </c>
      <c r="AF517" s="20">
        <f>IF(B517="","",IF(K517="","",ROUND(K517-AD517,2)))</f>
        <v>0</v>
      </c>
      <c r="AG517" s="20">
        <f>IF(B517="","",ROUND(V517-Y517-AE517-Z517,2))</f>
        <v>0</v>
      </c>
      <c r="AH517" s="33">
        <f>IF(B517="","",IF(OR(V517="",V517=0),"",AG517/V517))</f>
        <v>0</v>
      </c>
      <c r="AI517" s="33">
        <f>IF(C517="","",IFERROR(INDEX(Products!$AW$5:$AW$304,MATCH(C517,Products!$A$5:$A$304,0)),""))</f>
        <v>0</v>
      </c>
      <c r="AJ517" s="33">
        <f>IF(B517="","",IF(OR(AH517="",AI517=""),"",AH517-AI517))</f>
        <v>0</v>
      </c>
      <c r="AK517" s="41">
        <f>IF(B517="","",IFERROR(ROUND(IF(D517="",0,D517)*INDEX(Products!$X$5:$X$304,MATCH(C517,Products!$A$5:$A$304,0))/60,2),""))</f>
        <v>0</v>
      </c>
      <c r="AL517" s="20">
        <f>IF(B517="","",IF(OR(AK517="",AK517=0),"",ROUND(AG517/AK517,2)))</f>
        <v>0</v>
      </c>
      <c r="AM517" s="43">
        <f>IF(B517="","",IF(C517="","Add - which product?",IF(AG517&lt;0,"Loss - this order cost you money",IF(M517="Refunded","Refunded - check why",IF(AND(AF517&lt;&gt;"",AF517&gt;0.25),"Check - fees higher than your settings",IF(Z517&gt;1,"Check - postage is eating the margin",IF(AND(AH517&lt;&gt;"",AH517&lt;MarginWarning),"Low margin on this order","OK")))))) )</f>
        <v>0</v>
      </c>
    </row>
    <row r="518" spans="1:39">
      <c r="A518" s="38">
        <f>IF(B518="","",SalePrefix&amp;TEXT(ROW()-4,"0000"))</f>
        <v>0</v>
      </c>
      <c r="Q518" s="13">
        <f>IF(C518="","",IFERROR(INDEX(Products!$B$5:$B$304,MATCH(C518,Products!$A$5:$A$304,0)),"Bundle or deleted"))</f>
        <v>0</v>
      </c>
      <c r="R518" s="13">
        <f>IF(B518="","",TEXT(B518,"yyyy-mm"))</f>
        <v>0</v>
      </c>
      <c r="S518" s="20">
        <f>IF(C518="","",IFERROR(INDEX(Products!$AR$5:$AR$304,MATCH(C518,Products!$A$5:$A$304,0)),""))</f>
        <v>0</v>
      </c>
      <c r="T518" s="20">
        <f>IF(B518="","",IF(F518&lt;&gt;"",F518,IF(S518="",0,S518)))</f>
        <v>0</v>
      </c>
      <c r="U518" s="20">
        <f>IF(B518="","",ROUND(IF(D518="",0,D518)*T518,2))</f>
        <v>0</v>
      </c>
      <c r="V518" s="20">
        <f>IF(B518="","",ROUND(U518-IF(G518="",0,G518)-IF(L518="",0,L518),2))</f>
        <v>0</v>
      </c>
      <c r="W518" s="20">
        <f>IF(C518="","",IFERROR(INDEX(Products!$AT$5:$AT$304,MATCH(C518,Products!$A$5:$A$304,0)),""))</f>
        <v>0</v>
      </c>
      <c r="X518" s="20">
        <f>IF(C518="","",IFERROR(INDEX(Products!$AG$5:$AG$304,MATCH(C518,Products!$A$5:$A$304,0)),""))</f>
        <v>0</v>
      </c>
      <c r="Y518" s="20">
        <f>IF(B518="","",ROUND(IF(D518="",0,D518)*MAX(0,IF(W518="",0,W518)-IF(X518="",0,X518)),2))</f>
        <v>0</v>
      </c>
      <c r="Z518" s="20">
        <f>IF(B518="","",ROUND(MAX(0,IF(J518="",0,J518)-IF(I518="",0,I518)),2))</f>
        <v>0</v>
      </c>
      <c r="AA518" s="33">
        <f>IF(B518="","",IFERROR(INDEX(Channels!$S$5:$S$18,MATCH(IF(E518="",DefaultChannel,E518),Channels!$A$5:$A$18,0)),0))</f>
        <v>0</v>
      </c>
      <c r="AB518" s="20">
        <f>IF(B518="","",IFERROR(INDEX(Channels!$T$5:$T$18,MATCH(IF(E518="",DefaultChannel,E518),Channels!$A$5:$A$18,0)),0))</f>
        <v>0</v>
      </c>
      <c r="AC518" s="42">
        <f>IF(B518="","",IFERROR(INDEX(Channels!$O$5:$O$18,MATCH(IF(E518="",DefaultChannel,E518),Channels!$A$5:$A$18,0)),"No"))</f>
        <v>0</v>
      </c>
      <c r="AD518" s="20">
        <f>IF(B518="","",ROUND((V518+IF(AC518="Yes",IF(I518="",0,I518),0))*AA518+AB518,2))</f>
        <v>0</v>
      </c>
      <c r="AE518" s="20">
        <f>IF(B518="","",IF(K518&lt;&gt;"",K518,AD518))</f>
        <v>0</v>
      </c>
      <c r="AF518" s="20">
        <f>IF(B518="","",IF(K518="","",ROUND(K518-AD518,2)))</f>
        <v>0</v>
      </c>
      <c r="AG518" s="20">
        <f>IF(B518="","",ROUND(V518-Y518-AE518-Z518,2))</f>
        <v>0</v>
      </c>
      <c r="AH518" s="33">
        <f>IF(B518="","",IF(OR(V518="",V518=0),"",AG518/V518))</f>
        <v>0</v>
      </c>
      <c r="AI518" s="33">
        <f>IF(C518="","",IFERROR(INDEX(Products!$AW$5:$AW$304,MATCH(C518,Products!$A$5:$A$304,0)),""))</f>
        <v>0</v>
      </c>
      <c r="AJ518" s="33">
        <f>IF(B518="","",IF(OR(AH518="",AI518=""),"",AH518-AI518))</f>
        <v>0</v>
      </c>
      <c r="AK518" s="41">
        <f>IF(B518="","",IFERROR(ROUND(IF(D518="",0,D518)*INDEX(Products!$X$5:$X$304,MATCH(C518,Products!$A$5:$A$304,0))/60,2),""))</f>
        <v>0</v>
      </c>
      <c r="AL518" s="20">
        <f>IF(B518="","",IF(OR(AK518="",AK518=0),"",ROUND(AG518/AK518,2)))</f>
        <v>0</v>
      </c>
      <c r="AM518" s="43">
        <f>IF(B518="","",IF(C518="","Add - which product?",IF(AG518&lt;0,"Loss - this order cost you money",IF(M518="Refunded","Refunded - check why",IF(AND(AF518&lt;&gt;"",AF518&gt;0.25),"Check - fees higher than your settings",IF(Z518&gt;1,"Check - postage is eating the margin",IF(AND(AH518&lt;&gt;"",AH518&lt;MarginWarning),"Low margin on this order","OK")))))) )</f>
        <v>0</v>
      </c>
    </row>
    <row r="519" spans="1:39">
      <c r="A519" s="38">
        <f>IF(B519="","",SalePrefix&amp;TEXT(ROW()-4,"0000"))</f>
        <v>0</v>
      </c>
      <c r="Q519" s="13">
        <f>IF(C519="","",IFERROR(INDEX(Products!$B$5:$B$304,MATCH(C519,Products!$A$5:$A$304,0)),"Bundle or deleted"))</f>
        <v>0</v>
      </c>
      <c r="R519" s="13">
        <f>IF(B519="","",TEXT(B519,"yyyy-mm"))</f>
        <v>0</v>
      </c>
      <c r="S519" s="20">
        <f>IF(C519="","",IFERROR(INDEX(Products!$AR$5:$AR$304,MATCH(C519,Products!$A$5:$A$304,0)),""))</f>
        <v>0</v>
      </c>
      <c r="T519" s="20">
        <f>IF(B519="","",IF(F519&lt;&gt;"",F519,IF(S519="",0,S519)))</f>
        <v>0</v>
      </c>
      <c r="U519" s="20">
        <f>IF(B519="","",ROUND(IF(D519="",0,D519)*T519,2))</f>
        <v>0</v>
      </c>
      <c r="V519" s="20">
        <f>IF(B519="","",ROUND(U519-IF(G519="",0,G519)-IF(L519="",0,L519),2))</f>
        <v>0</v>
      </c>
      <c r="W519" s="20">
        <f>IF(C519="","",IFERROR(INDEX(Products!$AT$5:$AT$304,MATCH(C519,Products!$A$5:$A$304,0)),""))</f>
        <v>0</v>
      </c>
      <c r="X519" s="20">
        <f>IF(C519="","",IFERROR(INDEX(Products!$AG$5:$AG$304,MATCH(C519,Products!$A$5:$A$304,0)),""))</f>
        <v>0</v>
      </c>
      <c r="Y519" s="20">
        <f>IF(B519="","",ROUND(IF(D519="",0,D519)*MAX(0,IF(W519="",0,W519)-IF(X519="",0,X519)),2))</f>
        <v>0</v>
      </c>
      <c r="Z519" s="20">
        <f>IF(B519="","",ROUND(MAX(0,IF(J519="",0,J519)-IF(I519="",0,I519)),2))</f>
        <v>0</v>
      </c>
      <c r="AA519" s="33">
        <f>IF(B519="","",IFERROR(INDEX(Channels!$S$5:$S$18,MATCH(IF(E519="",DefaultChannel,E519),Channels!$A$5:$A$18,0)),0))</f>
        <v>0</v>
      </c>
      <c r="AB519" s="20">
        <f>IF(B519="","",IFERROR(INDEX(Channels!$T$5:$T$18,MATCH(IF(E519="",DefaultChannel,E519),Channels!$A$5:$A$18,0)),0))</f>
        <v>0</v>
      </c>
      <c r="AC519" s="42">
        <f>IF(B519="","",IFERROR(INDEX(Channels!$O$5:$O$18,MATCH(IF(E519="",DefaultChannel,E519),Channels!$A$5:$A$18,0)),"No"))</f>
        <v>0</v>
      </c>
      <c r="AD519" s="20">
        <f>IF(B519="","",ROUND((V519+IF(AC519="Yes",IF(I519="",0,I519),0))*AA519+AB519,2))</f>
        <v>0</v>
      </c>
      <c r="AE519" s="20">
        <f>IF(B519="","",IF(K519&lt;&gt;"",K519,AD519))</f>
        <v>0</v>
      </c>
      <c r="AF519" s="20">
        <f>IF(B519="","",IF(K519="","",ROUND(K519-AD519,2)))</f>
        <v>0</v>
      </c>
      <c r="AG519" s="20">
        <f>IF(B519="","",ROUND(V519-Y519-AE519-Z519,2))</f>
        <v>0</v>
      </c>
      <c r="AH519" s="33">
        <f>IF(B519="","",IF(OR(V519="",V519=0),"",AG519/V519))</f>
        <v>0</v>
      </c>
      <c r="AI519" s="33">
        <f>IF(C519="","",IFERROR(INDEX(Products!$AW$5:$AW$304,MATCH(C519,Products!$A$5:$A$304,0)),""))</f>
        <v>0</v>
      </c>
      <c r="AJ519" s="33">
        <f>IF(B519="","",IF(OR(AH519="",AI519=""),"",AH519-AI519))</f>
        <v>0</v>
      </c>
      <c r="AK519" s="41">
        <f>IF(B519="","",IFERROR(ROUND(IF(D519="",0,D519)*INDEX(Products!$X$5:$X$304,MATCH(C519,Products!$A$5:$A$304,0))/60,2),""))</f>
        <v>0</v>
      </c>
      <c r="AL519" s="20">
        <f>IF(B519="","",IF(OR(AK519="",AK519=0),"",ROUND(AG519/AK519,2)))</f>
        <v>0</v>
      </c>
      <c r="AM519" s="43">
        <f>IF(B519="","",IF(C519="","Add - which product?",IF(AG519&lt;0,"Loss - this order cost you money",IF(M519="Refunded","Refunded - check why",IF(AND(AF519&lt;&gt;"",AF519&gt;0.25),"Check - fees higher than your settings",IF(Z519&gt;1,"Check - postage is eating the margin",IF(AND(AH519&lt;&gt;"",AH519&lt;MarginWarning),"Low margin on this order","OK")))))) )</f>
        <v>0</v>
      </c>
    </row>
    <row r="520" spans="1:39">
      <c r="A520" s="38">
        <f>IF(B520="","",SalePrefix&amp;TEXT(ROW()-4,"0000"))</f>
        <v>0</v>
      </c>
      <c r="Q520" s="13">
        <f>IF(C520="","",IFERROR(INDEX(Products!$B$5:$B$304,MATCH(C520,Products!$A$5:$A$304,0)),"Bundle or deleted"))</f>
        <v>0</v>
      </c>
      <c r="R520" s="13">
        <f>IF(B520="","",TEXT(B520,"yyyy-mm"))</f>
        <v>0</v>
      </c>
      <c r="S520" s="20">
        <f>IF(C520="","",IFERROR(INDEX(Products!$AR$5:$AR$304,MATCH(C520,Products!$A$5:$A$304,0)),""))</f>
        <v>0</v>
      </c>
      <c r="T520" s="20">
        <f>IF(B520="","",IF(F520&lt;&gt;"",F520,IF(S520="",0,S520)))</f>
        <v>0</v>
      </c>
      <c r="U520" s="20">
        <f>IF(B520="","",ROUND(IF(D520="",0,D520)*T520,2))</f>
        <v>0</v>
      </c>
      <c r="V520" s="20">
        <f>IF(B520="","",ROUND(U520-IF(G520="",0,G520)-IF(L520="",0,L520),2))</f>
        <v>0</v>
      </c>
      <c r="W520" s="20">
        <f>IF(C520="","",IFERROR(INDEX(Products!$AT$5:$AT$304,MATCH(C520,Products!$A$5:$A$304,0)),""))</f>
        <v>0</v>
      </c>
      <c r="X520" s="20">
        <f>IF(C520="","",IFERROR(INDEX(Products!$AG$5:$AG$304,MATCH(C520,Products!$A$5:$A$304,0)),""))</f>
        <v>0</v>
      </c>
      <c r="Y520" s="20">
        <f>IF(B520="","",ROUND(IF(D520="",0,D520)*MAX(0,IF(W520="",0,W520)-IF(X520="",0,X520)),2))</f>
        <v>0</v>
      </c>
      <c r="Z520" s="20">
        <f>IF(B520="","",ROUND(MAX(0,IF(J520="",0,J520)-IF(I520="",0,I520)),2))</f>
        <v>0</v>
      </c>
      <c r="AA520" s="33">
        <f>IF(B520="","",IFERROR(INDEX(Channels!$S$5:$S$18,MATCH(IF(E520="",DefaultChannel,E520),Channels!$A$5:$A$18,0)),0))</f>
        <v>0</v>
      </c>
      <c r="AB520" s="20">
        <f>IF(B520="","",IFERROR(INDEX(Channels!$T$5:$T$18,MATCH(IF(E520="",DefaultChannel,E520),Channels!$A$5:$A$18,0)),0))</f>
        <v>0</v>
      </c>
      <c r="AC520" s="42">
        <f>IF(B520="","",IFERROR(INDEX(Channels!$O$5:$O$18,MATCH(IF(E520="",DefaultChannel,E520),Channels!$A$5:$A$18,0)),"No"))</f>
        <v>0</v>
      </c>
      <c r="AD520" s="20">
        <f>IF(B520="","",ROUND((V520+IF(AC520="Yes",IF(I520="",0,I520),0))*AA520+AB520,2))</f>
        <v>0</v>
      </c>
      <c r="AE520" s="20">
        <f>IF(B520="","",IF(K520&lt;&gt;"",K520,AD520))</f>
        <v>0</v>
      </c>
      <c r="AF520" s="20">
        <f>IF(B520="","",IF(K520="","",ROUND(K520-AD520,2)))</f>
        <v>0</v>
      </c>
      <c r="AG520" s="20">
        <f>IF(B520="","",ROUND(V520-Y520-AE520-Z520,2))</f>
        <v>0</v>
      </c>
      <c r="AH520" s="33">
        <f>IF(B520="","",IF(OR(V520="",V520=0),"",AG520/V520))</f>
        <v>0</v>
      </c>
      <c r="AI520" s="33">
        <f>IF(C520="","",IFERROR(INDEX(Products!$AW$5:$AW$304,MATCH(C520,Products!$A$5:$A$304,0)),""))</f>
        <v>0</v>
      </c>
      <c r="AJ520" s="33">
        <f>IF(B520="","",IF(OR(AH520="",AI520=""),"",AH520-AI520))</f>
        <v>0</v>
      </c>
      <c r="AK520" s="41">
        <f>IF(B520="","",IFERROR(ROUND(IF(D520="",0,D520)*INDEX(Products!$X$5:$X$304,MATCH(C520,Products!$A$5:$A$304,0))/60,2),""))</f>
        <v>0</v>
      </c>
      <c r="AL520" s="20">
        <f>IF(B520="","",IF(OR(AK520="",AK520=0),"",ROUND(AG520/AK520,2)))</f>
        <v>0</v>
      </c>
      <c r="AM520" s="43">
        <f>IF(B520="","",IF(C520="","Add - which product?",IF(AG520&lt;0,"Loss - this order cost you money",IF(M520="Refunded","Refunded - check why",IF(AND(AF520&lt;&gt;"",AF520&gt;0.25),"Check - fees higher than your settings",IF(Z520&gt;1,"Check - postage is eating the margin",IF(AND(AH520&lt;&gt;"",AH520&lt;MarginWarning),"Low margin on this order","OK")))))) )</f>
        <v>0</v>
      </c>
    </row>
    <row r="521" spans="1:39">
      <c r="A521" s="38">
        <f>IF(B521="","",SalePrefix&amp;TEXT(ROW()-4,"0000"))</f>
        <v>0</v>
      </c>
      <c r="Q521" s="13">
        <f>IF(C521="","",IFERROR(INDEX(Products!$B$5:$B$304,MATCH(C521,Products!$A$5:$A$304,0)),"Bundle or deleted"))</f>
        <v>0</v>
      </c>
      <c r="R521" s="13">
        <f>IF(B521="","",TEXT(B521,"yyyy-mm"))</f>
        <v>0</v>
      </c>
      <c r="S521" s="20">
        <f>IF(C521="","",IFERROR(INDEX(Products!$AR$5:$AR$304,MATCH(C521,Products!$A$5:$A$304,0)),""))</f>
        <v>0</v>
      </c>
      <c r="T521" s="20">
        <f>IF(B521="","",IF(F521&lt;&gt;"",F521,IF(S521="",0,S521)))</f>
        <v>0</v>
      </c>
      <c r="U521" s="20">
        <f>IF(B521="","",ROUND(IF(D521="",0,D521)*T521,2))</f>
        <v>0</v>
      </c>
      <c r="V521" s="20">
        <f>IF(B521="","",ROUND(U521-IF(G521="",0,G521)-IF(L521="",0,L521),2))</f>
        <v>0</v>
      </c>
      <c r="W521" s="20">
        <f>IF(C521="","",IFERROR(INDEX(Products!$AT$5:$AT$304,MATCH(C521,Products!$A$5:$A$304,0)),""))</f>
        <v>0</v>
      </c>
      <c r="X521" s="20">
        <f>IF(C521="","",IFERROR(INDEX(Products!$AG$5:$AG$304,MATCH(C521,Products!$A$5:$A$304,0)),""))</f>
        <v>0</v>
      </c>
      <c r="Y521" s="20">
        <f>IF(B521="","",ROUND(IF(D521="",0,D521)*MAX(0,IF(W521="",0,W521)-IF(X521="",0,X521)),2))</f>
        <v>0</v>
      </c>
      <c r="Z521" s="20">
        <f>IF(B521="","",ROUND(MAX(0,IF(J521="",0,J521)-IF(I521="",0,I521)),2))</f>
        <v>0</v>
      </c>
      <c r="AA521" s="33">
        <f>IF(B521="","",IFERROR(INDEX(Channels!$S$5:$S$18,MATCH(IF(E521="",DefaultChannel,E521),Channels!$A$5:$A$18,0)),0))</f>
        <v>0</v>
      </c>
      <c r="AB521" s="20">
        <f>IF(B521="","",IFERROR(INDEX(Channels!$T$5:$T$18,MATCH(IF(E521="",DefaultChannel,E521),Channels!$A$5:$A$18,0)),0))</f>
        <v>0</v>
      </c>
      <c r="AC521" s="42">
        <f>IF(B521="","",IFERROR(INDEX(Channels!$O$5:$O$18,MATCH(IF(E521="",DefaultChannel,E521),Channels!$A$5:$A$18,0)),"No"))</f>
        <v>0</v>
      </c>
      <c r="AD521" s="20">
        <f>IF(B521="","",ROUND((V521+IF(AC521="Yes",IF(I521="",0,I521),0))*AA521+AB521,2))</f>
        <v>0</v>
      </c>
      <c r="AE521" s="20">
        <f>IF(B521="","",IF(K521&lt;&gt;"",K521,AD521))</f>
        <v>0</v>
      </c>
      <c r="AF521" s="20">
        <f>IF(B521="","",IF(K521="","",ROUND(K521-AD521,2)))</f>
        <v>0</v>
      </c>
      <c r="AG521" s="20">
        <f>IF(B521="","",ROUND(V521-Y521-AE521-Z521,2))</f>
        <v>0</v>
      </c>
      <c r="AH521" s="33">
        <f>IF(B521="","",IF(OR(V521="",V521=0),"",AG521/V521))</f>
        <v>0</v>
      </c>
      <c r="AI521" s="33">
        <f>IF(C521="","",IFERROR(INDEX(Products!$AW$5:$AW$304,MATCH(C521,Products!$A$5:$A$304,0)),""))</f>
        <v>0</v>
      </c>
      <c r="AJ521" s="33">
        <f>IF(B521="","",IF(OR(AH521="",AI521=""),"",AH521-AI521))</f>
        <v>0</v>
      </c>
      <c r="AK521" s="41">
        <f>IF(B521="","",IFERROR(ROUND(IF(D521="",0,D521)*INDEX(Products!$X$5:$X$304,MATCH(C521,Products!$A$5:$A$304,0))/60,2),""))</f>
        <v>0</v>
      </c>
      <c r="AL521" s="20">
        <f>IF(B521="","",IF(OR(AK521="",AK521=0),"",ROUND(AG521/AK521,2)))</f>
        <v>0</v>
      </c>
      <c r="AM521" s="43">
        <f>IF(B521="","",IF(C521="","Add - which product?",IF(AG521&lt;0,"Loss - this order cost you money",IF(M521="Refunded","Refunded - check why",IF(AND(AF521&lt;&gt;"",AF521&gt;0.25),"Check - fees higher than your settings",IF(Z521&gt;1,"Check - postage is eating the margin",IF(AND(AH521&lt;&gt;"",AH521&lt;MarginWarning),"Low margin on this order","OK")))))) )</f>
        <v>0</v>
      </c>
    </row>
    <row r="522" spans="1:39">
      <c r="A522" s="38">
        <f>IF(B522="","",SalePrefix&amp;TEXT(ROW()-4,"0000"))</f>
        <v>0</v>
      </c>
      <c r="Q522" s="13">
        <f>IF(C522="","",IFERROR(INDEX(Products!$B$5:$B$304,MATCH(C522,Products!$A$5:$A$304,0)),"Bundle or deleted"))</f>
        <v>0</v>
      </c>
      <c r="R522" s="13">
        <f>IF(B522="","",TEXT(B522,"yyyy-mm"))</f>
        <v>0</v>
      </c>
      <c r="S522" s="20">
        <f>IF(C522="","",IFERROR(INDEX(Products!$AR$5:$AR$304,MATCH(C522,Products!$A$5:$A$304,0)),""))</f>
        <v>0</v>
      </c>
      <c r="T522" s="20">
        <f>IF(B522="","",IF(F522&lt;&gt;"",F522,IF(S522="",0,S522)))</f>
        <v>0</v>
      </c>
      <c r="U522" s="20">
        <f>IF(B522="","",ROUND(IF(D522="",0,D522)*T522,2))</f>
        <v>0</v>
      </c>
      <c r="V522" s="20">
        <f>IF(B522="","",ROUND(U522-IF(G522="",0,G522)-IF(L522="",0,L522),2))</f>
        <v>0</v>
      </c>
      <c r="W522" s="20">
        <f>IF(C522="","",IFERROR(INDEX(Products!$AT$5:$AT$304,MATCH(C522,Products!$A$5:$A$304,0)),""))</f>
        <v>0</v>
      </c>
      <c r="X522" s="20">
        <f>IF(C522="","",IFERROR(INDEX(Products!$AG$5:$AG$304,MATCH(C522,Products!$A$5:$A$304,0)),""))</f>
        <v>0</v>
      </c>
      <c r="Y522" s="20">
        <f>IF(B522="","",ROUND(IF(D522="",0,D522)*MAX(0,IF(W522="",0,W522)-IF(X522="",0,X522)),2))</f>
        <v>0</v>
      </c>
      <c r="Z522" s="20">
        <f>IF(B522="","",ROUND(MAX(0,IF(J522="",0,J522)-IF(I522="",0,I522)),2))</f>
        <v>0</v>
      </c>
      <c r="AA522" s="33">
        <f>IF(B522="","",IFERROR(INDEX(Channels!$S$5:$S$18,MATCH(IF(E522="",DefaultChannel,E522),Channels!$A$5:$A$18,0)),0))</f>
        <v>0</v>
      </c>
      <c r="AB522" s="20">
        <f>IF(B522="","",IFERROR(INDEX(Channels!$T$5:$T$18,MATCH(IF(E522="",DefaultChannel,E522),Channels!$A$5:$A$18,0)),0))</f>
        <v>0</v>
      </c>
      <c r="AC522" s="42">
        <f>IF(B522="","",IFERROR(INDEX(Channels!$O$5:$O$18,MATCH(IF(E522="",DefaultChannel,E522),Channels!$A$5:$A$18,0)),"No"))</f>
        <v>0</v>
      </c>
      <c r="AD522" s="20">
        <f>IF(B522="","",ROUND((V522+IF(AC522="Yes",IF(I522="",0,I522),0))*AA522+AB522,2))</f>
        <v>0</v>
      </c>
      <c r="AE522" s="20">
        <f>IF(B522="","",IF(K522&lt;&gt;"",K522,AD522))</f>
        <v>0</v>
      </c>
      <c r="AF522" s="20">
        <f>IF(B522="","",IF(K522="","",ROUND(K522-AD522,2)))</f>
        <v>0</v>
      </c>
      <c r="AG522" s="20">
        <f>IF(B522="","",ROUND(V522-Y522-AE522-Z522,2))</f>
        <v>0</v>
      </c>
      <c r="AH522" s="33">
        <f>IF(B522="","",IF(OR(V522="",V522=0),"",AG522/V522))</f>
        <v>0</v>
      </c>
      <c r="AI522" s="33">
        <f>IF(C522="","",IFERROR(INDEX(Products!$AW$5:$AW$304,MATCH(C522,Products!$A$5:$A$304,0)),""))</f>
        <v>0</v>
      </c>
      <c r="AJ522" s="33">
        <f>IF(B522="","",IF(OR(AH522="",AI522=""),"",AH522-AI522))</f>
        <v>0</v>
      </c>
      <c r="AK522" s="41">
        <f>IF(B522="","",IFERROR(ROUND(IF(D522="",0,D522)*INDEX(Products!$X$5:$X$304,MATCH(C522,Products!$A$5:$A$304,0))/60,2),""))</f>
        <v>0</v>
      </c>
      <c r="AL522" s="20">
        <f>IF(B522="","",IF(OR(AK522="",AK522=0),"",ROUND(AG522/AK522,2)))</f>
        <v>0</v>
      </c>
      <c r="AM522" s="43">
        <f>IF(B522="","",IF(C522="","Add - which product?",IF(AG522&lt;0,"Loss - this order cost you money",IF(M522="Refunded","Refunded - check why",IF(AND(AF522&lt;&gt;"",AF522&gt;0.25),"Check - fees higher than your settings",IF(Z522&gt;1,"Check - postage is eating the margin",IF(AND(AH522&lt;&gt;"",AH522&lt;MarginWarning),"Low margin on this order","OK")))))) )</f>
        <v>0</v>
      </c>
    </row>
    <row r="523" spans="1:39">
      <c r="A523" s="38">
        <f>IF(B523="","",SalePrefix&amp;TEXT(ROW()-4,"0000"))</f>
        <v>0</v>
      </c>
      <c r="Q523" s="13">
        <f>IF(C523="","",IFERROR(INDEX(Products!$B$5:$B$304,MATCH(C523,Products!$A$5:$A$304,0)),"Bundle or deleted"))</f>
        <v>0</v>
      </c>
      <c r="R523" s="13">
        <f>IF(B523="","",TEXT(B523,"yyyy-mm"))</f>
        <v>0</v>
      </c>
      <c r="S523" s="20">
        <f>IF(C523="","",IFERROR(INDEX(Products!$AR$5:$AR$304,MATCH(C523,Products!$A$5:$A$304,0)),""))</f>
        <v>0</v>
      </c>
      <c r="T523" s="20">
        <f>IF(B523="","",IF(F523&lt;&gt;"",F523,IF(S523="",0,S523)))</f>
        <v>0</v>
      </c>
      <c r="U523" s="20">
        <f>IF(B523="","",ROUND(IF(D523="",0,D523)*T523,2))</f>
        <v>0</v>
      </c>
      <c r="V523" s="20">
        <f>IF(B523="","",ROUND(U523-IF(G523="",0,G523)-IF(L523="",0,L523),2))</f>
        <v>0</v>
      </c>
      <c r="W523" s="20">
        <f>IF(C523="","",IFERROR(INDEX(Products!$AT$5:$AT$304,MATCH(C523,Products!$A$5:$A$304,0)),""))</f>
        <v>0</v>
      </c>
      <c r="X523" s="20">
        <f>IF(C523="","",IFERROR(INDEX(Products!$AG$5:$AG$304,MATCH(C523,Products!$A$5:$A$304,0)),""))</f>
        <v>0</v>
      </c>
      <c r="Y523" s="20">
        <f>IF(B523="","",ROUND(IF(D523="",0,D523)*MAX(0,IF(W523="",0,W523)-IF(X523="",0,X523)),2))</f>
        <v>0</v>
      </c>
      <c r="Z523" s="20">
        <f>IF(B523="","",ROUND(MAX(0,IF(J523="",0,J523)-IF(I523="",0,I523)),2))</f>
        <v>0</v>
      </c>
      <c r="AA523" s="33">
        <f>IF(B523="","",IFERROR(INDEX(Channels!$S$5:$S$18,MATCH(IF(E523="",DefaultChannel,E523),Channels!$A$5:$A$18,0)),0))</f>
        <v>0</v>
      </c>
      <c r="AB523" s="20">
        <f>IF(B523="","",IFERROR(INDEX(Channels!$T$5:$T$18,MATCH(IF(E523="",DefaultChannel,E523),Channels!$A$5:$A$18,0)),0))</f>
        <v>0</v>
      </c>
      <c r="AC523" s="42">
        <f>IF(B523="","",IFERROR(INDEX(Channels!$O$5:$O$18,MATCH(IF(E523="",DefaultChannel,E523),Channels!$A$5:$A$18,0)),"No"))</f>
        <v>0</v>
      </c>
      <c r="AD523" s="20">
        <f>IF(B523="","",ROUND((V523+IF(AC523="Yes",IF(I523="",0,I523),0))*AA523+AB523,2))</f>
        <v>0</v>
      </c>
      <c r="AE523" s="20">
        <f>IF(B523="","",IF(K523&lt;&gt;"",K523,AD523))</f>
        <v>0</v>
      </c>
      <c r="AF523" s="20">
        <f>IF(B523="","",IF(K523="","",ROUND(K523-AD523,2)))</f>
        <v>0</v>
      </c>
      <c r="AG523" s="20">
        <f>IF(B523="","",ROUND(V523-Y523-AE523-Z523,2))</f>
        <v>0</v>
      </c>
      <c r="AH523" s="33">
        <f>IF(B523="","",IF(OR(V523="",V523=0),"",AG523/V523))</f>
        <v>0</v>
      </c>
      <c r="AI523" s="33">
        <f>IF(C523="","",IFERROR(INDEX(Products!$AW$5:$AW$304,MATCH(C523,Products!$A$5:$A$304,0)),""))</f>
        <v>0</v>
      </c>
      <c r="AJ523" s="33">
        <f>IF(B523="","",IF(OR(AH523="",AI523=""),"",AH523-AI523))</f>
        <v>0</v>
      </c>
      <c r="AK523" s="41">
        <f>IF(B523="","",IFERROR(ROUND(IF(D523="",0,D523)*INDEX(Products!$X$5:$X$304,MATCH(C523,Products!$A$5:$A$304,0))/60,2),""))</f>
        <v>0</v>
      </c>
      <c r="AL523" s="20">
        <f>IF(B523="","",IF(OR(AK523="",AK523=0),"",ROUND(AG523/AK523,2)))</f>
        <v>0</v>
      </c>
      <c r="AM523" s="43">
        <f>IF(B523="","",IF(C523="","Add - which product?",IF(AG523&lt;0,"Loss - this order cost you money",IF(M523="Refunded","Refunded - check why",IF(AND(AF523&lt;&gt;"",AF523&gt;0.25),"Check - fees higher than your settings",IF(Z523&gt;1,"Check - postage is eating the margin",IF(AND(AH523&lt;&gt;"",AH523&lt;MarginWarning),"Low margin on this order","OK")))))) )</f>
        <v>0</v>
      </c>
    </row>
    <row r="524" spans="1:39">
      <c r="A524" s="38">
        <f>IF(B524="","",SalePrefix&amp;TEXT(ROW()-4,"0000"))</f>
        <v>0</v>
      </c>
      <c r="Q524" s="13">
        <f>IF(C524="","",IFERROR(INDEX(Products!$B$5:$B$304,MATCH(C524,Products!$A$5:$A$304,0)),"Bundle or deleted"))</f>
        <v>0</v>
      </c>
      <c r="R524" s="13">
        <f>IF(B524="","",TEXT(B524,"yyyy-mm"))</f>
        <v>0</v>
      </c>
      <c r="S524" s="20">
        <f>IF(C524="","",IFERROR(INDEX(Products!$AR$5:$AR$304,MATCH(C524,Products!$A$5:$A$304,0)),""))</f>
        <v>0</v>
      </c>
      <c r="T524" s="20">
        <f>IF(B524="","",IF(F524&lt;&gt;"",F524,IF(S524="",0,S524)))</f>
        <v>0</v>
      </c>
      <c r="U524" s="20">
        <f>IF(B524="","",ROUND(IF(D524="",0,D524)*T524,2))</f>
        <v>0</v>
      </c>
      <c r="V524" s="20">
        <f>IF(B524="","",ROUND(U524-IF(G524="",0,G524)-IF(L524="",0,L524),2))</f>
        <v>0</v>
      </c>
      <c r="W524" s="20">
        <f>IF(C524="","",IFERROR(INDEX(Products!$AT$5:$AT$304,MATCH(C524,Products!$A$5:$A$304,0)),""))</f>
        <v>0</v>
      </c>
      <c r="X524" s="20">
        <f>IF(C524="","",IFERROR(INDEX(Products!$AG$5:$AG$304,MATCH(C524,Products!$A$5:$A$304,0)),""))</f>
        <v>0</v>
      </c>
      <c r="Y524" s="20">
        <f>IF(B524="","",ROUND(IF(D524="",0,D524)*MAX(0,IF(W524="",0,W524)-IF(X524="",0,X524)),2))</f>
        <v>0</v>
      </c>
      <c r="Z524" s="20">
        <f>IF(B524="","",ROUND(MAX(0,IF(J524="",0,J524)-IF(I524="",0,I524)),2))</f>
        <v>0</v>
      </c>
      <c r="AA524" s="33">
        <f>IF(B524="","",IFERROR(INDEX(Channels!$S$5:$S$18,MATCH(IF(E524="",DefaultChannel,E524),Channels!$A$5:$A$18,0)),0))</f>
        <v>0</v>
      </c>
      <c r="AB524" s="20">
        <f>IF(B524="","",IFERROR(INDEX(Channels!$T$5:$T$18,MATCH(IF(E524="",DefaultChannel,E524),Channels!$A$5:$A$18,0)),0))</f>
        <v>0</v>
      </c>
      <c r="AC524" s="42">
        <f>IF(B524="","",IFERROR(INDEX(Channels!$O$5:$O$18,MATCH(IF(E524="",DefaultChannel,E524),Channels!$A$5:$A$18,0)),"No"))</f>
        <v>0</v>
      </c>
      <c r="AD524" s="20">
        <f>IF(B524="","",ROUND((V524+IF(AC524="Yes",IF(I524="",0,I524),0))*AA524+AB524,2))</f>
        <v>0</v>
      </c>
      <c r="AE524" s="20">
        <f>IF(B524="","",IF(K524&lt;&gt;"",K524,AD524))</f>
        <v>0</v>
      </c>
      <c r="AF524" s="20">
        <f>IF(B524="","",IF(K524="","",ROUND(K524-AD524,2)))</f>
        <v>0</v>
      </c>
      <c r="AG524" s="20">
        <f>IF(B524="","",ROUND(V524-Y524-AE524-Z524,2))</f>
        <v>0</v>
      </c>
      <c r="AH524" s="33">
        <f>IF(B524="","",IF(OR(V524="",V524=0),"",AG524/V524))</f>
        <v>0</v>
      </c>
      <c r="AI524" s="33">
        <f>IF(C524="","",IFERROR(INDEX(Products!$AW$5:$AW$304,MATCH(C524,Products!$A$5:$A$304,0)),""))</f>
        <v>0</v>
      </c>
      <c r="AJ524" s="33">
        <f>IF(B524="","",IF(OR(AH524="",AI524=""),"",AH524-AI524))</f>
        <v>0</v>
      </c>
      <c r="AK524" s="41">
        <f>IF(B524="","",IFERROR(ROUND(IF(D524="",0,D524)*INDEX(Products!$X$5:$X$304,MATCH(C524,Products!$A$5:$A$304,0))/60,2),""))</f>
        <v>0</v>
      </c>
      <c r="AL524" s="20">
        <f>IF(B524="","",IF(OR(AK524="",AK524=0),"",ROUND(AG524/AK524,2)))</f>
        <v>0</v>
      </c>
      <c r="AM524" s="43">
        <f>IF(B524="","",IF(C524="","Add - which product?",IF(AG524&lt;0,"Loss - this order cost you money",IF(M524="Refunded","Refunded - check why",IF(AND(AF524&lt;&gt;"",AF524&gt;0.25),"Check - fees higher than your settings",IF(Z524&gt;1,"Check - postage is eating the margin",IF(AND(AH524&lt;&gt;"",AH524&lt;MarginWarning),"Low margin on this order","OK")))))) )</f>
        <v>0</v>
      </c>
    </row>
    <row r="525" spans="1:39">
      <c r="A525" s="38">
        <f>IF(B525="","",SalePrefix&amp;TEXT(ROW()-4,"0000"))</f>
        <v>0</v>
      </c>
      <c r="Q525" s="13">
        <f>IF(C525="","",IFERROR(INDEX(Products!$B$5:$B$304,MATCH(C525,Products!$A$5:$A$304,0)),"Bundle or deleted"))</f>
        <v>0</v>
      </c>
      <c r="R525" s="13">
        <f>IF(B525="","",TEXT(B525,"yyyy-mm"))</f>
        <v>0</v>
      </c>
      <c r="S525" s="20">
        <f>IF(C525="","",IFERROR(INDEX(Products!$AR$5:$AR$304,MATCH(C525,Products!$A$5:$A$304,0)),""))</f>
        <v>0</v>
      </c>
      <c r="T525" s="20">
        <f>IF(B525="","",IF(F525&lt;&gt;"",F525,IF(S525="",0,S525)))</f>
        <v>0</v>
      </c>
      <c r="U525" s="20">
        <f>IF(B525="","",ROUND(IF(D525="",0,D525)*T525,2))</f>
        <v>0</v>
      </c>
      <c r="V525" s="20">
        <f>IF(B525="","",ROUND(U525-IF(G525="",0,G525)-IF(L525="",0,L525),2))</f>
        <v>0</v>
      </c>
      <c r="W525" s="20">
        <f>IF(C525="","",IFERROR(INDEX(Products!$AT$5:$AT$304,MATCH(C525,Products!$A$5:$A$304,0)),""))</f>
        <v>0</v>
      </c>
      <c r="X525" s="20">
        <f>IF(C525="","",IFERROR(INDEX(Products!$AG$5:$AG$304,MATCH(C525,Products!$A$5:$A$304,0)),""))</f>
        <v>0</v>
      </c>
      <c r="Y525" s="20">
        <f>IF(B525="","",ROUND(IF(D525="",0,D525)*MAX(0,IF(W525="",0,W525)-IF(X525="",0,X525)),2))</f>
        <v>0</v>
      </c>
      <c r="Z525" s="20">
        <f>IF(B525="","",ROUND(MAX(0,IF(J525="",0,J525)-IF(I525="",0,I525)),2))</f>
        <v>0</v>
      </c>
      <c r="AA525" s="33">
        <f>IF(B525="","",IFERROR(INDEX(Channels!$S$5:$S$18,MATCH(IF(E525="",DefaultChannel,E525),Channels!$A$5:$A$18,0)),0))</f>
        <v>0</v>
      </c>
      <c r="AB525" s="20">
        <f>IF(B525="","",IFERROR(INDEX(Channels!$T$5:$T$18,MATCH(IF(E525="",DefaultChannel,E525),Channels!$A$5:$A$18,0)),0))</f>
        <v>0</v>
      </c>
      <c r="AC525" s="42">
        <f>IF(B525="","",IFERROR(INDEX(Channels!$O$5:$O$18,MATCH(IF(E525="",DefaultChannel,E525),Channels!$A$5:$A$18,0)),"No"))</f>
        <v>0</v>
      </c>
      <c r="AD525" s="20">
        <f>IF(B525="","",ROUND((V525+IF(AC525="Yes",IF(I525="",0,I525),0))*AA525+AB525,2))</f>
        <v>0</v>
      </c>
      <c r="AE525" s="20">
        <f>IF(B525="","",IF(K525&lt;&gt;"",K525,AD525))</f>
        <v>0</v>
      </c>
      <c r="AF525" s="20">
        <f>IF(B525="","",IF(K525="","",ROUND(K525-AD525,2)))</f>
        <v>0</v>
      </c>
      <c r="AG525" s="20">
        <f>IF(B525="","",ROUND(V525-Y525-AE525-Z525,2))</f>
        <v>0</v>
      </c>
      <c r="AH525" s="33">
        <f>IF(B525="","",IF(OR(V525="",V525=0),"",AG525/V525))</f>
        <v>0</v>
      </c>
      <c r="AI525" s="33">
        <f>IF(C525="","",IFERROR(INDEX(Products!$AW$5:$AW$304,MATCH(C525,Products!$A$5:$A$304,0)),""))</f>
        <v>0</v>
      </c>
      <c r="AJ525" s="33">
        <f>IF(B525="","",IF(OR(AH525="",AI525=""),"",AH525-AI525))</f>
        <v>0</v>
      </c>
      <c r="AK525" s="41">
        <f>IF(B525="","",IFERROR(ROUND(IF(D525="",0,D525)*INDEX(Products!$X$5:$X$304,MATCH(C525,Products!$A$5:$A$304,0))/60,2),""))</f>
        <v>0</v>
      </c>
      <c r="AL525" s="20">
        <f>IF(B525="","",IF(OR(AK525="",AK525=0),"",ROUND(AG525/AK525,2)))</f>
        <v>0</v>
      </c>
      <c r="AM525" s="43">
        <f>IF(B525="","",IF(C525="","Add - which product?",IF(AG525&lt;0,"Loss - this order cost you money",IF(M525="Refunded","Refunded - check why",IF(AND(AF525&lt;&gt;"",AF525&gt;0.25),"Check - fees higher than your settings",IF(Z525&gt;1,"Check - postage is eating the margin",IF(AND(AH525&lt;&gt;"",AH525&lt;MarginWarning),"Low margin on this order","OK")))))) )</f>
        <v>0</v>
      </c>
    </row>
    <row r="526" spans="1:39">
      <c r="A526" s="38">
        <f>IF(B526="","",SalePrefix&amp;TEXT(ROW()-4,"0000"))</f>
        <v>0</v>
      </c>
      <c r="Q526" s="13">
        <f>IF(C526="","",IFERROR(INDEX(Products!$B$5:$B$304,MATCH(C526,Products!$A$5:$A$304,0)),"Bundle or deleted"))</f>
        <v>0</v>
      </c>
      <c r="R526" s="13">
        <f>IF(B526="","",TEXT(B526,"yyyy-mm"))</f>
        <v>0</v>
      </c>
      <c r="S526" s="20">
        <f>IF(C526="","",IFERROR(INDEX(Products!$AR$5:$AR$304,MATCH(C526,Products!$A$5:$A$304,0)),""))</f>
        <v>0</v>
      </c>
      <c r="T526" s="20">
        <f>IF(B526="","",IF(F526&lt;&gt;"",F526,IF(S526="",0,S526)))</f>
        <v>0</v>
      </c>
      <c r="U526" s="20">
        <f>IF(B526="","",ROUND(IF(D526="",0,D526)*T526,2))</f>
        <v>0</v>
      </c>
      <c r="V526" s="20">
        <f>IF(B526="","",ROUND(U526-IF(G526="",0,G526)-IF(L526="",0,L526),2))</f>
        <v>0</v>
      </c>
      <c r="W526" s="20">
        <f>IF(C526="","",IFERROR(INDEX(Products!$AT$5:$AT$304,MATCH(C526,Products!$A$5:$A$304,0)),""))</f>
        <v>0</v>
      </c>
      <c r="X526" s="20">
        <f>IF(C526="","",IFERROR(INDEX(Products!$AG$5:$AG$304,MATCH(C526,Products!$A$5:$A$304,0)),""))</f>
        <v>0</v>
      </c>
      <c r="Y526" s="20">
        <f>IF(B526="","",ROUND(IF(D526="",0,D526)*MAX(0,IF(W526="",0,W526)-IF(X526="",0,X526)),2))</f>
        <v>0</v>
      </c>
      <c r="Z526" s="20">
        <f>IF(B526="","",ROUND(MAX(0,IF(J526="",0,J526)-IF(I526="",0,I526)),2))</f>
        <v>0</v>
      </c>
      <c r="AA526" s="33">
        <f>IF(B526="","",IFERROR(INDEX(Channels!$S$5:$S$18,MATCH(IF(E526="",DefaultChannel,E526),Channels!$A$5:$A$18,0)),0))</f>
        <v>0</v>
      </c>
      <c r="AB526" s="20">
        <f>IF(B526="","",IFERROR(INDEX(Channels!$T$5:$T$18,MATCH(IF(E526="",DefaultChannel,E526),Channels!$A$5:$A$18,0)),0))</f>
        <v>0</v>
      </c>
      <c r="AC526" s="42">
        <f>IF(B526="","",IFERROR(INDEX(Channels!$O$5:$O$18,MATCH(IF(E526="",DefaultChannel,E526),Channels!$A$5:$A$18,0)),"No"))</f>
        <v>0</v>
      </c>
      <c r="AD526" s="20">
        <f>IF(B526="","",ROUND((V526+IF(AC526="Yes",IF(I526="",0,I526),0))*AA526+AB526,2))</f>
        <v>0</v>
      </c>
      <c r="AE526" s="20">
        <f>IF(B526="","",IF(K526&lt;&gt;"",K526,AD526))</f>
        <v>0</v>
      </c>
      <c r="AF526" s="20">
        <f>IF(B526="","",IF(K526="","",ROUND(K526-AD526,2)))</f>
        <v>0</v>
      </c>
      <c r="AG526" s="20">
        <f>IF(B526="","",ROUND(V526-Y526-AE526-Z526,2))</f>
        <v>0</v>
      </c>
      <c r="AH526" s="33">
        <f>IF(B526="","",IF(OR(V526="",V526=0),"",AG526/V526))</f>
        <v>0</v>
      </c>
      <c r="AI526" s="33">
        <f>IF(C526="","",IFERROR(INDEX(Products!$AW$5:$AW$304,MATCH(C526,Products!$A$5:$A$304,0)),""))</f>
        <v>0</v>
      </c>
      <c r="AJ526" s="33">
        <f>IF(B526="","",IF(OR(AH526="",AI526=""),"",AH526-AI526))</f>
        <v>0</v>
      </c>
      <c r="AK526" s="41">
        <f>IF(B526="","",IFERROR(ROUND(IF(D526="",0,D526)*INDEX(Products!$X$5:$X$304,MATCH(C526,Products!$A$5:$A$304,0))/60,2),""))</f>
        <v>0</v>
      </c>
      <c r="AL526" s="20">
        <f>IF(B526="","",IF(OR(AK526="",AK526=0),"",ROUND(AG526/AK526,2)))</f>
        <v>0</v>
      </c>
      <c r="AM526" s="43">
        <f>IF(B526="","",IF(C526="","Add - which product?",IF(AG526&lt;0,"Loss - this order cost you money",IF(M526="Refunded","Refunded - check why",IF(AND(AF526&lt;&gt;"",AF526&gt;0.25),"Check - fees higher than your settings",IF(Z526&gt;1,"Check - postage is eating the margin",IF(AND(AH526&lt;&gt;"",AH526&lt;MarginWarning),"Low margin on this order","OK")))))) )</f>
        <v>0</v>
      </c>
    </row>
    <row r="527" spans="1:39">
      <c r="A527" s="38">
        <f>IF(B527="","",SalePrefix&amp;TEXT(ROW()-4,"0000"))</f>
        <v>0</v>
      </c>
      <c r="Q527" s="13">
        <f>IF(C527="","",IFERROR(INDEX(Products!$B$5:$B$304,MATCH(C527,Products!$A$5:$A$304,0)),"Bundle or deleted"))</f>
        <v>0</v>
      </c>
      <c r="R527" s="13">
        <f>IF(B527="","",TEXT(B527,"yyyy-mm"))</f>
        <v>0</v>
      </c>
      <c r="S527" s="20">
        <f>IF(C527="","",IFERROR(INDEX(Products!$AR$5:$AR$304,MATCH(C527,Products!$A$5:$A$304,0)),""))</f>
        <v>0</v>
      </c>
      <c r="T527" s="20">
        <f>IF(B527="","",IF(F527&lt;&gt;"",F527,IF(S527="",0,S527)))</f>
        <v>0</v>
      </c>
      <c r="U527" s="20">
        <f>IF(B527="","",ROUND(IF(D527="",0,D527)*T527,2))</f>
        <v>0</v>
      </c>
      <c r="V527" s="20">
        <f>IF(B527="","",ROUND(U527-IF(G527="",0,G527)-IF(L527="",0,L527),2))</f>
        <v>0</v>
      </c>
      <c r="W527" s="20">
        <f>IF(C527="","",IFERROR(INDEX(Products!$AT$5:$AT$304,MATCH(C527,Products!$A$5:$A$304,0)),""))</f>
        <v>0</v>
      </c>
      <c r="X527" s="20">
        <f>IF(C527="","",IFERROR(INDEX(Products!$AG$5:$AG$304,MATCH(C527,Products!$A$5:$A$304,0)),""))</f>
        <v>0</v>
      </c>
      <c r="Y527" s="20">
        <f>IF(B527="","",ROUND(IF(D527="",0,D527)*MAX(0,IF(W527="",0,W527)-IF(X527="",0,X527)),2))</f>
        <v>0</v>
      </c>
      <c r="Z527" s="20">
        <f>IF(B527="","",ROUND(MAX(0,IF(J527="",0,J527)-IF(I527="",0,I527)),2))</f>
        <v>0</v>
      </c>
      <c r="AA527" s="33">
        <f>IF(B527="","",IFERROR(INDEX(Channels!$S$5:$S$18,MATCH(IF(E527="",DefaultChannel,E527),Channels!$A$5:$A$18,0)),0))</f>
        <v>0</v>
      </c>
      <c r="AB527" s="20">
        <f>IF(B527="","",IFERROR(INDEX(Channels!$T$5:$T$18,MATCH(IF(E527="",DefaultChannel,E527),Channels!$A$5:$A$18,0)),0))</f>
        <v>0</v>
      </c>
      <c r="AC527" s="42">
        <f>IF(B527="","",IFERROR(INDEX(Channels!$O$5:$O$18,MATCH(IF(E527="",DefaultChannel,E527),Channels!$A$5:$A$18,0)),"No"))</f>
        <v>0</v>
      </c>
      <c r="AD527" s="20">
        <f>IF(B527="","",ROUND((V527+IF(AC527="Yes",IF(I527="",0,I527),0))*AA527+AB527,2))</f>
        <v>0</v>
      </c>
      <c r="AE527" s="20">
        <f>IF(B527="","",IF(K527&lt;&gt;"",K527,AD527))</f>
        <v>0</v>
      </c>
      <c r="AF527" s="20">
        <f>IF(B527="","",IF(K527="","",ROUND(K527-AD527,2)))</f>
        <v>0</v>
      </c>
      <c r="AG527" s="20">
        <f>IF(B527="","",ROUND(V527-Y527-AE527-Z527,2))</f>
        <v>0</v>
      </c>
      <c r="AH527" s="33">
        <f>IF(B527="","",IF(OR(V527="",V527=0),"",AG527/V527))</f>
        <v>0</v>
      </c>
      <c r="AI527" s="33">
        <f>IF(C527="","",IFERROR(INDEX(Products!$AW$5:$AW$304,MATCH(C527,Products!$A$5:$A$304,0)),""))</f>
        <v>0</v>
      </c>
      <c r="AJ527" s="33">
        <f>IF(B527="","",IF(OR(AH527="",AI527=""),"",AH527-AI527))</f>
        <v>0</v>
      </c>
      <c r="AK527" s="41">
        <f>IF(B527="","",IFERROR(ROUND(IF(D527="",0,D527)*INDEX(Products!$X$5:$X$304,MATCH(C527,Products!$A$5:$A$304,0))/60,2),""))</f>
        <v>0</v>
      </c>
      <c r="AL527" s="20">
        <f>IF(B527="","",IF(OR(AK527="",AK527=0),"",ROUND(AG527/AK527,2)))</f>
        <v>0</v>
      </c>
      <c r="AM527" s="43">
        <f>IF(B527="","",IF(C527="","Add - which product?",IF(AG527&lt;0,"Loss - this order cost you money",IF(M527="Refunded","Refunded - check why",IF(AND(AF527&lt;&gt;"",AF527&gt;0.25),"Check - fees higher than your settings",IF(Z527&gt;1,"Check - postage is eating the margin",IF(AND(AH527&lt;&gt;"",AH527&lt;MarginWarning),"Low margin on this order","OK")))))) )</f>
        <v>0</v>
      </c>
    </row>
    <row r="528" spans="1:39">
      <c r="A528" s="38">
        <f>IF(B528="","",SalePrefix&amp;TEXT(ROW()-4,"0000"))</f>
        <v>0</v>
      </c>
      <c r="Q528" s="13">
        <f>IF(C528="","",IFERROR(INDEX(Products!$B$5:$B$304,MATCH(C528,Products!$A$5:$A$304,0)),"Bundle or deleted"))</f>
        <v>0</v>
      </c>
      <c r="R528" s="13">
        <f>IF(B528="","",TEXT(B528,"yyyy-mm"))</f>
        <v>0</v>
      </c>
      <c r="S528" s="20">
        <f>IF(C528="","",IFERROR(INDEX(Products!$AR$5:$AR$304,MATCH(C528,Products!$A$5:$A$304,0)),""))</f>
        <v>0</v>
      </c>
      <c r="T528" s="20">
        <f>IF(B528="","",IF(F528&lt;&gt;"",F528,IF(S528="",0,S528)))</f>
        <v>0</v>
      </c>
      <c r="U528" s="20">
        <f>IF(B528="","",ROUND(IF(D528="",0,D528)*T528,2))</f>
        <v>0</v>
      </c>
      <c r="V528" s="20">
        <f>IF(B528="","",ROUND(U528-IF(G528="",0,G528)-IF(L528="",0,L528),2))</f>
        <v>0</v>
      </c>
      <c r="W528" s="20">
        <f>IF(C528="","",IFERROR(INDEX(Products!$AT$5:$AT$304,MATCH(C528,Products!$A$5:$A$304,0)),""))</f>
        <v>0</v>
      </c>
      <c r="X528" s="20">
        <f>IF(C528="","",IFERROR(INDEX(Products!$AG$5:$AG$304,MATCH(C528,Products!$A$5:$A$304,0)),""))</f>
        <v>0</v>
      </c>
      <c r="Y528" s="20">
        <f>IF(B528="","",ROUND(IF(D528="",0,D528)*MAX(0,IF(W528="",0,W528)-IF(X528="",0,X528)),2))</f>
        <v>0</v>
      </c>
      <c r="Z528" s="20">
        <f>IF(B528="","",ROUND(MAX(0,IF(J528="",0,J528)-IF(I528="",0,I528)),2))</f>
        <v>0</v>
      </c>
      <c r="AA528" s="33">
        <f>IF(B528="","",IFERROR(INDEX(Channels!$S$5:$S$18,MATCH(IF(E528="",DefaultChannel,E528),Channels!$A$5:$A$18,0)),0))</f>
        <v>0</v>
      </c>
      <c r="AB528" s="20">
        <f>IF(B528="","",IFERROR(INDEX(Channels!$T$5:$T$18,MATCH(IF(E528="",DefaultChannel,E528),Channels!$A$5:$A$18,0)),0))</f>
        <v>0</v>
      </c>
      <c r="AC528" s="42">
        <f>IF(B528="","",IFERROR(INDEX(Channels!$O$5:$O$18,MATCH(IF(E528="",DefaultChannel,E528),Channels!$A$5:$A$18,0)),"No"))</f>
        <v>0</v>
      </c>
      <c r="AD528" s="20">
        <f>IF(B528="","",ROUND((V528+IF(AC528="Yes",IF(I528="",0,I528),0))*AA528+AB528,2))</f>
        <v>0</v>
      </c>
      <c r="AE528" s="20">
        <f>IF(B528="","",IF(K528&lt;&gt;"",K528,AD528))</f>
        <v>0</v>
      </c>
      <c r="AF528" s="20">
        <f>IF(B528="","",IF(K528="","",ROUND(K528-AD528,2)))</f>
        <v>0</v>
      </c>
      <c r="AG528" s="20">
        <f>IF(B528="","",ROUND(V528-Y528-AE528-Z528,2))</f>
        <v>0</v>
      </c>
      <c r="AH528" s="33">
        <f>IF(B528="","",IF(OR(V528="",V528=0),"",AG528/V528))</f>
        <v>0</v>
      </c>
      <c r="AI528" s="33">
        <f>IF(C528="","",IFERROR(INDEX(Products!$AW$5:$AW$304,MATCH(C528,Products!$A$5:$A$304,0)),""))</f>
        <v>0</v>
      </c>
      <c r="AJ528" s="33">
        <f>IF(B528="","",IF(OR(AH528="",AI528=""),"",AH528-AI528))</f>
        <v>0</v>
      </c>
      <c r="AK528" s="41">
        <f>IF(B528="","",IFERROR(ROUND(IF(D528="",0,D528)*INDEX(Products!$X$5:$X$304,MATCH(C528,Products!$A$5:$A$304,0))/60,2),""))</f>
        <v>0</v>
      </c>
      <c r="AL528" s="20">
        <f>IF(B528="","",IF(OR(AK528="",AK528=0),"",ROUND(AG528/AK528,2)))</f>
        <v>0</v>
      </c>
      <c r="AM528" s="43">
        <f>IF(B528="","",IF(C528="","Add - which product?",IF(AG528&lt;0,"Loss - this order cost you money",IF(M528="Refunded","Refunded - check why",IF(AND(AF528&lt;&gt;"",AF528&gt;0.25),"Check - fees higher than your settings",IF(Z528&gt;1,"Check - postage is eating the margin",IF(AND(AH528&lt;&gt;"",AH528&lt;MarginWarning),"Low margin on this order","OK")))))) )</f>
        <v>0</v>
      </c>
    </row>
    <row r="529" spans="1:39">
      <c r="A529" s="38">
        <f>IF(B529="","",SalePrefix&amp;TEXT(ROW()-4,"0000"))</f>
        <v>0</v>
      </c>
      <c r="Q529" s="13">
        <f>IF(C529="","",IFERROR(INDEX(Products!$B$5:$B$304,MATCH(C529,Products!$A$5:$A$304,0)),"Bundle or deleted"))</f>
        <v>0</v>
      </c>
      <c r="R529" s="13">
        <f>IF(B529="","",TEXT(B529,"yyyy-mm"))</f>
        <v>0</v>
      </c>
      <c r="S529" s="20">
        <f>IF(C529="","",IFERROR(INDEX(Products!$AR$5:$AR$304,MATCH(C529,Products!$A$5:$A$304,0)),""))</f>
        <v>0</v>
      </c>
      <c r="T529" s="20">
        <f>IF(B529="","",IF(F529&lt;&gt;"",F529,IF(S529="",0,S529)))</f>
        <v>0</v>
      </c>
      <c r="U529" s="20">
        <f>IF(B529="","",ROUND(IF(D529="",0,D529)*T529,2))</f>
        <v>0</v>
      </c>
      <c r="V529" s="20">
        <f>IF(B529="","",ROUND(U529-IF(G529="",0,G529)-IF(L529="",0,L529),2))</f>
        <v>0</v>
      </c>
      <c r="W529" s="20">
        <f>IF(C529="","",IFERROR(INDEX(Products!$AT$5:$AT$304,MATCH(C529,Products!$A$5:$A$304,0)),""))</f>
        <v>0</v>
      </c>
      <c r="X529" s="20">
        <f>IF(C529="","",IFERROR(INDEX(Products!$AG$5:$AG$304,MATCH(C529,Products!$A$5:$A$304,0)),""))</f>
        <v>0</v>
      </c>
      <c r="Y529" s="20">
        <f>IF(B529="","",ROUND(IF(D529="",0,D529)*MAX(0,IF(W529="",0,W529)-IF(X529="",0,X529)),2))</f>
        <v>0</v>
      </c>
      <c r="Z529" s="20">
        <f>IF(B529="","",ROUND(MAX(0,IF(J529="",0,J529)-IF(I529="",0,I529)),2))</f>
        <v>0</v>
      </c>
      <c r="AA529" s="33">
        <f>IF(B529="","",IFERROR(INDEX(Channels!$S$5:$S$18,MATCH(IF(E529="",DefaultChannel,E529),Channels!$A$5:$A$18,0)),0))</f>
        <v>0</v>
      </c>
      <c r="AB529" s="20">
        <f>IF(B529="","",IFERROR(INDEX(Channels!$T$5:$T$18,MATCH(IF(E529="",DefaultChannel,E529),Channels!$A$5:$A$18,0)),0))</f>
        <v>0</v>
      </c>
      <c r="AC529" s="42">
        <f>IF(B529="","",IFERROR(INDEX(Channels!$O$5:$O$18,MATCH(IF(E529="",DefaultChannel,E529),Channels!$A$5:$A$18,0)),"No"))</f>
        <v>0</v>
      </c>
      <c r="AD529" s="20">
        <f>IF(B529="","",ROUND((V529+IF(AC529="Yes",IF(I529="",0,I529),0))*AA529+AB529,2))</f>
        <v>0</v>
      </c>
      <c r="AE529" s="20">
        <f>IF(B529="","",IF(K529&lt;&gt;"",K529,AD529))</f>
        <v>0</v>
      </c>
      <c r="AF529" s="20">
        <f>IF(B529="","",IF(K529="","",ROUND(K529-AD529,2)))</f>
        <v>0</v>
      </c>
      <c r="AG529" s="20">
        <f>IF(B529="","",ROUND(V529-Y529-AE529-Z529,2))</f>
        <v>0</v>
      </c>
      <c r="AH529" s="33">
        <f>IF(B529="","",IF(OR(V529="",V529=0),"",AG529/V529))</f>
        <v>0</v>
      </c>
      <c r="AI529" s="33">
        <f>IF(C529="","",IFERROR(INDEX(Products!$AW$5:$AW$304,MATCH(C529,Products!$A$5:$A$304,0)),""))</f>
        <v>0</v>
      </c>
      <c r="AJ529" s="33">
        <f>IF(B529="","",IF(OR(AH529="",AI529=""),"",AH529-AI529))</f>
        <v>0</v>
      </c>
      <c r="AK529" s="41">
        <f>IF(B529="","",IFERROR(ROUND(IF(D529="",0,D529)*INDEX(Products!$X$5:$X$304,MATCH(C529,Products!$A$5:$A$304,0))/60,2),""))</f>
        <v>0</v>
      </c>
      <c r="AL529" s="20">
        <f>IF(B529="","",IF(OR(AK529="",AK529=0),"",ROUND(AG529/AK529,2)))</f>
        <v>0</v>
      </c>
      <c r="AM529" s="43">
        <f>IF(B529="","",IF(C529="","Add - which product?",IF(AG529&lt;0,"Loss - this order cost you money",IF(M529="Refunded","Refunded - check why",IF(AND(AF529&lt;&gt;"",AF529&gt;0.25),"Check - fees higher than your settings",IF(Z529&gt;1,"Check - postage is eating the margin",IF(AND(AH529&lt;&gt;"",AH529&lt;MarginWarning),"Low margin on this order","OK")))))) )</f>
        <v>0</v>
      </c>
    </row>
    <row r="530" spans="1:39">
      <c r="A530" s="38">
        <f>IF(B530="","",SalePrefix&amp;TEXT(ROW()-4,"0000"))</f>
        <v>0</v>
      </c>
      <c r="Q530" s="13">
        <f>IF(C530="","",IFERROR(INDEX(Products!$B$5:$B$304,MATCH(C530,Products!$A$5:$A$304,0)),"Bundle or deleted"))</f>
        <v>0</v>
      </c>
      <c r="R530" s="13">
        <f>IF(B530="","",TEXT(B530,"yyyy-mm"))</f>
        <v>0</v>
      </c>
      <c r="S530" s="20">
        <f>IF(C530="","",IFERROR(INDEX(Products!$AR$5:$AR$304,MATCH(C530,Products!$A$5:$A$304,0)),""))</f>
        <v>0</v>
      </c>
      <c r="T530" s="20">
        <f>IF(B530="","",IF(F530&lt;&gt;"",F530,IF(S530="",0,S530)))</f>
        <v>0</v>
      </c>
      <c r="U530" s="20">
        <f>IF(B530="","",ROUND(IF(D530="",0,D530)*T530,2))</f>
        <v>0</v>
      </c>
      <c r="V530" s="20">
        <f>IF(B530="","",ROUND(U530-IF(G530="",0,G530)-IF(L530="",0,L530),2))</f>
        <v>0</v>
      </c>
      <c r="W530" s="20">
        <f>IF(C530="","",IFERROR(INDEX(Products!$AT$5:$AT$304,MATCH(C530,Products!$A$5:$A$304,0)),""))</f>
        <v>0</v>
      </c>
      <c r="X530" s="20">
        <f>IF(C530="","",IFERROR(INDEX(Products!$AG$5:$AG$304,MATCH(C530,Products!$A$5:$A$304,0)),""))</f>
        <v>0</v>
      </c>
      <c r="Y530" s="20">
        <f>IF(B530="","",ROUND(IF(D530="",0,D530)*MAX(0,IF(W530="",0,W530)-IF(X530="",0,X530)),2))</f>
        <v>0</v>
      </c>
      <c r="Z530" s="20">
        <f>IF(B530="","",ROUND(MAX(0,IF(J530="",0,J530)-IF(I530="",0,I530)),2))</f>
        <v>0</v>
      </c>
      <c r="AA530" s="33">
        <f>IF(B530="","",IFERROR(INDEX(Channels!$S$5:$S$18,MATCH(IF(E530="",DefaultChannel,E530),Channels!$A$5:$A$18,0)),0))</f>
        <v>0</v>
      </c>
      <c r="AB530" s="20">
        <f>IF(B530="","",IFERROR(INDEX(Channels!$T$5:$T$18,MATCH(IF(E530="",DefaultChannel,E530),Channels!$A$5:$A$18,0)),0))</f>
        <v>0</v>
      </c>
      <c r="AC530" s="42">
        <f>IF(B530="","",IFERROR(INDEX(Channels!$O$5:$O$18,MATCH(IF(E530="",DefaultChannel,E530),Channels!$A$5:$A$18,0)),"No"))</f>
        <v>0</v>
      </c>
      <c r="AD530" s="20">
        <f>IF(B530="","",ROUND((V530+IF(AC530="Yes",IF(I530="",0,I530),0))*AA530+AB530,2))</f>
        <v>0</v>
      </c>
      <c r="AE530" s="20">
        <f>IF(B530="","",IF(K530&lt;&gt;"",K530,AD530))</f>
        <v>0</v>
      </c>
      <c r="AF530" s="20">
        <f>IF(B530="","",IF(K530="","",ROUND(K530-AD530,2)))</f>
        <v>0</v>
      </c>
      <c r="AG530" s="20">
        <f>IF(B530="","",ROUND(V530-Y530-AE530-Z530,2))</f>
        <v>0</v>
      </c>
      <c r="AH530" s="33">
        <f>IF(B530="","",IF(OR(V530="",V530=0),"",AG530/V530))</f>
        <v>0</v>
      </c>
      <c r="AI530" s="33">
        <f>IF(C530="","",IFERROR(INDEX(Products!$AW$5:$AW$304,MATCH(C530,Products!$A$5:$A$304,0)),""))</f>
        <v>0</v>
      </c>
      <c r="AJ530" s="33">
        <f>IF(B530="","",IF(OR(AH530="",AI530=""),"",AH530-AI530))</f>
        <v>0</v>
      </c>
      <c r="AK530" s="41">
        <f>IF(B530="","",IFERROR(ROUND(IF(D530="",0,D530)*INDEX(Products!$X$5:$X$304,MATCH(C530,Products!$A$5:$A$304,0))/60,2),""))</f>
        <v>0</v>
      </c>
      <c r="AL530" s="20">
        <f>IF(B530="","",IF(OR(AK530="",AK530=0),"",ROUND(AG530/AK530,2)))</f>
        <v>0</v>
      </c>
      <c r="AM530" s="43">
        <f>IF(B530="","",IF(C530="","Add - which product?",IF(AG530&lt;0,"Loss - this order cost you money",IF(M530="Refunded","Refunded - check why",IF(AND(AF530&lt;&gt;"",AF530&gt;0.25),"Check - fees higher than your settings",IF(Z530&gt;1,"Check - postage is eating the margin",IF(AND(AH530&lt;&gt;"",AH530&lt;MarginWarning),"Low margin on this order","OK")))))) )</f>
        <v>0</v>
      </c>
    </row>
    <row r="531" spans="1:39">
      <c r="A531" s="38">
        <f>IF(B531="","",SalePrefix&amp;TEXT(ROW()-4,"0000"))</f>
        <v>0</v>
      </c>
      <c r="Q531" s="13">
        <f>IF(C531="","",IFERROR(INDEX(Products!$B$5:$B$304,MATCH(C531,Products!$A$5:$A$304,0)),"Bundle or deleted"))</f>
        <v>0</v>
      </c>
      <c r="R531" s="13">
        <f>IF(B531="","",TEXT(B531,"yyyy-mm"))</f>
        <v>0</v>
      </c>
      <c r="S531" s="20">
        <f>IF(C531="","",IFERROR(INDEX(Products!$AR$5:$AR$304,MATCH(C531,Products!$A$5:$A$304,0)),""))</f>
        <v>0</v>
      </c>
      <c r="T531" s="20">
        <f>IF(B531="","",IF(F531&lt;&gt;"",F531,IF(S531="",0,S531)))</f>
        <v>0</v>
      </c>
      <c r="U531" s="20">
        <f>IF(B531="","",ROUND(IF(D531="",0,D531)*T531,2))</f>
        <v>0</v>
      </c>
      <c r="V531" s="20">
        <f>IF(B531="","",ROUND(U531-IF(G531="",0,G531)-IF(L531="",0,L531),2))</f>
        <v>0</v>
      </c>
      <c r="W531" s="20">
        <f>IF(C531="","",IFERROR(INDEX(Products!$AT$5:$AT$304,MATCH(C531,Products!$A$5:$A$304,0)),""))</f>
        <v>0</v>
      </c>
      <c r="X531" s="20">
        <f>IF(C531="","",IFERROR(INDEX(Products!$AG$5:$AG$304,MATCH(C531,Products!$A$5:$A$304,0)),""))</f>
        <v>0</v>
      </c>
      <c r="Y531" s="20">
        <f>IF(B531="","",ROUND(IF(D531="",0,D531)*MAX(0,IF(W531="",0,W531)-IF(X531="",0,X531)),2))</f>
        <v>0</v>
      </c>
      <c r="Z531" s="20">
        <f>IF(B531="","",ROUND(MAX(0,IF(J531="",0,J531)-IF(I531="",0,I531)),2))</f>
        <v>0</v>
      </c>
      <c r="AA531" s="33">
        <f>IF(B531="","",IFERROR(INDEX(Channels!$S$5:$S$18,MATCH(IF(E531="",DefaultChannel,E531),Channels!$A$5:$A$18,0)),0))</f>
        <v>0</v>
      </c>
      <c r="AB531" s="20">
        <f>IF(B531="","",IFERROR(INDEX(Channels!$T$5:$T$18,MATCH(IF(E531="",DefaultChannel,E531),Channels!$A$5:$A$18,0)),0))</f>
        <v>0</v>
      </c>
      <c r="AC531" s="42">
        <f>IF(B531="","",IFERROR(INDEX(Channels!$O$5:$O$18,MATCH(IF(E531="",DefaultChannel,E531),Channels!$A$5:$A$18,0)),"No"))</f>
        <v>0</v>
      </c>
      <c r="AD531" s="20">
        <f>IF(B531="","",ROUND((V531+IF(AC531="Yes",IF(I531="",0,I531),0))*AA531+AB531,2))</f>
        <v>0</v>
      </c>
      <c r="AE531" s="20">
        <f>IF(B531="","",IF(K531&lt;&gt;"",K531,AD531))</f>
        <v>0</v>
      </c>
      <c r="AF531" s="20">
        <f>IF(B531="","",IF(K531="","",ROUND(K531-AD531,2)))</f>
        <v>0</v>
      </c>
      <c r="AG531" s="20">
        <f>IF(B531="","",ROUND(V531-Y531-AE531-Z531,2))</f>
        <v>0</v>
      </c>
      <c r="AH531" s="33">
        <f>IF(B531="","",IF(OR(V531="",V531=0),"",AG531/V531))</f>
        <v>0</v>
      </c>
      <c r="AI531" s="33">
        <f>IF(C531="","",IFERROR(INDEX(Products!$AW$5:$AW$304,MATCH(C531,Products!$A$5:$A$304,0)),""))</f>
        <v>0</v>
      </c>
      <c r="AJ531" s="33">
        <f>IF(B531="","",IF(OR(AH531="",AI531=""),"",AH531-AI531))</f>
        <v>0</v>
      </c>
      <c r="AK531" s="41">
        <f>IF(B531="","",IFERROR(ROUND(IF(D531="",0,D531)*INDEX(Products!$X$5:$X$304,MATCH(C531,Products!$A$5:$A$304,0))/60,2),""))</f>
        <v>0</v>
      </c>
      <c r="AL531" s="20">
        <f>IF(B531="","",IF(OR(AK531="",AK531=0),"",ROUND(AG531/AK531,2)))</f>
        <v>0</v>
      </c>
      <c r="AM531" s="43">
        <f>IF(B531="","",IF(C531="","Add - which product?",IF(AG531&lt;0,"Loss - this order cost you money",IF(M531="Refunded","Refunded - check why",IF(AND(AF531&lt;&gt;"",AF531&gt;0.25),"Check - fees higher than your settings",IF(Z531&gt;1,"Check - postage is eating the margin",IF(AND(AH531&lt;&gt;"",AH531&lt;MarginWarning),"Low margin on this order","OK")))))) )</f>
        <v>0</v>
      </c>
    </row>
    <row r="532" spans="1:39">
      <c r="A532" s="38">
        <f>IF(B532="","",SalePrefix&amp;TEXT(ROW()-4,"0000"))</f>
        <v>0</v>
      </c>
      <c r="Q532" s="13">
        <f>IF(C532="","",IFERROR(INDEX(Products!$B$5:$B$304,MATCH(C532,Products!$A$5:$A$304,0)),"Bundle or deleted"))</f>
        <v>0</v>
      </c>
      <c r="R532" s="13">
        <f>IF(B532="","",TEXT(B532,"yyyy-mm"))</f>
        <v>0</v>
      </c>
      <c r="S532" s="20">
        <f>IF(C532="","",IFERROR(INDEX(Products!$AR$5:$AR$304,MATCH(C532,Products!$A$5:$A$304,0)),""))</f>
        <v>0</v>
      </c>
      <c r="T532" s="20">
        <f>IF(B532="","",IF(F532&lt;&gt;"",F532,IF(S532="",0,S532)))</f>
        <v>0</v>
      </c>
      <c r="U532" s="20">
        <f>IF(B532="","",ROUND(IF(D532="",0,D532)*T532,2))</f>
        <v>0</v>
      </c>
      <c r="V532" s="20">
        <f>IF(B532="","",ROUND(U532-IF(G532="",0,G532)-IF(L532="",0,L532),2))</f>
        <v>0</v>
      </c>
      <c r="W532" s="20">
        <f>IF(C532="","",IFERROR(INDEX(Products!$AT$5:$AT$304,MATCH(C532,Products!$A$5:$A$304,0)),""))</f>
        <v>0</v>
      </c>
      <c r="X532" s="20">
        <f>IF(C532="","",IFERROR(INDEX(Products!$AG$5:$AG$304,MATCH(C532,Products!$A$5:$A$304,0)),""))</f>
        <v>0</v>
      </c>
      <c r="Y532" s="20">
        <f>IF(B532="","",ROUND(IF(D532="",0,D532)*MAX(0,IF(W532="",0,W532)-IF(X532="",0,X532)),2))</f>
        <v>0</v>
      </c>
      <c r="Z532" s="20">
        <f>IF(B532="","",ROUND(MAX(0,IF(J532="",0,J532)-IF(I532="",0,I532)),2))</f>
        <v>0</v>
      </c>
      <c r="AA532" s="33">
        <f>IF(B532="","",IFERROR(INDEX(Channels!$S$5:$S$18,MATCH(IF(E532="",DefaultChannel,E532),Channels!$A$5:$A$18,0)),0))</f>
        <v>0</v>
      </c>
      <c r="AB532" s="20">
        <f>IF(B532="","",IFERROR(INDEX(Channels!$T$5:$T$18,MATCH(IF(E532="",DefaultChannel,E532),Channels!$A$5:$A$18,0)),0))</f>
        <v>0</v>
      </c>
      <c r="AC532" s="42">
        <f>IF(B532="","",IFERROR(INDEX(Channels!$O$5:$O$18,MATCH(IF(E532="",DefaultChannel,E532),Channels!$A$5:$A$18,0)),"No"))</f>
        <v>0</v>
      </c>
      <c r="AD532" s="20">
        <f>IF(B532="","",ROUND((V532+IF(AC532="Yes",IF(I532="",0,I532),0))*AA532+AB532,2))</f>
        <v>0</v>
      </c>
      <c r="AE532" s="20">
        <f>IF(B532="","",IF(K532&lt;&gt;"",K532,AD532))</f>
        <v>0</v>
      </c>
      <c r="AF532" s="20">
        <f>IF(B532="","",IF(K532="","",ROUND(K532-AD532,2)))</f>
        <v>0</v>
      </c>
      <c r="AG532" s="20">
        <f>IF(B532="","",ROUND(V532-Y532-AE532-Z532,2))</f>
        <v>0</v>
      </c>
      <c r="AH532" s="33">
        <f>IF(B532="","",IF(OR(V532="",V532=0),"",AG532/V532))</f>
        <v>0</v>
      </c>
      <c r="AI532" s="33">
        <f>IF(C532="","",IFERROR(INDEX(Products!$AW$5:$AW$304,MATCH(C532,Products!$A$5:$A$304,0)),""))</f>
        <v>0</v>
      </c>
      <c r="AJ532" s="33">
        <f>IF(B532="","",IF(OR(AH532="",AI532=""),"",AH532-AI532))</f>
        <v>0</v>
      </c>
      <c r="AK532" s="41">
        <f>IF(B532="","",IFERROR(ROUND(IF(D532="",0,D532)*INDEX(Products!$X$5:$X$304,MATCH(C532,Products!$A$5:$A$304,0))/60,2),""))</f>
        <v>0</v>
      </c>
      <c r="AL532" s="20">
        <f>IF(B532="","",IF(OR(AK532="",AK532=0),"",ROUND(AG532/AK532,2)))</f>
        <v>0</v>
      </c>
      <c r="AM532" s="43">
        <f>IF(B532="","",IF(C532="","Add - which product?",IF(AG532&lt;0,"Loss - this order cost you money",IF(M532="Refunded","Refunded - check why",IF(AND(AF532&lt;&gt;"",AF532&gt;0.25),"Check - fees higher than your settings",IF(Z532&gt;1,"Check - postage is eating the margin",IF(AND(AH532&lt;&gt;"",AH532&lt;MarginWarning),"Low margin on this order","OK")))))) )</f>
        <v>0</v>
      </c>
    </row>
    <row r="533" spans="1:39">
      <c r="A533" s="38">
        <f>IF(B533="","",SalePrefix&amp;TEXT(ROW()-4,"0000"))</f>
        <v>0</v>
      </c>
      <c r="Q533" s="13">
        <f>IF(C533="","",IFERROR(INDEX(Products!$B$5:$B$304,MATCH(C533,Products!$A$5:$A$304,0)),"Bundle or deleted"))</f>
        <v>0</v>
      </c>
      <c r="R533" s="13">
        <f>IF(B533="","",TEXT(B533,"yyyy-mm"))</f>
        <v>0</v>
      </c>
      <c r="S533" s="20">
        <f>IF(C533="","",IFERROR(INDEX(Products!$AR$5:$AR$304,MATCH(C533,Products!$A$5:$A$304,0)),""))</f>
        <v>0</v>
      </c>
      <c r="T533" s="20">
        <f>IF(B533="","",IF(F533&lt;&gt;"",F533,IF(S533="",0,S533)))</f>
        <v>0</v>
      </c>
      <c r="U533" s="20">
        <f>IF(B533="","",ROUND(IF(D533="",0,D533)*T533,2))</f>
        <v>0</v>
      </c>
      <c r="V533" s="20">
        <f>IF(B533="","",ROUND(U533-IF(G533="",0,G533)-IF(L533="",0,L533),2))</f>
        <v>0</v>
      </c>
      <c r="W533" s="20">
        <f>IF(C533="","",IFERROR(INDEX(Products!$AT$5:$AT$304,MATCH(C533,Products!$A$5:$A$304,0)),""))</f>
        <v>0</v>
      </c>
      <c r="X533" s="20">
        <f>IF(C533="","",IFERROR(INDEX(Products!$AG$5:$AG$304,MATCH(C533,Products!$A$5:$A$304,0)),""))</f>
        <v>0</v>
      </c>
      <c r="Y533" s="20">
        <f>IF(B533="","",ROUND(IF(D533="",0,D533)*MAX(0,IF(W533="",0,W533)-IF(X533="",0,X533)),2))</f>
        <v>0</v>
      </c>
      <c r="Z533" s="20">
        <f>IF(B533="","",ROUND(MAX(0,IF(J533="",0,J533)-IF(I533="",0,I533)),2))</f>
        <v>0</v>
      </c>
      <c r="AA533" s="33">
        <f>IF(B533="","",IFERROR(INDEX(Channels!$S$5:$S$18,MATCH(IF(E533="",DefaultChannel,E533),Channels!$A$5:$A$18,0)),0))</f>
        <v>0</v>
      </c>
      <c r="AB533" s="20">
        <f>IF(B533="","",IFERROR(INDEX(Channels!$T$5:$T$18,MATCH(IF(E533="",DefaultChannel,E533),Channels!$A$5:$A$18,0)),0))</f>
        <v>0</v>
      </c>
      <c r="AC533" s="42">
        <f>IF(B533="","",IFERROR(INDEX(Channels!$O$5:$O$18,MATCH(IF(E533="",DefaultChannel,E533),Channels!$A$5:$A$18,0)),"No"))</f>
        <v>0</v>
      </c>
      <c r="AD533" s="20">
        <f>IF(B533="","",ROUND((V533+IF(AC533="Yes",IF(I533="",0,I533),0))*AA533+AB533,2))</f>
        <v>0</v>
      </c>
      <c r="AE533" s="20">
        <f>IF(B533="","",IF(K533&lt;&gt;"",K533,AD533))</f>
        <v>0</v>
      </c>
      <c r="AF533" s="20">
        <f>IF(B533="","",IF(K533="","",ROUND(K533-AD533,2)))</f>
        <v>0</v>
      </c>
      <c r="AG533" s="20">
        <f>IF(B533="","",ROUND(V533-Y533-AE533-Z533,2))</f>
        <v>0</v>
      </c>
      <c r="AH533" s="33">
        <f>IF(B533="","",IF(OR(V533="",V533=0),"",AG533/V533))</f>
        <v>0</v>
      </c>
      <c r="AI533" s="33">
        <f>IF(C533="","",IFERROR(INDEX(Products!$AW$5:$AW$304,MATCH(C533,Products!$A$5:$A$304,0)),""))</f>
        <v>0</v>
      </c>
      <c r="AJ533" s="33">
        <f>IF(B533="","",IF(OR(AH533="",AI533=""),"",AH533-AI533))</f>
        <v>0</v>
      </c>
      <c r="AK533" s="41">
        <f>IF(B533="","",IFERROR(ROUND(IF(D533="",0,D533)*INDEX(Products!$X$5:$X$304,MATCH(C533,Products!$A$5:$A$304,0))/60,2),""))</f>
        <v>0</v>
      </c>
      <c r="AL533" s="20">
        <f>IF(B533="","",IF(OR(AK533="",AK533=0),"",ROUND(AG533/AK533,2)))</f>
        <v>0</v>
      </c>
      <c r="AM533" s="43">
        <f>IF(B533="","",IF(C533="","Add - which product?",IF(AG533&lt;0,"Loss - this order cost you money",IF(M533="Refunded","Refunded - check why",IF(AND(AF533&lt;&gt;"",AF533&gt;0.25),"Check - fees higher than your settings",IF(Z533&gt;1,"Check - postage is eating the margin",IF(AND(AH533&lt;&gt;"",AH533&lt;MarginWarning),"Low margin on this order","OK")))))) )</f>
        <v>0</v>
      </c>
    </row>
    <row r="534" spans="1:39">
      <c r="A534" s="38">
        <f>IF(B534="","",SalePrefix&amp;TEXT(ROW()-4,"0000"))</f>
        <v>0</v>
      </c>
      <c r="Q534" s="13">
        <f>IF(C534="","",IFERROR(INDEX(Products!$B$5:$B$304,MATCH(C534,Products!$A$5:$A$304,0)),"Bundle or deleted"))</f>
        <v>0</v>
      </c>
      <c r="R534" s="13">
        <f>IF(B534="","",TEXT(B534,"yyyy-mm"))</f>
        <v>0</v>
      </c>
      <c r="S534" s="20">
        <f>IF(C534="","",IFERROR(INDEX(Products!$AR$5:$AR$304,MATCH(C534,Products!$A$5:$A$304,0)),""))</f>
        <v>0</v>
      </c>
      <c r="T534" s="20">
        <f>IF(B534="","",IF(F534&lt;&gt;"",F534,IF(S534="",0,S534)))</f>
        <v>0</v>
      </c>
      <c r="U534" s="20">
        <f>IF(B534="","",ROUND(IF(D534="",0,D534)*T534,2))</f>
        <v>0</v>
      </c>
      <c r="V534" s="20">
        <f>IF(B534="","",ROUND(U534-IF(G534="",0,G534)-IF(L534="",0,L534),2))</f>
        <v>0</v>
      </c>
      <c r="W534" s="20">
        <f>IF(C534="","",IFERROR(INDEX(Products!$AT$5:$AT$304,MATCH(C534,Products!$A$5:$A$304,0)),""))</f>
        <v>0</v>
      </c>
      <c r="X534" s="20">
        <f>IF(C534="","",IFERROR(INDEX(Products!$AG$5:$AG$304,MATCH(C534,Products!$A$5:$A$304,0)),""))</f>
        <v>0</v>
      </c>
      <c r="Y534" s="20">
        <f>IF(B534="","",ROUND(IF(D534="",0,D534)*MAX(0,IF(W534="",0,W534)-IF(X534="",0,X534)),2))</f>
        <v>0</v>
      </c>
      <c r="Z534" s="20">
        <f>IF(B534="","",ROUND(MAX(0,IF(J534="",0,J534)-IF(I534="",0,I534)),2))</f>
        <v>0</v>
      </c>
      <c r="AA534" s="33">
        <f>IF(B534="","",IFERROR(INDEX(Channels!$S$5:$S$18,MATCH(IF(E534="",DefaultChannel,E534),Channels!$A$5:$A$18,0)),0))</f>
        <v>0</v>
      </c>
      <c r="AB534" s="20">
        <f>IF(B534="","",IFERROR(INDEX(Channels!$T$5:$T$18,MATCH(IF(E534="",DefaultChannel,E534),Channels!$A$5:$A$18,0)),0))</f>
        <v>0</v>
      </c>
      <c r="AC534" s="42">
        <f>IF(B534="","",IFERROR(INDEX(Channels!$O$5:$O$18,MATCH(IF(E534="",DefaultChannel,E534),Channels!$A$5:$A$18,0)),"No"))</f>
        <v>0</v>
      </c>
      <c r="AD534" s="20">
        <f>IF(B534="","",ROUND((V534+IF(AC534="Yes",IF(I534="",0,I534),0))*AA534+AB534,2))</f>
        <v>0</v>
      </c>
      <c r="AE534" s="20">
        <f>IF(B534="","",IF(K534&lt;&gt;"",K534,AD534))</f>
        <v>0</v>
      </c>
      <c r="AF534" s="20">
        <f>IF(B534="","",IF(K534="","",ROUND(K534-AD534,2)))</f>
        <v>0</v>
      </c>
      <c r="AG534" s="20">
        <f>IF(B534="","",ROUND(V534-Y534-AE534-Z534,2))</f>
        <v>0</v>
      </c>
      <c r="AH534" s="33">
        <f>IF(B534="","",IF(OR(V534="",V534=0),"",AG534/V534))</f>
        <v>0</v>
      </c>
      <c r="AI534" s="33">
        <f>IF(C534="","",IFERROR(INDEX(Products!$AW$5:$AW$304,MATCH(C534,Products!$A$5:$A$304,0)),""))</f>
        <v>0</v>
      </c>
      <c r="AJ534" s="33">
        <f>IF(B534="","",IF(OR(AH534="",AI534=""),"",AH534-AI534))</f>
        <v>0</v>
      </c>
      <c r="AK534" s="41">
        <f>IF(B534="","",IFERROR(ROUND(IF(D534="",0,D534)*INDEX(Products!$X$5:$X$304,MATCH(C534,Products!$A$5:$A$304,0))/60,2),""))</f>
        <v>0</v>
      </c>
      <c r="AL534" s="20">
        <f>IF(B534="","",IF(OR(AK534="",AK534=0),"",ROUND(AG534/AK534,2)))</f>
        <v>0</v>
      </c>
      <c r="AM534" s="43">
        <f>IF(B534="","",IF(C534="","Add - which product?",IF(AG534&lt;0,"Loss - this order cost you money",IF(M534="Refunded","Refunded - check why",IF(AND(AF534&lt;&gt;"",AF534&gt;0.25),"Check - fees higher than your settings",IF(Z534&gt;1,"Check - postage is eating the margin",IF(AND(AH534&lt;&gt;"",AH534&lt;MarginWarning),"Low margin on this order","OK")))))) )</f>
        <v>0</v>
      </c>
    </row>
    <row r="535" spans="1:39">
      <c r="A535" s="38">
        <f>IF(B535="","",SalePrefix&amp;TEXT(ROW()-4,"0000"))</f>
        <v>0</v>
      </c>
      <c r="Q535" s="13">
        <f>IF(C535="","",IFERROR(INDEX(Products!$B$5:$B$304,MATCH(C535,Products!$A$5:$A$304,0)),"Bundle or deleted"))</f>
        <v>0</v>
      </c>
      <c r="R535" s="13">
        <f>IF(B535="","",TEXT(B535,"yyyy-mm"))</f>
        <v>0</v>
      </c>
      <c r="S535" s="20">
        <f>IF(C535="","",IFERROR(INDEX(Products!$AR$5:$AR$304,MATCH(C535,Products!$A$5:$A$304,0)),""))</f>
        <v>0</v>
      </c>
      <c r="T535" s="20">
        <f>IF(B535="","",IF(F535&lt;&gt;"",F535,IF(S535="",0,S535)))</f>
        <v>0</v>
      </c>
      <c r="U535" s="20">
        <f>IF(B535="","",ROUND(IF(D535="",0,D535)*T535,2))</f>
        <v>0</v>
      </c>
      <c r="V535" s="20">
        <f>IF(B535="","",ROUND(U535-IF(G535="",0,G535)-IF(L535="",0,L535),2))</f>
        <v>0</v>
      </c>
      <c r="W535" s="20">
        <f>IF(C535="","",IFERROR(INDEX(Products!$AT$5:$AT$304,MATCH(C535,Products!$A$5:$A$304,0)),""))</f>
        <v>0</v>
      </c>
      <c r="X535" s="20">
        <f>IF(C535="","",IFERROR(INDEX(Products!$AG$5:$AG$304,MATCH(C535,Products!$A$5:$A$304,0)),""))</f>
        <v>0</v>
      </c>
      <c r="Y535" s="20">
        <f>IF(B535="","",ROUND(IF(D535="",0,D535)*MAX(0,IF(W535="",0,W535)-IF(X535="",0,X535)),2))</f>
        <v>0</v>
      </c>
      <c r="Z535" s="20">
        <f>IF(B535="","",ROUND(MAX(0,IF(J535="",0,J535)-IF(I535="",0,I535)),2))</f>
        <v>0</v>
      </c>
      <c r="AA535" s="33">
        <f>IF(B535="","",IFERROR(INDEX(Channels!$S$5:$S$18,MATCH(IF(E535="",DefaultChannel,E535),Channels!$A$5:$A$18,0)),0))</f>
        <v>0</v>
      </c>
      <c r="AB535" s="20">
        <f>IF(B535="","",IFERROR(INDEX(Channels!$T$5:$T$18,MATCH(IF(E535="",DefaultChannel,E535),Channels!$A$5:$A$18,0)),0))</f>
        <v>0</v>
      </c>
      <c r="AC535" s="42">
        <f>IF(B535="","",IFERROR(INDEX(Channels!$O$5:$O$18,MATCH(IF(E535="",DefaultChannel,E535),Channels!$A$5:$A$18,0)),"No"))</f>
        <v>0</v>
      </c>
      <c r="AD535" s="20">
        <f>IF(B535="","",ROUND((V535+IF(AC535="Yes",IF(I535="",0,I535),0))*AA535+AB535,2))</f>
        <v>0</v>
      </c>
      <c r="AE535" s="20">
        <f>IF(B535="","",IF(K535&lt;&gt;"",K535,AD535))</f>
        <v>0</v>
      </c>
      <c r="AF535" s="20">
        <f>IF(B535="","",IF(K535="","",ROUND(K535-AD535,2)))</f>
        <v>0</v>
      </c>
      <c r="AG535" s="20">
        <f>IF(B535="","",ROUND(V535-Y535-AE535-Z535,2))</f>
        <v>0</v>
      </c>
      <c r="AH535" s="33">
        <f>IF(B535="","",IF(OR(V535="",V535=0),"",AG535/V535))</f>
        <v>0</v>
      </c>
      <c r="AI535" s="33">
        <f>IF(C535="","",IFERROR(INDEX(Products!$AW$5:$AW$304,MATCH(C535,Products!$A$5:$A$304,0)),""))</f>
        <v>0</v>
      </c>
      <c r="AJ535" s="33">
        <f>IF(B535="","",IF(OR(AH535="",AI535=""),"",AH535-AI535))</f>
        <v>0</v>
      </c>
      <c r="AK535" s="41">
        <f>IF(B535="","",IFERROR(ROUND(IF(D535="",0,D535)*INDEX(Products!$X$5:$X$304,MATCH(C535,Products!$A$5:$A$304,0))/60,2),""))</f>
        <v>0</v>
      </c>
      <c r="AL535" s="20">
        <f>IF(B535="","",IF(OR(AK535="",AK535=0),"",ROUND(AG535/AK535,2)))</f>
        <v>0</v>
      </c>
      <c r="AM535" s="43">
        <f>IF(B535="","",IF(C535="","Add - which product?",IF(AG535&lt;0,"Loss - this order cost you money",IF(M535="Refunded","Refunded - check why",IF(AND(AF535&lt;&gt;"",AF535&gt;0.25),"Check - fees higher than your settings",IF(Z535&gt;1,"Check - postage is eating the margin",IF(AND(AH535&lt;&gt;"",AH535&lt;MarginWarning),"Low margin on this order","OK")))))) )</f>
        <v>0</v>
      </c>
    </row>
    <row r="536" spans="1:39">
      <c r="A536" s="38">
        <f>IF(B536="","",SalePrefix&amp;TEXT(ROW()-4,"0000"))</f>
        <v>0</v>
      </c>
      <c r="Q536" s="13">
        <f>IF(C536="","",IFERROR(INDEX(Products!$B$5:$B$304,MATCH(C536,Products!$A$5:$A$304,0)),"Bundle or deleted"))</f>
        <v>0</v>
      </c>
      <c r="R536" s="13">
        <f>IF(B536="","",TEXT(B536,"yyyy-mm"))</f>
        <v>0</v>
      </c>
      <c r="S536" s="20">
        <f>IF(C536="","",IFERROR(INDEX(Products!$AR$5:$AR$304,MATCH(C536,Products!$A$5:$A$304,0)),""))</f>
        <v>0</v>
      </c>
      <c r="T536" s="20">
        <f>IF(B536="","",IF(F536&lt;&gt;"",F536,IF(S536="",0,S536)))</f>
        <v>0</v>
      </c>
      <c r="U536" s="20">
        <f>IF(B536="","",ROUND(IF(D536="",0,D536)*T536,2))</f>
        <v>0</v>
      </c>
      <c r="V536" s="20">
        <f>IF(B536="","",ROUND(U536-IF(G536="",0,G536)-IF(L536="",0,L536),2))</f>
        <v>0</v>
      </c>
      <c r="W536" s="20">
        <f>IF(C536="","",IFERROR(INDEX(Products!$AT$5:$AT$304,MATCH(C536,Products!$A$5:$A$304,0)),""))</f>
        <v>0</v>
      </c>
      <c r="X536" s="20">
        <f>IF(C536="","",IFERROR(INDEX(Products!$AG$5:$AG$304,MATCH(C536,Products!$A$5:$A$304,0)),""))</f>
        <v>0</v>
      </c>
      <c r="Y536" s="20">
        <f>IF(B536="","",ROUND(IF(D536="",0,D536)*MAX(0,IF(W536="",0,W536)-IF(X536="",0,X536)),2))</f>
        <v>0</v>
      </c>
      <c r="Z536" s="20">
        <f>IF(B536="","",ROUND(MAX(0,IF(J536="",0,J536)-IF(I536="",0,I536)),2))</f>
        <v>0</v>
      </c>
      <c r="AA536" s="33">
        <f>IF(B536="","",IFERROR(INDEX(Channels!$S$5:$S$18,MATCH(IF(E536="",DefaultChannel,E536),Channels!$A$5:$A$18,0)),0))</f>
        <v>0</v>
      </c>
      <c r="AB536" s="20">
        <f>IF(B536="","",IFERROR(INDEX(Channels!$T$5:$T$18,MATCH(IF(E536="",DefaultChannel,E536),Channels!$A$5:$A$18,0)),0))</f>
        <v>0</v>
      </c>
      <c r="AC536" s="42">
        <f>IF(B536="","",IFERROR(INDEX(Channels!$O$5:$O$18,MATCH(IF(E536="",DefaultChannel,E536),Channels!$A$5:$A$18,0)),"No"))</f>
        <v>0</v>
      </c>
      <c r="AD536" s="20">
        <f>IF(B536="","",ROUND((V536+IF(AC536="Yes",IF(I536="",0,I536),0))*AA536+AB536,2))</f>
        <v>0</v>
      </c>
      <c r="AE536" s="20">
        <f>IF(B536="","",IF(K536&lt;&gt;"",K536,AD536))</f>
        <v>0</v>
      </c>
      <c r="AF536" s="20">
        <f>IF(B536="","",IF(K536="","",ROUND(K536-AD536,2)))</f>
        <v>0</v>
      </c>
      <c r="AG536" s="20">
        <f>IF(B536="","",ROUND(V536-Y536-AE536-Z536,2))</f>
        <v>0</v>
      </c>
      <c r="AH536" s="33">
        <f>IF(B536="","",IF(OR(V536="",V536=0),"",AG536/V536))</f>
        <v>0</v>
      </c>
      <c r="AI536" s="33">
        <f>IF(C536="","",IFERROR(INDEX(Products!$AW$5:$AW$304,MATCH(C536,Products!$A$5:$A$304,0)),""))</f>
        <v>0</v>
      </c>
      <c r="AJ536" s="33">
        <f>IF(B536="","",IF(OR(AH536="",AI536=""),"",AH536-AI536))</f>
        <v>0</v>
      </c>
      <c r="AK536" s="41">
        <f>IF(B536="","",IFERROR(ROUND(IF(D536="",0,D536)*INDEX(Products!$X$5:$X$304,MATCH(C536,Products!$A$5:$A$304,0))/60,2),""))</f>
        <v>0</v>
      </c>
      <c r="AL536" s="20">
        <f>IF(B536="","",IF(OR(AK536="",AK536=0),"",ROUND(AG536/AK536,2)))</f>
        <v>0</v>
      </c>
      <c r="AM536" s="43">
        <f>IF(B536="","",IF(C536="","Add - which product?",IF(AG536&lt;0,"Loss - this order cost you money",IF(M536="Refunded","Refunded - check why",IF(AND(AF536&lt;&gt;"",AF536&gt;0.25),"Check - fees higher than your settings",IF(Z536&gt;1,"Check - postage is eating the margin",IF(AND(AH536&lt;&gt;"",AH536&lt;MarginWarning),"Low margin on this order","OK")))))) )</f>
        <v>0</v>
      </c>
    </row>
    <row r="537" spans="1:39">
      <c r="A537" s="38">
        <f>IF(B537="","",SalePrefix&amp;TEXT(ROW()-4,"0000"))</f>
        <v>0</v>
      </c>
      <c r="Q537" s="13">
        <f>IF(C537="","",IFERROR(INDEX(Products!$B$5:$B$304,MATCH(C537,Products!$A$5:$A$304,0)),"Bundle or deleted"))</f>
        <v>0</v>
      </c>
      <c r="R537" s="13">
        <f>IF(B537="","",TEXT(B537,"yyyy-mm"))</f>
        <v>0</v>
      </c>
      <c r="S537" s="20">
        <f>IF(C537="","",IFERROR(INDEX(Products!$AR$5:$AR$304,MATCH(C537,Products!$A$5:$A$304,0)),""))</f>
        <v>0</v>
      </c>
      <c r="T537" s="20">
        <f>IF(B537="","",IF(F537&lt;&gt;"",F537,IF(S537="",0,S537)))</f>
        <v>0</v>
      </c>
      <c r="U537" s="20">
        <f>IF(B537="","",ROUND(IF(D537="",0,D537)*T537,2))</f>
        <v>0</v>
      </c>
      <c r="V537" s="20">
        <f>IF(B537="","",ROUND(U537-IF(G537="",0,G537)-IF(L537="",0,L537),2))</f>
        <v>0</v>
      </c>
      <c r="W537" s="20">
        <f>IF(C537="","",IFERROR(INDEX(Products!$AT$5:$AT$304,MATCH(C537,Products!$A$5:$A$304,0)),""))</f>
        <v>0</v>
      </c>
      <c r="X537" s="20">
        <f>IF(C537="","",IFERROR(INDEX(Products!$AG$5:$AG$304,MATCH(C537,Products!$A$5:$A$304,0)),""))</f>
        <v>0</v>
      </c>
      <c r="Y537" s="20">
        <f>IF(B537="","",ROUND(IF(D537="",0,D537)*MAX(0,IF(W537="",0,W537)-IF(X537="",0,X537)),2))</f>
        <v>0</v>
      </c>
      <c r="Z537" s="20">
        <f>IF(B537="","",ROUND(MAX(0,IF(J537="",0,J537)-IF(I537="",0,I537)),2))</f>
        <v>0</v>
      </c>
      <c r="AA537" s="33">
        <f>IF(B537="","",IFERROR(INDEX(Channels!$S$5:$S$18,MATCH(IF(E537="",DefaultChannel,E537),Channels!$A$5:$A$18,0)),0))</f>
        <v>0</v>
      </c>
      <c r="AB537" s="20">
        <f>IF(B537="","",IFERROR(INDEX(Channels!$T$5:$T$18,MATCH(IF(E537="",DefaultChannel,E537),Channels!$A$5:$A$18,0)),0))</f>
        <v>0</v>
      </c>
      <c r="AC537" s="42">
        <f>IF(B537="","",IFERROR(INDEX(Channels!$O$5:$O$18,MATCH(IF(E537="",DefaultChannel,E537),Channels!$A$5:$A$18,0)),"No"))</f>
        <v>0</v>
      </c>
      <c r="AD537" s="20">
        <f>IF(B537="","",ROUND((V537+IF(AC537="Yes",IF(I537="",0,I537),0))*AA537+AB537,2))</f>
        <v>0</v>
      </c>
      <c r="AE537" s="20">
        <f>IF(B537="","",IF(K537&lt;&gt;"",K537,AD537))</f>
        <v>0</v>
      </c>
      <c r="AF537" s="20">
        <f>IF(B537="","",IF(K537="","",ROUND(K537-AD537,2)))</f>
        <v>0</v>
      </c>
      <c r="AG537" s="20">
        <f>IF(B537="","",ROUND(V537-Y537-AE537-Z537,2))</f>
        <v>0</v>
      </c>
      <c r="AH537" s="33">
        <f>IF(B537="","",IF(OR(V537="",V537=0),"",AG537/V537))</f>
        <v>0</v>
      </c>
      <c r="AI537" s="33">
        <f>IF(C537="","",IFERROR(INDEX(Products!$AW$5:$AW$304,MATCH(C537,Products!$A$5:$A$304,0)),""))</f>
        <v>0</v>
      </c>
      <c r="AJ537" s="33">
        <f>IF(B537="","",IF(OR(AH537="",AI537=""),"",AH537-AI537))</f>
        <v>0</v>
      </c>
      <c r="AK537" s="41">
        <f>IF(B537="","",IFERROR(ROUND(IF(D537="",0,D537)*INDEX(Products!$X$5:$X$304,MATCH(C537,Products!$A$5:$A$304,0))/60,2),""))</f>
        <v>0</v>
      </c>
      <c r="AL537" s="20">
        <f>IF(B537="","",IF(OR(AK537="",AK537=0),"",ROUND(AG537/AK537,2)))</f>
        <v>0</v>
      </c>
      <c r="AM537" s="43">
        <f>IF(B537="","",IF(C537="","Add - which product?",IF(AG537&lt;0,"Loss - this order cost you money",IF(M537="Refunded","Refunded - check why",IF(AND(AF537&lt;&gt;"",AF537&gt;0.25),"Check - fees higher than your settings",IF(Z537&gt;1,"Check - postage is eating the margin",IF(AND(AH537&lt;&gt;"",AH537&lt;MarginWarning),"Low margin on this order","OK")))))) )</f>
        <v>0</v>
      </c>
    </row>
    <row r="538" spans="1:39">
      <c r="A538" s="38">
        <f>IF(B538="","",SalePrefix&amp;TEXT(ROW()-4,"0000"))</f>
        <v>0</v>
      </c>
      <c r="Q538" s="13">
        <f>IF(C538="","",IFERROR(INDEX(Products!$B$5:$B$304,MATCH(C538,Products!$A$5:$A$304,0)),"Bundle or deleted"))</f>
        <v>0</v>
      </c>
      <c r="R538" s="13">
        <f>IF(B538="","",TEXT(B538,"yyyy-mm"))</f>
        <v>0</v>
      </c>
      <c r="S538" s="20">
        <f>IF(C538="","",IFERROR(INDEX(Products!$AR$5:$AR$304,MATCH(C538,Products!$A$5:$A$304,0)),""))</f>
        <v>0</v>
      </c>
      <c r="T538" s="20">
        <f>IF(B538="","",IF(F538&lt;&gt;"",F538,IF(S538="",0,S538)))</f>
        <v>0</v>
      </c>
      <c r="U538" s="20">
        <f>IF(B538="","",ROUND(IF(D538="",0,D538)*T538,2))</f>
        <v>0</v>
      </c>
      <c r="V538" s="20">
        <f>IF(B538="","",ROUND(U538-IF(G538="",0,G538)-IF(L538="",0,L538),2))</f>
        <v>0</v>
      </c>
      <c r="W538" s="20">
        <f>IF(C538="","",IFERROR(INDEX(Products!$AT$5:$AT$304,MATCH(C538,Products!$A$5:$A$304,0)),""))</f>
        <v>0</v>
      </c>
      <c r="X538" s="20">
        <f>IF(C538="","",IFERROR(INDEX(Products!$AG$5:$AG$304,MATCH(C538,Products!$A$5:$A$304,0)),""))</f>
        <v>0</v>
      </c>
      <c r="Y538" s="20">
        <f>IF(B538="","",ROUND(IF(D538="",0,D538)*MAX(0,IF(W538="",0,W538)-IF(X538="",0,X538)),2))</f>
        <v>0</v>
      </c>
      <c r="Z538" s="20">
        <f>IF(B538="","",ROUND(MAX(0,IF(J538="",0,J538)-IF(I538="",0,I538)),2))</f>
        <v>0</v>
      </c>
      <c r="AA538" s="33">
        <f>IF(B538="","",IFERROR(INDEX(Channels!$S$5:$S$18,MATCH(IF(E538="",DefaultChannel,E538),Channels!$A$5:$A$18,0)),0))</f>
        <v>0</v>
      </c>
      <c r="AB538" s="20">
        <f>IF(B538="","",IFERROR(INDEX(Channels!$T$5:$T$18,MATCH(IF(E538="",DefaultChannel,E538),Channels!$A$5:$A$18,0)),0))</f>
        <v>0</v>
      </c>
      <c r="AC538" s="42">
        <f>IF(B538="","",IFERROR(INDEX(Channels!$O$5:$O$18,MATCH(IF(E538="",DefaultChannel,E538),Channels!$A$5:$A$18,0)),"No"))</f>
        <v>0</v>
      </c>
      <c r="AD538" s="20">
        <f>IF(B538="","",ROUND((V538+IF(AC538="Yes",IF(I538="",0,I538),0))*AA538+AB538,2))</f>
        <v>0</v>
      </c>
      <c r="AE538" s="20">
        <f>IF(B538="","",IF(K538&lt;&gt;"",K538,AD538))</f>
        <v>0</v>
      </c>
      <c r="AF538" s="20">
        <f>IF(B538="","",IF(K538="","",ROUND(K538-AD538,2)))</f>
        <v>0</v>
      </c>
      <c r="AG538" s="20">
        <f>IF(B538="","",ROUND(V538-Y538-AE538-Z538,2))</f>
        <v>0</v>
      </c>
      <c r="AH538" s="33">
        <f>IF(B538="","",IF(OR(V538="",V538=0),"",AG538/V538))</f>
        <v>0</v>
      </c>
      <c r="AI538" s="33">
        <f>IF(C538="","",IFERROR(INDEX(Products!$AW$5:$AW$304,MATCH(C538,Products!$A$5:$A$304,0)),""))</f>
        <v>0</v>
      </c>
      <c r="AJ538" s="33">
        <f>IF(B538="","",IF(OR(AH538="",AI538=""),"",AH538-AI538))</f>
        <v>0</v>
      </c>
      <c r="AK538" s="41">
        <f>IF(B538="","",IFERROR(ROUND(IF(D538="",0,D538)*INDEX(Products!$X$5:$X$304,MATCH(C538,Products!$A$5:$A$304,0))/60,2),""))</f>
        <v>0</v>
      </c>
      <c r="AL538" s="20">
        <f>IF(B538="","",IF(OR(AK538="",AK538=0),"",ROUND(AG538/AK538,2)))</f>
        <v>0</v>
      </c>
      <c r="AM538" s="43">
        <f>IF(B538="","",IF(C538="","Add - which product?",IF(AG538&lt;0,"Loss - this order cost you money",IF(M538="Refunded","Refunded - check why",IF(AND(AF538&lt;&gt;"",AF538&gt;0.25),"Check - fees higher than your settings",IF(Z538&gt;1,"Check - postage is eating the margin",IF(AND(AH538&lt;&gt;"",AH538&lt;MarginWarning),"Low margin on this order","OK")))))) )</f>
        <v>0</v>
      </c>
    </row>
    <row r="539" spans="1:39">
      <c r="A539" s="38">
        <f>IF(B539="","",SalePrefix&amp;TEXT(ROW()-4,"0000"))</f>
        <v>0</v>
      </c>
      <c r="Q539" s="13">
        <f>IF(C539="","",IFERROR(INDEX(Products!$B$5:$B$304,MATCH(C539,Products!$A$5:$A$304,0)),"Bundle or deleted"))</f>
        <v>0</v>
      </c>
      <c r="R539" s="13">
        <f>IF(B539="","",TEXT(B539,"yyyy-mm"))</f>
        <v>0</v>
      </c>
      <c r="S539" s="20">
        <f>IF(C539="","",IFERROR(INDEX(Products!$AR$5:$AR$304,MATCH(C539,Products!$A$5:$A$304,0)),""))</f>
        <v>0</v>
      </c>
      <c r="T539" s="20">
        <f>IF(B539="","",IF(F539&lt;&gt;"",F539,IF(S539="",0,S539)))</f>
        <v>0</v>
      </c>
      <c r="U539" s="20">
        <f>IF(B539="","",ROUND(IF(D539="",0,D539)*T539,2))</f>
        <v>0</v>
      </c>
      <c r="V539" s="20">
        <f>IF(B539="","",ROUND(U539-IF(G539="",0,G539)-IF(L539="",0,L539),2))</f>
        <v>0</v>
      </c>
      <c r="W539" s="20">
        <f>IF(C539="","",IFERROR(INDEX(Products!$AT$5:$AT$304,MATCH(C539,Products!$A$5:$A$304,0)),""))</f>
        <v>0</v>
      </c>
      <c r="X539" s="20">
        <f>IF(C539="","",IFERROR(INDEX(Products!$AG$5:$AG$304,MATCH(C539,Products!$A$5:$A$304,0)),""))</f>
        <v>0</v>
      </c>
      <c r="Y539" s="20">
        <f>IF(B539="","",ROUND(IF(D539="",0,D539)*MAX(0,IF(W539="",0,W539)-IF(X539="",0,X539)),2))</f>
        <v>0</v>
      </c>
      <c r="Z539" s="20">
        <f>IF(B539="","",ROUND(MAX(0,IF(J539="",0,J539)-IF(I539="",0,I539)),2))</f>
        <v>0</v>
      </c>
      <c r="AA539" s="33">
        <f>IF(B539="","",IFERROR(INDEX(Channels!$S$5:$S$18,MATCH(IF(E539="",DefaultChannel,E539),Channels!$A$5:$A$18,0)),0))</f>
        <v>0</v>
      </c>
      <c r="AB539" s="20">
        <f>IF(B539="","",IFERROR(INDEX(Channels!$T$5:$T$18,MATCH(IF(E539="",DefaultChannel,E539),Channels!$A$5:$A$18,0)),0))</f>
        <v>0</v>
      </c>
      <c r="AC539" s="42">
        <f>IF(B539="","",IFERROR(INDEX(Channels!$O$5:$O$18,MATCH(IF(E539="",DefaultChannel,E539),Channels!$A$5:$A$18,0)),"No"))</f>
        <v>0</v>
      </c>
      <c r="AD539" s="20">
        <f>IF(B539="","",ROUND((V539+IF(AC539="Yes",IF(I539="",0,I539),0))*AA539+AB539,2))</f>
        <v>0</v>
      </c>
      <c r="AE539" s="20">
        <f>IF(B539="","",IF(K539&lt;&gt;"",K539,AD539))</f>
        <v>0</v>
      </c>
      <c r="AF539" s="20">
        <f>IF(B539="","",IF(K539="","",ROUND(K539-AD539,2)))</f>
        <v>0</v>
      </c>
      <c r="AG539" s="20">
        <f>IF(B539="","",ROUND(V539-Y539-AE539-Z539,2))</f>
        <v>0</v>
      </c>
      <c r="AH539" s="33">
        <f>IF(B539="","",IF(OR(V539="",V539=0),"",AG539/V539))</f>
        <v>0</v>
      </c>
      <c r="AI539" s="33">
        <f>IF(C539="","",IFERROR(INDEX(Products!$AW$5:$AW$304,MATCH(C539,Products!$A$5:$A$304,0)),""))</f>
        <v>0</v>
      </c>
      <c r="AJ539" s="33">
        <f>IF(B539="","",IF(OR(AH539="",AI539=""),"",AH539-AI539))</f>
        <v>0</v>
      </c>
      <c r="AK539" s="41">
        <f>IF(B539="","",IFERROR(ROUND(IF(D539="",0,D539)*INDEX(Products!$X$5:$X$304,MATCH(C539,Products!$A$5:$A$304,0))/60,2),""))</f>
        <v>0</v>
      </c>
      <c r="AL539" s="20">
        <f>IF(B539="","",IF(OR(AK539="",AK539=0),"",ROUND(AG539/AK539,2)))</f>
        <v>0</v>
      </c>
      <c r="AM539" s="43">
        <f>IF(B539="","",IF(C539="","Add - which product?",IF(AG539&lt;0,"Loss - this order cost you money",IF(M539="Refunded","Refunded - check why",IF(AND(AF539&lt;&gt;"",AF539&gt;0.25),"Check - fees higher than your settings",IF(Z539&gt;1,"Check - postage is eating the margin",IF(AND(AH539&lt;&gt;"",AH539&lt;MarginWarning),"Low margin on this order","OK")))))) )</f>
        <v>0</v>
      </c>
    </row>
    <row r="540" spans="1:39">
      <c r="A540" s="38">
        <f>IF(B540="","",SalePrefix&amp;TEXT(ROW()-4,"0000"))</f>
        <v>0</v>
      </c>
      <c r="Q540" s="13">
        <f>IF(C540="","",IFERROR(INDEX(Products!$B$5:$B$304,MATCH(C540,Products!$A$5:$A$304,0)),"Bundle or deleted"))</f>
        <v>0</v>
      </c>
      <c r="R540" s="13">
        <f>IF(B540="","",TEXT(B540,"yyyy-mm"))</f>
        <v>0</v>
      </c>
      <c r="S540" s="20">
        <f>IF(C540="","",IFERROR(INDEX(Products!$AR$5:$AR$304,MATCH(C540,Products!$A$5:$A$304,0)),""))</f>
        <v>0</v>
      </c>
      <c r="T540" s="20">
        <f>IF(B540="","",IF(F540&lt;&gt;"",F540,IF(S540="",0,S540)))</f>
        <v>0</v>
      </c>
      <c r="U540" s="20">
        <f>IF(B540="","",ROUND(IF(D540="",0,D540)*T540,2))</f>
        <v>0</v>
      </c>
      <c r="V540" s="20">
        <f>IF(B540="","",ROUND(U540-IF(G540="",0,G540)-IF(L540="",0,L540),2))</f>
        <v>0</v>
      </c>
      <c r="W540" s="20">
        <f>IF(C540="","",IFERROR(INDEX(Products!$AT$5:$AT$304,MATCH(C540,Products!$A$5:$A$304,0)),""))</f>
        <v>0</v>
      </c>
      <c r="X540" s="20">
        <f>IF(C540="","",IFERROR(INDEX(Products!$AG$5:$AG$304,MATCH(C540,Products!$A$5:$A$304,0)),""))</f>
        <v>0</v>
      </c>
      <c r="Y540" s="20">
        <f>IF(B540="","",ROUND(IF(D540="",0,D540)*MAX(0,IF(W540="",0,W540)-IF(X540="",0,X540)),2))</f>
        <v>0</v>
      </c>
      <c r="Z540" s="20">
        <f>IF(B540="","",ROUND(MAX(0,IF(J540="",0,J540)-IF(I540="",0,I540)),2))</f>
        <v>0</v>
      </c>
      <c r="AA540" s="33">
        <f>IF(B540="","",IFERROR(INDEX(Channels!$S$5:$S$18,MATCH(IF(E540="",DefaultChannel,E540),Channels!$A$5:$A$18,0)),0))</f>
        <v>0</v>
      </c>
      <c r="AB540" s="20">
        <f>IF(B540="","",IFERROR(INDEX(Channels!$T$5:$T$18,MATCH(IF(E540="",DefaultChannel,E540),Channels!$A$5:$A$18,0)),0))</f>
        <v>0</v>
      </c>
      <c r="AC540" s="42">
        <f>IF(B540="","",IFERROR(INDEX(Channels!$O$5:$O$18,MATCH(IF(E540="",DefaultChannel,E540),Channels!$A$5:$A$18,0)),"No"))</f>
        <v>0</v>
      </c>
      <c r="AD540" s="20">
        <f>IF(B540="","",ROUND((V540+IF(AC540="Yes",IF(I540="",0,I540),0))*AA540+AB540,2))</f>
        <v>0</v>
      </c>
      <c r="AE540" s="20">
        <f>IF(B540="","",IF(K540&lt;&gt;"",K540,AD540))</f>
        <v>0</v>
      </c>
      <c r="AF540" s="20">
        <f>IF(B540="","",IF(K540="","",ROUND(K540-AD540,2)))</f>
        <v>0</v>
      </c>
      <c r="AG540" s="20">
        <f>IF(B540="","",ROUND(V540-Y540-AE540-Z540,2))</f>
        <v>0</v>
      </c>
      <c r="AH540" s="33">
        <f>IF(B540="","",IF(OR(V540="",V540=0),"",AG540/V540))</f>
        <v>0</v>
      </c>
      <c r="AI540" s="33">
        <f>IF(C540="","",IFERROR(INDEX(Products!$AW$5:$AW$304,MATCH(C540,Products!$A$5:$A$304,0)),""))</f>
        <v>0</v>
      </c>
      <c r="AJ540" s="33">
        <f>IF(B540="","",IF(OR(AH540="",AI540=""),"",AH540-AI540))</f>
        <v>0</v>
      </c>
      <c r="AK540" s="41">
        <f>IF(B540="","",IFERROR(ROUND(IF(D540="",0,D540)*INDEX(Products!$X$5:$X$304,MATCH(C540,Products!$A$5:$A$304,0))/60,2),""))</f>
        <v>0</v>
      </c>
      <c r="AL540" s="20">
        <f>IF(B540="","",IF(OR(AK540="",AK540=0),"",ROUND(AG540/AK540,2)))</f>
        <v>0</v>
      </c>
      <c r="AM540" s="43">
        <f>IF(B540="","",IF(C540="","Add - which product?",IF(AG540&lt;0,"Loss - this order cost you money",IF(M540="Refunded","Refunded - check why",IF(AND(AF540&lt;&gt;"",AF540&gt;0.25),"Check - fees higher than your settings",IF(Z540&gt;1,"Check - postage is eating the margin",IF(AND(AH540&lt;&gt;"",AH540&lt;MarginWarning),"Low margin on this order","OK")))))) )</f>
        <v>0</v>
      </c>
    </row>
    <row r="541" spans="1:39">
      <c r="A541" s="38">
        <f>IF(B541="","",SalePrefix&amp;TEXT(ROW()-4,"0000"))</f>
        <v>0</v>
      </c>
      <c r="Q541" s="13">
        <f>IF(C541="","",IFERROR(INDEX(Products!$B$5:$B$304,MATCH(C541,Products!$A$5:$A$304,0)),"Bundle or deleted"))</f>
        <v>0</v>
      </c>
      <c r="R541" s="13">
        <f>IF(B541="","",TEXT(B541,"yyyy-mm"))</f>
        <v>0</v>
      </c>
      <c r="S541" s="20">
        <f>IF(C541="","",IFERROR(INDEX(Products!$AR$5:$AR$304,MATCH(C541,Products!$A$5:$A$304,0)),""))</f>
        <v>0</v>
      </c>
      <c r="T541" s="20">
        <f>IF(B541="","",IF(F541&lt;&gt;"",F541,IF(S541="",0,S541)))</f>
        <v>0</v>
      </c>
      <c r="U541" s="20">
        <f>IF(B541="","",ROUND(IF(D541="",0,D541)*T541,2))</f>
        <v>0</v>
      </c>
      <c r="V541" s="20">
        <f>IF(B541="","",ROUND(U541-IF(G541="",0,G541)-IF(L541="",0,L541),2))</f>
        <v>0</v>
      </c>
      <c r="W541" s="20">
        <f>IF(C541="","",IFERROR(INDEX(Products!$AT$5:$AT$304,MATCH(C541,Products!$A$5:$A$304,0)),""))</f>
        <v>0</v>
      </c>
      <c r="X541" s="20">
        <f>IF(C541="","",IFERROR(INDEX(Products!$AG$5:$AG$304,MATCH(C541,Products!$A$5:$A$304,0)),""))</f>
        <v>0</v>
      </c>
      <c r="Y541" s="20">
        <f>IF(B541="","",ROUND(IF(D541="",0,D541)*MAX(0,IF(W541="",0,W541)-IF(X541="",0,X541)),2))</f>
        <v>0</v>
      </c>
      <c r="Z541" s="20">
        <f>IF(B541="","",ROUND(MAX(0,IF(J541="",0,J541)-IF(I541="",0,I541)),2))</f>
        <v>0</v>
      </c>
      <c r="AA541" s="33">
        <f>IF(B541="","",IFERROR(INDEX(Channels!$S$5:$S$18,MATCH(IF(E541="",DefaultChannel,E541),Channels!$A$5:$A$18,0)),0))</f>
        <v>0</v>
      </c>
      <c r="AB541" s="20">
        <f>IF(B541="","",IFERROR(INDEX(Channels!$T$5:$T$18,MATCH(IF(E541="",DefaultChannel,E541),Channels!$A$5:$A$18,0)),0))</f>
        <v>0</v>
      </c>
      <c r="AC541" s="42">
        <f>IF(B541="","",IFERROR(INDEX(Channels!$O$5:$O$18,MATCH(IF(E541="",DefaultChannel,E541),Channels!$A$5:$A$18,0)),"No"))</f>
        <v>0</v>
      </c>
      <c r="AD541" s="20">
        <f>IF(B541="","",ROUND((V541+IF(AC541="Yes",IF(I541="",0,I541),0))*AA541+AB541,2))</f>
        <v>0</v>
      </c>
      <c r="AE541" s="20">
        <f>IF(B541="","",IF(K541&lt;&gt;"",K541,AD541))</f>
        <v>0</v>
      </c>
      <c r="AF541" s="20">
        <f>IF(B541="","",IF(K541="","",ROUND(K541-AD541,2)))</f>
        <v>0</v>
      </c>
      <c r="AG541" s="20">
        <f>IF(B541="","",ROUND(V541-Y541-AE541-Z541,2))</f>
        <v>0</v>
      </c>
      <c r="AH541" s="33">
        <f>IF(B541="","",IF(OR(V541="",V541=0),"",AG541/V541))</f>
        <v>0</v>
      </c>
      <c r="AI541" s="33">
        <f>IF(C541="","",IFERROR(INDEX(Products!$AW$5:$AW$304,MATCH(C541,Products!$A$5:$A$304,0)),""))</f>
        <v>0</v>
      </c>
      <c r="AJ541" s="33">
        <f>IF(B541="","",IF(OR(AH541="",AI541=""),"",AH541-AI541))</f>
        <v>0</v>
      </c>
      <c r="AK541" s="41">
        <f>IF(B541="","",IFERROR(ROUND(IF(D541="",0,D541)*INDEX(Products!$X$5:$X$304,MATCH(C541,Products!$A$5:$A$304,0))/60,2),""))</f>
        <v>0</v>
      </c>
      <c r="AL541" s="20">
        <f>IF(B541="","",IF(OR(AK541="",AK541=0),"",ROUND(AG541/AK541,2)))</f>
        <v>0</v>
      </c>
      <c r="AM541" s="43">
        <f>IF(B541="","",IF(C541="","Add - which product?",IF(AG541&lt;0,"Loss - this order cost you money",IF(M541="Refunded","Refunded - check why",IF(AND(AF541&lt;&gt;"",AF541&gt;0.25),"Check - fees higher than your settings",IF(Z541&gt;1,"Check - postage is eating the margin",IF(AND(AH541&lt;&gt;"",AH541&lt;MarginWarning),"Low margin on this order","OK")))))) )</f>
        <v>0</v>
      </c>
    </row>
    <row r="542" spans="1:39">
      <c r="A542" s="38">
        <f>IF(B542="","",SalePrefix&amp;TEXT(ROW()-4,"0000"))</f>
        <v>0</v>
      </c>
      <c r="Q542" s="13">
        <f>IF(C542="","",IFERROR(INDEX(Products!$B$5:$B$304,MATCH(C542,Products!$A$5:$A$304,0)),"Bundle or deleted"))</f>
        <v>0</v>
      </c>
      <c r="R542" s="13">
        <f>IF(B542="","",TEXT(B542,"yyyy-mm"))</f>
        <v>0</v>
      </c>
      <c r="S542" s="20">
        <f>IF(C542="","",IFERROR(INDEX(Products!$AR$5:$AR$304,MATCH(C542,Products!$A$5:$A$304,0)),""))</f>
        <v>0</v>
      </c>
      <c r="T542" s="20">
        <f>IF(B542="","",IF(F542&lt;&gt;"",F542,IF(S542="",0,S542)))</f>
        <v>0</v>
      </c>
      <c r="U542" s="20">
        <f>IF(B542="","",ROUND(IF(D542="",0,D542)*T542,2))</f>
        <v>0</v>
      </c>
      <c r="V542" s="20">
        <f>IF(B542="","",ROUND(U542-IF(G542="",0,G542)-IF(L542="",0,L542),2))</f>
        <v>0</v>
      </c>
      <c r="W542" s="20">
        <f>IF(C542="","",IFERROR(INDEX(Products!$AT$5:$AT$304,MATCH(C542,Products!$A$5:$A$304,0)),""))</f>
        <v>0</v>
      </c>
      <c r="X542" s="20">
        <f>IF(C542="","",IFERROR(INDEX(Products!$AG$5:$AG$304,MATCH(C542,Products!$A$5:$A$304,0)),""))</f>
        <v>0</v>
      </c>
      <c r="Y542" s="20">
        <f>IF(B542="","",ROUND(IF(D542="",0,D542)*MAX(0,IF(W542="",0,W542)-IF(X542="",0,X542)),2))</f>
        <v>0</v>
      </c>
      <c r="Z542" s="20">
        <f>IF(B542="","",ROUND(MAX(0,IF(J542="",0,J542)-IF(I542="",0,I542)),2))</f>
        <v>0</v>
      </c>
      <c r="AA542" s="33">
        <f>IF(B542="","",IFERROR(INDEX(Channels!$S$5:$S$18,MATCH(IF(E542="",DefaultChannel,E542),Channels!$A$5:$A$18,0)),0))</f>
        <v>0</v>
      </c>
      <c r="AB542" s="20">
        <f>IF(B542="","",IFERROR(INDEX(Channels!$T$5:$T$18,MATCH(IF(E542="",DefaultChannel,E542),Channels!$A$5:$A$18,0)),0))</f>
        <v>0</v>
      </c>
      <c r="AC542" s="42">
        <f>IF(B542="","",IFERROR(INDEX(Channels!$O$5:$O$18,MATCH(IF(E542="",DefaultChannel,E542),Channels!$A$5:$A$18,0)),"No"))</f>
        <v>0</v>
      </c>
      <c r="AD542" s="20">
        <f>IF(B542="","",ROUND((V542+IF(AC542="Yes",IF(I542="",0,I542),0))*AA542+AB542,2))</f>
        <v>0</v>
      </c>
      <c r="AE542" s="20">
        <f>IF(B542="","",IF(K542&lt;&gt;"",K542,AD542))</f>
        <v>0</v>
      </c>
      <c r="AF542" s="20">
        <f>IF(B542="","",IF(K542="","",ROUND(K542-AD542,2)))</f>
        <v>0</v>
      </c>
      <c r="AG542" s="20">
        <f>IF(B542="","",ROUND(V542-Y542-AE542-Z542,2))</f>
        <v>0</v>
      </c>
      <c r="AH542" s="33">
        <f>IF(B542="","",IF(OR(V542="",V542=0),"",AG542/V542))</f>
        <v>0</v>
      </c>
      <c r="AI542" s="33">
        <f>IF(C542="","",IFERROR(INDEX(Products!$AW$5:$AW$304,MATCH(C542,Products!$A$5:$A$304,0)),""))</f>
        <v>0</v>
      </c>
      <c r="AJ542" s="33">
        <f>IF(B542="","",IF(OR(AH542="",AI542=""),"",AH542-AI542))</f>
        <v>0</v>
      </c>
      <c r="AK542" s="41">
        <f>IF(B542="","",IFERROR(ROUND(IF(D542="",0,D542)*INDEX(Products!$X$5:$X$304,MATCH(C542,Products!$A$5:$A$304,0))/60,2),""))</f>
        <v>0</v>
      </c>
      <c r="AL542" s="20">
        <f>IF(B542="","",IF(OR(AK542="",AK542=0),"",ROUND(AG542/AK542,2)))</f>
        <v>0</v>
      </c>
      <c r="AM542" s="43">
        <f>IF(B542="","",IF(C542="","Add - which product?",IF(AG542&lt;0,"Loss - this order cost you money",IF(M542="Refunded","Refunded - check why",IF(AND(AF542&lt;&gt;"",AF542&gt;0.25),"Check - fees higher than your settings",IF(Z542&gt;1,"Check - postage is eating the margin",IF(AND(AH542&lt;&gt;"",AH542&lt;MarginWarning),"Low margin on this order","OK")))))) )</f>
        <v>0</v>
      </c>
    </row>
    <row r="543" spans="1:39">
      <c r="A543" s="38">
        <f>IF(B543="","",SalePrefix&amp;TEXT(ROW()-4,"0000"))</f>
        <v>0</v>
      </c>
      <c r="Q543" s="13">
        <f>IF(C543="","",IFERROR(INDEX(Products!$B$5:$B$304,MATCH(C543,Products!$A$5:$A$304,0)),"Bundle or deleted"))</f>
        <v>0</v>
      </c>
      <c r="R543" s="13">
        <f>IF(B543="","",TEXT(B543,"yyyy-mm"))</f>
        <v>0</v>
      </c>
      <c r="S543" s="20">
        <f>IF(C543="","",IFERROR(INDEX(Products!$AR$5:$AR$304,MATCH(C543,Products!$A$5:$A$304,0)),""))</f>
        <v>0</v>
      </c>
      <c r="T543" s="20">
        <f>IF(B543="","",IF(F543&lt;&gt;"",F543,IF(S543="",0,S543)))</f>
        <v>0</v>
      </c>
      <c r="U543" s="20">
        <f>IF(B543="","",ROUND(IF(D543="",0,D543)*T543,2))</f>
        <v>0</v>
      </c>
      <c r="V543" s="20">
        <f>IF(B543="","",ROUND(U543-IF(G543="",0,G543)-IF(L543="",0,L543),2))</f>
        <v>0</v>
      </c>
      <c r="W543" s="20">
        <f>IF(C543="","",IFERROR(INDEX(Products!$AT$5:$AT$304,MATCH(C543,Products!$A$5:$A$304,0)),""))</f>
        <v>0</v>
      </c>
      <c r="X543" s="20">
        <f>IF(C543="","",IFERROR(INDEX(Products!$AG$5:$AG$304,MATCH(C543,Products!$A$5:$A$304,0)),""))</f>
        <v>0</v>
      </c>
      <c r="Y543" s="20">
        <f>IF(B543="","",ROUND(IF(D543="",0,D543)*MAX(0,IF(W543="",0,W543)-IF(X543="",0,X543)),2))</f>
        <v>0</v>
      </c>
      <c r="Z543" s="20">
        <f>IF(B543="","",ROUND(MAX(0,IF(J543="",0,J543)-IF(I543="",0,I543)),2))</f>
        <v>0</v>
      </c>
      <c r="AA543" s="33">
        <f>IF(B543="","",IFERROR(INDEX(Channels!$S$5:$S$18,MATCH(IF(E543="",DefaultChannel,E543),Channels!$A$5:$A$18,0)),0))</f>
        <v>0</v>
      </c>
      <c r="AB543" s="20">
        <f>IF(B543="","",IFERROR(INDEX(Channels!$T$5:$T$18,MATCH(IF(E543="",DefaultChannel,E543),Channels!$A$5:$A$18,0)),0))</f>
        <v>0</v>
      </c>
      <c r="AC543" s="42">
        <f>IF(B543="","",IFERROR(INDEX(Channels!$O$5:$O$18,MATCH(IF(E543="",DefaultChannel,E543),Channels!$A$5:$A$18,0)),"No"))</f>
        <v>0</v>
      </c>
      <c r="AD543" s="20">
        <f>IF(B543="","",ROUND((V543+IF(AC543="Yes",IF(I543="",0,I543),0))*AA543+AB543,2))</f>
        <v>0</v>
      </c>
      <c r="AE543" s="20">
        <f>IF(B543="","",IF(K543&lt;&gt;"",K543,AD543))</f>
        <v>0</v>
      </c>
      <c r="AF543" s="20">
        <f>IF(B543="","",IF(K543="","",ROUND(K543-AD543,2)))</f>
        <v>0</v>
      </c>
      <c r="AG543" s="20">
        <f>IF(B543="","",ROUND(V543-Y543-AE543-Z543,2))</f>
        <v>0</v>
      </c>
      <c r="AH543" s="33">
        <f>IF(B543="","",IF(OR(V543="",V543=0),"",AG543/V543))</f>
        <v>0</v>
      </c>
      <c r="AI543" s="33">
        <f>IF(C543="","",IFERROR(INDEX(Products!$AW$5:$AW$304,MATCH(C543,Products!$A$5:$A$304,0)),""))</f>
        <v>0</v>
      </c>
      <c r="AJ543" s="33">
        <f>IF(B543="","",IF(OR(AH543="",AI543=""),"",AH543-AI543))</f>
        <v>0</v>
      </c>
      <c r="AK543" s="41">
        <f>IF(B543="","",IFERROR(ROUND(IF(D543="",0,D543)*INDEX(Products!$X$5:$X$304,MATCH(C543,Products!$A$5:$A$304,0))/60,2),""))</f>
        <v>0</v>
      </c>
      <c r="AL543" s="20">
        <f>IF(B543="","",IF(OR(AK543="",AK543=0),"",ROUND(AG543/AK543,2)))</f>
        <v>0</v>
      </c>
      <c r="AM543" s="43">
        <f>IF(B543="","",IF(C543="","Add - which product?",IF(AG543&lt;0,"Loss - this order cost you money",IF(M543="Refunded","Refunded - check why",IF(AND(AF543&lt;&gt;"",AF543&gt;0.25),"Check - fees higher than your settings",IF(Z543&gt;1,"Check - postage is eating the margin",IF(AND(AH543&lt;&gt;"",AH543&lt;MarginWarning),"Low margin on this order","OK")))))) )</f>
        <v>0</v>
      </c>
    </row>
    <row r="544" spans="1:39">
      <c r="A544" s="38">
        <f>IF(B544="","",SalePrefix&amp;TEXT(ROW()-4,"0000"))</f>
        <v>0</v>
      </c>
      <c r="Q544" s="13">
        <f>IF(C544="","",IFERROR(INDEX(Products!$B$5:$B$304,MATCH(C544,Products!$A$5:$A$304,0)),"Bundle or deleted"))</f>
        <v>0</v>
      </c>
      <c r="R544" s="13">
        <f>IF(B544="","",TEXT(B544,"yyyy-mm"))</f>
        <v>0</v>
      </c>
      <c r="S544" s="20">
        <f>IF(C544="","",IFERROR(INDEX(Products!$AR$5:$AR$304,MATCH(C544,Products!$A$5:$A$304,0)),""))</f>
        <v>0</v>
      </c>
      <c r="T544" s="20">
        <f>IF(B544="","",IF(F544&lt;&gt;"",F544,IF(S544="",0,S544)))</f>
        <v>0</v>
      </c>
      <c r="U544" s="20">
        <f>IF(B544="","",ROUND(IF(D544="",0,D544)*T544,2))</f>
        <v>0</v>
      </c>
      <c r="V544" s="20">
        <f>IF(B544="","",ROUND(U544-IF(G544="",0,G544)-IF(L544="",0,L544),2))</f>
        <v>0</v>
      </c>
      <c r="W544" s="20">
        <f>IF(C544="","",IFERROR(INDEX(Products!$AT$5:$AT$304,MATCH(C544,Products!$A$5:$A$304,0)),""))</f>
        <v>0</v>
      </c>
      <c r="X544" s="20">
        <f>IF(C544="","",IFERROR(INDEX(Products!$AG$5:$AG$304,MATCH(C544,Products!$A$5:$A$304,0)),""))</f>
        <v>0</v>
      </c>
      <c r="Y544" s="20">
        <f>IF(B544="","",ROUND(IF(D544="",0,D544)*MAX(0,IF(W544="",0,W544)-IF(X544="",0,X544)),2))</f>
        <v>0</v>
      </c>
      <c r="Z544" s="20">
        <f>IF(B544="","",ROUND(MAX(0,IF(J544="",0,J544)-IF(I544="",0,I544)),2))</f>
        <v>0</v>
      </c>
      <c r="AA544" s="33">
        <f>IF(B544="","",IFERROR(INDEX(Channels!$S$5:$S$18,MATCH(IF(E544="",DefaultChannel,E544),Channels!$A$5:$A$18,0)),0))</f>
        <v>0</v>
      </c>
      <c r="AB544" s="20">
        <f>IF(B544="","",IFERROR(INDEX(Channels!$T$5:$T$18,MATCH(IF(E544="",DefaultChannel,E544),Channels!$A$5:$A$18,0)),0))</f>
        <v>0</v>
      </c>
      <c r="AC544" s="42">
        <f>IF(B544="","",IFERROR(INDEX(Channels!$O$5:$O$18,MATCH(IF(E544="",DefaultChannel,E544),Channels!$A$5:$A$18,0)),"No"))</f>
        <v>0</v>
      </c>
      <c r="AD544" s="20">
        <f>IF(B544="","",ROUND((V544+IF(AC544="Yes",IF(I544="",0,I544),0))*AA544+AB544,2))</f>
        <v>0</v>
      </c>
      <c r="AE544" s="20">
        <f>IF(B544="","",IF(K544&lt;&gt;"",K544,AD544))</f>
        <v>0</v>
      </c>
      <c r="AF544" s="20">
        <f>IF(B544="","",IF(K544="","",ROUND(K544-AD544,2)))</f>
        <v>0</v>
      </c>
      <c r="AG544" s="20">
        <f>IF(B544="","",ROUND(V544-Y544-AE544-Z544,2))</f>
        <v>0</v>
      </c>
      <c r="AH544" s="33">
        <f>IF(B544="","",IF(OR(V544="",V544=0),"",AG544/V544))</f>
        <v>0</v>
      </c>
      <c r="AI544" s="33">
        <f>IF(C544="","",IFERROR(INDEX(Products!$AW$5:$AW$304,MATCH(C544,Products!$A$5:$A$304,0)),""))</f>
        <v>0</v>
      </c>
      <c r="AJ544" s="33">
        <f>IF(B544="","",IF(OR(AH544="",AI544=""),"",AH544-AI544))</f>
        <v>0</v>
      </c>
      <c r="AK544" s="41">
        <f>IF(B544="","",IFERROR(ROUND(IF(D544="",0,D544)*INDEX(Products!$X$5:$X$304,MATCH(C544,Products!$A$5:$A$304,0))/60,2),""))</f>
        <v>0</v>
      </c>
      <c r="AL544" s="20">
        <f>IF(B544="","",IF(OR(AK544="",AK544=0),"",ROUND(AG544/AK544,2)))</f>
        <v>0</v>
      </c>
      <c r="AM544" s="43">
        <f>IF(B544="","",IF(C544="","Add - which product?",IF(AG544&lt;0,"Loss - this order cost you money",IF(M544="Refunded","Refunded - check why",IF(AND(AF544&lt;&gt;"",AF544&gt;0.25),"Check - fees higher than your settings",IF(Z544&gt;1,"Check - postage is eating the margin",IF(AND(AH544&lt;&gt;"",AH544&lt;MarginWarning),"Low margin on this order","OK")))))) )</f>
        <v>0</v>
      </c>
    </row>
    <row r="545" spans="1:39">
      <c r="A545" s="38">
        <f>IF(B545="","",SalePrefix&amp;TEXT(ROW()-4,"0000"))</f>
        <v>0</v>
      </c>
      <c r="Q545" s="13">
        <f>IF(C545="","",IFERROR(INDEX(Products!$B$5:$B$304,MATCH(C545,Products!$A$5:$A$304,0)),"Bundle or deleted"))</f>
        <v>0</v>
      </c>
      <c r="R545" s="13">
        <f>IF(B545="","",TEXT(B545,"yyyy-mm"))</f>
        <v>0</v>
      </c>
      <c r="S545" s="20">
        <f>IF(C545="","",IFERROR(INDEX(Products!$AR$5:$AR$304,MATCH(C545,Products!$A$5:$A$304,0)),""))</f>
        <v>0</v>
      </c>
      <c r="T545" s="20">
        <f>IF(B545="","",IF(F545&lt;&gt;"",F545,IF(S545="",0,S545)))</f>
        <v>0</v>
      </c>
      <c r="U545" s="20">
        <f>IF(B545="","",ROUND(IF(D545="",0,D545)*T545,2))</f>
        <v>0</v>
      </c>
      <c r="V545" s="20">
        <f>IF(B545="","",ROUND(U545-IF(G545="",0,G545)-IF(L545="",0,L545),2))</f>
        <v>0</v>
      </c>
      <c r="W545" s="20">
        <f>IF(C545="","",IFERROR(INDEX(Products!$AT$5:$AT$304,MATCH(C545,Products!$A$5:$A$304,0)),""))</f>
        <v>0</v>
      </c>
      <c r="X545" s="20">
        <f>IF(C545="","",IFERROR(INDEX(Products!$AG$5:$AG$304,MATCH(C545,Products!$A$5:$A$304,0)),""))</f>
        <v>0</v>
      </c>
      <c r="Y545" s="20">
        <f>IF(B545="","",ROUND(IF(D545="",0,D545)*MAX(0,IF(W545="",0,W545)-IF(X545="",0,X545)),2))</f>
        <v>0</v>
      </c>
      <c r="Z545" s="20">
        <f>IF(B545="","",ROUND(MAX(0,IF(J545="",0,J545)-IF(I545="",0,I545)),2))</f>
        <v>0</v>
      </c>
      <c r="AA545" s="33">
        <f>IF(B545="","",IFERROR(INDEX(Channels!$S$5:$S$18,MATCH(IF(E545="",DefaultChannel,E545),Channels!$A$5:$A$18,0)),0))</f>
        <v>0</v>
      </c>
      <c r="AB545" s="20">
        <f>IF(B545="","",IFERROR(INDEX(Channels!$T$5:$T$18,MATCH(IF(E545="",DefaultChannel,E545),Channels!$A$5:$A$18,0)),0))</f>
        <v>0</v>
      </c>
      <c r="AC545" s="42">
        <f>IF(B545="","",IFERROR(INDEX(Channels!$O$5:$O$18,MATCH(IF(E545="",DefaultChannel,E545),Channels!$A$5:$A$18,0)),"No"))</f>
        <v>0</v>
      </c>
      <c r="AD545" s="20">
        <f>IF(B545="","",ROUND((V545+IF(AC545="Yes",IF(I545="",0,I545),0))*AA545+AB545,2))</f>
        <v>0</v>
      </c>
      <c r="AE545" s="20">
        <f>IF(B545="","",IF(K545&lt;&gt;"",K545,AD545))</f>
        <v>0</v>
      </c>
      <c r="AF545" s="20">
        <f>IF(B545="","",IF(K545="","",ROUND(K545-AD545,2)))</f>
        <v>0</v>
      </c>
      <c r="AG545" s="20">
        <f>IF(B545="","",ROUND(V545-Y545-AE545-Z545,2))</f>
        <v>0</v>
      </c>
      <c r="AH545" s="33">
        <f>IF(B545="","",IF(OR(V545="",V545=0),"",AG545/V545))</f>
        <v>0</v>
      </c>
      <c r="AI545" s="33">
        <f>IF(C545="","",IFERROR(INDEX(Products!$AW$5:$AW$304,MATCH(C545,Products!$A$5:$A$304,0)),""))</f>
        <v>0</v>
      </c>
      <c r="AJ545" s="33">
        <f>IF(B545="","",IF(OR(AH545="",AI545=""),"",AH545-AI545))</f>
        <v>0</v>
      </c>
      <c r="AK545" s="41">
        <f>IF(B545="","",IFERROR(ROUND(IF(D545="",0,D545)*INDEX(Products!$X$5:$X$304,MATCH(C545,Products!$A$5:$A$304,0))/60,2),""))</f>
        <v>0</v>
      </c>
      <c r="AL545" s="20">
        <f>IF(B545="","",IF(OR(AK545="",AK545=0),"",ROUND(AG545/AK545,2)))</f>
        <v>0</v>
      </c>
      <c r="AM545" s="43">
        <f>IF(B545="","",IF(C545="","Add - which product?",IF(AG545&lt;0,"Loss - this order cost you money",IF(M545="Refunded","Refunded - check why",IF(AND(AF545&lt;&gt;"",AF545&gt;0.25),"Check - fees higher than your settings",IF(Z545&gt;1,"Check - postage is eating the margin",IF(AND(AH545&lt;&gt;"",AH545&lt;MarginWarning),"Low margin on this order","OK")))))) )</f>
        <v>0</v>
      </c>
    </row>
    <row r="546" spans="1:39">
      <c r="A546" s="38">
        <f>IF(B546="","",SalePrefix&amp;TEXT(ROW()-4,"0000"))</f>
        <v>0</v>
      </c>
      <c r="Q546" s="13">
        <f>IF(C546="","",IFERROR(INDEX(Products!$B$5:$B$304,MATCH(C546,Products!$A$5:$A$304,0)),"Bundle or deleted"))</f>
        <v>0</v>
      </c>
      <c r="R546" s="13">
        <f>IF(B546="","",TEXT(B546,"yyyy-mm"))</f>
        <v>0</v>
      </c>
      <c r="S546" s="20">
        <f>IF(C546="","",IFERROR(INDEX(Products!$AR$5:$AR$304,MATCH(C546,Products!$A$5:$A$304,0)),""))</f>
        <v>0</v>
      </c>
      <c r="T546" s="20">
        <f>IF(B546="","",IF(F546&lt;&gt;"",F546,IF(S546="",0,S546)))</f>
        <v>0</v>
      </c>
      <c r="U546" s="20">
        <f>IF(B546="","",ROUND(IF(D546="",0,D546)*T546,2))</f>
        <v>0</v>
      </c>
      <c r="V546" s="20">
        <f>IF(B546="","",ROUND(U546-IF(G546="",0,G546)-IF(L546="",0,L546),2))</f>
        <v>0</v>
      </c>
      <c r="W546" s="20">
        <f>IF(C546="","",IFERROR(INDEX(Products!$AT$5:$AT$304,MATCH(C546,Products!$A$5:$A$304,0)),""))</f>
        <v>0</v>
      </c>
      <c r="X546" s="20">
        <f>IF(C546="","",IFERROR(INDEX(Products!$AG$5:$AG$304,MATCH(C546,Products!$A$5:$A$304,0)),""))</f>
        <v>0</v>
      </c>
      <c r="Y546" s="20">
        <f>IF(B546="","",ROUND(IF(D546="",0,D546)*MAX(0,IF(W546="",0,W546)-IF(X546="",0,X546)),2))</f>
        <v>0</v>
      </c>
      <c r="Z546" s="20">
        <f>IF(B546="","",ROUND(MAX(0,IF(J546="",0,J546)-IF(I546="",0,I546)),2))</f>
        <v>0</v>
      </c>
      <c r="AA546" s="33">
        <f>IF(B546="","",IFERROR(INDEX(Channels!$S$5:$S$18,MATCH(IF(E546="",DefaultChannel,E546),Channels!$A$5:$A$18,0)),0))</f>
        <v>0</v>
      </c>
      <c r="AB546" s="20">
        <f>IF(B546="","",IFERROR(INDEX(Channels!$T$5:$T$18,MATCH(IF(E546="",DefaultChannel,E546),Channels!$A$5:$A$18,0)),0))</f>
        <v>0</v>
      </c>
      <c r="AC546" s="42">
        <f>IF(B546="","",IFERROR(INDEX(Channels!$O$5:$O$18,MATCH(IF(E546="",DefaultChannel,E546),Channels!$A$5:$A$18,0)),"No"))</f>
        <v>0</v>
      </c>
      <c r="AD546" s="20">
        <f>IF(B546="","",ROUND((V546+IF(AC546="Yes",IF(I546="",0,I546),0))*AA546+AB546,2))</f>
        <v>0</v>
      </c>
      <c r="AE546" s="20">
        <f>IF(B546="","",IF(K546&lt;&gt;"",K546,AD546))</f>
        <v>0</v>
      </c>
      <c r="AF546" s="20">
        <f>IF(B546="","",IF(K546="","",ROUND(K546-AD546,2)))</f>
        <v>0</v>
      </c>
      <c r="AG546" s="20">
        <f>IF(B546="","",ROUND(V546-Y546-AE546-Z546,2))</f>
        <v>0</v>
      </c>
      <c r="AH546" s="33">
        <f>IF(B546="","",IF(OR(V546="",V546=0),"",AG546/V546))</f>
        <v>0</v>
      </c>
      <c r="AI546" s="33">
        <f>IF(C546="","",IFERROR(INDEX(Products!$AW$5:$AW$304,MATCH(C546,Products!$A$5:$A$304,0)),""))</f>
        <v>0</v>
      </c>
      <c r="AJ546" s="33">
        <f>IF(B546="","",IF(OR(AH546="",AI546=""),"",AH546-AI546))</f>
        <v>0</v>
      </c>
      <c r="AK546" s="41">
        <f>IF(B546="","",IFERROR(ROUND(IF(D546="",0,D546)*INDEX(Products!$X$5:$X$304,MATCH(C546,Products!$A$5:$A$304,0))/60,2),""))</f>
        <v>0</v>
      </c>
      <c r="AL546" s="20">
        <f>IF(B546="","",IF(OR(AK546="",AK546=0),"",ROUND(AG546/AK546,2)))</f>
        <v>0</v>
      </c>
      <c r="AM546" s="43">
        <f>IF(B546="","",IF(C546="","Add - which product?",IF(AG546&lt;0,"Loss - this order cost you money",IF(M546="Refunded","Refunded - check why",IF(AND(AF546&lt;&gt;"",AF546&gt;0.25),"Check - fees higher than your settings",IF(Z546&gt;1,"Check - postage is eating the margin",IF(AND(AH546&lt;&gt;"",AH546&lt;MarginWarning),"Low margin on this order","OK")))))) )</f>
        <v>0</v>
      </c>
    </row>
    <row r="547" spans="1:39">
      <c r="A547" s="38">
        <f>IF(B547="","",SalePrefix&amp;TEXT(ROW()-4,"0000"))</f>
        <v>0</v>
      </c>
      <c r="Q547" s="13">
        <f>IF(C547="","",IFERROR(INDEX(Products!$B$5:$B$304,MATCH(C547,Products!$A$5:$A$304,0)),"Bundle or deleted"))</f>
        <v>0</v>
      </c>
      <c r="R547" s="13">
        <f>IF(B547="","",TEXT(B547,"yyyy-mm"))</f>
        <v>0</v>
      </c>
      <c r="S547" s="20">
        <f>IF(C547="","",IFERROR(INDEX(Products!$AR$5:$AR$304,MATCH(C547,Products!$A$5:$A$304,0)),""))</f>
        <v>0</v>
      </c>
      <c r="T547" s="20">
        <f>IF(B547="","",IF(F547&lt;&gt;"",F547,IF(S547="",0,S547)))</f>
        <v>0</v>
      </c>
      <c r="U547" s="20">
        <f>IF(B547="","",ROUND(IF(D547="",0,D547)*T547,2))</f>
        <v>0</v>
      </c>
      <c r="V547" s="20">
        <f>IF(B547="","",ROUND(U547-IF(G547="",0,G547)-IF(L547="",0,L547),2))</f>
        <v>0</v>
      </c>
      <c r="W547" s="20">
        <f>IF(C547="","",IFERROR(INDEX(Products!$AT$5:$AT$304,MATCH(C547,Products!$A$5:$A$304,0)),""))</f>
        <v>0</v>
      </c>
      <c r="X547" s="20">
        <f>IF(C547="","",IFERROR(INDEX(Products!$AG$5:$AG$304,MATCH(C547,Products!$A$5:$A$304,0)),""))</f>
        <v>0</v>
      </c>
      <c r="Y547" s="20">
        <f>IF(B547="","",ROUND(IF(D547="",0,D547)*MAX(0,IF(W547="",0,W547)-IF(X547="",0,X547)),2))</f>
        <v>0</v>
      </c>
      <c r="Z547" s="20">
        <f>IF(B547="","",ROUND(MAX(0,IF(J547="",0,J547)-IF(I547="",0,I547)),2))</f>
        <v>0</v>
      </c>
      <c r="AA547" s="33">
        <f>IF(B547="","",IFERROR(INDEX(Channels!$S$5:$S$18,MATCH(IF(E547="",DefaultChannel,E547),Channels!$A$5:$A$18,0)),0))</f>
        <v>0</v>
      </c>
      <c r="AB547" s="20">
        <f>IF(B547="","",IFERROR(INDEX(Channels!$T$5:$T$18,MATCH(IF(E547="",DefaultChannel,E547),Channels!$A$5:$A$18,0)),0))</f>
        <v>0</v>
      </c>
      <c r="AC547" s="42">
        <f>IF(B547="","",IFERROR(INDEX(Channels!$O$5:$O$18,MATCH(IF(E547="",DefaultChannel,E547),Channels!$A$5:$A$18,0)),"No"))</f>
        <v>0</v>
      </c>
      <c r="AD547" s="20">
        <f>IF(B547="","",ROUND((V547+IF(AC547="Yes",IF(I547="",0,I547),0))*AA547+AB547,2))</f>
        <v>0</v>
      </c>
      <c r="AE547" s="20">
        <f>IF(B547="","",IF(K547&lt;&gt;"",K547,AD547))</f>
        <v>0</v>
      </c>
      <c r="AF547" s="20">
        <f>IF(B547="","",IF(K547="","",ROUND(K547-AD547,2)))</f>
        <v>0</v>
      </c>
      <c r="AG547" s="20">
        <f>IF(B547="","",ROUND(V547-Y547-AE547-Z547,2))</f>
        <v>0</v>
      </c>
      <c r="AH547" s="33">
        <f>IF(B547="","",IF(OR(V547="",V547=0),"",AG547/V547))</f>
        <v>0</v>
      </c>
      <c r="AI547" s="33">
        <f>IF(C547="","",IFERROR(INDEX(Products!$AW$5:$AW$304,MATCH(C547,Products!$A$5:$A$304,0)),""))</f>
        <v>0</v>
      </c>
      <c r="AJ547" s="33">
        <f>IF(B547="","",IF(OR(AH547="",AI547=""),"",AH547-AI547))</f>
        <v>0</v>
      </c>
      <c r="AK547" s="41">
        <f>IF(B547="","",IFERROR(ROUND(IF(D547="",0,D547)*INDEX(Products!$X$5:$X$304,MATCH(C547,Products!$A$5:$A$304,0))/60,2),""))</f>
        <v>0</v>
      </c>
      <c r="AL547" s="20">
        <f>IF(B547="","",IF(OR(AK547="",AK547=0),"",ROUND(AG547/AK547,2)))</f>
        <v>0</v>
      </c>
      <c r="AM547" s="43">
        <f>IF(B547="","",IF(C547="","Add - which product?",IF(AG547&lt;0,"Loss - this order cost you money",IF(M547="Refunded","Refunded - check why",IF(AND(AF547&lt;&gt;"",AF547&gt;0.25),"Check - fees higher than your settings",IF(Z547&gt;1,"Check - postage is eating the margin",IF(AND(AH547&lt;&gt;"",AH547&lt;MarginWarning),"Low margin on this order","OK")))))) )</f>
        <v>0</v>
      </c>
    </row>
    <row r="548" spans="1:39">
      <c r="A548" s="38">
        <f>IF(B548="","",SalePrefix&amp;TEXT(ROW()-4,"0000"))</f>
        <v>0</v>
      </c>
      <c r="Q548" s="13">
        <f>IF(C548="","",IFERROR(INDEX(Products!$B$5:$B$304,MATCH(C548,Products!$A$5:$A$304,0)),"Bundle or deleted"))</f>
        <v>0</v>
      </c>
      <c r="R548" s="13">
        <f>IF(B548="","",TEXT(B548,"yyyy-mm"))</f>
        <v>0</v>
      </c>
      <c r="S548" s="20">
        <f>IF(C548="","",IFERROR(INDEX(Products!$AR$5:$AR$304,MATCH(C548,Products!$A$5:$A$304,0)),""))</f>
        <v>0</v>
      </c>
      <c r="T548" s="20">
        <f>IF(B548="","",IF(F548&lt;&gt;"",F548,IF(S548="",0,S548)))</f>
        <v>0</v>
      </c>
      <c r="U548" s="20">
        <f>IF(B548="","",ROUND(IF(D548="",0,D548)*T548,2))</f>
        <v>0</v>
      </c>
      <c r="V548" s="20">
        <f>IF(B548="","",ROUND(U548-IF(G548="",0,G548)-IF(L548="",0,L548),2))</f>
        <v>0</v>
      </c>
      <c r="W548" s="20">
        <f>IF(C548="","",IFERROR(INDEX(Products!$AT$5:$AT$304,MATCH(C548,Products!$A$5:$A$304,0)),""))</f>
        <v>0</v>
      </c>
      <c r="X548" s="20">
        <f>IF(C548="","",IFERROR(INDEX(Products!$AG$5:$AG$304,MATCH(C548,Products!$A$5:$A$304,0)),""))</f>
        <v>0</v>
      </c>
      <c r="Y548" s="20">
        <f>IF(B548="","",ROUND(IF(D548="",0,D548)*MAX(0,IF(W548="",0,W548)-IF(X548="",0,X548)),2))</f>
        <v>0</v>
      </c>
      <c r="Z548" s="20">
        <f>IF(B548="","",ROUND(MAX(0,IF(J548="",0,J548)-IF(I548="",0,I548)),2))</f>
        <v>0</v>
      </c>
      <c r="AA548" s="33">
        <f>IF(B548="","",IFERROR(INDEX(Channels!$S$5:$S$18,MATCH(IF(E548="",DefaultChannel,E548),Channels!$A$5:$A$18,0)),0))</f>
        <v>0</v>
      </c>
      <c r="AB548" s="20">
        <f>IF(B548="","",IFERROR(INDEX(Channels!$T$5:$T$18,MATCH(IF(E548="",DefaultChannel,E548),Channels!$A$5:$A$18,0)),0))</f>
        <v>0</v>
      </c>
      <c r="AC548" s="42">
        <f>IF(B548="","",IFERROR(INDEX(Channels!$O$5:$O$18,MATCH(IF(E548="",DefaultChannel,E548),Channels!$A$5:$A$18,0)),"No"))</f>
        <v>0</v>
      </c>
      <c r="AD548" s="20">
        <f>IF(B548="","",ROUND((V548+IF(AC548="Yes",IF(I548="",0,I548),0))*AA548+AB548,2))</f>
        <v>0</v>
      </c>
      <c r="AE548" s="20">
        <f>IF(B548="","",IF(K548&lt;&gt;"",K548,AD548))</f>
        <v>0</v>
      </c>
      <c r="AF548" s="20">
        <f>IF(B548="","",IF(K548="","",ROUND(K548-AD548,2)))</f>
        <v>0</v>
      </c>
      <c r="AG548" s="20">
        <f>IF(B548="","",ROUND(V548-Y548-AE548-Z548,2))</f>
        <v>0</v>
      </c>
      <c r="AH548" s="33">
        <f>IF(B548="","",IF(OR(V548="",V548=0),"",AG548/V548))</f>
        <v>0</v>
      </c>
      <c r="AI548" s="33">
        <f>IF(C548="","",IFERROR(INDEX(Products!$AW$5:$AW$304,MATCH(C548,Products!$A$5:$A$304,0)),""))</f>
        <v>0</v>
      </c>
      <c r="AJ548" s="33">
        <f>IF(B548="","",IF(OR(AH548="",AI548=""),"",AH548-AI548))</f>
        <v>0</v>
      </c>
      <c r="AK548" s="41">
        <f>IF(B548="","",IFERROR(ROUND(IF(D548="",0,D548)*INDEX(Products!$X$5:$X$304,MATCH(C548,Products!$A$5:$A$304,0))/60,2),""))</f>
        <v>0</v>
      </c>
      <c r="AL548" s="20">
        <f>IF(B548="","",IF(OR(AK548="",AK548=0),"",ROUND(AG548/AK548,2)))</f>
        <v>0</v>
      </c>
      <c r="AM548" s="43">
        <f>IF(B548="","",IF(C548="","Add - which product?",IF(AG548&lt;0,"Loss - this order cost you money",IF(M548="Refunded","Refunded - check why",IF(AND(AF548&lt;&gt;"",AF548&gt;0.25),"Check - fees higher than your settings",IF(Z548&gt;1,"Check - postage is eating the margin",IF(AND(AH548&lt;&gt;"",AH548&lt;MarginWarning),"Low margin on this order","OK")))))) )</f>
        <v>0</v>
      </c>
    </row>
    <row r="549" spans="1:39">
      <c r="A549" s="38">
        <f>IF(B549="","",SalePrefix&amp;TEXT(ROW()-4,"0000"))</f>
        <v>0</v>
      </c>
      <c r="Q549" s="13">
        <f>IF(C549="","",IFERROR(INDEX(Products!$B$5:$B$304,MATCH(C549,Products!$A$5:$A$304,0)),"Bundle or deleted"))</f>
        <v>0</v>
      </c>
      <c r="R549" s="13">
        <f>IF(B549="","",TEXT(B549,"yyyy-mm"))</f>
        <v>0</v>
      </c>
      <c r="S549" s="20">
        <f>IF(C549="","",IFERROR(INDEX(Products!$AR$5:$AR$304,MATCH(C549,Products!$A$5:$A$304,0)),""))</f>
        <v>0</v>
      </c>
      <c r="T549" s="20">
        <f>IF(B549="","",IF(F549&lt;&gt;"",F549,IF(S549="",0,S549)))</f>
        <v>0</v>
      </c>
      <c r="U549" s="20">
        <f>IF(B549="","",ROUND(IF(D549="",0,D549)*T549,2))</f>
        <v>0</v>
      </c>
      <c r="V549" s="20">
        <f>IF(B549="","",ROUND(U549-IF(G549="",0,G549)-IF(L549="",0,L549),2))</f>
        <v>0</v>
      </c>
      <c r="W549" s="20">
        <f>IF(C549="","",IFERROR(INDEX(Products!$AT$5:$AT$304,MATCH(C549,Products!$A$5:$A$304,0)),""))</f>
        <v>0</v>
      </c>
      <c r="X549" s="20">
        <f>IF(C549="","",IFERROR(INDEX(Products!$AG$5:$AG$304,MATCH(C549,Products!$A$5:$A$304,0)),""))</f>
        <v>0</v>
      </c>
      <c r="Y549" s="20">
        <f>IF(B549="","",ROUND(IF(D549="",0,D549)*MAX(0,IF(W549="",0,W549)-IF(X549="",0,X549)),2))</f>
        <v>0</v>
      </c>
      <c r="Z549" s="20">
        <f>IF(B549="","",ROUND(MAX(0,IF(J549="",0,J549)-IF(I549="",0,I549)),2))</f>
        <v>0</v>
      </c>
      <c r="AA549" s="33">
        <f>IF(B549="","",IFERROR(INDEX(Channels!$S$5:$S$18,MATCH(IF(E549="",DefaultChannel,E549),Channels!$A$5:$A$18,0)),0))</f>
        <v>0</v>
      </c>
      <c r="AB549" s="20">
        <f>IF(B549="","",IFERROR(INDEX(Channels!$T$5:$T$18,MATCH(IF(E549="",DefaultChannel,E549),Channels!$A$5:$A$18,0)),0))</f>
        <v>0</v>
      </c>
      <c r="AC549" s="42">
        <f>IF(B549="","",IFERROR(INDEX(Channels!$O$5:$O$18,MATCH(IF(E549="",DefaultChannel,E549),Channels!$A$5:$A$18,0)),"No"))</f>
        <v>0</v>
      </c>
      <c r="AD549" s="20">
        <f>IF(B549="","",ROUND((V549+IF(AC549="Yes",IF(I549="",0,I549),0))*AA549+AB549,2))</f>
        <v>0</v>
      </c>
      <c r="AE549" s="20">
        <f>IF(B549="","",IF(K549&lt;&gt;"",K549,AD549))</f>
        <v>0</v>
      </c>
      <c r="AF549" s="20">
        <f>IF(B549="","",IF(K549="","",ROUND(K549-AD549,2)))</f>
        <v>0</v>
      </c>
      <c r="AG549" s="20">
        <f>IF(B549="","",ROUND(V549-Y549-AE549-Z549,2))</f>
        <v>0</v>
      </c>
      <c r="AH549" s="33">
        <f>IF(B549="","",IF(OR(V549="",V549=0),"",AG549/V549))</f>
        <v>0</v>
      </c>
      <c r="AI549" s="33">
        <f>IF(C549="","",IFERROR(INDEX(Products!$AW$5:$AW$304,MATCH(C549,Products!$A$5:$A$304,0)),""))</f>
        <v>0</v>
      </c>
      <c r="AJ549" s="33">
        <f>IF(B549="","",IF(OR(AH549="",AI549=""),"",AH549-AI549))</f>
        <v>0</v>
      </c>
      <c r="AK549" s="41">
        <f>IF(B549="","",IFERROR(ROUND(IF(D549="",0,D549)*INDEX(Products!$X$5:$X$304,MATCH(C549,Products!$A$5:$A$304,0))/60,2),""))</f>
        <v>0</v>
      </c>
      <c r="AL549" s="20">
        <f>IF(B549="","",IF(OR(AK549="",AK549=0),"",ROUND(AG549/AK549,2)))</f>
        <v>0</v>
      </c>
      <c r="AM549" s="43">
        <f>IF(B549="","",IF(C549="","Add - which product?",IF(AG549&lt;0,"Loss - this order cost you money",IF(M549="Refunded","Refunded - check why",IF(AND(AF549&lt;&gt;"",AF549&gt;0.25),"Check - fees higher than your settings",IF(Z549&gt;1,"Check - postage is eating the margin",IF(AND(AH549&lt;&gt;"",AH549&lt;MarginWarning),"Low margin on this order","OK")))))) )</f>
        <v>0</v>
      </c>
    </row>
    <row r="550" spans="1:39">
      <c r="A550" s="38">
        <f>IF(B550="","",SalePrefix&amp;TEXT(ROW()-4,"0000"))</f>
        <v>0</v>
      </c>
      <c r="Q550" s="13">
        <f>IF(C550="","",IFERROR(INDEX(Products!$B$5:$B$304,MATCH(C550,Products!$A$5:$A$304,0)),"Bundle or deleted"))</f>
        <v>0</v>
      </c>
      <c r="R550" s="13">
        <f>IF(B550="","",TEXT(B550,"yyyy-mm"))</f>
        <v>0</v>
      </c>
      <c r="S550" s="20">
        <f>IF(C550="","",IFERROR(INDEX(Products!$AR$5:$AR$304,MATCH(C550,Products!$A$5:$A$304,0)),""))</f>
        <v>0</v>
      </c>
      <c r="T550" s="20">
        <f>IF(B550="","",IF(F550&lt;&gt;"",F550,IF(S550="",0,S550)))</f>
        <v>0</v>
      </c>
      <c r="U550" s="20">
        <f>IF(B550="","",ROUND(IF(D550="",0,D550)*T550,2))</f>
        <v>0</v>
      </c>
      <c r="V550" s="20">
        <f>IF(B550="","",ROUND(U550-IF(G550="",0,G550)-IF(L550="",0,L550),2))</f>
        <v>0</v>
      </c>
      <c r="W550" s="20">
        <f>IF(C550="","",IFERROR(INDEX(Products!$AT$5:$AT$304,MATCH(C550,Products!$A$5:$A$304,0)),""))</f>
        <v>0</v>
      </c>
      <c r="X550" s="20">
        <f>IF(C550="","",IFERROR(INDEX(Products!$AG$5:$AG$304,MATCH(C550,Products!$A$5:$A$304,0)),""))</f>
        <v>0</v>
      </c>
      <c r="Y550" s="20">
        <f>IF(B550="","",ROUND(IF(D550="",0,D550)*MAX(0,IF(W550="",0,W550)-IF(X550="",0,X550)),2))</f>
        <v>0</v>
      </c>
      <c r="Z550" s="20">
        <f>IF(B550="","",ROUND(MAX(0,IF(J550="",0,J550)-IF(I550="",0,I550)),2))</f>
        <v>0</v>
      </c>
      <c r="AA550" s="33">
        <f>IF(B550="","",IFERROR(INDEX(Channels!$S$5:$S$18,MATCH(IF(E550="",DefaultChannel,E550),Channels!$A$5:$A$18,0)),0))</f>
        <v>0</v>
      </c>
      <c r="AB550" s="20">
        <f>IF(B550="","",IFERROR(INDEX(Channels!$T$5:$T$18,MATCH(IF(E550="",DefaultChannel,E550),Channels!$A$5:$A$18,0)),0))</f>
        <v>0</v>
      </c>
      <c r="AC550" s="42">
        <f>IF(B550="","",IFERROR(INDEX(Channels!$O$5:$O$18,MATCH(IF(E550="",DefaultChannel,E550),Channels!$A$5:$A$18,0)),"No"))</f>
        <v>0</v>
      </c>
      <c r="AD550" s="20">
        <f>IF(B550="","",ROUND((V550+IF(AC550="Yes",IF(I550="",0,I550),0))*AA550+AB550,2))</f>
        <v>0</v>
      </c>
      <c r="AE550" s="20">
        <f>IF(B550="","",IF(K550&lt;&gt;"",K550,AD550))</f>
        <v>0</v>
      </c>
      <c r="AF550" s="20">
        <f>IF(B550="","",IF(K550="","",ROUND(K550-AD550,2)))</f>
        <v>0</v>
      </c>
      <c r="AG550" s="20">
        <f>IF(B550="","",ROUND(V550-Y550-AE550-Z550,2))</f>
        <v>0</v>
      </c>
      <c r="AH550" s="33">
        <f>IF(B550="","",IF(OR(V550="",V550=0),"",AG550/V550))</f>
        <v>0</v>
      </c>
      <c r="AI550" s="33">
        <f>IF(C550="","",IFERROR(INDEX(Products!$AW$5:$AW$304,MATCH(C550,Products!$A$5:$A$304,0)),""))</f>
        <v>0</v>
      </c>
      <c r="AJ550" s="33">
        <f>IF(B550="","",IF(OR(AH550="",AI550=""),"",AH550-AI550))</f>
        <v>0</v>
      </c>
      <c r="AK550" s="41">
        <f>IF(B550="","",IFERROR(ROUND(IF(D550="",0,D550)*INDEX(Products!$X$5:$X$304,MATCH(C550,Products!$A$5:$A$304,0))/60,2),""))</f>
        <v>0</v>
      </c>
      <c r="AL550" s="20">
        <f>IF(B550="","",IF(OR(AK550="",AK550=0),"",ROUND(AG550/AK550,2)))</f>
        <v>0</v>
      </c>
      <c r="AM550" s="43">
        <f>IF(B550="","",IF(C550="","Add - which product?",IF(AG550&lt;0,"Loss - this order cost you money",IF(M550="Refunded","Refunded - check why",IF(AND(AF550&lt;&gt;"",AF550&gt;0.25),"Check - fees higher than your settings",IF(Z550&gt;1,"Check - postage is eating the margin",IF(AND(AH550&lt;&gt;"",AH550&lt;MarginWarning),"Low margin on this order","OK")))))) )</f>
        <v>0</v>
      </c>
    </row>
    <row r="551" spans="1:39">
      <c r="A551" s="38">
        <f>IF(B551="","",SalePrefix&amp;TEXT(ROW()-4,"0000"))</f>
        <v>0</v>
      </c>
      <c r="Q551" s="13">
        <f>IF(C551="","",IFERROR(INDEX(Products!$B$5:$B$304,MATCH(C551,Products!$A$5:$A$304,0)),"Bundle or deleted"))</f>
        <v>0</v>
      </c>
      <c r="R551" s="13">
        <f>IF(B551="","",TEXT(B551,"yyyy-mm"))</f>
        <v>0</v>
      </c>
      <c r="S551" s="20">
        <f>IF(C551="","",IFERROR(INDEX(Products!$AR$5:$AR$304,MATCH(C551,Products!$A$5:$A$304,0)),""))</f>
        <v>0</v>
      </c>
      <c r="T551" s="20">
        <f>IF(B551="","",IF(F551&lt;&gt;"",F551,IF(S551="",0,S551)))</f>
        <v>0</v>
      </c>
      <c r="U551" s="20">
        <f>IF(B551="","",ROUND(IF(D551="",0,D551)*T551,2))</f>
        <v>0</v>
      </c>
      <c r="V551" s="20">
        <f>IF(B551="","",ROUND(U551-IF(G551="",0,G551)-IF(L551="",0,L551),2))</f>
        <v>0</v>
      </c>
      <c r="W551" s="20">
        <f>IF(C551="","",IFERROR(INDEX(Products!$AT$5:$AT$304,MATCH(C551,Products!$A$5:$A$304,0)),""))</f>
        <v>0</v>
      </c>
      <c r="X551" s="20">
        <f>IF(C551="","",IFERROR(INDEX(Products!$AG$5:$AG$304,MATCH(C551,Products!$A$5:$A$304,0)),""))</f>
        <v>0</v>
      </c>
      <c r="Y551" s="20">
        <f>IF(B551="","",ROUND(IF(D551="",0,D551)*MAX(0,IF(W551="",0,W551)-IF(X551="",0,X551)),2))</f>
        <v>0</v>
      </c>
      <c r="Z551" s="20">
        <f>IF(B551="","",ROUND(MAX(0,IF(J551="",0,J551)-IF(I551="",0,I551)),2))</f>
        <v>0</v>
      </c>
      <c r="AA551" s="33">
        <f>IF(B551="","",IFERROR(INDEX(Channels!$S$5:$S$18,MATCH(IF(E551="",DefaultChannel,E551),Channels!$A$5:$A$18,0)),0))</f>
        <v>0</v>
      </c>
      <c r="AB551" s="20">
        <f>IF(B551="","",IFERROR(INDEX(Channels!$T$5:$T$18,MATCH(IF(E551="",DefaultChannel,E551),Channels!$A$5:$A$18,0)),0))</f>
        <v>0</v>
      </c>
      <c r="AC551" s="42">
        <f>IF(B551="","",IFERROR(INDEX(Channels!$O$5:$O$18,MATCH(IF(E551="",DefaultChannel,E551),Channels!$A$5:$A$18,0)),"No"))</f>
        <v>0</v>
      </c>
      <c r="AD551" s="20">
        <f>IF(B551="","",ROUND((V551+IF(AC551="Yes",IF(I551="",0,I551),0))*AA551+AB551,2))</f>
        <v>0</v>
      </c>
      <c r="AE551" s="20">
        <f>IF(B551="","",IF(K551&lt;&gt;"",K551,AD551))</f>
        <v>0</v>
      </c>
      <c r="AF551" s="20">
        <f>IF(B551="","",IF(K551="","",ROUND(K551-AD551,2)))</f>
        <v>0</v>
      </c>
      <c r="AG551" s="20">
        <f>IF(B551="","",ROUND(V551-Y551-AE551-Z551,2))</f>
        <v>0</v>
      </c>
      <c r="AH551" s="33">
        <f>IF(B551="","",IF(OR(V551="",V551=0),"",AG551/V551))</f>
        <v>0</v>
      </c>
      <c r="AI551" s="33">
        <f>IF(C551="","",IFERROR(INDEX(Products!$AW$5:$AW$304,MATCH(C551,Products!$A$5:$A$304,0)),""))</f>
        <v>0</v>
      </c>
      <c r="AJ551" s="33">
        <f>IF(B551="","",IF(OR(AH551="",AI551=""),"",AH551-AI551))</f>
        <v>0</v>
      </c>
      <c r="AK551" s="41">
        <f>IF(B551="","",IFERROR(ROUND(IF(D551="",0,D551)*INDEX(Products!$X$5:$X$304,MATCH(C551,Products!$A$5:$A$304,0))/60,2),""))</f>
        <v>0</v>
      </c>
      <c r="AL551" s="20">
        <f>IF(B551="","",IF(OR(AK551="",AK551=0),"",ROUND(AG551/AK551,2)))</f>
        <v>0</v>
      </c>
      <c r="AM551" s="43">
        <f>IF(B551="","",IF(C551="","Add - which product?",IF(AG551&lt;0,"Loss - this order cost you money",IF(M551="Refunded","Refunded - check why",IF(AND(AF551&lt;&gt;"",AF551&gt;0.25),"Check - fees higher than your settings",IF(Z551&gt;1,"Check - postage is eating the margin",IF(AND(AH551&lt;&gt;"",AH551&lt;MarginWarning),"Low margin on this order","OK")))))) )</f>
        <v>0</v>
      </c>
    </row>
    <row r="552" spans="1:39">
      <c r="A552" s="38">
        <f>IF(B552="","",SalePrefix&amp;TEXT(ROW()-4,"0000"))</f>
        <v>0</v>
      </c>
      <c r="Q552" s="13">
        <f>IF(C552="","",IFERROR(INDEX(Products!$B$5:$B$304,MATCH(C552,Products!$A$5:$A$304,0)),"Bundle or deleted"))</f>
        <v>0</v>
      </c>
      <c r="R552" s="13">
        <f>IF(B552="","",TEXT(B552,"yyyy-mm"))</f>
        <v>0</v>
      </c>
      <c r="S552" s="20">
        <f>IF(C552="","",IFERROR(INDEX(Products!$AR$5:$AR$304,MATCH(C552,Products!$A$5:$A$304,0)),""))</f>
        <v>0</v>
      </c>
      <c r="T552" s="20">
        <f>IF(B552="","",IF(F552&lt;&gt;"",F552,IF(S552="",0,S552)))</f>
        <v>0</v>
      </c>
      <c r="U552" s="20">
        <f>IF(B552="","",ROUND(IF(D552="",0,D552)*T552,2))</f>
        <v>0</v>
      </c>
      <c r="V552" s="20">
        <f>IF(B552="","",ROUND(U552-IF(G552="",0,G552)-IF(L552="",0,L552),2))</f>
        <v>0</v>
      </c>
      <c r="W552" s="20">
        <f>IF(C552="","",IFERROR(INDEX(Products!$AT$5:$AT$304,MATCH(C552,Products!$A$5:$A$304,0)),""))</f>
        <v>0</v>
      </c>
      <c r="X552" s="20">
        <f>IF(C552="","",IFERROR(INDEX(Products!$AG$5:$AG$304,MATCH(C552,Products!$A$5:$A$304,0)),""))</f>
        <v>0</v>
      </c>
      <c r="Y552" s="20">
        <f>IF(B552="","",ROUND(IF(D552="",0,D552)*MAX(0,IF(W552="",0,W552)-IF(X552="",0,X552)),2))</f>
        <v>0</v>
      </c>
      <c r="Z552" s="20">
        <f>IF(B552="","",ROUND(MAX(0,IF(J552="",0,J552)-IF(I552="",0,I552)),2))</f>
        <v>0</v>
      </c>
      <c r="AA552" s="33">
        <f>IF(B552="","",IFERROR(INDEX(Channels!$S$5:$S$18,MATCH(IF(E552="",DefaultChannel,E552),Channels!$A$5:$A$18,0)),0))</f>
        <v>0</v>
      </c>
      <c r="AB552" s="20">
        <f>IF(B552="","",IFERROR(INDEX(Channels!$T$5:$T$18,MATCH(IF(E552="",DefaultChannel,E552),Channels!$A$5:$A$18,0)),0))</f>
        <v>0</v>
      </c>
      <c r="AC552" s="42">
        <f>IF(B552="","",IFERROR(INDEX(Channels!$O$5:$O$18,MATCH(IF(E552="",DefaultChannel,E552),Channels!$A$5:$A$18,0)),"No"))</f>
        <v>0</v>
      </c>
      <c r="AD552" s="20">
        <f>IF(B552="","",ROUND((V552+IF(AC552="Yes",IF(I552="",0,I552),0))*AA552+AB552,2))</f>
        <v>0</v>
      </c>
      <c r="AE552" s="20">
        <f>IF(B552="","",IF(K552&lt;&gt;"",K552,AD552))</f>
        <v>0</v>
      </c>
      <c r="AF552" s="20">
        <f>IF(B552="","",IF(K552="","",ROUND(K552-AD552,2)))</f>
        <v>0</v>
      </c>
      <c r="AG552" s="20">
        <f>IF(B552="","",ROUND(V552-Y552-AE552-Z552,2))</f>
        <v>0</v>
      </c>
      <c r="AH552" s="33">
        <f>IF(B552="","",IF(OR(V552="",V552=0),"",AG552/V552))</f>
        <v>0</v>
      </c>
      <c r="AI552" s="33">
        <f>IF(C552="","",IFERROR(INDEX(Products!$AW$5:$AW$304,MATCH(C552,Products!$A$5:$A$304,0)),""))</f>
        <v>0</v>
      </c>
      <c r="AJ552" s="33">
        <f>IF(B552="","",IF(OR(AH552="",AI552=""),"",AH552-AI552))</f>
        <v>0</v>
      </c>
      <c r="AK552" s="41">
        <f>IF(B552="","",IFERROR(ROUND(IF(D552="",0,D552)*INDEX(Products!$X$5:$X$304,MATCH(C552,Products!$A$5:$A$304,0))/60,2),""))</f>
        <v>0</v>
      </c>
      <c r="AL552" s="20">
        <f>IF(B552="","",IF(OR(AK552="",AK552=0),"",ROUND(AG552/AK552,2)))</f>
        <v>0</v>
      </c>
      <c r="AM552" s="43">
        <f>IF(B552="","",IF(C552="","Add - which product?",IF(AG552&lt;0,"Loss - this order cost you money",IF(M552="Refunded","Refunded - check why",IF(AND(AF552&lt;&gt;"",AF552&gt;0.25),"Check - fees higher than your settings",IF(Z552&gt;1,"Check - postage is eating the margin",IF(AND(AH552&lt;&gt;"",AH552&lt;MarginWarning),"Low margin on this order","OK")))))) )</f>
        <v>0</v>
      </c>
    </row>
    <row r="553" spans="1:39">
      <c r="A553" s="38">
        <f>IF(B553="","",SalePrefix&amp;TEXT(ROW()-4,"0000"))</f>
        <v>0</v>
      </c>
      <c r="Q553" s="13">
        <f>IF(C553="","",IFERROR(INDEX(Products!$B$5:$B$304,MATCH(C553,Products!$A$5:$A$304,0)),"Bundle or deleted"))</f>
        <v>0</v>
      </c>
      <c r="R553" s="13">
        <f>IF(B553="","",TEXT(B553,"yyyy-mm"))</f>
        <v>0</v>
      </c>
      <c r="S553" s="20">
        <f>IF(C553="","",IFERROR(INDEX(Products!$AR$5:$AR$304,MATCH(C553,Products!$A$5:$A$304,0)),""))</f>
        <v>0</v>
      </c>
      <c r="T553" s="20">
        <f>IF(B553="","",IF(F553&lt;&gt;"",F553,IF(S553="",0,S553)))</f>
        <v>0</v>
      </c>
      <c r="U553" s="20">
        <f>IF(B553="","",ROUND(IF(D553="",0,D553)*T553,2))</f>
        <v>0</v>
      </c>
      <c r="V553" s="20">
        <f>IF(B553="","",ROUND(U553-IF(G553="",0,G553)-IF(L553="",0,L553),2))</f>
        <v>0</v>
      </c>
      <c r="W553" s="20">
        <f>IF(C553="","",IFERROR(INDEX(Products!$AT$5:$AT$304,MATCH(C553,Products!$A$5:$A$304,0)),""))</f>
        <v>0</v>
      </c>
      <c r="X553" s="20">
        <f>IF(C553="","",IFERROR(INDEX(Products!$AG$5:$AG$304,MATCH(C553,Products!$A$5:$A$304,0)),""))</f>
        <v>0</v>
      </c>
      <c r="Y553" s="20">
        <f>IF(B553="","",ROUND(IF(D553="",0,D553)*MAX(0,IF(W553="",0,W553)-IF(X553="",0,X553)),2))</f>
        <v>0</v>
      </c>
      <c r="Z553" s="20">
        <f>IF(B553="","",ROUND(MAX(0,IF(J553="",0,J553)-IF(I553="",0,I553)),2))</f>
        <v>0</v>
      </c>
      <c r="AA553" s="33">
        <f>IF(B553="","",IFERROR(INDEX(Channels!$S$5:$S$18,MATCH(IF(E553="",DefaultChannel,E553),Channels!$A$5:$A$18,0)),0))</f>
        <v>0</v>
      </c>
      <c r="AB553" s="20">
        <f>IF(B553="","",IFERROR(INDEX(Channels!$T$5:$T$18,MATCH(IF(E553="",DefaultChannel,E553),Channels!$A$5:$A$18,0)),0))</f>
        <v>0</v>
      </c>
      <c r="AC553" s="42">
        <f>IF(B553="","",IFERROR(INDEX(Channels!$O$5:$O$18,MATCH(IF(E553="",DefaultChannel,E553),Channels!$A$5:$A$18,0)),"No"))</f>
        <v>0</v>
      </c>
      <c r="AD553" s="20">
        <f>IF(B553="","",ROUND((V553+IF(AC553="Yes",IF(I553="",0,I553),0))*AA553+AB553,2))</f>
        <v>0</v>
      </c>
      <c r="AE553" s="20">
        <f>IF(B553="","",IF(K553&lt;&gt;"",K553,AD553))</f>
        <v>0</v>
      </c>
      <c r="AF553" s="20">
        <f>IF(B553="","",IF(K553="","",ROUND(K553-AD553,2)))</f>
        <v>0</v>
      </c>
      <c r="AG553" s="20">
        <f>IF(B553="","",ROUND(V553-Y553-AE553-Z553,2))</f>
        <v>0</v>
      </c>
      <c r="AH553" s="33">
        <f>IF(B553="","",IF(OR(V553="",V553=0),"",AG553/V553))</f>
        <v>0</v>
      </c>
      <c r="AI553" s="33">
        <f>IF(C553="","",IFERROR(INDEX(Products!$AW$5:$AW$304,MATCH(C553,Products!$A$5:$A$304,0)),""))</f>
        <v>0</v>
      </c>
      <c r="AJ553" s="33">
        <f>IF(B553="","",IF(OR(AH553="",AI553=""),"",AH553-AI553))</f>
        <v>0</v>
      </c>
      <c r="AK553" s="41">
        <f>IF(B553="","",IFERROR(ROUND(IF(D553="",0,D553)*INDEX(Products!$X$5:$X$304,MATCH(C553,Products!$A$5:$A$304,0))/60,2),""))</f>
        <v>0</v>
      </c>
      <c r="AL553" s="20">
        <f>IF(B553="","",IF(OR(AK553="",AK553=0),"",ROUND(AG553/AK553,2)))</f>
        <v>0</v>
      </c>
      <c r="AM553" s="43">
        <f>IF(B553="","",IF(C553="","Add - which product?",IF(AG553&lt;0,"Loss - this order cost you money",IF(M553="Refunded","Refunded - check why",IF(AND(AF553&lt;&gt;"",AF553&gt;0.25),"Check - fees higher than your settings",IF(Z553&gt;1,"Check - postage is eating the margin",IF(AND(AH553&lt;&gt;"",AH553&lt;MarginWarning),"Low margin on this order","OK")))))) )</f>
        <v>0</v>
      </c>
    </row>
    <row r="554" spans="1:39">
      <c r="A554" s="38">
        <f>IF(B554="","",SalePrefix&amp;TEXT(ROW()-4,"0000"))</f>
        <v>0</v>
      </c>
      <c r="Q554" s="13">
        <f>IF(C554="","",IFERROR(INDEX(Products!$B$5:$B$304,MATCH(C554,Products!$A$5:$A$304,0)),"Bundle or deleted"))</f>
        <v>0</v>
      </c>
      <c r="R554" s="13">
        <f>IF(B554="","",TEXT(B554,"yyyy-mm"))</f>
        <v>0</v>
      </c>
      <c r="S554" s="20">
        <f>IF(C554="","",IFERROR(INDEX(Products!$AR$5:$AR$304,MATCH(C554,Products!$A$5:$A$304,0)),""))</f>
        <v>0</v>
      </c>
      <c r="T554" s="20">
        <f>IF(B554="","",IF(F554&lt;&gt;"",F554,IF(S554="",0,S554)))</f>
        <v>0</v>
      </c>
      <c r="U554" s="20">
        <f>IF(B554="","",ROUND(IF(D554="",0,D554)*T554,2))</f>
        <v>0</v>
      </c>
      <c r="V554" s="20">
        <f>IF(B554="","",ROUND(U554-IF(G554="",0,G554)-IF(L554="",0,L554),2))</f>
        <v>0</v>
      </c>
      <c r="W554" s="20">
        <f>IF(C554="","",IFERROR(INDEX(Products!$AT$5:$AT$304,MATCH(C554,Products!$A$5:$A$304,0)),""))</f>
        <v>0</v>
      </c>
      <c r="X554" s="20">
        <f>IF(C554="","",IFERROR(INDEX(Products!$AG$5:$AG$304,MATCH(C554,Products!$A$5:$A$304,0)),""))</f>
        <v>0</v>
      </c>
      <c r="Y554" s="20">
        <f>IF(B554="","",ROUND(IF(D554="",0,D554)*MAX(0,IF(W554="",0,W554)-IF(X554="",0,X554)),2))</f>
        <v>0</v>
      </c>
      <c r="Z554" s="20">
        <f>IF(B554="","",ROUND(MAX(0,IF(J554="",0,J554)-IF(I554="",0,I554)),2))</f>
        <v>0</v>
      </c>
      <c r="AA554" s="33">
        <f>IF(B554="","",IFERROR(INDEX(Channels!$S$5:$S$18,MATCH(IF(E554="",DefaultChannel,E554),Channels!$A$5:$A$18,0)),0))</f>
        <v>0</v>
      </c>
      <c r="AB554" s="20">
        <f>IF(B554="","",IFERROR(INDEX(Channels!$T$5:$T$18,MATCH(IF(E554="",DefaultChannel,E554),Channels!$A$5:$A$18,0)),0))</f>
        <v>0</v>
      </c>
      <c r="AC554" s="42">
        <f>IF(B554="","",IFERROR(INDEX(Channels!$O$5:$O$18,MATCH(IF(E554="",DefaultChannel,E554),Channels!$A$5:$A$18,0)),"No"))</f>
        <v>0</v>
      </c>
      <c r="AD554" s="20">
        <f>IF(B554="","",ROUND((V554+IF(AC554="Yes",IF(I554="",0,I554),0))*AA554+AB554,2))</f>
        <v>0</v>
      </c>
      <c r="AE554" s="20">
        <f>IF(B554="","",IF(K554&lt;&gt;"",K554,AD554))</f>
        <v>0</v>
      </c>
      <c r="AF554" s="20">
        <f>IF(B554="","",IF(K554="","",ROUND(K554-AD554,2)))</f>
        <v>0</v>
      </c>
      <c r="AG554" s="20">
        <f>IF(B554="","",ROUND(V554-Y554-AE554-Z554,2))</f>
        <v>0</v>
      </c>
      <c r="AH554" s="33">
        <f>IF(B554="","",IF(OR(V554="",V554=0),"",AG554/V554))</f>
        <v>0</v>
      </c>
      <c r="AI554" s="33">
        <f>IF(C554="","",IFERROR(INDEX(Products!$AW$5:$AW$304,MATCH(C554,Products!$A$5:$A$304,0)),""))</f>
        <v>0</v>
      </c>
      <c r="AJ554" s="33">
        <f>IF(B554="","",IF(OR(AH554="",AI554=""),"",AH554-AI554))</f>
        <v>0</v>
      </c>
      <c r="AK554" s="41">
        <f>IF(B554="","",IFERROR(ROUND(IF(D554="",0,D554)*INDEX(Products!$X$5:$X$304,MATCH(C554,Products!$A$5:$A$304,0))/60,2),""))</f>
        <v>0</v>
      </c>
      <c r="AL554" s="20">
        <f>IF(B554="","",IF(OR(AK554="",AK554=0),"",ROUND(AG554/AK554,2)))</f>
        <v>0</v>
      </c>
      <c r="AM554" s="43">
        <f>IF(B554="","",IF(C554="","Add - which product?",IF(AG554&lt;0,"Loss - this order cost you money",IF(M554="Refunded","Refunded - check why",IF(AND(AF554&lt;&gt;"",AF554&gt;0.25),"Check - fees higher than your settings",IF(Z554&gt;1,"Check - postage is eating the margin",IF(AND(AH554&lt;&gt;"",AH554&lt;MarginWarning),"Low margin on this order","OK")))))) )</f>
        <v>0</v>
      </c>
    </row>
    <row r="555" spans="1:39">
      <c r="A555" s="38">
        <f>IF(B555="","",SalePrefix&amp;TEXT(ROW()-4,"0000"))</f>
        <v>0</v>
      </c>
      <c r="Q555" s="13">
        <f>IF(C555="","",IFERROR(INDEX(Products!$B$5:$B$304,MATCH(C555,Products!$A$5:$A$304,0)),"Bundle or deleted"))</f>
        <v>0</v>
      </c>
      <c r="R555" s="13">
        <f>IF(B555="","",TEXT(B555,"yyyy-mm"))</f>
        <v>0</v>
      </c>
      <c r="S555" s="20">
        <f>IF(C555="","",IFERROR(INDEX(Products!$AR$5:$AR$304,MATCH(C555,Products!$A$5:$A$304,0)),""))</f>
        <v>0</v>
      </c>
      <c r="T555" s="20">
        <f>IF(B555="","",IF(F555&lt;&gt;"",F555,IF(S555="",0,S555)))</f>
        <v>0</v>
      </c>
      <c r="U555" s="20">
        <f>IF(B555="","",ROUND(IF(D555="",0,D555)*T555,2))</f>
        <v>0</v>
      </c>
      <c r="V555" s="20">
        <f>IF(B555="","",ROUND(U555-IF(G555="",0,G555)-IF(L555="",0,L555),2))</f>
        <v>0</v>
      </c>
      <c r="W555" s="20">
        <f>IF(C555="","",IFERROR(INDEX(Products!$AT$5:$AT$304,MATCH(C555,Products!$A$5:$A$304,0)),""))</f>
        <v>0</v>
      </c>
      <c r="X555" s="20">
        <f>IF(C555="","",IFERROR(INDEX(Products!$AG$5:$AG$304,MATCH(C555,Products!$A$5:$A$304,0)),""))</f>
        <v>0</v>
      </c>
      <c r="Y555" s="20">
        <f>IF(B555="","",ROUND(IF(D555="",0,D555)*MAX(0,IF(W555="",0,W555)-IF(X555="",0,X555)),2))</f>
        <v>0</v>
      </c>
      <c r="Z555" s="20">
        <f>IF(B555="","",ROUND(MAX(0,IF(J555="",0,J555)-IF(I555="",0,I555)),2))</f>
        <v>0</v>
      </c>
      <c r="AA555" s="33">
        <f>IF(B555="","",IFERROR(INDEX(Channels!$S$5:$S$18,MATCH(IF(E555="",DefaultChannel,E555),Channels!$A$5:$A$18,0)),0))</f>
        <v>0</v>
      </c>
      <c r="AB555" s="20">
        <f>IF(B555="","",IFERROR(INDEX(Channels!$T$5:$T$18,MATCH(IF(E555="",DefaultChannel,E555),Channels!$A$5:$A$18,0)),0))</f>
        <v>0</v>
      </c>
      <c r="AC555" s="42">
        <f>IF(B555="","",IFERROR(INDEX(Channels!$O$5:$O$18,MATCH(IF(E555="",DefaultChannel,E555),Channels!$A$5:$A$18,0)),"No"))</f>
        <v>0</v>
      </c>
      <c r="AD555" s="20">
        <f>IF(B555="","",ROUND((V555+IF(AC555="Yes",IF(I555="",0,I555),0))*AA555+AB555,2))</f>
        <v>0</v>
      </c>
      <c r="AE555" s="20">
        <f>IF(B555="","",IF(K555&lt;&gt;"",K555,AD555))</f>
        <v>0</v>
      </c>
      <c r="AF555" s="20">
        <f>IF(B555="","",IF(K555="","",ROUND(K555-AD555,2)))</f>
        <v>0</v>
      </c>
      <c r="AG555" s="20">
        <f>IF(B555="","",ROUND(V555-Y555-AE555-Z555,2))</f>
        <v>0</v>
      </c>
      <c r="AH555" s="33">
        <f>IF(B555="","",IF(OR(V555="",V555=0),"",AG555/V555))</f>
        <v>0</v>
      </c>
      <c r="AI555" s="33">
        <f>IF(C555="","",IFERROR(INDEX(Products!$AW$5:$AW$304,MATCH(C555,Products!$A$5:$A$304,0)),""))</f>
        <v>0</v>
      </c>
      <c r="AJ555" s="33">
        <f>IF(B555="","",IF(OR(AH555="",AI555=""),"",AH555-AI555))</f>
        <v>0</v>
      </c>
      <c r="AK555" s="41">
        <f>IF(B555="","",IFERROR(ROUND(IF(D555="",0,D555)*INDEX(Products!$X$5:$X$304,MATCH(C555,Products!$A$5:$A$304,0))/60,2),""))</f>
        <v>0</v>
      </c>
      <c r="AL555" s="20">
        <f>IF(B555="","",IF(OR(AK555="",AK555=0),"",ROUND(AG555/AK555,2)))</f>
        <v>0</v>
      </c>
      <c r="AM555" s="43">
        <f>IF(B555="","",IF(C555="","Add - which product?",IF(AG555&lt;0,"Loss - this order cost you money",IF(M555="Refunded","Refunded - check why",IF(AND(AF555&lt;&gt;"",AF555&gt;0.25),"Check - fees higher than your settings",IF(Z555&gt;1,"Check - postage is eating the margin",IF(AND(AH555&lt;&gt;"",AH555&lt;MarginWarning),"Low margin on this order","OK")))))) )</f>
        <v>0</v>
      </c>
    </row>
    <row r="556" spans="1:39">
      <c r="A556" s="38">
        <f>IF(B556="","",SalePrefix&amp;TEXT(ROW()-4,"0000"))</f>
        <v>0</v>
      </c>
      <c r="Q556" s="13">
        <f>IF(C556="","",IFERROR(INDEX(Products!$B$5:$B$304,MATCH(C556,Products!$A$5:$A$304,0)),"Bundle or deleted"))</f>
        <v>0</v>
      </c>
      <c r="R556" s="13">
        <f>IF(B556="","",TEXT(B556,"yyyy-mm"))</f>
        <v>0</v>
      </c>
      <c r="S556" s="20">
        <f>IF(C556="","",IFERROR(INDEX(Products!$AR$5:$AR$304,MATCH(C556,Products!$A$5:$A$304,0)),""))</f>
        <v>0</v>
      </c>
      <c r="T556" s="20">
        <f>IF(B556="","",IF(F556&lt;&gt;"",F556,IF(S556="",0,S556)))</f>
        <v>0</v>
      </c>
      <c r="U556" s="20">
        <f>IF(B556="","",ROUND(IF(D556="",0,D556)*T556,2))</f>
        <v>0</v>
      </c>
      <c r="V556" s="20">
        <f>IF(B556="","",ROUND(U556-IF(G556="",0,G556)-IF(L556="",0,L556),2))</f>
        <v>0</v>
      </c>
      <c r="W556" s="20">
        <f>IF(C556="","",IFERROR(INDEX(Products!$AT$5:$AT$304,MATCH(C556,Products!$A$5:$A$304,0)),""))</f>
        <v>0</v>
      </c>
      <c r="X556" s="20">
        <f>IF(C556="","",IFERROR(INDEX(Products!$AG$5:$AG$304,MATCH(C556,Products!$A$5:$A$304,0)),""))</f>
        <v>0</v>
      </c>
      <c r="Y556" s="20">
        <f>IF(B556="","",ROUND(IF(D556="",0,D556)*MAX(0,IF(W556="",0,W556)-IF(X556="",0,X556)),2))</f>
        <v>0</v>
      </c>
      <c r="Z556" s="20">
        <f>IF(B556="","",ROUND(MAX(0,IF(J556="",0,J556)-IF(I556="",0,I556)),2))</f>
        <v>0</v>
      </c>
      <c r="AA556" s="33">
        <f>IF(B556="","",IFERROR(INDEX(Channels!$S$5:$S$18,MATCH(IF(E556="",DefaultChannel,E556),Channels!$A$5:$A$18,0)),0))</f>
        <v>0</v>
      </c>
      <c r="AB556" s="20">
        <f>IF(B556="","",IFERROR(INDEX(Channels!$T$5:$T$18,MATCH(IF(E556="",DefaultChannel,E556),Channels!$A$5:$A$18,0)),0))</f>
        <v>0</v>
      </c>
      <c r="AC556" s="42">
        <f>IF(B556="","",IFERROR(INDEX(Channels!$O$5:$O$18,MATCH(IF(E556="",DefaultChannel,E556),Channels!$A$5:$A$18,0)),"No"))</f>
        <v>0</v>
      </c>
      <c r="AD556" s="20">
        <f>IF(B556="","",ROUND((V556+IF(AC556="Yes",IF(I556="",0,I556),0))*AA556+AB556,2))</f>
        <v>0</v>
      </c>
      <c r="AE556" s="20">
        <f>IF(B556="","",IF(K556&lt;&gt;"",K556,AD556))</f>
        <v>0</v>
      </c>
      <c r="AF556" s="20">
        <f>IF(B556="","",IF(K556="","",ROUND(K556-AD556,2)))</f>
        <v>0</v>
      </c>
      <c r="AG556" s="20">
        <f>IF(B556="","",ROUND(V556-Y556-AE556-Z556,2))</f>
        <v>0</v>
      </c>
      <c r="AH556" s="33">
        <f>IF(B556="","",IF(OR(V556="",V556=0),"",AG556/V556))</f>
        <v>0</v>
      </c>
      <c r="AI556" s="33">
        <f>IF(C556="","",IFERROR(INDEX(Products!$AW$5:$AW$304,MATCH(C556,Products!$A$5:$A$304,0)),""))</f>
        <v>0</v>
      </c>
      <c r="AJ556" s="33">
        <f>IF(B556="","",IF(OR(AH556="",AI556=""),"",AH556-AI556))</f>
        <v>0</v>
      </c>
      <c r="AK556" s="41">
        <f>IF(B556="","",IFERROR(ROUND(IF(D556="",0,D556)*INDEX(Products!$X$5:$X$304,MATCH(C556,Products!$A$5:$A$304,0))/60,2),""))</f>
        <v>0</v>
      </c>
      <c r="AL556" s="20">
        <f>IF(B556="","",IF(OR(AK556="",AK556=0),"",ROUND(AG556/AK556,2)))</f>
        <v>0</v>
      </c>
      <c r="AM556" s="43">
        <f>IF(B556="","",IF(C556="","Add - which product?",IF(AG556&lt;0,"Loss - this order cost you money",IF(M556="Refunded","Refunded - check why",IF(AND(AF556&lt;&gt;"",AF556&gt;0.25),"Check - fees higher than your settings",IF(Z556&gt;1,"Check - postage is eating the margin",IF(AND(AH556&lt;&gt;"",AH556&lt;MarginWarning),"Low margin on this order","OK")))))) )</f>
        <v>0</v>
      </c>
    </row>
    <row r="557" spans="1:39">
      <c r="A557" s="38">
        <f>IF(B557="","",SalePrefix&amp;TEXT(ROW()-4,"0000"))</f>
        <v>0</v>
      </c>
      <c r="Q557" s="13">
        <f>IF(C557="","",IFERROR(INDEX(Products!$B$5:$B$304,MATCH(C557,Products!$A$5:$A$304,0)),"Bundle or deleted"))</f>
        <v>0</v>
      </c>
      <c r="R557" s="13">
        <f>IF(B557="","",TEXT(B557,"yyyy-mm"))</f>
        <v>0</v>
      </c>
      <c r="S557" s="20">
        <f>IF(C557="","",IFERROR(INDEX(Products!$AR$5:$AR$304,MATCH(C557,Products!$A$5:$A$304,0)),""))</f>
        <v>0</v>
      </c>
      <c r="T557" s="20">
        <f>IF(B557="","",IF(F557&lt;&gt;"",F557,IF(S557="",0,S557)))</f>
        <v>0</v>
      </c>
      <c r="U557" s="20">
        <f>IF(B557="","",ROUND(IF(D557="",0,D557)*T557,2))</f>
        <v>0</v>
      </c>
      <c r="V557" s="20">
        <f>IF(B557="","",ROUND(U557-IF(G557="",0,G557)-IF(L557="",0,L557),2))</f>
        <v>0</v>
      </c>
      <c r="W557" s="20">
        <f>IF(C557="","",IFERROR(INDEX(Products!$AT$5:$AT$304,MATCH(C557,Products!$A$5:$A$304,0)),""))</f>
        <v>0</v>
      </c>
      <c r="X557" s="20">
        <f>IF(C557="","",IFERROR(INDEX(Products!$AG$5:$AG$304,MATCH(C557,Products!$A$5:$A$304,0)),""))</f>
        <v>0</v>
      </c>
      <c r="Y557" s="20">
        <f>IF(B557="","",ROUND(IF(D557="",0,D557)*MAX(0,IF(W557="",0,W557)-IF(X557="",0,X557)),2))</f>
        <v>0</v>
      </c>
      <c r="Z557" s="20">
        <f>IF(B557="","",ROUND(MAX(0,IF(J557="",0,J557)-IF(I557="",0,I557)),2))</f>
        <v>0</v>
      </c>
      <c r="AA557" s="33">
        <f>IF(B557="","",IFERROR(INDEX(Channels!$S$5:$S$18,MATCH(IF(E557="",DefaultChannel,E557),Channels!$A$5:$A$18,0)),0))</f>
        <v>0</v>
      </c>
      <c r="AB557" s="20">
        <f>IF(B557="","",IFERROR(INDEX(Channels!$T$5:$T$18,MATCH(IF(E557="",DefaultChannel,E557),Channels!$A$5:$A$18,0)),0))</f>
        <v>0</v>
      </c>
      <c r="AC557" s="42">
        <f>IF(B557="","",IFERROR(INDEX(Channels!$O$5:$O$18,MATCH(IF(E557="",DefaultChannel,E557),Channels!$A$5:$A$18,0)),"No"))</f>
        <v>0</v>
      </c>
      <c r="AD557" s="20">
        <f>IF(B557="","",ROUND((V557+IF(AC557="Yes",IF(I557="",0,I557),0))*AA557+AB557,2))</f>
        <v>0</v>
      </c>
      <c r="AE557" s="20">
        <f>IF(B557="","",IF(K557&lt;&gt;"",K557,AD557))</f>
        <v>0</v>
      </c>
      <c r="AF557" s="20">
        <f>IF(B557="","",IF(K557="","",ROUND(K557-AD557,2)))</f>
        <v>0</v>
      </c>
      <c r="AG557" s="20">
        <f>IF(B557="","",ROUND(V557-Y557-AE557-Z557,2))</f>
        <v>0</v>
      </c>
      <c r="AH557" s="33">
        <f>IF(B557="","",IF(OR(V557="",V557=0),"",AG557/V557))</f>
        <v>0</v>
      </c>
      <c r="AI557" s="33">
        <f>IF(C557="","",IFERROR(INDEX(Products!$AW$5:$AW$304,MATCH(C557,Products!$A$5:$A$304,0)),""))</f>
        <v>0</v>
      </c>
      <c r="AJ557" s="33">
        <f>IF(B557="","",IF(OR(AH557="",AI557=""),"",AH557-AI557))</f>
        <v>0</v>
      </c>
      <c r="AK557" s="41">
        <f>IF(B557="","",IFERROR(ROUND(IF(D557="",0,D557)*INDEX(Products!$X$5:$X$304,MATCH(C557,Products!$A$5:$A$304,0))/60,2),""))</f>
        <v>0</v>
      </c>
      <c r="AL557" s="20">
        <f>IF(B557="","",IF(OR(AK557="",AK557=0),"",ROUND(AG557/AK557,2)))</f>
        <v>0</v>
      </c>
      <c r="AM557" s="43">
        <f>IF(B557="","",IF(C557="","Add - which product?",IF(AG557&lt;0,"Loss - this order cost you money",IF(M557="Refunded","Refunded - check why",IF(AND(AF557&lt;&gt;"",AF557&gt;0.25),"Check - fees higher than your settings",IF(Z557&gt;1,"Check - postage is eating the margin",IF(AND(AH557&lt;&gt;"",AH557&lt;MarginWarning),"Low margin on this order","OK")))))) )</f>
        <v>0</v>
      </c>
    </row>
    <row r="558" spans="1:39">
      <c r="A558" s="38">
        <f>IF(B558="","",SalePrefix&amp;TEXT(ROW()-4,"0000"))</f>
        <v>0</v>
      </c>
      <c r="Q558" s="13">
        <f>IF(C558="","",IFERROR(INDEX(Products!$B$5:$B$304,MATCH(C558,Products!$A$5:$A$304,0)),"Bundle or deleted"))</f>
        <v>0</v>
      </c>
      <c r="R558" s="13">
        <f>IF(B558="","",TEXT(B558,"yyyy-mm"))</f>
        <v>0</v>
      </c>
      <c r="S558" s="20">
        <f>IF(C558="","",IFERROR(INDEX(Products!$AR$5:$AR$304,MATCH(C558,Products!$A$5:$A$304,0)),""))</f>
        <v>0</v>
      </c>
      <c r="T558" s="20">
        <f>IF(B558="","",IF(F558&lt;&gt;"",F558,IF(S558="",0,S558)))</f>
        <v>0</v>
      </c>
      <c r="U558" s="20">
        <f>IF(B558="","",ROUND(IF(D558="",0,D558)*T558,2))</f>
        <v>0</v>
      </c>
      <c r="V558" s="20">
        <f>IF(B558="","",ROUND(U558-IF(G558="",0,G558)-IF(L558="",0,L558),2))</f>
        <v>0</v>
      </c>
      <c r="W558" s="20">
        <f>IF(C558="","",IFERROR(INDEX(Products!$AT$5:$AT$304,MATCH(C558,Products!$A$5:$A$304,0)),""))</f>
        <v>0</v>
      </c>
      <c r="X558" s="20">
        <f>IF(C558="","",IFERROR(INDEX(Products!$AG$5:$AG$304,MATCH(C558,Products!$A$5:$A$304,0)),""))</f>
        <v>0</v>
      </c>
      <c r="Y558" s="20">
        <f>IF(B558="","",ROUND(IF(D558="",0,D558)*MAX(0,IF(W558="",0,W558)-IF(X558="",0,X558)),2))</f>
        <v>0</v>
      </c>
      <c r="Z558" s="20">
        <f>IF(B558="","",ROUND(MAX(0,IF(J558="",0,J558)-IF(I558="",0,I558)),2))</f>
        <v>0</v>
      </c>
      <c r="AA558" s="33">
        <f>IF(B558="","",IFERROR(INDEX(Channels!$S$5:$S$18,MATCH(IF(E558="",DefaultChannel,E558),Channels!$A$5:$A$18,0)),0))</f>
        <v>0</v>
      </c>
      <c r="AB558" s="20">
        <f>IF(B558="","",IFERROR(INDEX(Channels!$T$5:$T$18,MATCH(IF(E558="",DefaultChannel,E558),Channels!$A$5:$A$18,0)),0))</f>
        <v>0</v>
      </c>
      <c r="AC558" s="42">
        <f>IF(B558="","",IFERROR(INDEX(Channels!$O$5:$O$18,MATCH(IF(E558="",DefaultChannel,E558),Channels!$A$5:$A$18,0)),"No"))</f>
        <v>0</v>
      </c>
      <c r="AD558" s="20">
        <f>IF(B558="","",ROUND((V558+IF(AC558="Yes",IF(I558="",0,I558),0))*AA558+AB558,2))</f>
        <v>0</v>
      </c>
      <c r="AE558" s="20">
        <f>IF(B558="","",IF(K558&lt;&gt;"",K558,AD558))</f>
        <v>0</v>
      </c>
      <c r="AF558" s="20">
        <f>IF(B558="","",IF(K558="","",ROUND(K558-AD558,2)))</f>
        <v>0</v>
      </c>
      <c r="AG558" s="20">
        <f>IF(B558="","",ROUND(V558-Y558-AE558-Z558,2))</f>
        <v>0</v>
      </c>
      <c r="AH558" s="33">
        <f>IF(B558="","",IF(OR(V558="",V558=0),"",AG558/V558))</f>
        <v>0</v>
      </c>
      <c r="AI558" s="33">
        <f>IF(C558="","",IFERROR(INDEX(Products!$AW$5:$AW$304,MATCH(C558,Products!$A$5:$A$304,0)),""))</f>
        <v>0</v>
      </c>
      <c r="AJ558" s="33">
        <f>IF(B558="","",IF(OR(AH558="",AI558=""),"",AH558-AI558))</f>
        <v>0</v>
      </c>
      <c r="AK558" s="41">
        <f>IF(B558="","",IFERROR(ROUND(IF(D558="",0,D558)*INDEX(Products!$X$5:$X$304,MATCH(C558,Products!$A$5:$A$304,0))/60,2),""))</f>
        <v>0</v>
      </c>
      <c r="AL558" s="20">
        <f>IF(B558="","",IF(OR(AK558="",AK558=0),"",ROUND(AG558/AK558,2)))</f>
        <v>0</v>
      </c>
      <c r="AM558" s="43">
        <f>IF(B558="","",IF(C558="","Add - which product?",IF(AG558&lt;0,"Loss - this order cost you money",IF(M558="Refunded","Refunded - check why",IF(AND(AF558&lt;&gt;"",AF558&gt;0.25),"Check - fees higher than your settings",IF(Z558&gt;1,"Check - postage is eating the margin",IF(AND(AH558&lt;&gt;"",AH558&lt;MarginWarning),"Low margin on this order","OK")))))) )</f>
        <v>0</v>
      </c>
    </row>
    <row r="559" spans="1:39">
      <c r="A559" s="38">
        <f>IF(B559="","",SalePrefix&amp;TEXT(ROW()-4,"0000"))</f>
        <v>0</v>
      </c>
      <c r="Q559" s="13">
        <f>IF(C559="","",IFERROR(INDEX(Products!$B$5:$B$304,MATCH(C559,Products!$A$5:$A$304,0)),"Bundle or deleted"))</f>
        <v>0</v>
      </c>
      <c r="R559" s="13">
        <f>IF(B559="","",TEXT(B559,"yyyy-mm"))</f>
        <v>0</v>
      </c>
      <c r="S559" s="20">
        <f>IF(C559="","",IFERROR(INDEX(Products!$AR$5:$AR$304,MATCH(C559,Products!$A$5:$A$304,0)),""))</f>
        <v>0</v>
      </c>
      <c r="T559" s="20">
        <f>IF(B559="","",IF(F559&lt;&gt;"",F559,IF(S559="",0,S559)))</f>
        <v>0</v>
      </c>
      <c r="U559" s="20">
        <f>IF(B559="","",ROUND(IF(D559="",0,D559)*T559,2))</f>
        <v>0</v>
      </c>
      <c r="V559" s="20">
        <f>IF(B559="","",ROUND(U559-IF(G559="",0,G559)-IF(L559="",0,L559),2))</f>
        <v>0</v>
      </c>
      <c r="W559" s="20">
        <f>IF(C559="","",IFERROR(INDEX(Products!$AT$5:$AT$304,MATCH(C559,Products!$A$5:$A$304,0)),""))</f>
        <v>0</v>
      </c>
      <c r="X559" s="20">
        <f>IF(C559="","",IFERROR(INDEX(Products!$AG$5:$AG$304,MATCH(C559,Products!$A$5:$A$304,0)),""))</f>
        <v>0</v>
      </c>
      <c r="Y559" s="20">
        <f>IF(B559="","",ROUND(IF(D559="",0,D559)*MAX(0,IF(W559="",0,W559)-IF(X559="",0,X559)),2))</f>
        <v>0</v>
      </c>
      <c r="Z559" s="20">
        <f>IF(B559="","",ROUND(MAX(0,IF(J559="",0,J559)-IF(I559="",0,I559)),2))</f>
        <v>0</v>
      </c>
      <c r="AA559" s="33">
        <f>IF(B559="","",IFERROR(INDEX(Channels!$S$5:$S$18,MATCH(IF(E559="",DefaultChannel,E559),Channels!$A$5:$A$18,0)),0))</f>
        <v>0</v>
      </c>
      <c r="AB559" s="20">
        <f>IF(B559="","",IFERROR(INDEX(Channels!$T$5:$T$18,MATCH(IF(E559="",DefaultChannel,E559),Channels!$A$5:$A$18,0)),0))</f>
        <v>0</v>
      </c>
      <c r="AC559" s="42">
        <f>IF(B559="","",IFERROR(INDEX(Channels!$O$5:$O$18,MATCH(IF(E559="",DefaultChannel,E559),Channels!$A$5:$A$18,0)),"No"))</f>
        <v>0</v>
      </c>
      <c r="AD559" s="20">
        <f>IF(B559="","",ROUND((V559+IF(AC559="Yes",IF(I559="",0,I559),0))*AA559+AB559,2))</f>
        <v>0</v>
      </c>
      <c r="AE559" s="20">
        <f>IF(B559="","",IF(K559&lt;&gt;"",K559,AD559))</f>
        <v>0</v>
      </c>
      <c r="AF559" s="20">
        <f>IF(B559="","",IF(K559="","",ROUND(K559-AD559,2)))</f>
        <v>0</v>
      </c>
      <c r="AG559" s="20">
        <f>IF(B559="","",ROUND(V559-Y559-AE559-Z559,2))</f>
        <v>0</v>
      </c>
      <c r="AH559" s="33">
        <f>IF(B559="","",IF(OR(V559="",V559=0),"",AG559/V559))</f>
        <v>0</v>
      </c>
      <c r="AI559" s="33">
        <f>IF(C559="","",IFERROR(INDEX(Products!$AW$5:$AW$304,MATCH(C559,Products!$A$5:$A$304,0)),""))</f>
        <v>0</v>
      </c>
      <c r="AJ559" s="33">
        <f>IF(B559="","",IF(OR(AH559="",AI559=""),"",AH559-AI559))</f>
        <v>0</v>
      </c>
      <c r="AK559" s="41">
        <f>IF(B559="","",IFERROR(ROUND(IF(D559="",0,D559)*INDEX(Products!$X$5:$X$304,MATCH(C559,Products!$A$5:$A$304,0))/60,2),""))</f>
        <v>0</v>
      </c>
      <c r="AL559" s="20">
        <f>IF(B559="","",IF(OR(AK559="",AK559=0),"",ROUND(AG559/AK559,2)))</f>
        <v>0</v>
      </c>
      <c r="AM559" s="43">
        <f>IF(B559="","",IF(C559="","Add - which product?",IF(AG559&lt;0,"Loss - this order cost you money",IF(M559="Refunded","Refunded - check why",IF(AND(AF559&lt;&gt;"",AF559&gt;0.25),"Check - fees higher than your settings",IF(Z559&gt;1,"Check - postage is eating the margin",IF(AND(AH559&lt;&gt;"",AH559&lt;MarginWarning),"Low margin on this order","OK")))))) )</f>
        <v>0</v>
      </c>
    </row>
    <row r="560" spans="1:39">
      <c r="A560" s="38">
        <f>IF(B560="","",SalePrefix&amp;TEXT(ROW()-4,"0000"))</f>
        <v>0</v>
      </c>
      <c r="Q560" s="13">
        <f>IF(C560="","",IFERROR(INDEX(Products!$B$5:$B$304,MATCH(C560,Products!$A$5:$A$304,0)),"Bundle or deleted"))</f>
        <v>0</v>
      </c>
      <c r="R560" s="13">
        <f>IF(B560="","",TEXT(B560,"yyyy-mm"))</f>
        <v>0</v>
      </c>
      <c r="S560" s="20">
        <f>IF(C560="","",IFERROR(INDEX(Products!$AR$5:$AR$304,MATCH(C560,Products!$A$5:$A$304,0)),""))</f>
        <v>0</v>
      </c>
      <c r="T560" s="20">
        <f>IF(B560="","",IF(F560&lt;&gt;"",F560,IF(S560="",0,S560)))</f>
        <v>0</v>
      </c>
      <c r="U560" s="20">
        <f>IF(B560="","",ROUND(IF(D560="",0,D560)*T560,2))</f>
        <v>0</v>
      </c>
      <c r="V560" s="20">
        <f>IF(B560="","",ROUND(U560-IF(G560="",0,G560)-IF(L560="",0,L560),2))</f>
        <v>0</v>
      </c>
      <c r="W560" s="20">
        <f>IF(C560="","",IFERROR(INDEX(Products!$AT$5:$AT$304,MATCH(C560,Products!$A$5:$A$304,0)),""))</f>
        <v>0</v>
      </c>
      <c r="X560" s="20">
        <f>IF(C560="","",IFERROR(INDEX(Products!$AG$5:$AG$304,MATCH(C560,Products!$A$5:$A$304,0)),""))</f>
        <v>0</v>
      </c>
      <c r="Y560" s="20">
        <f>IF(B560="","",ROUND(IF(D560="",0,D560)*MAX(0,IF(W560="",0,W560)-IF(X560="",0,X560)),2))</f>
        <v>0</v>
      </c>
      <c r="Z560" s="20">
        <f>IF(B560="","",ROUND(MAX(0,IF(J560="",0,J560)-IF(I560="",0,I560)),2))</f>
        <v>0</v>
      </c>
      <c r="AA560" s="33">
        <f>IF(B560="","",IFERROR(INDEX(Channels!$S$5:$S$18,MATCH(IF(E560="",DefaultChannel,E560),Channels!$A$5:$A$18,0)),0))</f>
        <v>0</v>
      </c>
      <c r="AB560" s="20">
        <f>IF(B560="","",IFERROR(INDEX(Channels!$T$5:$T$18,MATCH(IF(E560="",DefaultChannel,E560),Channels!$A$5:$A$18,0)),0))</f>
        <v>0</v>
      </c>
      <c r="AC560" s="42">
        <f>IF(B560="","",IFERROR(INDEX(Channels!$O$5:$O$18,MATCH(IF(E560="",DefaultChannel,E560),Channels!$A$5:$A$18,0)),"No"))</f>
        <v>0</v>
      </c>
      <c r="AD560" s="20">
        <f>IF(B560="","",ROUND((V560+IF(AC560="Yes",IF(I560="",0,I560),0))*AA560+AB560,2))</f>
        <v>0</v>
      </c>
      <c r="AE560" s="20">
        <f>IF(B560="","",IF(K560&lt;&gt;"",K560,AD560))</f>
        <v>0</v>
      </c>
      <c r="AF560" s="20">
        <f>IF(B560="","",IF(K560="","",ROUND(K560-AD560,2)))</f>
        <v>0</v>
      </c>
      <c r="AG560" s="20">
        <f>IF(B560="","",ROUND(V560-Y560-AE560-Z560,2))</f>
        <v>0</v>
      </c>
      <c r="AH560" s="33">
        <f>IF(B560="","",IF(OR(V560="",V560=0),"",AG560/V560))</f>
        <v>0</v>
      </c>
      <c r="AI560" s="33">
        <f>IF(C560="","",IFERROR(INDEX(Products!$AW$5:$AW$304,MATCH(C560,Products!$A$5:$A$304,0)),""))</f>
        <v>0</v>
      </c>
      <c r="AJ560" s="33">
        <f>IF(B560="","",IF(OR(AH560="",AI560=""),"",AH560-AI560))</f>
        <v>0</v>
      </c>
      <c r="AK560" s="41">
        <f>IF(B560="","",IFERROR(ROUND(IF(D560="",0,D560)*INDEX(Products!$X$5:$X$304,MATCH(C560,Products!$A$5:$A$304,0))/60,2),""))</f>
        <v>0</v>
      </c>
      <c r="AL560" s="20">
        <f>IF(B560="","",IF(OR(AK560="",AK560=0),"",ROUND(AG560/AK560,2)))</f>
        <v>0</v>
      </c>
      <c r="AM560" s="43">
        <f>IF(B560="","",IF(C560="","Add - which product?",IF(AG560&lt;0,"Loss - this order cost you money",IF(M560="Refunded","Refunded - check why",IF(AND(AF560&lt;&gt;"",AF560&gt;0.25),"Check - fees higher than your settings",IF(Z560&gt;1,"Check - postage is eating the margin",IF(AND(AH560&lt;&gt;"",AH560&lt;MarginWarning),"Low margin on this order","OK")))))) )</f>
        <v>0</v>
      </c>
    </row>
    <row r="561" spans="1:39">
      <c r="A561" s="38">
        <f>IF(B561="","",SalePrefix&amp;TEXT(ROW()-4,"0000"))</f>
        <v>0</v>
      </c>
      <c r="Q561" s="13">
        <f>IF(C561="","",IFERROR(INDEX(Products!$B$5:$B$304,MATCH(C561,Products!$A$5:$A$304,0)),"Bundle or deleted"))</f>
        <v>0</v>
      </c>
      <c r="R561" s="13">
        <f>IF(B561="","",TEXT(B561,"yyyy-mm"))</f>
        <v>0</v>
      </c>
      <c r="S561" s="20">
        <f>IF(C561="","",IFERROR(INDEX(Products!$AR$5:$AR$304,MATCH(C561,Products!$A$5:$A$304,0)),""))</f>
        <v>0</v>
      </c>
      <c r="T561" s="20">
        <f>IF(B561="","",IF(F561&lt;&gt;"",F561,IF(S561="",0,S561)))</f>
        <v>0</v>
      </c>
      <c r="U561" s="20">
        <f>IF(B561="","",ROUND(IF(D561="",0,D561)*T561,2))</f>
        <v>0</v>
      </c>
      <c r="V561" s="20">
        <f>IF(B561="","",ROUND(U561-IF(G561="",0,G561)-IF(L561="",0,L561),2))</f>
        <v>0</v>
      </c>
      <c r="W561" s="20">
        <f>IF(C561="","",IFERROR(INDEX(Products!$AT$5:$AT$304,MATCH(C561,Products!$A$5:$A$304,0)),""))</f>
        <v>0</v>
      </c>
      <c r="X561" s="20">
        <f>IF(C561="","",IFERROR(INDEX(Products!$AG$5:$AG$304,MATCH(C561,Products!$A$5:$A$304,0)),""))</f>
        <v>0</v>
      </c>
      <c r="Y561" s="20">
        <f>IF(B561="","",ROUND(IF(D561="",0,D561)*MAX(0,IF(W561="",0,W561)-IF(X561="",0,X561)),2))</f>
        <v>0</v>
      </c>
      <c r="Z561" s="20">
        <f>IF(B561="","",ROUND(MAX(0,IF(J561="",0,J561)-IF(I561="",0,I561)),2))</f>
        <v>0</v>
      </c>
      <c r="AA561" s="33">
        <f>IF(B561="","",IFERROR(INDEX(Channels!$S$5:$S$18,MATCH(IF(E561="",DefaultChannel,E561),Channels!$A$5:$A$18,0)),0))</f>
        <v>0</v>
      </c>
      <c r="AB561" s="20">
        <f>IF(B561="","",IFERROR(INDEX(Channels!$T$5:$T$18,MATCH(IF(E561="",DefaultChannel,E561),Channels!$A$5:$A$18,0)),0))</f>
        <v>0</v>
      </c>
      <c r="AC561" s="42">
        <f>IF(B561="","",IFERROR(INDEX(Channels!$O$5:$O$18,MATCH(IF(E561="",DefaultChannel,E561),Channels!$A$5:$A$18,0)),"No"))</f>
        <v>0</v>
      </c>
      <c r="AD561" s="20">
        <f>IF(B561="","",ROUND((V561+IF(AC561="Yes",IF(I561="",0,I561),0))*AA561+AB561,2))</f>
        <v>0</v>
      </c>
      <c r="AE561" s="20">
        <f>IF(B561="","",IF(K561&lt;&gt;"",K561,AD561))</f>
        <v>0</v>
      </c>
      <c r="AF561" s="20">
        <f>IF(B561="","",IF(K561="","",ROUND(K561-AD561,2)))</f>
        <v>0</v>
      </c>
      <c r="AG561" s="20">
        <f>IF(B561="","",ROUND(V561-Y561-AE561-Z561,2))</f>
        <v>0</v>
      </c>
      <c r="AH561" s="33">
        <f>IF(B561="","",IF(OR(V561="",V561=0),"",AG561/V561))</f>
        <v>0</v>
      </c>
      <c r="AI561" s="33">
        <f>IF(C561="","",IFERROR(INDEX(Products!$AW$5:$AW$304,MATCH(C561,Products!$A$5:$A$304,0)),""))</f>
        <v>0</v>
      </c>
      <c r="AJ561" s="33">
        <f>IF(B561="","",IF(OR(AH561="",AI561=""),"",AH561-AI561))</f>
        <v>0</v>
      </c>
      <c r="AK561" s="41">
        <f>IF(B561="","",IFERROR(ROUND(IF(D561="",0,D561)*INDEX(Products!$X$5:$X$304,MATCH(C561,Products!$A$5:$A$304,0))/60,2),""))</f>
        <v>0</v>
      </c>
      <c r="AL561" s="20">
        <f>IF(B561="","",IF(OR(AK561="",AK561=0),"",ROUND(AG561/AK561,2)))</f>
        <v>0</v>
      </c>
      <c r="AM561" s="43">
        <f>IF(B561="","",IF(C561="","Add - which product?",IF(AG561&lt;0,"Loss - this order cost you money",IF(M561="Refunded","Refunded - check why",IF(AND(AF561&lt;&gt;"",AF561&gt;0.25),"Check - fees higher than your settings",IF(Z561&gt;1,"Check - postage is eating the margin",IF(AND(AH561&lt;&gt;"",AH561&lt;MarginWarning),"Low margin on this order","OK")))))) )</f>
        <v>0</v>
      </c>
    </row>
    <row r="562" spans="1:39">
      <c r="A562" s="38">
        <f>IF(B562="","",SalePrefix&amp;TEXT(ROW()-4,"0000"))</f>
        <v>0</v>
      </c>
      <c r="Q562" s="13">
        <f>IF(C562="","",IFERROR(INDEX(Products!$B$5:$B$304,MATCH(C562,Products!$A$5:$A$304,0)),"Bundle or deleted"))</f>
        <v>0</v>
      </c>
      <c r="R562" s="13">
        <f>IF(B562="","",TEXT(B562,"yyyy-mm"))</f>
        <v>0</v>
      </c>
      <c r="S562" s="20">
        <f>IF(C562="","",IFERROR(INDEX(Products!$AR$5:$AR$304,MATCH(C562,Products!$A$5:$A$304,0)),""))</f>
        <v>0</v>
      </c>
      <c r="T562" s="20">
        <f>IF(B562="","",IF(F562&lt;&gt;"",F562,IF(S562="",0,S562)))</f>
        <v>0</v>
      </c>
      <c r="U562" s="20">
        <f>IF(B562="","",ROUND(IF(D562="",0,D562)*T562,2))</f>
        <v>0</v>
      </c>
      <c r="V562" s="20">
        <f>IF(B562="","",ROUND(U562-IF(G562="",0,G562)-IF(L562="",0,L562),2))</f>
        <v>0</v>
      </c>
      <c r="W562" s="20">
        <f>IF(C562="","",IFERROR(INDEX(Products!$AT$5:$AT$304,MATCH(C562,Products!$A$5:$A$304,0)),""))</f>
        <v>0</v>
      </c>
      <c r="X562" s="20">
        <f>IF(C562="","",IFERROR(INDEX(Products!$AG$5:$AG$304,MATCH(C562,Products!$A$5:$A$304,0)),""))</f>
        <v>0</v>
      </c>
      <c r="Y562" s="20">
        <f>IF(B562="","",ROUND(IF(D562="",0,D562)*MAX(0,IF(W562="",0,W562)-IF(X562="",0,X562)),2))</f>
        <v>0</v>
      </c>
      <c r="Z562" s="20">
        <f>IF(B562="","",ROUND(MAX(0,IF(J562="",0,J562)-IF(I562="",0,I562)),2))</f>
        <v>0</v>
      </c>
      <c r="AA562" s="33">
        <f>IF(B562="","",IFERROR(INDEX(Channels!$S$5:$S$18,MATCH(IF(E562="",DefaultChannel,E562),Channels!$A$5:$A$18,0)),0))</f>
        <v>0</v>
      </c>
      <c r="AB562" s="20">
        <f>IF(B562="","",IFERROR(INDEX(Channels!$T$5:$T$18,MATCH(IF(E562="",DefaultChannel,E562),Channels!$A$5:$A$18,0)),0))</f>
        <v>0</v>
      </c>
      <c r="AC562" s="42">
        <f>IF(B562="","",IFERROR(INDEX(Channels!$O$5:$O$18,MATCH(IF(E562="",DefaultChannel,E562),Channels!$A$5:$A$18,0)),"No"))</f>
        <v>0</v>
      </c>
      <c r="AD562" s="20">
        <f>IF(B562="","",ROUND((V562+IF(AC562="Yes",IF(I562="",0,I562),0))*AA562+AB562,2))</f>
        <v>0</v>
      </c>
      <c r="AE562" s="20">
        <f>IF(B562="","",IF(K562&lt;&gt;"",K562,AD562))</f>
        <v>0</v>
      </c>
      <c r="AF562" s="20">
        <f>IF(B562="","",IF(K562="","",ROUND(K562-AD562,2)))</f>
        <v>0</v>
      </c>
      <c r="AG562" s="20">
        <f>IF(B562="","",ROUND(V562-Y562-AE562-Z562,2))</f>
        <v>0</v>
      </c>
      <c r="AH562" s="33">
        <f>IF(B562="","",IF(OR(V562="",V562=0),"",AG562/V562))</f>
        <v>0</v>
      </c>
      <c r="AI562" s="33">
        <f>IF(C562="","",IFERROR(INDEX(Products!$AW$5:$AW$304,MATCH(C562,Products!$A$5:$A$304,0)),""))</f>
        <v>0</v>
      </c>
      <c r="AJ562" s="33">
        <f>IF(B562="","",IF(OR(AH562="",AI562=""),"",AH562-AI562))</f>
        <v>0</v>
      </c>
      <c r="AK562" s="41">
        <f>IF(B562="","",IFERROR(ROUND(IF(D562="",0,D562)*INDEX(Products!$X$5:$X$304,MATCH(C562,Products!$A$5:$A$304,0))/60,2),""))</f>
        <v>0</v>
      </c>
      <c r="AL562" s="20">
        <f>IF(B562="","",IF(OR(AK562="",AK562=0),"",ROUND(AG562/AK562,2)))</f>
        <v>0</v>
      </c>
      <c r="AM562" s="43">
        <f>IF(B562="","",IF(C562="","Add - which product?",IF(AG562&lt;0,"Loss - this order cost you money",IF(M562="Refunded","Refunded - check why",IF(AND(AF562&lt;&gt;"",AF562&gt;0.25),"Check - fees higher than your settings",IF(Z562&gt;1,"Check - postage is eating the margin",IF(AND(AH562&lt;&gt;"",AH562&lt;MarginWarning),"Low margin on this order","OK")))))) )</f>
        <v>0</v>
      </c>
    </row>
    <row r="563" spans="1:39">
      <c r="A563" s="38">
        <f>IF(B563="","",SalePrefix&amp;TEXT(ROW()-4,"0000"))</f>
        <v>0</v>
      </c>
      <c r="Q563" s="13">
        <f>IF(C563="","",IFERROR(INDEX(Products!$B$5:$B$304,MATCH(C563,Products!$A$5:$A$304,0)),"Bundle or deleted"))</f>
        <v>0</v>
      </c>
      <c r="R563" s="13">
        <f>IF(B563="","",TEXT(B563,"yyyy-mm"))</f>
        <v>0</v>
      </c>
      <c r="S563" s="20">
        <f>IF(C563="","",IFERROR(INDEX(Products!$AR$5:$AR$304,MATCH(C563,Products!$A$5:$A$304,0)),""))</f>
        <v>0</v>
      </c>
      <c r="T563" s="20">
        <f>IF(B563="","",IF(F563&lt;&gt;"",F563,IF(S563="",0,S563)))</f>
        <v>0</v>
      </c>
      <c r="U563" s="20">
        <f>IF(B563="","",ROUND(IF(D563="",0,D563)*T563,2))</f>
        <v>0</v>
      </c>
      <c r="V563" s="20">
        <f>IF(B563="","",ROUND(U563-IF(G563="",0,G563)-IF(L563="",0,L563),2))</f>
        <v>0</v>
      </c>
      <c r="W563" s="20">
        <f>IF(C563="","",IFERROR(INDEX(Products!$AT$5:$AT$304,MATCH(C563,Products!$A$5:$A$304,0)),""))</f>
        <v>0</v>
      </c>
      <c r="X563" s="20">
        <f>IF(C563="","",IFERROR(INDEX(Products!$AG$5:$AG$304,MATCH(C563,Products!$A$5:$A$304,0)),""))</f>
        <v>0</v>
      </c>
      <c r="Y563" s="20">
        <f>IF(B563="","",ROUND(IF(D563="",0,D563)*MAX(0,IF(W563="",0,W563)-IF(X563="",0,X563)),2))</f>
        <v>0</v>
      </c>
      <c r="Z563" s="20">
        <f>IF(B563="","",ROUND(MAX(0,IF(J563="",0,J563)-IF(I563="",0,I563)),2))</f>
        <v>0</v>
      </c>
      <c r="AA563" s="33">
        <f>IF(B563="","",IFERROR(INDEX(Channels!$S$5:$S$18,MATCH(IF(E563="",DefaultChannel,E563),Channels!$A$5:$A$18,0)),0))</f>
        <v>0</v>
      </c>
      <c r="AB563" s="20">
        <f>IF(B563="","",IFERROR(INDEX(Channels!$T$5:$T$18,MATCH(IF(E563="",DefaultChannel,E563),Channels!$A$5:$A$18,0)),0))</f>
        <v>0</v>
      </c>
      <c r="AC563" s="42">
        <f>IF(B563="","",IFERROR(INDEX(Channels!$O$5:$O$18,MATCH(IF(E563="",DefaultChannel,E563),Channels!$A$5:$A$18,0)),"No"))</f>
        <v>0</v>
      </c>
      <c r="AD563" s="20">
        <f>IF(B563="","",ROUND((V563+IF(AC563="Yes",IF(I563="",0,I563),0))*AA563+AB563,2))</f>
        <v>0</v>
      </c>
      <c r="AE563" s="20">
        <f>IF(B563="","",IF(K563&lt;&gt;"",K563,AD563))</f>
        <v>0</v>
      </c>
      <c r="AF563" s="20">
        <f>IF(B563="","",IF(K563="","",ROUND(K563-AD563,2)))</f>
        <v>0</v>
      </c>
      <c r="AG563" s="20">
        <f>IF(B563="","",ROUND(V563-Y563-AE563-Z563,2))</f>
        <v>0</v>
      </c>
      <c r="AH563" s="33">
        <f>IF(B563="","",IF(OR(V563="",V563=0),"",AG563/V563))</f>
        <v>0</v>
      </c>
      <c r="AI563" s="33">
        <f>IF(C563="","",IFERROR(INDEX(Products!$AW$5:$AW$304,MATCH(C563,Products!$A$5:$A$304,0)),""))</f>
        <v>0</v>
      </c>
      <c r="AJ563" s="33">
        <f>IF(B563="","",IF(OR(AH563="",AI563=""),"",AH563-AI563))</f>
        <v>0</v>
      </c>
      <c r="AK563" s="41">
        <f>IF(B563="","",IFERROR(ROUND(IF(D563="",0,D563)*INDEX(Products!$X$5:$X$304,MATCH(C563,Products!$A$5:$A$304,0))/60,2),""))</f>
        <v>0</v>
      </c>
      <c r="AL563" s="20">
        <f>IF(B563="","",IF(OR(AK563="",AK563=0),"",ROUND(AG563/AK563,2)))</f>
        <v>0</v>
      </c>
      <c r="AM563" s="43">
        <f>IF(B563="","",IF(C563="","Add - which product?",IF(AG563&lt;0,"Loss - this order cost you money",IF(M563="Refunded","Refunded - check why",IF(AND(AF563&lt;&gt;"",AF563&gt;0.25),"Check - fees higher than your settings",IF(Z563&gt;1,"Check - postage is eating the margin",IF(AND(AH563&lt;&gt;"",AH563&lt;MarginWarning),"Low margin on this order","OK")))))) )</f>
        <v>0</v>
      </c>
    </row>
    <row r="564" spans="1:39">
      <c r="A564" s="38">
        <f>IF(B564="","",SalePrefix&amp;TEXT(ROW()-4,"0000"))</f>
        <v>0</v>
      </c>
      <c r="Q564" s="13">
        <f>IF(C564="","",IFERROR(INDEX(Products!$B$5:$B$304,MATCH(C564,Products!$A$5:$A$304,0)),"Bundle or deleted"))</f>
        <v>0</v>
      </c>
      <c r="R564" s="13">
        <f>IF(B564="","",TEXT(B564,"yyyy-mm"))</f>
        <v>0</v>
      </c>
      <c r="S564" s="20">
        <f>IF(C564="","",IFERROR(INDEX(Products!$AR$5:$AR$304,MATCH(C564,Products!$A$5:$A$304,0)),""))</f>
        <v>0</v>
      </c>
      <c r="T564" s="20">
        <f>IF(B564="","",IF(F564&lt;&gt;"",F564,IF(S564="",0,S564)))</f>
        <v>0</v>
      </c>
      <c r="U564" s="20">
        <f>IF(B564="","",ROUND(IF(D564="",0,D564)*T564,2))</f>
        <v>0</v>
      </c>
      <c r="V564" s="20">
        <f>IF(B564="","",ROUND(U564-IF(G564="",0,G564)-IF(L564="",0,L564),2))</f>
        <v>0</v>
      </c>
      <c r="W564" s="20">
        <f>IF(C564="","",IFERROR(INDEX(Products!$AT$5:$AT$304,MATCH(C564,Products!$A$5:$A$304,0)),""))</f>
        <v>0</v>
      </c>
      <c r="X564" s="20">
        <f>IF(C564="","",IFERROR(INDEX(Products!$AG$5:$AG$304,MATCH(C564,Products!$A$5:$A$304,0)),""))</f>
        <v>0</v>
      </c>
      <c r="Y564" s="20">
        <f>IF(B564="","",ROUND(IF(D564="",0,D564)*MAX(0,IF(W564="",0,W564)-IF(X564="",0,X564)),2))</f>
        <v>0</v>
      </c>
      <c r="Z564" s="20">
        <f>IF(B564="","",ROUND(MAX(0,IF(J564="",0,J564)-IF(I564="",0,I564)),2))</f>
        <v>0</v>
      </c>
      <c r="AA564" s="33">
        <f>IF(B564="","",IFERROR(INDEX(Channels!$S$5:$S$18,MATCH(IF(E564="",DefaultChannel,E564),Channels!$A$5:$A$18,0)),0))</f>
        <v>0</v>
      </c>
      <c r="AB564" s="20">
        <f>IF(B564="","",IFERROR(INDEX(Channels!$T$5:$T$18,MATCH(IF(E564="",DefaultChannel,E564),Channels!$A$5:$A$18,0)),0))</f>
        <v>0</v>
      </c>
      <c r="AC564" s="42">
        <f>IF(B564="","",IFERROR(INDEX(Channels!$O$5:$O$18,MATCH(IF(E564="",DefaultChannel,E564),Channels!$A$5:$A$18,0)),"No"))</f>
        <v>0</v>
      </c>
      <c r="AD564" s="20">
        <f>IF(B564="","",ROUND((V564+IF(AC564="Yes",IF(I564="",0,I564),0))*AA564+AB564,2))</f>
        <v>0</v>
      </c>
      <c r="AE564" s="20">
        <f>IF(B564="","",IF(K564&lt;&gt;"",K564,AD564))</f>
        <v>0</v>
      </c>
      <c r="AF564" s="20">
        <f>IF(B564="","",IF(K564="","",ROUND(K564-AD564,2)))</f>
        <v>0</v>
      </c>
      <c r="AG564" s="20">
        <f>IF(B564="","",ROUND(V564-Y564-AE564-Z564,2))</f>
        <v>0</v>
      </c>
      <c r="AH564" s="33">
        <f>IF(B564="","",IF(OR(V564="",V564=0),"",AG564/V564))</f>
        <v>0</v>
      </c>
      <c r="AI564" s="33">
        <f>IF(C564="","",IFERROR(INDEX(Products!$AW$5:$AW$304,MATCH(C564,Products!$A$5:$A$304,0)),""))</f>
        <v>0</v>
      </c>
      <c r="AJ564" s="33">
        <f>IF(B564="","",IF(OR(AH564="",AI564=""),"",AH564-AI564))</f>
        <v>0</v>
      </c>
      <c r="AK564" s="41">
        <f>IF(B564="","",IFERROR(ROUND(IF(D564="",0,D564)*INDEX(Products!$X$5:$X$304,MATCH(C564,Products!$A$5:$A$304,0))/60,2),""))</f>
        <v>0</v>
      </c>
      <c r="AL564" s="20">
        <f>IF(B564="","",IF(OR(AK564="",AK564=0),"",ROUND(AG564/AK564,2)))</f>
        <v>0</v>
      </c>
      <c r="AM564" s="43">
        <f>IF(B564="","",IF(C564="","Add - which product?",IF(AG564&lt;0,"Loss - this order cost you money",IF(M564="Refunded","Refunded - check why",IF(AND(AF564&lt;&gt;"",AF564&gt;0.25),"Check - fees higher than your settings",IF(Z564&gt;1,"Check - postage is eating the margin",IF(AND(AH564&lt;&gt;"",AH564&lt;MarginWarning),"Low margin on this order","OK")))))) )</f>
        <v>0</v>
      </c>
    </row>
    <row r="565" spans="1:39">
      <c r="A565" s="38">
        <f>IF(B565="","",SalePrefix&amp;TEXT(ROW()-4,"0000"))</f>
        <v>0</v>
      </c>
      <c r="Q565" s="13">
        <f>IF(C565="","",IFERROR(INDEX(Products!$B$5:$B$304,MATCH(C565,Products!$A$5:$A$304,0)),"Bundle or deleted"))</f>
        <v>0</v>
      </c>
      <c r="R565" s="13">
        <f>IF(B565="","",TEXT(B565,"yyyy-mm"))</f>
        <v>0</v>
      </c>
      <c r="S565" s="20">
        <f>IF(C565="","",IFERROR(INDEX(Products!$AR$5:$AR$304,MATCH(C565,Products!$A$5:$A$304,0)),""))</f>
        <v>0</v>
      </c>
      <c r="T565" s="20">
        <f>IF(B565="","",IF(F565&lt;&gt;"",F565,IF(S565="",0,S565)))</f>
        <v>0</v>
      </c>
      <c r="U565" s="20">
        <f>IF(B565="","",ROUND(IF(D565="",0,D565)*T565,2))</f>
        <v>0</v>
      </c>
      <c r="V565" s="20">
        <f>IF(B565="","",ROUND(U565-IF(G565="",0,G565)-IF(L565="",0,L565),2))</f>
        <v>0</v>
      </c>
      <c r="W565" s="20">
        <f>IF(C565="","",IFERROR(INDEX(Products!$AT$5:$AT$304,MATCH(C565,Products!$A$5:$A$304,0)),""))</f>
        <v>0</v>
      </c>
      <c r="X565" s="20">
        <f>IF(C565="","",IFERROR(INDEX(Products!$AG$5:$AG$304,MATCH(C565,Products!$A$5:$A$304,0)),""))</f>
        <v>0</v>
      </c>
      <c r="Y565" s="20">
        <f>IF(B565="","",ROUND(IF(D565="",0,D565)*MAX(0,IF(W565="",0,W565)-IF(X565="",0,X565)),2))</f>
        <v>0</v>
      </c>
      <c r="Z565" s="20">
        <f>IF(B565="","",ROUND(MAX(0,IF(J565="",0,J565)-IF(I565="",0,I565)),2))</f>
        <v>0</v>
      </c>
      <c r="AA565" s="33">
        <f>IF(B565="","",IFERROR(INDEX(Channels!$S$5:$S$18,MATCH(IF(E565="",DefaultChannel,E565),Channels!$A$5:$A$18,0)),0))</f>
        <v>0</v>
      </c>
      <c r="AB565" s="20">
        <f>IF(B565="","",IFERROR(INDEX(Channels!$T$5:$T$18,MATCH(IF(E565="",DefaultChannel,E565),Channels!$A$5:$A$18,0)),0))</f>
        <v>0</v>
      </c>
      <c r="AC565" s="42">
        <f>IF(B565="","",IFERROR(INDEX(Channels!$O$5:$O$18,MATCH(IF(E565="",DefaultChannel,E565),Channels!$A$5:$A$18,0)),"No"))</f>
        <v>0</v>
      </c>
      <c r="AD565" s="20">
        <f>IF(B565="","",ROUND((V565+IF(AC565="Yes",IF(I565="",0,I565),0))*AA565+AB565,2))</f>
        <v>0</v>
      </c>
      <c r="AE565" s="20">
        <f>IF(B565="","",IF(K565&lt;&gt;"",K565,AD565))</f>
        <v>0</v>
      </c>
      <c r="AF565" s="20">
        <f>IF(B565="","",IF(K565="","",ROUND(K565-AD565,2)))</f>
        <v>0</v>
      </c>
      <c r="AG565" s="20">
        <f>IF(B565="","",ROUND(V565-Y565-AE565-Z565,2))</f>
        <v>0</v>
      </c>
      <c r="AH565" s="33">
        <f>IF(B565="","",IF(OR(V565="",V565=0),"",AG565/V565))</f>
        <v>0</v>
      </c>
      <c r="AI565" s="33">
        <f>IF(C565="","",IFERROR(INDEX(Products!$AW$5:$AW$304,MATCH(C565,Products!$A$5:$A$304,0)),""))</f>
        <v>0</v>
      </c>
      <c r="AJ565" s="33">
        <f>IF(B565="","",IF(OR(AH565="",AI565=""),"",AH565-AI565))</f>
        <v>0</v>
      </c>
      <c r="AK565" s="41">
        <f>IF(B565="","",IFERROR(ROUND(IF(D565="",0,D565)*INDEX(Products!$X$5:$X$304,MATCH(C565,Products!$A$5:$A$304,0))/60,2),""))</f>
        <v>0</v>
      </c>
      <c r="AL565" s="20">
        <f>IF(B565="","",IF(OR(AK565="",AK565=0),"",ROUND(AG565/AK565,2)))</f>
        <v>0</v>
      </c>
      <c r="AM565" s="43">
        <f>IF(B565="","",IF(C565="","Add - which product?",IF(AG565&lt;0,"Loss - this order cost you money",IF(M565="Refunded","Refunded - check why",IF(AND(AF565&lt;&gt;"",AF565&gt;0.25),"Check - fees higher than your settings",IF(Z565&gt;1,"Check - postage is eating the margin",IF(AND(AH565&lt;&gt;"",AH565&lt;MarginWarning),"Low margin on this order","OK")))))) )</f>
        <v>0</v>
      </c>
    </row>
    <row r="566" spans="1:39">
      <c r="A566" s="38">
        <f>IF(B566="","",SalePrefix&amp;TEXT(ROW()-4,"0000"))</f>
        <v>0</v>
      </c>
      <c r="Q566" s="13">
        <f>IF(C566="","",IFERROR(INDEX(Products!$B$5:$B$304,MATCH(C566,Products!$A$5:$A$304,0)),"Bundle or deleted"))</f>
        <v>0</v>
      </c>
      <c r="R566" s="13">
        <f>IF(B566="","",TEXT(B566,"yyyy-mm"))</f>
        <v>0</v>
      </c>
      <c r="S566" s="20">
        <f>IF(C566="","",IFERROR(INDEX(Products!$AR$5:$AR$304,MATCH(C566,Products!$A$5:$A$304,0)),""))</f>
        <v>0</v>
      </c>
      <c r="T566" s="20">
        <f>IF(B566="","",IF(F566&lt;&gt;"",F566,IF(S566="",0,S566)))</f>
        <v>0</v>
      </c>
      <c r="U566" s="20">
        <f>IF(B566="","",ROUND(IF(D566="",0,D566)*T566,2))</f>
        <v>0</v>
      </c>
      <c r="V566" s="20">
        <f>IF(B566="","",ROUND(U566-IF(G566="",0,G566)-IF(L566="",0,L566),2))</f>
        <v>0</v>
      </c>
      <c r="W566" s="20">
        <f>IF(C566="","",IFERROR(INDEX(Products!$AT$5:$AT$304,MATCH(C566,Products!$A$5:$A$304,0)),""))</f>
        <v>0</v>
      </c>
      <c r="X566" s="20">
        <f>IF(C566="","",IFERROR(INDEX(Products!$AG$5:$AG$304,MATCH(C566,Products!$A$5:$A$304,0)),""))</f>
        <v>0</v>
      </c>
      <c r="Y566" s="20">
        <f>IF(B566="","",ROUND(IF(D566="",0,D566)*MAX(0,IF(W566="",0,W566)-IF(X566="",0,X566)),2))</f>
        <v>0</v>
      </c>
      <c r="Z566" s="20">
        <f>IF(B566="","",ROUND(MAX(0,IF(J566="",0,J566)-IF(I566="",0,I566)),2))</f>
        <v>0</v>
      </c>
      <c r="AA566" s="33">
        <f>IF(B566="","",IFERROR(INDEX(Channels!$S$5:$S$18,MATCH(IF(E566="",DefaultChannel,E566),Channels!$A$5:$A$18,0)),0))</f>
        <v>0</v>
      </c>
      <c r="AB566" s="20">
        <f>IF(B566="","",IFERROR(INDEX(Channels!$T$5:$T$18,MATCH(IF(E566="",DefaultChannel,E566),Channels!$A$5:$A$18,0)),0))</f>
        <v>0</v>
      </c>
      <c r="AC566" s="42">
        <f>IF(B566="","",IFERROR(INDEX(Channels!$O$5:$O$18,MATCH(IF(E566="",DefaultChannel,E566),Channels!$A$5:$A$18,0)),"No"))</f>
        <v>0</v>
      </c>
      <c r="AD566" s="20">
        <f>IF(B566="","",ROUND((V566+IF(AC566="Yes",IF(I566="",0,I566),0))*AA566+AB566,2))</f>
        <v>0</v>
      </c>
      <c r="AE566" s="20">
        <f>IF(B566="","",IF(K566&lt;&gt;"",K566,AD566))</f>
        <v>0</v>
      </c>
      <c r="AF566" s="20">
        <f>IF(B566="","",IF(K566="","",ROUND(K566-AD566,2)))</f>
        <v>0</v>
      </c>
      <c r="AG566" s="20">
        <f>IF(B566="","",ROUND(V566-Y566-AE566-Z566,2))</f>
        <v>0</v>
      </c>
      <c r="AH566" s="33">
        <f>IF(B566="","",IF(OR(V566="",V566=0),"",AG566/V566))</f>
        <v>0</v>
      </c>
      <c r="AI566" s="33">
        <f>IF(C566="","",IFERROR(INDEX(Products!$AW$5:$AW$304,MATCH(C566,Products!$A$5:$A$304,0)),""))</f>
        <v>0</v>
      </c>
      <c r="AJ566" s="33">
        <f>IF(B566="","",IF(OR(AH566="",AI566=""),"",AH566-AI566))</f>
        <v>0</v>
      </c>
      <c r="AK566" s="41">
        <f>IF(B566="","",IFERROR(ROUND(IF(D566="",0,D566)*INDEX(Products!$X$5:$X$304,MATCH(C566,Products!$A$5:$A$304,0))/60,2),""))</f>
        <v>0</v>
      </c>
      <c r="AL566" s="20">
        <f>IF(B566="","",IF(OR(AK566="",AK566=0),"",ROUND(AG566/AK566,2)))</f>
        <v>0</v>
      </c>
      <c r="AM566" s="43">
        <f>IF(B566="","",IF(C566="","Add - which product?",IF(AG566&lt;0,"Loss - this order cost you money",IF(M566="Refunded","Refunded - check why",IF(AND(AF566&lt;&gt;"",AF566&gt;0.25),"Check - fees higher than your settings",IF(Z566&gt;1,"Check - postage is eating the margin",IF(AND(AH566&lt;&gt;"",AH566&lt;MarginWarning),"Low margin on this order","OK")))))) )</f>
        <v>0</v>
      </c>
    </row>
    <row r="567" spans="1:39">
      <c r="A567" s="38">
        <f>IF(B567="","",SalePrefix&amp;TEXT(ROW()-4,"0000"))</f>
        <v>0</v>
      </c>
      <c r="Q567" s="13">
        <f>IF(C567="","",IFERROR(INDEX(Products!$B$5:$B$304,MATCH(C567,Products!$A$5:$A$304,0)),"Bundle or deleted"))</f>
        <v>0</v>
      </c>
      <c r="R567" s="13">
        <f>IF(B567="","",TEXT(B567,"yyyy-mm"))</f>
        <v>0</v>
      </c>
      <c r="S567" s="20">
        <f>IF(C567="","",IFERROR(INDEX(Products!$AR$5:$AR$304,MATCH(C567,Products!$A$5:$A$304,0)),""))</f>
        <v>0</v>
      </c>
      <c r="T567" s="20">
        <f>IF(B567="","",IF(F567&lt;&gt;"",F567,IF(S567="",0,S567)))</f>
        <v>0</v>
      </c>
      <c r="U567" s="20">
        <f>IF(B567="","",ROUND(IF(D567="",0,D567)*T567,2))</f>
        <v>0</v>
      </c>
      <c r="V567" s="20">
        <f>IF(B567="","",ROUND(U567-IF(G567="",0,G567)-IF(L567="",0,L567),2))</f>
        <v>0</v>
      </c>
      <c r="W567" s="20">
        <f>IF(C567="","",IFERROR(INDEX(Products!$AT$5:$AT$304,MATCH(C567,Products!$A$5:$A$304,0)),""))</f>
        <v>0</v>
      </c>
      <c r="X567" s="20">
        <f>IF(C567="","",IFERROR(INDEX(Products!$AG$5:$AG$304,MATCH(C567,Products!$A$5:$A$304,0)),""))</f>
        <v>0</v>
      </c>
      <c r="Y567" s="20">
        <f>IF(B567="","",ROUND(IF(D567="",0,D567)*MAX(0,IF(W567="",0,W567)-IF(X567="",0,X567)),2))</f>
        <v>0</v>
      </c>
      <c r="Z567" s="20">
        <f>IF(B567="","",ROUND(MAX(0,IF(J567="",0,J567)-IF(I567="",0,I567)),2))</f>
        <v>0</v>
      </c>
      <c r="AA567" s="33">
        <f>IF(B567="","",IFERROR(INDEX(Channels!$S$5:$S$18,MATCH(IF(E567="",DefaultChannel,E567),Channels!$A$5:$A$18,0)),0))</f>
        <v>0</v>
      </c>
      <c r="AB567" s="20">
        <f>IF(B567="","",IFERROR(INDEX(Channels!$T$5:$T$18,MATCH(IF(E567="",DefaultChannel,E567),Channels!$A$5:$A$18,0)),0))</f>
        <v>0</v>
      </c>
      <c r="AC567" s="42">
        <f>IF(B567="","",IFERROR(INDEX(Channels!$O$5:$O$18,MATCH(IF(E567="",DefaultChannel,E567),Channels!$A$5:$A$18,0)),"No"))</f>
        <v>0</v>
      </c>
      <c r="AD567" s="20">
        <f>IF(B567="","",ROUND((V567+IF(AC567="Yes",IF(I567="",0,I567),0))*AA567+AB567,2))</f>
        <v>0</v>
      </c>
      <c r="AE567" s="20">
        <f>IF(B567="","",IF(K567&lt;&gt;"",K567,AD567))</f>
        <v>0</v>
      </c>
      <c r="AF567" s="20">
        <f>IF(B567="","",IF(K567="","",ROUND(K567-AD567,2)))</f>
        <v>0</v>
      </c>
      <c r="AG567" s="20">
        <f>IF(B567="","",ROUND(V567-Y567-AE567-Z567,2))</f>
        <v>0</v>
      </c>
      <c r="AH567" s="33">
        <f>IF(B567="","",IF(OR(V567="",V567=0),"",AG567/V567))</f>
        <v>0</v>
      </c>
      <c r="AI567" s="33">
        <f>IF(C567="","",IFERROR(INDEX(Products!$AW$5:$AW$304,MATCH(C567,Products!$A$5:$A$304,0)),""))</f>
        <v>0</v>
      </c>
      <c r="AJ567" s="33">
        <f>IF(B567="","",IF(OR(AH567="",AI567=""),"",AH567-AI567))</f>
        <v>0</v>
      </c>
      <c r="AK567" s="41">
        <f>IF(B567="","",IFERROR(ROUND(IF(D567="",0,D567)*INDEX(Products!$X$5:$X$304,MATCH(C567,Products!$A$5:$A$304,0))/60,2),""))</f>
        <v>0</v>
      </c>
      <c r="AL567" s="20">
        <f>IF(B567="","",IF(OR(AK567="",AK567=0),"",ROUND(AG567/AK567,2)))</f>
        <v>0</v>
      </c>
      <c r="AM567" s="43">
        <f>IF(B567="","",IF(C567="","Add - which product?",IF(AG567&lt;0,"Loss - this order cost you money",IF(M567="Refunded","Refunded - check why",IF(AND(AF567&lt;&gt;"",AF567&gt;0.25),"Check - fees higher than your settings",IF(Z567&gt;1,"Check - postage is eating the margin",IF(AND(AH567&lt;&gt;"",AH567&lt;MarginWarning),"Low margin on this order","OK")))))) )</f>
        <v>0</v>
      </c>
    </row>
    <row r="568" spans="1:39">
      <c r="A568" s="38">
        <f>IF(B568="","",SalePrefix&amp;TEXT(ROW()-4,"0000"))</f>
        <v>0</v>
      </c>
      <c r="Q568" s="13">
        <f>IF(C568="","",IFERROR(INDEX(Products!$B$5:$B$304,MATCH(C568,Products!$A$5:$A$304,0)),"Bundle or deleted"))</f>
        <v>0</v>
      </c>
      <c r="R568" s="13">
        <f>IF(B568="","",TEXT(B568,"yyyy-mm"))</f>
        <v>0</v>
      </c>
      <c r="S568" s="20">
        <f>IF(C568="","",IFERROR(INDEX(Products!$AR$5:$AR$304,MATCH(C568,Products!$A$5:$A$304,0)),""))</f>
        <v>0</v>
      </c>
      <c r="T568" s="20">
        <f>IF(B568="","",IF(F568&lt;&gt;"",F568,IF(S568="",0,S568)))</f>
        <v>0</v>
      </c>
      <c r="U568" s="20">
        <f>IF(B568="","",ROUND(IF(D568="",0,D568)*T568,2))</f>
        <v>0</v>
      </c>
      <c r="V568" s="20">
        <f>IF(B568="","",ROUND(U568-IF(G568="",0,G568)-IF(L568="",0,L568),2))</f>
        <v>0</v>
      </c>
      <c r="W568" s="20">
        <f>IF(C568="","",IFERROR(INDEX(Products!$AT$5:$AT$304,MATCH(C568,Products!$A$5:$A$304,0)),""))</f>
        <v>0</v>
      </c>
      <c r="X568" s="20">
        <f>IF(C568="","",IFERROR(INDEX(Products!$AG$5:$AG$304,MATCH(C568,Products!$A$5:$A$304,0)),""))</f>
        <v>0</v>
      </c>
      <c r="Y568" s="20">
        <f>IF(B568="","",ROUND(IF(D568="",0,D568)*MAX(0,IF(W568="",0,W568)-IF(X568="",0,X568)),2))</f>
        <v>0</v>
      </c>
      <c r="Z568" s="20">
        <f>IF(B568="","",ROUND(MAX(0,IF(J568="",0,J568)-IF(I568="",0,I568)),2))</f>
        <v>0</v>
      </c>
      <c r="AA568" s="33">
        <f>IF(B568="","",IFERROR(INDEX(Channels!$S$5:$S$18,MATCH(IF(E568="",DefaultChannel,E568),Channels!$A$5:$A$18,0)),0))</f>
        <v>0</v>
      </c>
      <c r="AB568" s="20">
        <f>IF(B568="","",IFERROR(INDEX(Channels!$T$5:$T$18,MATCH(IF(E568="",DefaultChannel,E568),Channels!$A$5:$A$18,0)),0))</f>
        <v>0</v>
      </c>
      <c r="AC568" s="42">
        <f>IF(B568="","",IFERROR(INDEX(Channels!$O$5:$O$18,MATCH(IF(E568="",DefaultChannel,E568),Channels!$A$5:$A$18,0)),"No"))</f>
        <v>0</v>
      </c>
      <c r="AD568" s="20">
        <f>IF(B568="","",ROUND((V568+IF(AC568="Yes",IF(I568="",0,I568),0))*AA568+AB568,2))</f>
        <v>0</v>
      </c>
      <c r="AE568" s="20">
        <f>IF(B568="","",IF(K568&lt;&gt;"",K568,AD568))</f>
        <v>0</v>
      </c>
      <c r="AF568" s="20">
        <f>IF(B568="","",IF(K568="","",ROUND(K568-AD568,2)))</f>
        <v>0</v>
      </c>
      <c r="AG568" s="20">
        <f>IF(B568="","",ROUND(V568-Y568-AE568-Z568,2))</f>
        <v>0</v>
      </c>
      <c r="AH568" s="33">
        <f>IF(B568="","",IF(OR(V568="",V568=0),"",AG568/V568))</f>
        <v>0</v>
      </c>
      <c r="AI568" s="33">
        <f>IF(C568="","",IFERROR(INDEX(Products!$AW$5:$AW$304,MATCH(C568,Products!$A$5:$A$304,0)),""))</f>
        <v>0</v>
      </c>
      <c r="AJ568" s="33">
        <f>IF(B568="","",IF(OR(AH568="",AI568=""),"",AH568-AI568))</f>
        <v>0</v>
      </c>
      <c r="AK568" s="41">
        <f>IF(B568="","",IFERROR(ROUND(IF(D568="",0,D568)*INDEX(Products!$X$5:$X$304,MATCH(C568,Products!$A$5:$A$304,0))/60,2),""))</f>
        <v>0</v>
      </c>
      <c r="AL568" s="20">
        <f>IF(B568="","",IF(OR(AK568="",AK568=0),"",ROUND(AG568/AK568,2)))</f>
        <v>0</v>
      </c>
      <c r="AM568" s="43">
        <f>IF(B568="","",IF(C568="","Add - which product?",IF(AG568&lt;0,"Loss - this order cost you money",IF(M568="Refunded","Refunded - check why",IF(AND(AF568&lt;&gt;"",AF568&gt;0.25),"Check - fees higher than your settings",IF(Z568&gt;1,"Check - postage is eating the margin",IF(AND(AH568&lt;&gt;"",AH568&lt;MarginWarning),"Low margin on this order","OK")))))) )</f>
        <v>0</v>
      </c>
    </row>
    <row r="569" spans="1:39">
      <c r="A569" s="38">
        <f>IF(B569="","",SalePrefix&amp;TEXT(ROW()-4,"0000"))</f>
        <v>0</v>
      </c>
      <c r="Q569" s="13">
        <f>IF(C569="","",IFERROR(INDEX(Products!$B$5:$B$304,MATCH(C569,Products!$A$5:$A$304,0)),"Bundle or deleted"))</f>
        <v>0</v>
      </c>
      <c r="R569" s="13">
        <f>IF(B569="","",TEXT(B569,"yyyy-mm"))</f>
        <v>0</v>
      </c>
      <c r="S569" s="20">
        <f>IF(C569="","",IFERROR(INDEX(Products!$AR$5:$AR$304,MATCH(C569,Products!$A$5:$A$304,0)),""))</f>
        <v>0</v>
      </c>
      <c r="T569" s="20">
        <f>IF(B569="","",IF(F569&lt;&gt;"",F569,IF(S569="",0,S569)))</f>
        <v>0</v>
      </c>
      <c r="U569" s="20">
        <f>IF(B569="","",ROUND(IF(D569="",0,D569)*T569,2))</f>
        <v>0</v>
      </c>
      <c r="V569" s="20">
        <f>IF(B569="","",ROUND(U569-IF(G569="",0,G569)-IF(L569="",0,L569),2))</f>
        <v>0</v>
      </c>
      <c r="W569" s="20">
        <f>IF(C569="","",IFERROR(INDEX(Products!$AT$5:$AT$304,MATCH(C569,Products!$A$5:$A$304,0)),""))</f>
        <v>0</v>
      </c>
      <c r="X569" s="20">
        <f>IF(C569="","",IFERROR(INDEX(Products!$AG$5:$AG$304,MATCH(C569,Products!$A$5:$A$304,0)),""))</f>
        <v>0</v>
      </c>
      <c r="Y569" s="20">
        <f>IF(B569="","",ROUND(IF(D569="",0,D569)*MAX(0,IF(W569="",0,W569)-IF(X569="",0,X569)),2))</f>
        <v>0</v>
      </c>
      <c r="Z569" s="20">
        <f>IF(B569="","",ROUND(MAX(0,IF(J569="",0,J569)-IF(I569="",0,I569)),2))</f>
        <v>0</v>
      </c>
      <c r="AA569" s="33">
        <f>IF(B569="","",IFERROR(INDEX(Channels!$S$5:$S$18,MATCH(IF(E569="",DefaultChannel,E569),Channels!$A$5:$A$18,0)),0))</f>
        <v>0</v>
      </c>
      <c r="AB569" s="20">
        <f>IF(B569="","",IFERROR(INDEX(Channels!$T$5:$T$18,MATCH(IF(E569="",DefaultChannel,E569),Channels!$A$5:$A$18,0)),0))</f>
        <v>0</v>
      </c>
      <c r="AC569" s="42">
        <f>IF(B569="","",IFERROR(INDEX(Channels!$O$5:$O$18,MATCH(IF(E569="",DefaultChannel,E569),Channels!$A$5:$A$18,0)),"No"))</f>
        <v>0</v>
      </c>
      <c r="AD569" s="20">
        <f>IF(B569="","",ROUND((V569+IF(AC569="Yes",IF(I569="",0,I569),0))*AA569+AB569,2))</f>
        <v>0</v>
      </c>
      <c r="AE569" s="20">
        <f>IF(B569="","",IF(K569&lt;&gt;"",K569,AD569))</f>
        <v>0</v>
      </c>
      <c r="AF569" s="20">
        <f>IF(B569="","",IF(K569="","",ROUND(K569-AD569,2)))</f>
        <v>0</v>
      </c>
      <c r="AG569" s="20">
        <f>IF(B569="","",ROUND(V569-Y569-AE569-Z569,2))</f>
        <v>0</v>
      </c>
      <c r="AH569" s="33">
        <f>IF(B569="","",IF(OR(V569="",V569=0),"",AG569/V569))</f>
        <v>0</v>
      </c>
      <c r="AI569" s="33">
        <f>IF(C569="","",IFERROR(INDEX(Products!$AW$5:$AW$304,MATCH(C569,Products!$A$5:$A$304,0)),""))</f>
        <v>0</v>
      </c>
      <c r="AJ569" s="33">
        <f>IF(B569="","",IF(OR(AH569="",AI569=""),"",AH569-AI569))</f>
        <v>0</v>
      </c>
      <c r="AK569" s="41">
        <f>IF(B569="","",IFERROR(ROUND(IF(D569="",0,D569)*INDEX(Products!$X$5:$X$304,MATCH(C569,Products!$A$5:$A$304,0))/60,2),""))</f>
        <v>0</v>
      </c>
      <c r="AL569" s="20">
        <f>IF(B569="","",IF(OR(AK569="",AK569=0),"",ROUND(AG569/AK569,2)))</f>
        <v>0</v>
      </c>
      <c r="AM569" s="43">
        <f>IF(B569="","",IF(C569="","Add - which product?",IF(AG569&lt;0,"Loss - this order cost you money",IF(M569="Refunded","Refunded - check why",IF(AND(AF569&lt;&gt;"",AF569&gt;0.25),"Check - fees higher than your settings",IF(Z569&gt;1,"Check - postage is eating the margin",IF(AND(AH569&lt;&gt;"",AH569&lt;MarginWarning),"Low margin on this order","OK")))))) )</f>
        <v>0</v>
      </c>
    </row>
    <row r="570" spans="1:39">
      <c r="A570" s="38">
        <f>IF(B570="","",SalePrefix&amp;TEXT(ROW()-4,"0000"))</f>
        <v>0</v>
      </c>
      <c r="Q570" s="13">
        <f>IF(C570="","",IFERROR(INDEX(Products!$B$5:$B$304,MATCH(C570,Products!$A$5:$A$304,0)),"Bundle or deleted"))</f>
        <v>0</v>
      </c>
      <c r="R570" s="13">
        <f>IF(B570="","",TEXT(B570,"yyyy-mm"))</f>
        <v>0</v>
      </c>
      <c r="S570" s="20">
        <f>IF(C570="","",IFERROR(INDEX(Products!$AR$5:$AR$304,MATCH(C570,Products!$A$5:$A$304,0)),""))</f>
        <v>0</v>
      </c>
      <c r="T570" s="20">
        <f>IF(B570="","",IF(F570&lt;&gt;"",F570,IF(S570="",0,S570)))</f>
        <v>0</v>
      </c>
      <c r="U570" s="20">
        <f>IF(B570="","",ROUND(IF(D570="",0,D570)*T570,2))</f>
        <v>0</v>
      </c>
      <c r="V570" s="20">
        <f>IF(B570="","",ROUND(U570-IF(G570="",0,G570)-IF(L570="",0,L570),2))</f>
        <v>0</v>
      </c>
      <c r="W570" s="20">
        <f>IF(C570="","",IFERROR(INDEX(Products!$AT$5:$AT$304,MATCH(C570,Products!$A$5:$A$304,0)),""))</f>
        <v>0</v>
      </c>
      <c r="X570" s="20">
        <f>IF(C570="","",IFERROR(INDEX(Products!$AG$5:$AG$304,MATCH(C570,Products!$A$5:$A$304,0)),""))</f>
        <v>0</v>
      </c>
      <c r="Y570" s="20">
        <f>IF(B570="","",ROUND(IF(D570="",0,D570)*MAX(0,IF(W570="",0,W570)-IF(X570="",0,X570)),2))</f>
        <v>0</v>
      </c>
      <c r="Z570" s="20">
        <f>IF(B570="","",ROUND(MAX(0,IF(J570="",0,J570)-IF(I570="",0,I570)),2))</f>
        <v>0</v>
      </c>
      <c r="AA570" s="33">
        <f>IF(B570="","",IFERROR(INDEX(Channels!$S$5:$S$18,MATCH(IF(E570="",DefaultChannel,E570),Channels!$A$5:$A$18,0)),0))</f>
        <v>0</v>
      </c>
      <c r="AB570" s="20">
        <f>IF(B570="","",IFERROR(INDEX(Channels!$T$5:$T$18,MATCH(IF(E570="",DefaultChannel,E570),Channels!$A$5:$A$18,0)),0))</f>
        <v>0</v>
      </c>
      <c r="AC570" s="42">
        <f>IF(B570="","",IFERROR(INDEX(Channels!$O$5:$O$18,MATCH(IF(E570="",DefaultChannel,E570),Channels!$A$5:$A$18,0)),"No"))</f>
        <v>0</v>
      </c>
      <c r="AD570" s="20">
        <f>IF(B570="","",ROUND((V570+IF(AC570="Yes",IF(I570="",0,I570),0))*AA570+AB570,2))</f>
        <v>0</v>
      </c>
      <c r="AE570" s="20">
        <f>IF(B570="","",IF(K570&lt;&gt;"",K570,AD570))</f>
        <v>0</v>
      </c>
      <c r="AF570" s="20">
        <f>IF(B570="","",IF(K570="","",ROUND(K570-AD570,2)))</f>
        <v>0</v>
      </c>
      <c r="AG570" s="20">
        <f>IF(B570="","",ROUND(V570-Y570-AE570-Z570,2))</f>
        <v>0</v>
      </c>
      <c r="AH570" s="33">
        <f>IF(B570="","",IF(OR(V570="",V570=0),"",AG570/V570))</f>
        <v>0</v>
      </c>
      <c r="AI570" s="33">
        <f>IF(C570="","",IFERROR(INDEX(Products!$AW$5:$AW$304,MATCH(C570,Products!$A$5:$A$304,0)),""))</f>
        <v>0</v>
      </c>
      <c r="AJ570" s="33">
        <f>IF(B570="","",IF(OR(AH570="",AI570=""),"",AH570-AI570))</f>
        <v>0</v>
      </c>
      <c r="AK570" s="41">
        <f>IF(B570="","",IFERROR(ROUND(IF(D570="",0,D570)*INDEX(Products!$X$5:$X$304,MATCH(C570,Products!$A$5:$A$304,0))/60,2),""))</f>
        <v>0</v>
      </c>
      <c r="AL570" s="20">
        <f>IF(B570="","",IF(OR(AK570="",AK570=0),"",ROUND(AG570/AK570,2)))</f>
        <v>0</v>
      </c>
      <c r="AM570" s="43">
        <f>IF(B570="","",IF(C570="","Add - which product?",IF(AG570&lt;0,"Loss - this order cost you money",IF(M570="Refunded","Refunded - check why",IF(AND(AF570&lt;&gt;"",AF570&gt;0.25),"Check - fees higher than your settings",IF(Z570&gt;1,"Check - postage is eating the margin",IF(AND(AH570&lt;&gt;"",AH570&lt;MarginWarning),"Low margin on this order","OK")))))) )</f>
        <v>0</v>
      </c>
    </row>
    <row r="571" spans="1:39">
      <c r="A571" s="38">
        <f>IF(B571="","",SalePrefix&amp;TEXT(ROW()-4,"0000"))</f>
        <v>0</v>
      </c>
      <c r="Q571" s="13">
        <f>IF(C571="","",IFERROR(INDEX(Products!$B$5:$B$304,MATCH(C571,Products!$A$5:$A$304,0)),"Bundle or deleted"))</f>
        <v>0</v>
      </c>
      <c r="R571" s="13">
        <f>IF(B571="","",TEXT(B571,"yyyy-mm"))</f>
        <v>0</v>
      </c>
      <c r="S571" s="20">
        <f>IF(C571="","",IFERROR(INDEX(Products!$AR$5:$AR$304,MATCH(C571,Products!$A$5:$A$304,0)),""))</f>
        <v>0</v>
      </c>
      <c r="T571" s="20">
        <f>IF(B571="","",IF(F571&lt;&gt;"",F571,IF(S571="",0,S571)))</f>
        <v>0</v>
      </c>
      <c r="U571" s="20">
        <f>IF(B571="","",ROUND(IF(D571="",0,D571)*T571,2))</f>
        <v>0</v>
      </c>
      <c r="V571" s="20">
        <f>IF(B571="","",ROUND(U571-IF(G571="",0,G571)-IF(L571="",0,L571),2))</f>
        <v>0</v>
      </c>
      <c r="W571" s="20">
        <f>IF(C571="","",IFERROR(INDEX(Products!$AT$5:$AT$304,MATCH(C571,Products!$A$5:$A$304,0)),""))</f>
        <v>0</v>
      </c>
      <c r="X571" s="20">
        <f>IF(C571="","",IFERROR(INDEX(Products!$AG$5:$AG$304,MATCH(C571,Products!$A$5:$A$304,0)),""))</f>
        <v>0</v>
      </c>
      <c r="Y571" s="20">
        <f>IF(B571="","",ROUND(IF(D571="",0,D571)*MAX(0,IF(W571="",0,W571)-IF(X571="",0,X571)),2))</f>
        <v>0</v>
      </c>
      <c r="Z571" s="20">
        <f>IF(B571="","",ROUND(MAX(0,IF(J571="",0,J571)-IF(I571="",0,I571)),2))</f>
        <v>0</v>
      </c>
      <c r="AA571" s="33">
        <f>IF(B571="","",IFERROR(INDEX(Channels!$S$5:$S$18,MATCH(IF(E571="",DefaultChannel,E571),Channels!$A$5:$A$18,0)),0))</f>
        <v>0</v>
      </c>
      <c r="AB571" s="20">
        <f>IF(B571="","",IFERROR(INDEX(Channels!$T$5:$T$18,MATCH(IF(E571="",DefaultChannel,E571),Channels!$A$5:$A$18,0)),0))</f>
        <v>0</v>
      </c>
      <c r="AC571" s="42">
        <f>IF(B571="","",IFERROR(INDEX(Channels!$O$5:$O$18,MATCH(IF(E571="",DefaultChannel,E571),Channels!$A$5:$A$18,0)),"No"))</f>
        <v>0</v>
      </c>
      <c r="AD571" s="20">
        <f>IF(B571="","",ROUND((V571+IF(AC571="Yes",IF(I571="",0,I571),0))*AA571+AB571,2))</f>
        <v>0</v>
      </c>
      <c r="AE571" s="20">
        <f>IF(B571="","",IF(K571&lt;&gt;"",K571,AD571))</f>
        <v>0</v>
      </c>
      <c r="AF571" s="20">
        <f>IF(B571="","",IF(K571="","",ROUND(K571-AD571,2)))</f>
        <v>0</v>
      </c>
      <c r="AG571" s="20">
        <f>IF(B571="","",ROUND(V571-Y571-AE571-Z571,2))</f>
        <v>0</v>
      </c>
      <c r="AH571" s="33">
        <f>IF(B571="","",IF(OR(V571="",V571=0),"",AG571/V571))</f>
        <v>0</v>
      </c>
      <c r="AI571" s="33">
        <f>IF(C571="","",IFERROR(INDEX(Products!$AW$5:$AW$304,MATCH(C571,Products!$A$5:$A$304,0)),""))</f>
        <v>0</v>
      </c>
      <c r="AJ571" s="33">
        <f>IF(B571="","",IF(OR(AH571="",AI571=""),"",AH571-AI571))</f>
        <v>0</v>
      </c>
      <c r="AK571" s="41">
        <f>IF(B571="","",IFERROR(ROUND(IF(D571="",0,D571)*INDEX(Products!$X$5:$X$304,MATCH(C571,Products!$A$5:$A$304,0))/60,2),""))</f>
        <v>0</v>
      </c>
      <c r="AL571" s="20">
        <f>IF(B571="","",IF(OR(AK571="",AK571=0),"",ROUND(AG571/AK571,2)))</f>
        <v>0</v>
      </c>
      <c r="AM571" s="43">
        <f>IF(B571="","",IF(C571="","Add - which product?",IF(AG571&lt;0,"Loss - this order cost you money",IF(M571="Refunded","Refunded - check why",IF(AND(AF571&lt;&gt;"",AF571&gt;0.25),"Check - fees higher than your settings",IF(Z571&gt;1,"Check - postage is eating the margin",IF(AND(AH571&lt;&gt;"",AH571&lt;MarginWarning),"Low margin on this order","OK")))))) )</f>
        <v>0</v>
      </c>
    </row>
    <row r="572" spans="1:39">
      <c r="A572" s="38">
        <f>IF(B572="","",SalePrefix&amp;TEXT(ROW()-4,"0000"))</f>
        <v>0</v>
      </c>
      <c r="Q572" s="13">
        <f>IF(C572="","",IFERROR(INDEX(Products!$B$5:$B$304,MATCH(C572,Products!$A$5:$A$304,0)),"Bundle or deleted"))</f>
        <v>0</v>
      </c>
      <c r="R572" s="13">
        <f>IF(B572="","",TEXT(B572,"yyyy-mm"))</f>
        <v>0</v>
      </c>
      <c r="S572" s="20">
        <f>IF(C572="","",IFERROR(INDEX(Products!$AR$5:$AR$304,MATCH(C572,Products!$A$5:$A$304,0)),""))</f>
        <v>0</v>
      </c>
      <c r="T572" s="20">
        <f>IF(B572="","",IF(F572&lt;&gt;"",F572,IF(S572="",0,S572)))</f>
        <v>0</v>
      </c>
      <c r="U572" s="20">
        <f>IF(B572="","",ROUND(IF(D572="",0,D572)*T572,2))</f>
        <v>0</v>
      </c>
      <c r="V572" s="20">
        <f>IF(B572="","",ROUND(U572-IF(G572="",0,G572)-IF(L572="",0,L572),2))</f>
        <v>0</v>
      </c>
      <c r="W572" s="20">
        <f>IF(C572="","",IFERROR(INDEX(Products!$AT$5:$AT$304,MATCH(C572,Products!$A$5:$A$304,0)),""))</f>
        <v>0</v>
      </c>
      <c r="X572" s="20">
        <f>IF(C572="","",IFERROR(INDEX(Products!$AG$5:$AG$304,MATCH(C572,Products!$A$5:$A$304,0)),""))</f>
        <v>0</v>
      </c>
      <c r="Y572" s="20">
        <f>IF(B572="","",ROUND(IF(D572="",0,D572)*MAX(0,IF(W572="",0,W572)-IF(X572="",0,X572)),2))</f>
        <v>0</v>
      </c>
      <c r="Z572" s="20">
        <f>IF(B572="","",ROUND(MAX(0,IF(J572="",0,J572)-IF(I572="",0,I572)),2))</f>
        <v>0</v>
      </c>
      <c r="AA572" s="33">
        <f>IF(B572="","",IFERROR(INDEX(Channels!$S$5:$S$18,MATCH(IF(E572="",DefaultChannel,E572),Channels!$A$5:$A$18,0)),0))</f>
        <v>0</v>
      </c>
      <c r="AB572" s="20">
        <f>IF(B572="","",IFERROR(INDEX(Channels!$T$5:$T$18,MATCH(IF(E572="",DefaultChannel,E572),Channels!$A$5:$A$18,0)),0))</f>
        <v>0</v>
      </c>
      <c r="AC572" s="42">
        <f>IF(B572="","",IFERROR(INDEX(Channels!$O$5:$O$18,MATCH(IF(E572="",DefaultChannel,E572),Channels!$A$5:$A$18,0)),"No"))</f>
        <v>0</v>
      </c>
      <c r="AD572" s="20">
        <f>IF(B572="","",ROUND((V572+IF(AC572="Yes",IF(I572="",0,I572),0))*AA572+AB572,2))</f>
        <v>0</v>
      </c>
      <c r="AE572" s="20">
        <f>IF(B572="","",IF(K572&lt;&gt;"",K572,AD572))</f>
        <v>0</v>
      </c>
      <c r="AF572" s="20">
        <f>IF(B572="","",IF(K572="","",ROUND(K572-AD572,2)))</f>
        <v>0</v>
      </c>
      <c r="AG572" s="20">
        <f>IF(B572="","",ROUND(V572-Y572-AE572-Z572,2))</f>
        <v>0</v>
      </c>
      <c r="AH572" s="33">
        <f>IF(B572="","",IF(OR(V572="",V572=0),"",AG572/V572))</f>
        <v>0</v>
      </c>
      <c r="AI572" s="33">
        <f>IF(C572="","",IFERROR(INDEX(Products!$AW$5:$AW$304,MATCH(C572,Products!$A$5:$A$304,0)),""))</f>
        <v>0</v>
      </c>
      <c r="AJ572" s="33">
        <f>IF(B572="","",IF(OR(AH572="",AI572=""),"",AH572-AI572))</f>
        <v>0</v>
      </c>
      <c r="AK572" s="41">
        <f>IF(B572="","",IFERROR(ROUND(IF(D572="",0,D572)*INDEX(Products!$X$5:$X$304,MATCH(C572,Products!$A$5:$A$304,0))/60,2),""))</f>
        <v>0</v>
      </c>
      <c r="AL572" s="20">
        <f>IF(B572="","",IF(OR(AK572="",AK572=0),"",ROUND(AG572/AK572,2)))</f>
        <v>0</v>
      </c>
      <c r="AM572" s="43">
        <f>IF(B572="","",IF(C572="","Add - which product?",IF(AG572&lt;0,"Loss - this order cost you money",IF(M572="Refunded","Refunded - check why",IF(AND(AF572&lt;&gt;"",AF572&gt;0.25),"Check - fees higher than your settings",IF(Z572&gt;1,"Check - postage is eating the margin",IF(AND(AH572&lt;&gt;"",AH572&lt;MarginWarning),"Low margin on this order","OK")))))) )</f>
        <v>0</v>
      </c>
    </row>
    <row r="573" spans="1:39">
      <c r="A573" s="38">
        <f>IF(B573="","",SalePrefix&amp;TEXT(ROW()-4,"0000"))</f>
        <v>0</v>
      </c>
      <c r="Q573" s="13">
        <f>IF(C573="","",IFERROR(INDEX(Products!$B$5:$B$304,MATCH(C573,Products!$A$5:$A$304,0)),"Bundle or deleted"))</f>
        <v>0</v>
      </c>
      <c r="R573" s="13">
        <f>IF(B573="","",TEXT(B573,"yyyy-mm"))</f>
        <v>0</v>
      </c>
      <c r="S573" s="20">
        <f>IF(C573="","",IFERROR(INDEX(Products!$AR$5:$AR$304,MATCH(C573,Products!$A$5:$A$304,0)),""))</f>
        <v>0</v>
      </c>
      <c r="T573" s="20">
        <f>IF(B573="","",IF(F573&lt;&gt;"",F573,IF(S573="",0,S573)))</f>
        <v>0</v>
      </c>
      <c r="U573" s="20">
        <f>IF(B573="","",ROUND(IF(D573="",0,D573)*T573,2))</f>
        <v>0</v>
      </c>
      <c r="V573" s="20">
        <f>IF(B573="","",ROUND(U573-IF(G573="",0,G573)-IF(L573="",0,L573),2))</f>
        <v>0</v>
      </c>
      <c r="W573" s="20">
        <f>IF(C573="","",IFERROR(INDEX(Products!$AT$5:$AT$304,MATCH(C573,Products!$A$5:$A$304,0)),""))</f>
        <v>0</v>
      </c>
      <c r="X573" s="20">
        <f>IF(C573="","",IFERROR(INDEX(Products!$AG$5:$AG$304,MATCH(C573,Products!$A$5:$A$304,0)),""))</f>
        <v>0</v>
      </c>
      <c r="Y573" s="20">
        <f>IF(B573="","",ROUND(IF(D573="",0,D573)*MAX(0,IF(W573="",0,W573)-IF(X573="",0,X573)),2))</f>
        <v>0</v>
      </c>
      <c r="Z573" s="20">
        <f>IF(B573="","",ROUND(MAX(0,IF(J573="",0,J573)-IF(I573="",0,I573)),2))</f>
        <v>0</v>
      </c>
      <c r="AA573" s="33">
        <f>IF(B573="","",IFERROR(INDEX(Channels!$S$5:$S$18,MATCH(IF(E573="",DefaultChannel,E573),Channels!$A$5:$A$18,0)),0))</f>
        <v>0</v>
      </c>
      <c r="AB573" s="20">
        <f>IF(B573="","",IFERROR(INDEX(Channels!$T$5:$T$18,MATCH(IF(E573="",DefaultChannel,E573),Channels!$A$5:$A$18,0)),0))</f>
        <v>0</v>
      </c>
      <c r="AC573" s="42">
        <f>IF(B573="","",IFERROR(INDEX(Channels!$O$5:$O$18,MATCH(IF(E573="",DefaultChannel,E573),Channels!$A$5:$A$18,0)),"No"))</f>
        <v>0</v>
      </c>
      <c r="AD573" s="20">
        <f>IF(B573="","",ROUND((V573+IF(AC573="Yes",IF(I573="",0,I573),0))*AA573+AB573,2))</f>
        <v>0</v>
      </c>
      <c r="AE573" s="20">
        <f>IF(B573="","",IF(K573&lt;&gt;"",K573,AD573))</f>
        <v>0</v>
      </c>
      <c r="AF573" s="20">
        <f>IF(B573="","",IF(K573="","",ROUND(K573-AD573,2)))</f>
        <v>0</v>
      </c>
      <c r="AG573" s="20">
        <f>IF(B573="","",ROUND(V573-Y573-AE573-Z573,2))</f>
        <v>0</v>
      </c>
      <c r="AH573" s="33">
        <f>IF(B573="","",IF(OR(V573="",V573=0),"",AG573/V573))</f>
        <v>0</v>
      </c>
      <c r="AI573" s="33">
        <f>IF(C573="","",IFERROR(INDEX(Products!$AW$5:$AW$304,MATCH(C573,Products!$A$5:$A$304,0)),""))</f>
        <v>0</v>
      </c>
      <c r="AJ573" s="33">
        <f>IF(B573="","",IF(OR(AH573="",AI573=""),"",AH573-AI573))</f>
        <v>0</v>
      </c>
      <c r="AK573" s="41">
        <f>IF(B573="","",IFERROR(ROUND(IF(D573="",0,D573)*INDEX(Products!$X$5:$X$304,MATCH(C573,Products!$A$5:$A$304,0))/60,2),""))</f>
        <v>0</v>
      </c>
      <c r="AL573" s="20">
        <f>IF(B573="","",IF(OR(AK573="",AK573=0),"",ROUND(AG573/AK573,2)))</f>
        <v>0</v>
      </c>
      <c r="AM573" s="43">
        <f>IF(B573="","",IF(C573="","Add - which product?",IF(AG573&lt;0,"Loss - this order cost you money",IF(M573="Refunded","Refunded - check why",IF(AND(AF573&lt;&gt;"",AF573&gt;0.25),"Check - fees higher than your settings",IF(Z573&gt;1,"Check - postage is eating the margin",IF(AND(AH573&lt;&gt;"",AH573&lt;MarginWarning),"Low margin on this order","OK")))))) )</f>
        <v>0</v>
      </c>
    </row>
    <row r="574" spans="1:39">
      <c r="A574" s="38">
        <f>IF(B574="","",SalePrefix&amp;TEXT(ROW()-4,"0000"))</f>
        <v>0</v>
      </c>
      <c r="Q574" s="13">
        <f>IF(C574="","",IFERROR(INDEX(Products!$B$5:$B$304,MATCH(C574,Products!$A$5:$A$304,0)),"Bundle or deleted"))</f>
        <v>0</v>
      </c>
      <c r="R574" s="13">
        <f>IF(B574="","",TEXT(B574,"yyyy-mm"))</f>
        <v>0</v>
      </c>
      <c r="S574" s="20">
        <f>IF(C574="","",IFERROR(INDEX(Products!$AR$5:$AR$304,MATCH(C574,Products!$A$5:$A$304,0)),""))</f>
        <v>0</v>
      </c>
      <c r="T574" s="20">
        <f>IF(B574="","",IF(F574&lt;&gt;"",F574,IF(S574="",0,S574)))</f>
        <v>0</v>
      </c>
      <c r="U574" s="20">
        <f>IF(B574="","",ROUND(IF(D574="",0,D574)*T574,2))</f>
        <v>0</v>
      </c>
      <c r="V574" s="20">
        <f>IF(B574="","",ROUND(U574-IF(G574="",0,G574)-IF(L574="",0,L574),2))</f>
        <v>0</v>
      </c>
      <c r="W574" s="20">
        <f>IF(C574="","",IFERROR(INDEX(Products!$AT$5:$AT$304,MATCH(C574,Products!$A$5:$A$304,0)),""))</f>
        <v>0</v>
      </c>
      <c r="X574" s="20">
        <f>IF(C574="","",IFERROR(INDEX(Products!$AG$5:$AG$304,MATCH(C574,Products!$A$5:$A$304,0)),""))</f>
        <v>0</v>
      </c>
      <c r="Y574" s="20">
        <f>IF(B574="","",ROUND(IF(D574="",0,D574)*MAX(0,IF(W574="",0,W574)-IF(X574="",0,X574)),2))</f>
        <v>0</v>
      </c>
      <c r="Z574" s="20">
        <f>IF(B574="","",ROUND(MAX(0,IF(J574="",0,J574)-IF(I574="",0,I574)),2))</f>
        <v>0</v>
      </c>
      <c r="AA574" s="33">
        <f>IF(B574="","",IFERROR(INDEX(Channels!$S$5:$S$18,MATCH(IF(E574="",DefaultChannel,E574),Channels!$A$5:$A$18,0)),0))</f>
        <v>0</v>
      </c>
      <c r="AB574" s="20">
        <f>IF(B574="","",IFERROR(INDEX(Channels!$T$5:$T$18,MATCH(IF(E574="",DefaultChannel,E574),Channels!$A$5:$A$18,0)),0))</f>
        <v>0</v>
      </c>
      <c r="AC574" s="42">
        <f>IF(B574="","",IFERROR(INDEX(Channels!$O$5:$O$18,MATCH(IF(E574="",DefaultChannel,E574),Channels!$A$5:$A$18,0)),"No"))</f>
        <v>0</v>
      </c>
      <c r="AD574" s="20">
        <f>IF(B574="","",ROUND((V574+IF(AC574="Yes",IF(I574="",0,I574),0))*AA574+AB574,2))</f>
        <v>0</v>
      </c>
      <c r="AE574" s="20">
        <f>IF(B574="","",IF(K574&lt;&gt;"",K574,AD574))</f>
        <v>0</v>
      </c>
      <c r="AF574" s="20">
        <f>IF(B574="","",IF(K574="","",ROUND(K574-AD574,2)))</f>
        <v>0</v>
      </c>
      <c r="AG574" s="20">
        <f>IF(B574="","",ROUND(V574-Y574-AE574-Z574,2))</f>
        <v>0</v>
      </c>
      <c r="AH574" s="33">
        <f>IF(B574="","",IF(OR(V574="",V574=0),"",AG574/V574))</f>
        <v>0</v>
      </c>
      <c r="AI574" s="33">
        <f>IF(C574="","",IFERROR(INDEX(Products!$AW$5:$AW$304,MATCH(C574,Products!$A$5:$A$304,0)),""))</f>
        <v>0</v>
      </c>
      <c r="AJ574" s="33">
        <f>IF(B574="","",IF(OR(AH574="",AI574=""),"",AH574-AI574))</f>
        <v>0</v>
      </c>
      <c r="AK574" s="41">
        <f>IF(B574="","",IFERROR(ROUND(IF(D574="",0,D574)*INDEX(Products!$X$5:$X$304,MATCH(C574,Products!$A$5:$A$304,0))/60,2),""))</f>
        <v>0</v>
      </c>
      <c r="AL574" s="20">
        <f>IF(B574="","",IF(OR(AK574="",AK574=0),"",ROUND(AG574/AK574,2)))</f>
        <v>0</v>
      </c>
      <c r="AM574" s="43">
        <f>IF(B574="","",IF(C574="","Add - which product?",IF(AG574&lt;0,"Loss - this order cost you money",IF(M574="Refunded","Refunded - check why",IF(AND(AF574&lt;&gt;"",AF574&gt;0.25),"Check - fees higher than your settings",IF(Z574&gt;1,"Check - postage is eating the margin",IF(AND(AH574&lt;&gt;"",AH574&lt;MarginWarning),"Low margin on this order","OK")))))) )</f>
        <v>0</v>
      </c>
    </row>
    <row r="575" spans="1:39">
      <c r="A575" s="38">
        <f>IF(B575="","",SalePrefix&amp;TEXT(ROW()-4,"0000"))</f>
        <v>0</v>
      </c>
      <c r="Q575" s="13">
        <f>IF(C575="","",IFERROR(INDEX(Products!$B$5:$B$304,MATCH(C575,Products!$A$5:$A$304,0)),"Bundle or deleted"))</f>
        <v>0</v>
      </c>
      <c r="R575" s="13">
        <f>IF(B575="","",TEXT(B575,"yyyy-mm"))</f>
        <v>0</v>
      </c>
      <c r="S575" s="20">
        <f>IF(C575="","",IFERROR(INDEX(Products!$AR$5:$AR$304,MATCH(C575,Products!$A$5:$A$304,0)),""))</f>
        <v>0</v>
      </c>
      <c r="T575" s="20">
        <f>IF(B575="","",IF(F575&lt;&gt;"",F575,IF(S575="",0,S575)))</f>
        <v>0</v>
      </c>
      <c r="U575" s="20">
        <f>IF(B575="","",ROUND(IF(D575="",0,D575)*T575,2))</f>
        <v>0</v>
      </c>
      <c r="V575" s="20">
        <f>IF(B575="","",ROUND(U575-IF(G575="",0,G575)-IF(L575="",0,L575),2))</f>
        <v>0</v>
      </c>
      <c r="W575" s="20">
        <f>IF(C575="","",IFERROR(INDEX(Products!$AT$5:$AT$304,MATCH(C575,Products!$A$5:$A$304,0)),""))</f>
        <v>0</v>
      </c>
      <c r="X575" s="20">
        <f>IF(C575="","",IFERROR(INDEX(Products!$AG$5:$AG$304,MATCH(C575,Products!$A$5:$A$304,0)),""))</f>
        <v>0</v>
      </c>
      <c r="Y575" s="20">
        <f>IF(B575="","",ROUND(IF(D575="",0,D575)*MAX(0,IF(W575="",0,W575)-IF(X575="",0,X575)),2))</f>
        <v>0</v>
      </c>
      <c r="Z575" s="20">
        <f>IF(B575="","",ROUND(MAX(0,IF(J575="",0,J575)-IF(I575="",0,I575)),2))</f>
        <v>0</v>
      </c>
      <c r="AA575" s="33">
        <f>IF(B575="","",IFERROR(INDEX(Channels!$S$5:$S$18,MATCH(IF(E575="",DefaultChannel,E575),Channels!$A$5:$A$18,0)),0))</f>
        <v>0</v>
      </c>
      <c r="AB575" s="20">
        <f>IF(B575="","",IFERROR(INDEX(Channels!$T$5:$T$18,MATCH(IF(E575="",DefaultChannel,E575),Channels!$A$5:$A$18,0)),0))</f>
        <v>0</v>
      </c>
      <c r="AC575" s="42">
        <f>IF(B575="","",IFERROR(INDEX(Channels!$O$5:$O$18,MATCH(IF(E575="",DefaultChannel,E575),Channels!$A$5:$A$18,0)),"No"))</f>
        <v>0</v>
      </c>
      <c r="AD575" s="20">
        <f>IF(B575="","",ROUND((V575+IF(AC575="Yes",IF(I575="",0,I575),0))*AA575+AB575,2))</f>
        <v>0</v>
      </c>
      <c r="AE575" s="20">
        <f>IF(B575="","",IF(K575&lt;&gt;"",K575,AD575))</f>
        <v>0</v>
      </c>
      <c r="AF575" s="20">
        <f>IF(B575="","",IF(K575="","",ROUND(K575-AD575,2)))</f>
        <v>0</v>
      </c>
      <c r="AG575" s="20">
        <f>IF(B575="","",ROUND(V575-Y575-AE575-Z575,2))</f>
        <v>0</v>
      </c>
      <c r="AH575" s="33">
        <f>IF(B575="","",IF(OR(V575="",V575=0),"",AG575/V575))</f>
        <v>0</v>
      </c>
      <c r="AI575" s="33">
        <f>IF(C575="","",IFERROR(INDEX(Products!$AW$5:$AW$304,MATCH(C575,Products!$A$5:$A$304,0)),""))</f>
        <v>0</v>
      </c>
      <c r="AJ575" s="33">
        <f>IF(B575="","",IF(OR(AH575="",AI575=""),"",AH575-AI575))</f>
        <v>0</v>
      </c>
      <c r="AK575" s="41">
        <f>IF(B575="","",IFERROR(ROUND(IF(D575="",0,D575)*INDEX(Products!$X$5:$X$304,MATCH(C575,Products!$A$5:$A$304,0))/60,2),""))</f>
        <v>0</v>
      </c>
      <c r="AL575" s="20">
        <f>IF(B575="","",IF(OR(AK575="",AK575=0),"",ROUND(AG575/AK575,2)))</f>
        <v>0</v>
      </c>
      <c r="AM575" s="43">
        <f>IF(B575="","",IF(C575="","Add - which product?",IF(AG575&lt;0,"Loss - this order cost you money",IF(M575="Refunded","Refunded - check why",IF(AND(AF575&lt;&gt;"",AF575&gt;0.25),"Check - fees higher than your settings",IF(Z575&gt;1,"Check - postage is eating the margin",IF(AND(AH575&lt;&gt;"",AH575&lt;MarginWarning),"Low margin on this order","OK")))))) )</f>
        <v>0</v>
      </c>
    </row>
    <row r="576" spans="1:39">
      <c r="A576" s="38">
        <f>IF(B576="","",SalePrefix&amp;TEXT(ROW()-4,"0000"))</f>
        <v>0</v>
      </c>
      <c r="Q576" s="13">
        <f>IF(C576="","",IFERROR(INDEX(Products!$B$5:$B$304,MATCH(C576,Products!$A$5:$A$304,0)),"Bundle or deleted"))</f>
        <v>0</v>
      </c>
      <c r="R576" s="13">
        <f>IF(B576="","",TEXT(B576,"yyyy-mm"))</f>
        <v>0</v>
      </c>
      <c r="S576" s="20">
        <f>IF(C576="","",IFERROR(INDEX(Products!$AR$5:$AR$304,MATCH(C576,Products!$A$5:$A$304,0)),""))</f>
        <v>0</v>
      </c>
      <c r="T576" s="20">
        <f>IF(B576="","",IF(F576&lt;&gt;"",F576,IF(S576="",0,S576)))</f>
        <v>0</v>
      </c>
      <c r="U576" s="20">
        <f>IF(B576="","",ROUND(IF(D576="",0,D576)*T576,2))</f>
        <v>0</v>
      </c>
      <c r="V576" s="20">
        <f>IF(B576="","",ROUND(U576-IF(G576="",0,G576)-IF(L576="",0,L576),2))</f>
        <v>0</v>
      </c>
      <c r="W576" s="20">
        <f>IF(C576="","",IFERROR(INDEX(Products!$AT$5:$AT$304,MATCH(C576,Products!$A$5:$A$304,0)),""))</f>
        <v>0</v>
      </c>
      <c r="X576" s="20">
        <f>IF(C576="","",IFERROR(INDEX(Products!$AG$5:$AG$304,MATCH(C576,Products!$A$5:$A$304,0)),""))</f>
        <v>0</v>
      </c>
      <c r="Y576" s="20">
        <f>IF(B576="","",ROUND(IF(D576="",0,D576)*MAX(0,IF(W576="",0,W576)-IF(X576="",0,X576)),2))</f>
        <v>0</v>
      </c>
      <c r="Z576" s="20">
        <f>IF(B576="","",ROUND(MAX(0,IF(J576="",0,J576)-IF(I576="",0,I576)),2))</f>
        <v>0</v>
      </c>
      <c r="AA576" s="33">
        <f>IF(B576="","",IFERROR(INDEX(Channels!$S$5:$S$18,MATCH(IF(E576="",DefaultChannel,E576),Channels!$A$5:$A$18,0)),0))</f>
        <v>0</v>
      </c>
      <c r="AB576" s="20">
        <f>IF(B576="","",IFERROR(INDEX(Channels!$T$5:$T$18,MATCH(IF(E576="",DefaultChannel,E576),Channels!$A$5:$A$18,0)),0))</f>
        <v>0</v>
      </c>
      <c r="AC576" s="42">
        <f>IF(B576="","",IFERROR(INDEX(Channels!$O$5:$O$18,MATCH(IF(E576="",DefaultChannel,E576),Channels!$A$5:$A$18,0)),"No"))</f>
        <v>0</v>
      </c>
      <c r="AD576" s="20">
        <f>IF(B576="","",ROUND((V576+IF(AC576="Yes",IF(I576="",0,I576),0))*AA576+AB576,2))</f>
        <v>0</v>
      </c>
      <c r="AE576" s="20">
        <f>IF(B576="","",IF(K576&lt;&gt;"",K576,AD576))</f>
        <v>0</v>
      </c>
      <c r="AF576" s="20">
        <f>IF(B576="","",IF(K576="","",ROUND(K576-AD576,2)))</f>
        <v>0</v>
      </c>
      <c r="AG576" s="20">
        <f>IF(B576="","",ROUND(V576-Y576-AE576-Z576,2))</f>
        <v>0</v>
      </c>
      <c r="AH576" s="33">
        <f>IF(B576="","",IF(OR(V576="",V576=0),"",AG576/V576))</f>
        <v>0</v>
      </c>
      <c r="AI576" s="33">
        <f>IF(C576="","",IFERROR(INDEX(Products!$AW$5:$AW$304,MATCH(C576,Products!$A$5:$A$304,0)),""))</f>
        <v>0</v>
      </c>
      <c r="AJ576" s="33">
        <f>IF(B576="","",IF(OR(AH576="",AI576=""),"",AH576-AI576))</f>
        <v>0</v>
      </c>
      <c r="AK576" s="41">
        <f>IF(B576="","",IFERROR(ROUND(IF(D576="",0,D576)*INDEX(Products!$X$5:$X$304,MATCH(C576,Products!$A$5:$A$304,0))/60,2),""))</f>
        <v>0</v>
      </c>
      <c r="AL576" s="20">
        <f>IF(B576="","",IF(OR(AK576="",AK576=0),"",ROUND(AG576/AK576,2)))</f>
        <v>0</v>
      </c>
      <c r="AM576" s="43">
        <f>IF(B576="","",IF(C576="","Add - which product?",IF(AG576&lt;0,"Loss - this order cost you money",IF(M576="Refunded","Refunded - check why",IF(AND(AF576&lt;&gt;"",AF576&gt;0.25),"Check - fees higher than your settings",IF(Z576&gt;1,"Check - postage is eating the margin",IF(AND(AH576&lt;&gt;"",AH576&lt;MarginWarning),"Low margin on this order","OK")))))) )</f>
        <v>0</v>
      </c>
    </row>
    <row r="577" spans="1:39">
      <c r="A577" s="38">
        <f>IF(B577="","",SalePrefix&amp;TEXT(ROW()-4,"0000"))</f>
        <v>0</v>
      </c>
      <c r="Q577" s="13">
        <f>IF(C577="","",IFERROR(INDEX(Products!$B$5:$B$304,MATCH(C577,Products!$A$5:$A$304,0)),"Bundle or deleted"))</f>
        <v>0</v>
      </c>
      <c r="R577" s="13">
        <f>IF(B577="","",TEXT(B577,"yyyy-mm"))</f>
        <v>0</v>
      </c>
      <c r="S577" s="20">
        <f>IF(C577="","",IFERROR(INDEX(Products!$AR$5:$AR$304,MATCH(C577,Products!$A$5:$A$304,0)),""))</f>
        <v>0</v>
      </c>
      <c r="T577" s="20">
        <f>IF(B577="","",IF(F577&lt;&gt;"",F577,IF(S577="",0,S577)))</f>
        <v>0</v>
      </c>
      <c r="U577" s="20">
        <f>IF(B577="","",ROUND(IF(D577="",0,D577)*T577,2))</f>
        <v>0</v>
      </c>
      <c r="V577" s="20">
        <f>IF(B577="","",ROUND(U577-IF(G577="",0,G577)-IF(L577="",0,L577),2))</f>
        <v>0</v>
      </c>
      <c r="W577" s="20">
        <f>IF(C577="","",IFERROR(INDEX(Products!$AT$5:$AT$304,MATCH(C577,Products!$A$5:$A$304,0)),""))</f>
        <v>0</v>
      </c>
      <c r="X577" s="20">
        <f>IF(C577="","",IFERROR(INDEX(Products!$AG$5:$AG$304,MATCH(C577,Products!$A$5:$A$304,0)),""))</f>
        <v>0</v>
      </c>
      <c r="Y577" s="20">
        <f>IF(B577="","",ROUND(IF(D577="",0,D577)*MAX(0,IF(W577="",0,W577)-IF(X577="",0,X577)),2))</f>
        <v>0</v>
      </c>
      <c r="Z577" s="20">
        <f>IF(B577="","",ROUND(MAX(0,IF(J577="",0,J577)-IF(I577="",0,I577)),2))</f>
        <v>0</v>
      </c>
      <c r="AA577" s="33">
        <f>IF(B577="","",IFERROR(INDEX(Channels!$S$5:$S$18,MATCH(IF(E577="",DefaultChannel,E577),Channels!$A$5:$A$18,0)),0))</f>
        <v>0</v>
      </c>
      <c r="AB577" s="20">
        <f>IF(B577="","",IFERROR(INDEX(Channels!$T$5:$T$18,MATCH(IF(E577="",DefaultChannel,E577),Channels!$A$5:$A$18,0)),0))</f>
        <v>0</v>
      </c>
      <c r="AC577" s="42">
        <f>IF(B577="","",IFERROR(INDEX(Channels!$O$5:$O$18,MATCH(IF(E577="",DefaultChannel,E577),Channels!$A$5:$A$18,0)),"No"))</f>
        <v>0</v>
      </c>
      <c r="AD577" s="20">
        <f>IF(B577="","",ROUND((V577+IF(AC577="Yes",IF(I577="",0,I577),0))*AA577+AB577,2))</f>
        <v>0</v>
      </c>
      <c r="AE577" s="20">
        <f>IF(B577="","",IF(K577&lt;&gt;"",K577,AD577))</f>
        <v>0</v>
      </c>
      <c r="AF577" s="20">
        <f>IF(B577="","",IF(K577="","",ROUND(K577-AD577,2)))</f>
        <v>0</v>
      </c>
      <c r="AG577" s="20">
        <f>IF(B577="","",ROUND(V577-Y577-AE577-Z577,2))</f>
        <v>0</v>
      </c>
      <c r="AH577" s="33">
        <f>IF(B577="","",IF(OR(V577="",V577=0),"",AG577/V577))</f>
        <v>0</v>
      </c>
      <c r="AI577" s="33">
        <f>IF(C577="","",IFERROR(INDEX(Products!$AW$5:$AW$304,MATCH(C577,Products!$A$5:$A$304,0)),""))</f>
        <v>0</v>
      </c>
      <c r="AJ577" s="33">
        <f>IF(B577="","",IF(OR(AH577="",AI577=""),"",AH577-AI577))</f>
        <v>0</v>
      </c>
      <c r="AK577" s="41">
        <f>IF(B577="","",IFERROR(ROUND(IF(D577="",0,D577)*INDEX(Products!$X$5:$X$304,MATCH(C577,Products!$A$5:$A$304,0))/60,2),""))</f>
        <v>0</v>
      </c>
      <c r="AL577" s="20">
        <f>IF(B577="","",IF(OR(AK577="",AK577=0),"",ROUND(AG577/AK577,2)))</f>
        <v>0</v>
      </c>
      <c r="AM577" s="43">
        <f>IF(B577="","",IF(C577="","Add - which product?",IF(AG577&lt;0,"Loss - this order cost you money",IF(M577="Refunded","Refunded - check why",IF(AND(AF577&lt;&gt;"",AF577&gt;0.25),"Check - fees higher than your settings",IF(Z577&gt;1,"Check - postage is eating the margin",IF(AND(AH577&lt;&gt;"",AH577&lt;MarginWarning),"Low margin on this order","OK")))))) )</f>
        <v>0</v>
      </c>
    </row>
    <row r="578" spans="1:39">
      <c r="A578" s="38">
        <f>IF(B578="","",SalePrefix&amp;TEXT(ROW()-4,"0000"))</f>
        <v>0</v>
      </c>
      <c r="Q578" s="13">
        <f>IF(C578="","",IFERROR(INDEX(Products!$B$5:$B$304,MATCH(C578,Products!$A$5:$A$304,0)),"Bundle or deleted"))</f>
        <v>0</v>
      </c>
      <c r="R578" s="13">
        <f>IF(B578="","",TEXT(B578,"yyyy-mm"))</f>
        <v>0</v>
      </c>
      <c r="S578" s="20">
        <f>IF(C578="","",IFERROR(INDEX(Products!$AR$5:$AR$304,MATCH(C578,Products!$A$5:$A$304,0)),""))</f>
        <v>0</v>
      </c>
      <c r="T578" s="20">
        <f>IF(B578="","",IF(F578&lt;&gt;"",F578,IF(S578="",0,S578)))</f>
        <v>0</v>
      </c>
      <c r="U578" s="20">
        <f>IF(B578="","",ROUND(IF(D578="",0,D578)*T578,2))</f>
        <v>0</v>
      </c>
      <c r="V578" s="20">
        <f>IF(B578="","",ROUND(U578-IF(G578="",0,G578)-IF(L578="",0,L578),2))</f>
        <v>0</v>
      </c>
      <c r="W578" s="20">
        <f>IF(C578="","",IFERROR(INDEX(Products!$AT$5:$AT$304,MATCH(C578,Products!$A$5:$A$304,0)),""))</f>
        <v>0</v>
      </c>
      <c r="X578" s="20">
        <f>IF(C578="","",IFERROR(INDEX(Products!$AG$5:$AG$304,MATCH(C578,Products!$A$5:$A$304,0)),""))</f>
        <v>0</v>
      </c>
      <c r="Y578" s="20">
        <f>IF(B578="","",ROUND(IF(D578="",0,D578)*MAX(0,IF(W578="",0,W578)-IF(X578="",0,X578)),2))</f>
        <v>0</v>
      </c>
      <c r="Z578" s="20">
        <f>IF(B578="","",ROUND(MAX(0,IF(J578="",0,J578)-IF(I578="",0,I578)),2))</f>
        <v>0</v>
      </c>
      <c r="AA578" s="33">
        <f>IF(B578="","",IFERROR(INDEX(Channels!$S$5:$S$18,MATCH(IF(E578="",DefaultChannel,E578),Channels!$A$5:$A$18,0)),0))</f>
        <v>0</v>
      </c>
      <c r="AB578" s="20">
        <f>IF(B578="","",IFERROR(INDEX(Channels!$T$5:$T$18,MATCH(IF(E578="",DefaultChannel,E578),Channels!$A$5:$A$18,0)),0))</f>
        <v>0</v>
      </c>
      <c r="AC578" s="42">
        <f>IF(B578="","",IFERROR(INDEX(Channels!$O$5:$O$18,MATCH(IF(E578="",DefaultChannel,E578),Channels!$A$5:$A$18,0)),"No"))</f>
        <v>0</v>
      </c>
      <c r="AD578" s="20">
        <f>IF(B578="","",ROUND((V578+IF(AC578="Yes",IF(I578="",0,I578),0))*AA578+AB578,2))</f>
        <v>0</v>
      </c>
      <c r="AE578" s="20">
        <f>IF(B578="","",IF(K578&lt;&gt;"",K578,AD578))</f>
        <v>0</v>
      </c>
      <c r="AF578" s="20">
        <f>IF(B578="","",IF(K578="","",ROUND(K578-AD578,2)))</f>
        <v>0</v>
      </c>
      <c r="AG578" s="20">
        <f>IF(B578="","",ROUND(V578-Y578-AE578-Z578,2))</f>
        <v>0</v>
      </c>
      <c r="AH578" s="33">
        <f>IF(B578="","",IF(OR(V578="",V578=0),"",AG578/V578))</f>
        <v>0</v>
      </c>
      <c r="AI578" s="33">
        <f>IF(C578="","",IFERROR(INDEX(Products!$AW$5:$AW$304,MATCH(C578,Products!$A$5:$A$304,0)),""))</f>
        <v>0</v>
      </c>
      <c r="AJ578" s="33">
        <f>IF(B578="","",IF(OR(AH578="",AI578=""),"",AH578-AI578))</f>
        <v>0</v>
      </c>
      <c r="AK578" s="41">
        <f>IF(B578="","",IFERROR(ROUND(IF(D578="",0,D578)*INDEX(Products!$X$5:$X$304,MATCH(C578,Products!$A$5:$A$304,0))/60,2),""))</f>
        <v>0</v>
      </c>
      <c r="AL578" s="20">
        <f>IF(B578="","",IF(OR(AK578="",AK578=0),"",ROUND(AG578/AK578,2)))</f>
        <v>0</v>
      </c>
      <c r="AM578" s="43">
        <f>IF(B578="","",IF(C578="","Add - which product?",IF(AG578&lt;0,"Loss - this order cost you money",IF(M578="Refunded","Refunded - check why",IF(AND(AF578&lt;&gt;"",AF578&gt;0.25),"Check - fees higher than your settings",IF(Z578&gt;1,"Check - postage is eating the margin",IF(AND(AH578&lt;&gt;"",AH578&lt;MarginWarning),"Low margin on this order","OK")))))) )</f>
        <v>0</v>
      </c>
    </row>
    <row r="579" spans="1:39">
      <c r="A579" s="38">
        <f>IF(B579="","",SalePrefix&amp;TEXT(ROW()-4,"0000"))</f>
        <v>0</v>
      </c>
      <c r="Q579" s="13">
        <f>IF(C579="","",IFERROR(INDEX(Products!$B$5:$B$304,MATCH(C579,Products!$A$5:$A$304,0)),"Bundle or deleted"))</f>
        <v>0</v>
      </c>
      <c r="R579" s="13">
        <f>IF(B579="","",TEXT(B579,"yyyy-mm"))</f>
        <v>0</v>
      </c>
      <c r="S579" s="20">
        <f>IF(C579="","",IFERROR(INDEX(Products!$AR$5:$AR$304,MATCH(C579,Products!$A$5:$A$304,0)),""))</f>
        <v>0</v>
      </c>
      <c r="T579" s="20">
        <f>IF(B579="","",IF(F579&lt;&gt;"",F579,IF(S579="",0,S579)))</f>
        <v>0</v>
      </c>
      <c r="U579" s="20">
        <f>IF(B579="","",ROUND(IF(D579="",0,D579)*T579,2))</f>
        <v>0</v>
      </c>
      <c r="V579" s="20">
        <f>IF(B579="","",ROUND(U579-IF(G579="",0,G579)-IF(L579="",0,L579),2))</f>
        <v>0</v>
      </c>
      <c r="W579" s="20">
        <f>IF(C579="","",IFERROR(INDEX(Products!$AT$5:$AT$304,MATCH(C579,Products!$A$5:$A$304,0)),""))</f>
        <v>0</v>
      </c>
      <c r="X579" s="20">
        <f>IF(C579="","",IFERROR(INDEX(Products!$AG$5:$AG$304,MATCH(C579,Products!$A$5:$A$304,0)),""))</f>
        <v>0</v>
      </c>
      <c r="Y579" s="20">
        <f>IF(B579="","",ROUND(IF(D579="",0,D579)*MAX(0,IF(W579="",0,W579)-IF(X579="",0,X579)),2))</f>
        <v>0</v>
      </c>
      <c r="Z579" s="20">
        <f>IF(B579="","",ROUND(MAX(0,IF(J579="",0,J579)-IF(I579="",0,I579)),2))</f>
        <v>0</v>
      </c>
      <c r="AA579" s="33">
        <f>IF(B579="","",IFERROR(INDEX(Channels!$S$5:$S$18,MATCH(IF(E579="",DefaultChannel,E579),Channels!$A$5:$A$18,0)),0))</f>
        <v>0</v>
      </c>
      <c r="AB579" s="20">
        <f>IF(B579="","",IFERROR(INDEX(Channels!$T$5:$T$18,MATCH(IF(E579="",DefaultChannel,E579),Channels!$A$5:$A$18,0)),0))</f>
        <v>0</v>
      </c>
      <c r="AC579" s="42">
        <f>IF(B579="","",IFERROR(INDEX(Channels!$O$5:$O$18,MATCH(IF(E579="",DefaultChannel,E579),Channels!$A$5:$A$18,0)),"No"))</f>
        <v>0</v>
      </c>
      <c r="AD579" s="20">
        <f>IF(B579="","",ROUND((V579+IF(AC579="Yes",IF(I579="",0,I579),0))*AA579+AB579,2))</f>
        <v>0</v>
      </c>
      <c r="AE579" s="20">
        <f>IF(B579="","",IF(K579&lt;&gt;"",K579,AD579))</f>
        <v>0</v>
      </c>
      <c r="AF579" s="20">
        <f>IF(B579="","",IF(K579="","",ROUND(K579-AD579,2)))</f>
        <v>0</v>
      </c>
      <c r="AG579" s="20">
        <f>IF(B579="","",ROUND(V579-Y579-AE579-Z579,2))</f>
        <v>0</v>
      </c>
      <c r="AH579" s="33">
        <f>IF(B579="","",IF(OR(V579="",V579=0),"",AG579/V579))</f>
        <v>0</v>
      </c>
      <c r="AI579" s="33">
        <f>IF(C579="","",IFERROR(INDEX(Products!$AW$5:$AW$304,MATCH(C579,Products!$A$5:$A$304,0)),""))</f>
        <v>0</v>
      </c>
      <c r="AJ579" s="33">
        <f>IF(B579="","",IF(OR(AH579="",AI579=""),"",AH579-AI579))</f>
        <v>0</v>
      </c>
      <c r="AK579" s="41">
        <f>IF(B579="","",IFERROR(ROUND(IF(D579="",0,D579)*INDEX(Products!$X$5:$X$304,MATCH(C579,Products!$A$5:$A$304,0))/60,2),""))</f>
        <v>0</v>
      </c>
      <c r="AL579" s="20">
        <f>IF(B579="","",IF(OR(AK579="",AK579=0),"",ROUND(AG579/AK579,2)))</f>
        <v>0</v>
      </c>
      <c r="AM579" s="43">
        <f>IF(B579="","",IF(C579="","Add - which product?",IF(AG579&lt;0,"Loss - this order cost you money",IF(M579="Refunded","Refunded - check why",IF(AND(AF579&lt;&gt;"",AF579&gt;0.25),"Check - fees higher than your settings",IF(Z579&gt;1,"Check - postage is eating the margin",IF(AND(AH579&lt;&gt;"",AH579&lt;MarginWarning),"Low margin on this order","OK")))))) )</f>
        <v>0</v>
      </c>
    </row>
    <row r="580" spans="1:39">
      <c r="A580" s="38">
        <f>IF(B580="","",SalePrefix&amp;TEXT(ROW()-4,"0000"))</f>
        <v>0</v>
      </c>
      <c r="Q580" s="13">
        <f>IF(C580="","",IFERROR(INDEX(Products!$B$5:$B$304,MATCH(C580,Products!$A$5:$A$304,0)),"Bundle or deleted"))</f>
        <v>0</v>
      </c>
      <c r="R580" s="13">
        <f>IF(B580="","",TEXT(B580,"yyyy-mm"))</f>
        <v>0</v>
      </c>
      <c r="S580" s="20">
        <f>IF(C580="","",IFERROR(INDEX(Products!$AR$5:$AR$304,MATCH(C580,Products!$A$5:$A$304,0)),""))</f>
        <v>0</v>
      </c>
      <c r="T580" s="20">
        <f>IF(B580="","",IF(F580&lt;&gt;"",F580,IF(S580="",0,S580)))</f>
        <v>0</v>
      </c>
      <c r="U580" s="20">
        <f>IF(B580="","",ROUND(IF(D580="",0,D580)*T580,2))</f>
        <v>0</v>
      </c>
      <c r="V580" s="20">
        <f>IF(B580="","",ROUND(U580-IF(G580="",0,G580)-IF(L580="",0,L580),2))</f>
        <v>0</v>
      </c>
      <c r="W580" s="20">
        <f>IF(C580="","",IFERROR(INDEX(Products!$AT$5:$AT$304,MATCH(C580,Products!$A$5:$A$304,0)),""))</f>
        <v>0</v>
      </c>
      <c r="X580" s="20">
        <f>IF(C580="","",IFERROR(INDEX(Products!$AG$5:$AG$304,MATCH(C580,Products!$A$5:$A$304,0)),""))</f>
        <v>0</v>
      </c>
      <c r="Y580" s="20">
        <f>IF(B580="","",ROUND(IF(D580="",0,D580)*MAX(0,IF(W580="",0,W580)-IF(X580="",0,X580)),2))</f>
        <v>0</v>
      </c>
      <c r="Z580" s="20">
        <f>IF(B580="","",ROUND(MAX(0,IF(J580="",0,J580)-IF(I580="",0,I580)),2))</f>
        <v>0</v>
      </c>
      <c r="AA580" s="33">
        <f>IF(B580="","",IFERROR(INDEX(Channels!$S$5:$S$18,MATCH(IF(E580="",DefaultChannel,E580),Channels!$A$5:$A$18,0)),0))</f>
        <v>0</v>
      </c>
      <c r="AB580" s="20">
        <f>IF(B580="","",IFERROR(INDEX(Channels!$T$5:$T$18,MATCH(IF(E580="",DefaultChannel,E580),Channels!$A$5:$A$18,0)),0))</f>
        <v>0</v>
      </c>
      <c r="AC580" s="42">
        <f>IF(B580="","",IFERROR(INDEX(Channels!$O$5:$O$18,MATCH(IF(E580="",DefaultChannel,E580),Channels!$A$5:$A$18,0)),"No"))</f>
        <v>0</v>
      </c>
      <c r="AD580" s="20">
        <f>IF(B580="","",ROUND((V580+IF(AC580="Yes",IF(I580="",0,I580),0))*AA580+AB580,2))</f>
        <v>0</v>
      </c>
      <c r="AE580" s="20">
        <f>IF(B580="","",IF(K580&lt;&gt;"",K580,AD580))</f>
        <v>0</v>
      </c>
      <c r="AF580" s="20">
        <f>IF(B580="","",IF(K580="","",ROUND(K580-AD580,2)))</f>
        <v>0</v>
      </c>
      <c r="AG580" s="20">
        <f>IF(B580="","",ROUND(V580-Y580-AE580-Z580,2))</f>
        <v>0</v>
      </c>
      <c r="AH580" s="33">
        <f>IF(B580="","",IF(OR(V580="",V580=0),"",AG580/V580))</f>
        <v>0</v>
      </c>
      <c r="AI580" s="33">
        <f>IF(C580="","",IFERROR(INDEX(Products!$AW$5:$AW$304,MATCH(C580,Products!$A$5:$A$304,0)),""))</f>
        <v>0</v>
      </c>
      <c r="AJ580" s="33">
        <f>IF(B580="","",IF(OR(AH580="",AI580=""),"",AH580-AI580))</f>
        <v>0</v>
      </c>
      <c r="AK580" s="41">
        <f>IF(B580="","",IFERROR(ROUND(IF(D580="",0,D580)*INDEX(Products!$X$5:$X$304,MATCH(C580,Products!$A$5:$A$304,0))/60,2),""))</f>
        <v>0</v>
      </c>
      <c r="AL580" s="20">
        <f>IF(B580="","",IF(OR(AK580="",AK580=0),"",ROUND(AG580/AK580,2)))</f>
        <v>0</v>
      </c>
      <c r="AM580" s="43">
        <f>IF(B580="","",IF(C580="","Add - which product?",IF(AG580&lt;0,"Loss - this order cost you money",IF(M580="Refunded","Refunded - check why",IF(AND(AF580&lt;&gt;"",AF580&gt;0.25),"Check - fees higher than your settings",IF(Z580&gt;1,"Check - postage is eating the margin",IF(AND(AH580&lt;&gt;"",AH580&lt;MarginWarning),"Low margin on this order","OK")))))) )</f>
        <v>0</v>
      </c>
    </row>
    <row r="581" spans="1:39">
      <c r="A581" s="38">
        <f>IF(B581="","",SalePrefix&amp;TEXT(ROW()-4,"0000"))</f>
        <v>0</v>
      </c>
      <c r="Q581" s="13">
        <f>IF(C581="","",IFERROR(INDEX(Products!$B$5:$B$304,MATCH(C581,Products!$A$5:$A$304,0)),"Bundle or deleted"))</f>
        <v>0</v>
      </c>
      <c r="R581" s="13">
        <f>IF(B581="","",TEXT(B581,"yyyy-mm"))</f>
        <v>0</v>
      </c>
      <c r="S581" s="20">
        <f>IF(C581="","",IFERROR(INDEX(Products!$AR$5:$AR$304,MATCH(C581,Products!$A$5:$A$304,0)),""))</f>
        <v>0</v>
      </c>
      <c r="T581" s="20">
        <f>IF(B581="","",IF(F581&lt;&gt;"",F581,IF(S581="",0,S581)))</f>
        <v>0</v>
      </c>
      <c r="U581" s="20">
        <f>IF(B581="","",ROUND(IF(D581="",0,D581)*T581,2))</f>
        <v>0</v>
      </c>
      <c r="V581" s="20">
        <f>IF(B581="","",ROUND(U581-IF(G581="",0,G581)-IF(L581="",0,L581),2))</f>
        <v>0</v>
      </c>
      <c r="W581" s="20">
        <f>IF(C581="","",IFERROR(INDEX(Products!$AT$5:$AT$304,MATCH(C581,Products!$A$5:$A$304,0)),""))</f>
        <v>0</v>
      </c>
      <c r="X581" s="20">
        <f>IF(C581="","",IFERROR(INDEX(Products!$AG$5:$AG$304,MATCH(C581,Products!$A$5:$A$304,0)),""))</f>
        <v>0</v>
      </c>
      <c r="Y581" s="20">
        <f>IF(B581="","",ROUND(IF(D581="",0,D581)*MAX(0,IF(W581="",0,W581)-IF(X581="",0,X581)),2))</f>
        <v>0</v>
      </c>
      <c r="Z581" s="20">
        <f>IF(B581="","",ROUND(MAX(0,IF(J581="",0,J581)-IF(I581="",0,I581)),2))</f>
        <v>0</v>
      </c>
      <c r="AA581" s="33">
        <f>IF(B581="","",IFERROR(INDEX(Channels!$S$5:$S$18,MATCH(IF(E581="",DefaultChannel,E581),Channels!$A$5:$A$18,0)),0))</f>
        <v>0</v>
      </c>
      <c r="AB581" s="20">
        <f>IF(B581="","",IFERROR(INDEX(Channels!$T$5:$T$18,MATCH(IF(E581="",DefaultChannel,E581),Channels!$A$5:$A$18,0)),0))</f>
        <v>0</v>
      </c>
      <c r="AC581" s="42">
        <f>IF(B581="","",IFERROR(INDEX(Channels!$O$5:$O$18,MATCH(IF(E581="",DefaultChannel,E581),Channels!$A$5:$A$18,0)),"No"))</f>
        <v>0</v>
      </c>
      <c r="AD581" s="20">
        <f>IF(B581="","",ROUND((V581+IF(AC581="Yes",IF(I581="",0,I581),0))*AA581+AB581,2))</f>
        <v>0</v>
      </c>
      <c r="AE581" s="20">
        <f>IF(B581="","",IF(K581&lt;&gt;"",K581,AD581))</f>
        <v>0</v>
      </c>
      <c r="AF581" s="20">
        <f>IF(B581="","",IF(K581="","",ROUND(K581-AD581,2)))</f>
        <v>0</v>
      </c>
      <c r="AG581" s="20">
        <f>IF(B581="","",ROUND(V581-Y581-AE581-Z581,2))</f>
        <v>0</v>
      </c>
      <c r="AH581" s="33">
        <f>IF(B581="","",IF(OR(V581="",V581=0),"",AG581/V581))</f>
        <v>0</v>
      </c>
      <c r="AI581" s="33">
        <f>IF(C581="","",IFERROR(INDEX(Products!$AW$5:$AW$304,MATCH(C581,Products!$A$5:$A$304,0)),""))</f>
        <v>0</v>
      </c>
      <c r="AJ581" s="33">
        <f>IF(B581="","",IF(OR(AH581="",AI581=""),"",AH581-AI581))</f>
        <v>0</v>
      </c>
      <c r="AK581" s="41">
        <f>IF(B581="","",IFERROR(ROUND(IF(D581="",0,D581)*INDEX(Products!$X$5:$X$304,MATCH(C581,Products!$A$5:$A$304,0))/60,2),""))</f>
        <v>0</v>
      </c>
      <c r="AL581" s="20">
        <f>IF(B581="","",IF(OR(AK581="",AK581=0),"",ROUND(AG581/AK581,2)))</f>
        <v>0</v>
      </c>
      <c r="AM581" s="43">
        <f>IF(B581="","",IF(C581="","Add - which product?",IF(AG581&lt;0,"Loss - this order cost you money",IF(M581="Refunded","Refunded - check why",IF(AND(AF581&lt;&gt;"",AF581&gt;0.25),"Check - fees higher than your settings",IF(Z581&gt;1,"Check - postage is eating the margin",IF(AND(AH581&lt;&gt;"",AH581&lt;MarginWarning),"Low margin on this order","OK")))))) )</f>
        <v>0</v>
      </c>
    </row>
    <row r="582" spans="1:39">
      <c r="A582" s="38">
        <f>IF(B582="","",SalePrefix&amp;TEXT(ROW()-4,"0000"))</f>
        <v>0</v>
      </c>
      <c r="Q582" s="13">
        <f>IF(C582="","",IFERROR(INDEX(Products!$B$5:$B$304,MATCH(C582,Products!$A$5:$A$304,0)),"Bundle or deleted"))</f>
        <v>0</v>
      </c>
      <c r="R582" s="13">
        <f>IF(B582="","",TEXT(B582,"yyyy-mm"))</f>
        <v>0</v>
      </c>
      <c r="S582" s="20">
        <f>IF(C582="","",IFERROR(INDEX(Products!$AR$5:$AR$304,MATCH(C582,Products!$A$5:$A$304,0)),""))</f>
        <v>0</v>
      </c>
      <c r="T582" s="20">
        <f>IF(B582="","",IF(F582&lt;&gt;"",F582,IF(S582="",0,S582)))</f>
        <v>0</v>
      </c>
      <c r="U582" s="20">
        <f>IF(B582="","",ROUND(IF(D582="",0,D582)*T582,2))</f>
        <v>0</v>
      </c>
      <c r="V582" s="20">
        <f>IF(B582="","",ROUND(U582-IF(G582="",0,G582)-IF(L582="",0,L582),2))</f>
        <v>0</v>
      </c>
      <c r="W582" s="20">
        <f>IF(C582="","",IFERROR(INDEX(Products!$AT$5:$AT$304,MATCH(C582,Products!$A$5:$A$304,0)),""))</f>
        <v>0</v>
      </c>
      <c r="X582" s="20">
        <f>IF(C582="","",IFERROR(INDEX(Products!$AG$5:$AG$304,MATCH(C582,Products!$A$5:$A$304,0)),""))</f>
        <v>0</v>
      </c>
      <c r="Y582" s="20">
        <f>IF(B582="","",ROUND(IF(D582="",0,D582)*MAX(0,IF(W582="",0,W582)-IF(X582="",0,X582)),2))</f>
        <v>0</v>
      </c>
      <c r="Z582" s="20">
        <f>IF(B582="","",ROUND(MAX(0,IF(J582="",0,J582)-IF(I582="",0,I582)),2))</f>
        <v>0</v>
      </c>
      <c r="AA582" s="33">
        <f>IF(B582="","",IFERROR(INDEX(Channels!$S$5:$S$18,MATCH(IF(E582="",DefaultChannel,E582),Channels!$A$5:$A$18,0)),0))</f>
        <v>0</v>
      </c>
      <c r="AB582" s="20">
        <f>IF(B582="","",IFERROR(INDEX(Channels!$T$5:$T$18,MATCH(IF(E582="",DefaultChannel,E582),Channels!$A$5:$A$18,0)),0))</f>
        <v>0</v>
      </c>
      <c r="AC582" s="42">
        <f>IF(B582="","",IFERROR(INDEX(Channels!$O$5:$O$18,MATCH(IF(E582="",DefaultChannel,E582),Channels!$A$5:$A$18,0)),"No"))</f>
        <v>0</v>
      </c>
      <c r="AD582" s="20">
        <f>IF(B582="","",ROUND((V582+IF(AC582="Yes",IF(I582="",0,I582),0))*AA582+AB582,2))</f>
        <v>0</v>
      </c>
      <c r="AE582" s="20">
        <f>IF(B582="","",IF(K582&lt;&gt;"",K582,AD582))</f>
        <v>0</v>
      </c>
      <c r="AF582" s="20">
        <f>IF(B582="","",IF(K582="","",ROUND(K582-AD582,2)))</f>
        <v>0</v>
      </c>
      <c r="AG582" s="20">
        <f>IF(B582="","",ROUND(V582-Y582-AE582-Z582,2))</f>
        <v>0</v>
      </c>
      <c r="AH582" s="33">
        <f>IF(B582="","",IF(OR(V582="",V582=0),"",AG582/V582))</f>
        <v>0</v>
      </c>
      <c r="AI582" s="33">
        <f>IF(C582="","",IFERROR(INDEX(Products!$AW$5:$AW$304,MATCH(C582,Products!$A$5:$A$304,0)),""))</f>
        <v>0</v>
      </c>
      <c r="AJ582" s="33">
        <f>IF(B582="","",IF(OR(AH582="",AI582=""),"",AH582-AI582))</f>
        <v>0</v>
      </c>
      <c r="AK582" s="41">
        <f>IF(B582="","",IFERROR(ROUND(IF(D582="",0,D582)*INDEX(Products!$X$5:$X$304,MATCH(C582,Products!$A$5:$A$304,0))/60,2),""))</f>
        <v>0</v>
      </c>
      <c r="AL582" s="20">
        <f>IF(B582="","",IF(OR(AK582="",AK582=0),"",ROUND(AG582/AK582,2)))</f>
        <v>0</v>
      </c>
      <c r="AM582" s="43">
        <f>IF(B582="","",IF(C582="","Add - which product?",IF(AG582&lt;0,"Loss - this order cost you money",IF(M582="Refunded","Refunded - check why",IF(AND(AF582&lt;&gt;"",AF582&gt;0.25),"Check - fees higher than your settings",IF(Z582&gt;1,"Check - postage is eating the margin",IF(AND(AH582&lt;&gt;"",AH582&lt;MarginWarning),"Low margin on this order","OK")))))) )</f>
        <v>0</v>
      </c>
    </row>
    <row r="583" spans="1:39">
      <c r="A583" s="38">
        <f>IF(B583="","",SalePrefix&amp;TEXT(ROW()-4,"0000"))</f>
        <v>0</v>
      </c>
      <c r="Q583" s="13">
        <f>IF(C583="","",IFERROR(INDEX(Products!$B$5:$B$304,MATCH(C583,Products!$A$5:$A$304,0)),"Bundle or deleted"))</f>
        <v>0</v>
      </c>
      <c r="R583" s="13">
        <f>IF(B583="","",TEXT(B583,"yyyy-mm"))</f>
        <v>0</v>
      </c>
      <c r="S583" s="20">
        <f>IF(C583="","",IFERROR(INDEX(Products!$AR$5:$AR$304,MATCH(C583,Products!$A$5:$A$304,0)),""))</f>
        <v>0</v>
      </c>
      <c r="T583" s="20">
        <f>IF(B583="","",IF(F583&lt;&gt;"",F583,IF(S583="",0,S583)))</f>
        <v>0</v>
      </c>
      <c r="U583" s="20">
        <f>IF(B583="","",ROUND(IF(D583="",0,D583)*T583,2))</f>
        <v>0</v>
      </c>
      <c r="V583" s="20">
        <f>IF(B583="","",ROUND(U583-IF(G583="",0,G583)-IF(L583="",0,L583),2))</f>
        <v>0</v>
      </c>
      <c r="W583" s="20">
        <f>IF(C583="","",IFERROR(INDEX(Products!$AT$5:$AT$304,MATCH(C583,Products!$A$5:$A$304,0)),""))</f>
        <v>0</v>
      </c>
      <c r="X583" s="20">
        <f>IF(C583="","",IFERROR(INDEX(Products!$AG$5:$AG$304,MATCH(C583,Products!$A$5:$A$304,0)),""))</f>
        <v>0</v>
      </c>
      <c r="Y583" s="20">
        <f>IF(B583="","",ROUND(IF(D583="",0,D583)*MAX(0,IF(W583="",0,W583)-IF(X583="",0,X583)),2))</f>
        <v>0</v>
      </c>
      <c r="Z583" s="20">
        <f>IF(B583="","",ROUND(MAX(0,IF(J583="",0,J583)-IF(I583="",0,I583)),2))</f>
        <v>0</v>
      </c>
      <c r="AA583" s="33">
        <f>IF(B583="","",IFERROR(INDEX(Channels!$S$5:$S$18,MATCH(IF(E583="",DefaultChannel,E583),Channels!$A$5:$A$18,0)),0))</f>
        <v>0</v>
      </c>
      <c r="AB583" s="20">
        <f>IF(B583="","",IFERROR(INDEX(Channels!$T$5:$T$18,MATCH(IF(E583="",DefaultChannel,E583),Channels!$A$5:$A$18,0)),0))</f>
        <v>0</v>
      </c>
      <c r="AC583" s="42">
        <f>IF(B583="","",IFERROR(INDEX(Channels!$O$5:$O$18,MATCH(IF(E583="",DefaultChannel,E583),Channels!$A$5:$A$18,0)),"No"))</f>
        <v>0</v>
      </c>
      <c r="AD583" s="20">
        <f>IF(B583="","",ROUND((V583+IF(AC583="Yes",IF(I583="",0,I583),0))*AA583+AB583,2))</f>
        <v>0</v>
      </c>
      <c r="AE583" s="20">
        <f>IF(B583="","",IF(K583&lt;&gt;"",K583,AD583))</f>
        <v>0</v>
      </c>
      <c r="AF583" s="20">
        <f>IF(B583="","",IF(K583="","",ROUND(K583-AD583,2)))</f>
        <v>0</v>
      </c>
      <c r="AG583" s="20">
        <f>IF(B583="","",ROUND(V583-Y583-AE583-Z583,2))</f>
        <v>0</v>
      </c>
      <c r="AH583" s="33">
        <f>IF(B583="","",IF(OR(V583="",V583=0),"",AG583/V583))</f>
        <v>0</v>
      </c>
      <c r="AI583" s="33">
        <f>IF(C583="","",IFERROR(INDEX(Products!$AW$5:$AW$304,MATCH(C583,Products!$A$5:$A$304,0)),""))</f>
        <v>0</v>
      </c>
      <c r="AJ583" s="33">
        <f>IF(B583="","",IF(OR(AH583="",AI583=""),"",AH583-AI583))</f>
        <v>0</v>
      </c>
      <c r="AK583" s="41">
        <f>IF(B583="","",IFERROR(ROUND(IF(D583="",0,D583)*INDEX(Products!$X$5:$X$304,MATCH(C583,Products!$A$5:$A$304,0))/60,2),""))</f>
        <v>0</v>
      </c>
      <c r="AL583" s="20">
        <f>IF(B583="","",IF(OR(AK583="",AK583=0),"",ROUND(AG583/AK583,2)))</f>
        <v>0</v>
      </c>
      <c r="AM583" s="43">
        <f>IF(B583="","",IF(C583="","Add - which product?",IF(AG583&lt;0,"Loss - this order cost you money",IF(M583="Refunded","Refunded - check why",IF(AND(AF583&lt;&gt;"",AF583&gt;0.25),"Check - fees higher than your settings",IF(Z583&gt;1,"Check - postage is eating the margin",IF(AND(AH583&lt;&gt;"",AH583&lt;MarginWarning),"Low margin on this order","OK")))))) )</f>
        <v>0</v>
      </c>
    </row>
    <row r="584" spans="1:39">
      <c r="A584" s="38">
        <f>IF(B584="","",SalePrefix&amp;TEXT(ROW()-4,"0000"))</f>
        <v>0</v>
      </c>
      <c r="Q584" s="13">
        <f>IF(C584="","",IFERROR(INDEX(Products!$B$5:$B$304,MATCH(C584,Products!$A$5:$A$304,0)),"Bundle or deleted"))</f>
        <v>0</v>
      </c>
      <c r="R584" s="13">
        <f>IF(B584="","",TEXT(B584,"yyyy-mm"))</f>
        <v>0</v>
      </c>
      <c r="S584" s="20">
        <f>IF(C584="","",IFERROR(INDEX(Products!$AR$5:$AR$304,MATCH(C584,Products!$A$5:$A$304,0)),""))</f>
        <v>0</v>
      </c>
      <c r="T584" s="20">
        <f>IF(B584="","",IF(F584&lt;&gt;"",F584,IF(S584="",0,S584)))</f>
        <v>0</v>
      </c>
      <c r="U584" s="20">
        <f>IF(B584="","",ROUND(IF(D584="",0,D584)*T584,2))</f>
        <v>0</v>
      </c>
      <c r="V584" s="20">
        <f>IF(B584="","",ROUND(U584-IF(G584="",0,G584)-IF(L584="",0,L584),2))</f>
        <v>0</v>
      </c>
      <c r="W584" s="20">
        <f>IF(C584="","",IFERROR(INDEX(Products!$AT$5:$AT$304,MATCH(C584,Products!$A$5:$A$304,0)),""))</f>
        <v>0</v>
      </c>
      <c r="X584" s="20">
        <f>IF(C584="","",IFERROR(INDEX(Products!$AG$5:$AG$304,MATCH(C584,Products!$A$5:$A$304,0)),""))</f>
        <v>0</v>
      </c>
      <c r="Y584" s="20">
        <f>IF(B584="","",ROUND(IF(D584="",0,D584)*MAX(0,IF(W584="",0,W584)-IF(X584="",0,X584)),2))</f>
        <v>0</v>
      </c>
      <c r="Z584" s="20">
        <f>IF(B584="","",ROUND(MAX(0,IF(J584="",0,J584)-IF(I584="",0,I584)),2))</f>
        <v>0</v>
      </c>
      <c r="AA584" s="33">
        <f>IF(B584="","",IFERROR(INDEX(Channels!$S$5:$S$18,MATCH(IF(E584="",DefaultChannel,E584),Channels!$A$5:$A$18,0)),0))</f>
        <v>0</v>
      </c>
      <c r="AB584" s="20">
        <f>IF(B584="","",IFERROR(INDEX(Channels!$T$5:$T$18,MATCH(IF(E584="",DefaultChannel,E584),Channels!$A$5:$A$18,0)),0))</f>
        <v>0</v>
      </c>
      <c r="AC584" s="42">
        <f>IF(B584="","",IFERROR(INDEX(Channels!$O$5:$O$18,MATCH(IF(E584="",DefaultChannel,E584),Channels!$A$5:$A$18,0)),"No"))</f>
        <v>0</v>
      </c>
      <c r="AD584" s="20">
        <f>IF(B584="","",ROUND((V584+IF(AC584="Yes",IF(I584="",0,I584),0))*AA584+AB584,2))</f>
        <v>0</v>
      </c>
      <c r="AE584" s="20">
        <f>IF(B584="","",IF(K584&lt;&gt;"",K584,AD584))</f>
        <v>0</v>
      </c>
      <c r="AF584" s="20">
        <f>IF(B584="","",IF(K584="","",ROUND(K584-AD584,2)))</f>
        <v>0</v>
      </c>
      <c r="AG584" s="20">
        <f>IF(B584="","",ROUND(V584-Y584-AE584-Z584,2))</f>
        <v>0</v>
      </c>
      <c r="AH584" s="33">
        <f>IF(B584="","",IF(OR(V584="",V584=0),"",AG584/V584))</f>
        <v>0</v>
      </c>
      <c r="AI584" s="33">
        <f>IF(C584="","",IFERROR(INDEX(Products!$AW$5:$AW$304,MATCH(C584,Products!$A$5:$A$304,0)),""))</f>
        <v>0</v>
      </c>
      <c r="AJ584" s="33">
        <f>IF(B584="","",IF(OR(AH584="",AI584=""),"",AH584-AI584))</f>
        <v>0</v>
      </c>
      <c r="AK584" s="41">
        <f>IF(B584="","",IFERROR(ROUND(IF(D584="",0,D584)*INDEX(Products!$X$5:$X$304,MATCH(C584,Products!$A$5:$A$304,0))/60,2),""))</f>
        <v>0</v>
      </c>
      <c r="AL584" s="20">
        <f>IF(B584="","",IF(OR(AK584="",AK584=0),"",ROUND(AG584/AK584,2)))</f>
        <v>0</v>
      </c>
      <c r="AM584" s="43">
        <f>IF(B584="","",IF(C584="","Add - which product?",IF(AG584&lt;0,"Loss - this order cost you money",IF(M584="Refunded","Refunded - check why",IF(AND(AF584&lt;&gt;"",AF584&gt;0.25),"Check - fees higher than your settings",IF(Z584&gt;1,"Check - postage is eating the margin",IF(AND(AH584&lt;&gt;"",AH584&lt;MarginWarning),"Low margin on this order","OK")))))) )</f>
        <v>0</v>
      </c>
    </row>
    <row r="585" spans="1:39">
      <c r="A585" s="38">
        <f>IF(B585="","",SalePrefix&amp;TEXT(ROW()-4,"0000"))</f>
        <v>0</v>
      </c>
      <c r="Q585" s="13">
        <f>IF(C585="","",IFERROR(INDEX(Products!$B$5:$B$304,MATCH(C585,Products!$A$5:$A$304,0)),"Bundle or deleted"))</f>
        <v>0</v>
      </c>
      <c r="R585" s="13">
        <f>IF(B585="","",TEXT(B585,"yyyy-mm"))</f>
        <v>0</v>
      </c>
      <c r="S585" s="20">
        <f>IF(C585="","",IFERROR(INDEX(Products!$AR$5:$AR$304,MATCH(C585,Products!$A$5:$A$304,0)),""))</f>
        <v>0</v>
      </c>
      <c r="T585" s="20">
        <f>IF(B585="","",IF(F585&lt;&gt;"",F585,IF(S585="",0,S585)))</f>
        <v>0</v>
      </c>
      <c r="U585" s="20">
        <f>IF(B585="","",ROUND(IF(D585="",0,D585)*T585,2))</f>
        <v>0</v>
      </c>
      <c r="V585" s="20">
        <f>IF(B585="","",ROUND(U585-IF(G585="",0,G585)-IF(L585="",0,L585),2))</f>
        <v>0</v>
      </c>
      <c r="W585" s="20">
        <f>IF(C585="","",IFERROR(INDEX(Products!$AT$5:$AT$304,MATCH(C585,Products!$A$5:$A$304,0)),""))</f>
        <v>0</v>
      </c>
      <c r="X585" s="20">
        <f>IF(C585="","",IFERROR(INDEX(Products!$AG$5:$AG$304,MATCH(C585,Products!$A$5:$A$304,0)),""))</f>
        <v>0</v>
      </c>
      <c r="Y585" s="20">
        <f>IF(B585="","",ROUND(IF(D585="",0,D585)*MAX(0,IF(W585="",0,W585)-IF(X585="",0,X585)),2))</f>
        <v>0</v>
      </c>
      <c r="Z585" s="20">
        <f>IF(B585="","",ROUND(MAX(0,IF(J585="",0,J585)-IF(I585="",0,I585)),2))</f>
        <v>0</v>
      </c>
      <c r="AA585" s="33">
        <f>IF(B585="","",IFERROR(INDEX(Channels!$S$5:$S$18,MATCH(IF(E585="",DefaultChannel,E585),Channels!$A$5:$A$18,0)),0))</f>
        <v>0</v>
      </c>
      <c r="AB585" s="20">
        <f>IF(B585="","",IFERROR(INDEX(Channels!$T$5:$T$18,MATCH(IF(E585="",DefaultChannel,E585),Channels!$A$5:$A$18,0)),0))</f>
        <v>0</v>
      </c>
      <c r="AC585" s="42">
        <f>IF(B585="","",IFERROR(INDEX(Channels!$O$5:$O$18,MATCH(IF(E585="",DefaultChannel,E585),Channels!$A$5:$A$18,0)),"No"))</f>
        <v>0</v>
      </c>
      <c r="AD585" s="20">
        <f>IF(B585="","",ROUND((V585+IF(AC585="Yes",IF(I585="",0,I585),0))*AA585+AB585,2))</f>
        <v>0</v>
      </c>
      <c r="AE585" s="20">
        <f>IF(B585="","",IF(K585&lt;&gt;"",K585,AD585))</f>
        <v>0</v>
      </c>
      <c r="AF585" s="20">
        <f>IF(B585="","",IF(K585="","",ROUND(K585-AD585,2)))</f>
        <v>0</v>
      </c>
      <c r="AG585" s="20">
        <f>IF(B585="","",ROUND(V585-Y585-AE585-Z585,2))</f>
        <v>0</v>
      </c>
      <c r="AH585" s="33">
        <f>IF(B585="","",IF(OR(V585="",V585=0),"",AG585/V585))</f>
        <v>0</v>
      </c>
      <c r="AI585" s="33">
        <f>IF(C585="","",IFERROR(INDEX(Products!$AW$5:$AW$304,MATCH(C585,Products!$A$5:$A$304,0)),""))</f>
        <v>0</v>
      </c>
      <c r="AJ585" s="33">
        <f>IF(B585="","",IF(OR(AH585="",AI585=""),"",AH585-AI585))</f>
        <v>0</v>
      </c>
      <c r="AK585" s="41">
        <f>IF(B585="","",IFERROR(ROUND(IF(D585="",0,D585)*INDEX(Products!$X$5:$X$304,MATCH(C585,Products!$A$5:$A$304,0))/60,2),""))</f>
        <v>0</v>
      </c>
      <c r="AL585" s="20">
        <f>IF(B585="","",IF(OR(AK585="",AK585=0),"",ROUND(AG585/AK585,2)))</f>
        <v>0</v>
      </c>
      <c r="AM585" s="43">
        <f>IF(B585="","",IF(C585="","Add - which product?",IF(AG585&lt;0,"Loss - this order cost you money",IF(M585="Refunded","Refunded - check why",IF(AND(AF585&lt;&gt;"",AF585&gt;0.25),"Check - fees higher than your settings",IF(Z585&gt;1,"Check - postage is eating the margin",IF(AND(AH585&lt;&gt;"",AH585&lt;MarginWarning),"Low margin on this order","OK")))))) )</f>
        <v>0</v>
      </c>
    </row>
    <row r="586" spans="1:39">
      <c r="A586" s="38">
        <f>IF(B586="","",SalePrefix&amp;TEXT(ROW()-4,"0000"))</f>
        <v>0</v>
      </c>
      <c r="Q586" s="13">
        <f>IF(C586="","",IFERROR(INDEX(Products!$B$5:$B$304,MATCH(C586,Products!$A$5:$A$304,0)),"Bundle or deleted"))</f>
        <v>0</v>
      </c>
      <c r="R586" s="13">
        <f>IF(B586="","",TEXT(B586,"yyyy-mm"))</f>
        <v>0</v>
      </c>
      <c r="S586" s="20">
        <f>IF(C586="","",IFERROR(INDEX(Products!$AR$5:$AR$304,MATCH(C586,Products!$A$5:$A$304,0)),""))</f>
        <v>0</v>
      </c>
      <c r="T586" s="20">
        <f>IF(B586="","",IF(F586&lt;&gt;"",F586,IF(S586="",0,S586)))</f>
        <v>0</v>
      </c>
      <c r="U586" s="20">
        <f>IF(B586="","",ROUND(IF(D586="",0,D586)*T586,2))</f>
        <v>0</v>
      </c>
      <c r="V586" s="20">
        <f>IF(B586="","",ROUND(U586-IF(G586="",0,G586)-IF(L586="",0,L586),2))</f>
        <v>0</v>
      </c>
      <c r="W586" s="20">
        <f>IF(C586="","",IFERROR(INDEX(Products!$AT$5:$AT$304,MATCH(C586,Products!$A$5:$A$304,0)),""))</f>
        <v>0</v>
      </c>
      <c r="X586" s="20">
        <f>IF(C586="","",IFERROR(INDEX(Products!$AG$5:$AG$304,MATCH(C586,Products!$A$5:$A$304,0)),""))</f>
        <v>0</v>
      </c>
      <c r="Y586" s="20">
        <f>IF(B586="","",ROUND(IF(D586="",0,D586)*MAX(0,IF(W586="",0,W586)-IF(X586="",0,X586)),2))</f>
        <v>0</v>
      </c>
      <c r="Z586" s="20">
        <f>IF(B586="","",ROUND(MAX(0,IF(J586="",0,J586)-IF(I586="",0,I586)),2))</f>
        <v>0</v>
      </c>
      <c r="AA586" s="33">
        <f>IF(B586="","",IFERROR(INDEX(Channels!$S$5:$S$18,MATCH(IF(E586="",DefaultChannel,E586),Channels!$A$5:$A$18,0)),0))</f>
        <v>0</v>
      </c>
      <c r="AB586" s="20">
        <f>IF(B586="","",IFERROR(INDEX(Channels!$T$5:$T$18,MATCH(IF(E586="",DefaultChannel,E586),Channels!$A$5:$A$18,0)),0))</f>
        <v>0</v>
      </c>
      <c r="AC586" s="42">
        <f>IF(B586="","",IFERROR(INDEX(Channels!$O$5:$O$18,MATCH(IF(E586="",DefaultChannel,E586),Channels!$A$5:$A$18,0)),"No"))</f>
        <v>0</v>
      </c>
      <c r="AD586" s="20">
        <f>IF(B586="","",ROUND((V586+IF(AC586="Yes",IF(I586="",0,I586),0))*AA586+AB586,2))</f>
        <v>0</v>
      </c>
      <c r="AE586" s="20">
        <f>IF(B586="","",IF(K586&lt;&gt;"",K586,AD586))</f>
        <v>0</v>
      </c>
      <c r="AF586" s="20">
        <f>IF(B586="","",IF(K586="","",ROUND(K586-AD586,2)))</f>
        <v>0</v>
      </c>
      <c r="AG586" s="20">
        <f>IF(B586="","",ROUND(V586-Y586-AE586-Z586,2))</f>
        <v>0</v>
      </c>
      <c r="AH586" s="33">
        <f>IF(B586="","",IF(OR(V586="",V586=0),"",AG586/V586))</f>
        <v>0</v>
      </c>
      <c r="AI586" s="33">
        <f>IF(C586="","",IFERROR(INDEX(Products!$AW$5:$AW$304,MATCH(C586,Products!$A$5:$A$304,0)),""))</f>
        <v>0</v>
      </c>
      <c r="AJ586" s="33">
        <f>IF(B586="","",IF(OR(AH586="",AI586=""),"",AH586-AI586))</f>
        <v>0</v>
      </c>
      <c r="AK586" s="41">
        <f>IF(B586="","",IFERROR(ROUND(IF(D586="",0,D586)*INDEX(Products!$X$5:$X$304,MATCH(C586,Products!$A$5:$A$304,0))/60,2),""))</f>
        <v>0</v>
      </c>
      <c r="AL586" s="20">
        <f>IF(B586="","",IF(OR(AK586="",AK586=0),"",ROUND(AG586/AK586,2)))</f>
        <v>0</v>
      </c>
      <c r="AM586" s="43">
        <f>IF(B586="","",IF(C586="","Add - which product?",IF(AG586&lt;0,"Loss - this order cost you money",IF(M586="Refunded","Refunded - check why",IF(AND(AF586&lt;&gt;"",AF586&gt;0.25),"Check - fees higher than your settings",IF(Z586&gt;1,"Check - postage is eating the margin",IF(AND(AH586&lt;&gt;"",AH586&lt;MarginWarning),"Low margin on this order","OK")))))) )</f>
        <v>0</v>
      </c>
    </row>
    <row r="587" spans="1:39">
      <c r="A587" s="38">
        <f>IF(B587="","",SalePrefix&amp;TEXT(ROW()-4,"0000"))</f>
        <v>0</v>
      </c>
      <c r="Q587" s="13">
        <f>IF(C587="","",IFERROR(INDEX(Products!$B$5:$B$304,MATCH(C587,Products!$A$5:$A$304,0)),"Bundle or deleted"))</f>
        <v>0</v>
      </c>
      <c r="R587" s="13">
        <f>IF(B587="","",TEXT(B587,"yyyy-mm"))</f>
        <v>0</v>
      </c>
      <c r="S587" s="20">
        <f>IF(C587="","",IFERROR(INDEX(Products!$AR$5:$AR$304,MATCH(C587,Products!$A$5:$A$304,0)),""))</f>
        <v>0</v>
      </c>
      <c r="T587" s="20">
        <f>IF(B587="","",IF(F587&lt;&gt;"",F587,IF(S587="",0,S587)))</f>
        <v>0</v>
      </c>
      <c r="U587" s="20">
        <f>IF(B587="","",ROUND(IF(D587="",0,D587)*T587,2))</f>
        <v>0</v>
      </c>
      <c r="V587" s="20">
        <f>IF(B587="","",ROUND(U587-IF(G587="",0,G587)-IF(L587="",0,L587),2))</f>
        <v>0</v>
      </c>
      <c r="W587" s="20">
        <f>IF(C587="","",IFERROR(INDEX(Products!$AT$5:$AT$304,MATCH(C587,Products!$A$5:$A$304,0)),""))</f>
        <v>0</v>
      </c>
      <c r="X587" s="20">
        <f>IF(C587="","",IFERROR(INDEX(Products!$AG$5:$AG$304,MATCH(C587,Products!$A$5:$A$304,0)),""))</f>
        <v>0</v>
      </c>
      <c r="Y587" s="20">
        <f>IF(B587="","",ROUND(IF(D587="",0,D587)*MAX(0,IF(W587="",0,W587)-IF(X587="",0,X587)),2))</f>
        <v>0</v>
      </c>
      <c r="Z587" s="20">
        <f>IF(B587="","",ROUND(MAX(0,IF(J587="",0,J587)-IF(I587="",0,I587)),2))</f>
        <v>0</v>
      </c>
      <c r="AA587" s="33">
        <f>IF(B587="","",IFERROR(INDEX(Channels!$S$5:$S$18,MATCH(IF(E587="",DefaultChannel,E587),Channels!$A$5:$A$18,0)),0))</f>
        <v>0</v>
      </c>
      <c r="AB587" s="20">
        <f>IF(B587="","",IFERROR(INDEX(Channels!$T$5:$T$18,MATCH(IF(E587="",DefaultChannel,E587),Channels!$A$5:$A$18,0)),0))</f>
        <v>0</v>
      </c>
      <c r="AC587" s="42">
        <f>IF(B587="","",IFERROR(INDEX(Channels!$O$5:$O$18,MATCH(IF(E587="",DefaultChannel,E587),Channels!$A$5:$A$18,0)),"No"))</f>
        <v>0</v>
      </c>
      <c r="AD587" s="20">
        <f>IF(B587="","",ROUND((V587+IF(AC587="Yes",IF(I587="",0,I587),0))*AA587+AB587,2))</f>
        <v>0</v>
      </c>
      <c r="AE587" s="20">
        <f>IF(B587="","",IF(K587&lt;&gt;"",K587,AD587))</f>
        <v>0</v>
      </c>
      <c r="AF587" s="20">
        <f>IF(B587="","",IF(K587="","",ROUND(K587-AD587,2)))</f>
        <v>0</v>
      </c>
      <c r="AG587" s="20">
        <f>IF(B587="","",ROUND(V587-Y587-AE587-Z587,2))</f>
        <v>0</v>
      </c>
      <c r="AH587" s="33">
        <f>IF(B587="","",IF(OR(V587="",V587=0),"",AG587/V587))</f>
        <v>0</v>
      </c>
      <c r="AI587" s="33">
        <f>IF(C587="","",IFERROR(INDEX(Products!$AW$5:$AW$304,MATCH(C587,Products!$A$5:$A$304,0)),""))</f>
        <v>0</v>
      </c>
      <c r="AJ587" s="33">
        <f>IF(B587="","",IF(OR(AH587="",AI587=""),"",AH587-AI587))</f>
        <v>0</v>
      </c>
      <c r="AK587" s="41">
        <f>IF(B587="","",IFERROR(ROUND(IF(D587="",0,D587)*INDEX(Products!$X$5:$X$304,MATCH(C587,Products!$A$5:$A$304,0))/60,2),""))</f>
        <v>0</v>
      </c>
      <c r="AL587" s="20">
        <f>IF(B587="","",IF(OR(AK587="",AK587=0),"",ROUND(AG587/AK587,2)))</f>
        <v>0</v>
      </c>
      <c r="AM587" s="43">
        <f>IF(B587="","",IF(C587="","Add - which product?",IF(AG587&lt;0,"Loss - this order cost you money",IF(M587="Refunded","Refunded - check why",IF(AND(AF587&lt;&gt;"",AF587&gt;0.25),"Check - fees higher than your settings",IF(Z587&gt;1,"Check - postage is eating the margin",IF(AND(AH587&lt;&gt;"",AH587&lt;MarginWarning),"Low margin on this order","OK")))))) )</f>
        <v>0</v>
      </c>
    </row>
    <row r="588" spans="1:39">
      <c r="A588" s="38">
        <f>IF(B588="","",SalePrefix&amp;TEXT(ROW()-4,"0000"))</f>
        <v>0</v>
      </c>
      <c r="Q588" s="13">
        <f>IF(C588="","",IFERROR(INDEX(Products!$B$5:$B$304,MATCH(C588,Products!$A$5:$A$304,0)),"Bundle or deleted"))</f>
        <v>0</v>
      </c>
      <c r="R588" s="13">
        <f>IF(B588="","",TEXT(B588,"yyyy-mm"))</f>
        <v>0</v>
      </c>
      <c r="S588" s="20">
        <f>IF(C588="","",IFERROR(INDEX(Products!$AR$5:$AR$304,MATCH(C588,Products!$A$5:$A$304,0)),""))</f>
        <v>0</v>
      </c>
      <c r="T588" s="20">
        <f>IF(B588="","",IF(F588&lt;&gt;"",F588,IF(S588="",0,S588)))</f>
        <v>0</v>
      </c>
      <c r="U588" s="20">
        <f>IF(B588="","",ROUND(IF(D588="",0,D588)*T588,2))</f>
        <v>0</v>
      </c>
      <c r="V588" s="20">
        <f>IF(B588="","",ROUND(U588-IF(G588="",0,G588)-IF(L588="",0,L588),2))</f>
        <v>0</v>
      </c>
      <c r="W588" s="20">
        <f>IF(C588="","",IFERROR(INDEX(Products!$AT$5:$AT$304,MATCH(C588,Products!$A$5:$A$304,0)),""))</f>
        <v>0</v>
      </c>
      <c r="X588" s="20">
        <f>IF(C588="","",IFERROR(INDEX(Products!$AG$5:$AG$304,MATCH(C588,Products!$A$5:$A$304,0)),""))</f>
        <v>0</v>
      </c>
      <c r="Y588" s="20">
        <f>IF(B588="","",ROUND(IF(D588="",0,D588)*MAX(0,IF(W588="",0,W588)-IF(X588="",0,X588)),2))</f>
        <v>0</v>
      </c>
      <c r="Z588" s="20">
        <f>IF(B588="","",ROUND(MAX(0,IF(J588="",0,J588)-IF(I588="",0,I588)),2))</f>
        <v>0</v>
      </c>
      <c r="AA588" s="33">
        <f>IF(B588="","",IFERROR(INDEX(Channels!$S$5:$S$18,MATCH(IF(E588="",DefaultChannel,E588),Channels!$A$5:$A$18,0)),0))</f>
        <v>0</v>
      </c>
      <c r="AB588" s="20">
        <f>IF(B588="","",IFERROR(INDEX(Channels!$T$5:$T$18,MATCH(IF(E588="",DefaultChannel,E588),Channels!$A$5:$A$18,0)),0))</f>
        <v>0</v>
      </c>
      <c r="AC588" s="42">
        <f>IF(B588="","",IFERROR(INDEX(Channels!$O$5:$O$18,MATCH(IF(E588="",DefaultChannel,E588),Channels!$A$5:$A$18,0)),"No"))</f>
        <v>0</v>
      </c>
      <c r="AD588" s="20">
        <f>IF(B588="","",ROUND((V588+IF(AC588="Yes",IF(I588="",0,I588),0))*AA588+AB588,2))</f>
        <v>0</v>
      </c>
      <c r="AE588" s="20">
        <f>IF(B588="","",IF(K588&lt;&gt;"",K588,AD588))</f>
        <v>0</v>
      </c>
      <c r="AF588" s="20">
        <f>IF(B588="","",IF(K588="","",ROUND(K588-AD588,2)))</f>
        <v>0</v>
      </c>
      <c r="AG588" s="20">
        <f>IF(B588="","",ROUND(V588-Y588-AE588-Z588,2))</f>
        <v>0</v>
      </c>
      <c r="AH588" s="33">
        <f>IF(B588="","",IF(OR(V588="",V588=0),"",AG588/V588))</f>
        <v>0</v>
      </c>
      <c r="AI588" s="33">
        <f>IF(C588="","",IFERROR(INDEX(Products!$AW$5:$AW$304,MATCH(C588,Products!$A$5:$A$304,0)),""))</f>
        <v>0</v>
      </c>
      <c r="AJ588" s="33">
        <f>IF(B588="","",IF(OR(AH588="",AI588=""),"",AH588-AI588))</f>
        <v>0</v>
      </c>
      <c r="AK588" s="41">
        <f>IF(B588="","",IFERROR(ROUND(IF(D588="",0,D588)*INDEX(Products!$X$5:$X$304,MATCH(C588,Products!$A$5:$A$304,0))/60,2),""))</f>
        <v>0</v>
      </c>
      <c r="AL588" s="20">
        <f>IF(B588="","",IF(OR(AK588="",AK588=0),"",ROUND(AG588/AK588,2)))</f>
        <v>0</v>
      </c>
      <c r="AM588" s="43">
        <f>IF(B588="","",IF(C588="","Add - which product?",IF(AG588&lt;0,"Loss - this order cost you money",IF(M588="Refunded","Refunded - check why",IF(AND(AF588&lt;&gt;"",AF588&gt;0.25),"Check - fees higher than your settings",IF(Z588&gt;1,"Check - postage is eating the margin",IF(AND(AH588&lt;&gt;"",AH588&lt;MarginWarning),"Low margin on this order","OK")))))) )</f>
        <v>0</v>
      </c>
    </row>
    <row r="589" spans="1:39">
      <c r="A589" s="38">
        <f>IF(B589="","",SalePrefix&amp;TEXT(ROW()-4,"0000"))</f>
        <v>0</v>
      </c>
      <c r="Q589" s="13">
        <f>IF(C589="","",IFERROR(INDEX(Products!$B$5:$B$304,MATCH(C589,Products!$A$5:$A$304,0)),"Bundle or deleted"))</f>
        <v>0</v>
      </c>
      <c r="R589" s="13">
        <f>IF(B589="","",TEXT(B589,"yyyy-mm"))</f>
        <v>0</v>
      </c>
      <c r="S589" s="20">
        <f>IF(C589="","",IFERROR(INDEX(Products!$AR$5:$AR$304,MATCH(C589,Products!$A$5:$A$304,0)),""))</f>
        <v>0</v>
      </c>
      <c r="T589" s="20">
        <f>IF(B589="","",IF(F589&lt;&gt;"",F589,IF(S589="",0,S589)))</f>
        <v>0</v>
      </c>
      <c r="U589" s="20">
        <f>IF(B589="","",ROUND(IF(D589="",0,D589)*T589,2))</f>
        <v>0</v>
      </c>
      <c r="V589" s="20">
        <f>IF(B589="","",ROUND(U589-IF(G589="",0,G589)-IF(L589="",0,L589),2))</f>
        <v>0</v>
      </c>
      <c r="W589" s="20">
        <f>IF(C589="","",IFERROR(INDEX(Products!$AT$5:$AT$304,MATCH(C589,Products!$A$5:$A$304,0)),""))</f>
        <v>0</v>
      </c>
      <c r="X589" s="20">
        <f>IF(C589="","",IFERROR(INDEX(Products!$AG$5:$AG$304,MATCH(C589,Products!$A$5:$A$304,0)),""))</f>
        <v>0</v>
      </c>
      <c r="Y589" s="20">
        <f>IF(B589="","",ROUND(IF(D589="",0,D589)*MAX(0,IF(W589="",0,W589)-IF(X589="",0,X589)),2))</f>
        <v>0</v>
      </c>
      <c r="Z589" s="20">
        <f>IF(B589="","",ROUND(MAX(0,IF(J589="",0,J589)-IF(I589="",0,I589)),2))</f>
        <v>0</v>
      </c>
      <c r="AA589" s="33">
        <f>IF(B589="","",IFERROR(INDEX(Channels!$S$5:$S$18,MATCH(IF(E589="",DefaultChannel,E589),Channels!$A$5:$A$18,0)),0))</f>
        <v>0</v>
      </c>
      <c r="AB589" s="20">
        <f>IF(B589="","",IFERROR(INDEX(Channels!$T$5:$T$18,MATCH(IF(E589="",DefaultChannel,E589),Channels!$A$5:$A$18,0)),0))</f>
        <v>0</v>
      </c>
      <c r="AC589" s="42">
        <f>IF(B589="","",IFERROR(INDEX(Channels!$O$5:$O$18,MATCH(IF(E589="",DefaultChannel,E589),Channels!$A$5:$A$18,0)),"No"))</f>
        <v>0</v>
      </c>
      <c r="AD589" s="20">
        <f>IF(B589="","",ROUND((V589+IF(AC589="Yes",IF(I589="",0,I589),0))*AA589+AB589,2))</f>
        <v>0</v>
      </c>
      <c r="AE589" s="20">
        <f>IF(B589="","",IF(K589&lt;&gt;"",K589,AD589))</f>
        <v>0</v>
      </c>
      <c r="AF589" s="20">
        <f>IF(B589="","",IF(K589="","",ROUND(K589-AD589,2)))</f>
        <v>0</v>
      </c>
      <c r="AG589" s="20">
        <f>IF(B589="","",ROUND(V589-Y589-AE589-Z589,2))</f>
        <v>0</v>
      </c>
      <c r="AH589" s="33">
        <f>IF(B589="","",IF(OR(V589="",V589=0),"",AG589/V589))</f>
        <v>0</v>
      </c>
      <c r="AI589" s="33">
        <f>IF(C589="","",IFERROR(INDEX(Products!$AW$5:$AW$304,MATCH(C589,Products!$A$5:$A$304,0)),""))</f>
        <v>0</v>
      </c>
      <c r="AJ589" s="33">
        <f>IF(B589="","",IF(OR(AH589="",AI589=""),"",AH589-AI589))</f>
        <v>0</v>
      </c>
      <c r="AK589" s="41">
        <f>IF(B589="","",IFERROR(ROUND(IF(D589="",0,D589)*INDEX(Products!$X$5:$X$304,MATCH(C589,Products!$A$5:$A$304,0))/60,2),""))</f>
        <v>0</v>
      </c>
      <c r="AL589" s="20">
        <f>IF(B589="","",IF(OR(AK589="",AK589=0),"",ROUND(AG589/AK589,2)))</f>
        <v>0</v>
      </c>
      <c r="AM589" s="43">
        <f>IF(B589="","",IF(C589="","Add - which product?",IF(AG589&lt;0,"Loss - this order cost you money",IF(M589="Refunded","Refunded - check why",IF(AND(AF589&lt;&gt;"",AF589&gt;0.25),"Check - fees higher than your settings",IF(Z589&gt;1,"Check - postage is eating the margin",IF(AND(AH589&lt;&gt;"",AH589&lt;MarginWarning),"Low margin on this order","OK")))))) )</f>
        <v>0</v>
      </c>
    </row>
    <row r="590" spans="1:39">
      <c r="A590" s="38">
        <f>IF(B590="","",SalePrefix&amp;TEXT(ROW()-4,"0000"))</f>
        <v>0</v>
      </c>
      <c r="Q590" s="13">
        <f>IF(C590="","",IFERROR(INDEX(Products!$B$5:$B$304,MATCH(C590,Products!$A$5:$A$304,0)),"Bundle or deleted"))</f>
        <v>0</v>
      </c>
      <c r="R590" s="13">
        <f>IF(B590="","",TEXT(B590,"yyyy-mm"))</f>
        <v>0</v>
      </c>
      <c r="S590" s="20">
        <f>IF(C590="","",IFERROR(INDEX(Products!$AR$5:$AR$304,MATCH(C590,Products!$A$5:$A$304,0)),""))</f>
        <v>0</v>
      </c>
      <c r="T590" s="20">
        <f>IF(B590="","",IF(F590&lt;&gt;"",F590,IF(S590="",0,S590)))</f>
        <v>0</v>
      </c>
      <c r="U590" s="20">
        <f>IF(B590="","",ROUND(IF(D590="",0,D590)*T590,2))</f>
        <v>0</v>
      </c>
      <c r="V590" s="20">
        <f>IF(B590="","",ROUND(U590-IF(G590="",0,G590)-IF(L590="",0,L590),2))</f>
        <v>0</v>
      </c>
      <c r="W590" s="20">
        <f>IF(C590="","",IFERROR(INDEX(Products!$AT$5:$AT$304,MATCH(C590,Products!$A$5:$A$304,0)),""))</f>
        <v>0</v>
      </c>
      <c r="X590" s="20">
        <f>IF(C590="","",IFERROR(INDEX(Products!$AG$5:$AG$304,MATCH(C590,Products!$A$5:$A$304,0)),""))</f>
        <v>0</v>
      </c>
      <c r="Y590" s="20">
        <f>IF(B590="","",ROUND(IF(D590="",0,D590)*MAX(0,IF(W590="",0,W590)-IF(X590="",0,X590)),2))</f>
        <v>0</v>
      </c>
      <c r="Z590" s="20">
        <f>IF(B590="","",ROUND(MAX(0,IF(J590="",0,J590)-IF(I590="",0,I590)),2))</f>
        <v>0</v>
      </c>
      <c r="AA590" s="33">
        <f>IF(B590="","",IFERROR(INDEX(Channels!$S$5:$S$18,MATCH(IF(E590="",DefaultChannel,E590),Channels!$A$5:$A$18,0)),0))</f>
        <v>0</v>
      </c>
      <c r="AB590" s="20">
        <f>IF(B590="","",IFERROR(INDEX(Channels!$T$5:$T$18,MATCH(IF(E590="",DefaultChannel,E590),Channels!$A$5:$A$18,0)),0))</f>
        <v>0</v>
      </c>
      <c r="AC590" s="42">
        <f>IF(B590="","",IFERROR(INDEX(Channels!$O$5:$O$18,MATCH(IF(E590="",DefaultChannel,E590),Channels!$A$5:$A$18,0)),"No"))</f>
        <v>0</v>
      </c>
      <c r="AD590" s="20">
        <f>IF(B590="","",ROUND((V590+IF(AC590="Yes",IF(I590="",0,I590),0))*AA590+AB590,2))</f>
        <v>0</v>
      </c>
      <c r="AE590" s="20">
        <f>IF(B590="","",IF(K590&lt;&gt;"",K590,AD590))</f>
        <v>0</v>
      </c>
      <c r="AF590" s="20">
        <f>IF(B590="","",IF(K590="","",ROUND(K590-AD590,2)))</f>
        <v>0</v>
      </c>
      <c r="AG590" s="20">
        <f>IF(B590="","",ROUND(V590-Y590-AE590-Z590,2))</f>
        <v>0</v>
      </c>
      <c r="AH590" s="33">
        <f>IF(B590="","",IF(OR(V590="",V590=0),"",AG590/V590))</f>
        <v>0</v>
      </c>
      <c r="AI590" s="33">
        <f>IF(C590="","",IFERROR(INDEX(Products!$AW$5:$AW$304,MATCH(C590,Products!$A$5:$A$304,0)),""))</f>
        <v>0</v>
      </c>
      <c r="AJ590" s="33">
        <f>IF(B590="","",IF(OR(AH590="",AI590=""),"",AH590-AI590))</f>
        <v>0</v>
      </c>
      <c r="AK590" s="41">
        <f>IF(B590="","",IFERROR(ROUND(IF(D590="",0,D590)*INDEX(Products!$X$5:$X$304,MATCH(C590,Products!$A$5:$A$304,0))/60,2),""))</f>
        <v>0</v>
      </c>
      <c r="AL590" s="20">
        <f>IF(B590="","",IF(OR(AK590="",AK590=0),"",ROUND(AG590/AK590,2)))</f>
        <v>0</v>
      </c>
      <c r="AM590" s="43">
        <f>IF(B590="","",IF(C590="","Add - which product?",IF(AG590&lt;0,"Loss - this order cost you money",IF(M590="Refunded","Refunded - check why",IF(AND(AF590&lt;&gt;"",AF590&gt;0.25),"Check - fees higher than your settings",IF(Z590&gt;1,"Check - postage is eating the margin",IF(AND(AH590&lt;&gt;"",AH590&lt;MarginWarning),"Low margin on this order","OK")))))) )</f>
        <v>0</v>
      </c>
    </row>
    <row r="591" spans="1:39">
      <c r="A591" s="38">
        <f>IF(B591="","",SalePrefix&amp;TEXT(ROW()-4,"0000"))</f>
        <v>0</v>
      </c>
      <c r="Q591" s="13">
        <f>IF(C591="","",IFERROR(INDEX(Products!$B$5:$B$304,MATCH(C591,Products!$A$5:$A$304,0)),"Bundle or deleted"))</f>
        <v>0</v>
      </c>
      <c r="R591" s="13">
        <f>IF(B591="","",TEXT(B591,"yyyy-mm"))</f>
        <v>0</v>
      </c>
      <c r="S591" s="20">
        <f>IF(C591="","",IFERROR(INDEX(Products!$AR$5:$AR$304,MATCH(C591,Products!$A$5:$A$304,0)),""))</f>
        <v>0</v>
      </c>
      <c r="T591" s="20">
        <f>IF(B591="","",IF(F591&lt;&gt;"",F591,IF(S591="",0,S591)))</f>
        <v>0</v>
      </c>
      <c r="U591" s="20">
        <f>IF(B591="","",ROUND(IF(D591="",0,D591)*T591,2))</f>
        <v>0</v>
      </c>
      <c r="V591" s="20">
        <f>IF(B591="","",ROUND(U591-IF(G591="",0,G591)-IF(L591="",0,L591),2))</f>
        <v>0</v>
      </c>
      <c r="W591" s="20">
        <f>IF(C591="","",IFERROR(INDEX(Products!$AT$5:$AT$304,MATCH(C591,Products!$A$5:$A$304,0)),""))</f>
        <v>0</v>
      </c>
      <c r="X591" s="20">
        <f>IF(C591="","",IFERROR(INDEX(Products!$AG$5:$AG$304,MATCH(C591,Products!$A$5:$A$304,0)),""))</f>
        <v>0</v>
      </c>
      <c r="Y591" s="20">
        <f>IF(B591="","",ROUND(IF(D591="",0,D591)*MAX(0,IF(W591="",0,W591)-IF(X591="",0,X591)),2))</f>
        <v>0</v>
      </c>
      <c r="Z591" s="20">
        <f>IF(B591="","",ROUND(MAX(0,IF(J591="",0,J591)-IF(I591="",0,I591)),2))</f>
        <v>0</v>
      </c>
      <c r="AA591" s="33">
        <f>IF(B591="","",IFERROR(INDEX(Channels!$S$5:$S$18,MATCH(IF(E591="",DefaultChannel,E591),Channels!$A$5:$A$18,0)),0))</f>
        <v>0</v>
      </c>
      <c r="AB591" s="20">
        <f>IF(B591="","",IFERROR(INDEX(Channels!$T$5:$T$18,MATCH(IF(E591="",DefaultChannel,E591),Channels!$A$5:$A$18,0)),0))</f>
        <v>0</v>
      </c>
      <c r="AC591" s="42">
        <f>IF(B591="","",IFERROR(INDEX(Channels!$O$5:$O$18,MATCH(IF(E591="",DefaultChannel,E591),Channels!$A$5:$A$18,0)),"No"))</f>
        <v>0</v>
      </c>
      <c r="AD591" s="20">
        <f>IF(B591="","",ROUND((V591+IF(AC591="Yes",IF(I591="",0,I591),0))*AA591+AB591,2))</f>
        <v>0</v>
      </c>
      <c r="AE591" s="20">
        <f>IF(B591="","",IF(K591&lt;&gt;"",K591,AD591))</f>
        <v>0</v>
      </c>
      <c r="AF591" s="20">
        <f>IF(B591="","",IF(K591="","",ROUND(K591-AD591,2)))</f>
        <v>0</v>
      </c>
      <c r="AG591" s="20">
        <f>IF(B591="","",ROUND(V591-Y591-AE591-Z591,2))</f>
        <v>0</v>
      </c>
      <c r="AH591" s="33">
        <f>IF(B591="","",IF(OR(V591="",V591=0),"",AG591/V591))</f>
        <v>0</v>
      </c>
      <c r="AI591" s="33">
        <f>IF(C591="","",IFERROR(INDEX(Products!$AW$5:$AW$304,MATCH(C591,Products!$A$5:$A$304,0)),""))</f>
        <v>0</v>
      </c>
      <c r="AJ591" s="33">
        <f>IF(B591="","",IF(OR(AH591="",AI591=""),"",AH591-AI591))</f>
        <v>0</v>
      </c>
      <c r="AK591" s="41">
        <f>IF(B591="","",IFERROR(ROUND(IF(D591="",0,D591)*INDEX(Products!$X$5:$X$304,MATCH(C591,Products!$A$5:$A$304,0))/60,2),""))</f>
        <v>0</v>
      </c>
      <c r="AL591" s="20">
        <f>IF(B591="","",IF(OR(AK591="",AK591=0),"",ROUND(AG591/AK591,2)))</f>
        <v>0</v>
      </c>
      <c r="AM591" s="43">
        <f>IF(B591="","",IF(C591="","Add - which product?",IF(AG591&lt;0,"Loss - this order cost you money",IF(M591="Refunded","Refunded - check why",IF(AND(AF591&lt;&gt;"",AF591&gt;0.25),"Check - fees higher than your settings",IF(Z591&gt;1,"Check - postage is eating the margin",IF(AND(AH591&lt;&gt;"",AH591&lt;MarginWarning),"Low margin on this order","OK")))))) )</f>
        <v>0</v>
      </c>
    </row>
    <row r="592" spans="1:39">
      <c r="A592" s="38">
        <f>IF(B592="","",SalePrefix&amp;TEXT(ROW()-4,"0000"))</f>
        <v>0</v>
      </c>
      <c r="Q592" s="13">
        <f>IF(C592="","",IFERROR(INDEX(Products!$B$5:$B$304,MATCH(C592,Products!$A$5:$A$304,0)),"Bundle or deleted"))</f>
        <v>0</v>
      </c>
      <c r="R592" s="13">
        <f>IF(B592="","",TEXT(B592,"yyyy-mm"))</f>
        <v>0</v>
      </c>
      <c r="S592" s="20">
        <f>IF(C592="","",IFERROR(INDEX(Products!$AR$5:$AR$304,MATCH(C592,Products!$A$5:$A$304,0)),""))</f>
        <v>0</v>
      </c>
      <c r="T592" s="20">
        <f>IF(B592="","",IF(F592&lt;&gt;"",F592,IF(S592="",0,S592)))</f>
        <v>0</v>
      </c>
      <c r="U592" s="20">
        <f>IF(B592="","",ROUND(IF(D592="",0,D592)*T592,2))</f>
        <v>0</v>
      </c>
      <c r="V592" s="20">
        <f>IF(B592="","",ROUND(U592-IF(G592="",0,G592)-IF(L592="",0,L592),2))</f>
        <v>0</v>
      </c>
      <c r="W592" s="20">
        <f>IF(C592="","",IFERROR(INDEX(Products!$AT$5:$AT$304,MATCH(C592,Products!$A$5:$A$304,0)),""))</f>
        <v>0</v>
      </c>
      <c r="X592" s="20">
        <f>IF(C592="","",IFERROR(INDEX(Products!$AG$5:$AG$304,MATCH(C592,Products!$A$5:$A$304,0)),""))</f>
        <v>0</v>
      </c>
      <c r="Y592" s="20">
        <f>IF(B592="","",ROUND(IF(D592="",0,D592)*MAX(0,IF(W592="",0,W592)-IF(X592="",0,X592)),2))</f>
        <v>0</v>
      </c>
      <c r="Z592" s="20">
        <f>IF(B592="","",ROUND(MAX(0,IF(J592="",0,J592)-IF(I592="",0,I592)),2))</f>
        <v>0</v>
      </c>
      <c r="AA592" s="33">
        <f>IF(B592="","",IFERROR(INDEX(Channels!$S$5:$S$18,MATCH(IF(E592="",DefaultChannel,E592),Channels!$A$5:$A$18,0)),0))</f>
        <v>0</v>
      </c>
      <c r="AB592" s="20">
        <f>IF(B592="","",IFERROR(INDEX(Channels!$T$5:$T$18,MATCH(IF(E592="",DefaultChannel,E592),Channels!$A$5:$A$18,0)),0))</f>
        <v>0</v>
      </c>
      <c r="AC592" s="42">
        <f>IF(B592="","",IFERROR(INDEX(Channels!$O$5:$O$18,MATCH(IF(E592="",DefaultChannel,E592),Channels!$A$5:$A$18,0)),"No"))</f>
        <v>0</v>
      </c>
      <c r="AD592" s="20">
        <f>IF(B592="","",ROUND((V592+IF(AC592="Yes",IF(I592="",0,I592),0))*AA592+AB592,2))</f>
        <v>0</v>
      </c>
      <c r="AE592" s="20">
        <f>IF(B592="","",IF(K592&lt;&gt;"",K592,AD592))</f>
        <v>0</v>
      </c>
      <c r="AF592" s="20">
        <f>IF(B592="","",IF(K592="","",ROUND(K592-AD592,2)))</f>
        <v>0</v>
      </c>
      <c r="AG592" s="20">
        <f>IF(B592="","",ROUND(V592-Y592-AE592-Z592,2))</f>
        <v>0</v>
      </c>
      <c r="AH592" s="33">
        <f>IF(B592="","",IF(OR(V592="",V592=0),"",AG592/V592))</f>
        <v>0</v>
      </c>
      <c r="AI592" s="33">
        <f>IF(C592="","",IFERROR(INDEX(Products!$AW$5:$AW$304,MATCH(C592,Products!$A$5:$A$304,0)),""))</f>
        <v>0</v>
      </c>
      <c r="AJ592" s="33">
        <f>IF(B592="","",IF(OR(AH592="",AI592=""),"",AH592-AI592))</f>
        <v>0</v>
      </c>
      <c r="AK592" s="41">
        <f>IF(B592="","",IFERROR(ROUND(IF(D592="",0,D592)*INDEX(Products!$X$5:$X$304,MATCH(C592,Products!$A$5:$A$304,0))/60,2),""))</f>
        <v>0</v>
      </c>
      <c r="AL592" s="20">
        <f>IF(B592="","",IF(OR(AK592="",AK592=0),"",ROUND(AG592/AK592,2)))</f>
        <v>0</v>
      </c>
      <c r="AM592" s="43">
        <f>IF(B592="","",IF(C592="","Add - which product?",IF(AG592&lt;0,"Loss - this order cost you money",IF(M592="Refunded","Refunded - check why",IF(AND(AF592&lt;&gt;"",AF592&gt;0.25),"Check - fees higher than your settings",IF(Z592&gt;1,"Check - postage is eating the margin",IF(AND(AH592&lt;&gt;"",AH592&lt;MarginWarning),"Low margin on this order","OK")))))) )</f>
        <v>0</v>
      </c>
    </row>
    <row r="593" spans="1:39">
      <c r="A593" s="38">
        <f>IF(B593="","",SalePrefix&amp;TEXT(ROW()-4,"0000"))</f>
        <v>0</v>
      </c>
      <c r="Q593" s="13">
        <f>IF(C593="","",IFERROR(INDEX(Products!$B$5:$B$304,MATCH(C593,Products!$A$5:$A$304,0)),"Bundle or deleted"))</f>
        <v>0</v>
      </c>
      <c r="R593" s="13">
        <f>IF(B593="","",TEXT(B593,"yyyy-mm"))</f>
        <v>0</v>
      </c>
      <c r="S593" s="20">
        <f>IF(C593="","",IFERROR(INDEX(Products!$AR$5:$AR$304,MATCH(C593,Products!$A$5:$A$304,0)),""))</f>
        <v>0</v>
      </c>
      <c r="T593" s="20">
        <f>IF(B593="","",IF(F593&lt;&gt;"",F593,IF(S593="",0,S593)))</f>
        <v>0</v>
      </c>
      <c r="U593" s="20">
        <f>IF(B593="","",ROUND(IF(D593="",0,D593)*T593,2))</f>
        <v>0</v>
      </c>
      <c r="V593" s="20">
        <f>IF(B593="","",ROUND(U593-IF(G593="",0,G593)-IF(L593="",0,L593),2))</f>
        <v>0</v>
      </c>
      <c r="W593" s="20">
        <f>IF(C593="","",IFERROR(INDEX(Products!$AT$5:$AT$304,MATCH(C593,Products!$A$5:$A$304,0)),""))</f>
        <v>0</v>
      </c>
      <c r="X593" s="20">
        <f>IF(C593="","",IFERROR(INDEX(Products!$AG$5:$AG$304,MATCH(C593,Products!$A$5:$A$304,0)),""))</f>
        <v>0</v>
      </c>
      <c r="Y593" s="20">
        <f>IF(B593="","",ROUND(IF(D593="",0,D593)*MAX(0,IF(W593="",0,W593)-IF(X593="",0,X593)),2))</f>
        <v>0</v>
      </c>
      <c r="Z593" s="20">
        <f>IF(B593="","",ROUND(MAX(0,IF(J593="",0,J593)-IF(I593="",0,I593)),2))</f>
        <v>0</v>
      </c>
      <c r="AA593" s="33">
        <f>IF(B593="","",IFERROR(INDEX(Channels!$S$5:$S$18,MATCH(IF(E593="",DefaultChannel,E593),Channels!$A$5:$A$18,0)),0))</f>
        <v>0</v>
      </c>
      <c r="AB593" s="20">
        <f>IF(B593="","",IFERROR(INDEX(Channels!$T$5:$T$18,MATCH(IF(E593="",DefaultChannel,E593),Channels!$A$5:$A$18,0)),0))</f>
        <v>0</v>
      </c>
      <c r="AC593" s="42">
        <f>IF(B593="","",IFERROR(INDEX(Channels!$O$5:$O$18,MATCH(IF(E593="",DefaultChannel,E593),Channels!$A$5:$A$18,0)),"No"))</f>
        <v>0</v>
      </c>
      <c r="AD593" s="20">
        <f>IF(B593="","",ROUND((V593+IF(AC593="Yes",IF(I593="",0,I593),0))*AA593+AB593,2))</f>
        <v>0</v>
      </c>
      <c r="AE593" s="20">
        <f>IF(B593="","",IF(K593&lt;&gt;"",K593,AD593))</f>
        <v>0</v>
      </c>
      <c r="AF593" s="20">
        <f>IF(B593="","",IF(K593="","",ROUND(K593-AD593,2)))</f>
        <v>0</v>
      </c>
      <c r="AG593" s="20">
        <f>IF(B593="","",ROUND(V593-Y593-AE593-Z593,2))</f>
        <v>0</v>
      </c>
      <c r="AH593" s="33">
        <f>IF(B593="","",IF(OR(V593="",V593=0),"",AG593/V593))</f>
        <v>0</v>
      </c>
      <c r="AI593" s="33">
        <f>IF(C593="","",IFERROR(INDEX(Products!$AW$5:$AW$304,MATCH(C593,Products!$A$5:$A$304,0)),""))</f>
        <v>0</v>
      </c>
      <c r="AJ593" s="33">
        <f>IF(B593="","",IF(OR(AH593="",AI593=""),"",AH593-AI593))</f>
        <v>0</v>
      </c>
      <c r="AK593" s="41">
        <f>IF(B593="","",IFERROR(ROUND(IF(D593="",0,D593)*INDEX(Products!$X$5:$X$304,MATCH(C593,Products!$A$5:$A$304,0))/60,2),""))</f>
        <v>0</v>
      </c>
      <c r="AL593" s="20">
        <f>IF(B593="","",IF(OR(AK593="",AK593=0),"",ROUND(AG593/AK593,2)))</f>
        <v>0</v>
      </c>
      <c r="AM593" s="43">
        <f>IF(B593="","",IF(C593="","Add - which product?",IF(AG593&lt;0,"Loss - this order cost you money",IF(M593="Refunded","Refunded - check why",IF(AND(AF593&lt;&gt;"",AF593&gt;0.25),"Check - fees higher than your settings",IF(Z593&gt;1,"Check - postage is eating the margin",IF(AND(AH593&lt;&gt;"",AH593&lt;MarginWarning),"Low margin on this order","OK")))))) )</f>
        <v>0</v>
      </c>
    </row>
    <row r="594" spans="1:39">
      <c r="A594" s="38">
        <f>IF(B594="","",SalePrefix&amp;TEXT(ROW()-4,"0000"))</f>
        <v>0</v>
      </c>
      <c r="Q594" s="13">
        <f>IF(C594="","",IFERROR(INDEX(Products!$B$5:$B$304,MATCH(C594,Products!$A$5:$A$304,0)),"Bundle or deleted"))</f>
        <v>0</v>
      </c>
      <c r="R594" s="13">
        <f>IF(B594="","",TEXT(B594,"yyyy-mm"))</f>
        <v>0</v>
      </c>
      <c r="S594" s="20">
        <f>IF(C594="","",IFERROR(INDEX(Products!$AR$5:$AR$304,MATCH(C594,Products!$A$5:$A$304,0)),""))</f>
        <v>0</v>
      </c>
      <c r="T594" s="20">
        <f>IF(B594="","",IF(F594&lt;&gt;"",F594,IF(S594="",0,S594)))</f>
        <v>0</v>
      </c>
      <c r="U594" s="20">
        <f>IF(B594="","",ROUND(IF(D594="",0,D594)*T594,2))</f>
        <v>0</v>
      </c>
      <c r="V594" s="20">
        <f>IF(B594="","",ROUND(U594-IF(G594="",0,G594)-IF(L594="",0,L594),2))</f>
        <v>0</v>
      </c>
      <c r="W594" s="20">
        <f>IF(C594="","",IFERROR(INDEX(Products!$AT$5:$AT$304,MATCH(C594,Products!$A$5:$A$304,0)),""))</f>
        <v>0</v>
      </c>
      <c r="X594" s="20">
        <f>IF(C594="","",IFERROR(INDEX(Products!$AG$5:$AG$304,MATCH(C594,Products!$A$5:$A$304,0)),""))</f>
        <v>0</v>
      </c>
      <c r="Y594" s="20">
        <f>IF(B594="","",ROUND(IF(D594="",0,D594)*MAX(0,IF(W594="",0,W594)-IF(X594="",0,X594)),2))</f>
        <v>0</v>
      </c>
      <c r="Z594" s="20">
        <f>IF(B594="","",ROUND(MAX(0,IF(J594="",0,J594)-IF(I594="",0,I594)),2))</f>
        <v>0</v>
      </c>
      <c r="AA594" s="33">
        <f>IF(B594="","",IFERROR(INDEX(Channels!$S$5:$S$18,MATCH(IF(E594="",DefaultChannel,E594),Channels!$A$5:$A$18,0)),0))</f>
        <v>0</v>
      </c>
      <c r="AB594" s="20">
        <f>IF(B594="","",IFERROR(INDEX(Channels!$T$5:$T$18,MATCH(IF(E594="",DefaultChannel,E594),Channels!$A$5:$A$18,0)),0))</f>
        <v>0</v>
      </c>
      <c r="AC594" s="42">
        <f>IF(B594="","",IFERROR(INDEX(Channels!$O$5:$O$18,MATCH(IF(E594="",DefaultChannel,E594),Channels!$A$5:$A$18,0)),"No"))</f>
        <v>0</v>
      </c>
      <c r="AD594" s="20">
        <f>IF(B594="","",ROUND((V594+IF(AC594="Yes",IF(I594="",0,I594),0))*AA594+AB594,2))</f>
        <v>0</v>
      </c>
      <c r="AE594" s="20">
        <f>IF(B594="","",IF(K594&lt;&gt;"",K594,AD594))</f>
        <v>0</v>
      </c>
      <c r="AF594" s="20">
        <f>IF(B594="","",IF(K594="","",ROUND(K594-AD594,2)))</f>
        <v>0</v>
      </c>
      <c r="AG594" s="20">
        <f>IF(B594="","",ROUND(V594-Y594-AE594-Z594,2))</f>
        <v>0</v>
      </c>
      <c r="AH594" s="33">
        <f>IF(B594="","",IF(OR(V594="",V594=0),"",AG594/V594))</f>
        <v>0</v>
      </c>
      <c r="AI594" s="33">
        <f>IF(C594="","",IFERROR(INDEX(Products!$AW$5:$AW$304,MATCH(C594,Products!$A$5:$A$304,0)),""))</f>
        <v>0</v>
      </c>
      <c r="AJ594" s="33">
        <f>IF(B594="","",IF(OR(AH594="",AI594=""),"",AH594-AI594))</f>
        <v>0</v>
      </c>
      <c r="AK594" s="41">
        <f>IF(B594="","",IFERROR(ROUND(IF(D594="",0,D594)*INDEX(Products!$X$5:$X$304,MATCH(C594,Products!$A$5:$A$304,0))/60,2),""))</f>
        <v>0</v>
      </c>
      <c r="AL594" s="20">
        <f>IF(B594="","",IF(OR(AK594="",AK594=0),"",ROUND(AG594/AK594,2)))</f>
        <v>0</v>
      </c>
      <c r="AM594" s="43">
        <f>IF(B594="","",IF(C594="","Add - which product?",IF(AG594&lt;0,"Loss - this order cost you money",IF(M594="Refunded","Refunded - check why",IF(AND(AF594&lt;&gt;"",AF594&gt;0.25),"Check - fees higher than your settings",IF(Z594&gt;1,"Check - postage is eating the margin",IF(AND(AH594&lt;&gt;"",AH594&lt;MarginWarning),"Low margin on this order","OK")))))) )</f>
        <v>0</v>
      </c>
    </row>
    <row r="595" spans="1:39">
      <c r="A595" s="38">
        <f>IF(B595="","",SalePrefix&amp;TEXT(ROW()-4,"0000"))</f>
        <v>0</v>
      </c>
      <c r="Q595" s="13">
        <f>IF(C595="","",IFERROR(INDEX(Products!$B$5:$B$304,MATCH(C595,Products!$A$5:$A$304,0)),"Bundle or deleted"))</f>
        <v>0</v>
      </c>
      <c r="R595" s="13">
        <f>IF(B595="","",TEXT(B595,"yyyy-mm"))</f>
        <v>0</v>
      </c>
      <c r="S595" s="20">
        <f>IF(C595="","",IFERROR(INDEX(Products!$AR$5:$AR$304,MATCH(C595,Products!$A$5:$A$304,0)),""))</f>
        <v>0</v>
      </c>
      <c r="T595" s="20">
        <f>IF(B595="","",IF(F595&lt;&gt;"",F595,IF(S595="",0,S595)))</f>
        <v>0</v>
      </c>
      <c r="U595" s="20">
        <f>IF(B595="","",ROUND(IF(D595="",0,D595)*T595,2))</f>
        <v>0</v>
      </c>
      <c r="V595" s="20">
        <f>IF(B595="","",ROUND(U595-IF(G595="",0,G595)-IF(L595="",0,L595),2))</f>
        <v>0</v>
      </c>
      <c r="W595" s="20">
        <f>IF(C595="","",IFERROR(INDEX(Products!$AT$5:$AT$304,MATCH(C595,Products!$A$5:$A$304,0)),""))</f>
        <v>0</v>
      </c>
      <c r="X595" s="20">
        <f>IF(C595="","",IFERROR(INDEX(Products!$AG$5:$AG$304,MATCH(C595,Products!$A$5:$A$304,0)),""))</f>
        <v>0</v>
      </c>
      <c r="Y595" s="20">
        <f>IF(B595="","",ROUND(IF(D595="",0,D595)*MAX(0,IF(W595="",0,W595)-IF(X595="",0,X595)),2))</f>
        <v>0</v>
      </c>
      <c r="Z595" s="20">
        <f>IF(B595="","",ROUND(MAX(0,IF(J595="",0,J595)-IF(I595="",0,I595)),2))</f>
        <v>0</v>
      </c>
      <c r="AA595" s="33">
        <f>IF(B595="","",IFERROR(INDEX(Channels!$S$5:$S$18,MATCH(IF(E595="",DefaultChannel,E595),Channels!$A$5:$A$18,0)),0))</f>
        <v>0</v>
      </c>
      <c r="AB595" s="20">
        <f>IF(B595="","",IFERROR(INDEX(Channels!$T$5:$T$18,MATCH(IF(E595="",DefaultChannel,E595),Channels!$A$5:$A$18,0)),0))</f>
        <v>0</v>
      </c>
      <c r="AC595" s="42">
        <f>IF(B595="","",IFERROR(INDEX(Channels!$O$5:$O$18,MATCH(IF(E595="",DefaultChannel,E595),Channels!$A$5:$A$18,0)),"No"))</f>
        <v>0</v>
      </c>
      <c r="AD595" s="20">
        <f>IF(B595="","",ROUND((V595+IF(AC595="Yes",IF(I595="",0,I595),0))*AA595+AB595,2))</f>
        <v>0</v>
      </c>
      <c r="AE595" s="20">
        <f>IF(B595="","",IF(K595&lt;&gt;"",K595,AD595))</f>
        <v>0</v>
      </c>
      <c r="AF595" s="20">
        <f>IF(B595="","",IF(K595="","",ROUND(K595-AD595,2)))</f>
        <v>0</v>
      </c>
      <c r="AG595" s="20">
        <f>IF(B595="","",ROUND(V595-Y595-AE595-Z595,2))</f>
        <v>0</v>
      </c>
      <c r="AH595" s="33">
        <f>IF(B595="","",IF(OR(V595="",V595=0),"",AG595/V595))</f>
        <v>0</v>
      </c>
      <c r="AI595" s="33">
        <f>IF(C595="","",IFERROR(INDEX(Products!$AW$5:$AW$304,MATCH(C595,Products!$A$5:$A$304,0)),""))</f>
        <v>0</v>
      </c>
      <c r="AJ595" s="33">
        <f>IF(B595="","",IF(OR(AH595="",AI595=""),"",AH595-AI595))</f>
        <v>0</v>
      </c>
      <c r="AK595" s="41">
        <f>IF(B595="","",IFERROR(ROUND(IF(D595="",0,D595)*INDEX(Products!$X$5:$X$304,MATCH(C595,Products!$A$5:$A$304,0))/60,2),""))</f>
        <v>0</v>
      </c>
      <c r="AL595" s="20">
        <f>IF(B595="","",IF(OR(AK595="",AK595=0),"",ROUND(AG595/AK595,2)))</f>
        <v>0</v>
      </c>
      <c r="AM595" s="43">
        <f>IF(B595="","",IF(C595="","Add - which product?",IF(AG595&lt;0,"Loss - this order cost you money",IF(M595="Refunded","Refunded - check why",IF(AND(AF595&lt;&gt;"",AF595&gt;0.25),"Check - fees higher than your settings",IF(Z595&gt;1,"Check - postage is eating the margin",IF(AND(AH595&lt;&gt;"",AH595&lt;MarginWarning),"Low margin on this order","OK")))))) )</f>
        <v>0</v>
      </c>
    </row>
    <row r="596" spans="1:39">
      <c r="A596" s="38">
        <f>IF(B596="","",SalePrefix&amp;TEXT(ROW()-4,"0000"))</f>
        <v>0</v>
      </c>
      <c r="Q596" s="13">
        <f>IF(C596="","",IFERROR(INDEX(Products!$B$5:$B$304,MATCH(C596,Products!$A$5:$A$304,0)),"Bundle or deleted"))</f>
        <v>0</v>
      </c>
      <c r="R596" s="13">
        <f>IF(B596="","",TEXT(B596,"yyyy-mm"))</f>
        <v>0</v>
      </c>
      <c r="S596" s="20">
        <f>IF(C596="","",IFERROR(INDEX(Products!$AR$5:$AR$304,MATCH(C596,Products!$A$5:$A$304,0)),""))</f>
        <v>0</v>
      </c>
      <c r="T596" s="20">
        <f>IF(B596="","",IF(F596&lt;&gt;"",F596,IF(S596="",0,S596)))</f>
        <v>0</v>
      </c>
      <c r="U596" s="20">
        <f>IF(B596="","",ROUND(IF(D596="",0,D596)*T596,2))</f>
        <v>0</v>
      </c>
      <c r="V596" s="20">
        <f>IF(B596="","",ROUND(U596-IF(G596="",0,G596)-IF(L596="",0,L596),2))</f>
        <v>0</v>
      </c>
      <c r="W596" s="20">
        <f>IF(C596="","",IFERROR(INDEX(Products!$AT$5:$AT$304,MATCH(C596,Products!$A$5:$A$304,0)),""))</f>
        <v>0</v>
      </c>
      <c r="X596" s="20">
        <f>IF(C596="","",IFERROR(INDEX(Products!$AG$5:$AG$304,MATCH(C596,Products!$A$5:$A$304,0)),""))</f>
        <v>0</v>
      </c>
      <c r="Y596" s="20">
        <f>IF(B596="","",ROUND(IF(D596="",0,D596)*MAX(0,IF(W596="",0,W596)-IF(X596="",0,X596)),2))</f>
        <v>0</v>
      </c>
      <c r="Z596" s="20">
        <f>IF(B596="","",ROUND(MAX(0,IF(J596="",0,J596)-IF(I596="",0,I596)),2))</f>
        <v>0</v>
      </c>
      <c r="AA596" s="33">
        <f>IF(B596="","",IFERROR(INDEX(Channels!$S$5:$S$18,MATCH(IF(E596="",DefaultChannel,E596),Channels!$A$5:$A$18,0)),0))</f>
        <v>0</v>
      </c>
      <c r="AB596" s="20">
        <f>IF(B596="","",IFERROR(INDEX(Channels!$T$5:$T$18,MATCH(IF(E596="",DefaultChannel,E596),Channels!$A$5:$A$18,0)),0))</f>
        <v>0</v>
      </c>
      <c r="AC596" s="42">
        <f>IF(B596="","",IFERROR(INDEX(Channels!$O$5:$O$18,MATCH(IF(E596="",DefaultChannel,E596),Channels!$A$5:$A$18,0)),"No"))</f>
        <v>0</v>
      </c>
      <c r="AD596" s="20">
        <f>IF(B596="","",ROUND((V596+IF(AC596="Yes",IF(I596="",0,I596),0))*AA596+AB596,2))</f>
        <v>0</v>
      </c>
      <c r="AE596" s="20">
        <f>IF(B596="","",IF(K596&lt;&gt;"",K596,AD596))</f>
        <v>0</v>
      </c>
      <c r="AF596" s="20">
        <f>IF(B596="","",IF(K596="","",ROUND(K596-AD596,2)))</f>
        <v>0</v>
      </c>
      <c r="AG596" s="20">
        <f>IF(B596="","",ROUND(V596-Y596-AE596-Z596,2))</f>
        <v>0</v>
      </c>
      <c r="AH596" s="33">
        <f>IF(B596="","",IF(OR(V596="",V596=0),"",AG596/V596))</f>
        <v>0</v>
      </c>
      <c r="AI596" s="33">
        <f>IF(C596="","",IFERROR(INDEX(Products!$AW$5:$AW$304,MATCH(C596,Products!$A$5:$A$304,0)),""))</f>
        <v>0</v>
      </c>
      <c r="AJ596" s="33">
        <f>IF(B596="","",IF(OR(AH596="",AI596=""),"",AH596-AI596))</f>
        <v>0</v>
      </c>
      <c r="AK596" s="41">
        <f>IF(B596="","",IFERROR(ROUND(IF(D596="",0,D596)*INDEX(Products!$X$5:$X$304,MATCH(C596,Products!$A$5:$A$304,0))/60,2),""))</f>
        <v>0</v>
      </c>
      <c r="AL596" s="20">
        <f>IF(B596="","",IF(OR(AK596="",AK596=0),"",ROUND(AG596/AK596,2)))</f>
        <v>0</v>
      </c>
      <c r="AM596" s="43">
        <f>IF(B596="","",IF(C596="","Add - which product?",IF(AG596&lt;0,"Loss - this order cost you money",IF(M596="Refunded","Refunded - check why",IF(AND(AF596&lt;&gt;"",AF596&gt;0.25),"Check - fees higher than your settings",IF(Z596&gt;1,"Check - postage is eating the margin",IF(AND(AH596&lt;&gt;"",AH596&lt;MarginWarning),"Low margin on this order","OK")))))) )</f>
        <v>0</v>
      </c>
    </row>
    <row r="597" spans="1:39">
      <c r="A597" s="38">
        <f>IF(B597="","",SalePrefix&amp;TEXT(ROW()-4,"0000"))</f>
        <v>0</v>
      </c>
      <c r="Q597" s="13">
        <f>IF(C597="","",IFERROR(INDEX(Products!$B$5:$B$304,MATCH(C597,Products!$A$5:$A$304,0)),"Bundle or deleted"))</f>
        <v>0</v>
      </c>
      <c r="R597" s="13">
        <f>IF(B597="","",TEXT(B597,"yyyy-mm"))</f>
        <v>0</v>
      </c>
      <c r="S597" s="20">
        <f>IF(C597="","",IFERROR(INDEX(Products!$AR$5:$AR$304,MATCH(C597,Products!$A$5:$A$304,0)),""))</f>
        <v>0</v>
      </c>
      <c r="T597" s="20">
        <f>IF(B597="","",IF(F597&lt;&gt;"",F597,IF(S597="",0,S597)))</f>
        <v>0</v>
      </c>
      <c r="U597" s="20">
        <f>IF(B597="","",ROUND(IF(D597="",0,D597)*T597,2))</f>
        <v>0</v>
      </c>
      <c r="V597" s="20">
        <f>IF(B597="","",ROUND(U597-IF(G597="",0,G597)-IF(L597="",0,L597),2))</f>
        <v>0</v>
      </c>
      <c r="W597" s="20">
        <f>IF(C597="","",IFERROR(INDEX(Products!$AT$5:$AT$304,MATCH(C597,Products!$A$5:$A$304,0)),""))</f>
        <v>0</v>
      </c>
      <c r="X597" s="20">
        <f>IF(C597="","",IFERROR(INDEX(Products!$AG$5:$AG$304,MATCH(C597,Products!$A$5:$A$304,0)),""))</f>
        <v>0</v>
      </c>
      <c r="Y597" s="20">
        <f>IF(B597="","",ROUND(IF(D597="",0,D597)*MAX(0,IF(W597="",0,W597)-IF(X597="",0,X597)),2))</f>
        <v>0</v>
      </c>
      <c r="Z597" s="20">
        <f>IF(B597="","",ROUND(MAX(0,IF(J597="",0,J597)-IF(I597="",0,I597)),2))</f>
        <v>0</v>
      </c>
      <c r="AA597" s="33">
        <f>IF(B597="","",IFERROR(INDEX(Channels!$S$5:$S$18,MATCH(IF(E597="",DefaultChannel,E597),Channels!$A$5:$A$18,0)),0))</f>
        <v>0</v>
      </c>
      <c r="AB597" s="20">
        <f>IF(B597="","",IFERROR(INDEX(Channels!$T$5:$T$18,MATCH(IF(E597="",DefaultChannel,E597),Channels!$A$5:$A$18,0)),0))</f>
        <v>0</v>
      </c>
      <c r="AC597" s="42">
        <f>IF(B597="","",IFERROR(INDEX(Channels!$O$5:$O$18,MATCH(IF(E597="",DefaultChannel,E597),Channels!$A$5:$A$18,0)),"No"))</f>
        <v>0</v>
      </c>
      <c r="AD597" s="20">
        <f>IF(B597="","",ROUND((V597+IF(AC597="Yes",IF(I597="",0,I597),0))*AA597+AB597,2))</f>
        <v>0</v>
      </c>
      <c r="AE597" s="20">
        <f>IF(B597="","",IF(K597&lt;&gt;"",K597,AD597))</f>
        <v>0</v>
      </c>
      <c r="AF597" s="20">
        <f>IF(B597="","",IF(K597="","",ROUND(K597-AD597,2)))</f>
        <v>0</v>
      </c>
      <c r="AG597" s="20">
        <f>IF(B597="","",ROUND(V597-Y597-AE597-Z597,2))</f>
        <v>0</v>
      </c>
      <c r="AH597" s="33">
        <f>IF(B597="","",IF(OR(V597="",V597=0),"",AG597/V597))</f>
        <v>0</v>
      </c>
      <c r="AI597" s="33">
        <f>IF(C597="","",IFERROR(INDEX(Products!$AW$5:$AW$304,MATCH(C597,Products!$A$5:$A$304,0)),""))</f>
        <v>0</v>
      </c>
      <c r="AJ597" s="33">
        <f>IF(B597="","",IF(OR(AH597="",AI597=""),"",AH597-AI597))</f>
        <v>0</v>
      </c>
      <c r="AK597" s="41">
        <f>IF(B597="","",IFERROR(ROUND(IF(D597="",0,D597)*INDEX(Products!$X$5:$X$304,MATCH(C597,Products!$A$5:$A$304,0))/60,2),""))</f>
        <v>0</v>
      </c>
      <c r="AL597" s="20">
        <f>IF(B597="","",IF(OR(AK597="",AK597=0),"",ROUND(AG597/AK597,2)))</f>
        <v>0</v>
      </c>
      <c r="AM597" s="43">
        <f>IF(B597="","",IF(C597="","Add - which product?",IF(AG597&lt;0,"Loss - this order cost you money",IF(M597="Refunded","Refunded - check why",IF(AND(AF597&lt;&gt;"",AF597&gt;0.25),"Check - fees higher than your settings",IF(Z597&gt;1,"Check - postage is eating the margin",IF(AND(AH597&lt;&gt;"",AH597&lt;MarginWarning),"Low margin on this order","OK")))))) )</f>
        <v>0</v>
      </c>
    </row>
    <row r="598" spans="1:39">
      <c r="A598" s="38">
        <f>IF(B598="","",SalePrefix&amp;TEXT(ROW()-4,"0000"))</f>
        <v>0</v>
      </c>
      <c r="Q598" s="13">
        <f>IF(C598="","",IFERROR(INDEX(Products!$B$5:$B$304,MATCH(C598,Products!$A$5:$A$304,0)),"Bundle or deleted"))</f>
        <v>0</v>
      </c>
      <c r="R598" s="13">
        <f>IF(B598="","",TEXT(B598,"yyyy-mm"))</f>
        <v>0</v>
      </c>
      <c r="S598" s="20">
        <f>IF(C598="","",IFERROR(INDEX(Products!$AR$5:$AR$304,MATCH(C598,Products!$A$5:$A$304,0)),""))</f>
        <v>0</v>
      </c>
      <c r="T598" s="20">
        <f>IF(B598="","",IF(F598&lt;&gt;"",F598,IF(S598="",0,S598)))</f>
        <v>0</v>
      </c>
      <c r="U598" s="20">
        <f>IF(B598="","",ROUND(IF(D598="",0,D598)*T598,2))</f>
        <v>0</v>
      </c>
      <c r="V598" s="20">
        <f>IF(B598="","",ROUND(U598-IF(G598="",0,G598)-IF(L598="",0,L598),2))</f>
        <v>0</v>
      </c>
      <c r="W598" s="20">
        <f>IF(C598="","",IFERROR(INDEX(Products!$AT$5:$AT$304,MATCH(C598,Products!$A$5:$A$304,0)),""))</f>
        <v>0</v>
      </c>
      <c r="X598" s="20">
        <f>IF(C598="","",IFERROR(INDEX(Products!$AG$5:$AG$304,MATCH(C598,Products!$A$5:$A$304,0)),""))</f>
        <v>0</v>
      </c>
      <c r="Y598" s="20">
        <f>IF(B598="","",ROUND(IF(D598="",0,D598)*MAX(0,IF(W598="",0,W598)-IF(X598="",0,X598)),2))</f>
        <v>0</v>
      </c>
      <c r="Z598" s="20">
        <f>IF(B598="","",ROUND(MAX(0,IF(J598="",0,J598)-IF(I598="",0,I598)),2))</f>
        <v>0</v>
      </c>
      <c r="AA598" s="33">
        <f>IF(B598="","",IFERROR(INDEX(Channels!$S$5:$S$18,MATCH(IF(E598="",DefaultChannel,E598),Channels!$A$5:$A$18,0)),0))</f>
        <v>0</v>
      </c>
      <c r="AB598" s="20">
        <f>IF(B598="","",IFERROR(INDEX(Channels!$T$5:$T$18,MATCH(IF(E598="",DefaultChannel,E598),Channels!$A$5:$A$18,0)),0))</f>
        <v>0</v>
      </c>
      <c r="AC598" s="42">
        <f>IF(B598="","",IFERROR(INDEX(Channels!$O$5:$O$18,MATCH(IF(E598="",DefaultChannel,E598),Channels!$A$5:$A$18,0)),"No"))</f>
        <v>0</v>
      </c>
      <c r="AD598" s="20">
        <f>IF(B598="","",ROUND((V598+IF(AC598="Yes",IF(I598="",0,I598),0))*AA598+AB598,2))</f>
        <v>0</v>
      </c>
      <c r="AE598" s="20">
        <f>IF(B598="","",IF(K598&lt;&gt;"",K598,AD598))</f>
        <v>0</v>
      </c>
      <c r="AF598" s="20">
        <f>IF(B598="","",IF(K598="","",ROUND(K598-AD598,2)))</f>
        <v>0</v>
      </c>
      <c r="AG598" s="20">
        <f>IF(B598="","",ROUND(V598-Y598-AE598-Z598,2))</f>
        <v>0</v>
      </c>
      <c r="AH598" s="33">
        <f>IF(B598="","",IF(OR(V598="",V598=0),"",AG598/V598))</f>
        <v>0</v>
      </c>
      <c r="AI598" s="33">
        <f>IF(C598="","",IFERROR(INDEX(Products!$AW$5:$AW$304,MATCH(C598,Products!$A$5:$A$304,0)),""))</f>
        <v>0</v>
      </c>
      <c r="AJ598" s="33">
        <f>IF(B598="","",IF(OR(AH598="",AI598=""),"",AH598-AI598))</f>
        <v>0</v>
      </c>
      <c r="AK598" s="41">
        <f>IF(B598="","",IFERROR(ROUND(IF(D598="",0,D598)*INDEX(Products!$X$5:$X$304,MATCH(C598,Products!$A$5:$A$304,0))/60,2),""))</f>
        <v>0</v>
      </c>
      <c r="AL598" s="20">
        <f>IF(B598="","",IF(OR(AK598="",AK598=0),"",ROUND(AG598/AK598,2)))</f>
        <v>0</v>
      </c>
      <c r="AM598" s="43">
        <f>IF(B598="","",IF(C598="","Add - which product?",IF(AG598&lt;0,"Loss - this order cost you money",IF(M598="Refunded","Refunded - check why",IF(AND(AF598&lt;&gt;"",AF598&gt;0.25),"Check - fees higher than your settings",IF(Z598&gt;1,"Check - postage is eating the margin",IF(AND(AH598&lt;&gt;"",AH598&lt;MarginWarning),"Low margin on this order","OK")))))) )</f>
        <v>0</v>
      </c>
    </row>
    <row r="599" spans="1:39">
      <c r="A599" s="38">
        <f>IF(B599="","",SalePrefix&amp;TEXT(ROW()-4,"0000"))</f>
        <v>0</v>
      </c>
      <c r="Q599" s="13">
        <f>IF(C599="","",IFERROR(INDEX(Products!$B$5:$B$304,MATCH(C599,Products!$A$5:$A$304,0)),"Bundle or deleted"))</f>
        <v>0</v>
      </c>
      <c r="R599" s="13">
        <f>IF(B599="","",TEXT(B599,"yyyy-mm"))</f>
        <v>0</v>
      </c>
      <c r="S599" s="20">
        <f>IF(C599="","",IFERROR(INDEX(Products!$AR$5:$AR$304,MATCH(C599,Products!$A$5:$A$304,0)),""))</f>
        <v>0</v>
      </c>
      <c r="T599" s="20">
        <f>IF(B599="","",IF(F599&lt;&gt;"",F599,IF(S599="",0,S599)))</f>
        <v>0</v>
      </c>
      <c r="U599" s="20">
        <f>IF(B599="","",ROUND(IF(D599="",0,D599)*T599,2))</f>
        <v>0</v>
      </c>
      <c r="V599" s="20">
        <f>IF(B599="","",ROUND(U599-IF(G599="",0,G599)-IF(L599="",0,L599),2))</f>
        <v>0</v>
      </c>
      <c r="W599" s="20">
        <f>IF(C599="","",IFERROR(INDEX(Products!$AT$5:$AT$304,MATCH(C599,Products!$A$5:$A$304,0)),""))</f>
        <v>0</v>
      </c>
      <c r="X599" s="20">
        <f>IF(C599="","",IFERROR(INDEX(Products!$AG$5:$AG$304,MATCH(C599,Products!$A$5:$A$304,0)),""))</f>
        <v>0</v>
      </c>
      <c r="Y599" s="20">
        <f>IF(B599="","",ROUND(IF(D599="",0,D599)*MAX(0,IF(W599="",0,W599)-IF(X599="",0,X599)),2))</f>
        <v>0</v>
      </c>
      <c r="Z599" s="20">
        <f>IF(B599="","",ROUND(MAX(0,IF(J599="",0,J599)-IF(I599="",0,I599)),2))</f>
        <v>0</v>
      </c>
      <c r="AA599" s="33">
        <f>IF(B599="","",IFERROR(INDEX(Channels!$S$5:$S$18,MATCH(IF(E599="",DefaultChannel,E599),Channels!$A$5:$A$18,0)),0))</f>
        <v>0</v>
      </c>
      <c r="AB599" s="20">
        <f>IF(B599="","",IFERROR(INDEX(Channels!$T$5:$T$18,MATCH(IF(E599="",DefaultChannel,E599),Channels!$A$5:$A$18,0)),0))</f>
        <v>0</v>
      </c>
      <c r="AC599" s="42">
        <f>IF(B599="","",IFERROR(INDEX(Channels!$O$5:$O$18,MATCH(IF(E599="",DefaultChannel,E599),Channels!$A$5:$A$18,0)),"No"))</f>
        <v>0</v>
      </c>
      <c r="AD599" s="20">
        <f>IF(B599="","",ROUND((V599+IF(AC599="Yes",IF(I599="",0,I599),0))*AA599+AB599,2))</f>
        <v>0</v>
      </c>
      <c r="AE599" s="20">
        <f>IF(B599="","",IF(K599&lt;&gt;"",K599,AD599))</f>
        <v>0</v>
      </c>
      <c r="AF599" s="20">
        <f>IF(B599="","",IF(K599="","",ROUND(K599-AD599,2)))</f>
        <v>0</v>
      </c>
      <c r="AG599" s="20">
        <f>IF(B599="","",ROUND(V599-Y599-AE599-Z599,2))</f>
        <v>0</v>
      </c>
      <c r="AH599" s="33">
        <f>IF(B599="","",IF(OR(V599="",V599=0),"",AG599/V599))</f>
        <v>0</v>
      </c>
      <c r="AI599" s="33">
        <f>IF(C599="","",IFERROR(INDEX(Products!$AW$5:$AW$304,MATCH(C599,Products!$A$5:$A$304,0)),""))</f>
        <v>0</v>
      </c>
      <c r="AJ599" s="33">
        <f>IF(B599="","",IF(OR(AH599="",AI599=""),"",AH599-AI599))</f>
        <v>0</v>
      </c>
      <c r="AK599" s="41">
        <f>IF(B599="","",IFERROR(ROUND(IF(D599="",0,D599)*INDEX(Products!$X$5:$X$304,MATCH(C599,Products!$A$5:$A$304,0))/60,2),""))</f>
        <v>0</v>
      </c>
      <c r="AL599" s="20">
        <f>IF(B599="","",IF(OR(AK599="",AK599=0),"",ROUND(AG599/AK599,2)))</f>
        <v>0</v>
      </c>
      <c r="AM599" s="43">
        <f>IF(B599="","",IF(C599="","Add - which product?",IF(AG599&lt;0,"Loss - this order cost you money",IF(M599="Refunded","Refunded - check why",IF(AND(AF599&lt;&gt;"",AF599&gt;0.25),"Check - fees higher than your settings",IF(Z599&gt;1,"Check - postage is eating the margin",IF(AND(AH599&lt;&gt;"",AH599&lt;MarginWarning),"Low margin on this order","OK")))))) )</f>
        <v>0</v>
      </c>
    </row>
    <row r="600" spans="1:39">
      <c r="A600" s="38">
        <f>IF(B600="","",SalePrefix&amp;TEXT(ROW()-4,"0000"))</f>
        <v>0</v>
      </c>
      <c r="Q600" s="13">
        <f>IF(C600="","",IFERROR(INDEX(Products!$B$5:$B$304,MATCH(C600,Products!$A$5:$A$304,0)),"Bundle or deleted"))</f>
        <v>0</v>
      </c>
      <c r="R600" s="13">
        <f>IF(B600="","",TEXT(B600,"yyyy-mm"))</f>
        <v>0</v>
      </c>
      <c r="S600" s="20">
        <f>IF(C600="","",IFERROR(INDEX(Products!$AR$5:$AR$304,MATCH(C600,Products!$A$5:$A$304,0)),""))</f>
        <v>0</v>
      </c>
      <c r="T600" s="20">
        <f>IF(B600="","",IF(F600&lt;&gt;"",F600,IF(S600="",0,S600)))</f>
        <v>0</v>
      </c>
      <c r="U600" s="20">
        <f>IF(B600="","",ROUND(IF(D600="",0,D600)*T600,2))</f>
        <v>0</v>
      </c>
      <c r="V600" s="20">
        <f>IF(B600="","",ROUND(U600-IF(G600="",0,G600)-IF(L600="",0,L600),2))</f>
        <v>0</v>
      </c>
      <c r="W600" s="20">
        <f>IF(C600="","",IFERROR(INDEX(Products!$AT$5:$AT$304,MATCH(C600,Products!$A$5:$A$304,0)),""))</f>
        <v>0</v>
      </c>
      <c r="X600" s="20">
        <f>IF(C600="","",IFERROR(INDEX(Products!$AG$5:$AG$304,MATCH(C600,Products!$A$5:$A$304,0)),""))</f>
        <v>0</v>
      </c>
      <c r="Y600" s="20">
        <f>IF(B600="","",ROUND(IF(D600="",0,D600)*MAX(0,IF(W600="",0,W600)-IF(X600="",0,X600)),2))</f>
        <v>0</v>
      </c>
      <c r="Z600" s="20">
        <f>IF(B600="","",ROUND(MAX(0,IF(J600="",0,J600)-IF(I600="",0,I600)),2))</f>
        <v>0</v>
      </c>
      <c r="AA600" s="33">
        <f>IF(B600="","",IFERROR(INDEX(Channels!$S$5:$S$18,MATCH(IF(E600="",DefaultChannel,E600),Channels!$A$5:$A$18,0)),0))</f>
        <v>0</v>
      </c>
      <c r="AB600" s="20">
        <f>IF(B600="","",IFERROR(INDEX(Channels!$T$5:$T$18,MATCH(IF(E600="",DefaultChannel,E600),Channels!$A$5:$A$18,0)),0))</f>
        <v>0</v>
      </c>
      <c r="AC600" s="42">
        <f>IF(B600="","",IFERROR(INDEX(Channels!$O$5:$O$18,MATCH(IF(E600="",DefaultChannel,E600),Channels!$A$5:$A$18,0)),"No"))</f>
        <v>0</v>
      </c>
      <c r="AD600" s="20">
        <f>IF(B600="","",ROUND((V600+IF(AC600="Yes",IF(I600="",0,I600),0))*AA600+AB600,2))</f>
        <v>0</v>
      </c>
      <c r="AE600" s="20">
        <f>IF(B600="","",IF(K600&lt;&gt;"",K600,AD600))</f>
        <v>0</v>
      </c>
      <c r="AF600" s="20">
        <f>IF(B600="","",IF(K600="","",ROUND(K600-AD600,2)))</f>
        <v>0</v>
      </c>
      <c r="AG600" s="20">
        <f>IF(B600="","",ROUND(V600-Y600-AE600-Z600,2))</f>
        <v>0</v>
      </c>
      <c r="AH600" s="33">
        <f>IF(B600="","",IF(OR(V600="",V600=0),"",AG600/V600))</f>
        <v>0</v>
      </c>
      <c r="AI600" s="33">
        <f>IF(C600="","",IFERROR(INDEX(Products!$AW$5:$AW$304,MATCH(C600,Products!$A$5:$A$304,0)),""))</f>
        <v>0</v>
      </c>
      <c r="AJ600" s="33">
        <f>IF(B600="","",IF(OR(AH600="",AI600=""),"",AH600-AI600))</f>
        <v>0</v>
      </c>
      <c r="AK600" s="41">
        <f>IF(B600="","",IFERROR(ROUND(IF(D600="",0,D600)*INDEX(Products!$X$5:$X$304,MATCH(C600,Products!$A$5:$A$304,0))/60,2),""))</f>
        <v>0</v>
      </c>
      <c r="AL600" s="20">
        <f>IF(B600="","",IF(OR(AK600="",AK600=0),"",ROUND(AG600/AK600,2)))</f>
        <v>0</v>
      </c>
      <c r="AM600" s="43">
        <f>IF(B600="","",IF(C600="","Add - which product?",IF(AG600&lt;0,"Loss - this order cost you money",IF(M600="Refunded","Refunded - check why",IF(AND(AF600&lt;&gt;"",AF600&gt;0.25),"Check - fees higher than your settings",IF(Z600&gt;1,"Check - postage is eating the margin",IF(AND(AH600&lt;&gt;"",AH600&lt;MarginWarning),"Low margin on this order","OK")))))) )</f>
        <v>0</v>
      </c>
    </row>
    <row r="601" spans="1:39">
      <c r="A601" s="38">
        <f>IF(B601="","",SalePrefix&amp;TEXT(ROW()-4,"0000"))</f>
        <v>0</v>
      </c>
      <c r="Q601" s="13">
        <f>IF(C601="","",IFERROR(INDEX(Products!$B$5:$B$304,MATCH(C601,Products!$A$5:$A$304,0)),"Bundle or deleted"))</f>
        <v>0</v>
      </c>
      <c r="R601" s="13">
        <f>IF(B601="","",TEXT(B601,"yyyy-mm"))</f>
        <v>0</v>
      </c>
      <c r="S601" s="20">
        <f>IF(C601="","",IFERROR(INDEX(Products!$AR$5:$AR$304,MATCH(C601,Products!$A$5:$A$304,0)),""))</f>
        <v>0</v>
      </c>
      <c r="T601" s="20">
        <f>IF(B601="","",IF(F601&lt;&gt;"",F601,IF(S601="",0,S601)))</f>
        <v>0</v>
      </c>
      <c r="U601" s="20">
        <f>IF(B601="","",ROUND(IF(D601="",0,D601)*T601,2))</f>
        <v>0</v>
      </c>
      <c r="V601" s="20">
        <f>IF(B601="","",ROUND(U601-IF(G601="",0,G601)-IF(L601="",0,L601),2))</f>
        <v>0</v>
      </c>
      <c r="W601" s="20">
        <f>IF(C601="","",IFERROR(INDEX(Products!$AT$5:$AT$304,MATCH(C601,Products!$A$5:$A$304,0)),""))</f>
        <v>0</v>
      </c>
      <c r="X601" s="20">
        <f>IF(C601="","",IFERROR(INDEX(Products!$AG$5:$AG$304,MATCH(C601,Products!$A$5:$A$304,0)),""))</f>
        <v>0</v>
      </c>
      <c r="Y601" s="20">
        <f>IF(B601="","",ROUND(IF(D601="",0,D601)*MAX(0,IF(W601="",0,W601)-IF(X601="",0,X601)),2))</f>
        <v>0</v>
      </c>
      <c r="Z601" s="20">
        <f>IF(B601="","",ROUND(MAX(0,IF(J601="",0,J601)-IF(I601="",0,I601)),2))</f>
        <v>0</v>
      </c>
      <c r="AA601" s="33">
        <f>IF(B601="","",IFERROR(INDEX(Channels!$S$5:$S$18,MATCH(IF(E601="",DefaultChannel,E601),Channels!$A$5:$A$18,0)),0))</f>
        <v>0</v>
      </c>
      <c r="AB601" s="20">
        <f>IF(B601="","",IFERROR(INDEX(Channels!$T$5:$T$18,MATCH(IF(E601="",DefaultChannel,E601),Channels!$A$5:$A$18,0)),0))</f>
        <v>0</v>
      </c>
      <c r="AC601" s="42">
        <f>IF(B601="","",IFERROR(INDEX(Channels!$O$5:$O$18,MATCH(IF(E601="",DefaultChannel,E601),Channels!$A$5:$A$18,0)),"No"))</f>
        <v>0</v>
      </c>
      <c r="AD601" s="20">
        <f>IF(B601="","",ROUND((V601+IF(AC601="Yes",IF(I601="",0,I601),0))*AA601+AB601,2))</f>
        <v>0</v>
      </c>
      <c r="AE601" s="20">
        <f>IF(B601="","",IF(K601&lt;&gt;"",K601,AD601))</f>
        <v>0</v>
      </c>
      <c r="AF601" s="20">
        <f>IF(B601="","",IF(K601="","",ROUND(K601-AD601,2)))</f>
        <v>0</v>
      </c>
      <c r="AG601" s="20">
        <f>IF(B601="","",ROUND(V601-Y601-AE601-Z601,2))</f>
        <v>0</v>
      </c>
      <c r="AH601" s="33">
        <f>IF(B601="","",IF(OR(V601="",V601=0),"",AG601/V601))</f>
        <v>0</v>
      </c>
      <c r="AI601" s="33">
        <f>IF(C601="","",IFERROR(INDEX(Products!$AW$5:$AW$304,MATCH(C601,Products!$A$5:$A$304,0)),""))</f>
        <v>0</v>
      </c>
      <c r="AJ601" s="33">
        <f>IF(B601="","",IF(OR(AH601="",AI601=""),"",AH601-AI601))</f>
        <v>0</v>
      </c>
      <c r="AK601" s="41">
        <f>IF(B601="","",IFERROR(ROUND(IF(D601="",0,D601)*INDEX(Products!$X$5:$X$304,MATCH(C601,Products!$A$5:$A$304,0))/60,2),""))</f>
        <v>0</v>
      </c>
      <c r="AL601" s="20">
        <f>IF(B601="","",IF(OR(AK601="",AK601=0),"",ROUND(AG601/AK601,2)))</f>
        <v>0</v>
      </c>
      <c r="AM601" s="43">
        <f>IF(B601="","",IF(C601="","Add - which product?",IF(AG601&lt;0,"Loss - this order cost you money",IF(M601="Refunded","Refunded - check why",IF(AND(AF601&lt;&gt;"",AF601&gt;0.25),"Check - fees higher than your settings",IF(Z601&gt;1,"Check - postage is eating the margin",IF(AND(AH601&lt;&gt;"",AH601&lt;MarginWarning),"Low margin on this order","OK")))))) )</f>
        <v>0</v>
      </c>
    </row>
    <row r="602" spans="1:39">
      <c r="A602" s="38">
        <f>IF(B602="","",SalePrefix&amp;TEXT(ROW()-4,"0000"))</f>
        <v>0</v>
      </c>
      <c r="Q602" s="13">
        <f>IF(C602="","",IFERROR(INDEX(Products!$B$5:$B$304,MATCH(C602,Products!$A$5:$A$304,0)),"Bundle or deleted"))</f>
        <v>0</v>
      </c>
      <c r="R602" s="13">
        <f>IF(B602="","",TEXT(B602,"yyyy-mm"))</f>
        <v>0</v>
      </c>
      <c r="S602" s="20">
        <f>IF(C602="","",IFERROR(INDEX(Products!$AR$5:$AR$304,MATCH(C602,Products!$A$5:$A$304,0)),""))</f>
        <v>0</v>
      </c>
      <c r="T602" s="20">
        <f>IF(B602="","",IF(F602&lt;&gt;"",F602,IF(S602="",0,S602)))</f>
        <v>0</v>
      </c>
      <c r="U602" s="20">
        <f>IF(B602="","",ROUND(IF(D602="",0,D602)*T602,2))</f>
        <v>0</v>
      </c>
      <c r="V602" s="20">
        <f>IF(B602="","",ROUND(U602-IF(G602="",0,G602)-IF(L602="",0,L602),2))</f>
        <v>0</v>
      </c>
      <c r="W602" s="20">
        <f>IF(C602="","",IFERROR(INDEX(Products!$AT$5:$AT$304,MATCH(C602,Products!$A$5:$A$304,0)),""))</f>
        <v>0</v>
      </c>
      <c r="X602" s="20">
        <f>IF(C602="","",IFERROR(INDEX(Products!$AG$5:$AG$304,MATCH(C602,Products!$A$5:$A$304,0)),""))</f>
        <v>0</v>
      </c>
      <c r="Y602" s="20">
        <f>IF(B602="","",ROUND(IF(D602="",0,D602)*MAX(0,IF(W602="",0,W602)-IF(X602="",0,X602)),2))</f>
        <v>0</v>
      </c>
      <c r="Z602" s="20">
        <f>IF(B602="","",ROUND(MAX(0,IF(J602="",0,J602)-IF(I602="",0,I602)),2))</f>
        <v>0</v>
      </c>
      <c r="AA602" s="33">
        <f>IF(B602="","",IFERROR(INDEX(Channels!$S$5:$S$18,MATCH(IF(E602="",DefaultChannel,E602),Channels!$A$5:$A$18,0)),0))</f>
        <v>0</v>
      </c>
      <c r="AB602" s="20">
        <f>IF(B602="","",IFERROR(INDEX(Channels!$T$5:$T$18,MATCH(IF(E602="",DefaultChannel,E602),Channels!$A$5:$A$18,0)),0))</f>
        <v>0</v>
      </c>
      <c r="AC602" s="42">
        <f>IF(B602="","",IFERROR(INDEX(Channels!$O$5:$O$18,MATCH(IF(E602="",DefaultChannel,E602),Channels!$A$5:$A$18,0)),"No"))</f>
        <v>0</v>
      </c>
      <c r="AD602" s="20">
        <f>IF(B602="","",ROUND((V602+IF(AC602="Yes",IF(I602="",0,I602),0))*AA602+AB602,2))</f>
        <v>0</v>
      </c>
      <c r="AE602" s="20">
        <f>IF(B602="","",IF(K602&lt;&gt;"",K602,AD602))</f>
        <v>0</v>
      </c>
      <c r="AF602" s="20">
        <f>IF(B602="","",IF(K602="","",ROUND(K602-AD602,2)))</f>
        <v>0</v>
      </c>
      <c r="AG602" s="20">
        <f>IF(B602="","",ROUND(V602-Y602-AE602-Z602,2))</f>
        <v>0</v>
      </c>
      <c r="AH602" s="33">
        <f>IF(B602="","",IF(OR(V602="",V602=0),"",AG602/V602))</f>
        <v>0</v>
      </c>
      <c r="AI602" s="33">
        <f>IF(C602="","",IFERROR(INDEX(Products!$AW$5:$AW$304,MATCH(C602,Products!$A$5:$A$304,0)),""))</f>
        <v>0</v>
      </c>
      <c r="AJ602" s="33">
        <f>IF(B602="","",IF(OR(AH602="",AI602=""),"",AH602-AI602))</f>
        <v>0</v>
      </c>
      <c r="AK602" s="41">
        <f>IF(B602="","",IFERROR(ROUND(IF(D602="",0,D602)*INDEX(Products!$X$5:$X$304,MATCH(C602,Products!$A$5:$A$304,0))/60,2),""))</f>
        <v>0</v>
      </c>
      <c r="AL602" s="20">
        <f>IF(B602="","",IF(OR(AK602="",AK602=0),"",ROUND(AG602/AK602,2)))</f>
        <v>0</v>
      </c>
      <c r="AM602" s="43">
        <f>IF(B602="","",IF(C602="","Add - which product?",IF(AG602&lt;0,"Loss - this order cost you money",IF(M602="Refunded","Refunded - check why",IF(AND(AF602&lt;&gt;"",AF602&gt;0.25),"Check - fees higher than your settings",IF(Z602&gt;1,"Check - postage is eating the margin",IF(AND(AH602&lt;&gt;"",AH602&lt;MarginWarning),"Low margin on this order","OK")))))) )</f>
        <v>0</v>
      </c>
    </row>
    <row r="603" spans="1:39">
      <c r="A603" s="38">
        <f>IF(B603="","",SalePrefix&amp;TEXT(ROW()-4,"0000"))</f>
        <v>0</v>
      </c>
      <c r="Q603" s="13">
        <f>IF(C603="","",IFERROR(INDEX(Products!$B$5:$B$304,MATCH(C603,Products!$A$5:$A$304,0)),"Bundle or deleted"))</f>
        <v>0</v>
      </c>
      <c r="R603" s="13">
        <f>IF(B603="","",TEXT(B603,"yyyy-mm"))</f>
        <v>0</v>
      </c>
      <c r="S603" s="20">
        <f>IF(C603="","",IFERROR(INDEX(Products!$AR$5:$AR$304,MATCH(C603,Products!$A$5:$A$304,0)),""))</f>
        <v>0</v>
      </c>
      <c r="T603" s="20">
        <f>IF(B603="","",IF(F603&lt;&gt;"",F603,IF(S603="",0,S603)))</f>
        <v>0</v>
      </c>
      <c r="U603" s="20">
        <f>IF(B603="","",ROUND(IF(D603="",0,D603)*T603,2))</f>
        <v>0</v>
      </c>
      <c r="V603" s="20">
        <f>IF(B603="","",ROUND(U603-IF(G603="",0,G603)-IF(L603="",0,L603),2))</f>
        <v>0</v>
      </c>
      <c r="W603" s="20">
        <f>IF(C603="","",IFERROR(INDEX(Products!$AT$5:$AT$304,MATCH(C603,Products!$A$5:$A$304,0)),""))</f>
        <v>0</v>
      </c>
      <c r="X603" s="20">
        <f>IF(C603="","",IFERROR(INDEX(Products!$AG$5:$AG$304,MATCH(C603,Products!$A$5:$A$304,0)),""))</f>
        <v>0</v>
      </c>
      <c r="Y603" s="20">
        <f>IF(B603="","",ROUND(IF(D603="",0,D603)*MAX(0,IF(W603="",0,W603)-IF(X603="",0,X603)),2))</f>
        <v>0</v>
      </c>
      <c r="Z603" s="20">
        <f>IF(B603="","",ROUND(MAX(0,IF(J603="",0,J603)-IF(I603="",0,I603)),2))</f>
        <v>0</v>
      </c>
      <c r="AA603" s="33">
        <f>IF(B603="","",IFERROR(INDEX(Channels!$S$5:$S$18,MATCH(IF(E603="",DefaultChannel,E603),Channels!$A$5:$A$18,0)),0))</f>
        <v>0</v>
      </c>
      <c r="AB603" s="20">
        <f>IF(B603="","",IFERROR(INDEX(Channels!$T$5:$T$18,MATCH(IF(E603="",DefaultChannel,E603),Channels!$A$5:$A$18,0)),0))</f>
        <v>0</v>
      </c>
      <c r="AC603" s="42">
        <f>IF(B603="","",IFERROR(INDEX(Channels!$O$5:$O$18,MATCH(IF(E603="",DefaultChannel,E603),Channels!$A$5:$A$18,0)),"No"))</f>
        <v>0</v>
      </c>
      <c r="AD603" s="20">
        <f>IF(B603="","",ROUND((V603+IF(AC603="Yes",IF(I603="",0,I603),0))*AA603+AB603,2))</f>
        <v>0</v>
      </c>
      <c r="AE603" s="20">
        <f>IF(B603="","",IF(K603&lt;&gt;"",K603,AD603))</f>
        <v>0</v>
      </c>
      <c r="AF603" s="20">
        <f>IF(B603="","",IF(K603="","",ROUND(K603-AD603,2)))</f>
        <v>0</v>
      </c>
      <c r="AG603" s="20">
        <f>IF(B603="","",ROUND(V603-Y603-AE603-Z603,2))</f>
        <v>0</v>
      </c>
      <c r="AH603" s="33">
        <f>IF(B603="","",IF(OR(V603="",V603=0),"",AG603/V603))</f>
        <v>0</v>
      </c>
      <c r="AI603" s="33">
        <f>IF(C603="","",IFERROR(INDEX(Products!$AW$5:$AW$304,MATCH(C603,Products!$A$5:$A$304,0)),""))</f>
        <v>0</v>
      </c>
      <c r="AJ603" s="33">
        <f>IF(B603="","",IF(OR(AH603="",AI603=""),"",AH603-AI603))</f>
        <v>0</v>
      </c>
      <c r="AK603" s="41">
        <f>IF(B603="","",IFERROR(ROUND(IF(D603="",0,D603)*INDEX(Products!$X$5:$X$304,MATCH(C603,Products!$A$5:$A$304,0))/60,2),""))</f>
        <v>0</v>
      </c>
      <c r="AL603" s="20">
        <f>IF(B603="","",IF(OR(AK603="",AK603=0),"",ROUND(AG603/AK603,2)))</f>
        <v>0</v>
      </c>
      <c r="AM603" s="43">
        <f>IF(B603="","",IF(C603="","Add - which product?",IF(AG603&lt;0,"Loss - this order cost you money",IF(M603="Refunded","Refunded - check why",IF(AND(AF603&lt;&gt;"",AF603&gt;0.25),"Check - fees higher than your settings",IF(Z603&gt;1,"Check - postage is eating the margin",IF(AND(AH603&lt;&gt;"",AH603&lt;MarginWarning),"Low margin on this order","OK")))))) )</f>
        <v>0</v>
      </c>
    </row>
    <row r="604" spans="1:39">
      <c r="A604" s="38">
        <f>IF(B604="","",SalePrefix&amp;TEXT(ROW()-4,"0000"))</f>
        <v>0</v>
      </c>
      <c r="Q604" s="13">
        <f>IF(C604="","",IFERROR(INDEX(Products!$B$5:$B$304,MATCH(C604,Products!$A$5:$A$304,0)),"Bundle or deleted"))</f>
        <v>0</v>
      </c>
      <c r="R604" s="13">
        <f>IF(B604="","",TEXT(B604,"yyyy-mm"))</f>
        <v>0</v>
      </c>
      <c r="S604" s="20">
        <f>IF(C604="","",IFERROR(INDEX(Products!$AR$5:$AR$304,MATCH(C604,Products!$A$5:$A$304,0)),""))</f>
        <v>0</v>
      </c>
      <c r="T604" s="20">
        <f>IF(B604="","",IF(F604&lt;&gt;"",F604,IF(S604="",0,S604)))</f>
        <v>0</v>
      </c>
      <c r="U604" s="20">
        <f>IF(B604="","",ROUND(IF(D604="",0,D604)*T604,2))</f>
        <v>0</v>
      </c>
      <c r="V604" s="20">
        <f>IF(B604="","",ROUND(U604-IF(G604="",0,G604)-IF(L604="",0,L604),2))</f>
        <v>0</v>
      </c>
      <c r="W604" s="20">
        <f>IF(C604="","",IFERROR(INDEX(Products!$AT$5:$AT$304,MATCH(C604,Products!$A$5:$A$304,0)),""))</f>
        <v>0</v>
      </c>
      <c r="X604" s="20">
        <f>IF(C604="","",IFERROR(INDEX(Products!$AG$5:$AG$304,MATCH(C604,Products!$A$5:$A$304,0)),""))</f>
        <v>0</v>
      </c>
      <c r="Y604" s="20">
        <f>IF(B604="","",ROUND(IF(D604="",0,D604)*MAX(0,IF(W604="",0,W604)-IF(X604="",0,X604)),2))</f>
        <v>0</v>
      </c>
      <c r="Z604" s="20">
        <f>IF(B604="","",ROUND(MAX(0,IF(J604="",0,J604)-IF(I604="",0,I604)),2))</f>
        <v>0</v>
      </c>
      <c r="AA604" s="33">
        <f>IF(B604="","",IFERROR(INDEX(Channels!$S$5:$S$18,MATCH(IF(E604="",DefaultChannel,E604),Channels!$A$5:$A$18,0)),0))</f>
        <v>0</v>
      </c>
      <c r="AB604" s="20">
        <f>IF(B604="","",IFERROR(INDEX(Channels!$T$5:$T$18,MATCH(IF(E604="",DefaultChannel,E604),Channels!$A$5:$A$18,0)),0))</f>
        <v>0</v>
      </c>
      <c r="AC604" s="42">
        <f>IF(B604="","",IFERROR(INDEX(Channels!$O$5:$O$18,MATCH(IF(E604="",DefaultChannel,E604),Channels!$A$5:$A$18,0)),"No"))</f>
        <v>0</v>
      </c>
      <c r="AD604" s="20">
        <f>IF(B604="","",ROUND((V604+IF(AC604="Yes",IF(I604="",0,I604),0))*AA604+AB604,2))</f>
        <v>0</v>
      </c>
      <c r="AE604" s="20">
        <f>IF(B604="","",IF(K604&lt;&gt;"",K604,AD604))</f>
        <v>0</v>
      </c>
      <c r="AF604" s="20">
        <f>IF(B604="","",IF(K604="","",ROUND(K604-AD604,2)))</f>
        <v>0</v>
      </c>
      <c r="AG604" s="20">
        <f>IF(B604="","",ROUND(V604-Y604-AE604-Z604,2))</f>
        <v>0</v>
      </c>
      <c r="AH604" s="33">
        <f>IF(B604="","",IF(OR(V604="",V604=0),"",AG604/V604))</f>
        <v>0</v>
      </c>
      <c r="AI604" s="33">
        <f>IF(C604="","",IFERROR(INDEX(Products!$AW$5:$AW$304,MATCH(C604,Products!$A$5:$A$304,0)),""))</f>
        <v>0</v>
      </c>
      <c r="AJ604" s="33">
        <f>IF(B604="","",IF(OR(AH604="",AI604=""),"",AH604-AI604))</f>
        <v>0</v>
      </c>
      <c r="AK604" s="41">
        <f>IF(B604="","",IFERROR(ROUND(IF(D604="",0,D604)*INDEX(Products!$X$5:$X$304,MATCH(C604,Products!$A$5:$A$304,0))/60,2),""))</f>
        <v>0</v>
      </c>
      <c r="AL604" s="20">
        <f>IF(B604="","",IF(OR(AK604="",AK604=0),"",ROUND(AG604/AK604,2)))</f>
        <v>0</v>
      </c>
      <c r="AM604" s="43">
        <f>IF(B604="","",IF(C604="","Add - which product?",IF(AG604&lt;0,"Loss - this order cost you money",IF(M604="Refunded","Refunded - check why",IF(AND(AF604&lt;&gt;"",AF604&gt;0.25),"Check - fees higher than your settings",IF(Z604&gt;1,"Check - postage is eating the margin",IF(AND(AH604&lt;&gt;"",AH604&lt;MarginWarning),"Low margin on this order","OK")))))) )</f>
        <v>0</v>
      </c>
    </row>
    <row r="605" spans="1:39">
      <c r="A605" s="38">
        <f>IF(B605="","",SalePrefix&amp;TEXT(ROW()-4,"0000"))</f>
        <v>0</v>
      </c>
      <c r="Q605" s="13">
        <f>IF(C605="","",IFERROR(INDEX(Products!$B$5:$B$304,MATCH(C605,Products!$A$5:$A$304,0)),"Bundle or deleted"))</f>
        <v>0</v>
      </c>
      <c r="R605" s="13">
        <f>IF(B605="","",TEXT(B605,"yyyy-mm"))</f>
        <v>0</v>
      </c>
      <c r="S605" s="20">
        <f>IF(C605="","",IFERROR(INDEX(Products!$AR$5:$AR$304,MATCH(C605,Products!$A$5:$A$304,0)),""))</f>
        <v>0</v>
      </c>
      <c r="T605" s="20">
        <f>IF(B605="","",IF(F605&lt;&gt;"",F605,IF(S605="",0,S605)))</f>
        <v>0</v>
      </c>
      <c r="U605" s="20">
        <f>IF(B605="","",ROUND(IF(D605="",0,D605)*T605,2))</f>
        <v>0</v>
      </c>
      <c r="V605" s="20">
        <f>IF(B605="","",ROUND(U605-IF(G605="",0,G605)-IF(L605="",0,L605),2))</f>
        <v>0</v>
      </c>
      <c r="W605" s="20">
        <f>IF(C605="","",IFERROR(INDEX(Products!$AT$5:$AT$304,MATCH(C605,Products!$A$5:$A$304,0)),""))</f>
        <v>0</v>
      </c>
      <c r="X605" s="20">
        <f>IF(C605="","",IFERROR(INDEX(Products!$AG$5:$AG$304,MATCH(C605,Products!$A$5:$A$304,0)),""))</f>
        <v>0</v>
      </c>
      <c r="Y605" s="20">
        <f>IF(B605="","",ROUND(IF(D605="",0,D605)*MAX(0,IF(W605="",0,W605)-IF(X605="",0,X605)),2))</f>
        <v>0</v>
      </c>
      <c r="Z605" s="20">
        <f>IF(B605="","",ROUND(MAX(0,IF(J605="",0,J605)-IF(I605="",0,I605)),2))</f>
        <v>0</v>
      </c>
      <c r="AA605" s="33">
        <f>IF(B605="","",IFERROR(INDEX(Channels!$S$5:$S$18,MATCH(IF(E605="",DefaultChannel,E605),Channels!$A$5:$A$18,0)),0))</f>
        <v>0</v>
      </c>
      <c r="AB605" s="20">
        <f>IF(B605="","",IFERROR(INDEX(Channels!$T$5:$T$18,MATCH(IF(E605="",DefaultChannel,E605),Channels!$A$5:$A$18,0)),0))</f>
        <v>0</v>
      </c>
      <c r="AC605" s="42">
        <f>IF(B605="","",IFERROR(INDEX(Channels!$O$5:$O$18,MATCH(IF(E605="",DefaultChannel,E605),Channels!$A$5:$A$18,0)),"No"))</f>
        <v>0</v>
      </c>
      <c r="AD605" s="20">
        <f>IF(B605="","",ROUND((V605+IF(AC605="Yes",IF(I605="",0,I605),0))*AA605+AB605,2))</f>
        <v>0</v>
      </c>
      <c r="AE605" s="20">
        <f>IF(B605="","",IF(K605&lt;&gt;"",K605,AD605))</f>
        <v>0</v>
      </c>
      <c r="AF605" s="20">
        <f>IF(B605="","",IF(K605="","",ROUND(K605-AD605,2)))</f>
        <v>0</v>
      </c>
      <c r="AG605" s="20">
        <f>IF(B605="","",ROUND(V605-Y605-AE605-Z605,2))</f>
        <v>0</v>
      </c>
      <c r="AH605" s="33">
        <f>IF(B605="","",IF(OR(V605="",V605=0),"",AG605/V605))</f>
        <v>0</v>
      </c>
      <c r="AI605" s="33">
        <f>IF(C605="","",IFERROR(INDEX(Products!$AW$5:$AW$304,MATCH(C605,Products!$A$5:$A$304,0)),""))</f>
        <v>0</v>
      </c>
      <c r="AJ605" s="33">
        <f>IF(B605="","",IF(OR(AH605="",AI605=""),"",AH605-AI605))</f>
        <v>0</v>
      </c>
      <c r="AK605" s="41">
        <f>IF(B605="","",IFERROR(ROUND(IF(D605="",0,D605)*INDEX(Products!$X$5:$X$304,MATCH(C605,Products!$A$5:$A$304,0))/60,2),""))</f>
        <v>0</v>
      </c>
      <c r="AL605" s="20">
        <f>IF(B605="","",IF(OR(AK605="",AK605=0),"",ROUND(AG605/AK605,2)))</f>
        <v>0</v>
      </c>
      <c r="AM605" s="43">
        <f>IF(B605="","",IF(C605="","Add - which product?",IF(AG605&lt;0,"Loss - this order cost you money",IF(M605="Refunded","Refunded - check why",IF(AND(AF605&lt;&gt;"",AF605&gt;0.25),"Check - fees higher than your settings",IF(Z605&gt;1,"Check - postage is eating the margin",IF(AND(AH605&lt;&gt;"",AH605&lt;MarginWarning),"Low margin on this order","OK")))))) )</f>
        <v>0</v>
      </c>
    </row>
    <row r="606" spans="1:39">
      <c r="A606" s="38">
        <f>IF(B606="","",SalePrefix&amp;TEXT(ROW()-4,"0000"))</f>
        <v>0</v>
      </c>
      <c r="Q606" s="13">
        <f>IF(C606="","",IFERROR(INDEX(Products!$B$5:$B$304,MATCH(C606,Products!$A$5:$A$304,0)),"Bundle or deleted"))</f>
        <v>0</v>
      </c>
      <c r="R606" s="13">
        <f>IF(B606="","",TEXT(B606,"yyyy-mm"))</f>
        <v>0</v>
      </c>
      <c r="S606" s="20">
        <f>IF(C606="","",IFERROR(INDEX(Products!$AR$5:$AR$304,MATCH(C606,Products!$A$5:$A$304,0)),""))</f>
        <v>0</v>
      </c>
      <c r="T606" s="20">
        <f>IF(B606="","",IF(F606&lt;&gt;"",F606,IF(S606="",0,S606)))</f>
        <v>0</v>
      </c>
      <c r="U606" s="20">
        <f>IF(B606="","",ROUND(IF(D606="",0,D606)*T606,2))</f>
        <v>0</v>
      </c>
      <c r="V606" s="20">
        <f>IF(B606="","",ROUND(U606-IF(G606="",0,G606)-IF(L606="",0,L606),2))</f>
        <v>0</v>
      </c>
      <c r="W606" s="20">
        <f>IF(C606="","",IFERROR(INDEX(Products!$AT$5:$AT$304,MATCH(C606,Products!$A$5:$A$304,0)),""))</f>
        <v>0</v>
      </c>
      <c r="X606" s="20">
        <f>IF(C606="","",IFERROR(INDEX(Products!$AG$5:$AG$304,MATCH(C606,Products!$A$5:$A$304,0)),""))</f>
        <v>0</v>
      </c>
      <c r="Y606" s="20">
        <f>IF(B606="","",ROUND(IF(D606="",0,D606)*MAX(0,IF(W606="",0,W606)-IF(X606="",0,X606)),2))</f>
        <v>0</v>
      </c>
      <c r="Z606" s="20">
        <f>IF(B606="","",ROUND(MAX(0,IF(J606="",0,J606)-IF(I606="",0,I606)),2))</f>
        <v>0</v>
      </c>
      <c r="AA606" s="33">
        <f>IF(B606="","",IFERROR(INDEX(Channels!$S$5:$S$18,MATCH(IF(E606="",DefaultChannel,E606),Channels!$A$5:$A$18,0)),0))</f>
        <v>0</v>
      </c>
      <c r="AB606" s="20">
        <f>IF(B606="","",IFERROR(INDEX(Channels!$T$5:$T$18,MATCH(IF(E606="",DefaultChannel,E606),Channels!$A$5:$A$18,0)),0))</f>
        <v>0</v>
      </c>
      <c r="AC606" s="42">
        <f>IF(B606="","",IFERROR(INDEX(Channels!$O$5:$O$18,MATCH(IF(E606="",DefaultChannel,E606),Channels!$A$5:$A$18,0)),"No"))</f>
        <v>0</v>
      </c>
      <c r="AD606" s="20">
        <f>IF(B606="","",ROUND((V606+IF(AC606="Yes",IF(I606="",0,I606),0))*AA606+AB606,2))</f>
        <v>0</v>
      </c>
      <c r="AE606" s="20">
        <f>IF(B606="","",IF(K606&lt;&gt;"",K606,AD606))</f>
        <v>0</v>
      </c>
      <c r="AF606" s="20">
        <f>IF(B606="","",IF(K606="","",ROUND(K606-AD606,2)))</f>
        <v>0</v>
      </c>
      <c r="AG606" s="20">
        <f>IF(B606="","",ROUND(V606-Y606-AE606-Z606,2))</f>
        <v>0</v>
      </c>
      <c r="AH606" s="33">
        <f>IF(B606="","",IF(OR(V606="",V606=0),"",AG606/V606))</f>
        <v>0</v>
      </c>
      <c r="AI606" s="33">
        <f>IF(C606="","",IFERROR(INDEX(Products!$AW$5:$AW$304,MATCH(C606,Products!$A$5:$A$304,0)),""))</f>
        <v>0</v>
      </c>
      <c r="AJ606" s="33">
        <f>IF(B606="","",IF(OR(AH606="",AI606=""),"",AH606-AI606))</f>
        <v>0</v>
      </c>
      <c r="AK606" s="41">
        <f>IF(B606="","",IFERROR(ROUND(IF(D606="",0,D606)*INDEX(Products!$X$5:$X$304,MATCH(C606,Products!$A$5:$A$304,0))/60,2),""))</f>
        <v>0</v>
      </c>
      <c r="AL606" s="20">
        <f>IF(B606="","",IF(OR(AK606="",AK606=0),"",ROUND(AG606/AK606,2)))</f>
        <v>0</v>
      </c>
      <c r="AM606" s="43">
        <f>IF(B606="","",IF(C606="","Add - which product?",IF(AG606&lt;0,"Loss - this order cost you money",IF(M606="Refunded","Refunded - check why",IF(AND(AF606&lt;&gt;"",AF606&gt;0.25),"Check - fees higher than your settings",IF(Z606&gt;1,"Check - postage is eating the margin",IF(AND(AH606&lt;&gt;"",AH606&lt;MarginWarning),"Low margin on this order","OK")))))) )</f>
        <v>0</v>
      </c>
    </row>
    <row r="607" spans="1:39">
      <c r="A607" s="38">
        <f>IF(B607="","",SalePrefix&amp;TEXT(ROW()-4,"0000"))</f>
        <v>0</v>
      </c>
      <c r="Q607" s="13">
        <f>IF(C607="","",IFERROR(INDEX(Products!$B$5:$B$304,MATCH(C607,Products!$A$5:$A$304,0)),"Bundle or deleted"))</f>
        <v>0</v>
      </c>
      <c r="R607" s="13">
        <f>IF(B607="","",TEXT(B607,"yyyy-mm"))</f>
        <v>0</v>
      </c>
      <c r="S607" s="20">
        <f>IF(C607="","",IFERROR(INDEX(Products!$AR$5:$AR$304,MATCH(C607,Products!$A$5:$A$304,0)),""))</f>
        <v>0</v>
      </c>
      <c r="T607" s="20">
        <f>IF(B607="","",IF(F607&lt;&gt;"",F607,IF(S607="",0,S607)))</f>
        <v>0</v>
      </c>
      <c r="U607" s="20">
        <f>IF(B607="","",ROUND(IF(D607="",0,D607)*T607,2))</f>
        <v>0</v>
      </c>
      <c r="V607" s="20">
        <f>IF(B607="","",ROUND(U607-IF(G607="",0,G607)-IF(L607="",0,L607),2))</f>
        <v>0</v>
      </c>
      <c r="W607" s="20">
        <f>IF(C607="","",IFERROR(INDEX(Products!$AT$5:$AT$304,MATCH(C607,Products!$A$5:$A$304,0)),""))</f>
        <v>0</v>
      </c>
      <c r="X607" s="20">
        <f>IF(C607="","",IFERROR(INDEX(Products!$AG$5:$AG$304,MATCH(C607,Products!$A$5:$A$304,0)),""))</f>
        <v>0</v>
      </c>
      <c r="Y607" s="20">
        <f>IF(B607="","",ROUND(IF(D607="",0,D607)*MAX(0,IF(W607="",0,W607)-IF(X607="",0,X607)),2))</f>
        <v>0</v>
      </c>
      <c r="Z607" s="20">
        <f>IF(B607="","",ROUND(MAX(0,IF(J607="",0,J607)-IF(I607="",0,I607)),2))</f>
        <v>0</v>
      </c>
      <c r="AA607" s="33">
        <f>IF(B607="","",IFERROR(INDEX(Channels!$S$5:$S$18,MATCH(IF(E607="",DefaultChannel,E607),Channels!$A$5:$A$18,0)),0))</f>
        <v>0</v>
      </c>
      <c r="AB607" s="20">
        <f>IF(B607="","",IFERROR(INDEX(Channels!$T$5:$T$18,MATCH(IF(E607="",DefaultChannel,E607),Channels!$A$5:$A$18,0)),0))</f>
        <v>0</v>
      </c>
      <c r="AC607" s="42">
        <f>IF(B607="","",IFERROR(INDEX(Channels!$O$5:$O$18,MATCH(IF(E607="",DefaultChannel,E607),Channels!$A$5:$A$18,0)),"No"))</f>
        <v>0</v>
      </c>
      <c r="AD607" s="20">
        <f>IF(B607="","",ROUND((V607+IF(AC607="Yes",IF(I607="",0,I607),0))*AA607+AB607,2))</f>
        <v>0</v>
      </c>
      <c r="AE607" s="20">
        <f>IF(B607="","",IF(K607&lt;&gt;"",K607,AD607))</f>
        <v>0</v>
      </c>
      <c r="AF607" s="20">
        <f>IF(B607="","",IF(K607="","",ROUND(K607-AD607,2)))</f>
        <v>0</v>
      </c>
      <c r="AG607" s="20">
        <f>IF(B607="","",ROUND(V607-Y607-AE607-Z607,2))</f>
        <v>0</v>
      </c>
      <c r="AH607" s="33">
        <f>IF(B607="","",IF(OR(V607="",V607=0),"",AG607/V607))</f>
        <v>0</v>
      </c>
      <c r="AI607" s="33">
        <f>IF(C607="","",IFERROR(INDEX(Products!$AW$5:$AW$304,MATCH(C607,Products!$A$5:$A$304,0)),""))</f>
        <v>0</v>
      </c>
      <c r="AJ607" s="33">
        <f>IF(B607="","",IF(OR(AH607="",AI607=""),"",AH607-AI607))</f>
        <v>0</v>
      </c>
      <c r="AK607" s="41">
        <f>IF(B607="","",IFERROR(ROUND(IF(D607="",0,D607)*INDEX(Products!$X$5:$X$304,MATCH(C607,Products!$A$5:$A$304,0))/60,2),""))</f>
        <v>0</v>
      </c>
      <c r="AL607" s="20">
        <f>IF(B607="","",IF(OR(AK607="",AK607=0),"",ROUND(AG607/AK607,2)))</f>
        <v>0</v>
      </c>
      <c r="AM607" s="43">
        <f>IF(B607="","",IF(C607="","Add - which product?",IF(AG607&lt;0,"Loss - this order cost you money",IF(M607="Refunded","Refunded - check why",IF(AND(AF607&lt;&gt;"",AF607&gt;0.25),"Check - fees higher than your settings",IF(Z607&gt;1,"Check - postage is eating the margin",IF(AND(AH607&lt;&gt;"",AH607&lt;MarginWarning),"Low margin on this order","OK")))))) )</f>
        <v>0</v>
      </c>
    </row>
    <row r="608" spans="1:39">
      <c r="A608" s="38">
        <f>IF(B608="","",SalePrefix&amp;TEXT(ROW()-4,"0000"))</f>
        <v>0</v>
      </c>
      <c r="Q608" s="13">
        <f>IF(C608="","",IFERROR(INDEX(Products!$B$5:$B$304,MATCH(C608,Products!$A$5:$A$304,0)),"Bundle or deleted"))</f>
        <v>0</v>
      </c>
      <c r="R608" s="13">
        <f>IF(B608="","",TEXT(B608,"yyyy-mm"))</f>
        <v>0</v>
      </c>
      <c r="S608" s="20">
        <f>IF(C608="","",IFERROR(INDEX(Products!$AR$5:$AR$304,MATCH(C608,Products!$A$5:$A$304,0)),""))</f>
        <v>0</v>
      </c>
      <c r="T608" s="20">
        <f>IF(B608="","",IF(F608&lt;&gt;"",F608,IF(S608="",0,S608)))</f>
        <v>0</v>
      </c>
      <c r="U608" s="20">
        <f>IF(B608="","",ROUND(IF(D608="",0,D608)*T608,2))</f>
        <v>0</v>
      </c>
      <c r="V608" s="20">
        <f>IF(B608="","",ROUND(U608-IF(G608="",0,G608)-IF(L608="",0,L608),2))</f>
        <v>0</v>
      </c>
      <c r="W608" s="20">
        <f>IF(C608="","",IFERROR(INDEX(Products!$AT$5:$AT$304,MATCH(C608,Products!$A$5:$A$304,0)),""))</f>
        <v>0</v>
      </c>
      <c r="X608" s="20">
        <f>IF(C608="","",IFERROR(INDEX(Products!$AG$5:$AG$304,MATCH(C608,Products!$A$5:$A$304,0)),""))</f>
        <v>0</v>
      </c>
      <c r="Y608" s="20">
        <f>IF(B608="","",ROUND(IF(D608="",0,D608)*MAX(0,IF(W608="",0,W608)-IF(X608="",0,X608)),2))</f>
        <v>0</v>
      </c>
      <c r="Z608" s="20">
        <f>IF(B608="","",ROUND(MAX(0,IF(J608="",0,J608)-IF(I608="",0,I608)),2))</f>
        <v>0</v>
      </c>
      <c r="AA608" s="33">
        <f>IF(B608="","",IFERROR(INDEX(Channels!$S$5:$S$18,MATCH(IF(E608="",DefaultChannel,E608),Channels!$A$5:$A$18,0)),0))</f>
        <v>0</v>
      </c>
      <c r="AB608" s="20">
        <f>IF(B608="","",IFERROR(INDEX(Channels!$T$5:$T$18,MATCH(IF(E608="",DefaultChannel,E608),Channels!$A$5:$A$18,0)),0))</f>
        <v>0</v>
      </c>
      <c r="AC608" s="42">
        <f>IF(B608="","",IFERROR(INDEX(Channels!$O$5:$O$18,MATCH(IF(E608="",DefaultChannel,E608),Channels!$A$5:$A$18,0)),"No"))</f>
        <v>0</v>
      </c>
      <c r="AD608" s="20">
        <f>IF(B608="","",ROUND((V608+IF(AC608="Yes",IF(I608="",0,I608),0))*AA608+AB608,2))</f>
        <v>0</v>
      </c>
      <c r="AE608" s="20">
        <f>IF(B608="","",IF(K608&lt;&gt;"",K608,AD608))</f>
        <v>0</v>
      </c>
      <c r="AF608" s="20">
        <f>IF(B608="","",IF(K608="","",ROUND(K608-AD608,2)))</f>
        <v>0</v>
      </c>
      <c r="AG608" s="20">
        <f>IF(B608="","",ROUND(V608-Y608-AE608-Z608,2))</f>
        <v>0</v>
      </c>
      <c r="AH608" s="33">
        <f>IF(B608="","",IF(OR(V608="",V608=0),"",AG608/V608))</f>
        <v>0</v>
      </c>
      <c r="AI608" s="33">
        <f>IF(C608="","",IFERROR(INDEX(Products!$AW$5:$AW$304,MATCH(C608,Products!$A$5:$A$304,0)),""))</f>
        <v>0</v>
      </c>
      <c r="AJ608" s="33">
        <f>IF(B608="","",IF(OR(AH608="",AI608=""),"",AH608-AI608))</f>
        <v>0</v>
      </c>
      <c r="AK608" s="41">
        <f>IF(B608="","",IFERROR(ROUND(IF(D608="",0,D608)*INDEX(Products!$X$5:$X$304,MATCH(C608,Products!$A$5:$A$304,0))/60,2),""))</f>
        <v>0</v>
      </c>
      <c r="AL608" s="20">
        <f>IF(B608="","",IF(OR(AK608="",AK608=0),"",ROUND(AG608/AK608,2)))</f>
        <v>0</v>
      </c>
      <c r="AM608" s="43">
        <f>IF(B608="","",IF(C608="","Add - which product?",IF(AG608&lt;0,"Loss - this order cost you money",IF(M608="Refunded","Refunded - check why",IF(AND(AF608&lt;&gt;"",AF608&gt;0.25),"Check - fees higher than your settings",IF(Z608&gt;1,"Check - postage is eating the margin",IF(AND(AH608&lt;&gt;"",AH608&lt;MarginWarning),"Low margin on this order","OK")))))) )</f>
        <v>0</v>
      </c>
    </row>
    <row r="609" spans="1:39">
      <c r="A609" s="38">
        <f>IF(B609="","",SalePrefix&amp;TEXT(ROW()-4,"0000"))</f>
        <v>0</v>
      </c>
      <c r="Q609" s="13">
        <f>IF(C609="","",IFERROR(INDEX(Products!$B$5:$B$304,MATCH(C609,Products!$A$5:$A$304,0)),"Bundle or deleted"))</f>
        <v>0</v>
      </c>
      <c r="R609" s="13">
        <f>IF(B609="","",TEXT(B609,"yyyy-mm"))</f>
        <v>0</v>
      </c>
      <c r="S609" s="20">
        <f>IF(C609="","",IFERROR(INDEX(Products!$AR$5:$AR$304,MATCH(C609,Products!$A$5:$A$304,0)),""))</f>
        <v>0</v>
      </c>
      <c r="T609" s="20">
        <f>IF(B609="","",IF(F609&lt;&gt;"",F609,IF(S609="",0,S609)))</f>
        <v>0</v>
      </c>
      <c r="U609" s="20">
        <f>IF(B609="","",ROUND(IF(D609="",0,D609)*T609,2))</f>
        <v>0</v>
      </c>
      <c r="V609" s="20">
        <f>IF(B609="","",ROUND(U609-IF(G609="",0,G609)-IF(L609="",0,L609),2))</f>
        <v>0</v>
      </c>
      <c r="W609" s="20">
        <f>IF(C609="","",IFERROR(INDEX(Products!$AT$5:$AT$304,MATCH(C609,Products!$A$5:$A$304,0)),""))</f>
        <v>0</v>
      </c>
      <c r="X609" s="20">
        <f>IF(C609="","",IFERROR(INDEX(Products!$AG$5:$AG$304,MATCH(C609,Products!$A$5:$A$304,0)),""))</f>
        <v>0</v>
      </c>
      <c r="Y609" s="20">
        <f>IF(B609="","",ROUND(IF(D609="",0,D609)*MAX(0,IF(W609="",0,W609)-IF(X609="",0,X609)),2))</f>
        <v>0</v>
      </c>
      <c r="Z609" s="20">
        <f>IF(B609="","",ROUND(MAX(0,IF(J609="",0,J609)-IF(I609="",0,I609)),2))</f>
        <v>0</v>
      </c>
      <c r="AA609" s="33">
        <f>IF(B609="","",IFERROR(INDEX(Channels!$S$5:$S$18,MATCH(IF(E609="",DefaultChannel,E609),Channels!$A$5:$A$18,0)),0))</f>
        <v>0</v>
      </c>
      <c r="AB609" s="20">
        <f>IF(B609="","",IFERROR(INDEX(Channels!$T$5:$T$18,MATCH(IF(E609="",DefaultChannel,E609),Channels!$A$5:$A$18,0)),0))</f>
        <v>0</v>
      </c>
      <c r="AC609" s="42">
        <f>IF(B609="","",IFERROR(INDEX(Channels!$O$5:$O$18,MATCH(IF(E609="",DefaultChannel,E609),Channels!$A$5:$A$18,0)),"No"))</f>
        <v>0</v>
      </c>
      <c r="AD609" s="20">
        <f>IF(B609="","",ROUND((V609+IF(AC609="Yes",IF(I609="",0,I609),0))*AA609+AB609,2))</f>
        <v>0</v>
      </c>
      <c r="AE609" s="20">
        <f>IF(B609="","",IF(K609&lt;&gt;"",K609,AD609))</f>
        <v>0</v>
      </c>
      <c r="AF609" s="20">
        <f>IF(B609="","",IF(K609="","",ROUND(K609-AD609,2)))</f>
        <v>0</v>
      </c>
      <c r="AG609" s="20">
        <f>IF(B609="","",ROUND(V609-Y609-AE609-Z609,2))</f>
        <v>0</v>
      </c>
      <c r="AH609" s="33">
        <f>IF(B609="","",IF(OR(V609="",V609=0),"",AG609/V609))</f>
        <v>0</v>
      </c>
      <c r="AI609" s="33">
        <f>IF(C609="","",IFERROR(INDEX(Products!$AW$5:$AW$304,MATCH(C609,Products!$A$5:$A$304,0)),""))</f>
        <v>0</v>
      </c>
      <c r="AJ609" s="33">
        <f>IF(B609="","",IF(OR(AH609="",AI609=""),"",AH609-AI609))</f>
        <v>0</v>
      </c>
      <c r="AK609" s="41">
        <f>IF(B609="","",IFERROR(ROUND(IF(D609="",0,D609)*INDEX(Products!$X$5:$X$304,MATCH(C609,Products!$A$5:$A$304,0))/60,2),""))</f>
        <v>0</v>
      </c>
      <c r="AL609" s="20">
        <f>IF(B609="","",IF(OR(AK609="",AK609=0),"",ROUND(AG609/AK609,2)))</f>
        <v>0</v>
      </c>
      <c r="AM609" s="43">
        <f>IF(B609="","",IF(C609="","Add - which product?",IF(AG609&lt;0,"Loss - this order cost you money",IF(M609="Refunded","Refunded - check why",IF(AND(AF609&lt;&gt;"",AF609&gt;0.25),"Check - fees higher than your settings",IF(Z609&gt;1,"Check - postage is eating the margin",IF(AND(AH609&lt;&gt;"",AH609&lt;MarginWarning),"Low margin on this order","OK")))))) )</f>
        <v>0</v>
      </c>
    </row>
    <row r="610" spans="1:39">
      <c r="A610" s="38">
        <f>IF(B610="","",SalePrefix&amp;TEXT(ROW()-4,"0000"))</f>
        <v>0</v>
      </c>
      <c r="Q610" s="13">
        <f>IF(C610="","",IFERROR(INDEX(Products!$B$5:$B$304,MATCH(C610,Products!$A$5:$A$304,0)),"Bundle or deleted"))</f>
        <v>0</v>
      </c>
      <c r="R610" s="13">
        <f>IF(B610="","",TEXT(B610,"yyyy-mm"))</f>
        <v>0</v>
      </c>
      <c r="S610" s="20">
        <f>IF(C610="","",IFERROR(INDEX(Products!$AR$5:$AR$304,MATCH(C610,Products!$A$5:$A$304,0)),""))</f>
        <v>0</v>
      </c>
      <c r="T610" s="20">
        <f>IF(B610="","",IF(F610&lt;&gt;"",F610,IF(S610="",0,S610)))</f>
        <v>0</v>
      </c>
      <c r="U610" s="20">
        <f>IF(B610="","",ROUND(IF(D610="",0,D610)*T610,2))</f>
        <v>0</v>
      </c>
      <c r="V610" s="20">
        <f>IF(B610="","",ROUND(U610-IF(G610="",0,G610)-IF(L610="",0,L610),2))</f>
        <v>0</v>
      </c>
      <c r="W610" s="20">
        <f>IF(C610="","",IFERROR(INDEX(Products!$AT$5:$AT$304,MATCH(C610,Products!$A$5:$A$304,0)),""))</f>
        <v>0</v>
      </c>
      <c r="X610" s="20">
        <f>IF(C610="","",IFERROR(INDEX(Products!$AG$5:$AG$304,MATCH(C610,Products!$A$5:$A$304,0)),""))</f>
        <v>0</v>
      </c>
      <c r="Y610" s="20">
        <f>IF(B610="","",ROUND(IF(D610="",0,D610)*MAX(0,IF(W610="",0,W610)-IF(X610="",0,X610)),2))</f>
        <v>0</v>
      </c>
      <c r="Z610" s="20">
        <f>IF(B610="","",ROUND(MAX(0,IF(J610="",0,J610)-IF(I610="",0,I610)),2))</f>
        <v>0</v>
      </c>
      <c r="AA610" s="33">
        <f>IF(B610="","",IFERROR(INDEX(Channels!$S$5:$S$18,MATCH(IF(E610="",DefaultChannel,E610),Channels!$A$5:$A$18,0)),0))</f>
        <v>0</v>
      </c>
      <c r="AB610" s="20">
        <f>IF(B610="","",IFERROR(INDEX(Channels!$T$5:$T$18,MATCH(IF(E610="",DefaultChannel,E610),Channels!$A$5:$A$18,0)),0))</f>
        <v>0</v>
      </c>
      <c r="AC610" s="42">
        <f>IF(B610="","",IFERROR(INDEX(Channels!$O$5:$O$18,MATCH(IF(E610="",DefaultChannel,E610),Channels!$A$5:$A$18,0)),"No"))</f>
        <v>0</v>
      </c>
      <c r="AD610" s="20">
        <f>IF(B610="","",ROUND((V610+IF(AC610="Yes",IF(I610="",0,I610),0))*AA610+AB610,2))</f>
        <v>0</v>
      </c>
      <c r="AE610" s="20">
        <f>IF(B610="","",IF(K610&lt;&gt;"",K610,AD610))</f>
        <v>0</v>
      </c>
      <c r="AF610" s="20">
        <f>IF(B610="","",IF(K610="","",ROUND(K610-AD610,2)))</f>
        <v>0</v>
      </c>
      <c r="AG610" s="20">
        <f>IF(B610="","",ROUND(V610-Y610-AE610-Z610,2))</f>
        <v>0</v>
      </c>
      <c r="AH610" s="33">
        <f>IF(B610="","",IF(OR(V610="",V610=0),"",AG610/V610))</f>
        <v>0</v>
      </c>
      <c r="AI610" s="33">
        <f>IF(C610="","",IFERROR(INDEX(Products!$AW$5:$AW$304,MATCH(C610,Products!$A$5:$A$304,0)),""))</f>
        <v>0</v>
      </c>
      <c r="AJ610" s="33">
        <f>IF(B610="","",IF(OR(AH610="",AI610=""),"",AH610-AI610))</f>
        <v>0</v>
      </c>
      <c r="AK610" s="41">
        <f>IF(B610="","",IFERROR(ROUND(IF(D610="",0,D610)*INDEX(Products!$X$5:$X$304,MATCH(C610,Products!$A$5:$A$304,0))/60,2),""))</f>
        <v>0</v>
      </c>
      <c r="AL610" s="20">
        <f>IF(B610="","",IF(OR(AK610="",AK610=0),"",ROUND(AG610/AK610,2)))</f>
        <v>0</v>
      </c>
      <c r="AM610" s="43">
        <f>IF(B610="","",IF(C610="","Add - which product?",IF(AG610&lt;0,"Loss - this order cost you money",IF(M610="Refunded","Refunded - check why",IF(AND(AF610&lt;&gt;"",AF610&gt;0.25),"Check - fees higher than your settings",IF(Z610&gt;1,"Check - postage is eating the margin",IF(AND(AH610&lt;&gt;"",AH610&lt;MarginWarning),"Low margin on this order","OK")))))) )</f>
        <v>0</v>
      </c>
    </row>
    <row r="611" spans="1:39">
      <c r="A611" s="38">
        <f>IF(B611="","",SalePrefix&amp;TEXT(ROW()-4,"0000"))</f>
        <v>0</v>
      </c>
      <c r="Q611" s="13">
        <f>IF(C611="","",IFERROR(INDEX(Products!$B$5:$B$304,MATCH(C611,Products!$A$5:$A$304,0)),"Bundle or deleted"))</f>
        <v>0</v>
      </c>
      <c r="R611" s="13">
        <f>IF(B611="","",TEXT(B611,"yyyy-mm"))</f>
        <v>0</v>
      </c>
      <c r="S611" s="20">
        <f>IF(C611="","",IFERROR(INDEX(Products!$AR$5:$AR$304,MATCH(C611,Products!$A$5:$A$304,0)),""))</f>
        <v>0</v>
      </c>
      <c r="T611" s="20">
        <f>IF(B611="","",IF(F611&lt;&gt;"",F611,IF(S611="",0,S611)))</f>
        <v>0</v>
      </c>
      <c r="U611" s="20">
        <f>IF(B611="","",ROUND(IF(D611="",0,D611)*T611,2))</f>
        <v>0</v>
      </c>
      <c r="V611" s="20">
        <f>IF(B611="","",ROUND(U611-IF(G611="",0,G611)-IF(L611="",0,L611),2))</f>
        <v>0</v>
      </c>
      <c r="W611" s="20">
        <f>IF(C611="","",IFERROR(INDEX(Products!$AT$5:$AT$304,MATCH(C611,Products!$A$5:$A$304,0)),""))</f>
        <v>0</v>
      </c>
      <c r="X611" s="20">
        <f>IF(C611="","",IFERROR(INDEX(Products!$AG$5:$AG$304,MATCH(C611,Products!$A$5:$A$304,0)),""))</f>
        <v>0</v>
      </c>
      <c r="Y611" s="20">
        <f>IF(B611="","",ROUND(IF(D611="",0,D611)*MAX(0,IF(W611="",0,W611)-IF(X611="",0,X611)),2))</f>
        <v>0</v>
      </c>
      <c r="Z611" s="20">
        <f>IF(B611="","",ROUND(MAX(0,IF(J611="",0,J611)-IF(I611="",0,I611)),2))</f>
        <v>0</v>
      </c>
      <c r="AA611" s="33">
        <f>IF(B611="","",IFERROR(INDEX(Channels!$S$5:$S$18,MATCH(IF(E611="",DefaultChannel,E611),Channels!$A$5:$A$18,0)),0))</f>
        <v>0</v>
      </c>
      <c r="AB611" s="20">
        <f>IF(B611="","",IFERROR(INDEX(Channels!$T$5:$T$18,MATCH(IF(E611="",DefaultChannel,E611),Channels!$A$5:$A$18,0)),0))</f>
        <v>0</v>
      </c>
      <c r="AC611" s="42">
        <f>IF(B611="","",IFERROR(INDEX(Channels!$O$5:$O$18,MATCH(IF(E611="",DefaultChannel,E611),Channels!$A$5:$A$18,0)),"No"))</f>
        <v>0</v>
      </c>
      <c r="AD611" s="20">
        <f>IF(B611="","",ROUND((V611+IF(AC611="Yes",IF(I611="",0,I611),0))*AA611+AB611,2))</f>
        <v>0</v>
      </c>
      <c r="AE611" s="20">
        <f>IF(B611="","",IF(K611&lt;&gt;"",K611,AD611))</f>
        <v>0</v>
      </c>
      <c r="AF611" s="20">
        <f>IF(B611="","",IF(K611="","",ROUND(K611-AD611,2)))</f>
        <v>0</v>
      </c>
      <c r="AG611" s="20">
        <f>IF(B611="","",ROUND(V611-Y611-AE611-Z611,2))</f>
        <v>0</v>
      </c>
      <c r="AH611" s="33">
        <f>IF(B611="","",IF(OR(V611="",V611=0),"",AG611/V611))</f>
        <v>0</v>
      </c>
      <c r="AI611" s="33">
        <f>IF(C611="","",IFERROR(INDEX(Products!$AW$5:$AW$304,MATCH(C611,Products!$A$5:$A$304,0)),""))</f>
        <v>0</v>
      </c>
      <c r="AJ611" s="33">
        <f>IF(B611="","",IF(OR(AH611="",AI611=""),"",AH611-AI611))</f>
        <v>0</v>
      </c>
      <c r="AK611" s="41">
        <f>IF(B611="","",IFERROR(ROUND(IF(D611="",0,D611)*INDEX(Products!$X$5:$X$304,MATCH(C611,Products!$A$5:$A$304,0))/60,2),""))</f>
        <v>0</v>
      </c>
      <c r="AL611" s="20">
        <f>IF(B611="","",IF(OR(AK611="",AK611=0),"",ROUND(AG611/AK611,2)))</f>
        <v>0</v>
      </c>
      <c r="AM611" s="43">
        <f>IF(B611="","",IF(C611="","Add - which product?",IF(AG611&lt;0,"Loss - this order cost you money",IF(M611="Refunded","Refunded - check why",IF(AND(AF611&lt;&gt;"",AF611&gt;0.25),"Check - fees higher than your settings",IF(Z611&gt;1,"Check - postage is eating the margin",IF(AND(AH611&lt;&gt;"",AH611&lt;MarginWarning),"Low margin on this order","OK")))))) )</f>
        <v>0</v>
      </c>
    </row>
    <row r="612" spans="1:39">
      <c r="A612" s="38">
        <f>IF(B612="","",SalePrefix&amp;TEXT(ROW()-4,"0000"))</f>
        <v>0</v>
      </c>
      <c r="Q612" s="13">
        <f>IF(C612="","",IFERROR(INDEX(Products!$B$5:$B$304,MATCH(C612,Products!$A$5:$A$304,0)),"Bundle or deleted"))</f>
        <v>0</v>
      </c>
      <c r="R612" s="13">
        <f>IF(B612="","",TEXT(B612,"yyyy-mm"))</f>
        <v>0</v>
      </c>
      <c r="S612" s="20">
        <f>IF(C612="","",IFERROR(INDEX(Products!$AR$5:$AR$304,MATCH(C612,Products!$A$5:$A$304,0)),""))</f>
        <v>0</v>
      </c>
      <c r="T612" s="20">
        <f>IF(B612="","",IF(F612&lt;&gt;"",F612,IF(S612="",0,S612)))</f>
        <v>0</v>
      </c>
      <c r="U612" s="20">
        <f>IF(B612="","",ROUND(IF(D612="",0,D612)*T612,2))</f>
        <v>0</v>
      </c>
      <c r="V612" s="20">
        <f>IF(B612="","",ROUND(U612-IF(G612="",0,G612)-IF(L612="",0,L612),2))</f>
        <v>0</v>
      </c>
      <c r="W612" s="20">
        <f>IF(C612="","",IFERROR(INDEX(Products!$AT$5:$AT$304,MATCH(C612,Products!$A$5:$A$304,0)),""))</f>
        <v>0</v>
      </c>
      <c r="X612" s="20">
        <f>IF(C612="","",IFERROR(INDEX(Products!$AG$5:$AG$304,MATCH(C612,Products!$A$5:$A$304,0)),""))</f>
        <v>0</v>
      </c>
      <c r="Y612" s="20">
        <f>IF(B612="","",ROUND(IF(D612="",0,D612)*MAX(0,IF(W612="",0,W612)-IF(X612="",0,X612)),2))</f>
        <v>0</v>
      </c>
      <c r="Z612" s="20">
        <f>IF(B612="","",ROUND(MAX(0,IF(J612="",0,J612)-IF(I612="",0,I612)),2))</f>
        <v>0</v>
      </c>
      <c r="AA612" s="33">
        <f>IF(B612="","",IFERROR(INDEX(Channels!$S$5:$S$18,MATCH(IF(E612="",DefaultChannel,E612),Channels!$A$5:$A$18,0)),0))</f>
        <v>0</v>
      </c>
      <c r="AB612" s="20">
        <f>IF(B612="","",IFERROR(INDEX(Channels!$T$5:$T$18,MATCH(IF(E612="",DefaultChannel,E612),Channels!$A$5:$A$18,0)),0))</f>
        <v>0</v>
      </c>
      <c r="AC612" s="42">
        <f>IF(B612="","",IFERROR(INDEX(Channels!$O$5:$O$18,MATCH(IF(E612="",DefaultChannel,E612),Channels!$A$5:$A$18,0)),"No"))</f>
        <v>0</v>
      </c>
      <c r="AD612" s="20">
        <f>IF(B612="","",ROUND((V612+IF(AC612="Yes",IF(I612="",0,I612),0))*AA612+AB612,2))</f>
        <v>0</v>
      </c>
      <c r="AE612" s="20">
        <f>IF(B612="","",IF(K612&lt;&gt;"",K612,AD612))</f>
        <v>0</v>
      </c>
      <c r="AF612" s="20">
        <f>IF(B612="","",IF(K612="","",ROUND(K612-AD612,2)))</f>
        <v>0</v>
      </c>
      <c r="AG612" s="20">
        <f>IF(B612="","",ROUND(V612-Y612-AE612-Z612,2))</f>
        <v>0</v>
      </c>
      <c r="AH612" s="33">
        <f>IF(B612="","",IF(OR(V612="",V612=0),"",AG612/V612))</f>
        <v>0</v>
      </c>
      <c r="AI612" s="33">
        <f>IF(C612="","",IFERROR(INDEX(Products!$AW$5:$AW$304,MATCH(C612,Products!$A$5:$A$304,0)),""))</f>
        <v>0</v>
      </c>
      <c r="AJ612" s="33">
        <f>IF(B612="","",IF(OR(AH612="",AI612=""),"",AH612-AI612))</f>
        <v>0</v>
      </c>
      <c r="AK612" s="41">
        <f>IF(B612="","",IFERROR(ROUND(IF(D612="",0,D612)*INDEX(Products!$X$5:$X$304,MATCH(C612,Products!$A$5:$A$304,0))/60,2),""))</f>
        <v>0</v>
      </c>
      <c r="AL612" s="20">
        <f>IF(B612="","",IF(OR(AK612="",AK612=0),"",ROUND(AG612/AK612,2)))</f>
        <v>0</v>
      </c>
      <c r="AM612" s="43">
        <f>IF(B612="","",IF(C612="","Add - which product?",IF(AG612&lt;0,"Loss - this order cost you money",IF(M612="Refunded","Refunded - check why",IF(AND(AF612&lt;&gt;"",AF612&gt;0.25),"Check - fees higher than your settings",IF(Z612&gt;1,"Check - postage is eating the margin",IF(AND(AH612&lt;&gt;"",AH612&lt;MarginWarning),"Low margin on this order","OK")))))) )</f>
        <v>0</v>
      </c>
    </row>
    <row r="613" spans="1:39">
      <c r="A613" s="38">
        <f>IF(B613="","",SalePrefix&amp;TEXT(ROW()-4,"0000"))</f>
        <v>0</v>
      </c>
      <c r="Q613" s="13">
        <f>IF(C613="","",IFERROR(INDEX(Products!$B$5:$B$304,MATCH(C613,Products!$A$5:$A$304,0)),"Bundle or deleted"))</f>
        <v>0</v>
      </c>
      <c r="R613" s="13">
        <f>IF(B613="","",TEXT(B613,"yyyy-mm"))</f>
        <v>0</v>
      </c>
      <c r="S613" s="20">
        <f>IF(C613="","",IFERROR(INDEX(Products!$AR$5:$AR$304,MATCH(C613,Products!$A$5:$A$304,0)),""))</f>
        <v>0</v>
      </c>
      <c r="T613" s="20">
        <f>IF(B613="","",IF(F613&lt;&gt;"",F613,IF(S613="",0,S613)))</f>
        <v>0</v>
      </c>
      <c r="U613" s="20">
        <f>IF(B613="","",ROUND(IF(D613="",0,D613)*T613,2))</f>
        <v>0</v>
      </c>
      <c r="V613" s="20">
        <f>IF(B613="","",ROUND(U613-IF(G613="",0,G613)-IF(L613="",0,L613),2))</f>
        <v>0</v>
      </c>
      <c r="W613" s="20">
        <f>IF(C613="","",IFERROR(INDEX(Products!$AT$5:$AT$304,MATCH(C613,Products!$A$5:$A$304,0)),""))</f>
        <v>0</v>
      </c>
      <c r="X613" s="20">
        <f>IF(C613="","",IFERROR(INDEX(Products!$AG$5:$AG$304,MATCH(C613,Products!$A$5:$A$304,0)),""))</f>
        <v>0</v>
      </c>
      <c r="Y613" s="20">
        <f>IF(B613="","",ROUND(IF(D613="",0,D613)*MAX(0,IF(W613="",0,W613)-IF(X613="",0,X613)),2))</f>
        <v>0</v>
      </c>
      <c r="Z613" s="20">
        <f>IF(B613="","",ROUND(MAX(0,IF(J613="",0,J613)-IF(I613="",0,I613)),2))</f>
        <v>0</v>
      </c>
      <c r="AA613" s="33">
        <f>IF(B613="","",IFERROR(INDEX(Channels!$S$5:$S$18,MATCH(IF(E613="",DefaultChannel,E613),Channels!$A$5:$A$18,0)),0))</f>
        <v>0</v>
      </c>
      <c r="AB613" s="20">
        <f>IF(B613="","",IFERROR(INDEX(Channels!$T$5:$T$18,MATCH(IF(E613="",DefaultChannel,E613),Channels!$A$5:$A$18,0)),0))</f>
        <v>0</v>
      </c>
      <c r="AC613" s="42">
        <f>IF(B613="","",IFERROR(INDEX(Channels!$O$5:$O$18,MATCH(IF(E613="",DefaultChannel,E613),Channels!$A$5:$A$18,0)),"No"))</f>
        <v>0</v>
      </c>
      <c r="AD613" s="20">
        <f>IF(B613="","",ROUND((V613+IF(AC613="Yes",IF(I613="",0,I613),0))*AA613+AB613,2))</f>
        <v>0</v>
      </c>
      <c r="AE613" s="20">
        <f>IF(B613="","",IF(K613&lt;&gt;"",K613,AD613))</f>
        <v>0</v>
      </c>
      <c r="AF613" s="20">
        <f>IF(B613="","",IF(K613="","",ROUND(K613-AD613,2)))</f>
        <v>0</v>
      </c>
      <c r="AG613" s="20">
        <f>IF(B613="","",ROUND(V613-Y613-AE613-Z613,2))</f>
        <v>0</v>
      </c>
      <c r="AH613" s="33">
        <f>IF(B613="","",IF(OR(V613="",V613=0),"",AG613/V613))</f>
        <v>0</v>
      </c>
      <c r="AI613" s="33">
        <f>IF(C613="","",IFERROR(INDEX(Products!$AW$5:$AW$304,MATCH(C613,Products!$A$5:$A$304,0)),""))</f>
        <v>0</v>
      </c>
      <c r="AJ613" s="33">
        <f>IF(B613="","",IF(OR(AH613="",AI613=""),"",AH613-AI613))</f>
        <v>0</v>
      </c>
      <c r="AK613" s="41">
        <f>IF(B613="","",IFERROR(ROUND(IF(D613="",0,D613)*INDEX(Products!$X$5:$X$304,MATCH(C613,Products!$A$5:$A$304,0))/60,2),""))</f>
        <v>0</v>
      </c>
      <c r="AL613" s="20">
        <f>IF(B613="","",IF(OR(AK613="",AK613=0),"",ROUND(AG613/AK613,2)))</f>
        <v>0</v>
      </c>
      <c r="AM613" s="43">
        <f>IF(B613="","",IF(C613="","Add - which product?",IF(AG613&lt;0,"Loss - this order cost you money",IF(M613="Refunded","Refunded - check why",IF(AND(AF613&lt;&gt;"",AF613&gt;0.25),"Check - fees higher than your settings",IF(Z613&gt;1,"Check - postage is eating the margin",IF(AND(AH613&lt;&gt;"",AH613&lt;MarginWarning),"Low margin on this order","OK")))))) )</f>
        <v>0</v>
      </c>
    </row>
    <row r="614" spans="1:39">
      <c r="A614" s="38">
        <f>IF(B614="","",SalePrefix&amp;TEXT(ROW()-4,"0000"))</f>
        <v>0</v>
      </c>
      <c r="Q614" s="13">
        <f>IF(C614="","",IFERROR(INDEX(Products!$B$5:$B$304,MATCH(C614,Products!$A$5:$A$304,0)),"Bundle or deleted"))</f>
        <v>0</v>
      </c>
      <c r="R614" s="13">
        <f>IF(B614="","",TEXT(B614,"yyyy-mm"))</f>
        <v>0</v>
      </c>
      <c r="S614" s="20">
        <f>IF(C614="","",IFERROR(INDEX(Products!$AR$5:$AR$304,MATCH(C614,Products!$A$5:$A$304,0)),""))</f>
        <v>0</v>
      </c>
      <c r="T614" s="20">
        <f>IF(B614="","",IF(F614&lt;&gt;"",F614,IF(S614="",0,S614)))</f>
        <v>0</v>
      </c>
      <c r="U614" s="20">
        <f>IF(B614="","",ROUND(IF(D614="",0,D614)*T614,2))</f>
        <v>0</v>
      </c>
      <c r="V614" s="20">
        <f>IF(B614="","",ROUND(U614-IF(G614="",0,G614)-IF(L614="",0,L614),2))</f>
        <v>0</v>
      </c>
      <c r="W614" s="20">
        <f>IF(C614="","",IFERROR(INDEX(Products!$AT$5:$AT$304,MATCH(C614,Products!$A$5:$A$304,0)),""))</f>
        <v>0</v>
      </c>
      <c r="X614" s="20">
        <f>IF(C614="","",IFERROR(INDEX(Products!$AG$5:$AG$304,MATCH(C614,Products!$A$5:$A$304,0)),""))</f>
        <v>0</v>
      </c>
      <c r="Y614" s="20">
        <f>IF(B614="","",ROUND(IF(D614="",0,D614)*MAX(0,IF(W614="",0,W614)-IF(X614="",0,X614)),2))</f>
        <v>0</v>
      </c>
      <c r="Z614" s="20">
        <f>IF(B614="","",ROUND(MAX(0,IF(J614="",0,J614)-IF(I614="",0,I614)),2))</f>
        <v>0</v>
      </c>
      <c r="AA614" s="33">
        <f>IF(B614="","",IFERROR(INDEX(Channels!$S$5:$S$18,MATCH(IF(E614="",DefaultChannel,E614),Channels!$A$5:$A$18,0)),0))</f>
        <v>0</v>
      </c>
      <c r="AB614" s="20">
        <f>IF(B614="","",IFERROR(INDEX(Channels!$T$5:$T$18,MATCH(IF(E614="",DefaultChannel,E614),Channels!$A$5:$A$18,0)),0))</f>
        <v>0</v>
      </c>
      <c r="AC614" s="42">
        <f>IF(B614="","",IFERROR(INDEX(Channels!$O$5:$O$18,MATCH(IF(E614="",DefaultChannel,E614),Channels!$A$5:$A$18,0)),"No"))</f>
        <v>0</v>
      </c>
      <c r="AD614" s="20">
        <f>IF(B614="","",ROUND((V614+IF(AC614="Yes",IF(I614="",0,I614),0))*AA614+AB614,2))</f>
        <v>0</v>
      </c>
      <c r="AE614" s="20">
        <f>IF(B614="","",IF(K614&lt;&gt;"",K614,AD614))</f>
        <v>0</v>
      </c>
      <c r="AF614" s="20">
        <f>IF(B614="","",IF(K614="","",ROUND(K614-AD614,2)))</f>
        <v>0</v>
      </c>
      <c r="AG614" s="20">
        <f>IF(B614="","",ROUND(V614-Y614-AE614-Z614,2))</f>
        <v>0</v>
      </c>
      <c r="AH614" s="33">
        <f>IF(B614="","",IF(OR(V614="",V614=0),"",AG614/V614))</f>
        <v>0</v>
      </c>
      <c r="AI614" s="33">
        <f>IF(C614="","",IFERROR(INDEX(Products!$AW$5:$AW$304,MATCH(C614,Products!$A$5:$A$304,0)),""))</f>
        <v>0</v>
      </c>
      <c r="AJ614" s="33">
        <f>IF(B614="","",IF(OR(AH614="",AI614=""),"",AH614-AI614))</f>
        <v>0</v>
      </c>
      <c r="AK614" s="41">
        <f>IF(B614="","",IFERROR(ROUND(IF(D614="",0,D614)*INDEX(Products!$X$5:$X$304,MATCH(C614,Products!$A$5:$A$304,0))/60,2),""))</f>
        <v>0</v>
      </c>
      <c r="AL614" s="20">
        <f>IF(B614="","",IF(OR(AK614="",AK614=0),"",ROUND(AG614/AK614,2)))</f>
        <v>0</v>
      </c>
      <c r="AM614" s="43">
        <f>IF(B614="","",IF(C614="","Add - which product?",IF(AG614&lt;0,"Loss - this order cost you money",IF(M614="Refunded","Refunded - check why",IF(AND(AF614&lt;&gt;"",AF614&gt;0.25),"Check - fees higher than your settings",IF(Z614&gt;1,"Check - postage is eating the margin",IF(AND(AH614&lt;&gt;"",AH614&lt;MarginWarning),"Low margin on this order","OK")))))) )</f>
        <v>0</v>
      </c>
    </row>
    <row r="615" spans="1:39">
      <c r="A615" s="38">
        <f>IF(B615="","",SalePrefix&amp;TEXT(ROW()-4,"0000"))</f>
        <v>0</v>
      </c>
      <c r="Q615" s="13">
        <f>IF(C615="","",IFERROR(INDEX(Products!$B$5:$B$304,MATCH(C615,Products!$A$5:$A$304,0)),"Bundle or deleted"))</f>
        <v>0</v>
      </c>
      <c r="R615" s="13">
        <f>IF(B615="","",TEXT(B615,"yyyy-mm"))</f>
        <v>0</v>
      </c>
      <c r="S615" s="20">
        <f>IF(C615="","",IFERROR(INDEX(Products!$AR$5:$AR$304,MATCH(C615,Products!$A$5:$A$304,0)),""))</f>
        <v>0</v>
      </c>
      <c r="T615" s="20">
        <f>IF(B615="","",IF(F615&lt;&gt;"",F615,IF(S615="",0,S615)))</f>
        <v>0</v>
      </c>
      <c r="U615" s="20">
        <f>IF(B615="","",ROUND(IF(D615="",0,D615)*T615,2))</f>
        <v>0</v>
      </c>
      <c r="V615" s="20">
        <f>IF(B615="","",ROUND(U615-IF(G615="",0,G615)-IF(L615="",0,L615),2))</f>
        <v>0</v>
      </c>
      <c r="W615" s="20">
        <f>IF(C615="","",IFERROR(INDEX(Products!$AT$5:$AT$304,MATCH(C615,Products!$A$5:$A$304,0)),""))</f>
        <v>0</v>
      </c>
      <c r="X615" s="20">
        <f>IF(C615="","",IFERROR(INDEX(Products!$AG$5:$AG$304,MATCH(C615,Products!$A$5:$A$304,0)),""))</f>
        <v>0</v>
      </c>
      <c r="Y615" s="20">
        <f>IF(B615="","",ROUND(IF(D615="",0,D615)*MAX(0,IF(W615="",0,W615)-IF(X615="",0,X615)),2))</f>
        <v>0</v>
      </c>
      <c r="Z615" s="20">
        <f>IF(B615="","",ROUND(MAX(0,IF(J615="",0,J615)-IF(I615="",0,I615)),2))</f>
        <v>0</v>
      </c>
      <c r="AA615" s="33">
        <f>IF(B615="","",IFERROR(INDEX(Channels!$S$5:$S$18,MATCH(IF(E615="",DefaultChannel,E615),Channels!$A$5:$A$18,0)),0))</f>
        <v>0</v>
      </c>
      <c r="AB615" s="20">
        <f>IF(B615="","",IFERROR(INDEX(Channels!$T$5:$T$18,MATCH(IF(E615="",DefaultChannel,E615),Channels!$A$5:$A$18,0)),0))</f>
        <v>0</v>
      </c>
      <c r="AC615" s="42">
        <f>IF(B615="","",IFERROR(INDEX(Channels!$O$5:$O$18,MATCH(IF(E615="",DefaultChannel,E615),Channels!$A$5:$A$18,0)),"No"))</f>
        <v>0</v>
      </c>
      <c r="AD615" s="20">
        <f>IF(B615="","",ROUND((V615+IF(AC615="Yes",IF(I615="",0,I615),0))*AA615+AB615,2))</f>
        <v>0</v>
      </c>
      <c r="AE615" s="20">
        <f>IF(B615="","",IF(K615&lt;&gt;"",K615,AD615))</f>
        <v>0</v>
      </c>
      <c r="AF615" s="20">
        <f>IF(B615="","",IF(K615="","",ROUND(K615-AD615,2)))</f>
        <v>0</v>
      </c>
      <c r="AG615" s="20">
        <f>IF(B615="","",ROUND(V615-Y615-AE615-Z615,2))</f>
        <v>0</v>
      </c>
      <c r="AH615" s="33">
        <f>IF(B615="","",IF(OR(V615="",V615=0),"",AG615/V615))</f>
        <v>0</v>
      </c>
      <c r="AI615" s="33">
        <f>IF(C615="","",IFERROR(INDEX(Products!$AW$5:$AW$304,MATCH(C615,Products!$A$5:$A$304,0)),""))</f>
        <v>0</v>
      </c>
      <c r="AJ615" s="33">
        <f>IF(B615="","",IF(OR(AH615="",AI615=""),"",AH615-AI615))</f>
        <v>0</v>
      </c>
      <c r="AK615" s="41">
        <f>IF(B615="","",IFERROR(ROUND(IF(D615="",0,D615)*INDEX(Products!$X$5:$X$304,MATCH(C615,Products!$A$5:$A$304,0))/60,2),""))</f>
        <v>0</v>
      </c>
      <c r="AL615" s="20">
        <f>IF(B615="","",IF(OR(AK615="",AK615=0),"",ROUND(AG615/AK615,2)))</f>
        <v>0</v>
      </c>
      <c r="AM615" s="43">
        <f>IF(B615="","",IF(C615="","Add - which product?",IF(AG615&lt;0,"Loss - this order cost you money",IF(M615="Refunded","Refunded - check why",IF(AND(AF615&lt;&gt;"",AF615&gt;0.25),"Check - fees higher than your settings",IF(Z615&gt;1,"Check - postage is eating the margin",IF(AND(AH615&lt;&gt;"",AH615&lt;MarginWarning),"Low margin on this order","OK")))))) )</f>
        <v>0</v>
      </c>
    </row>
    <row r="616" spans="1:39">
      <c r="A616" s="38">
        <f>IF(B616="","",SalePrefix&amp;TEXT(ROW()-4,"0000"))</f>
        <v>0</v>
      </c>
      <c r="Q616" s="13">
        <f>IF(C616="","",IFERROR(INDEX(Products!$B$5:$B$304,MATCH(C616,Products!$A$5:$A$304,0)),"Bundle or deleted"))</f>
        <v>0</v>
      </c>
      <c r="R616" s="13">
        <f>IF(B616="","",TEXT(B616,"yyyy-mm"))</f>
        <v>0</v>
      </c>
      <c r="S616" s="20">
        <f>IF(C616="","",IFERROR(INDEX(Products!$AR$5:$AR$304,MATCH(C616,Products!$A$5:$A$304,0)),""))</f>
        <v>0</v>
      </c>
      <c r="T616" s="20">
        <f>IF(B616="","",IF(F616&lt;&gt;"",F616,IF(S616="",0,S616)))</f>
        <v>0</v>
      </c>
      <c r="U616" s="20">
        <f>IF(B616="","",ROUND(IF(D616="",0,D616)*T616,2))</f>
        <v>0</v>
      </c>
      <c r="V616" s="20">
        <f>IF(B616="","",ROUND(U616-IF(G616="",0,G616)-IF(L616="",0,L616),2))</f>
        <v>0</v>
      </c>
      <c r="W616" s="20">
        <f>IF(C616="","",IFERROR(INDEX(Products!$AT$5:$AT$304,MATCH(C616,Products!$A$5:$A$304,0)),""))</f>
        <v>0</v>
      </c>
      <c r="X616" s="20">
        <f>IF(C616="","",IFERROR(INDEX(Products!$AG$5:$AG$304,MATCH(C616,Products!$A$5:$A$304,0)),""))</f>
        <v>0</v>
      </c>
      <c r="Y616" s="20">
        <f>IF(B616="","",ROUND(IF(D616="",0,D616)*MAX(0,IF(W616="",0,W616)-IF(X616="",0,X616)),2))</f>
        <v>0</v>
      </c>
      <c r="Z616" s="20">
        <f>IF(B616="","",ROUND(MAX(0,IF(J616="",0,J616)-IF(I616="",0,I616)),2))</f>
        <v>0</v>
      </c>
      <c r="AA616" s="33">
        <f>IF(B616="","",IFERROR(INDEX(Channels!$S$5:$S$18,MATCH(IF(E616="",DefaultChannel,E616),Channels!$A$5:$A$18,0)),0))</f>
        <v>0</v>
      </c>
      <c r="AB616" s="20">
        <f>IF(B616="","",IFERROR(INDEX(Channels!$T$5:$T$18,MATCH(IF(E616="",DefaultChannel,E616),Channels!$A$5:$A$18,0)),0))</f>
        <v>0</v>
      </c>
      <c r="AC616" s="42">
        <f>IF(B616="","",IFERROR(INDEX(Channels!$O$5:$O$18,MATCH(IF(E616="",DefaultChannel,E616),Channels!$A$5:$A$18,0)),"No"))</f>
        <v>0</v>
      </c>
      <c r="AD616" s="20">
        <f>IF(B616="","",ROUND((V616+IF(AC616="Yes",IF(I616="",0,I616),0))*AA616+AB616,2))</f>
        <v>0</v>
      </c>
      <c r="AE616" s="20">
        <f>IF(B616="","",IF(K616&lt;&gt;"",K616,AD616))</f>
        <v>0</v>
      </c>
      <c r="AF616" s="20">
        <f>IF(B616="","",IF(K616="","",ROUND(K616-AD616,2)))</f>
        <v>0</v>
      </c>
      <c r="AG616" s="20">
        <f>IF(B616="","",ROUND(V616-Y616-AE616-Z616,2))</f>
        <v>0</v>
      </c>
      <c r="AH616" s="33">
        <f>IF(B616="","",IF(OR(V616="",V616=0),"",AG616/V616))</f>
        <v>0</v>
      </c>
      <c r="AI616" s="33">
        <f>IF(C616="","",IFERROR(INDEX(Products!$AW$5:$AW$304,MATCH(C616,Products!$A$5:$A$304,0)),""))</f>
        <v>0</v>
      </c>
      <c r="AJ616" s="33">
        <f>IF(B616="","",IF(OR(AH616="",AI616=""),"",AH616-AI616))</f>
        <v>0</v>
      </c>
      <c r="AK616" s="41">
        <f>IF(B616="","",IFERROR(ROUND(IF(D616="",0,D616)*INDEX(Products!$X$5:$X$304,MATCH(C616,Products!$A$5:$A$304,0))/60,2),""))</f>
        <v>0</v>
      </c>
      <c r="AL616" s="20">
        <f>IF(B616="","",IF(OR(AK616="",AK616=0),"",ROUND(AG616/AK616,2)))</f>
        <v>0</v>
      </c>
      <c r="AM616" s="43">
        <f>IF(B616="","",IF(C616="","Add - which product?",IF(AG616&lt;0,"Loss - this order cost you money",IF(M616="Refunded","Refunded - check why",IF(AND(AF616&lt;&gt;"",AF616&gt;0.25),"Check - fees higher than your settings",IF(Z616&gt;1,"Check - postage is eating the margin",IF(AND(AH616&lt;&gt;"",AH616&lt;MarginWarning),"Low margin on this order","OK")))))) )</f>
        <v>0</v>
      </c>
    </row>
    <row r="617" spans="1:39">
      <c r="A617" s="38">
        <f>IF(B617="","",SalePrefix&amp;TEXT(ROW()-4,"0000"))</f>
        <v>0</v>
      </c>
      <c r="Q617" s="13">
        <f>IF(C617="","",IFERROR(INDEX(Products!$B$5:$B$304,MATCH(C617,Products!$A$5:$A$304,0)),"Bundle or deleted"))</f>
        <v>0</v>
      </c>
      <c r="R617" s="13">
        <f>IF(B617="","",TEXT(B617,"yyyy-mm"))</f>
        <v>0</v>
      </c>
      <c r="S617" s="20">
        <f>IF(C617="","",IFERROR(INDEX(Products!$AR$5:$AR$304,MATCH(C617,Products!$A$5:$A$304,0)),""))</f>
        <v>0</v>
      </c>
      <c r="T617" s="20">
        <f>IF(B617="","",IF(F617&lt;&gt;"",F617,IF(S617="",0,S617)))</f>
        <v>0</v>
      </c>
      <c r="U617" s="20">
        <f>IF(B617="","",ROUND(IF(D617="",0,D617)*T617,2))</f>
        <v>0</v>
      </c>
      <c r="V617" s="20">
        <f>IF(B617="","",ROUND(U617-IF(G617="",0,G617)-IF(L617="",0,L617),2))</f>
        <v>0</v>
      </c>
      <c r="W617" s="20">
        <f>IF(C617="","",IFERROR(INDEX(Products!$AT$5:$AT$304,MATCH(C617,Products!$A$5:$A$304,0)),""))</f>
        <v>0</v>
      </c>
      <c r="X617" s="20">
        <f>IF(C617="","",IFERROR(INDEX(Products!$AG$5:$AG$304,MATCH(C617,Products!$A$5:$A$304,0)),""))</f>
        <v>0</v>
      </c>
      <c r="Y617" s="20">
        <f>IF(B617="","",ROUND(IF(D617="",0,D617)*MAX(0,IF(W617="",0,W617)-IF(X617="",0,X617)),2))</f>
        <v>0</v>
      </c>
      <c r="Z617" s="20">
        <f>IF(B617="","",ROUND(MAX(0,IF(J617="",0,J617)-IF(I617="",0,I617)),2))</f>
        <v>0</v>
      </c>
      <c r="AA617" s="33">
        <f>IF(B617="","",IFERROR(INDEX(Channels!$S$5:$S$18,MATCH(IF(E617="",DefaultChannel,E617),Channels!$A$5:$A$18,0)),0))</f>
        <v>0</v>
      </c>
      <c r="AB617" s="20">
        <f>IF(B617="","",IFERROR(INDEX(Channels!$T$5:$T$18,MATCH(IF(E617="",DefaultChannel,E617),Channels!$A$5:$A$18,0)),0))</f>
        <v>0</v>
      </c>
      <c r="AC617" s="42">
        <f>IF(B617="","",IFERROR(INDEX(Channels!$O$5:$O$18,MATCH(IF(E617="",DefaultChannel,E617),Channels!$A$5:$A$18,0)),"No"))</f>
        <v>0</v>
      </c>
      <c r="AD617" s="20">
        <f>IF(B617="","",ROUND((V617+IF(AC617="Yes",IF(I617="",0,I617),0))*AA617+AB617,2))</f>
        <v>0</v>
      </c>
      <c r="AE617" s="20">
        <f>IF(B617="","",IF(K617&lt;&gt;"",K617,AD617))</f>
        <v>0</v>
      </c>
      <c r="AF617" s="20">
        <f>IF(B617="","",IF(K617="","",ROUND(K617-AD617,2)))</f>
        <v>0</v>
      </c>
      <c r="AG617" s="20">
        <f>IF(B617="","",ROUND(V617-Y617-AE617-Z617,2))</f>
        <v>0</v>
      </c>
      <c r="AH617" s="33">
        <f>IF(B617="","",IF(OR(V617="",V617=0),"",AG617/V617))</f>
        <v>0</v>
      </c>
      <c r="AI617" s="33">
        <f>IF(C617="","",IFERROR(INDEX(Products!$AW$5:$AW$304,MATCH(C617,Products!$A$5:$A$304,0)),""))</f>
        <v>0</v>
      </c>
      <c r="AJ617" s="33">
        <f>IF(B617="","",IF(OR(AH617="",AI617=""),"",AH617-AI617))</f>
        <v>0</v>
      </c>
      <c r="AK617" s="41">
        <f>IF(B617="","",IFERROR(ROUND(IF(D617="",0,D617)*INDEX(Products!$X$5:$X$304,MATCH(C617,Products!$A$5:$A$304,0))/60,2),""))</f>
        <v>0</v>
      </c>
      <c r="AL617" s="20">
        <f>IF(B617="","",IF(OR(AK617="",AK617=0),"",ROUND(AG617/AK617,2)))</f>
        <v>0</v>
      </c>
      <c r="AM617" s="43">
        <f>IF(B617="","",IF(C617="","Add - which product?",IF(AG617&lt;0,"Loss - this order cost you money",IF(M617="Refunded","Refunded - check why",IF(AND(AF617&lt;&gt;"",AF617&gt;0.25),"Check - fees higher than your settings",IF(Z617&gt;1,"Check - postage is eating the margin",IF(AND(AH617&lt;&gt;"",AH617&lt;MarginWarning),"Low margin on this order","OK")))))) )</f>
        <v>0</v>
      </c>
    </row>
    <row r="618" spans="1:39">
      <c r="A618" s="38">
        <f>IF(B618="","",SalePrefix&amp;TEXT(ROW()-4,"0000"))</f>
        <v>0</v>
      </c>
      <c r="Q618" s="13">
        <f>IF(C618="","",IFERROR(INDEX(Products!$B$5:$B$304,MATCH(C618,Products!$A$5:$A$304,0)),"Bundle or deleted"))</f>
        <v>0</v>
      </c>
      <c r="R618" s="13">
        <f>IF(B618="","",TEXT(B618,"yyyy-mm"))</f>
        <v>0</v>
      </c>
      <c r="S618" s="20">
        <f>IF(C618="","",IFERROR(INDEX(Products!$AR$5:$AR$304,MATCH(C618,Products!$A$5:$A$304,0)),""))</f>
        <v>0</v>
      </c>
      <c r="T618" s="20">
        <f>IF(B618="","",IF(F618&lt;&gt;"",F618,IF(S618="",0,S618)))</f>
        <v>0</v>
      </c>
      <c r="U618" s="20">
        <f>IF(B618="","",ROUND(IF(D618="",0,D618)*T618,2))</f>
        <v>0</v>
      </c>
      <c r="V618" s="20">
        <f>IF(B618="","",ROUND(U618-IF(G618="",0,G618)-IF(L618="",0,L618),2))</f>
        <v>0</v>
      </c>
      <c r="W618" s="20">
        <f>IF(C618="","",IFERROR(INDEX(Products!$AT$5:$AT$304,MATCH(C618,Products!$A$5:$A$304,0)),""))</f>
        <v>0</v>
      </c>
      <c r="X618" s="20">
        <f>IF(C618="","",IFERROR(INDEX(Products!$AG$5:$AG$304,MATCH(C618,Products!$A$5:$A$304,0)),""))</f>
        <v>0</v>
      </c>
      <c r="Y618" s="20">
        <f>IF(B618="","",ROUND(IF(D618="",0,D618)*MAX(0,IF(W618="",0,W618)-IF(X618="",0,X618)),2))</f>
        <v>0</v>
      </c>
      <c r="Z618" s="20">
        <f>IF(B618="","",ROUND(MAX(0,IF(J618="",0,J618)-IF(I618="",0,I618)),2))</f>
        <v>0</v>
      </c>
      <c r="AA618" s="33">
        <f>IF(B618="","",IFERROR(INDEX(Channels!$S$5:$S$18,MATCH(IF(E618="",DefaultChannel,E618),Channels!$A$5:$A$18,0)),0))</f>
        <v>0</v>
      </c>
      <c r="AB618" s="20">
        <f>IF(B618="","",IFERROR(INDEX(Channels!$T$5:$T$18,MATCH(IF(E618="",DefaultChannel,E618),Channels!$A$5:$A$18,0)),0))</f>
        <v>0</v>
      </c>
      <c r="AC618" s="42">
        <f>IF(B618="","",IFERROR(INDEX(Channels!$O$5:$O$18,MATCH(IF(E618="",DefaultChannel,E618),Channels!$A$5:$A$18,0)),"No"))</f>
        <v>0</v>
      </c>
      <c r="AD618" s="20">
        <f>IF(B618="","",ROUND((V618+IF(AC618="Yes",IF(I618="",0,I618),0))*AA618+AB618,2))</f>
        <v>0</v>
      </c>
      <c r="AE618" s="20">
        <f>IF(B618="","",IF(K618&lt;&gt;"",K618,AD618))</f>
        <v>0</v>
      </c>
      <c r="AF618" s="20">
        <f>IF(B618="","",IF(K618="","",ROUND(K618-AD618,2)))</f>
        <v>0</v>
      </c>
      <c r="AG618" s="20">
        <f>IF(B618="","",ROUND(V618-Y618-AE618-Z618,2))</f>
        <v>0</v>
      </c>
      <c r="AH618" s="33">
        <f>IF(B618="","",IF(OR(V618="",V618=0),"",AG618/V618))</f>
        <v>0</v>
      </c>
      <c r="AI618" s="33">
        <f>IF(C618="","",IFERROR(INDEX(Products!$AW$5:$AW$304,MATCH(C618,Products!$A$5:$A$304,0)),""))</f>
        <v>0</v>
      </c>
      <c r="AJ618" s="33">
        <f>IF(B618="","",IF(OR(AH618="",AI618=""),"",AH618-AI618))</f>
        <v>0</v>
      </c>
      <c r="AK618" s="41">
        <f>IF(B618="","",IFERROR(ROUND(IF(D618="",0,D618)*INDEX(Products!$X$5:$X$304,MATCH(C618,Products!$A$5:$A$304,0))/60,2),""))</f>
        <v>0</v>
      </c>
      <c r="AL618" s="20">
        <f>IF(B618="","",IF(OR(AK618="",AK618=0),"",ROUND(AG618/AK618,2)))</f>
        <v>0</v>
      </c>
      <c r="AM618" s="43">
        <f>IF(B618="","",IF(C618="","Add - which product?",IF(AG618&lt;0,"Loss - this order cost you money",IF(M618="Refunded","Refunded - check why",IF(AND(AF618&lt;&gt;"",AF618&gt;0.25),"Check - fees higher than your settings",IF(Z618&gt;1,"Check - postage is eating the margin",IF(AND(AH618&lt;&gt;"",AH618&lt;MarginWarning),"Low margin on this order","OK")))))) )</f>
        <v>0</v>
      </c>
    </row>
    <row r="619" spans="1:39">
      <c r="A619" s="38">
        <f>IF(B619="","",SalePrefix&amp;TEXT(ROW()-4,"0000"))</f>
        <v>0</v>
      </c>
      <c r="Q619" s="13">
        <f>IF(C619="","",IFERROR(INDEX(Products!$B$5:$B$304,MATCH(C619,Products!$A$5:$A$304,0)),"Bundle or deleted"))</f>
        <v>0</v>
      </c>
      <c r="R619" s="13">
        <f>IF(B619="","",TEXT(B619,"yyyy-mm"))</f>
        <v>0</v>
      </c>
      <c r="S619" s="20">
        <f>IF(C619="","",IFERROR(INDEX(Products!$AR$5:$AR$304,MATCH(C619,Products!$A$5:$A$304,0)),""))</f>
        <v>0</v>
      </c>
      <c r="T619" s="20">
        <f>IF(B619="","",IF(F619&lt;&gt;"",F619,IF(S619="",0,S619)))</f>
        <v>0</v>
      </c>
      <c r="U619" s="20">
        <f>IF(B619="","",ROUND(IF(D619="",0,D619)*T619,2))</f>
        <v>0</v>
      </c>
      <c r="V619" s="20">
        <f>IF(B619="","",ROUND(U619-IF(G619="",0,G619)-IF(L619="",0,L619),2))</f>
        <v>0</v>
      </c>
      <c r="W619" s="20">
        <f>IF(C619="","",IFERROR(INDEX(Products!$AT$5:$AT$304,MATCH(C619,Products!$A$5:$A$304,0)),""))</f>
        <v>0</v>
      </c>
      <c r="X619" s="20">
        <f>IF(C619="","",IFERROR(INDEX(Products!$AG$5:$AG$304,MATCH(C619,Products!$A$5:$A$304,0)),""))</f>
        <v>0</v>
      </c>
      <c r="Y619" s="20">
        <f>IF(B619="","",ROUND(IF(D619="",0,D619)*MAX(0,IF(W619="",0,W619)-IF(X619="",0,X619)),2))</f>
        <v>0</v>
      </c>
      <c r="Z619" s="20">
        <f>IF(B619="","",ROUND(MAX(0,IF(J619="",0,J619)-IF(I619="",0,I619)),2))</f>
        <v>0</v>
      </c>
      <c r="AA619" s="33">
        <f>IF(B619="","",IFERROR(INDEX(Channels!$S$5:$S$18,MATCH(IF(E619="",DefaultChannel,E619),Channels!$A$5:$A$18,0)),0))</f>
        <v>0</v>
      </c>
      <c r="AB619" s="20">
        <f>IF(B619="","",IFERROR(INDEX(Channels!$T$5:$T$18,MATCH(IF(E619="",DefaultChannel,E619),Channels!$A$5:$A$18,0)),0))</f>
        <v>0</v>
      </c>
      <c r="AC619" s="42">
        <f>IF(B619="","",IFERROR(INDEX(Channels!$O$5:$O$18,MATCH(IF(E619="",DefaultChannel,E619),Channels!$A$5:$A$18,0)),"No"))</f>
        <v>0</v>
      </c>
      <c r="AD619" s="20">
        <f>IF(B619="","",ROUND((V619+IF(AC619="Yes",IF(I619="",0,I619),0))*AA619+AB619,2))</f>
        <v>0</v>
      </c>
      <c r="AE619" s="20">
        <f>IF(B619="","",IF(K619&lt;&gt;"",K619,AD619))</f>
        <v>0</v>
      </c>
      <c r="AF619" s="20">
        <f>IF(B619="","",IF(K619="","",ROUND(K619-AD619,2)))</f>
        <v>0</v>
      </c>
      <c r="AG619" s="20">
        <f>IF(B619="","",ROUND(V619-Y619-AE619-Z619,2))</f>
        <v>0</v>
      </c>
      <c r="AH619" s="33">
        <f>IF(B619="","",IF(OR(V619="",V619=0),"",AG619/V619))</f>
        <v>0</v>
      </c>
      <c r="AI619" s="33">
        <f>IF(C619="","",IFERROR(INDEX(Products!$AW$5:$AW$304,MATCH(C619,Products!$A$5:$A$304,0)),""))</f>
        <v>0</v>
      </c>
      <c r="AJ619" s="33">
        <f>IF(B619="","",IF(OR(AH619="",AI619=""),"",AH619-AI619))</f>
        <v>0</v>
      </c>
      <c r="AK619" s="41">
        <f>IF(B619="","",IFERROR(ROUND(IF(D619="",0,D619)*INDEX(Products!$X$5:$X$304,MATCH(C619,Products!$A$5:$A$304,0))/60,2),""))</f>
        <v>0</v>
      </c>
      <c r="AL619" s="20">
        <f>IF(B619="","",IF(OR(AK619="",AK619=0),"",ROUND(AG619/AK619,2)))</f>
        <v>0</v>
      </c>
      <c r="AM619" s="43">
        <f>IF(B619="","",IF(C619="","Add - which product?",IF(AG619&lt;0,"Loss - this order cost you money",IF(M619="Refunded","Refunded - check why",IF(AND(AF619&lt;&gt;"",AF619&gt;0.25),"Check - fees higher than your settings",IF(Z619&gt;1,"Check - postage is eating the margin",IF(AND(AH619&lt;&gt;"",AH619&lt;MarginWarning),"Low margin on this order","OK")))))) )</f>
        <v>0</v>
      </c>
    </row>
    <row r="620" spans="1:39">
      <c r="A620" s="38">
        <f>IF(B620="","",SalePrefix&amp;TEXT(ROW()-4,"0000"))</f>
        <v>0</v>
      </c>
      <c r="Q620" s="13">
        <f>IF(C620="","",IFERROR(INDEX(Products!$B$5:$B$304,MATCH(C620,Products!$A$5:$A$304,0)),"Bundle or deleted"))</f>
        <v>0</v>
      </c>
      <c r="R620" s="13">
        <f>IF(B620="","",TEXT(B620,"yyyy-mm"))</f>
        <v>0</v>
      </c>
      <c r="S620" s="20">
        <f>IF(C620="","",IFERROR(INDEX(Products!$AR$5:$AR$304,MATCH(C620,Products!$A$5:$A$304,0)),""))</f>
        <v>0</v>
      </c>
      <c r="T620" s="20">
        <f>IF(B620="","",IF(F620&lt;&gt;"",F620,IF(S620="",0,S620)))</f>
        <v>0</v>
      </c>
      <c r="U620" s="20">
        <f>IF(B620="","",ROUND(IF(D620="",0,D620)*T620,2))</f>
        <v>0</v>
      </c>
      <c r="V620" s="20">
        <f>IF(B620="","",ROUND(U620-IF(G620="",0,G620)-IF(L620="",0,L620),2))</f>
        <v>0</v>
      </c>
      <c r="W620" s="20">
        <f>IF(C620="","",IFERROR(INDEX(Products!$AT$5:$AT$304,MATCH(C620,Products!$A$5:$A$304,0)),""))</f>
        <v>0</v>
      </c>
      <c r="X620" s="20">
        <f>IF(C620="","",IFERROR(INDEX(Products!$AG$5:$AG$304,MATCH(C620,Products!$A$5:$A$304,0)),""))</f>
        <v>0</v>
      </c>
      <c r="Y620" s="20">
        <f>IF(B620="","",ROUND(IF(D620="",0,D620)*MAX(0,IF(W620="",0,W620)-IF(X620="",0,X620)),2))</f>
        <v>0</v>
      </c>
      <c r="Z620" s="20">
        <f>IF(B620="","",ROUND(MAX(0,IF(J620="",0,J620)-IF(I620="",0,I620)),2))</f>
        <v>0</v>
      </c>
      <c r="AA620" s="33">
        <f>IF(B620="","",IFERROR(INDEX(Channels!$S$5:$S$18,MATCH(IF(E620="",DefaultChannel,E620),Channels!$A$5:$A$18,0)),0))</f>
        <v>0</v>
      </c>
      <c r="AB620" s="20">
        <f>IF(B620="","",IFERROR(INDEX(Channels!$T$5:$T$18,MATCH(IF(E620="",DefaultChannel,E620),Channels!$A$5:$A$18,0)),0))</f>
        <v>0</v>
      </c>
      <c r="AC620" s="42">
        <f>IF(B620="","",IFERROR(INDEX(Channels!$O$5:$O$18,MATCH(IF(E620="",DefaultChannel,E620),Channels!$A$5:$A$18,0)),"No"))</f>
        <v>0</v>
      </c>
      <c r="AD620" s="20">
        <f>IF(B620="","",ROUND((V620+IF(AC620="Yes",IF(I620="",0,I620),0))*AA620+AB620,2))</f>
        <v>0</v>
      </c>
      <c r="AE620" s="20">
        <f>IF(B620="","",IF(K620&lt;&gt;"",K620,AD620))</f>
        <v>0</v>
      </c>
      <c r="AF620" s="20">
        <f>IF(B620="","",IF(K620="","",ROUND(K620-AD620,2)))</f>
        <v>0</v>
      </c>
      <c r="AG620" s="20">
        <f>IF(B620="","",ROUND(V620-Y620-AE620-Z620,2))</f>
        <v>0</v>
      </c>
      <c r="AH620" s="33">
        <f>IF(B620="","",IF(OR(V620="",V620=0),"",AG620/V620))</f>
        <v>0</v>
      </c>
      <c r="AI620" s="33">
        <f>IF(C620="","",IFERROR(INDEX(Products!$AW$5:$AW$304,MATCH(C620,Products!$A$5:$A$304,0)),""))</f>
        <v>0</v>
      </c>
      <c r="AJ620" s="33">
        <f>IF(B620="","",IF(OR(AH620="",AI620=""),"",AH620-AI620))</f>
        <v>0</v>
      </c>
      <c r="AK620" s="41">
        <f>IF(B620="","",IFERROR(ROUND(IF(D620="",0,D620)*INDEX(Products!$X$5:$X$304,MATCH(C620,Products!$A$5:$A$304,0))/60,2),""))</f>
        <v>0</v>
      </c>
      <c r="AL620" s="20">
        <f>IF(B620="","",IF(OR(AK620="",AK620=0),"",ROUND(AG620/AK620,2)))</f>
        <v>0</v>
      </c>
      <c r="AM620" s="43">
        <f>IF(B620="","",IF(C620="","Add - which product?",IF(AG620&lt;0,"Loss - this order cost you money",IF(M620="Refunded","Refunded - check why",IF(AND(AF620&lt;&gt;"",AF620&gt;0.25),"Check - fees higher than your settings",IF(Z620&gt;1,"Check - postage is eating the margin",IF(AND(AH620&lt;&gt;"",AH620&lt;MarginWarning),"Low margin on this order","OK")))))) )</f>
        <v>0</v>
      </c>
    </row>
    <row r="621" spans="1:39">
      <c r="A621" s="38">
        <f>IF(B621="","",SalePrefix&amp;TEXT(ROW()-4,"0000"))</f>
        <v>0</v>
      </c>
      <c r="Q621" s="13">
        <f>IF(C621="","",IFERROR(INDEX(Products!$B$5:$B$304,MATCH(C621,Products!$A$5:$A$304,0)),"Bundle or deleted"))</f>
        <v>0</v>
      </c>
      <c r="R621" s="13">
        <f>IF(B621="","",TEXT(B621,"yyyy-mm"))</f>
        <v>0</v>
      </c>
      <c r="S621" s="20">
        <f>IF(C621="","",IFERROR(INDEX(Products!$AR$5:$AR$304,MATCH(C621,Products!$A$5:$A$304,0)),""))</f>
        <v>0</v>
      </c>
      <c r="T621" s="20">
        <f>IF(B621="","",IF(F621&lt;&gt;"",F621,IF(S621="",0,S621)))</f>
        <v>0</v>
      </c>
      <c r="U621" s="20">
        <f>IF(B621="","",ROUND(IF(D621="",0,D621)*T621,2))</f>
        <v>0</v>
      </c>
      <c r="V621" s="20">
        <f>IF(B621="","",ROUND(U621-IF(G621="",0,G621)-IF(L621="",0,L621),2))</f>
        <v>0</v>
      </c>
      <c r="W621" s="20">
        <f>IF(C621="","",IFERROR(INDEX(Products!$AT$5:$AT$304,MATCH(C621,Products!$A$5:$A$304,0)),""))</f>
        <v>0</v>
      </c>
      <c r="X621" s="20">
        <f>IF(C621="","",IFERROR(INDEX(Products!$AG$5:$AG$304,MATCH(C621,Products!$A$5:$A$304,0)),""))</f>
        <v>0</v>
      </c>
      <c r="Y621" s="20">
        <f>IF(B621="","",ROUND(IF(D621="",0,D621)*MAX(0,IF(W621="",0,W621)-IF(X621="",0,X621)),2))</f>
        <v>0</v>
      </c>
      <c r="Z621" s="20">
        <f>IF(B621="","",ROUND(MAX(0,IF(J621="",0,J621)-IF(I621="",0,I621)),2))</f>
        <v>0</v>
      </c>
      <c r="AA621" s="33">
        <f>IF(B621="","",IFERROR(INDEX(Channels!$S$5:$S$18,MATCH(IF(E621="",DefaultChannel,E621),Channels!$A$5:$A$18,0)),0))</f>
        <v>0</v>
      </c>
      <c r="AB621" s="20">
        <f>IF(B621="","",IFERROR(INDEX(Channels!$T$5:$T$18,MATCH(IF(E621="",DefaultChannel,E621),Channels!$A$5:$A$18,0)),0))</f>
        <v>0</v>
      </c>
      <c r="AC621" s="42">
        <f>IF(B621="","",IFERROR(INDEX(Channels!$O$5:$O$18,MATCH(IF(E621="",DefaultChannel,E621),Channels!$A$5:$A$18,0)),"No"))</f>
        <v>0</v>
      </c>
      <c r="AD621" s="20">
        <f>IF(B621="","",ROUND((V621+IF(AC621="Yes",IF(I621="",0,I621),0))*AA621+AB621,2))</f>
        <v>0</v>
      </c>
      <c r="AE621" s="20">
        <f>IF(B621="","",IF(K621&lt;&gt;"",K621,AD621))</f>
        <v>0</v>
      </c>
      <c r="AF621" s="20">
        <f>IF(B621="","",IF(K621="","",ROUND(K621-AD621,2)))</f>
        <v>0</v>
      </c>
      <c r="AG621" s="20">
        <f>IF(B621="","",ROUND(V621-Y621-AE621-Z621,2))</f>
        <v>0</v>
      </c>
      <c r="AH621" s="33">
        <f>IF(B621="","",IF(OR(V621="",V621=0),"",AG621/V621))</f>
        <v>0</v>
      </c>
      <c r="AI621" s="33">
        <f>IF(C621="","",IFERROR(INDEX(Products!$AW$5:$AW$304,MATCH(C621,Products!$A$5:$A$304,0)),""))</f>
        <v>0</v>
      </c>
      <c r="AJ621" s="33">
        <f>IF(B621="","",IF(OR(AH621="",AI621=""),"",AH621-AI621))</f>
        <v>0</v>
      </c>
      <c r="AK621" s="41">
        <f>IF(B621="","",IFERROR(ROUND(IF(D621="",0,D621)*INDEX(Products!$X$5:$X$304,MATCH(C621,Products!$A$5:$A$304,0))/60,2),""))</f>
        <v>0</v>
      </c>
      <c r="AL621" s="20">
        <f>IF(B621="","",IF(OR(AK621="",AK621=0),"",ROUND(AG621/AK621,2)))</f>
        <v>0</v>
      </c>
      <c r="AM621" s="43">
        <f>IF(B621="","",IF(C621="","Add - which product?",IF(AG621&lt;0,"Loss - this order cost you money",IF(M621="Refunded","Refunded - check why",IF(AND(AF621&lt;&gt;"",AF621&gt;0.25),"Check - fees higher than your settings",IF(Z621&gt;1,"Check - postage is eating the margin",IF(AND(AH621&lt;&gt;"",AH621&lt;MarginWarning),"Low margin on this order","OK")))))) )</f>
        <v>0</v>
      </c>
    </row>
    <row r="622" spans="1:39">
      <c r="A622" s="38">
        <f>IF(B622="","",SalePrefix&amp;TEXT(ROW()-4,"0000"))</f>
        <v>0</v>
      </c>
      <c r="Q622" s="13">
        <f>IF(C622="","",IFERROR(INDEX(Products!$B$5:$B$304,MATCH(C622,Products!$A$5:$A$304,0)),"Bundle or deleted"))</f>
        <v>0</v>
      </c>
      <c r="R622" s="13">
        <f>IF(B622="","",TEXT(B622,"yyyy-mm"))</f>
        <v>0</v>
      </c>
      <c r="S622" s="20">
        <f>IF(C622="","",IFERROR(INDEX(Products!$AR$5:$AR$304,MATCH(C622,Products!$A$5:$A$304,0)),""))</f>
        <v>0</v>
      </c>
      <c r="T622" s="20">
        <f>IF(B622="","",IF(F622&lt;&gt;"",F622,IF(S622="",0,S622)))</f>
        <v>0</v>
      </c>
      <c r="U622" s="20">
        <f>IF(B622="","",ROUND(IF(D622="",0,D622)*T622,2))</f>
        <v>0</v>
      </c>
      <c r="V622" s="20">
        <f>IF(B622="","",ROUND(U622-IF(G622="",0,G622)-IF(L622="",0,L622),2))</f>
        <v>0</v>
      </c>
      <c r="W622" s="20">
        <f>IF(C622="","",IFERROR(INDEX(Products!$AT$5:$AT$304,MATCH(C622,Products!$A$5:$A$304,0)),""))</f>
        <v>0</v>
      </c>
      <c r="X622" s="20">
        <f>IF(C622="","",IFERROR(INDEX(Products!$AG$5:$AG$304,MATCH(C622,Products!$A$5:$A$304,0)),""))</f>
        <v>0</v>
      </c>
      <c r="Y622" s="20">
        <f>IF(B622="","",ROUND(IF(D622="",0,D622)*MAX(0,IF(W622="",0,W622)-IF(X622="",0,X622)),2))</f>
        <v>0</v>
      </c>
      <c r="Z622" s="20">
        <f>IF(B622="","",ROUND(MAX(0,IF(J622="",0,J622)-IF(I622="",0,I622)),2))</f>
        <v>0</v>
      </c>
      <c r="AA622" s="33">
        <f>IF(B622="","",IFERROR(INDEX(Channels!$S$5:$S$18,MATCH(IF(E622="",DefaultChannel,E622),Channels!$A$5:$A$18,0)),0))</f>
        <v>0</v>
      </c>
      <c r="AB622" s="20">
        <f>IF(B622="","",IFERROR(INDEX(Channels!$T$5:$T$18,MATCH(IF(E622="",DefaultChannel,E622),Channels!$A$5:$A$18,0)),0))</f>
        <v>0</v>
      </c>
      <c r="AC622" s="42">
        <f>IF(B622="","",IFERROR(INDEX(Channels!$O$5:$O$18,MATCH(IF(E622="",DefaultChannel,E622),Channels!$A$5:$A$18,0)),"No"))</f>
        <v>0</v>
      </c>
      <c r="AD622" s="20">
        <f>IF(B622="","",ROUND((V622+IF(AC622="Yes",IF(I622="",0,I622),0))*AA622+AB622,2))</f>
        <v>0</v>
      </c>
      <c r="AE622" s="20">
        <f>IF(B622="","",IF(K622&lt;&gt;"",K622,AD622))</f>
        <v>0</v>
      </c>
      <c r="AF622" s="20">
        <f>IF(B622="","",IF(K622="","",ROUND(K622-AD622,2)))</f>
        <v>0</v>
      </c>
      <c r="AG622" s="20">
        <f>IF(B622="","",ROUND(V622-Y622-AE622-Z622,2))</f>
        <v>0</v>
      </c>
      <c r="AH622" s="33">
        <f>IF(B622="","",IF(OR(V622="",V622=0),"",AG622/V622))</f>
        <v>0</v>
      </c>
      <c r="AI622" s="33">
        <f>IF(C622="","",IFERROR(INDEX(Products!$AW$5:$AW$304,MATCH(C622,Products!$A$5:$A$304,0)),""))</f>
        <v>0</v>
      </c>
      <c r="AJ622" s="33">
        <f>IF(B622="","",IF(OR(AH622="",AI622=""),"",AH622-AI622))</f>
        <v>0</v>
      </c>
      <c r="AK622" s="41">
        <f>IF(B622="","",IFERROR(ROUND(IF(D622="",0,D622)*INDEX(Products!$X$5:$X$304,MATCH(C622,Products!$A$5:$A$304,0))/60,2),""))</f>
        <v>0</v>
      </c>
      <c r="AL622" s="20">
        <f>IF(B622="","",IF(OR(AK622="",AK622=0),"",ROUND(AG622/AK622,2)))</f>
        <v>0</v>
      </c>
      <c r="AM622" s="43">
        <f>IF(B622="","",IF(C622="","Add - which product?",IF(AG622&lt;0,"Loss - this order cost you money",IF(M622="Refunded","Refunded - check why",IF(AND(AF622&lt;&gt;"",AF622&gt;0.25),"Check - fees higher than your settings",IF(Z622&gt;1,"Check - postage is eating the margin",IF(AND(AH622&lt;&gt;"",AH622&lt;MarginWarning),"Low margin on this order","OK")))))) )</f>
        <v>0</v>
      </c>
    </row>
    <row r="623" spans="1:39">
      <c r="A623" s="38">
        <f>IF(B623="","",SalePrefix&amp;TEXT(ROW()-4,"0000"))</f>
        <v>0</v>
      </c>
      <c r="Q623" s="13">
        <f>IF(C623="","",IFERROR(INDEX(Products!$B$5:$B$304,MATCH(C623,Products!$A$5:$A$304,0)),"Bundle or deleted"))</f>
        <v>0</v>
      </c>
      <c r="R623" s="13">
        <f>IF(B623="","",TEXT(B623,"yyyy-mm"))</f>
        <v>0</v>
      </c>
      <c r="S623" s="20">
        <f>IF(C623="","",IFERROR(INDEX(Products!$AR$5:$AR$304,MATCH(C623,Products!$A$5:$A$304,0)),""))</f>
        <v>0</v>
      </c>
      <c r="T623" s="20">
        <f>IF(B623="","",IF(F623&lt;&gt;"",F623,IF(S623="",0,S623)))</f>
        <v>0</v>
      </c>
      <c r="U623" s="20">
        <f>IF(B623="","",ROUND(IF(D623="",0,D623)*T623,2))</f>
        <v>0</v>
      </c>
      <c r="V623" s="20">
        <f>IF(B623="","",ROUND(U623-IF(G623="",0,G623)-IF(L623="",0,L623),2))</f>
        <v>0</v>
      </c>
      <c r="W623" s="20">
        <f>IF(C623="","",IFERROR(INDEX(Products!$AT$5:$AT$304,MATCH(C623,Products!$A$5:$A$304,0)),""))</f>
        <v>0</v>
      </c>
      <c r="X623" s="20">
        <f>IF(C623="","",IFERROR(INDEX(Products!$AG$5:$AG$304,MATCH(C623,Products!$A$5:$A$304,0)),""))</f>
        <v>0</v>
      </c>
      <c r="Y623" s="20">
        <f>IF(B623="","",ROUND(IF(D623="",0,D623)*MAX(0,IF(W623="",0,W623)-IF(X623="",0,X623)),2))</f>
        <v>0</v>
      </c>
      <c r="Z623" s="20">
        <f>IF(B623="","",ROUND(MAX(0,IF(J623="",0,J623)-IF(I623="",0,I623)),2))</f>
        <v>0</v>
      </c>
      <c r="AA623" s="33">
        <f>IF(B623="","",IFERROR(INDEX(Channels!$S$5:$S$18,MATCH(IF(E623="",DefaultChannel,E623),Channels!$A$5:$A$18,0)),0))</f>
        <v>0</v>
      </c>
      <c r="AB623" s="20">
        <f>IF(B623="","",IFERROR(INDEX(Channels!$T$5:$T$18,MATCH(IF(E623="",DefaultChannel,E623),Channels!$A$5:$A$18,0)),0))</f>
        <v>0</v>
      </c>
      <c r="AC623" s="42">
        <f>IF(B623="","",IFERROR(INDEX(Channels!$O$5:$O$18,MATCH(IF(E623="",DefaultChannel,E623),Channels!$A$5:$A$18,0)),"No"))</f>
        <v>0</v>
      </c>
      <c r="AD623" s="20">
        <f>IF(B623="","",ROUND((V623+IF(AC623="Yes",IF(I623="",0,I623),0))*AA623+AB623,2))</f>
        <v>0</v>
      </c>
      <c r="AE623" s="20">
        <f>IF(B623="","",IF(K623&lt;&gt;"",K623,AD623))</f>
        <v>0</v>
      </c>
      <c r="AF623" s="20">
        <f>IF(B623="","",IF(K623="","",ROUND(K623-AD623,2)))</f>
        <v>0</v>
      </c>
      <c r="AG623" s="20">
        <f>IF(B623="","",ROUND(V623-Y623-AE623-Z623,2))</f>
        <v>0</v>
      </c>
      <c r="AH623" s="33">
        <f>IF(B623="","",IF(OR(V623="",V623=0),"",AG623/V623))</f>
        <v>0</v>
      </c>
      <c r="AI623" s="33">
        <f>IF(C623="","",IFERROR(INDEX(Products!$AW$5:$AW$304,MATCH(C623,Products!$A$5:$A$304,0)),""))</f>
        <v>0</v>
      </c>
      <c r="AJ623" s="33">
        <f>IF(B623="","",IF(OR(AH623="",AI623=""),"",AH623-AI623))</f>
        <v>0</v>
      </c>
      <c r="AK623" s="41">
        <f>IF(B623="","",IFERROR(ROUND(IF(D623="",0,D623)*INDEX(Products!$X$5:$X$304,MATCH(C623,Products!$A$5:$A$304,0))/60,2),""))</f>
        <v>0</v>
      </c>
      <c r="AL623" s="20">
        <f>IF(B623="","",IF(OR(AK623="",AK623=0),"",ROUND(AG623/AK623,2)))</f>
        <v>0</v>
      </c>
      <c r="AM623" s="43">
        <f>IF(B623="","",IF(C623="","Add - which product?",IF(AG623&lt;0,"Loss - this order cost you money",IF(M623="Refunded","Refunded - check why",IF(AND(AF623&lt;&gt;"",AF623&gt;0.25),"Check - fees higher than your settings",IF(Z623&gt;1,"Check - postage is eating the margin",IF(AND(AH623&lt;&gt;"",AH623&lt;MarginWarning),"Low margin on this order","OK")))))) )</f>
        <v>0</v>
      </c>
    </row>
    <row r="624" spans="1:39">
      <c r="A624" s="38">
        <f>IF(B624="","",SalePrefix&amp;TEXT(ROW()-4,"0000"))</f>
        <v>0</v>
      </c>
      <c r="Q624" s="13">
        <f>IF(C624="","",IFERROR(INDEX(Products!$B$5:$B$304,MATCH(C624,Products!$A$5:$A$304,0)),"Bundle or deleted"))</f>
        <v>0</v>
      </c>
      <c r="R624" s="13">
        <f>IF(B624="","",TEXT(B624,"yyyy-mm"))</f>
        <v>0</v>
      </c>
      <c r="S624" s="20">
        <f>IF(C624="","",IFERROR(INDEX(Products!$AR$5:$AR$304,MATCH(C624,Products!$A$5:$A$304,0)),""))</f>
        <v>0</v>
      </c>
      <c r="T624" s="20">
        <f>IF(B624="","",IF(F624&lt;&gt;"",F624,IF(S624="",0,S624)))</f>
        <v>0</v>
      </c>
      <c r="U624" s="20">
        <f>IF(B624="","",ROUND(IF(D624="",0,D624)*T624,2))</f>
        <v>0</v>
      </c>
      <c r="V624" s="20">
        <f>IF(B624="","",ROUND(U624-IF(G624="",0,G624)-IF(L624="",0,L624),2))</f>
        <v>0</v>
      </c>
      <c r="W624" s="20">
        <f>IF(C624="","",IFERROR(INDEX(Products!$AT$5:$AT$304,MATCH(C624,Products!$A$5:$A$304,0)),""))</f>
        <v>0</v>
      </c>
      <c r="X624" s="20">
        <f>IF(C624="","",IFERROR(INDEX(Products!$AG$5:$AG$304,MATCH(C624,Products!$A$5:$A$304,0)),""))</f>
        <v>0</v>
      </c>
      <c r="Y624" s="20">
        <f>IF(B624="","",ROUND(IF(D624="",0,D624)*MAX(0,IF(W624="",0,W624)-IF(X624="",0,X624)),2))</f>
        <v>0</v>
      </c>
      <c r="Z624" s="20">
        <f>IF(B624="","",ROUND(MAX(0,IF(J624="",0,J624)-IF(I624="",0,I624)),2))</f>
        <v>0</v>
      </c>
      <c r="AA624" s="33">
        <f>IF(B624="","",IFERROR(INDEX(Channels!$S$5:$S$18,MATCH(IF(E624="",DefaultChannel,E624),Channels!$A$5:$A$18,0)),0))</f>
        <v>0</v>
      </c>
      <c r="AB624" s="20">
        <f>IF(B624="","",IFERROR(INDEX(Channels!$T$5:$T$18,MATCH(IF(E624="",DefaultChannel,E624),Channels!$A$5:$A$18,0)),0))</f>
        <v>0</v>
      </c>
      <c r="AC624" s="42">
        <f>IF(B624="","",IFERROR(INDEX(Channels!$O$5:$O$18,MATCH(IF(E624="",DefaultChannel,E624),Channels!$A$5:$A$18,0)),"No"))</f>
        <v>0</v>
      </c>
      <c r="AD624" s="20">
        <f>IF(B624="","",ROUND((V624+IF(AC624="Yes",IF(I624="",0,I624),0))*AA624+AB624,2))</f>
        <v>0</v>
      </c>
      <c r="AE624" s="20">
        <f>IF(B624="","",IF(K624&lt;&gt;"",K624,AD624))</f>
        <v>0</v>
      </c>
      <c r="AF624" s="20">
        <f>IF(B624="","",IF(K624="","",ROUND(K624-AD624,2)))</f>
        <v>0</v>
      </c>
      <c r="AG624" s="20">
        <f>IF(B624="","",ROUND(V624-Y624-AE624-Z624,2))</f>
        <v>0</v>
      </c>
      <c r="AH624" s="33">
        <f>IF(B624="","",IF(OR(V624="",V624=0),"",AG624/V624))</f>
        <v>0</v>
      </c>
      <c r="AI624" s="33">
        <f>IF(C624="","",IFERROR(INDEX(Products!$AW$5:$AW$304,MATCH(C624,Products!$A$5:$A$304,0)),""))</f>
        <v>0</v>
      </c>
      <c r="AJ624" s="33">
        <f>IF(B624="","",IF(OR(AH624="",AI624=""),"",AH624-AI624))</f>
        <v>0</v>
      </c>
      <c r="AK624" s="41">
        <f>IF(B624="","",IFERROR(ROUND(IF(D624="",0,D624)*INDEX(Products!$X$5:$X$304,MATCH(C624,Products!$A$5:$A$304,0))/60,2),""))</f>
        <v>0</v>
      </c>
      <c r="AL624" s="20">
        <f>IF(B624="","",IF(OR(AK624="",AK624=0),"",ROUND(AG624/AK624,2)))</f>
        <v>0</v>
      </c>
      <c r="AM624" s="43">
        <f>IF(B624="","",IF(C624="","Add - which product?",IF(AG624&lt;0,"Loss - this order cost you money",IF(M624="Refunded","Refunded - check why",IF(AND(AF624&lt;&gt;"",AF624&gt;0.25),"Check - fees higher than your settings",IF(Z624&gt;1,"Check - postage is eating the margin",IF(AND(AH624&lt;&gt;"",AH624&lt;MarginWarning),"Low margin on this order","OK")))))) )</f>
        <v>0</v>
      </c>
    </row>
    <row r="625" spans="1:39">
      <c r="A625" s="38">
        <f>IF(B625="","",SalePrefix&amp;TEXT(ROW()-4,"0000"))</f>
        <v>0</v>
      </c>
      <c r="Q625" s="13">
        <f>IF(C625="","",IFERROR(INDEX(Products!$B$5:$B$304,MATCH(C625,Products!$A$5:$A$304,0)),"Bundle or deleted"))</f>
        <v>0</v>
      </c>
      <c r="R625" s="13">
        <f>IF(B625="","",TEXT(B625,"yyyy-mm"))</f>
        <v>0</v>
      </c>
      <c r="S625" s="20">
        <f>IF(C625="","",IFERROR(INDEX(Products!$AR$5:$AR$304,MATCH(C625,Products!$A$5:$A$304,0)),""))</f>
        <v>0</v>
      </c>
      <c r="T625" s="20">
        <f>IF(B625="","",IF(F625&lt;&gt;"",F625,IF(S625="",0,S625)))</f>
        <v>0</v>
      </c>
      <c r="U625" s="20">
        <f>IF(B625="","",ROUND(IF(D625="",0,D625)*T625,2))</f>
        <v>0</v>
      </c>
      <c r="V625" s="20">
        <f>IF(B625="","",ROUND(U625-IF(G625="",0,G625)-IF(L625="",0,L625),2))</f>
        <v>0</v>
      </c>
      <c r="W625" s="20">
        <f>IF(C625="","",IFERROR(INDEX(Products!$AT$5:$AT$304,MATCH(C625,Products!$A$5:$A$304,0)),""))</f>
        <v>0</v>
      </c>
      <c r="X625" s="20">
        <f>IF(C625="","",IFERROR(INDEX(Products!$AG$5:$AG$304,MATCH(C625,Products!$A$5:$A$304,0)),""))</f>
        <v>0</v>
      </c>
      <c r="Y625" s="20">
        <f>IF(B625="","",ROUND(IF(D625="",0,D625)*MAX(0,IF(W625="",0,W625)-IF(X625="",0,X625)),2))</f>
        <v>0</v>
      </c>
      <c r="Z625" s="20">
        <f>IF(B625="","",ROUND(MAX(0,IF(J625="",0,J625)-IF(I625="",0,I625)),2))</f>
        <v>0</v>
      </c>
      <c r="AA625" s="33">
        <f>IF(B625="","",IFERROR(INDEX(Channels!$S$5:$S$18,MATCH(IF(E625="",DefaultChannel,E625),Channels!$A$5:$A$18,0)),0))</f>
        <v>0</v>
      </c>
      <c r="AB625" s="20">
        <f>IF(B625="","",IFERROR(INDEX(Channels!$T$5:$T$18,MATCH(IF(E625="",DefaultChannel,E625),Channels!$A$5:$A$18,0)),0))</f>
        <v>0</v>
      </c>
      <c r="AC625" s="42">
        <f>IF(B625="","",IFERROR(INDEX(Channels!$O$5:$O$18,MATCH(IF(E625="",DefaultChannel,E625),Channels!$A$5:$A$18,0)),"No"))</f>
        <v>0</v>
      </c>
      <c r="AD625" s="20">
        <f>IF(B625="","",ROUND((V625+IF(AC625="Yes",IF(I625="",0,I625),0))*AA625+AB625,2))</f>
        <v>0</v>
      </c>
      <c r="AE625" s="20">
        <f>IF(B625="","",IF(K625&lt;&gt;"",K625,AD625))</f>
        <v>0</v>
      </c>
      <c r="AF625" s="20">
        <f>IF(B625="","",IF(K625="","",ROUND(K625-AD625,2)))</f>
        <v>0</v>
      </c>
      <c r="AG625" s="20">
        <f>IF(B625="","",ROUND(V625-Y625-AE625-Z625,2))</f>
        <v>0</v>
      </c>
      <c r="AH625" s="33">
        <f>IF(B625="","",IF(OR(V625="",V625=0),"",AG625/V625))</f>
        <v>0</v>
      </c>
      <c r="AI625" s="33">
        <f>IF(C625="","",IFERROR(INDEX(Products!$AW$5:$AW$304,MATCH(C625,Products!$A$5:$A$304,0)),""))</f>
        <v>0</v>
      </c>
      <c r="AJ625" s="33">
        <f>IF(B625="","",IF(OR(AH625="",AI625=""),"",AH625-AI625))</f>
        <v>0</v>
      </c>
      <c r="AK625" s="41">
        <f>IF(B625="","",IFERROR(ROUND(IF(D625="",0,D625)*INDEX(Products!$X$5:$X$304,MATCH(C625,Products!$A$5:$A$304,0))/60,2),""))</f>
        <v>0</v>
      </c>
      <c r="AL625" s="20">
        <f>IF(B625="","",IF(OR(AK625="",AK625=0),"",ROUND(AG625/AK625,2)))</f>
        <v>0</v>
      </c>
      <c r="AM625" s="43">
        <f>IF(B625="","",IF(C625="","Add - which product?",IF(AG625&lt;0,"Loss - this order cost you money",IF(M625="Refunded","Refunded - check why",IF(AND(AF625&lt;&gt;"",AF625&gt;0.25),"Check - fees higher than your settings",IF(Z625&gt;1,"Check - postage is eating the margin",IF(AND(AH625&lt;&gt;"",AH625&lt;MarginWarning),"Low margin on this order","OK")))))) )</f>
        <v>0</v>
      </c>
    </row>
    <row r="626" spans="1:39">
      <c r="A626" s="38">
        <f>IF(B626="","",SalePrefix&amp;TEXT(ROW()-4,"0000"))</f>
        <v>0</v>
      </c>
      <c r="Q626" s="13">
        <f>IF(C626="","",IFERROR(INDEX(Products!$B$5:$B$304,MATCH(C626,Products!$A$5:$A$304,0)),"Bundle or deleted"))</f>
        <v>0</v>
      </c>
      <c r="R626" s="13">
        <f>IF(B626="","",TEXT(B626,"yyyy-mm"))</f>
        <v>0</v>
      </c>
      <c r="S626" s="20">
        <f>IF(C626="","",IFERROR(INDEX(Products!$AR$5:$AR$304,MATCH(C626,Products!$A$5:$A$304,0)),""))</f>
        <v>0</v>
      </c>
      <c r="T626" s="20">
        <f>IF(B626="","",IF(F626&lt;&gt;"",F626,IF(S626="",0,S626)))</f>
        <v>0</v>
      </c>
      <c r="U626" s="20">
        <f>IF(B626="","",ROUND(IF(D626="",0,D626)*T626,2))</f>
        <v>0</v>
      </c>
      <c r="V626" s="20">
        <f>IF(B626="","",ROUND(U626-IF(G626="",0,G626)-IF(L626="",0,L626),2))</f>
        <v>0</v>
      </c>
      <c r="W626" s="20">
        <f>IF(C626="","",IFERROR(INDEX(Products!$AT$5:$AT$304,MATCH(C626,Products!$A$5:$A$304,0)),""))</f>
        <v>0</v>
      </c>
      <c r="X626" s="20">
        <f>IF(C626="","",IFERROR(INDEX(Products!$AG$5:$AG$304,MATCH(C626,Products!$A$5:$A$304,0)),""))</f>
        <v>0</v>
      </c>
      <c r="Y626" s="20">
        <f>IF(B626="","",ROUND(IF(D626="",0,D626)*MAX(0,IF(W626="",0,W626)-IF(X626="",0,X626)),2))</f>
        <v>0</v>
      </c>
      <c r="Z626" s="20">
        <f>IF(B626="","",ROUND(MAX(0,IF(J626="",0,J626)-IF(I626="",0,I626)),2))</f>
        <v>0</v>
      </c>
      <c r="AA626" s="33">
        <f>IF(B626="","",IFERROR(INDEX(Channels!$S$5:$S$18,MATCH(IF(E626="",DefaultChannel,E626),Channels!$A$5:$A$18,0)),0))</f>
        <v>0</v>
      </c>
      <c r="AB626" s="20">
        <f>IF(B626="","",IFERROR(INDEX(Channels!$T$5:$T$18,MATCH(IF(E626="",DefaultChannel,E626),Channels!$A$5:$A$18,0)),0))</f>
        <v>0</v>
      </c>
      <c r="AC626" s="42">
        <f>IF(B626="","",IFERROR(INDEX(Channels!$O$5:$O$18,MATCH(IF(E626="",DefaultChannel,E626),Channels!$A$5:$A$18,0)),"No"))</f>
        <v>0</v>
      </c>
      <c r="AD626" s="20">
        <f>IF(B626="","",ROUND((V626+IF(AC626="Yes",IF(I626="",0,I626),0))*AA626+AB626,2))</f>
        <v>0</v>
      </c>
      <c r="AE626" s="20">
        <f>IF(B626="","",IF(K626&lt;&gt;"",K626,AD626))</f>
        <v>0</v>
      </c>
      <c r="AF626" s="20">
        <f>IF(B626="","",IF(K626="","",ROUND(K626-AD626,2)))</f>
        <v>0</v>
      </c>
      <c r="AG626" s="20">
        <f>IF(B626="","",ROUND(V626-Y626-AE626-Z626,2))</f>
        <v>0</v>
      </c>
      <c r="AH626" s="33">
        <f>IF(B626="","",IF(OR(V626="",V626=0),"",AG626/V626))</f>
        <v>0</v>
      </c>
      <c r="AI626" s="33">
        <f>IF(C626="","",IFERROR(INDEX(Products!$AW$5:$AW$304,MATCH(C626,Products!$A$5:$A$304,0)),""))</f>
        <v>0</v>
      </c>
      <c r="AJ626" s="33">
        <f>IF(B626="","",IF(OR(AH626="",AI626=""),"",AH626-AI626))</f>
        <v>0</v>
      </c>
      <c r="AK626" s="41">
        <f>IF(B626="","",IFERROR(ROUND(IF(D626="",0,D626)*INDEX(Products!$X$5:$X$304,MATCH(C626,Products!$A$5:$A$304,0))/60,2),""))</f>
        <v>0</v>
      </c>
      <c r="AL626" s="20">
        <f>IF(B626="","",IF(OR(AK626="",AK626=0),"",ROUND(AG626/AK626,2)))</f>
        <v>0</v>
      </c>
      <c r="AM626" s="43">
        <f>IF(B626="","",IF(C626="","Add - which product?",IF(AG626&lt;0,"Loss - this order cost you money",IF(M626="Refunded","Refunded - check why",IF(AND(AF626&lt;&gt;"",AF626&gt;0.25),"Check - fees higher than your settings",IF(Z626&gt;1,"Check - postage is eating the margin",IF(AND(AH626&lt;&gt;"",AH626&lt;MarginWarning),"Low margin on this order","OK")))))) )</f>
        <v>0</v>
      </c>
    </row>
    <row r="627" spans="1:39">
      <c r="A627" s="38">
        <f>IF(B627="","",SalePrefix&amp;TEXT(ROW()-4,"0000"))</f>
        <v>0</v>
      </c>
      <c r="Q627" s="13">
        <f>IF(C627="","",IFERROR(INDEX(Products!$B$5:$B$304,MATCH(C627,Products!$A$5:$A$304,0)),"Bundle or deleted"))</f>
        <v>0</v>
      </c>
      <c r="R627" s="13">
        <f>IF(B627="","",TEXT(B627,"yyyy-mm"))</f>
        <v>0</v>
      </c>
      <c r="S627" s="20">
        <f>IF(C627="","",IFERROR(INDEX(Products!$AR$5:$AR$304,MATCH(C627,Products!$A$5:$A$304,0)),""))</f>
        <v>0</v>
      </c>
      <c r="T627" s="20">
        <f>IF(B627="","",IF(F627&lt;&gt;"",F627,IF(S627="",0,S627)))</f>
        <v>0</v>
      </c>
      <c r="U627" s="20">
        <f>IF(B627="","",ROUND(IF(D627="",0,D627)*T627,2))</f>
        <v>0</v>
      </c>
      <c r="V627" s="20">
        <f>IF(B627="","",ROUND(U627-IF(G627="",0,G627)-IF(L627="",0,L627),2))</f>
        <v>0</v>
      </c>
      <c r="W627" s="20">
        <f>IF(C627="","",IFERROR(INDEX(Products!$AT$5:$AT$304,MATCH(C627,Products!$A$5:$A$304,0)),""))</f>
        <v>0</v>
      </c>
      <c r="X627" s="20">
        <f>IF(C627="","",IFERROR(INDEX(Products!$AG$5:$AG$304,MATCH(C627,Products!$A$5:$A$304,0)),""))</f>
        <v>0</v>
      </c>
      <c r="Y627" s="20">
        <f>IF(B627="","",ROUND(IF(D627="",0,D627)*MAX(0,IF(W627="",0,W627)-IF(X627="",0,X627)),2))</f>
        <v>0</v>
      </c>
      <c r="Z627" s="20">
        <f>IF(B627="","",ROUND(MAX(0,IF(J627="",0,J627)-IF(I627="",0,I627)),2))</f>
        <v>0</v>
      </c>
      <c r="AA627" s="33">
        <f>IF(B627="","",IFERROR(INDEX(Channels!$S$5:$S$18,MATCH(IF(E627="",DefaultChannel,E627),Channels!$A$5:$A$18,0)),0))</f>
        <v>0</v>
      </c>
      <c r="AB627" s="20">
        <f>IF(B627="","",IFERROR(INDEX(Channels!$T$5:$T$18,MATCH(IF(E627="",DefaultChannel,E627),Channels!$A$5:$A$18,0)),0))</f>
        <v>0</v>
      </c>
      <c r="AC627" s="42">
        <f>IF(B627="","",IFERROR(INDEX(Channels!$O$5:$O$18,MATCH(IF(E627="",DefaultChannel,E627),Channels!$A$5:$A$18,0)),"No"))</f>
        <v>0</v>
      </c>
      <c r="AD627" s="20">
        <f>IF(B627="","",ROUND((V627+IF(AC627="Yes",IF(I627="",0,I627),0))*AA627+AB627,2))</f>
        <v>0</v>
      </c>
      <c r="AE627" s="20">
        <f>IF(B627="","",IF(K627&lt;&gt;"",K627,AD627))</f>
        <v>0</v>
      </c>
      <c r="AF627" s="20">
        <f>IF(B627="","",IF(K627="","",ROUND(K627-AD627,2)))</f>
        <v>0</v>
      </c>
      <c r="AG627" s="20">
        <f>IF(B627="","",ROUND(V627-Y627-AE627-Z627,2))</f>
        <v>0</v>
      </c>
      <c r="AH627" s="33">
        <f>IF(B627="","",IF(OR(V627="",V627=0),"",AG627/V627))</f>
        <v>0</v>
      </c>
      <c r="AI627" s="33">
        <f>IF(C627="","",IFERROR(INDEX(Products!$AW$5:$AW$304,MATCH(C627,Products!$A$5:$A$304,0)),""))</f>
        <v>0</v>
      </c>
      <c r="AJ627" s="33">
        <f>IF(B627="","",IF(OR(AH627="",AI627=""),"",AH627-AI627))</f>
        <v>0</v>
      </c>
      <c r="AK627" s="41">
        <f>IF(B627="","",IFERROR(ROUND(IF(D627="",0,D627)*INDEX(Products!$X$5:$X$304,MATCH(C627,Products!$A$5:$A$304,0))/60,2),""))</f>
        <v>0</v>
      </c>
      <c r="AL627" s="20">
        <f>IF(B627="","",IF(OR(AK627="",AK627=0),"",ROUND(AG627/AK627,2)))</f>
        <v>0</v>
      </c>
      <c r="AM627" s="43">
        <f>IF(B627="","",IF(C627="","Add - which product?",IF(AG627&lt;0,"Loss - this order cost you money",IF(M627="Refunded","Refunded - check why",IF(AND(AF627&lt;&gt;"",AF627&gt;0.25),"Check - fees higher than your settings",IF(Z627&gt;1,"Check - postage is eating the margin",IF(AND(AH627&lt;&gt;"",AH627&lt;MarginWarning),"Low margin on this order","OK")))))) )</f>
        <v>0</v>
      </c>
    </row>
    <row r="628" spans="1:39">
      <c r="A628" s="38">
        <f>IF(B628="","",SalePrefix&amp;TEXT(ROW()-4,"0000"))</f>
        <v>0</v>
      </c>
      <c r="Q628" s="13">
        <f>IF(C628="","",IFERROR(INDEX(Products!$B$5:$B$304,MATCH(C628,Products!$A$5:$A$304,0)),"Bundle or deleted"))</f>
        <v>0</v>
      </c>
      <c r="R628" s="13">
        <f>IF(B628="","",TEXT(B628,"yyyy-mm"))</f>
        <v>0</v>
      </c>
      <c r="S628" s="20">
        <f>IF(C628="","",IFERROR(INDEX(Products!$AR$5:$AR$304,MATCH(C628,Products!$A$5:$A$304,0)),""))</f>
        <v>0</v>
      </c>
      <c r="T628" s="20">
        <f>IF(B628="","",IF(F628&lt;&gt;"",F628,IF(S628="",0,S628)))</f>
        <v>0</v>
      </c>
      <c r="U628" s="20">
        <f>IF(B628="","",ROUND(IF(D628="",0,D628)*T628,2))</f>
        <v>0</v>
      </c>
      <c r="V628" s="20">
        <f>IF(B628="","",ROUND(U628-IF(G628="",0,G628)-IF(L628="",0,L628),2))</f>
        <v>0</v>
      </c>
      <c r="W628" s="20">
        <f>IF(C628="","",IFERROR(INDEX(Products!$AT$5:$AT$304,MATCH(C628,Products!$A$5:$A$304,0)),""))</f>
        <v>0</v>
      </c>
      <c r="X628" s="20">
        <f>IF(C628="","",IFERROR(INDEX(Products!$AG$5:$AG$304,MATCH(C628,Products!$A$5:$A$304,0)),""))</f>
        <v>0</v>
      </c>
      <c r="Y628" s="20">
        <f>IF(B628="","",ROUND(IF(D628="",0,D628)*MAX(0,IF(W628="",0,W628)-IF(X628="",0,X628)),2))</f>
        <v>0</v>
      </c>
      <c r="Z628" s="20">
        <f>IF(B628="","",ROUND(MAX(0,IF(J628="",0,J628)-IF(I628="",0,I628)),2))</f>
        <v>0</v>
      </c>
      <c r="AA628" s="33">
        <f>IF(B628="","",IFERROR(INDEX(Channels!$S$5:$S$18,MATCH(IF(E628="",DefaultChannel,E628),Channels!$A$5:$A$18,0)),0))</f>
        <v>0</v>
      </c>
      <c r="AB628" s="20">
        <f>IF(B628="","",IFERROR(INDEX(Channels!$T$5:$T$18,MATCH(IF(E628="",DefaultChannel,E628),Channels!$A$5:$A$18,0)),0))</f>
        <v>0</v>
      </c>
      <c r="AC628" s="42">
        <f>IF(B628="","",IFERROR(INDEX(Channels!$O$5:$O$18,MATCH(IF(E628="",DefaultChannel,E628),Channels!$A$5:$A$18,0)),"No"))</f>
        <v>0</v>
      </c>
      <c r="AD628" s="20">
        <f>IF(B628="","",ROUND((V628+IF(AC628="Yes",IF(I628="",0,I628),0))*AA628+AB628,2))</f>
        <v>0</v>
      </c>
      <c r="AE628" s="20">
        <f>IF(B628="","",IF(K628&lt;&gt;"",K628,AD628))</f>
        <v>0</v>
      </c>
      <c r="AF628" s="20">
        <f>IF(B628="","",IF(K628="","",ROUND(K628-AD628,2)))</f>
        <v>0</v>
      </c>
      <c r="AG628" s="20">
        <f>IF(B628="","",ROUND(V628-Y628-AE628-Z628,2))</f>
        <v>0</v>
      </c>
      <c r="AH628" s="33">
        <f>IF(B628="","",IF(OR(V628="",V628=0),"",AG628/V628))</f>
        <v>0</v>
      </c>
      <c r="AI628" s="33">
        <f>IF(C628="","",IFERROR(INDEX(Products!$AW$5:$AW$304,MATCH(C628,Products!$A$5:$A$304,0)),""))</f>
        <v>0</v>
      </c>
      <c r="AJ628" s="33">
        <f>IF(B628="","",IF(OR(AH628="",AI628=""),"",AH628-AI628))</f>
        <v>0</v>
      </c>
      <c r="AK628" s="41">
        <f>IF(B628="","",IFERROR(ROUND(IF(D628="",0,D628)*INDEX(Products!$X$5:$X$304,MATCH(C628,Products!$A$5:$A$304,0))/60,2),""))</f>
        <v>0</v>
      </c>
      <c r="AL628" s="20">
        <f>IF(B628="","",IF(OR(AK628="",AK628=0),"",ROUND(AG628/AK628,2)))</f>
        <v>0</v>
      </c>
      <c r="AM628" s="43">
        <f>IF(B628="","",IF(C628="","Add - which product?",IF(AG628&lt;0,"Loss - this order cost you money",IF(M628="Refunded","Refunded - check why",IF(AND(AF628&lt;&gt;"",AF628&gt;0.25),"Check - fees higher than your settings",IF(Z628&gt;1,"Check - postage is eating the margin",IF(AND(AH628&lt;&gt;"",AH628&lt;MarginWarning),"Low margin on this order","OK")))))) )</f>
        <v>0</v>
      </c>
    </row>
    <row r="629" spans="1:39">
      <c r="A629" s="38">
        <f>IF(B629="","",SalePrefix&amp;TEXT(ROW()-4,"0000"))</f>
        <v>0</v>
      </c>
      <c r="Q629" s="13">
        <f>IF(C629="","",IFERROR(INDEX(Products!$B$5:$B$304,MATCH(C629,Products!$A$5:$A$304,0)),"Bundle or deleted"))</f>
        <v>0</v>
      </c>
      <c r="R629" s="13">
        <f>IF(B629="","",TEXT(B629,"yyyy-mm"))</f>
        <v>0</v>
      </c>
      <c r="S629" s="20">
        <f>IF(C629="","",IFERROR(INDEX(Products!$AR$5:$AR$304,MATCH(C629,Products!$A$5:$A$304,0)),""))</f>
        <v>0</v>
      </c>
      <c r="T629" s="20">
        <f>IF(B629="","",IF(F629&lt;&gt;"",F629,IF(S629="",0,S629)))</f>
        <v>0</v>
      </c>
      <c r="U629" s="20">
        <f>IF(B629="","",ROUND(IF(D629="",0,D629)*T629,2))</f>
        <v>0</v>
      </c>
      <c r="V629" s="20">
        <f>IF(B629="","",ROUND(U629-IF(G629="",0,G629)-IF(L629="",0,L629),2))</f>
        <v>0</v>
      </c>
      <c r="W629" s="20">
        <f>IF(C629="","",IFERROR(INDEX(Products!$AT$5:$AT$304,MATCH(C629,Products!$A$5:$A$304,0)),""))</f>
        <v>0</v>
      </c>
      <c r="X629" s="20">
        <f>IF(C629="","",IFERROR(INDEX(Products!$AG$5:$AG$304,MATCH(C629,Products!$A$5:$A$304,0)),""))</f>
        <v>0</v>
      </c>
      <c r="Y629" s="20">
        <f>IF(B629="","",ROUND(IF(D629="",0,D629)*MAX(0,IF(W629="",0,W629)-IF(X629="",0,X629)),2))</f>
        <v>0</v>
      </c>
      <c r="Z629" s="20">
        <f>IF(B629="","",ROUND(MAX(0,IF(J629="",0,J629)-IF(I629="",0,I629)),2))</f>
        <v>0</v>
      </c>
      <c r="AA629" s="33">
        <f>IF(B629="","",IFERROR(INDEX(Channels!$S$5:$S$18,MATCH(IF(E629="",DefaultChannel,E629),Channels!$A$5:$A$18,0)),0))</f>
        <v>0</v>
      </c>
      <c r="AB629" s="20">
        <f>IF(B629="","",IFERROR(INDEX(Channels!$T$5:$T$18,MATCH(IF(E629="",DefaultChannel,E629),Channels!$A$5:$A$18,0)),0))</f>
        <v>0</v>
      </c>
      <c r="AC629" s="42">
        <f>IF(B629="","",IFERROR(INDEX(Channels!$O$5:$O$18,MATCH(IF(E629="",DefaultChannel,E629),Channels!$A$5:$A$18,0)),"No"))</f>
        <v>0</v>
      </c>
      <c r="AD629" s="20">
        <f>IF(B629="","",ROUND((V629+IF(AC629="Yes",IF(I629="",0,I629),0))*AA629+AB629,2))</f>
        <v>0</v>
      </c>
      <c r="AE629" s="20">
        <f>IF(B629="","",IF(K629&lt;&gt;"",K629,AD629))</f>
        <v>0</v>
      </c>
      <c r="AF629" s="20">
        <f>IF(B629="","",IF(K629="","",ROUND(K629-AD629,2)))</f>
        <v>0</v>
      </c>
      <c r="AG629" s="20">
        <f>IF(B629="","",ROUND(V629-Y629-AE629-Z629,2))</f>
        <v>0</v>
      </c>
      <c r="AH629" s="33">
        <f>IF(B629="","",IF(OR(V629="",V629=0),"",AG629/V629))</f>
        <v>0</v>
      </c>
      <c r="AI629" s="33">
        <f>IF(C629="","",IFERROR(INDEX(Products!$AW$5:$AW$304,MATCH(C629,Products!$A$5:$A$304,0)),""))</f>
        <v>0</v>
      </c>
      <c r="AJ629" s="33">
        <f>IF(B629="","",IF(OR(AH629="",AI629=""),"",AH629-AI629))</f>
        <v>0</v>
      </c>
      <c r="AK629" s="41">
        <f>IF(B629="","",IFERROR(ROUND(IF(D629="",0,D629)*INDEX(Products!$X$5:$X$304,MATCH(C629,Products!$A$5:$A$304,0))/60,2),""))</f>
        <v>0</v>
      </c>
      <c r="AL629" s="20">
        <f>IF(B629="","",IF(OR(AK629="",AK629=0),"",ROUND(AG629/AK629,2)))</f>
        <v>0</v>
      </c>
      <c r="AM629" s="43">
        <f>IF(B629="","",IF(C629="","Add - which product?",IF(AG629&lt;0,"Loss - this order cost you money",IF(M629="Refunded","Refunded - check why",IF(AND(AF629&lt;&gt;"",AF629&gt;0.25),"Check - fees higher than your settings",IF(Z629&gt;1,"Check - postage is eating the margin",IF(AND(AH629&lt;&gt;"",AH629&lt;MarginWarning),"Low margin on this order","OK")))))) )</f>
        <v>0</v>
      </c>
    </row>
    <row r="630" spans="1:39">
      <c r="A630" s="38">
        <f>IF(B630="","",SalePrefix&amp;TEXT(ROW()-4,"0000"))</f>
        <v>0</v>
      </c>
      <c r="Q630" s="13">
        <f>IF(C630="","",IFERROR(INDEX(Products!$B$5:$B$304,MATCH(C630,Products!$A$5:$A$304,0)),"Bundle or deleted"))</f>
        <v>0</v>
      </c>
      <c r="R630" s="13">
        <f>IF(B630="","",TEXT(B630,"yyyy-mm"))</f>
        <v>0</v>
      </c>
      <c r="S630" s="20">
        <f>IF(C630="","",IFERROR(INDEX(Products!$AR$5:$AR$304,MATCH(C630,Products!$A$5:$A$304,0)),""))</f>
        <v>0</v>
      </c>
      <c r="T630" s="20">
        <f>IF(B630="","",IF(F630&lt;&gt;"",F630,IF(S630="",0,S630)))</f>
        <v>0</v>
      </c>
      <c r="U630" s="20">
        <f>IF(B630="","",ROUND(IF(D630="",0,D630)*T630,2))</f>
        <v>0</v>
      </c>
      <c r="V630" s="20">
        <f>IF(B630="","",ROUND(U630-IF(G630="",0,G630)-IF(L630="",0,L630),2))</f>
        <v>0</v>
      </c>
      <c r="W630" s="20">
        <f>IF(C630="","",IFERROR(INDEX(Products!$AT$5:$AT$304,MATCH(C630,Products!$A$5:$A$304,0)),""))</f>
        <v>0</v>
      </c>
      <c r="X630" s="20">
        <f>IF(C630="","",IFERROR(INDEX(Products!$AG$5:$AG$304,MATCH(C630,Products!$A$5:$A$304,0)),""))</f>
        <v>0</v>
      </c>
      <c r="Y630" s="20">
        <f>IF(B630="","",ROUND(IF(D630="",0,D630)*MAX(0,IF(W630="",0,W630)-IF(X630="",0,X630)),2))</f>
        <v>0</v>
      </c>
      <c r="Z630" s="20">
        <f>IF(B630="","",ROUND(MAX(0,IF(J630="",0,J630)-IF(I630="",0,I630)),2))</f>
        <v>0</v>
      </c>
      <c r="AA630" s="33">
        <f>IF(B630="","",IFERROR(INDEX(Channels!$S$5:$S$18,MATCH(IF(E630="",DefaultChannel,E630),Channels!$A$5:$A$18,0)),0))</f>
        <v>0</v>
      </c>
      <c r="AB630" s="20">
        <f>IF(B630="","",IFERROR(INDEX(Channels!$T$5:$T$18,MATCH(IF(E630="",DefaultChannel,E630),Channels!$A$5:$A$18,0)),0))</f>
        <v>0</v>
      </c>
      <c r="AC630" s="42">
        <f>IF(B630="","",IFERROR(INDEX(Channels!$O$5:$O$18,MATCH(IF(E630="",DefaultChannel,E630),Channels!$A$5:$A$18,0)),"No"))</f>
        <v>0</v>
      </c>
      <c r="AD630" s="20">
        <f>IF(B630="","",ROUND((V630+IF(AC630="Yes",IF(I630="",0,I630),0))*AA630+AB630,2))</f>
        <v>0</v>
      </c>
      <c r="AE630" s="20">
        <f>IF(B630="","",IF(K630&lt;&gt;"",K630,AD630))</f>
        <v>0</v>
      </c>
      <c r="AF630" s="20">
        <f>IF(B630="","",IF(K630="","",ROUND(K630-AD630,2)))</f>
        <v>0</v>
      </c>
      <c r="AG630" s="20">
        <f>IF(B630="","",ROUND(V630-Y630-AE630-Z630,2))</f>
        <v>0</v>
      </c>
      <c r="AH630" s="33">
        <f>IF(B630="","",IF(OR(V630="",V630=0),"",AG630/V630))</f>
        <v>0</v>
      </c>
      <c r="AI630" s="33">
        <f>IF(C630="","",IFERROR(INDEX(Products!$AW$5:$AW$304,MATCH(C630,Products!$A$5:$A$304,0)),""))</f>
        <v>0</v>
      </c>
      <c r="AJ630" s="33">
        <f>IF(B630="","",IF(OR(AH630="",AI630=""),"",AH630-AI630))</f>
        <v>0</v>
      </c>
      <c r="AK630" s="41">
        <f>IF(B630="","",IFERROR(ROUND(IF(D630="",0,D630)*INDEX(Products!$X$5:$X$304,MATCH(C630,Products!$A$5:$A$304,0))/60,2),""))</f>
        <v>0</v>
      </c>
      <c r="AL630" s="20">
        <f>IF(B630="","",IF(OR(AK630="",AK630=0),"",ROUND(AG630/AK630,2)))</f>
        <v>0</v>
      </c>
      <c r="AM630" s="43">
        <f>IF(B630="","",IF(C630="","Add - which product?",IF(AG630&lt;0,"Loss - this order cost you money",IF(M630="Refunded","Refunded - check why",IF(AND(AF630&lt;&gt;"",AF630&gt;0.25),"Check - fees higher than your settings",IF(Z630&gt;1,"Check - postage is eating the margin",IF(AND(AH630&lt;&gt;"",AH630&lt;MarginWarning),"Low margin on this order","OK")))))) )</f>
        <v>0</v>
      </c>
    </row>
    <row r="631" spans="1:39">
      <c r="A631" s="38">
        <f>IF(B631="","",SalePrefix&amp;TEXT(ROW()-4,"0000"))</f>
        <v>0</v>
      </c>
      <c r="Q631" s="13">
        <f>IF(C631="","",IFERROR(INDEX(Products!$B$5:$B$304,MATCH(C631,Products!$A$5:$A$304,0)),"Bundle or deleted"))</f>
        <v>0</v>
      </c>
      <c r="R631" s="13">
        <f>IF(B631="","",TEXT(B631,"yyyy-mm"))</f>
        <v>0</v>
      </c>
      <c r="S631" s="20">
        <f>IF(C631="","",IFERROR(INDEX(Products!$AR$5:$AR$304,MATCH(C631,Products!$A$5:$A$304,0)),""))</f>
        <v>0</v>
      </c>
      <c r="T631" s="20">
        <f>IF(B631="","",IF(F631&lt;&gt;"",F631,IF(S631="",0,S631)))</f>
        <v>0</v>
      </c>
      <c r="U631" s="20">
        <f>IF(B631="","",ROUND(IF(D631="",0,D631)*T631,2))</f>
        <v>0</v>
      </c>
      <c r="V631" s="20">
        <f>IF(B631="","",ROUND(U631-IF(G631="",0,G631)-IF(L631="",0,L631),2))</f>
        <v>0</v>
      </c>
      <c r="W631" s="20">
        <f>IF(C631="","",IFERROR(INDEX(Products!$AT$5:$AT$304,MATCH(C631,Products!$A$5:$A$304,0)),""))</f>
        <v>0</v>
      </c>
      <c r="X631" s="20">
        <f>IF(C631="","",IFERROR(INDEX(Products!$AG$5:$AG$304,MATCH(C631,Products!$A$5:$A$304,0)),""))</f>
        <v>0</v>
      </c>
      <c r="Y631" s="20">
        <f>IF(B631="","",ROUND(IF(D631="",0,D631)*MAX(0,IF(W631="",0,W631)-IF(X631="",0,X631)),2))</f>
        <v>0</v>
      </c>
      <c r="Z631" s="20">
        <f>IF(B631="","",ROUND(MAX(0,IF(J631="",0,J631)-IF(I631="",0,I631)),2))</f>
        <v>0</v>
      </c>
      <c r="AA631" s="33">
        <f>IF(B631="","",IFERROR(INDEX(Channels!$S$5:$S$18,MATCH(IF(E631="",DefaultChannel,E631),Channels!$A$5:$A$18,0)),0))</f>
        <v>0</v>
      </c>
      <c r="AB631" s="20">
        <f>IF(B631="","",IFERROR(INDEX(Channels!$T$5:$T$18,MATCH(IF(E631="",DefaultChannel,E631),Channels!$A$5:$A$18,0)),0))</f>
        <v>0</v>
      </c>
      <c r="AC631" s="42">
        <f>IF(B631="","",IFERROR(INDEX(Channels!$O$5:$O$18,MATCH(IF(E631="",DefaultChannel,E631),Channels!$A$5:$A$18,0)),"No"))</f>
        <v>0</v>
      </c>
      <c r="AD631" s="20">
        <f>IF(B631="","",ROUND((V631+IF(AC631="Yes",IF(I631="",0,I631),0))*AA631+AB631,2))</f>
        <v>0</v>
      </c>
      <c r="AE631" s="20">
        <f>IF(B631="","",IF(K631&lt;&gt;"",K631,AD631))</f>
        <v>0</v>
      </c>
      <c r="AF631" s="20">
        <f>IF(B631="","",IF(K631="","",ROUND(K631-AD631,2)))</f>
        <v>0</v>
      </c>
      <c r="AG631" s="20">
        <f>IF(B631="","",ROUND(V631-Y631-AE631-Z631,2))</f>
        <v>0</v>
      </c>
      <c r="AH631" s="33">
        <f>IF(B631="","",IF(OR(V631="",V631=0),"",AG631/V631))</f>
        <v>0</v>
      </c>
      <c r="AI631" s="33">
        <f>IF(C631="","",IFERROR(INDEX(Products!$AW$5:$AW$304,MATCH(C631,Products!$A$5:$A$304,0)),""))</f>
        <v>0</v>
      </c>
      <c r="AJ631" s="33">
        <f>IF(B631="","",IF(OR(AH631="",AI631=""),"",AH631-AI631))</f>
        <v>0</v>
      </c>
      <c r="AK631" s="41">
        <f>IF(B631="","",IFERROR(ROUND(IF(D631="",0,D631)*INDEX(Products!$X$5:$X$304,MATCH(C631,Products!$A$5:$A$304,0))/60,2),""))</f>
        <v>0</v>
      </c>
      <c r="AL631" s="20">
        <f>IF(B631="","",IF(OR(AK631="",AK631=0),"",ROUND(AG631/AK631,2)))</f>
        <v>0</v>
      </c>
      <c r="AM631" s="43">
        <f>IF(B631="","",IF(C631="","Add - which product?",IF(AG631&lt;0,"Loss - this order cost you money",IF(M631="Refunded","Refunded - check why",IF(AND(AF631&lt;&gt;"",AF631&gt;0.25),"Check - fees higher than your settings",IF(Z631&gt;1,"Check - postage is eating the margin",IF(AND(AH631&lt;&gt;"",AH631&lt;MarginWarning),"Low margin on this order","OK")))))) )</f>
        <v>0</v>
      </c>
    </row>
    <row r="632" spans="1:39">
      <c r="A632" s="38">
        <f>IF(B632="","",SalePrefix&amp;TEXT(ROW()-4,"0000"))</f>
        <v>0</v>
      </c>
      <c r="Q632" s="13">
        <f>IF(C632="","",IFERROR(INDEX(Products!$B$5:$B$304,MATCH(C632,Products!$A$5:$A$304,0)),"Bundle or deleted"))</f>
        <v>0</v>
      </c>
      <c r="R632" s="13">
        <f>IF(B632="","",TEXT(B632,"yyyy-mm"))</f>
        <v>0</v>
      </c>
      <c r="S632" s="20">
        <f>IF(C632="","",IFERROR(INDEX(Products!$AR$5:$AR$304,MATCH(C632,Products!$A$5:$A$304,0)),""))</f>
        <v>0</v>
      </c>
      <c r="T632" s="20">
        <f>IF(B632="","",IF(F632&lt;&gt;"",F632,IF(S632="",0,S632)))</f>
        <v>0</v>
      </c>
      <c r="U632" s="20">
        <f>IF(B632="","",ROUND(IF(D632="",0,D632)*T632,2))</f>
        <v>0</v>
      </c>
      <c r="V632" s="20">
        <f>IF(B632="","",ROUND(U632-IF(G632="",0,G632)-IF(L632="",0,L632),2))</f>
        <v>0</v>
      </c>
      <c r="W632" s="20">
        <f>IF(C632="","",IFERROR(INDEX(Products!$AT$5:$AT$304,MATCH(C632,Products!$A$5:$A$304,0)),""))</f>
        <v>0</v>
      </c>
      <c r="X632" s="20">
        <f>IF(C632="","",IFERROR(INDEX(Products!$AG$5:$AG$304,MATCH(C632,Products!$A$5:$A$304,0)),""))</f>
        <v>0</v>
      </c>
      <c r="Y632" s="20">
        <f>IF(B632="","",ROUND(IF(D632="",0,D632)*MAX(0,IF(W632="",0,W632)-IF(X632="",0,X632)),2))</f>
        <v>0</v>
      </c>
      <c r="Z632" s="20">
        <f>IF(B632="","",ROUND(MAX(0,IF(J632="",0,J632)-IF(I632="",0,I632)),2))</f>
        <v>0</v>
      </c>
      <c r="AA632" s="33">
        <f>IF(B632="","",IFERROR(INDEX(Channels!$S$5:$S$18,MATCH(IF(E632="",DefaultChannel,E632),Channels!$A$5:$A$18,0)),0))</f>
        <v>0</v>
      </c>
      <c r="AB632" s="20">
        <f>IF(B632="","",IFERROR(INDEX(Channels!$T$5:$T$18,MATCH(IF(E632="",DefaultChannel,E632),Channels!$A$5:$A$18,0)),0))</f>
        <v>0</v>
      </c>
      <c r="AC632" s="42">
        <f>IF(B632="","",IFERROR(INDEX(Channels!$O$5:$O$18,MATCH(IF(E632="",DefaultChannel,E632),Channels!$A$5:$A$18,0)),"No"))</f>
        <v>0</v>
      </c>
      <c r="AD632" s="20">
        <f>IF(B632="","",ROUND((V632+IF(AC632="Yes",IF(I632="",0,I632),0))*AA632+AB632,2))</f>
        <v>0</v>
      </c>
      <c r="AE632" s="20">
        <f>IF(B632="","",IF(K632&lt;&gt;"",K632,AD632))</f>
        <v>0</v>
      </c>
      <c r="AF632" s="20">
        <f>IF(B632="","",IF(K632="","",ROUND(K632-AD632,2)))</f>
        <v>0</v>
      </c>
      <c r="AG632" s="20">
        <f>IF(B632="","",ROUND(V632-Y632-AE632-Z632,2))</f>
        <v>0</v>
      </c>
      <c r="AH632" s="33">
        <f>IF(B632="","",IF(OR(V632="",V632=0),"",AG632/V632))</f>
        <v>0</v>
      </c>
      <c r="AI632" s="33">
        <f>IF(C632="","",IFERROR(INDEX(Products!$AW$5:$AW$304,MATCH(C632,Products!$A$5:$A$304,0)),""))</f>
        <v>0</v>
      </c>
      <c r="AJ632" s="33">
        <f>IF(B632="","",IF(OR(AH632="",AI632=""),"",AH632-AI632))</f>
        <v>0</v>
      </c>
      <c r="AK632" s="41">
        <f>IF(B632="","",IFERROR(ROUND(IF(D632="",0,D632)*INDEX(Products!$X$5:$X$304,MATCH(C632,Products!$A$5:$A$304,0))/60,2),""))</f>
        <v>0</v>
      </c>
      <c r="AL632" s="20">
        <f>IF(B632="","",IF(OR(AK632="",AK632=0),"",ROUND(AG632/AK632,2)))</f>
        <v>0</v>
      </c>
      <c r="AM632" s="43">
        <f>IF(B632="","",IF(C632="","Add - which product?",IF(AG632&lt;0,"Loss - this order cost you money",IF(M632="Refunded","Refunded - check why",IF(AND(AF632&lt;&gt;"",AF632&gt;0.25),"Check - fees higher than your settings",IF(Z632&gt;1,"Check - postage is eating the margin",IF(AND(AH632&lt;&gt;"",AH632&lt;MarginWarning),"Low margin on this order","OK")))))) )</f>
        <v>0</v>
      </c>
    </row>
    <row r="633" spans="1:39">
      <c r="A633" s="38">
        <f>IF(B633="","",SalePrefix&amp;TEXT(ROW()-4,"0000"))</f>
        <v>0</v>
      </c>
      <c r="Q633" s="13">
        <f>IF(C633="","",IFERROR(INDEX(Products!$B$5:$B$304,MATCH(C633,Products!$A$5:$A$304,0)),"Bundle or deleted"))</f>
        <v>0</v>
      </c>
      <c r="R633" s="13">
        <f>IF(B633="","",TEXT(B633,"yyyy-mm"))</f>
        <v>0</v>
      </c>
      <c r="S633" s="20">
        <f>IF(C633="","",IFERROR(INDEX(Products!$AR$5:$AR$304,MATCH(C633,Products!$A$5:$A$304,0)),""))</f>
        <v>0</v>
      </c>
      <c r="T633" s="20">
        <f>IF(B633="","",IF(F633&lt;&gt;"",F633,IF(S633="",0,S633)))</f>
        <v>0</v>
      </c>
      <c r="U633" s="20">
        <f>IF(B633="","",ROUND(IF(D633="",0,D633)*T633,2))</f>
        <v>0</v>
      </c>
      <c r="V633" s="20">
        <f>IF(B633="","",ROUND(U633-IF(G633="",0,G633)-IF(L633="",0,L633),2))</f>
        <v>0</v>
      </c>
      <c r="W633" s="20">
        <f>IF(C633="","",IFERROR(INDEX(Products!$AT$5:$AT$304,MATCH(C633,Products!$A$5:$A$304,0)),""))</f>
        <v>0</v>
      </c>
      <c r="X633" s="20">
        <f>IF(C633="","",IFERROR(INDEX(Products!$AG$5:$AG$304,MATCH(C633,Products!$A$5:$A$304,0)),""))</f>
        <v>0</v>
      </c>
      <c r="Y633" s="20">
        <f>IF(B633="","",ROUND(IF(D633="",0,D633)*MAX(0,IF(W633="",0,W633)-IF(X633="",0,X633)),2))</f>
        <v>0</v>
      </c>
      <c r="Z633" s="20">
        <f>IF(B633="","",ROUND(MAX(0,IF(J633="",0,J633)-IF(I633="",0,I633)),2))</f>
        <v>0</v>
      </c>
      <c r="AA633" s="33">
        <f>IF(B633="","",IFERROR(INDEX(Channels!$S$5:$S$18,MATCH(IF(E633="",DefaultChannel,E633),Channels!$A$5:$A$18,0)),0))</f>
        <v>0</v>
      </c>
      <c r="AB633" s="20">
        <f>IF(B633="","",IFERROR(INDEX(Channels!$T$5:$T$18,MATCH(IF(E633="",DefaultChannel,E633),Channels!$A$5:$A$18,0)),0))</f>
        <v>0</v>
      </c>
      <c r="AC633" s="42">
        <f>IF(B633="","",IFERROR(INDEX(Channels!$O$5:$O$18,MATCH(IF(E633="",DefaultChannel,E633),Channels!$A$5:$A$18,0)),"No"))</f>
        <v>0</v>
      </c>
      <c r="AD633" s="20">
        <f>IF(B633="","",ROUND((V633+IF(AC633="Yes",IF(I633="",0,I633),0))*AA633+AB633,2))</f>
        <v>0</v>
      </c>
      <c r="AE633" s="20">
        <f>IF(B633="","",IF(K633&lt;&gt;"",K633,AD633))</f>
        <v>0</v>
      </c>
      <c r="AF633" s="20">
        <f>IF(B633="","",IF(K633="","",ROUND(K633-AD633,2)))</f>
        <v>0</v>
      </c>
      <c r="AG633" s="20">
        <f>IF(B633="","",ROUND(V633-Y633-AE633-Z633,2))</f>
        <v>0</v>
      </c>
      <c r="AH633" s="33">
        <f>IF(B633="","",IF(OR(V633="",V633=0),"",AG633/V633))</f>
        <v>0</v>
      </c>
      <c r="AI633" s="33">
        <f>IF(C633="","",IFERROR(INDEX(Products!$AW$5:$AW$304,MATCH(C633,Products!$A$5:$A$304,0)),""))</f>
        <v>0</v>
      </c>
      <c r="AJ633" s="33">
        <f>IF(B633="","",IF(OR(AH633="",AI633=""),"",AH633-AI633))</f>
        <v>0</v>
      </c>
      <c r="AK633" s="41">
        <f>IF(B633="","",IFERROR(ROUND(IF(D633="",0,D633)*INDEX(Products!$X$5:$X$304,MATCH(C633,Products!$A$5:$A$304,0))/60,2),""))</f>
        <v>0</v>
      </c>
      <c r="AL633" s="20">
        <f>IF(B633="","",IF(OR(AK633="",AK633=0),"",ROUND(AG633/AK633,2)))</f>
        <v>0</v>
      </c>
      <c r="AM633" s="43">
        <f>IF(B633="","",IF(C633="","Add - which product?",IF(AG633&lt;0,"Loss - this order cost you money",IF(M633="Refunded","Refunded - check why",IF(AND(AF633&lt;&gt;"",AF633&gt;0.25),"Check - fees higher than your settings",IF(Z633&gt;1,"Check - postage is eating the margin",IF(AND(AH633&lt;&gt;"",AH633&lt;MarginWarning),"Low margin on this order","OK")))))) )</f>
        <v>0</v>
      </c>
    </row>
    <row r="634" spans="1:39">
      <c r="A634" s="38">
        <f>IF(B634="","",SalePrefix&amp;TEXT(ROW()-4,"0000"))</f>
        <v>0</v>
      </c>
      <c r="Q634" s="13">
        <f>IF(C634="","",IFERROR(INDEX(Products!$B$5:$B$304,MATCH(C634,Products!$A$5:$A$304,0)),"Bundle or deleted"))</f>
        <v>0</v>
      </c>
      <c r="R634" s="13">
        <f>IF(B634="","",TEXT(B634,"yyyy-mm"))</f>
        <v>0</v>
      </c>
      <c r="S634" s="20">
        <f>IF(C634="","",IFERROR(INDEX(Products!$AR$5:$AR$304,MATCH(C634,Products!$A$5:$A$304,0)),""))</f>
        <v>0</v>
      </c>
      <c r="T634" s="20">
        <f>IF(B634="","",IF(F634&lt;&gt;"",F634,IF(S634="",0,S634)))</f>
        <v>0</v>
      </c>
      <c r="U634" s="20">
        <f>IF(B634="","",ROUND(IF(D634="",0,D634)*T634,2))</f>
        <v>0</v>
      </c>
      <c r="V634" s="20">
        <f>IF(B634="","",ROUND(U634-IF(G634="",0,G634)-IF(L634="",0,L634),2))</f>
        <v>0</v>
      </c>
      <c r="W634" s="20">
        <f>IF(C634="","",IFERROR(INDEX(Products!$AT$5:$AT$304,MATCH(C634,Products!$A$5:$A$304,0)),""))</f>
        <v>0</v>
      </c>
      <c r="X634" s="20">
        <f>IF(C634="","",IFERROR(INDEX(Products!$AG$5:$AG$304,MATCH(C634,Products!$A$5:$A$304,0)),""))</f>
        <v>0</v>
      </c>
      <c r="Y634" s="20">
        <f>IF(B634="","",ROUND(IF(D634="",0,D634)*MAX(0,IF(W634="",0,W634)-IF(X634="",0,X634)),2))</f>
        <v>0</v>
      </c>
      <c r="Z634" s="20">
        <f>IF(B634="","",ROUND(MAX(0,IF(J634="",0,J634)-IF(I634="",0,I634)),2))</f>
        <v>0</v>
      </c>
      <c r="AA634" s="33">
        <f>IF(B634="","",IFERROR(INDEX(Channels!$S$5:$S$18,MATCH(IF(E634="",DefaultChannel,E634),Channels!$A$5:$A$18,0)),0))</f>
        <v>0</v>
      </c>
      <c r="AB634" s="20">
        <f>IF(B634="","",IFERROR(INDEX(Channels!$T$5:$T$18,MATCH(IF(E634="",DefaultChannel,E634),Channels!$A$5:$A$18,0)),0))</f>
        <v>0</v>
      </c>
      <c r="AC634" s="42">
        <f>IF(B634="","",IFERROR(INDEX(Channels!$O$5:$O$18,MATCH(IF(E634="",DefaultChannel,E634),Channels!$A$5:$A$18,0)),"No"))</f>
        <v>0</v>
      </c>
      <c r="AD634" s="20">
        <f>IF(B634="","",ROUND((V634+IF(AC634="Yes",IF(I634="",0,I634),0))*AA634+AB634,2))</f>
        <v>0</v>
      </c>
      <c r="AE634" s="20">
        <f>IF(B634="","",IF(K634&lt;&gt;"",K634,AD634))</f>
        <v>0</v>
      </c>
      <c r="AF634" s="20">
        <f>IF(B634="","",IF(K634="","",ROUND(K634-AD634,2)))</f>
        <v>0</v>
      </c>
      <c r="AG634" s="20">
        <f>IF(B634="","",ROUND(V634-Y634-AE634-Z634,2))</f>
        <v>0</v>
      </c>
      <c r="AH634" s="33">
        <f>IF(B634="","",IF(OR(V634="",V634=0),"",AG634/V634))</f>
        <v>0</v>
      </c>
      <c r="AI634" s="33">
        <f>IF(C634="","",IFERROR(INDEX(Products!$AW$5:$AW$304,MATCH(C634,Products!$A$5:$A$304,0)),""))</f>
        <v>0</v>
      </c>
      <c r="AJ634" s="33">
        <f>IF(B634="","",IF(OR(AH634="",AI634=""),"",AH634-AI634))</f>
        <v>0</v>
      </c>
      <c r="AK634" s="41">
        <f>IF(B634="","",IFERROR(ROUND(IF(D634="",0,D634)*INDEX(Products!$X$5:$X$304,MATCH(C634,Products!$A$5:$A$304,0))/60,2),""))</f>
        <v>0</v>
      </c>
      <c r="AL634" s="20">
        <f>IF(B634="","",IF(OR(AK634="",AK634=0),"",ROUND(AG634/AK634,2)))</f>
        <v>0</v>
      </c>
      <c r="AM634" s="43">
        <f>IF(B634="","",IF(C634="","Add - which product?",IF(AG634&lt;0,"Loss - this order cost you money",IF(M634="Refunded","Refunded - check why",IF(AND(AF634&lt;&gt;"",AF634&gt;0.25),"Check - fees higher than your settings",IF(Z634&gt;1,"Check - postage is eating the margin",IF(AND(AH634&lt;&gt;"",AH634&lt;MarginWarning),"Low margin on this order","OK")))))) )</f>
        <v>0</v>
      </c>
    </row>
    <row r="635" spans="1:39">
      <c r="A635" s="38">
        <f>IF(B635="","",SalePrefix&amp;TEXT(ROW()-4,"0000"))</f>
        <v>0</v>
      </c>
      <c r="Q635" s="13">
        <f>IF(C635="","",IFERROR(INDEX(Products!$B$5:$B$304,MATCH(C635,Products!$A$5:$A$304,0)),"Bundle or deleted"))</f>
        <v>0</v>
      </c>
      <c r="R635" s="13">
        <f>IF(B635="","",TEXT(B635,"yyyy-mm"))</f>
        <v>0</v>
      </c>
      <c r="S635" s="20">
        <f>IF(C635="","",IFERROR(INDEX(Products!$AR$5:$AR$304,MATCH(C635,Products!$A$5:$A$304,0)),""))</f>
        <v>0</v>
      </c>
      <c r="T635" s="20">
        <f>IF(B635="","",IF(F635&lt;&gt;"",F635,IF(S635="",0,S635)))</f>
        <v>0</v>
      </c>
      <c r="U635" s="20">
        <f>IF(B635="","",ROUND(IF(D635="",0,D635)*T635,2))</f>
        <v>0</v>
      </c>
      <c r="V635" s="20">
        <f>IF(B635="","",ROUND(U635-IF(G635="",0,G635)-IF(L635="",0,L635),2))</f>
        <v>0</v>
      </c>
      <c r="W635" s="20">
        <f>IF(C635="","",IFERROR(INDEX(Products!$AT$5:$AT$304,MATCH(C635,Products!$A$5:$A$304,0)),""))</f>
        <v>0</v>
      </c>
      <c r="X635" s="20">
        <f>IF(C635="","",IFERROR(INDEX(Products!$AG$5:$AG$304,MATCH(C635,Products!$A$5:$A$304,0)),""))</f>
        <v>0</v>
      </c>
      <c r="Y635" s="20">
        <f>IF(B635="","",ROUND(IF(D635="",0,D635)*MAX(0,IF(W635="",0,W635)-IF(X635="",0,X635)),2))</f>
        <v>0</v>
      </c>
      <c r="Z635" s="20">
        <f>IF(B635="","",ROUND(MAX(0,IF(J635="",0,J635)-IF(I635="",0,I635)),2))</f>
        <v>0</v>
      </c>
      <c r="AA635" s="33">
        <f>IF(B635="","",IFERROR(INDEX(Channels!$S$5:$S$18,MATCH(IF(E635="",DefaultChannel,E635),Channels!$A$5:$A$18,0)),0))</f>
        <v>0</v>
      </c>
      <c r="AB635" s="20">
        <f>IF(B635="","",IFERROR(INDEX(Channels!$T$5:$T$18,MATCH(IF(E635="",DefaultChannel,E635),Channels!$A$5:$A$18,0)),0))</f>
        <v>0</v>
      </c>
      <c r="AC635" s="42">
        <f>IF(B635="","",IFERROR(INDEX(Channels!$O$5:$O$18,MATCH(IF(E635="",DefaultChannel,E635),Channels!$A$5:$A$18,0)),"No"))</f>
        <v>0</v>
      </c>
      <c r="AD635" s="20">
        <f>IF(B635="","",ROUND((V635+IF(AC635="Yes",IF(I635="",0,I635),0))*AA635+AB635,2))</f>
        <v>0</v>
      </c>
      <c r="AE635" s="20">
        <f>IF(B635="","",IF(K635&lt;&gt;"",K635,AD635))</f>
        <v>0</v>
      </c>
      <c r="AF635" s="20">
        <f>IF(B635="","",IF(K635="","",ROUND(K635-AD635,2)))</f>
        <v>0</v>
      </c>
      <c r="AG635" s="20">
        <f>IF(B635="","",ROUND(V635-Y635-AE635-Z635,2))</f>
        <v>0</v>
      </c>
      <c r="AH635" s="33">
        <f>IF(B635="","",IF(OR(V635="",V635=0),"",AG635/V635))</f>
        <v>0</v>
      </c>
      <c r="AI635" s="33">
        <f>IF(C635="","",IFERROR(INDEX(Products!$AW$5:$AW$304,MATCH(C635,Products!$A$5:$A$304,0)),""))</f>
        <v>0</v>
      </c>
      <c r="AJ635" s="33">
        <f>IF(B635="","",IF(OR(AH635="",AI635=""),"",AH635-AI635))</f>
        <v>0</v>
      </c>
      <c r="AK635" s="41">
        <f>IF(B635="","",IFERROR(ROUND(IF(D635="",0,D635)*INDEX(Products!$X$5:$X$304,MATCH(C635,Products!$A$5:$A$304,0))/60,2),""))</f>
        <v>0</v>
      </c>
      <c r="AL635" s="20">
        <f>IF(B635="","",IF(OR(AK635="",AK635=0),"",ROUND(AG635/AK635,2)))</f>
        <v>0</v>
      </c>
      <c r="AM635" s="43">
        <f>IF(B635="","",IF(C635="","Add - which product?",IF(AG635&lt;0,"Loss - this order cost you money",IF(M635="Refunded","Refunded - check why",IF(AND(AF635&lt;&gt;"",AF635&gt;0.25),"Check - fees higher than your settings",IF(Z635&gt;1,"Check - postage is eating the margin",IF(AND(AH635&lt;&gt;"",AH635&lt;MarginWarning),"Low margin on this order","OK")))))) )</f>
        <v>0</v>
      </c>
    </row>
    <row r="636" spans="1:39">
      <c r="A636" s="38">
        <f>IF(B636="","",SalePrefix&amp;TEXT(ROW()-4,"0000"))</f>
        <v>0</v>
      </c>
      <c r="Q636" s="13">
        <f>IF(C636="","",IFERROR(INDEX(Products!$B$5:$B$304,MATCH(C636,Products!$A$5:$A$304,0)),"Bundle or deleted"))</f>
        <v>0</v>
      </c>
      <c r="R636" s="13">
        <f>IF(B636="","",TEXT(B636,"yyyy-mm"))</f>
        <v>0</v>
      </c>
      <c r="S636" s="20">
        <f>IF(C636="","",IFERROR(INDEX(Products!$AR$5:$AR$304,MATCH(C636,Products!$A$5:$A$304,0)),""))</f>
        <v>0</v>
      </c>
      <c r="T636" s="20">
        <f>IF(B636="","",IF(F636&lt;&gt;"",F636,IF(S636="",0,S636)))</f>
        <v>0</v>
      </c>
      <c r="U636" s="20">
        <f>IF(B636="","",ROUND(IF(D636="",0,D636)*T636,2))</f>
        <v>0</v>
      </c>
      <c r="V636" s="20">
        <f>IF(B636="","",ROUND(U636-IF(G636="",0,G636)-IF(L636="",0,L636),2))</f>
        <v>0</v>
      </c>
      <c r="W636" s="20">
        <f>IF(C636="","",IFERROR(INDEX(Products!$AT$5:$AT$304,MATCH(C636,Products!$A$5:$A$304,0)),""))</f>
        <v>0</v>
      </c>
      <c r="X636" s="20">
        <f>IF(C636="","",IFERROR(INDEX(Products!$AG$5:$AG$304,MATCH(C636,Products!$A$5:$A$304,0)),""))</f>
        <v>0</v>
      </c>
      <c r="Y636" s="20">
        <f>IF(B636="","",ROUND(IF(D636="",0,D636)*MAX(0,IF(W636="",0,W636)-IF(X636="",0,X636)),2))</f>
        <v>0</v>
      </c>
      <c r="Z636" s="20">
        <f>IF(B636="","",ROUND(MAX(0,IF(J636="",0,J636)-IF(I636="",0,I636)),2))</f>
        <v>0</v>
      </c>
      <c r="AA636" s="33">
        <f>IF(B636="","",IFERROR(INDEX(Channels!$S$5:$S$18,MATCH(IF(E636="",DefaultChannel,E636),Channels!$A$5:$A$18,0)),0))</f>
        <v>0</v>
      </c>
      <c r="AB636" s="20">
        <f>IF(B636="","",IFERROR(INDEX(Channels!$T$5:$T$18,MATCH(IF(E636="",DefaultChannel,E636),Channels!$A$5:$A$18,0)),0))</f>
        <v>0</v>
      </c>
      <c r="AC636" s="42">
        <f>IF(B636="","",IFERROR(INDEX(Channels!$O$5:$O$18,MATCH(IF(E636="",DefaultChannel,E636),Channels!$A$5:$A$18,0)),"No"))</f>
        <v>0</v>
      </c>
      <c r="AD636" s="20">
        <f>IF(B636="","",ROUND((V636+IF(AC636="Yes",IF(I636="",0,I636),0))*AA636+AB636,2))</f>
        <v>0</v>
      </c>
      <c r="AE636" s="20">
        <f>IF(B636="","",IF(K636&lt;&gt;"",K636,AD636))</f>
        <v>0</v>
      </c>
      <c r="AF636" s="20">
        <f>IF(B636="","",IF(K636="","",ROUND(K636-AD636,2)))</f>
        <v>0</v>
      </c>
      <c r="AG636" s="20">
        <f>IF(B636="","",ROUND(V636-Y636-AE636-Z636,2))</f>
        <v>0</v>
      </c>
      <c r="AH636" s="33">
        <f>IF(B636="","",IF(OR(V636="",V636=0),"",AG636/V636))</f>
        <v>0</v>
      </c>
      <c r="AI636" s="33">
        <f>IF(C636="","",IFERROR(INDEX(Products!$AW$5:$AW$304,MATCH(C636,Products!$A$5:$A$304,0)),""))</f>
        <v>0</v>
      </c>
      <c r="AJ636" s="33">
        <f>IF(B636="","",IF(OR(AH636="",AI636=""),"",AH636-AI636))</f>
        <v>0</v>
      </c>
      <c r="AK636" s="41">
        <f>IF(B636="","",IFERROR(ROUND(IF(D636="",0,D636)*INDEX(Products!$X$5:$X$304,MATCH(C636,Products!$A$5:$A$304,0))/60,2),""))</f>
        <v>0</v>
      </c>
      <c r="AL636" s="20">
        <f>IF(B636="","",IF(OR(AK636="",AK636=0),"",ROUND(AG636/AK636,2)))</f>
        <v>0</v>
      </c>
      <c r="AM636" s="43">
        <f>IF(B636="","",IF(C636="","Add - which product?",IF(AG636&lt;0,"Loss - this order cost you money",IF(M636="Refunded","Refunded - check why",IF(AND(AF636&lt;&gt;"",AF636&gt;0.25),"Check - fees higher than your settings",IF(Z636&gt;1,"Check - postage is eating the margin",IF(AND(AH636&lt;&gt;"",AH636&lt;MarginWarning),"Low margin on this order","OK")))))) )</f>
        <v>0</v>
      </c>
    </row>
    <row r="637" spans="1:39">
      <c r="A637" s="38">
        <f>IF(B637="","",SalePrefix&amp;TEXT(ROW()-4,"0000"))</f>
        <v>0</v>
      </c>
      <c r="Q637" s="13">
        <f>IF(C637="","",IFERROR(INDEX(Products!$B$5:$B$304,MATCH(C637,Products!$A$5:$A$304,0)),"Bundle or deleted"))</f>
        <v>0</v>
      </c>
      <c r="R637" s="13">
        <f>IF(B637="","",TEXT(B637,"yyyy-mm"))</f>
        <v>0</v>
      </c>
      <c r="S637" s="20">
        <f>IF(C637="","",IFERROR(INDEX(Products!$AR$5:$AR$304,MATCH(C637,Products!$A$5:$A$304,0)),""))</f>
        <v>0</v>
      </c>
      <c r="T637" s="20">
        <f>IF(B637="","",IF(F637&lt;&gt;"",F637,IF(S637="",0,S637)))</f>
        <v>0</v>
      </c>
      <c r="U637" s="20">
        <f>IF(B637="","",ROUND(IF(D637="",0,D637)*T637,2))</f>
        <v>0</v>
      </c>
      <c r="V637" s="20">
        <f>IF(B637="","",ROUND(U637-IF(G637="",0,G637)-IF(L637="",0,L637),2))</f>
        <v>0</v>
      </c>
      <c r="W637" s="20">
        <f>IF(C637="","",IFERROR(INDEX(Products!$AT$5:$AT$304,MATCH(C637,Products!$A$5:$A$304,0)),""))</f>
        <v>0</v>
      </c>
      <c r="X637" s="20">
        <f>IF(C637="","",IFERROR(INDEX(Products!$AG$5:$AG$304,MATCH(C637,Products!$A$5:$A$304,0)),""))</f>
        <v>0</v>
      </c>
      <c r="Y637" s="20">
        <f>IF(B637="","",ROUND(IF(D637="",0,D637)*MAX(0,IF(W637="",0,W637)-IF(X637="",0,X637)),2))</f>
        <v>0</v>
      </c>
      <c r="Z637" s="20">
        <f>IF(B637="","",ROUND(MAX(0,IF(J637="",0,J637)-IF(I637="",0,I637)),2))</f>
        <v>0</v>
      </c>
      <c r="AA637" s="33">
        <f>IF(B637="","",IFERROR(INDEX(Channels!$S$5:$S$18,MATCH(IF(E637="",DefaultChannel,E637),Channels!$A$5:$A$18,0)),0))</f>
        <v>0</v>
      </c>
      <c r="AB637" s="20">
        <f>IF(B637="","",IFERROR(INDEX(Channels!$T$5:$T$18,MATCH(IF(E637="",DefaultChannel,E637),Channels!$A$5:$A$18,0)),0))</f>
        <v>0</v>
      </c>
      <c r="AC637" s="42">
        <f>IF(B637="","",IFERROR(INDEX(Channels!$O$5:$O$18,MATCH(IF(E637="",DefaultChannel,E637),Channels!$A$5:$A$18,0)),"No"))</f>
        <v>0</v>
      </c>
      <c r="AD637" s="20">
        <f>IF(B637="","",ROUND((V637+IF(AC637="Yes",IF(I637="",0,I637),0))*AA637+AB637,2))</f>
        <v>0</v>
      </c>
      <c r="AE637" s="20">
        <f>IF(B637="","",IF(K637&lt;&gt;"",K637,AD637))</f>
        <v>0</v>
      </c>
      <c r="AF637" s="20">
        <f>IF(B637="","",IF(K637="","",ROUND(K637-AD637,2)))</f>
        <v>0</v>
      </c>
      <c r="AG637" s="20">
        <f>IF(B637="","",ROUND(V637-Y637-AE637-Z637,2))</f>
        <v>0</v>
      </c>
      <c r="AH637" s="33">
        <f>IF(B637="","",IF(OR(V637="",V637=0),"",AG637/V637))</f>
        <v>0</v>
      </c>
      <c r="AI637" s="33">
        <f>IF(C637="","",IFERROR(INDEX(Products!$AW$5:$AW$304,MATCH(C637,Products!$A$5:$A$304,0)),""))</f>
        <v>0</v>
      </c>
      <c r="AJ637" s="33">
        <f>IF(B637="","",IF(OR(AH637="",AI637=""),"",AH637-AI637))</f>
        <v>0</v>
      </c>
      <c r="AK637" s="41">
        <f>IF(B637="","",IFERROR(ROUND(IF(D637="",0,D637)*INDEX(Products!$X$5:$X$304,MATCH(C637,Products!$A$5:$A$304,0))/60,2),""))</f>
        <v>0</v>
      </c>
      <c r="AL637" s="20">
        <f>IF(B637="","",IF(OR(AK637="",AK637=0),"",ROUND(AG637/AK637,2)))</f>
        <v>0</v>
      </c>
      <c r="AM637" s="43">
        <f>IF(B637="","",IF(C637="","Add - which product?",IF(AG637&lt;0,"Loss - this order cost you money",IF(M637="Refunded","Refunded - check why",IF(AND(AF637&lt;&gt;"",AF637&gt;0.25),"Check - fees higher than your settings",IF(Z637&gt;1,"Check - postage is eating the margin",IF(AND(AH637&lt;&gt;"",AH637&lt;MarginWarning),"Low margin on this order","OK")))))) )</f>
        <v>0</v>
      </c>
    </row>
    <row r="638" spans="1:39">
      <c r="A638" s="38">
        <f>IF(B638="","",SalePrefix&amp;TEXT(ROW()-4,"0000"))</f>
        <v>0</v>
      </c>
      <c r="Q638" s="13">
        <f>IF(C638="","",IFERROR(INDEX(Products!$B$5:$B$304,MATCH(C638,Products!$A$5:$A$304,0)),"Bundle or deleted"))</f>
        <v>0</v>
      </c>
      <c r="R638" s="13">
        <f>IF(B638="","",TEXT(B638,"yyyy-mm"))</f>
        <v>0</v>
      </c>
      <c r="S638" s="20">
        <f>IF(C638="","",IFERROR(INDEX(Products!$AR$5:$AR$304,MATCH(C638,Products!$A$5:$A$304,0)),""))</f>
        <v>0</v>
      </c>
      <c r="T638" s="20">
        <f>IF(B638="","",IF(F638&lt;&gt;"",F638,IF(S638="",0,S638)))</f>
        <v>0</v>
      </c>
      <c r="U638" s="20">
        <f>IF(B638="","",ROUND(IF(D638="",0,D638)*T638,2))</f>
        <v>0</v>
      </c>
      <c r="V638" s="20">
        <f>IF(B638="","",ROUND(U638-IF(G638="",0,G638)-IF(L638="",0,L638),2))</f>
        <v>0</v>
      </c>
      <c r="W638" s="20">
        <f>IF(C638="","",IFERROR(INDEX(Products!$AT$5:$AT$304,MATCH(C638,Products!$A$5:$A$304,0)),""))</f>
        <v>0</v>
      </c>
      <c r="X638" s="20">
        <f>IF(C638="","",IFERROR(INDEX(Products!$AG$5:$AG$304,MATCH(C638,Products!$A$5:$A$304,0)),""))</f>
        <v>0</v>
      </c>
      <c r="Y638" s="20">
        <f>IF(B638="","",ROUND(IF(D638="",0,D638)*MAX(0,IF(W638="",0,W638)-IF(X638="",0,X638)),2))</f>
        <v>0</v>
      </c>
      <c r="Z638" s="20">
        <f>IF(B638="","",ROUND(MAX(0,IF(J638="",0,J638)-IF(I638="",0,I638)),2))</f>
        <v>0</v>
      </c>
      <c r="AA638" s="33">
        <f>IF(B638="","",IFERROR(INDEX(Channels!$S$5:$S$18,MATCH(IF(E638="",DefaultChannel,E638),Channels!$A$5:$A$18,0)),0))</f>
        <v>0</v>
      </c>
      <c r="AB638" s="20">
        <f>IF(B638="","",IFERROR(INDEX(Channels!$T$5:$T$18,MATCH(IF(E638="",DefaultChannel,E638),Channels!$A$5:$A$18,0)),0))</f>
        <v>0</v>
      </c>
      <c r="AC638" s="42">
        <f>IF(B638="","",IFERROR(INDEX(Channels!$O$5:$O$18,MATCH(IF(E638="",DefaultChannel,E638),Channels!$A$5:$A$18,0)),"No"))</f>
        <v>0</v>
      </c>
      <c r="AD638" s="20">
        <f>IF(B638="","",ROUND((V638+IF(AC638="Yes",IF(I638="",0,I638),0))*AA638+AB638,2))</f>
        <v>0</v>
      </c>
      <c r="AE638" s="20">
        <f>IF(B638="","",IF(K638&lt;&gt;"",K638,AD638))</f>
        <v>0</v>
      </c>
      <c r="AF638" s="20">
        <f>IF(B638="","",IF(K638="","",ROUND(K638-AD638,2)))</f>
        <v>0</v>
      </c>
      <c r="AG638" s="20">
        <f>IF(B638="","",ROUND(V638-Y638-AE638-Z638,2))</f>
        <v>0</v>
      </c>
      <c r="AH638" s="33">
        <f>IF(B638="","",IF(OR(V638="",V638=0),"",AG638/V638))</f>
        <v>0</v>
      </c>
      <c r="AI638" s="33">
        <f>IF(C638="","",IFERROR(INDEX(Products!$AW$5:$AW$304,MATCH(C638,Products!$A$5:$A$304,0)),""))</f>
        <v>0</v>
      </c>
      <c r="AJ638" s="33">
        <f>IF(B638="","",IF(OR(AH638="",AI638=""),"",AH638-AI638))</f>
        <v>0</v>
      </c>
      <c r="AK638" s="41">
        <f>IF(B638="","",IFERROR(ROUND(IF(D638="",0,D638)*INDEX(Products!$X$5:$X$304,MATCH(C638,Products!$A$5:$A$304,0))/60,2),""))</f>
        <v>0</v>
      </c>
      <c r="AL638" s="20">
        <f>IF(B638="","",IF(OR(AK638="",AK638=0),"",ROUND(AG638/AK638,2)))</f>
        <v>0</v>
      </c>
      <c r="AM638" s="43">
        <f>IF(B638="","",IF(C638="","Add - which product?",IF(AG638&lt;0,"Loss - this order cost you money",IF(M638="Refunded","Refunded - check why",IF(AND(AF638&lt;&gt;"",AF638&gt;0.25),"Check - fees higher than your settings",IF(Z638&gt;1,"Check - postage is eating the margin",IF(AND(AH638&lt;&gt;"",AH638&lt;MarginWarning),"Low margin on this order","OK")))))) )</f>
        <v>0</v>
      </c>
    </row>
    <row r="639" spans="1:39">
      <c r="A639" s="38">
        <f>IF(B639="","",SalePrefix&amp;TEXT(ROW()-4,"0000"))</f>
        <v>0</v>
      </c>
      <c r="Q639" s="13">
        <f>IF(C639="","",IFERROR(INDEX(Products!$B$5:$B$304,MATCH(C639,Products!$A$5:$A$304,0)),"Bundle or deleted"))</f>
        <v>0</v>
      </c>
      <c r="R639" s="13">
        <f>IF(B639="","",TEXT(B639,"yyyy-mm"))</f>
        <v>0</v>
      </c>
      <c r="S639" s="20">
        <f>IF(C639="","",IFERROR(INDEX(Products!$AR$5:$AR$304,MATCH(C639,Products!$A$5:$A$304,0)),""))</f>
        <v>0</v>
      </c>
      <c r="T639" s="20">
        <f>IF(B639="","",IF(F639&lt;&gt;"",F639,IF(S639="",0,S639)))</f>
        <v>0</v>
      </c>
      <c r="U639" s="20">
        <f>IF(B639="","",ROUND(IF(D639="",0,D639)*T639,2))</f>
        <v>0</v>
      </c>
      <c r="V639" s="20">
        <f>IF(B639="","",ROUND(U639-IF(G639="",0,G639)-IF(L639="",0,L639),2))</f>
        <v>0</v>
      </c>
      <c r="W639" s="20">
        <f>IF(C639="","",IFERROR(INDEX(Products!$AT$5:$AT$304,MATCH(C639,Products!$A$5:$A$304,0)),""))</f>
        <v>0</v>
      </c>
      <c r="X639" s="20">
        <f>IF(C639="","",IFERROR(INDEX(Products!$AG$5:$AG$304,MATCH(C639,Products!$A$5:$A$304,0)),""))</f>
        <v>0</v>
      </c>
      <c r="Y639" s="20">
        <f>IF(B639="","",ROUND(IF(D639="",0,D639)*MAX(0,IF(W639="",0,W639)-IF(X639="",0,X639)),2))</f>
        <v>0</v>
      </c>
      <c r="Z639" s="20">
        <f>IF(B639="","",ROUND(MAX(0,IF(J639="",0,J639)-IF(I639="",0,I639)),2))</f>
        <v>0</v>
      </c>
      <c r="AA639" s="33">
        <f>IF(B639="","",IFERROR(INDEX(Channels!$S$5:$S$18,MATCH(IF(E639="",DefaultChannel,E639),Channels!$A$5:$A$18,0)),0))</f>
        <v>0</v>
      </c>
      <c r="AB639" s="20">
        <f>IF(B639="","",IFERROR(INDEX(Channels!$T$5:$T$18,MATCH(IF(E639="",DefaultChannel,E639),Channels!$A$5:$A$18,0)),0))</f>
        <v>0</v>
      </c>
      <c r="AC639" s="42">
        <f>IF(B639="","",IFERROR(INDEX(Channels!$O$5:$O$18,MATCH(IF(E639="",DefaultChannel,E639),Channels!$A$5:$A$18,0)),"No"))</f>
        <v>0</v>
      </c>
      <c r="AD639" s="20">
        <f>IF(B639="","",ROUND((V639+IF(AC639="Yes",IF(I639="",0,I639),0))*AA639+AB639,2))</f>
        <v>0</v>
      </c>
      <c r="AE639" s="20">
        <f>IF(B639="","",IF(K639&lt;&gt;"",K639,AD639))</f>
        <v>0</v>
      </c>
      <c r="AF639" s="20">
        <f>IF(B639="","",IF(K639="","",ROUND(K639-AD639,2)))</f>
        <v>0</v>
      </c>
      <c r="AG639" s="20">
        <f>IF(B639="","",ROUND(V639-Y639-AE639-Z639,2))</f>
        <v>0</v>
      </c>
      <c r="AH639" s="33">
        <f>IF(B639="","",IF(OR(V639="",V639=0),"",AG639/V639))</f>
        <v>0</v>
      </c>
      <c r="AI639" s="33">
        <f>IF(C639="","",IFERROR(INDEX(Products!$AW$5:$AW$304,MATCH(C639,Products!$A$5:$A$304,0)),""))</f>
        <v>0</v>
      </c>
      <c r="AJ639" s="33">
        <f>IF(B639="","",IF(OR(AH639="",AI639=""),"",AH639-AI639))</f>
        <v>0</v>
      </c>
      <c r="AK639" s="41">
        <f>IF(B639="","",IFERROR(ROUND(IF(D639="",0,D639)*INDEX(Products!$X$5:$X$304,MATCH(C639,Products!$A$5:$A$304,0))/60,2),""))</f>
        <v>0</v>
      </c>
      <c r="AL639" s="20">
        <f>IF(B639="","",IF(OR(AK639="",AK639=0),"",ROUND(AG639/AK639,2)))</f>
        <v>0</v>
      </c>
      <c r="AM639" s="43">
        <f>IF(B639="","",IF(C639="","Add - which product?",IF(AG639&lt;0,"Loss - this order cost you money",IF(M639="Refunded","Refunded - check why",IF(AND(AF639&lt;&gt;"",AF639&gt;0.25),"Check - fees higher than your settings",IF(Z639&gt;1,"Check - postage is eating the margin",IF(AND(AH639&lt;&gt;"",AH639&lt;MarginWarning),"Low margin on this order","OK")))))) )</f>
        <v>0</v>
      </c>
    </row>
    <row r="640" spans="1:39">
      <c r="A640" s="38">
        <f>IF(B640="","",SalePrefix&amp;TEXT(ROW()-4,"0000"))</f>
        <v>0</v>
      </c>
      <c r="Q640" s="13">
        <f>IF(C640="","",IFERROR(INDEX(Products!$B$5:$B$304,MATCH(C640,Products!$A$5:$A$304,0)),"Bundle or deleted"))</f>
        <v>0</v>
      </c>
      <c r="R640" s="13">
        <f>IF(B640="","",TEXT(B640,"yyyy-mm"))</f>
        <v>0</v>
      </c>
      <c r="S640" s="20">
        <f>IF(C640="","",IFERROR(INDEX(Products!$AR$5:$AR$304,MATCH(C640,Products!$A$5:$A$304,0)),""))</f>
        <v>0</v>
      </c>
      <c r="T640" s="20">
        <f>IF(B640="","",IF(F640&lt;&gt;"",F640,IF(S640="",0,S640)))</f>
        <v>0</v>
      </c>
      <c r="U640" s="20">
        <f>IF(B640="","",ROUND(IF(D640="",0,D640)*T640,2))</f>
        <v>0</v>
      </c>
      <c r="V640" s="20">
        <f>IF(B640="","",ROUND(U640-IF(G640="",0,G640)-IF(L640="",0,L640),2))</f>
        <v>0</v>
      </c>
      <c r="W640" s="20">
        <f>IF(C640="","",IFERROR(INDEX(Products!$AT$5:$AT$304,MATCH(C640,Products!$A$5:$A$304,0)),""))</f>
        <v>0</v>
      </c>
      <c r="X640" s="20">
        <f>IF(C640="","",IFERROR(INDEX(Products!$AG$5:$AG$304,MATCH(C640,Products!$A$5:$A$304,0)),""))</f>
        <v>0</v>
      </c>
      <c r="Y640" s="20">
        <f>IF(B640="","",ROUND(IF(D640="",0,D640)*MAX(0,IF(W640="",0,W640)-IF(X640="",0,X640)),2))</f>
        <v>0</v>
      </c>
      <c r="Z640" s="20">
        <f>IF(B640="","",ROUND(MAX(0,IF(J640="",0,J640)-IF(I640="",0,I640)),2))</f>
        <v>0</v>
      </c>
      <c r="AA640" s="33">
        <f>IF(B640="","",IFERROR(INDEX(Channels!$S$5:$S$18,MATCH(IF(E640="",DefaultChannel,E640),Channels!$A$5:$A$18,0)),0))</f>
        <v>0</v>
      </c>
      <c r="AB640" s="20">
        <f>IF(B640="","",IFERROR(INDEX(Channels!$T$5:$T$18,MATCH(IF(E640="",DefaultChannel,E640),Channels!$A$5:$A$18,0)),0))</f>
        <v>0</v>
      </c>
      <c r="AC640" s="42">
        <f>IF(B640="","",IFERROR(INDEX(Channels!$O$5:$O$18,MATCH(IF(E640="",DefaultChannel,E640),Channels!$A$5:$A$18,0)),"No"))</f>
        <v>0</v>
      </c>
      <c r="AD640" s="20">
        <f>IF(B640="","",ROUND((V640+IF(AC640="Yes",IF(I640="",0,I640),0))*AA640+AB640,2))</f>
        <v>0</v>
      </c>
      <c r="AE640" s="20">
        <f>IF(B640="","",IF(K640&lt;&gt;"",K640,AD640))</f>
        <v>0</v>
      </c>
      <c r="AF640" s="20">
        <f>IF(B640="","",IF(K640="","",ROUND(K640-AD640,2)))</f>
        <v>0</v>
      </c>
      <c r="AG640" s="20">
        <f>IF(B640="","",ROUND(V640-Y640-AE640-Z640,2))</f>
        <v>0</v>
      </c>
      <c r="AH640" s="33">
        <f>IF(B640="","",IF(OR(V640="",V640=0),"",AG640/V640))</f>
        <v>0</v>
      </c>
      <c r="AI640" s="33">
        <f>IF(C640="","",IFERROR(INDEX(Products!$AW$5:$AW$304,MATCH(C640,Products!$A$5:$A$304,0)),""))</f>
        <v>0</v>
      </c>
      <c r="AJ640" s="33">
        <f>IF(B640="","",IF(OR(AH640="",AI640=""),"",AH640-AI640))</f>
        <v>0</v>
      </c>
      <c r="AK640" s="41">
        <f>IF(B640="","",IFERROR(ROUND(IF(D640="",0,D640)*INDEX(Products!$X$5:$X$304,MATCH(C640,Products!$A$5:$A$304,0))/60,2),""))</f>
        <v>0</v>
      </c>
      <c r="AL640" s="20">
        <f>IF(B640="","",IF(OR(AK640="",AK640=0),"",ROUND(AG640/AK640,2)))</f>
        <v>0</v>
      </c>
      <c r="AM640" s="43">
        <f>IF(B640="","",IF(C640="","Add - which product?",IF(AG640&lt;0,"Loss - this order cost you money",IF(M640="Refunded","Refunded - check why",IF(AND(AF640&lt;&gt;"",AF640&gt;0.25),"Check - fees higher than your settings",IF(Z640&gt;1,"Check - postage is eating the margin",IF(AND(AH640&lt;&gt;"",AH640&lt;MarginWarning),"Low margin on this order","OK")))))) )</f>
        <v>0</v>
      </c>
    </row>
    <row r="641" spans="1:39">
      <c r="A641" s="38">
        <f>IF(B641="","",SalePrefix&amp;TEXT(ROW()-4,"0000"))</f>
        <v>0</v>
      </c>
      <c r="Q641" s="13">
        <f>IF(C641="","",IFERROR(INDEX(Products!$B$5:$B$304,MATCH(C641,Products!$A$5:$A$304,0)),"Bundle or deleted"))</f>
        <v>0</v>
      </c>
      <c r="R641" s="13">
        <f>IF(B641="","",TEXT(B641,"yyyy-mm"))</f>
        <v>0</v>
      </c>
      <c r="S641" s="20">
        <f>IF(C641="","",IFERROR(INDEX(Products!$AR$5:$AR$304,MATCH(C641,Products!$A$5:$A$304,0)),""))</f>
        <v>0</v>
      </c>
      <c r="T641" s="20">
        <f>IF(B641="","",IF(F641&lt;&gt;"",F641,IF(S641="",0,S641)))</f>
        <v>0</v>
      </c>
      <c r="U641" s="20">
        <f>IF(B641="","",ROUND(IF(D641="",0,D641)*T641,2))</f>
        <v>0</v>
      </c>
      <c r="V641" s="20">
        <f>IF(B641="","",ROUND(U641-IF(G641="",0,G641)-IF(L641="",0,L641),2))</f>
        <v>0</v>
      </c>
      <c r="W641" s="20">
        <f>IF(C641="","",IFERROR(INDEX(Products!$AT$5:$AT$304,MATCH(C641,Products!$A$5:$A$304,0)),""))</f>
        <v>0</v>
      </c>
      <c r="X641" s="20">
        <f>IF(C641="","",IFERROR(INDEX(Products!$AG$5:$AG$304,MATCH(C641,Products!$A$5:$A$304,0)),""))</f>
        <v>0</v>
      </c>
      <c r="Y641" s="20">
        <f>IF(B641="","",ROUND(IF(D641="",0,D641)*MAX(0,IF(W641="",0,W641)-IF(X641="",0,X641)),2))</f>
        <v>0</v>
      </c>
      <c r="Z641" s="20">
        <f>IF(B641="","",ROUND(MAX(0,IF(J641="",0,J641)-IF(I641="",0,I641)),2))</f>
        <v>0</v>
      </c>
      <c r="AA641" s="33">
        <f>IF(B641="","",IFERROR(INDEX(Channels!$S$5:$S$18,MATCH(IF(E641="",DefaultChannel,E641),Channels!$A$5:$A$18,0)),0))</f>
        <v>0</v>
      </c>
      <c r="AB641" s="20">
        <f>IF(B641="","",IFERROR(INDEX(Channels!$T$5:$T$18,MATCH(IF(E641="",DefaultChannel,E641),Channels!$A$5:$A$18,0)),0))</f>
        <v>0</v>
      </c>
      <c r="AC641" s="42">
        <f>IF(B641="","",IFERROR(INDEX(Channels!$O$5:$O$18,MATCH(IF(E641="",DefaultChannel,E641),Channels!$A$5:$A$18,0)),"No"))</f>
        <v>0</v>
      </c>
      <c r="AD641" s="20">
        <f>IF(B641="","",ROUND((V641+IF(AC641="Yes",IF(I641="",0,I641),0))*AA641+AB641,2))</f>
        <v>0</v>
      </c>
      <c r="AE641" s="20">
        <f>IF(B641="","",IF(K641&lt;&gt;"",K641,AD641))</f>
        <v>0</v>
      </c>
      <c r="AF641" s="20">
        <f>IF(B641="","",IF(K641="","",ROUND(K641-AD641,2)))</f>
        <v>0</v>
      </c>
      <c r="AG641" s="20">
        <f>IF(B641="","",ROUND(V641-Y641-AE641-Z641,2))</f>
        <v>0</v>
      </c>
      <c r="AH641" s="33">
        <f>IF(B641="","",IF(OR(V641="",V641=0),"",AG641/V641))</f>
        <v>0</v>
      </c>
      <c r="AI641" s="33">
        <f>IF(C641="","",IFERROR(INDEX(Products!$AW$5:$AW$304,MATCH(C641,Products!$A$5:$A$304,0)),""))</f>
        <v>0</v>
      </c>
      <c r="AJ641" s="33">
        <f>IF(B641="","",IF(OR(AH641="",AI641=""),"",AH641-AI641))</f>
        <v>0</v>
      </c>
      <c r="AK641" s="41">
        <f>IF(B641="","",IFERROR(ROUND(IF(D641="",0,D641)*INDEX(Products!$X$5:$X$304,MATCH(C641,Products!$A$5:$A$304,0))/60,2),""))</f>
        <v>0</v>
      </c>
      <c r="AL641" s="20">
        <f>IF(B641="","",IF(OR(AK641="",AK641=0),"",ROUND(AG641/AK641,2)))</f>
        <v>0</v>
      </c>
      <c r="AM641" s="43">
        <f>IF(B641="","",IF(C641="","Add - which product?",IF(AG641&lt;0,"Loss - this order cost you money",IF(M641="Refunded","Refunded - check why",IF(AND(AF641&lt;&gt;"",AF641&gt;0.25),"Check - fees higher than your settings",IF(Z641&gt;1,"Check - postage is eating the margin",IF(AND(AH641&lt;&gt;"",AH641&lt;MarginWarning),"Low margin on this order","OK")))))) )</f>
        <v>0</v>
      </c>
    </row>
    <row r="642" spans="1:39">
      <c r="A642" s="38">
        <f>IF(B642="","",SalePrefix&amp;TEXT(ROW()-4,"0000"))</f>
        <v>0</v>
      </c>
      <c r="Q642" s="13">
        <f>IF(C642="","",IFERROR(INDEX(Products!$B$5:$B$304,MATCH(C642,Products!$A$5:$A$304,0)),"Bundle or deleted"))</f>
        <v>0</v>
      </c>
      <c r="R642" s="13">
        <f>IF(B642="","",TEXT(B642,"yyyy-mm"))</f>
        <v>0</v>
      </c>
      <c r="S642" s="20">
        <f>IF(C642="","",IFERROR(INDEX(Products!$AR$5:$AR$304,MATCH(C642,Products!$A$5:$A$304,0)),""))</f>
        <v>0</v>
      </c>
      <c r="T642" s="20">
        <f>IF(B642="","",IF(F642&lt;&gt;"",F642,IF(S642="",0,S642)))</f>
        <v>0</v>
      </c>
      <c r="U642" s="20">
        <f>IF(B642="","",ROUND(IF(D642="",0,D642)*T642,2))</f>
        <v>0</v>
      </c>
      <c r="V642" s="20">
        <f>IF(B642="","",ROUND(U642-IF(G642="",0,G642)-IF(L642="",0,L642),2))</f>
        <v>0</v>
      </c>
      <c r="W642" s="20">
        <f>IF(C642="","",IFERROR(INDEX(Products!$AT$5:$AT$304,MATCH(C642,Products!$A$5:$A$304,0)),""))</f>
        <v>0</v>
      </c>
      <c r="X642" s="20">
        <f>IF(C642="","",IFERROR(INDEX(Products!$AG$5:$AG$304,MATCH(C642,Products!$A$5:$A$304,0)),""))</f>
        <v>0</v>
      </c>
      <c r="Y642" s="20">
        <f>IF(B642="","",ROUND(IF(D642="",0,D642)*MAX(0,IF(W642="",0,W642)-IF(X642="",0,X642)),2))</f>
        <v>0</v>
      </c>
      <c r="Z642" s="20">
        <f>IF(B642="","",ROUND(MAX(0,IF(J642="",0,J642)-IF(I642="",0,I642)),2))</f>
        <v>0</v>
      </c>
      <c r="AA642" s="33">
        <f>IF(B642="","",IFERROR(INDEX(Channels!$S$5:$S$18,MATCH(IF(E642="",DefaultChannel,E642),Channels!$A$5:$A$18,0)),0))</f>
        <v>0</v>
      </c>
      <c r="AB642" s="20">
        <f>IF(B642="","",IFERROR(INDEX(Channels!$T$5:$T$18,MATCH(IF(E642="",DefaultChannel,E642),Channels!$A$5:$A$18,0)),0))</f>
        <v>0</v>
      </c>
      <c r="AC642" s="42">
        <f>IF(B642="","",IFERROR(INDEX(Channels!$O$5:$O$18,MATCH(IF(E642="",DefaultChannel,E642),Channels!$A$5:$A$18,0)),"No"))</f>
        <v>0</v>
      </c>
      <c r="AD642" s="20">
        <f>IF(B642="","",ROUND((V642+IF(AC642="Yes",IF(I642="",0,I642),0))*AA642+AB642,2))</f>
        <v>0</v>
      </c>
      <c r="AE642" s="20">
        <f>IF(B642="","",IF(K642&lt;&gt;"",K642,AD642))</f>
        <v>0</v>
      </c>
      <c r="AF642" s="20">
        <f>IF(B642="","",IF(K642="","",ROUND(K642-AD642,2)))</f>
        <v>0</v>
      </c>
      <c r="AG642" s="20">
        <f>IF(B642="","",ROUND(V642-Y642-AE642-Z642,2))</f>
        <v>0</v>
      </c>
      <c r="AH642" s="33">
        <f>IF(B642="","",IF(OR(V642="",V642=0),"",AG642/V642))</f>
        <v>0</v>
      </c>
      <c r="AI642" s="33">
        <f>IF(C642="","",IFERROR(INDEX(Products!$AW$5:$AW$304,MATCH(C642,Products!$A$5:$A$304,0)),""))</f>
        <v>0</v>
      </c>
      <c r="AJ642" s="33">
        <f>IF(B642="","",IF(OR(AH642="",AI642=""),"",AH642-AI642))</f>
        <v>0</v>
      </c>
      <c r="AK642" s="41">
        <f>IF(B642="","",IFERROR(ROUND(IF(D642="",0,D642)*INDEX(Products!$X$5:$X$304,MATCH(C642,Products!$A$5:$A$304,0))/60,2),""))</f>
        <v>0</v>
      </c>
      <c r="AL642" s="20">
        <f>IF(B642="","",IF(OR(AK642="",AK642=0),"",ROUND(AG642/AK642,2)))</f>
        <v>0</v>
      </c>
      <c r="AM642" s="43">
        <f>IF(B642="","",IF(C642="","Add - which product?",IF(AG642&lt;0,"Loss - this order cost you money",IF(M642="Refunded","Refunded - check why",IF(AND(AF642&lt;&gt;"",AF642&gt;0.25),"Check - fees higher than your settings",IF(Z642&gt;1,"Check - postage is eating the margin",IF(AND(AH642&lt;&gt;"",AH642&lt;MarginWarning),"Low margin on this order","OK")))))) )</f>
        <v>0</v>
      </c>
    </row>
    <row r="643" spans="1:39">
      <c r="A643" s="38">
        <f>IF(B643="","",SalePrefix&amp;TEXT(ROW()-4,"0000"))</f>
        <v>0</v>
      </c>
      <c r="Q643" s="13">
        <f>IF(C643="","",IFERROR(INDEX(Products!$B$5:$B$304,MATCH(C643,Products!$A$5:$A$304,0)),"Bundle or deleted"))</f>
        <v>0</v>
      </c>
      <c r="R643" s="13">
        <f>IF(B643="","",TEXT(B643,"yyyy-mm"))</f>
        <v>0</v>
      </c>
      <c r="S643" s="20">
        <f>IF(C643="","",IFERROR(INDEX(Products!$AR$5:$AR$304,MATCH(C643,Products!$A$5:$A$304,0)),""))</f>
        <v>0</v>
      </c>
      <c r="T643" s="20">
        <f>IF(B643="","",IF(F643&lt;&gt;"",F643,IF(S643="",0,S643)))</f>
        <v>0</v>
      </c>
      <c r="U643" s="20">
        <f>IF(B643="","",ROUND(IF(D643="",0,D643)*T643,2))</f>
        <v>0</v>
      </c>
      <c r="V643" s="20">
        <f>IF(B643="","",ROUND(U643-IF(G643="",0,G643)-IF(L643="",0,L643),2))</f>
        <v>0</v>
      </c>
      <c r="W643" s="20">
        <f>IF(C643="","",IFERROR(INDEX(Products!$AT$5:$AT$304,MATCH(C643,Products!$A$5:$A$304,0)),""))</f>
        <v>0</v>
      </c>
      <c r="X643" s="20">
        <f>IF(C643="","",IFERROR(INDEX(Products!$AG$5:$AG$304,MATCH(C643,Products!$A$5:$A$304,0)),""))</f>
        <v>0</v>
      </c>
      <c r="Y643" s="20">
        <f>IF(B643="","",ROUND(IF(D643="",0,D643)*MAX(0,IF(W643="",0,W643)-IF(X643="",0,X643)),2))</f>
        <v>0</v>
      </c>
      <c r="Z643" s="20">
        <f>IF(B643="","",ROUND(MAX(0,IF(J643="",0,J643)-IF(I643="",0,I643)),2))</f>
        <v>0</v>
      </c>
      <c r="AA643" s="33">
        <f>IF(B643="","",IFERROR(INDEX(Channels!$S$5:$S$18,MATCH(IF(E643="",DefaultChannel,E643),Channels!$A$5:$A$18,0)),0))</f>
        <v>0</v>
      </c>
      <c r="AB643" s="20">
        <f>IF(B643="","",IFERROR(INDEX(Channels!$T$5:$T$18,MATCH(IF(E643="",DefaultChannel,E643),Channels!$A$5:$A$18,0)),0))</f>
        <v>0</v>
      </c>
      <c r="AC643" s="42">
        <f>IF(B643="","",IFERROR(INDEX(Channels!$O$5:$O$18,MATCH(IF(E643="",DefaultChannel,E643),Channels!$A$5:$A$18,0)),"No"))</f>
        <v>0</v>
      </c>
      <c r="AD643" s="20">
        <f>IF(B643="","",ROUND((V643+IF(AC643="Yes",IF(I643="",0,I643),0))*AA643+AB643,2))</f>
        <v>0</v>
      </c>
      <c r="AE643" s="20">
        <f>IF(B643="","",IF(K643&lt;&gt;"",K643,AD643))</f>
        <v>0</v>
      </c>
      <c r="AF643" s="20">
        <f>IF(B643="","",IF(K643="","",ROUND(K643-AD643,2)))</f>
        <v>0</v>
      </c>
      <c r="AG643" s="20">
        <f>IF(B643="","",ROUND(V643-Y643-AE643-Z643,2))</f>
        <v>0</v>
      </c>
      <c r="AH643" s="33">
        <f>IF(B643="","",IF(OR(V643="",V643=0),"",AG643/V643))</f>
        <v>0</v>
      </c>
      <c r="AI643" s="33">
        <f>IF(C643="","",IFERROR(INDEX(Products!$AW$5:$AW$304,MATCH(C643,Products!$A$5:$A$304,0)),""))</f>
        <v>0</v>
      </c>
      <c r="AJ643" s="33">
        <f>IF(B643="","",IF(OR(AH643="",AI643=""),"",AH643-AI643))</f>
        <v>0</v>
      </c>
      <c r="AK643" s="41">
        <f>IF(B643="","",IFERROR(ROUND(IF(D643="",0,D643)*INDEX(Products!$X$5:$X$304,MATCH(C643,Products!$A$5:$A$304,0))/60,2),""))</f>
        <v>0</v>
      </c>
      <c r="AL643" s="20">
        <f>IF(B643="","",IF(OR(AK643="",AK643=0),"",ROUND(AG643/AK643,2)))</f>
        <v>0</v>
      </c>
      <c r="AM643" s="43">
        <f>IF(B643="","",IF(C643="","Add - which product?",IF(AG643&lt;0,"Loss - this order cost you money",IF(M643="Refunded","Refunded - check why",IF(AND(AF643&lt;&gt;"",AF643&gt;0.25),"Check - fees higher than your settings",IF(Z643&gt;1,"Check - postage is eating the margin",IF(AND(AH643&lt;&gt;"",AH643&lt;MarginWarning),"Low margin on this order","OK")))))) )</f>
        <v>0</v>
      </c>
    </row>
    <row r="644" spans="1:39">
      <c r="A644" s="38">
        <f>IF(B644="","",SalePrefix&amp;TEXT(ROW()-4,"0000"))</f>
        <v>0</v>
      </c>
      <c r="Q644" s="13">
        <f>IF(C644="","",IFERROR(INDEX(Products!$B$5:$B$304,MATCH(C644,Products!$A$5:$A$304,0)),"Bundle or deleted"))</f>
        <v>0</v>
      </c>
      <c r="R644" s="13">
        <f>IF(B644="","",TEXT(B644,"yyyy-mm"))</f>
        <v>0</v>
      </c>
      <c r="S644" s="20">
        <f>IF(C644="","",IFERROR(INDEX(Products!$AR$5:$AR$304,MATCH(C644,Products!$A$5:$A$304,0)),""))</f>
        <v>0</v>
      </c>
      <c r="T644" s="20">
        <f>IF(B644="","",IF(F644&lt;&gt;"",F644,IF(S644="",0,S644)))</f>
        <v>0</v>
      </c>
      <c r="U644" s="20">
        <f>IF(B644="","",ROUND(IF(D644="",0,D644)*T644,2))</f>
        <v>0</v>
      </c>
      <c r="V644" s="20">
        <f>IF(B644="","",ROUND(U644-IF(G644="",0,G644)-IF(L644="",0,L644),2))</f>
        <v>0</v>
      </c>
      <c r="W644" s="20">
        <f>IF(C644="","",IFERROR(INDEX(Products!$AT$5:$AT$304,MATCH(C644,Products!$A$5:$A$304,0)),""))</f>
        <v>0</v>
      </c>
      <c r="X644" s="20">
        <f>IF(C644="","",IFERROR(INDEX(Products!$AG$5:$AG$304,MATCH(C644,Products!$A$5:$A$304,0)),""))</f>
        <v>0</v>
      </c>
      <c r="Y644" s="20">
        <f>IF(B644="","",ROUND(IF(D644="",0,D644)*MAX(0,IF(W644="",0,W644)-IF(X644="",0,X644)),2))</f>
        <v>0</v>
      </c>
      <c r="Z644" s="20">
        <f>IF(B644="","",ROUND(MAX(0,IF(J644="",0,J644)-IF(I644="",0,I644)),2))</f>
        <v>0</v>
      </c>
      <c r="AA644" s="33">
        <f>IF(B644="","",IFERROR(INDEX(Channels!$S$5:$S$18,MATCH(IF(E644="",DefaultChannel,E644),Channels!$A$5:$A$18,0)),0))</f>
        <v>0</v>
      </c>
      <c r="AB644" s="20">
        <f>IF(B644="","",IFERROR(INDEX(Channels!$T$5:$T$18,MATCH(IF(E644="",DefaultChannel,E644),Channels!$A$5:$A$18,0)),0))</f>
        <v>0</v>
      </c>
      <c r="AC644" s="42">
        <f>IF(B644="","",IFERROR(INDEX(Channels!$O$5:$O$18,MATCH(IF(E644="",DefaultChannel,E644),Channels!$A$5:$A$18,0)),"No"))</f>
        <v>0</v>
      </c>
      <c r="AD644" s="20">
        <f>IF(B644="","",ROUND((V644+IF(AC644="Yes",IF(I644="",0,I644),0))*AA644+AB644,2))</f>
        <v>0</v>
      </c>
      <c r="AE644" s="20">
        <f>IF(B644="","",IF(K644&lt;&gt;"",K644,AD644))</f>
        <v>0</v>
      </c>
      <c r="AF644" s="20">
        <f>IF(B644="","",IF(K644="","",ROUND(K644-AD644,2)))</f>
        <v>0</v>
      </c>
      <c r="AG644" s="20">
        <f>IF(B644="","",ROUND(V644-Y644-AE644-Z644,2))</f>
        <v>0</v>
      </c>
      <c r="AH644" s="33">
        <f>IF(B644="","",IF(OR(V644="",V644=0),"",AG644/V644))</f>
        <v>0</v>
      </c>
      <c r="AI644" s="33">
        <f>IF(C644="","",IFERROR(INDEX(Products!$AW$5:$AW$304,MATCH(C644,Products!$A$5:$A$304,0)),""))</f>
        <v>0</v>
      </c>
      <c r="AJ644" s="33">
        <f>IF(B644="","",IF(OR(AH644="",AI644=""),"",AH644-AI644))</f>
        <v>0</v>
      </c>
      <c r="AK644" s="41">
        <f>IF(B644="","",IFERROR(ROUND(IF(D644="",0,D644)*INDEX(Products!$X$5:$X$304,MATCH(C644,Products!$A$5:$A$304,0))/60,2),""))</f>
        <v>0</v>
      </c>
      <c r="AL644" s="20">
        <f>IF(B644="","",IF(OR(AK644="",AK644=0),"",ROUND(AG644/AK644,2)))</f>
        <v>0</v>
      </c>
      <c r="AM644" s="43">
        <f>IF(B644="","",IF(C644="","Add - which product?",IF(AG644&lt;0,"Loss - this order cost you money",IF(M644="Refunded","Refunded - check why",IF(AND(AF644&lt;&gt;"",AF644&gt;0.25),"Check - fees higher than your settings",IF(Z644&gt;1,"Check - postage is eating the margin",IF(AND(AH644&lt;&gt;"",AH644&lt;MarginWarning),"Low margin on this order","OK")))))) )</f>
        <v>0</v>
      </c>
    </row>
    <row r="645" spans="1:39">
      <c r="A645" s="38">
        <f>IF(B645="","",SalePrefix&amp;TEXT(ROW()-4,"0000"))</f>
        <v>0</v>
      </c>
      <c r="Q645" s="13">
        <f>IF(C645="","",IFERROR(INDEX(Products!$B$5:$B$304,MATCH(C645,Products!$A$5:$A$304,0)),"Bundle or deleted"))</f>
        <v>0</v>
      </c>
      <c r="R645" s="13">
        <f>IF(B645="","",TEXT(B645,"yyyy-mm"))</f>
        <v>0</v>
      </c>
      <c r="S645" s="20">
        <f>IF(C645="","",IFERROR(INDEX(Products!$AR$5:$AR$304,MATCH(C645,Products!$A$5:$A$304,0)),""))</f>
        <v>0</v>
      </c>
      <c r="T645" s="20">
        <f>IF(B645="","",IF(F645&lt;&gt;"",F645,IF(S645="",0,S645)))</f>
        <v>0</v>
      </c>
      <c r="U645" s="20">
        <f>IF(B645="","",ROUND(IF(D645="",0,D645)*T645,2))</f>
        <v>0</v>
      </c>
      <c r="V645" s="20">
        <f>IF(B645="","",ROUND(U645-IF(G645="",0,G645)-IF(L645="",0,L645),2))</f>
        <v>0</v>
      </c>
      <c r="W645" s="20">
        <f>IF(C645="","",IFERROR(INDEX(Products!$AT$5:$AT$304,MATCH(C645,Products!$A$5:$A$304,0)),""))</f>
        <v>0</v>
      </c>
      <c r="X645" s="20">
        <f>IF(C645="","",IFERROR(INDEX(Products!$AG$5:$AG$304,MATCH(C645,Products!$A$5:$A$304,0)),""))</f>
        <v>0</v>
      </c>
      <c r="Y645" s="20">
        <f>IF(B645="","",ROUND(IF(D645="",0,D645)*MAX(0,IF(W645="",0,W645)-IF(X645="",0,X645)),2))</f>
        <v>0</v>
      </c>
      <c r="Z645" s="20">
        <f>IF(B645="","",ROUND(MAX(0,IF(J645="",0,J645)-IF(I645="",0,I645)),2))</f>
        <v>0</v>
      </c>
      <c r="AA645" s="33">
        <f>IF(B645="","",IFERROR(INDEX(Channels!$S$5:$S$18,MATCH(IF(E645="",DefaultChannel,E645),Channels!$A$5:$A$18,0)),0))</f>
        <v>0</v>
      </c>
      <c r="AB645" s="20">
        <f>IF(B645="","",IFERROR(INDEX(Channels!$T$5:$T$18,MATCH(IF(E645="",DefaultChannel,E645),Channels!$A$5:$A$18,0)),0))</f>
        <v>0</v>
      </c>
      <c r="AC645" s="42">
        <f>IF(B645="","",IFERROR(INDEX(Channels!$O$5:$O$18,MATCH(IF(E645="",DefaultChannel,E645),Channels!$A$5:$A$18,0)),"No"))</f>
        <v>0</v>
      </c>
      <c r="AD645" s="20">
        <f>IF(B645="","",ROUND((V645+IF(AC645="Yes",IF(I645="",0,I645),0))*AA645+AB645,2))</f>
        <v>0</v>
      </c>
      <c r="AE645" s="20">
        <f>IF(B645="","",IF(K645&lt;&gt;"",K645,AD645))</f>
        <v>0</v>
      </c>
      <c r="AF645" s="20">
        <f>IF(B645="","",IF(K645="","",ROUND(K645-AD645,2)))</f>
        <v>0</v>
      </c>
      <c r="AG645" s="20">
        <f>IF(B645="","",ROUND(V645-Y645-AE645-Z645,2))</f>
        <v>0</v>
      </c>
      <c r="AH645" s="33">
        <f>IF(B645="","",IF(OR(V645="",V645=0),"",AG645/V645))</f>
        <v>0</v>
      </c>
      <c r="AI645" s="33">
        <f>IF(C645="","",IFERROR(INDEX(Products!$AW$5:$AW$304,MATCH(C645,Products!$A$5:$A$304,0)),""))</f>
        <v>0</v>
      </c>
      <c r="AJ645" s="33">
        <f>IF(B645="","",IF(OR(AH645="",AI645=""),"",AH645-AI645))</f>
        <v>0</v>
      </c>
      <c r="AK645" s="41">
        <f>IF(B645="","",IFERROR(ROUND(IF(D645="",0,D645)*INDEX(Products!$X$5:$X$304,MATCH(C645,Products!$A$5:$A$304,0))/60,2),""))</f>
        <v>0</v>
      </c>
      <c r="AL645" s="20">
        <f>IF(B645="","",IF(OR(AK645="",AK645=0),"",ROUND(AG645/AK645,2)))</f>
        <v>0</v>
      </c>
      <c r="AM645" s="43">
        <f>IF(B645="","",IF(C645="","Add - which product?",IF(AG645&lt;0,"Loss - this order cost you money",IF(M645="Refunded","Refunded - check why",IF(AND(AF645&lt;&gt;"",AF645&gt;0.25),"Check - fees higher than your settings",IF(Z645&gt;1,"Check - postage is eating the margin",IF(AND(AH645&lt;&gt;"",AH645&lt;MarginWarning),"Low margin on this order","OK")))))) )</f>
        <v>0</v>
      </c>
    </row>
    <row r="646" spans="1:39">
      <c r="A646" s="38">
        <f>IF(B646="","",SalePrefix&amp;TEXT(ROW()-4,"0000"))</f>
        <v>0</v>
      </c>
      <c r="Q646" s="13">
        <f>IF(C646="","",IFERROR(INDEX(Products!$B$5:$B$304,MATCH(C646,Products!$A$5:$A$304,0)),"Bundle or deleted"))</f>
        <v>0</v>
      </c>
      <c r="R646" s="13">
        <f>IF(B646="","",TEXT(B646,"yyyy-mm"))</f>
        <v>0</v>
      </c>
      <c r="S646" s="20">
        <f>IF(C646="","",IFERROR(INDEX(Products!$AR$5:$AR$304,MATCH(C646,Products!$A$5:$A$304,0)),""))</f>
        <v>0</v>
      </c>
      <c r="T646" s="20">
        <f>IF(B646="","",IF(F646&lt;&gt;"",F646,IF(S646="",0,S646)))</f>
        <v>0</v>
      </c>
      <c r="U646" s="20">
        <f>IF(B646="","",ROUND(IF(D646="",0,D646)*T646,2))</f>
        <v>0</v>
      </c>
      <c r="V646" s="20">
        <f>IF(B646="","",ROUND(U646-IF(G646="",0,G646)-IF(L646="",0,L646),2))</f>
        <v>0</v>
      </c>
      <c r="W646" s="20">
        <f>IF(C646="","",IFERROR(INDEX(Products!$AT$5:$AT$304,MATCH(C646,Products!$A$5:$A$304,0)),""))</f>
        <v>0</v>
      </c>
      <c r="X646" s="20">
        <f>IF(C646="","",IFERROR(INDEX(Products!$AG$5:$AG$304,MATCH(C646,Products!$A$5:$A$304,0)),""))</f>
        <v>0</v>
      </c>
      <c r="Y646" s="20">
        <f>IF(B646="","",ROUND(IF(D646="",0,D646)*MAX(0,IF(W646="",0,W646)-IF(X646="",0,X646)),2))</f>
        <v>0</v>
      </c>
      <c r="Z646" s="20">
        <f>IF(B646="","",ROUND(MAX(0,IF(J646="",0,J646)-IF(I646="",0,I646)),2))</f>
        <v>0</v>
      </c>
      <c r="AA646" s="33">
        <f>IF(B646="","",IFERROR(INDEX(Channels!$S$5:$S$18,MATCH(IF(E646="",DefaultChannel,E646),Channels!$A$5:$A$18,0)),0))</f>
        <v>0</v>
      </c>
      <c r="AB646" s="20">
        <f>IF(B646="","",IFERROR(INDEX(Channels!$T$5:$T$18,MATCH(IF(E646="",DefaultChannel,E646),Channels!$A$5:$A$18,0)),0))</f>
        <v>0</v>
      </c>
      <c r="AC646" s="42">
        <f>IF(B646="","",IFERROR(INDEX(Channels!$O$5:$O$18,MATCH(IF(E646="",DefaultChannel,E646),Channels!$A$5:$A$18,0)),"No"))</f>
        <v>0</v>
      </c>
      <c r="AD646" s="20">
        <f>IF(B646="","",ROUND((V646+IF(AC646="Yes",IF(I646="",0,I646),0))*AA646+AB646,2))</f>
        <v>0</v>
      </c>
      <c r="AE646" s="20">
        <f>IF(B646="","",IF(K646&lt;&gt;"",K646,AD646))</f>
        <v>0</v>
      </c>
      <c r="AF646" s="20">
        <f>IF(B646="","",IF(K646="","",ROUND(K646-AD646,2)))</f>
        <v>0</v>
      </c>
      <c r="AG646" s="20">
        <f>IF(B646="","",ROUND(V646-Y646-AE646-Z646,2))</f>
        <v>0</v>
      </c>
      <c r="AH646" s="33">
        <f>IF(B646="","",IF(OR(V646="",V646=0),"",AG646/V646))</f>
        <v>0</v>
      </c>
      <c r="AI646" s="33">
        <f>IF(C646="","",IFERROR(INDEX(Products!$AW$5:$AW$304,MATCH(C646,Products!$A$5:$A$304,0)),""))</f>
        <v>0</v>
      </c>
      <c r="AJ646" s="33">
        <f>IF(B646="","",IF(OR(AH646="",AI646=""),"",AH646-AI646))</f>
        <v>0</v>
      </c>
      <c r="AK646" s="41">
        <f>IF(B646="","",IFERROR(ROUND(IF(D646="",0,D646)*INDEX(Products!$X$5:$X$304,MATCH(C646,Products!$A$5:$A$304,0))/60,2),""))</f>
        <v>0</v>
      </c>
      <c r="AL646" s="20">
        <f>IF(B646="","",IF(OR(AK646="",AK646=0),"",ROUND(AG646/AK646,2)))</f>
        <v>0</v>
      </c>
      <c r="AM646" s="43">
        <f>IF(B646="","",IF(C646="","Add - which product?",IF(AG646&lt;0,"Loss - this order cost you money",IF(M646="Refunded","Refunded - check why",IF(AND(AF646&lt;&gt;"",AF646&gt;0.25),"Check - fees higher than your settings",IF(Z646&gt;1,"Check - postage is eating the margin",IF(AND(AH646&lt;&gt;"",AH646&lt;MarginWarning),"Low margin on this order","OK")))))) )</f>
        <v>0</v>
      </c>
    </row>
    <row r="647" spans="1:39">
      <c r="A647" s="38">
        <f>IF(B647="","",SalePrefix&amp;TEXT(ROW()-4,"0000"))</f>
        <v>0</v>
      </c>
      <c r="Q647" s="13">
        <f>IF(C647="","",IFERROR(INDEX(Products!$B$5:$B$304,MATCH(C647,Products!$A$5:$A$304,0)),"Bundle or deleted"))</f>
        <v>0</v>
      </c>
      <c r="R647" s="13">
        <f>IF(B647="","",TEXT(B647,"yyyy-mm"))</f>
        <v>0</v>
      </c>
      <c r="S647" s="20">
        <f>IF(C647="","",IFERROR(INDEX(Products!$AR$5:$AR$304,MATCH(C647,Products!$A$5:$A$304,0)),""))</f>
        <v>0</v>
      </c>
      <c r="T647" s="20">
        <f>IF(B647="","",IF(F647&lt;&gt;"",F647,IF(S647="",0,S647)))</f>
        <v>0</v>
      </c>
      <c r="U647" s="20">
        <f>IF(B647="","",ROUND(IF(D647="",0,D647)*T647,2))</f>
        <v>0</v>
      </c>
      <c r="V647" s="20">
        <f>IF(B647="","",ROUND(U647-IF(G647="",0,G647)-IF(L647="",0,L647),2))</f>
        <v>0</v>
      </c>
      <c r="W647" s="20">
        <f>IF(C647="","",IFERROR(INDEX(Products!$AT$5:$AT$304,MATCH(C647,Products!$A$5:$A$304,0)),""))</f>
        <v>0</v>
      </c>
      <c r="X647" s="20">
        <f>IF(C647="","",IFERROR(INDEX(Products!$AG$5:$AG$304,MATCH(C647,Products!$A$5:$A$304,0)),""))</f>
        <v>0</v>
      </c>
      <c r="Y647" s="20">
        <f>IF(B647="","",ROUND(IF(D647="",0,D647)*MAX(0,IF(W647="",0,W647)-IF(X647="",0,X647)),2))</f>
        <v>0</v>
      </c>
      <c r="Z647" s="20">
        <f>IF(B647="","",ROUND(MAX(0,IF(J647="",0,J647)-IF(I647="",0,I647)),2))</f>
        <v>0</v>
      </c>
      <c r="AA647" s="33">
        <f>IF(B647="","",IFERROR(INDEX(Channels!$S$5:$S$18,MATCH(IF(E647="",DefaultChannel,E647),Channels!$A$5:$A$18,0)),0))</f>
        <v>0</v>
      </c>
      <c r="AB647" s="20">
        <f>IF(B647="","",IFERROR(INDEX(Channels!$T$5:$T$18,MATCH(IF(E647="",DefaultChannel,E647),Channels!$A$5:$A$18,0)),0))</f>
        <v>0</v>
      </c>
      <c r="AC647" s="42">
        <f>IF(B647="","",IFERROR(INDEX(Channels!$O$5:$O$18,MATCH(IF(E647="",DefaultChannel,E647),Channels!$A$5:$A$18,0)),"No"))</f>
        <v>0</v>
      </c>
      <c r="AD647" s="20">
        <f>IF(B647="","",ROUND((V647+IF(AC647="Yes",IF(I647="",0,I647),0))*AA647+AB647,2))</f>
        <v>0</v>
      </c>
      <c r="AE647" s="20">
        <f>IF(B647="","",IF(K647&lt;&gt;"",K647,AD647))</f>
        <v>0</v>
      </c>
      <c r="AF647" s="20">
        <f>IF(B647="","",IF(K647="","",ROUND(K647-AD647,2)))</f>
        <v>0</v>
      </c>
      <c r="AG647" s="20">
        <f>IF(B647="","",ROUND(V647-Y647-AE647-Z647,2))</f>
        <v>0</v>
      </c>
      <c r="AH647" s="33">
        <f>IF(B647="","",IF(OR(V647="",V647=0),"",AG647/V647))</f>
        <v>0</v>
      </c>
      <c r="AI647" s="33">
        <f>IF(C647="","",IFERROR(INDEX(Products!$AW$5:$AW$304,MATCH(C647,Products!$A$5:$A$304,0)),""))</f>
        <v>0</v>
      </c>
      <c r="AJ647" s="33">
        <f>IF(B647="","",IF(OR(AH647="",AI647=""),"",AH647-AI647))</f>
        <v>0</v>
      </c>
      <c r="AK647" s="41">
        <f>IF(B647="","",IFERROR(ROUND(IF(D647="",0,D647)*INDEX(Products!$X$5:$X$304,MATCH(C647,Products!$A$5:$A$304,0))/60,2),""))</f>
        <v>0</v>
      </c>
      <c r="AL647" s="20">
        <f>IF(B647="","",IF(OR(AK647="",AK647=0),"",ROUND(AG647/AK647,2)))</f>
        <v>0</v>
      </c>
      <c r="AM647" s="43">
        <f>IF(B647="","",IF(C647="","Add - which product?",IF(AG647&lt;0,"Loss - this order cost you money",IF(M647="Refunded","Refunded - check why",IF(AND(AF647&lt;&gt;"",AF647&gt;0.25),"Check - fees higher than your settings",IF(Z647&gt;1,"Check - postage is eating the margin",IF(AND(AH647&lt;&gt;"",AH647&lt;MarginWarning),"Low margin on this order","OK")))))) )</f>
        <v>0</v>
      </c>
    </row>
    <row r="648" spans="1:39">
      <c r="A648" s="38">
        <f>IF(B648="","",SalePrefix&amp;TEXT(ROW()-4,"0000"))</f>
        <v>0</v>
      </c>
      <c r="Q648" s="13">
        <f>IF(C648="","",IFERROR(INDEX(Products!$B$5:$B$304,MATCH(C648,Products!$A$5:$A$304,0)),"Bundle or deleted"))</f>
        <v>0</v>
      </c>
      <c r="R648" s="13">
        <f>IF(B648="","",TEXT(B648,"yyyy-mm"))</f>
        <v>0</v>
      </c>
      <c r="S648" s="20">
        <f>IF(C648="","",IFERROR(INDEX(Products!$AR$5:$AR$304,MATCH(C648,Products!$A$5:$A$304,0)),""))</f>
        <v>0</v>
      </c>
      <c r="T648" s="20">
        <f>IF(B648="","",IF(F648&lt;&gt;"",F648,IF(S648="",0,S648)))</f>
        <v>0</v>
      </c>
      <c r="U648" s="20">
        <f>IF(B648="","",ROUND(IF(D648="",0,D648)*T648,2))</f>
        <v>0</v>
      </c>
      <c r="V648" s="20">
        <f>IF(B648="","",ROUND(U648-IF(G648="",0,G648)-IF(L648="",0,L648),2))</f>
        <v>0</v>
      </c>
      <c r="W648" s="20">
        <f>IF(C648="","",IFERROR(INDEX(Products!$AT$5:$AT$304,MATCH(C648,Products!$A$5:$A$304,0)),""))</f>
        <v>0</v>
      </c>
      <c r="X648" s="20">
        <f>IF(C648="","",IFERROR(INDEX(Products!$AG$5:$AG$304,MATCH(C648,Products!$A$5:$A$304,0)),""))</f>
        <v>0</v>
      </c>
      <c r="Y648" s="20">
        <f>IF(B648="","",ROUND(IF(D648="",0,D648)*MAX(0,IF(W648="",0,W648)-IF(X648="",0,X648)),2))</f>
        <v>0</v>
      </c>
      <c r="Z648" s="20">
        <f>IF(B648="","",ROUND(MAX(0,IF(J648="",0,J648)-IF(I648="",0,I648)),2))</f>
        <v>0</v>
      </c>
      <c r="AA648" s="33">
        <f>IF(B648="","",IFERROR(INDEX(Channels!$S$5:$S$18,MATCH(IF(E648="",DefaultChannel,E648),Channels!$A$5:$A$18,0)),0))</f>
        <v>0</v>
      </c>
      <c r="AB648" s="20">
        <f>IF(B648="","",IFERROR(INDEX(Channels!$T$5:$T$18,MATCH(IF(E648="",DefaultChannel,E648),Channels!$A$5:$A$18,0)),0))</f>
        <v>0</v>
      </c>
      <c r="AC648" s="42">
        <f>IF(B648="","",IFERROR(INDEX(Channels!$O$5:$O$18,MATCH(IF(E648="",DefaultChannel,E648),Channels!$A$5:$A$18,0)),"No"))</f>
        <v>0</v>
      </c>
      <c r="AD648" s="20">
        <f>IF(B648="","",ROUND((V648+IF(AC648="Yes",IF(I648="",0,I648),0))*AA648+AB648,2))</f>
        <v>0</v>
      </c>
      <c r="AE648" s="20">
        <f>IF(B648="","",IF(K648&lt;&gt;"",K648,AD648))</f>
        <v>0</v>
      </c>
      <c r="AF648" s="20">
        <f>IF(B648="","",IF(K648="","",ROUND(K648-AD648,2)))</f>
        <v>0</v>
      </c>
      <c r="AG648" s="20">
        <f>IF(B648="","",ROUND(V648-Y648-AE648-Z648,2))</f>
        <v>0</v>
      </c>
      <c r="AH648" s="33">
        <f>IF(B648="","",IF(OR(V648="",V648=0),"",AG648/V648))</f>
        <v>0</v>
      </c>
      <c r="AI648" s="33">
        <f>IF(C648="","",IFERROR(INDEX(Products!$AW$5:$AW$304,MATCH(C648,Products!$A$5:$A$304,0)),""))</f>
        <v>0</v>
      </c>
      <c r="AJ648" s="33">
        <f>IF(B648="","",IF(OR(AH648="",AI648=""),"",AH648-AI648))</f>
        <v>0</v>
      </c>
      <c r="AK648" s="41">
        <f>IF(B648="","",IFERROR(ROUND(IF(D648="",0,D648)*INDEX(Products!$X$5:$X$304,MATCH(C648,Products!$A$5:$A$304,0))/60,2),""))</f>
        <v>0</v>
      </c>
      <c r="AL648" s="20">
        <f>IF(B648="","",IF(OR(AK648="",AK648=0),"",ROUND(AG648/AK648,2)))</f>
        <v>0</v>
      </c>
      <c r="AM648" s="43">
        <f>IF(B648="","",IF(C648="","Add - which product?",IF(AG648&lt;0,"Loss - this order cost you money",IF(M648="Refunded","Refunded - check why",IF(AND(AF648&lt;&gt;"",AF648&gt;0.25),"Check - fees higher than your settings",IF(Z648&gt;1,"Check - postage is eating the margin",IF(AND(AH648&lt;&gt;"",AH648&lt;MarginWarning),"Low margin on this order","OK")))))) )</f>
        <v>0</v>
      </c>
    </row>
    <row r="649" spans="1:39">
      <c r="A649" s="38">
        <f>IF(B649="","",SalePrefix&amp;TEXT(ROW()-4,"0000"))</f>
        <v>0</v>
      </c>
      <c r="Q649" s="13">
        <f>IF(C649="","",IFERROR(INDEX(Products!$B$5:$B$304,MATCH(C649,Products!$A$5:$A$304,0)),"Bundle or deleted"))</f>
        <v>0</v>
      </c>
      <c r="R649" s="13">
        <f>IF(B649="","",TEXT(B649,"yyyy-mm"))</f>
        <v>0</v>
      </c>
      <c r="S649" s="20">
        <f>IF(C649="","",IFERROR(INDEX(Products!$AR$5:$AR$304,MATCH(C649,Products!$A$5:$A$304,0)),""))</f>
        <v>0</v>
      </c>
      <c r="T649" s="20">
        <f>IF(B649="","",IF(F649&lt;&gt;"",F649,IF(S649="",0,S649)))</f>
        <v>0</v>
      </c>
      <c r="U649" s="20">
        <f>IF(B649="","",ROUND(IF(D649="",0,D649)*T649,2))</f>
        <v>0</v>
      </c>
      <c r="V649" s="20">
        <f>IF(B649="","",ROUND(U649-IF(G649="",0,G649)-IF(L649="",0,L649),2))</f>
        <v>0</v>
      </c>
      <c r="W649" s="20">
        <f>IF(C649="","",IFERROR(INDEX(Products!$AT$5:$AT$304,MATCH(C649,Products!$A$5:$A$304,0)),""))</f>
        <v>0</v>
      </c>
      <c r="X649" s="20">
        <f>IF(C649="","",IFERROR(INDEX(Products!$AG$5:$AG$304,MATCH(C649,Products!$A$5:$A$304,0)),""))</f>
        <v>0</v>
      </c>
      <c r="Y649" s="20">
        <f>IF(B649="","",ROUND(IF(D649="",0,D649)*MAX(0,IF(W649="",0,W649)-IF(X649="",0,X649)),2))</f>
        <v>0</v>
      </c>
      <c r="Z649" s="20">
        <f>IF(B649="","",ROUND(MAX(0,IF(J649="",0,J649)-IF(I649="",0,I649)),2))</f>
        <v>0</v>
      </c>
      <c r="AA649" s="33">
        <f>IF(B649="","",IFERROR(INDEX(Channels!$S$5:$S$18,MATCH(IF(E649="",DefaultChannel,E649),Channels!$A$5:$A$18,0)),0))</f>
        <v>0</v>
      </c>
      <c r="AB649" s="20">
        <f>IF(B649="","",IFERROR(INDEX(Channels!$T$5:$T$18,MATCH(IF(E649="",DefaultChannel,E649),Channels!$A$5:$A$18,0)),0))</f>
        <v>0</v>
      </c>
      <c r="AC649" s="42">
        <f>IF(B649="","",IFERROR(INDEX(Channels!$O$5:$O$18,MATCH(IF(E649="",DefaultChannel,E649),Channels!$A$5:$A$18,0)),"No"))</f>
        <v>0</v>
      </c>
      <c r="AD649" s="20">
        <f>IF(B649="","",ROUND((V649+IF(AC649="Yes",IF(I649="",0,I649),0))*AA649+AB649,2))</f>
        <v>0</v>
      </c>
      <c r="AE649" s="20">
        <f>IF(B649="","",IF(K649&lt;&gt;"",K649,AD649))</f>
        <v>0</v>
      </c>
      <c r="AF649" s="20">
        <f>IF(B649="","",IF(K649="","",ROUND(K649-AD649,2)))</f>
        <v>0</v>
      </c>
      <c r="AG649" s="20">
        <f>IF(B649="","",ROUND(V649-Y649-AE649-Z649,2))</f>
        <v>0</v>
      </c>
      <c r="AH649" s="33">
        <f>IF(B649="","",IF(OR(V649="",V649=0),"",AG649/V649))</f>
        <v>0</v>
      </c>
      <c r="AI649" s="33">
        <f>IF(C649="","",IFERROR(INDEX(Products!$AW$5:$AW$304,MATCH(C649,Products!$A$5:$A$304,0)),""))</f>
        <v>0</v>
      </c>
      <c r="AJ649" s="33">
        <f>IF(B649="","",IF(OR(AH649="",AI649=""),"",AH649-AI649))</f>
        <v>0</v>
      </c>
      <c r="AK649" s="41">
        <f>IF(B649="","",IFERROR(ROUND(IF(D649="",0,D649)*INDEX(Products!$X$5:$X$304,MATCH(C649,Products!$A$5:$A$304,0))/60,2),""))</f>
        <v>0</v>
      </c>
      <c r="AL649" s="20">
        <f>IF(B649="","",IF(OR(AK649="",AK649=0),"",ROUND(AG649/AK649,2)))</f>
        <v>0</v>
      </c>
      <c r="AM649" s="43">
        <f>IF(B649="","",IF(C649="","Add - which product?",IF(AG649&lt;0,"Loss - this order cost you money",IF(M649="Refunded","Refunded - check why",IF(AND(AF649&lt;&gt;"",AF649&gt;0.25),"Check - fees higher than your settings",IF(Z649&gt;1,"Check - postage is eating the margin",IF(AND(AH649&lt;&gt;"",AH649&lt;MarginWarning),"Low margin on this order","OK")))))) )</f>
        <v>0</v>
      </c>
    </row>
    <row r="650" spans="1:39">
      <c r="A650" s="38">
        <f>IF(B650="","",SalePrefix&amp;TEXT(ROW()-4,"0000"))</f>
        <v>0</v>
      </c>
      <c r="Q650" s="13">
        <f>IF(C650="","",IFERROR(INDEX(Products!$B$5:$B$304,MATCH(C650,Products!$A$5:$A$304,0)),"Bundle or deleted"))</f>
        <v>0</v>
      </c>
      <c r="R650" s="13">
        <f>IF(B650="","",TEXT(B650,"yyyy-mm"))</f>
        <v>0</v>
      </c>
      <c r="S650" s="20">
        <f>IF(C650="","",IFERROR(INDEX(Products!$AR$5:$AR$304,MATCH(C650,Products!$A$5:$A$304,0)),""))</f>
        <v>0</v>
      </c>
      <c r="T650" s="20">
        <f>IF(B650="","",IF(F650&lt;&gt;"",F650,IF(S650="",0,S650)))</f>
        <v>0</v>
      </c>
      <c r="U650" s="20">
        <f>IF(B650="","",ROUND(IF(D650="",0,D650)*T650,2))</f>
        <v>0</v>
      </c>
      <c r="V650" s="20">
        <f>IF(B650="","",ROUND(U650-IF(G650="",0,G650)-IF(L650="",0,L650),2))</f>
        <v>0</v>
      </c>
      <c r="W650" s="20">
        <f>IF(C650="","",IFERROR(INDEX(Products!$AT$5:$AT$304,MATCH(C650,Products!$A$5:$A$304,0)),""))</f>
        <v>0</v>
      </c>
      <c r="X650" s="20">
        <f>IF(C650="","",IFERROR(INDEX(Products!$AG$5:$AG$304,MATCH(C650,Products!$A$5:$A$304,0)),""))</f>
        <v>0</v>
      </c>
      <c r="Y650" s="20">
        <f>IF(B650="","",ROUND(IF(D650="",0,D650)*MAX(0,IF(W650="",0,W650)-IF(X650="",0,X650)),2))</f>
        <v>0</v>
      </c>
      <c r="Z650" s="20">
        <f>IF(B650="","",ROUND(MAX(0,IF(J650="",0,J650)-IF(I650="",0,I650)),2))</f>
        <v>0</v>
      </c>
      <c r="AA650" s="33">
        <f>IF(B650="","",IFERROR(INDEX(Channels!$S$5:$S$18,MATCH(IF(E650="",DefaultChannel,E650),Channels!$A$5:$A$18,0)),0))</f>
        <v>0</v>
      </c>
      <c r="AB650" s="20">
        <f>IF(B650="","",IFERROR(INDEX(Channels!$T$5:$T$18,MATCH(IF(E650="",DefaultChannel,E650),Channels!$A$5:$A$18,0)),0))</f>
        <v>0</v>
      </c>
      <c r="AC650" s="42">
        <f>IF(B650="","",IFERROR(INDEX(Channels!$O$5:$O$18,MATCH(IF(E650="",DefaultChannel,E650),Channels!$A$5:$A$18,0)),"No"))</f>
        <v>0</v>
      </c>
      <c r="AD650" s="20">
        <f>IF(B650="","",ROUND((V650+IF(AC650="Yes",IF(I650="",0,I650),0))*AA650+AB650,2))</f>
        <v>0</v>
      </c>
      <c r="AE650" s="20">
        <f>IF(B650="","",IF(K650&lt;&gt;"",K650,AD650))</f>
        <v>0</v>
      </c>
      <c r="AF650" s="20">
        <f>IF(B650="","",IF(K650="","",ROUND(K650-AD650,2)))</f>
        <v>0</v>
      </c>
      <c r="AG650" s="20">
        <f>IF(B650="","",ROUND(V650-Y650-AE650-Z650,2))</f>
        <v>0</v>
      </c>
      <c r="AH650" s="33">
        <f>IF(B650="","",IF(OR(V650="",V650=0),"",AG650/V650))</f>
        <v>0</v>
      </c>
      <c r="AI650" s="33">
        <f>IF(C650="","",IFERROR(INDEX(Products!$AW$5:$AW$304,MATCH(C650,Products!$A$5:$A$304,0)),""))</f>
        <v>0</v>
      </c>
      <c r="AJ650" s="33">
        <f>IF(B650="","",IF(OR(AH650="",AI650=""),"",AH650-AI650))</f>
        <v>0</v>
      </c>
      <c r="AK650" s="41">
        <f>IF(B650="","",IFERROR(ROUND(IF(D650="",0,D650)*INDEX(Products!$X$5:$X$304,MATCH(C650,Products!$A$5:$A$304,0))/60,2),""))</f>
        <v>0</v>
      </c>
      <c r="AL650" s="20">
        <f>IF(B650="","",IF(OR(AK650="",AK650=0),"",ROUND(AG650/AK650,2)))</f>
        <v>0</v>
      </c>
      <c r="AM650" s="43">
        <f>IF(B650="","",IF(C650="","Add - which product?",IF(AG650&lt;0,"Loss - this order cost you money",IF(M650="Refunded","Refunded - check why",IF(AND(AF650&lt;&gt;"",AF650&gt;0.25),"Check - fees higher than your settings",IF(Z650&gt;1,"Check - postage is eating the margin",IF(AND(AH650&lt;&gt;"",AH650&lt;MarginWarning),"Low margin on this order","OK")))))) )</f>
        <v>0</v>
      </c>
    </row>
    <row r="651" spans="1:39">
      <c r="A651" s="38">
        <f>IF(B651="","",SalePrefix&amp;TEXT(ROW()-4,"0000"))</f>
        <v>0</v>
      </c>
      <c r="Q651" s="13">
        <f>IF(C651="","",IFERROR(INDEX(Products!$B$5:$B$304,MATCH(C651,Products!$A$5:$A$304,0)),"Bundle or deleted"))</f>
        <v>0</v>
      </c>
      <c r="R651" s="13">
        <f>IF(B651="","",TEXT(B651,"yyyy-mm"))</f>
        <v>0</v>
      </c>
      <c r="S651" s="20">
        <f>IF(C651="","",IFERROR(INDEX(Products!$AR$5:$AR$304,MATCH(C651,Products!$A$5:$A$304,0)),""))</f>
        <v>0</v>
      </c>
      <c r="T651" s="20">
        <f>IF(B651="","",IF(F651&lt;&gt;"",F651,IF(S651="",0,S651)))</f>
        <v>0</v>
      </c>
      <c r="U651" s="20">
        <f>IF(B651="","",ROUND(IF(D651="",0,D651)*T651,2))</f>
        <v>0</v>
      </c>
      <c r="V651" s="20">
        <f>IF(B651="","",ROUND(U651-IF(G651="",0,G651)-IF(L651="",0,L651),2))</f>
        <v>0</v>
      </c>
      <c r="W651" s="20">
        <f>IF(C651="","",IFERROR(INDEX(Products!$AT$5:$AT$304,MATCH(C651,Products!$A$5:$A$304,0)),""))</f>
        <v>0</v>
      </c>
      <c r="X651" s="20">
        <f>IF(C651="","",IFERROR(INDEX(Products!$AG$5:$AG$304,MATCH(C651,Products!$A$5:$A$304,0)),""))</f>
        <v>0</v>
      </c>
      <c r="Y651" s="20">
        <f>IF(B651="","",ROUND(IF(D651="",0,D651)*MAX(0,IF(W651="",0,W651)-IF(X651="",0,X651)),2))</f>
        <v>0</v>
      </c>
      <c r="Z651" s="20">
        <f>IF(B651="","",ROUND(MAX(0,IF(J651="",0,J651)-IF(I651="",0,I651)),2))</f>
        <v>0</v>
      </c>
      <c r="AA651" s="33">
        <f>IF(B651="","",IFERROR(INDEX(Channels!$S$5:$S$18,MATCH(IF(E651="",DefaultChannel,E651),Channels!$A$5:$A$18,0)),0))</f>
        <v>0</v>
      </c>
      <c r="AB651" s="20">
        <f>IF(B651="","",IFERROR(INDEX(Channels!$T$5:$T$18,MATCH(IF(E651="",DefaultChannel,E651),Channels!$A$5:$A$18,0)),0))</f>
        <v>0</v>
      </c>
      <c r="AC651" s="42">
        <f>IF(B651="","",IFERROR(INDEX(Channels!$O$5:$O$18,MATCH(IF(E651="",DefaultChannel,E651),Channels!$A$5:$A$18,0)),"No"))</f>
        <v>0</v>
      </c>
      <c r="AD651" s="20">
        <f>IF(B651="","",ROUND((V651+IF(AC651="Yes",IF(I651="",0,I651),0))*AA651+AB651,2))</f>
        <v>0</v>
      </c>
      <c r="AE651" s="20">
        <f>IF(B651="","",IF(K651&lt;&gt;"",K651,AD651))</f>
        <v>0</v>
      </c>
      <c r="AF651" s="20">
        <f>IF(B651="","",IF(K651="","",ROUND(K651-AD651,2)))</f>
        <v>0</v>
      </c>
      <c r="AG651" s="20">
        <f>IF(B651="","",ROUND(V651-Y651-AE651-Z651,2))</f>
        <v>0</v>
      </c>
      <c r="AH651" s="33">
        <f>IF(B651="","",IF(OR(V651="",V651=0),"",AG651/V651))</f>
        <v>0</v>
      </c>
      <c r="AI651" s="33">
        <f>IF(C651="","",IFERROR(INDEX(Products!$AW$5:$AW$304,MATCH(C651,Products!$A$5:$A$304,0)),""))</f>
        <v>0</v>
      </c>
      <c r="AJ651" s="33">
        <f>IF(B651="","",IF(OR(AH651="",AI651=""),"",AH651-AI651))</f>
        <v>0</v>
      </c>
      <c r="AK651" s="41">
        <f>IF(B651="","",IFERROR(ROUND(IF(D651="",0,D651)*INDEX(Products!$X$5:$X$304,MATCH(C651,Products!$A$5:$A$304,0))/60,2),""))</f>
        <v>0</v>
      </c>
      <c r="AL651" s="20">
        <f>IF(B651="","",IF(OR(AK651="",AK651=0),"",ROUND(AG651/AK651,2)))</f>
        <v>0</v>
      </c>
      <c r="AM651" s="43">
        <f>IF(B651="","",IF(C651="","Add - which product?",IF(AG651&lt;0,"Loss - this order cost you money",IF(M651="Refunded","Refunded - check why",IF(AND(AF651&lt;&gt;"",AF651&gt;0.25),"Check - fees higher than your settings",IF(Z651&gt;1,"Check - postage is eating the margin",IF(AND(AH651&lt;&gt;"",AH651&lt;MarginWarning),"Low margin on this order","OK")))))) )</f>
        <v>0</v>
      </c>
    </row>
    <row r="652" spans="1:39">
      <c r="A652" s="38">
        <f>IF(B652="","",SalePrefix&amp;TEXT(ROW()-4,"0000"))</f>
        <v>0</v>
      </c>
      <c r="Q652" s="13">
        <f>IF(C652="","",IFERROR(INDEX(Products!$B$5:$B$304,MATCH(C652,Products!$A$5:$A$304,0)),"Bundle or deleted"))</f>
        <v>0</v>
      </c>
      <c r="R652" s="13">
        <f>IF(B652="","",TEXT(B652,"yyyy-mm"))</f>
        <v>0</v>
      </c>
      <c r="S652" s="20">
        <f>IF(C652="","",IFERROR(INDEX(Products!$AR$5:$AR$304,MATCH(C652,Products!$A$5:$A$304,0)),""))</f>
        <v>0</v>
      </c>
      <c r="T652" s="20">
        <f>IF(B652="","",IF(F652&lt;&gt;"",F652,IF(S652="",0,S652)))</f>
        <v>0</v>
      </c>
      <c r="U652" s="20">
        <f>IF(B652="","",ROUND(IF(D652="",0,D652)*T652,2))</f>
        <v>0</v>
      </c>
      <c r="V652" s="20">
        <f>IF(B652="","",ROUND(U652-IF(G652="",0,G652)-IF(L652="",0,L652),2))</f>
        <v>0</v>
      </c>
      <c r="W652" s="20">
        <f>IF(C652="","",IFERROR(INDEX(Products!$AT$5:$AT$304,MATCH(C652,Products!$A$5:$A$304,0)),""))</f>
        <v>0</v>
      </c>
      <c r="X652" s="20">
        <f>IF(C652="","",IFERROR(INDEX(Products!$AG$5:$AG$304,MATCH(C652,Products!$A$5:$A$304,0)),""))</f>
        <v>0</v>
      </c>
      <c r="Y652" s="20">
        <f>IF(B652="","",ROUND(IF(D652="",0,D652)*MAX(0,IF(W652="",0,W652)-IF(X652="",0,X652)),2))</f>
        <v>0</v>
      </c>
      <c r="Z652" s="20">
        <f>IF(B652="","",ROUND(MAX(0,IF(J652="",0,J652)-IF(I652="",0,I652)),2))</f>
        <v>0</v>
      </c>
      <c r="AA652" s="33">
        <f>IF(B652="","",IFERROR(INDEX(Channels!$S$5:$S$18,MATCH(IF(E652="",DefaultChannel,E652),Channels!$A$5:$A$18,0)),0))</f>
        <v>0</v>
      </c>
      <c r="AB652" s="20">
        <f>IF(B652="","",IFERROR(INDEX(Channels!$T$5:$T$18,MATCH(IF(E652="",DefaultChannel,E652),Channels!$A$5:$A$18,0)),0))</f>
        <v>0</v>
      </c>
      <c r="AC652" s="42">
        <f>IF(B652="","",IFERROR(INDEX(Channels!$O$5:$O$18,MATCH(IF(E652="",DefaultChannel,E652),Channels!$A$5:$A$18,0)),"No"))</f>
        <v>0</v>
      </c>
      <c r="AD652" s="20">
        <f>IF(B652="","",ROUND((V652+IF(AC652="Yes",IF(I652="",0,I652),0))*AA652+AB652,2))</f>
        <v>0</v>
      </c>
      <c r="AE652" s="20">
        <f>IF(B652="","",IF(K652&lt;&gt;"",K652,AD652))</f>
        <v>0</v>
      </c>
      <c r="AF652" s="20">
        <f>IF(B652="","",IF(K652="","",ROUND(K652-AD652,2)))</f>
        <v>0</v>
      </c>
      <c r="AG652" s="20">
        <f>IF(B652="","",ROUND(V652-Y652-AE652-Z652,2))</f>
        <v>0</v>
      </c>
      <c r="AH652" s="33">
        <f>IF(B652="","",IF(OR(V652="",V652=0),"",AG652/V652))</f>
        <v>0</v>
      </c>
      <c r="AI652" s="33">
        <f>IF(C652="","",IFERROR(INDEX(Products!$AW$5:$AW$304,MATCH(C652,Products!$A$5:$A$304,0)),""))</f>
        <v>0</v>
      </c>
      <c r="AJ652" s="33">
        <f>IF(B652="","",IF(OR(AH652="",AI652=""),"",AH652-AI652))</f>
        <v>0</v>
      </c>
      <c r="AK652" s="41">
        <f>IF(B652="","",IFERROR(ROUND(IF(D652="",0,D652)*INDEX(Products!$X$5:$X$304,MATCH(C652,Products!$A$5:$A$304,0))/60,2),""))</f>
        <v>0</v>
      </c>
      <c r="AL652" s="20">
        <f>IF(B652="","",IF(OR(AK652="",AK652=0),"",ROUND(AG652/AK652,2)))</f>
        <v>0</v>
      </c>
      <c r="AM652" s="43">
        <f>IF(B652="","",IF(C652="","Add - which product?",IF(AG652&lt;0,"Loss - this order cost you money",IF(M652="Refunded","Refunded - check why",IF(AND(AF652&lt;&gt;"",AF652&gt;0.25),"Check - fees higher than your settings",IF(Z652&gt;1,"Check - postage is eating the margin",IF(AND(AH652&lt;&gt;"",AH652&lt;MarginWarning),"Low margin on this order","OK")))))) )</f>
        <v>0</v>
      </c>
    </row>
    <row r="653" spans="1:39">
      <c r="A653" s="38">
        <f>IF(B653="","",SalePrefix&amp;TEXT(ROW()-4,"0000"))</f>
        <v>0</v>
      </c>
      <c r="Q653" s="13">
        <f>IF(C653="","",IFERROR(INDEX(Products!$B$5:$B$304,MATCH(C653,Products!$A$5:$A$304,0)),"Bundle or deleted"))</f>
        <v>0</v>
      </c>
      <c r="R653" s="13">
        <f>IF(B653="","",TEXT(B653,"yyyy-mm"))</f>
        <v>0</v>
      </c>
      <c r="S653" s="20">
        <f>IF(C653="","",IFERROR(INDEX(Products!$AR$5:$AR$304,MATCH(C653,Products!$A$5:$A$304,0)),""))</f>
        <v>0</v>
      </c>
      <c r="T653" s="20">
        <f>IF(B653="","",IF(F653&lt;&gt;"",F653,IF(S653="",0,S653)))</f>
        <v>0</v>
      </c>
      <c r="U653" s="20">
        <f>IF(B653="","",ROUND(IF(D653="",0,D653)*T653,2))</f>
        <v>0</v>
      </c>
      <c r="V653" s="20">
        <f>IF(B653="","",ROUND(U653-IF(G653="",0,G653)-IF(L653="",0,L653),2))</f>
        <v>0</v>
      </c>
      <c r="W653" s="20">
        <f>IF(C653="","",IFERROR(INDEX(Products!$AT$5:$AT$304,MATCH(C653,Products!$A$5:$A$304,0)),""))</f>
        <v>0</v>
      </c>
      <c r="X653" s="20">
        <f>IF(C653="","",IFERROR(INDEX(Products!$AG$5:$AG$304,MATCH(C653,Products!$A$5:$A$304,0)),""))</f>
        <v>0</v>
      </c>
      <c r="Y653" s="20">
        <f>IF(B653="","",ROUND(IF(D653="",0,D653)*MAX(0,IF(W653="",0,W653)-IF(X653="",0,X653)),2))</f>
        <v>0</v>
      </c>
      <c r="Z653" s="20">
        <f>IF(B653="","",ROUND(MAX(0,IF(J653="",0,J653)-IF(I653="",0,I653)),2))</f>
        <v>0</v>
      </c>
      <c r="AA653" s="33">
        <f>IF(B653="","",IFERROR(INDEX(Channels!$S$5:$S$18,MATCH(IF(E653="",DefaultChannel,E653),Channels!$A$5:$A$18,0)),0))</f>
        <v>0</v>
      </c>
      <c r="AB653" s="20">
        <f>IF(B653="","",IFERROR(INDEX(Channels!$T$5:$T$18,MATCH(IF(E653="",DefaultChannel,E653),Channels!$A$5:$A$18,0)),0))</f>
        <v>0</v>
      </c>
      <c r="AC653" s="42">
        <f>IF(B653="","",IFERROR(INDEX(Channels!$O$5:$O$18,MATCH(IF(E653="",DefaultChannel,E653),Channels!$A$5:$A$18,0)),"No"))</f>
        <v>0</v>
      </c>
      <c r="AD653" s="20">
        <f>IF(B653="","",ROUND((V653+IF(AC653="Yes",IF(I653="",0,I653),0))*AA653+AB653,2))</f>
        <v>0</v>
      </c>
      <c r="AE653" s="20">
        <f>IF(B653="","",IF(K653&lt;&gt;"",K653,AD653))</f>
        <v>0</v>
      </c>
      <c r="AF653" s="20">
        <f>IF(B653="","",IF(K653="","",ROUND(K653-AD653,2)))</f>
        <v>0</v>
      </c>
      <c r="AG653" s="20">
        <f>IF(B653="","",ROUND(V653-Y653-AE653-Z653,2))</f>
        <v>0</v>
      </c>
      <c r="AH653" s="33">
        <f>IF(B653="","",IF(OR(V653="",V653=0),"",AG653/V653))</f>
        <v>0</v>
      </c>
      <c r="AI653" s="33">
        <f>IF(C653="","",IFERROR(INDEX(Products!$AW$5:$AW$304,MATCH(C653,Products!$A$5:$A$304,0)),""))</f>
        <v>0</v>
      </c>
      <c r="AJ653" s="33">
        <f>IF(B653="","",IF(OR(AH653="",AI653=""),"",AH653-AI653))</f>
        <v>0</v>
      </c>
      <c r="AK653" s="41">
        <f>IF(B653="","",IFERROR(ROUND(IF(D653="",0,D653)*INDEX(Products!$X$5:$X$304,MATCH(C653,Products!$A$5:$A$304,0))/60,2),""))</f>
        <v>0</v>
      </c>
      <c r="AL653" s="20">
        <f>IF(B653="","",IF(OR(AK653="",AK653=0),"",ROUND(AG653/AK653,2)))</f>
        <v>0</v>
      </c>
      <c r="AM653" s="43">
        <f>IF(B653="","",IF(C653="","Add - which product?",IF(AG653&lt;0,"Loss - this order cost you money",IF(M653="Refunded","Refunded - check why",IF(AND(AF653&lt;&gt;"",AF653&gt;0.25),"Check - fees higher than your settings",IF(Z653&gt;1,"Check - postage is eating the margin",IF(AND(AH653&lt;&gt;"",AH653&lt;MarginWarning),"Low margin on this order","OK")))))) )</f>
        <v>0</v>
      </c>
    </row>
    <row r="654" spans="1:39">
      <c r="A654" s="38">
        <f>IF(B654="","",SalePrefix&amp;TEXT(ROW()-4,"0000"))</f>
        <v>0</v>
      </c>
      <c r="Q654" s="13">
        <f>IF(C654="","",IFERROR(INDEX(Products!$B$5:$B$304,MATCH(C654,Products!$A$5:$A$304,0)),"Bundle or deleted"))</f>
        <v>0</v>
      </c>
      <c r="R654" s="13">
        <f>IF(B654="","",TEXT(B654,"yyyy-mm"))</f>
        <v>0</v>
      </c>
      <c r="S654" s="20">
        <f>IF(C654="","",IFERROR(INDEX(Products!$AR$5:$AR$304,MATCH(C654,Products!$A$5:$A$304,0)),""))</f>
        <v>0</v>
      </c>
      <c r="T654" s="20">
        <f>IF(B654="","",IF(F654&lt;&gt;"",F654,IF(S654="",0,S654)))</f>
        <v>0</v>
      </c>
      <c r="U654" s="20">
        <f>IF(B654="","",ROUND(IF(D654="",0,D654)*T654,2))</f>
        <v>0</v>
      </c>
      <c r="V654" s="20">
        <f>IF(B654="","",ROUND(U654-IF(G654="",0,G654)-IF(L654="",0,L654),2))</f>
        <v>0</v>
      </c>
      <c r="W654" s="20">
        <f>IF(C654="","",IFERROR(INDEX(Products!$AT$5:$AT$304,MATCH(C654,Products!$A$5:$A$304,0)),""))</f>
        <v>0</v>
      </c>
      <c r="X654" s="20">
        <f>IF(C654="","",IFERROR(INDEX(Products!$AG$5:$AG$304,MATCH(C654,Products!$A$5:$A$304,0)),""))</f>
        <v>0</v>
      </c>
      <c r="Y654" s="20">
        <f>IF(B654="","",ROUND(IF(D654="",0,D654)*MAX(0,IF(W654="",0,W654)-IF(X654="",0,X654)),2))</f>
        <v>0</v>
      </c>
      <c r="Z654" s="20">
        <f>IF(B654="","",ROUND(MAX(0,IF(J654="",0,J654)-IF(I654="",0,I654)),2))</f>
        <v>0</v>
      </c>
      <c r="AA654" s="33">
        <f>IF(B654="","",IFERROR(INDEX(Channels!$S$5:$S$18,MATCH(IF(E654="",DefaultChannel,E654),Channels!$A$5:$A$18,0)),0))</f>
        <v>0</v>
      </c>
      <c r="AB654" s="20">
        <f>IF(B654="","",IFERROR(INDEX(Channels!$T$5:$T$18,MATCH(IF(E654="",DefaultChannel,E654),Channels!$A$5:$A$18,0)),0))</f>
        <v>0</v>
      </c>
      <c r="AC654" s="42">
        <f>IF(B654="","",IFERROR(INDEX(Channels!$O$5:$O$18,MATCH(IF(E654="",DefaultChannel,E654),Channels!$A$5:$A$18,0)),"No"))</f>
        <v>0</v>
      </c>
      <c r="AD654" s="20">
        <f>IF(B654="","",ROUND((V654+IF(AC654="Yes",IF(I654="",0,I654),0))*AA654+AB654,2))</f>
        <v>0</v>
      </c>
      <c r="AE654" s="20">
        <f>IF(B654="","",IF(K654&lt;&gt;"",K654,AD654))</f>
        <v>0</v>
      </c>
      <c r="AF654" s="20">
        <f>IF(B654="","",IF(K654="","",ROUND(K654-AD654,2)))</f>
        <v>0</v>
      </c>
      <c r="AG654" s="20">
        <f>IF(B654="","",ROUND(V654-Y654-AE654-Z654,2))</f>
        <v>0</v>
      </c>
      <c r="AH654" s="33">
        <f>IF(B654="","",IF(OR(V654="",V654=0),"",AG654/V654))</f>
        <v>0</v>
      </c>
      <c r="AI654" s="33">
        <f>IF(C654="","",IFERROR(INDEX(Products!$AW$5:$AW$304,MATCH(C654,Products!$A$5:$A$304,0)),""))</f>
        <v>0</v>
      </c>
      <c r="AJ654" s="33">
        <f>IF(B654="","",IF(OR(AH654="",AI654=""),"",AH654-AI654))</f>
        <v>0</v>
      </c>
      <c r="AK654" s="41">
        <f>IF(B654="","",IFERROR(ROUND(IF(D654="",0,D654)*INDEX(Products!$X$5:$X$304,MATCH(C654,Products!$A$5:$A$304,0))/60,2),""))</f>
        <v>0</v>
      </c>
      <c r="AL654" s="20">
        <f>IF(B654="","",IF(OR(AK654="",AK654=0),"",ROUND(AG654/AK654,2)))</f>
        <v>0</v>
      </c>
      <c r="AM654" s="43">
        <f>IF(B654="","",IF(C654="","Add - which product?",IF(AG654&lt;0,"Loss - this order cost you money",IF(M654="Refunded","Refunded - check why",IF(AND(AF654&lt;&gt;"",AF654&gt;0.25),"Check - fees higher than your settings",IF(Z654&gt;1,"Check - postage is eating the margin",IF(AND(AH654&lt;&gt;"",AH654&lt;MarginWarning),"Low margin on this order","OK")))))) )</f>
        <v>0</v>
      </c>
    </row>
    <row r="655" spans="1:39">
      <c r="A655" s="38">
        <f>IF(B655="","",SalePrefix&amp;TEXT(ROW()-4,"0000"))</f>
        <v>0</v>
      </c>
      <c r="Q655" s="13">
        <f>IF(C655="","",IFERROR(INDEX(Products!$B$5:$B$304,MATCH(C655,Products!$A$5:$A$304,0)),"Bundle or deleted"))</f>
        <v>0</v>
      </c>
      <c r="R655" s="13">
        <f>IF(B655="","",TEXT(B655,"yyyy-mm"))</f>
        <v>0</v>
      </c>
      <c r="S655" s="20">
        <f>IF(C655="","",IFERROR(INDEX(Products!$AR$5:$AR$304,MATCH(C655,Products!$A$5:$A$304,0)),""))</f>
        <v>0</v>
      </c>
      <c r="T655" s="20">
        <f>IF(B655="","",IF(F655&lt;&gt;"",F655,IF(S655="",0,S655)))</f>
        <v>0</v>
      </c>
      <c r="U655" s="20">
        <f>IF(B655="","",ROUND(IF(D655="",0,D655)*T655,2))</f>
        <v>0</v>
      </c>
      <c r="V655" s="20">
        <f>IF(B655="","",ROUND(U655-IF(G655="",0,G655)-IF(L655="",0,L655),2))</f>
        <v>0</v>
      </c>
      <c r="W655" s="20">
        <f>IF(C655="","",IFERROR(INDEX(Products!$AT$5:$AT$304,MATCH(C655,Products!$A$5:$A$304,0)),""))</f>
        <v>0</v>
      </c>
      <c r="X655" s="20">
        <f>IF(C655="","",IFERROR(INDEX(Products!$AG$5:$AG$304,MATCH(C655,Products!$A$5:$A$304,0)),""))</f>
        <v>0</v>
      </c>
      <c r="Y655" s="20">
        <f>IF(B655="","",ROUND(IF(D655="",0,D655)*MAX(0,IF(W655="",0,W655)-IF(X655="",0,X655)),2))</f>
        <v>0</v>
      </c>
      <c r="Z655" s="20">
        <f>IF(B655="","",ROUND(MAX(0,IF(J655="",0,J655)-IF(I655="",0,I655)),2))</f>
        <v>0</v>
      </c>
      <c r="AA655" s="33">
        <f>IF(B655="","",IFERROR(INDEX(Channels!$S$5:$S$18,MATCH(IF(E655="",DefaultChannel,E655),Channels!$A$5:$A$18,0)),0))</f>
        <v>0</v>
      </c>
      <c r="AB655" s="20">
        <f>IF(B655="","",IFERROR(INDEX(Channels!$T$5:$T$18,MATCH(IF(E655="",DefaultChannel,E655),Channels!$A$5:$A$18,0)),0))</f>
        <v>0</v>
      </c>
      <c r="AC655" s="42">
        <f>IF(B655="","",IFERROR(INDEX(Channels!$O$5:$O$18,MATCH(IF(E655="",DefaultChannel,E655),Channels!$A$5:$A$18,0)),"No"))</f>
        <v>0</v>
      </c>
      <c r="AD655" s="20">
        <f>IF(B655="","",ROUND((V655+IF(AC655="Yes",IF(I655="",0,I655),0))*AA655+AB655,2))</f>
        <v>0</v>
      </c>
      <c r="AE655" s="20">
        <f>IF(B655="","",IF(K655&lt;&gt;"",K655,AD655))</f>
        <v>0</v>
      </c>
      <c r="AF655" s="20">
        <f>IF(B655="","",IF(K655="","",ROUND(K655-AD655,2)))</f>
        <v>0</v>
      </c>
      <c r="AG655" s="20">
        <f>IF(B655="","",ROUND(V655-Y655-AE655-Z655,2))</f>
        <v>0</v>
      </c>
      <c r="AH655" s="33">
        <f>IF(B655="","",IF(OR(V655="",V655=0),"",AG655/V655))</f>
        <v>0</v>
      </c>
      <c r="AI655" s="33">
        <f>IF(C655="","",IFERROR(INDEX(Products!$AW$5:$AW$304,MATCH(C655,Products!$A$5:$A$304,0)),""))</f>
        <v>0</v>
      </c>
      <c r="AJ655" s="33">
        <f>IF(B655="","",IF(OR(AH655="",AI655=""),"",AH655-AI655))</f>
        <v>0</v>
      </c>
      <c r="AK655" s="41">
        <f>IF(B655="","",IFERROR(ROUND(IF(D655="",0,D655)*INDEX(Products!$X$5:$X$304,MATCH(C655,Products!$A$5:$A$304,0))/60,2),""))</f>
        <v>0</v>
      </c>
      <c r="AL655" s="20">
        <f>IF(B655="","",IF(OR(AK655="",AK655=0),"",ROUND(AG655/AK655,2)))</f>
        <v>0</v>
      </c>
      <c r="AM655" s="43">
        <f>IF(B655="","",IF(C655="","Add - which product?",IF(AG655&lt;0,"Loss - this order cost you money",IF(M655="Refunded","Refunded - check why",IF(AND(AF655&lt;&gt;"",AF655&gt;0.25),"Check - fees higher than your settings",IF(Z655&gt;1,"Check - postage is eating the margin",IF(AND(AH655&lt;&gt;"",AH655&lt;MarginWarning),"Low margin on this order","OK")))))) )</f>
        <v>0</v>
      </c>
    </row>
    <row r="656" spans="1:39">
      <c r="A656" s="38">
        <f>IF(B656="","",SalePrefix&amp;TEXT(ROW()-4,"0000"))</f>
        <v>0</v>
      </c>
      <c r="Q656" s="13">
        <f>IF(C656="","",IFERROR(INDEX(Products!$B$5:$B$304,MATCH(C656,Products!$A$5:$A$304,0)),"Bundle or deleted"))</f>
        <v>0</v>
      </c>
      <c r="R656" s="13">
        <f>IF(B656="","",TEXT(B656,"yyyy-mm"))</f>
        <v>0</v>
      </c>
      <c r="S656" s="20">
        <f>IF(C656="","",IFERROR(INDEX(Products!$AR$5:$AR$304,MATCH(C656,Products!$A$5:$A$304,0)),""))</f>
        <v>0</v>
      </c>
      <c r="T656" s="20">
        <f>IF(B656="","",IF(F656&lt;&gt;"",F656,IF(S656="",0,S656)))</f>
        <v>0</v>
      </c>
      <c r="U656" s="20">
        <f>IF(B656="","",ROUND(IF(D656="",0,D656)*T656,2))</f>
        <v>0</v>
      </c>
      <c r="V656" s="20">
        <f>IF(B656="","",ROUND(U656-IF(G656="",0,G656)-IF(L656="",0,L656),2))</f>
        <v>0</v>
      </c>
      <c r="W656" s="20">
        <f>IF(C656="","",IFERROR(INDEX(Products!$AT$5:$AT$304,MATCH(C656,Products!$A$5:$A$304,0)),""))</f>
        <v>0</v>
      </c>
      <c r="X656" s="20">
        <f>IF(C656="","",IFERROR(INDEX(Products!$AG$5:$AG$304,MATCH(C656,Products!$A$5:$A$304,0)),""))</f>
        <v>0</v>
      </c>
      <c r="Y656" s="20">
        <f>IF(B656="","",ROUND(IF(D656="",0,D656)*MAX(0,IF(W656="",0,W656)-IF(X656="",0,X656)),2))</f>
        <v>0</v>
      </c>
      <c r="Z656" s="20">
        <f>IF(B656="","",ROUND(MAX(0,IF(J656="",0,J656)-IF(I656="",0,I656)),2))</f>
        <v>0</v>
      </c>
      <c r="AA656" s="33">
        <f>IF(B656="","",IFERROR(INDEX(Channels!$S$5:$S$18,MATCH(IF(E656="",DefaultChannel,E656),Channels!$A$5:$A$18,0)),0))</f>
        <v>0</v>
      </c>
      <c r="AB656" s="20">
        <f>IF(B656="","",IFERROR(INDEX(Channels!$T$5:$T$18,MATCH(IF(E656="",DefaultChannel,E656),Channels!$A$5:$A$18,0)),0))</f>
        <v>0</v>
      </c>
      <c r="AC656" s="42">
        <f>IF(B656="","",IFERROR(INDEX(Channels!$O$5:$O$18,MATCH(IF(E656="",DefaultChannel,E656),Channels!$A$5:$A$18,0)),"No"))</f>
        <v>0</v>
      </c>
      <c r="AD656" s="20">
        <f>IF(B656="","",ROUND((V656+IF(AC656="Yes",IF(I656="",0,I656),0))*AA656+AB656,2))</f>
        <v>0</v>
      </c>
      <c r="AE656" s="20">
        <f>IF(B656="","",IF(K656&lt;&gt;"",K656,AD656))</f>
        <v>0</v>
      </c>
      <c r="AF656" s="20">
        <f>IF(B656="","",IF(K656="","",ROUND(K656-AD656,2)))</f>
        <v>0</v>
      </c>
      <c r="AG656" s="20">
        <f>IF(B656="","",ROUND(V656-Y656-AE656-Z656,2))</f>
        <v>0</v>
      </c>
      <c r="AH656" s="33">
        <f>IF(B656="","",IF(OR(V656="",V656=0),"",AG656/V656))</f>
        <v>0</v>
      </c>
      <c r="AI656" s="33">
        <f>IF(C656="","",IFERROR(INDEX(Products!$AW$5:$AW$304,MATCH(C656,Products!$A$5:$A$304,0)),""))</f>
        <v>0</v>
      </c>
      <c r="AJ656" s="33">
        <f>IF(B656="","",IF(OR(AH656="",AI656=""),"",AH656-AI656))</f>
        <v>0</v>
      </c>
      <c r="AK656" s="41">
        <f>IF(B656="","",IFERROR(ROUND(IF(D656="",0,D656)*INDEX(Products!$X$5:$X$304,MATCH(C656,Products!$A$5:$A$304,0))/60,2),""))</f>
        <v>0</v>
      </c>
      <c r="AL656" s="20">
        <f>IF(B656="","",IF(OR(AK656="",AK656=0),"",ROUND(AG656/AK656,2)))</f>
        <v>0</v>
      </c>
      <c r="AM656" s="43">
        <f>IF(B656="","",IF(C656="","Add - which product?",IF(AG656&lt;0,"Loss - this order cost you money",IF(M656="Refunded","Refunded - check why",IF(AND(AF656&lt;&gt;"",AF656&gt;0.25),"Check - fees higher than your settings",IF(Z656&gt;1,"Check - postage is eating the margin",IF(AND(AH656&lt;&gt;"",AH656&lt;MarginWarning),"Low margin on this order","OK")))))) )</f>
        <v>0</v>
      </c>
    </row>
    <row r="657" spans="1:39">
      <c r="A657" s="38">
        <f>IF(B657="","",SalePrefix&amp;TEXT(ROW()-4,"0000"))</f>
        <v>0</v>
      </c>
      <c r="Q657" s="13">
        <f>IF(C657="","",IFERROR(INDEX(Products!$B$5:$B$304,MATCH(C657,Products!$A$5:$A$304,0)),"Bundle or deleted"))</f>
        <v>0</v>
      </c>
      <c r="R657" s="13">
        <f>IF(B657="","",TEXT(B657,"yyyy-mm"))</f>
        <v>0</v>
      </c>
      <c r="S657" s="20">
        <f>IF(C657="","",IFERROR(INDEX(Products!$AR$5:$AR$304,MATCH(C657,Products!$A$5:$A$304,0)),""))</f>
        <v>0</v>
      </c>
      <c r="T657" s="20">
        <f>IF(B657="","",IF(F657&lt;&gt;"",F657,IF(S657="",0,S657)))</f>
        <v>0</v>
      </c>
      <c r="U657" s="20">
        <f>IF(B657="","",ROUND(IF(D657="",0,D657)*T657,2))</f>
        <v>0</v>
      </c>
      <c r="V657" s="20">
        <f>IF(B657="","",ROUND(U657-IF(G657="",0,G657)-IF(L657="",0,L657),2))</f>
        <v>0</v>
      </c>
      <c r="W657" s="20">
        <f>IF(C657="","",IFERROR(INDEX(Products!$AT$5:$AT$304,MATCH(C657,Products!$A$5:$A$304,0)),""))</f>
        <v>0</v>
      </c>
      <c r="X657" s="20">
        <f>IF(C657="","",IFERROR(INDEX(Products!$AG$5:$AG$304,MATCH(C657,Products!$A$5:$A$304,0)),""))</f>
        <v>0</v>
      </c>
      <c r="Y657" s="20">
        <f>IF(B657="","",ROUND(IF(D657="",0,D657)*MAX(0,IF(W657="",0,W657)-IF(X657="",0,X657)),2))</f>
        <v>0</v>
      </c>
      <c r="Z657" s="20">
        <f>IF(B657="","",ROUND(MAX(0,IF(J657="",0,J657)-IF(I657="",0,I657)),2))</f>
        <v>0</v>
      </c>
      <c r="AA657" s="33">
        <f>IF(B657="","",IFERROR(INDEX(Channels!$S$5:$S$18,MATCH(IF(E657="",DefaultChannel,E657),Channels!$A$5:$A$18,0)),0))</f>
        <v>0</v>
      </c>
      <c r="AB657" s="20">
        <f>IF(B657="","",IFERROR(INDEX(Channels!$T$5:$T$18,MATCH(IF(E657="",DefaultChannel,E657),Channels!$A$5:$A$18,0)),0))</f>
        <v>0</v>
      </c>
      <c r="AC657" s="42">
        <f>IF(B657="","",IFERROR(INDEX(Channels!$O$5:$O$18,MATCH(IF(E657="",DefaultChannel,E657),Channels!$A$5:$A$18,0)),"No"))</f>
        <v>0</v>
      </c>
      <c r="AD657" s="20">
        <f>IF(B657="","",ROUND((V657+IF(AC657="Yes",IF(I657="",0,I657),0))*AA657+AB657,2))</f>
        <v>0</v>
      </c>
      <c r="AE657" s="20">
        <f>IF(B657="","",IF(K657&lt;&gt;"",K657,AD657))</f>
        <v>0</v>
      </c>
      <c r="AF657" s="20">
        <f>IF(B657="","",IF(K657="","",ROUND(K657-AD657,2)))</f>
        <v>0</v>
      </c>
      <c r="AG657" s="20">
        <f>IF(B657="","",ROUND(V657-Y657-AE657-Z657,2))</f>
        <v>0</v>
      </c>
      <c r="AH657" s="33">
        <f>IF(B657="","",IF(OR(V657="",V657=0),"",AG657/V657))</f>
        <v>0</v>
      </c>
      <c r="AI657" s="33">
        <f>IF(C657="","",IFERROR(INDEX(Products!$AW$5:$AW$304,MATCH(C657,Products!$A$5:$A$304,0)),""))</f>
        <v>0</v>
      </c>
      <c r="AJ657" s="33">
        <f>IF(B657="","",IF(OR(AH657="",AI657=""),"",AH657-AI657))</f>
        <v>0</v>
      </c>
      <c r="AK657" s="41">
        <f>IF(B657="","",IFERROR(ROUND(IF(D657="",0,D657)*INDEX(Products!$X$5:$X$304,MATCH(C657,Products!$A$5:$A$304,0))/60,2),""))</f>
        <v>0</v>
      </c>
      <c r="AL657" s="20">
        <f>IF(B657="","",IF(OR(AK657="",AK657=0),"",ROUND(AG657/AK657,2)))</f>
        <v>0</v>
      </c>
      <c r="AM657" s="43">
        <f>IF(B657="","",IF(C657="","Add - which product?",IF(AG657&lt;0,"Loss - this order cost you money",IF(M657="Refunded","Refunded - check why",IF(AND(AF657&lt;&gt;"",AF657&gt;0.25),"Check - fees higher than your settings",IF(Z657&gt;1,"Check - postage is eating the margin",IF(AND(AH657&lt;&gt;"",AH657&lt;MarginWarning),"Low margin on this order","OK")))))) )</f>
        <v>0</v>
      </c>
    </row>
    <row r="658" spans="1:39">
      <c r="A658" s="38">
        <f>IF(B658="","",SalePrefix&amp;TEXT(ROW()-4,"0000"))</f>
        <v>0</v>
      </c>
      <c r="Q658" s="13">
        <f>IF(C658="","",IFERROR(INDEX(Products!$B$5:$B$304,MATCH(C658,Products!$A$5:$A$304,0)),"Bundle or deleted"))</f>
        <v>0</v>
      </c>
      <c r="R658" s="13">
        <f>IF(B658="","",TEXT(B658,"yyyy-mm"))</f>
        <v>0</v>
      </c>
      <c r="S658" s="20">
        <f>IF(C658="","",IFERROR(INDEX(Products!$AR$5:$AR$304,MATCH(C658,Products!$A$5:$A$304,0)),""))</f>
        <v>0</v>
      </c>
      <c r="T658" s="20">
        <f>IF(B658="","",IF(F658&lt;&gt;"",F658,IF(S658="",0,S658)))</f>
        <v>0</v>
      </c>
      <c r="U658" s="20">
        <f>IF(B658="","",ROUND(IF(D658="",0,D658)*T658,2))</f>
        <v>0</v>
      </c>
      <c r="V658" s="20">
        <f>IF(B658="","",ROUND(U658-IF(G658="",0,G658)-IF(L658="",0,L658),2))</f>
        <v>0</v>
      </c>
      <c r="W658" s="20">
        <f>IF(C658="","",IFERROR(INDEX(Products!$AT$5:$AT$304,MATCH(C658,Products!$A$5:$A$304,0)),""))</f>
        <v>0</v>
      </c>
      <c r="X658" s="20">
        <f>IF(C658="","",IFERROR(INDEX(Products!$AG$5:$AG$304,MATCH(C658,Products!$A$5:$A$304,0)),""))</f>
        <v>0</v>
      </c>
      <c r="Y658" s="20">
        <f>IF(B658="","",ROUND(IF(D658="",0,D658)*MAX(0,IF(W658="",0,W658)-IF(X658="",0,X658)),2))</f>
        <v>0</v>
      </c>
      <c r="Z658" s="20">
        <f>IF(B658="","",ROUND(MAX(0,IF(J658="",0,J658)-IF(I658="",0,I658)),2))</f>
        <v>0</v>
      </c>
      <c r="AA658" s="33">
        <f>IF(B658="","",IFERROR(INDEX(Channels!$S$5:$S$18,MATCH(IF(E658="",DefaultChannel,E658),Channels!$A$5:$A$18,0)),0))</f>
        <v>0</v>
      </c>
      <c r="AB658" s="20">
        <f>IF(B658="","",IFERROR(INDEX(Channels!$T$5:$T$18,MATCH(IF(E658="",DefaultChannel,E658),Channels!$A$5:$A$18,0)),0))</f>
        <v>0</v>
      </c>
      <c r="AC658" s="42">
        <f>IF(B658="","",IFERROR(INDEX(Channels!$O$5:$O$18,MATCH(IF(E658="",DefaultChannel,E658),Channels!$A$5:$A$18,0)),"No"))</f>
        <v>0</v>
      </c>
      <c r="AD658" s="20">
        <f>IF(B658="","",ROUND((V658+IF(AC658="Yes",IF(I658="",0,I658),0))*AA658+AB658,2))</f>
        <v>0</v>
      </c>
      <c r="AE658" s="20">
        <f>IF(B658="","",IF(K658&lt;&gt;"",K658,AD658))</f>
        <v>0</v>
      </c>
      <c r="AF658" s="20">
        <f>IF(B658="","",IF(K658="","",ROUND(K658-AD658,2)))</f>
        <v>0</v>
      </c>
      <c r="AG658" s="20">
        <f>IF(B658="","",ROUND(V658-Y658-AE658-Z658,2))</f>
        <v>0</v>
      </c>
      <c r="AH658" s="33">
        <f>IF(B658="","",IF(OR(V658="",V658=0),"",AG658/V658))</f>
        <v>0</v>
      </c>
      <c r="AI658" s="33">
        <f>IF(C658="","",IFERROR(INDEX(Products!$AW$5:$AW$304,MATCH(C658,Products!$A$5:$A$304,0)),""))</f>
        <v>0</v>
      </c>
      <c r="AJ658" s="33">
        <f>IF(B658="","",IF(OR(AH658="",AI658=""),"",AH658-AI658))</f>
        <v>0</v>
      </c>
      <c r="AK658" s="41">
        <f>IF(B658="","",IFERROR(ROUND(IF(D658="",0,D658)*INDEX(Products!$X$5:$X$304,MATCH(C658,Products!$A$5:$A$304,0))/60,2),""))</f>
        <v>0</v>
      </c>
      <c r="AL658" s="20">
        <f>IF(B658="","",IF(OR(AK658="",AK658=0),"",ROUND(AG658/AK658,2)))</f>
        <v>0</v>
      </c>
      <c r="AM658" s="43">
        <f>IF(B658="","",IF(C658="","Add - which product?",IF(AG658&lt;0,"Loss - this order cost you money",IF(M658="Refunded","Refunded - check why",IF(AND(AF658&lt;&gt;"",AF658&gt;0.25),"Check - fees higher than your settings",IF(Z658&gt;1,"Check - postage is eating the margin",IF(AND(AH658&lt;&gt;"",AH658&lt;MarginWarning),"Low margin on this order","OK")))))) )</f>
        <v>0</v>
      </c>
    </row>
    <row r="659" spans="1:39">
      <c r="A659" s="38">
        <f>IF(B659="","",SalePrefix&amp;TEXT(ROW()-4,"0000"))</f>
        <v>0</v>
      </c>
      <c r="Q659" s="13">
        <f>IF(C659="","",IFERROR(INDEX(Products!$B$5:$B$304,MATCH(C659,Products!$A$5:$A$304,0)),"Bundle or deleted"))</f>
        <v>0</v>
      </c>
      <c r="R659" s="13">
        <f>IF(B659="","",TEXT(B659,"yyyy-mm"))</f>
        <v>0</v>
      </c>
      <c r="S659" s="20">
        <f>IF(C659="","",IFERROR(INDEX(Products!$AR$5:$AR$304,MATCH(C659,Products!$A$5:$A$304,0)),""))</f>
        <v>0</v>
      </c>
      <c r="T659" s="20">
        <f>IF(B659="","",IF(F659&lt;&gt;"",F659,IF(S659="",0,S659)))</f>
        <v>0</v>
      </c>
      <c r="U659" s="20">
        <f>IF(B659="","",ROUND(IF(D659="",0,D659)*T659,2))</f>
        <v>0</v>
      </c>
      <c r="V659" s="20">
        <f>IF(B659="","",ROUND(U659-IF(G659="",0,G659)-IF(L659="",0,L659),2))</f>
        <v>0</v>
      </c>
      <c r="W659" s="20">
        <f>IF(C659="","",IFERROR(INDEX(Products!$AT$5:$AT$304,MATCH(C659,Products!$A$5:$A$304,0)),""))</f>
        <v>0</v>
      </c>
      <c r="X659" s="20">
        <f>IF(C659="","",IFERROR(INDEX(Products!$AG$5:$AG$304,MATCH(C659,Products!$A$5:$A$304,0)),""))</f>
        <v>0</v>
      </c>
      <c r="Y659" s="20">
        <f>IF(B659="","",ROUND(IF(D659="",0,D659)*MAX(0,IF(W659="",0,W659)-IF(X659="",0,X659)),2))</f>
        <v>0</v>
      </c>
      <c r="Z659" s="20">
        <f>IF(B659="","",ROUND(MAX(0,IF(J659="",0,J659)-IF(I659="",0,I659)),2))</f>
        <v>0</v>
      </c>
      <c r="AA659" s="33">
        <f>IF(B659="","",IFERROR(INDEX(Channels!$S$5:$S$18,MATCH(IF(E659="",DefaultChannel,E659),Channels!$A$5:$A$18,0)),0))</f>
        <v>0</v>
      </c>
      <c r="AB659" s="20">
        <f>IF(B659="","",IFERROR(INDEX(Channels!$T$5:$T$18,MATCH(IF(E659="",DefaultChannel,E659),Channels!$A$5:$A$18,0)),0))</f>
        <v>0</v>
      </c>
      <c r="AC659" s="42">
        <f>IF(B659="","",IFERROR(INDEX(Channels!$O$5:$O$18,MATCH(IF(E659="",DefaultChannel,E659),Channels!$A$5:$A$18,0)),"No"))</f>
        <v>0</v>
      </c>
      <c r="AD659" s="20">
        <f>IF(B659="","",ROUND((V659+IF(AC659="Yes",IF(I659="",0,I659),0))*AA659+AB659,2))</f>
        <v>0</v>
      </c>
      <c r="AE659" s="20">
        <f>IF(B659="","",IF(K659&lt;&gt;"",K659,AD659))</f>
        <v>0</v>
      </c>
      <c r="AF659" s="20">
        <f>IF(B659="","",IF(K659="","",ROUND(K659-AD659,2)))</f>
        <v>0</v>
      </c>
      <c r="AG659" s="20">
        <f>IF(B659="","",ROUND(V659-Y659-AE659-Z659,2))</f>
        <v>0</v>
      </c>
      <c r="AH659" s="33">
        <f>IF(B659="","",IF(OR(V659="",V659=0),"",AG659/V659))</f>
        <v>0</v>
      </c>
      <c r="AI659" s="33">
        <f>IF(C659="","",IFERROR(INDEX(Products!$AW$5:$AW$304,MATCH(C659,Products!$A$5:$A$304,0)),""))</f>
        <v>0</v>
      </c>
      <c r="AJ659" s="33">
        <f>IF(B659="","",IF(OR(AH659="",AI659=""),"",AH659-AI659))</f>
        <v>0</v>
      </c>
      <c r="AK659" s="41">
        <f>IF(B659="","",IFERROR(ROUND(IF(D659="",0,D659)*INDEX(Products!$X$5:$X$304,MATCH(C659,Products!$A$5:$A$304,0))/60,2),""))</f>
        <v>0</v>
      </c>
      <c r="AL659" s="20">
        <f>IF(B659="","",IF(OR(AK659="",AK659=0),"",ROUND(AG659/AK659,2)))</f>
        <v>0</v>
      </c>
      <c r="AM659" s="43">
        <f>IF(B659="","",IF(C659="","Add - which product?",IF(AG659&lt;0,"Loss - this order cost you money",IF(M659="Refunded","Refunded - check why",IF(AND(AF659&lt;&gt;"",AF659&gt;0.25),"Check - fees higher than your settings",IF(Z659&gt;1,"Check - postage is eating the margin",IF(AND(AH659&lt;&gt;"",AH659&lt;MarginWarning),"Low margin on this order","OK")))))) )</f>
        <v>0</v>
      </c>
    </row>
    <row r="660" spans="1:39">
      <c r="A660" s="38">
        <f>IF(B660="","",SalePrefix&amp;TEXT(ROW()-4,"0000"))</f>
        <v>0</v>
      </c>
      <c r="Q660" s="13">
        <f>IF(C660="","",IFERROR(INDEX(Products!$B$5:$B$304,MATCH(C660,Products!$A$5:$A$304,0)),"Bundle or deleted"))</f>
        <v>0</v>
      </c>
      <c r="R660" s="13">
        <f>IF(B660="","",TEXT(B660,"yyyy-mm"))</f>
        <v>0</v>
      </c>
      <c r="S660" s="20">
        <f>IF(C660="","",IFERROR(INDEX(Products!$AR$5:$AR$304,MATCH(C660,Products!$A$5:$A$304,0)),""))</f>
        <v>0</v>
      </c>
      <c r="T660" s="20">
        <f>IF(B660="","",IF(F660&lt;&gt;"",F660,IF(S660="",0,S660)))</f>
        <v>0</v>
      </c>
      <c r="U660" s="20">
        <f>IF(B660="","",ROUND(IF(D660="",0,D660)*T660,2))</f>
        <v>0</v>
      </c>
      <c r="V660" s="20">
        <f>IF(B660="","",ROUND(U660-IF(G660="",0,G660)-IF(L660="",0,L660),2))</f>
        <v>0</v>
      </c>
      <c r="W660" s="20">
        <f>IF(C660="","",IFERROR(INDEX(Products!$AT$5:$AT$304,MATCH(C660,Products!$A$5:$A$304,0)),""))</f>
        <v>0</v>
      </c>
      <c r="X660" s="20">
        <f>IF(C660="","",IFERROR(INDEX(Products!$AG$5:$AG$304,MATCH(C660,Products!$A$5:$A$304,0)),""))</f>
        <v>0</v>
      </c>
      <c r="Y660" s="20">
        <f>IF(B660="","",ROUND(IF(D660="",0,D660)*MAX(0,IF(W660="",0,W660)-IF(X660="",0,X660)),2))</f>
        <v>0</v>
      </c>
      <c r="Z660" s="20">
        <f>IF(B660="","",ROUND(MAX(0,IF(J660="",0,J660)-IF(I660="",0,I660)),2))</f>
        <v>0</v>
      </c>
      <c r="AA660" s="33">
        <f>IF(B660="","",IFERROR(INDEX(Channels!$S$5:$S$18,MATCH(IF(E660="",DefaultChannel,E660),Channels!$A$5:$A$18,0)),0))</f>
        <v>0</v>
      </c>
      <c r="AB660" s="20">
        <f>IF(B660="","",IFERROR(INDEX(Channels!$T$5:$T$18,MATCH(IF(E660="",DefaultChannel,E660),Channels!$A$5:$A$18,0)),0))</f>
        <v>0</v>
      </c>
      <c r="AC660" s="42">
        <f>IF(B660="","",IFERROR(INDEX(Channels!$O$5:$O$18,MATCH(IF(E660="",DefaultChannel,E660),Channels!$A$5:$A$18,0)),"No"))</f>
        <v>0</v>
      </c>
      <c r="AD660" s="20">
        <f>IF(B660="","",ROUND((V660+IF(AC660="Yes",IF(I660="",0,I660),0))*AA660+AB660,2))</f>
        <v>0</v>
      </c>
      <c r="AE660" s="20">
        <f>IF(B660="","",IF(K660&lt;&gt;"",K660,AD660))</f>
        <v>0</v>
      </c>
      <c r="AF660" s="20">
        <f>IF(B660="","",IF(K660="","",ROUND(K660-AD660,2)))</f>
        <v>0</v>
      </c>
      <c r="AG660" s="20">
        <f>IF(B660="","",ROUND(V660-Y660-AE660-Z660,2))</f>
        <v>0</v>
      </c>
      <c r="AH660" s="33">
        <f>IF(B660="","",IF(OR(V660="",V660=0),"",AG660/V660))</f>
        <v>0</v>
      </c>
      <c r="AI660" s="33">
        <f>IF(C660="","",IFERROR(INDEX(Products!$AW$5:$AW$304,MATCH(C660,Products!$A$5:$A$304,0)),""))</f>
        <v>0</v>
      </c>
      <c r="AJ660" s="33">
        <f>IF(B660="","",IF(OR(AH660="",AI660=""),"",AH660-AI660))</f>
        <v>0</v>
      </c>
      <c r="AK660" s="41">
        <f>IF(B660="","",IFERROR(ROUND(IF(D660="",0,D660)*INDEX(Products!$X$5:$X$304,MATCH(C660,Products!$A$5:$A$304,0))/60,2),""))</f>
        <v>0</v>
      </c>
      <c r="AL660" s="20">
        <f>IF(B660="","",IF(OR(AK660="",AK660=0),"",ROUND(AG660/AK660,2)))</f>
        <v>0</v>
      </c>
      <c r="AM660" s="43">
        <f>IF(B660="","",IF(C660="","Add - which product?",IF(AG660&lt;0,"Loss - this order cost you money",IF(M660="Refunded","Refunded - check why",IF(AND(AF660&lt;&gt;"",AF660&gt;0.25),"Check - fees higher than your settings",IF(Z660&gt;1,"Check - postage is eating the margin",IF(AND(AH660&lt;&gt;"",AH660&lt;MarginWarning),"Low margin on this order","OK")))))) )</f>
        <v>0</v>
      </c>
    </row>
    <row r="661" spans="1:39">
      <c r="A661" s="38">
        <f>IF(B661="","",SalePrefix&amp;TEXT(ROW()-4,"0000"))</f>
        <v>0</v>
      </c>
      <c r="Q661" s="13">
        <f>IF(C661="","",IFERROR(INDEX(Products!$B$5:$B$304,MATCH(C661,Products!$A$5:$A$304,0)),"Bundle or deleted"))</f>
        <v>0</v>
      </c>
      <c r="R661" s="13">
        <f>IF(B661="","",TEXT(B661,"yyyy-mm"))</f>
        <v>0</v>
      </c>
      <c r="S661" s="20">
        <f>IF(C661="","",IFERROR(INDEX(Products!$AR$5:$AR$304,MATCH(C661,Products!$A$5:$A$304,0)),""))</f>
        <v>0</v>
      </c>
      <c r="T661" s="20">
        <f>IF(B661="","",IF(F661&lt;&gt;"",F661,IF(S661="",0,S661)))</f>
        <v>0</v>
      </c>
      <c r="U661" s="20">
        <f>IF(B661="","",ROUND(IF(D661="",0,D661)*T661,2))</f>
        <v>0</v>
      </c>
      <c r="V661" s="20">
        <f>IF(B661="","",ROUND(U661-IF(G661="",0,G661)-IF(L661="",0,L661),2))</f>
        <v>0</v>
      </c>
      <c r="W661" s="20">
        <f>IF(C661="","",IFERROR(INDEX(Products!$AT$5:$AT$304,MATCH(C661,Products!$A$5:$A$304,0)),""))</f>
        <v>0</v>
      </c>
      <c r="X661" s="20">
        <f>IF(C661="","",IFERROR(INDEX(Products!$AG$5:$AG$304,MATCH(C661,Products!$A$5:$A$304,0)),""))</f>
        <v>0</v>
      </c>
      <c r="Y661" s="20">
        <f>IF(B661="","",ROUND(IF(D661="",0,D661)*MAX(0,IF(W661="",0,W661)-IF(X661="",0,X661)),2))</f>
        <v>0</v>
      </c>
      <c r="Z661" s="20">
        <f>IF(B661="","",ROUND(MAX(0,IF(J661="",0,J661)-IF(I661="",0,I661)),2))</f>
        <v>0</v>
      </c>
      <c r="AA661" s="33">
        <f>IF(B661="","",IFERROR(INDEX(Channels!$S$5:$S$18,MATCH(IF(E661="",DefaultChannel,E661),Channels!$A$5:$A$18,0)),0))</f>
        <v>0</v>
      </c>
      <c r="AB661" s="20">
        <f>IF(B661="","",IFERROR(INDEX(Channels!$T$5:$T$18,MATCH(IF(E661="",DefaultChannel,E661),Channels!$A$5:$A$18,0)),0))</f>
        <v>0</v>
      </c>
      <c r="AC661" s="42">
        <f>IF(B661="","",IFERROR(INDEX(Channels!$O$5:$O$18,MATCH(IF(E661="",DefaultChannel,E661),Channels!$A$5:$A$18,0)),"No"))</f>
        <v>0</v>
      </c>
      <c r="AD661" s="20">
        <f>IF(B661="","",ROUND((V661+IF(AC661="Yes",IF(I661="",0,I661),0))*AA661+AB661,2))</f>
        <v>0</v>
      </c>
      <c r="AE661" s="20">
        <f>IF(B661="","",IF(K661&lt;&gt;"",K661,AD661))</f>
        <v>0</v>
      </c>
      <c r="AF661" s="20">
        <f>IF(B661="","",IF(K661="","",ROUND(K661-AD661,2)))</f>
        <v>0</v>
      </c>
      <c r="AG661" s="20">
        <f>IF(B661="","",ROUND(V661-Y661-AE661-Z661,2))</f>
        <v>0</v>
      </c>
      <c r="AH661" s="33">
        <f>IF(B661="","",IF(OR(V661="",V661=0),"",AG661/V661))</f>
        <v>0</v>
      </c>
      <c r="AI661" s="33">
        <f>IF(C661="","",IFERROR(INDEX(Products!$AW$5:$AW$304,MATCH(C661,Products!$A$5:$A$304,0)),""))</f>
        <v>0</v>
      </c>
      <c r="AJ661" s="33">
        <f>IF(B661="","",IF(OR(AH661="",AI661=""),"",AH661-AI661))</f>
        <v>0</v>
      </c>
      <c r="AK661" s="41">
        <f>IF(B661="","",IFERROR(ROUND(IF(D661="",0,D661)*INDEX(Products!$X$5:$X$304,MATCH(C661,Products!$A$5:$A$304,0))/60,2),""))</f>
        <v>0</v>
      </c>
      <c r="AL661" s="20">
        <f>IF(B661="","",IF(OR(AK661="",AK661=0),"",ROUND(AG661/AK661,2)))</f>
        <v>0</v>
      </c>
      <c r="AM661" s="43">
        <f>IF(B661="","",IF(C661="","Add - which product?",IF(AG661&lt;0,"Loss - this order cost you money",IF(M661="Refunded","Refunded - check why",IF(AND(AF661&lt;&gt;"",AF661&gt;0.25),"Check - fees higher than your settings",IF(Z661&gt;1,"Check - postage is eating the margin",IF(AND(AH661&lt;&gt;"",AH661&lt;MarginWarning),"Low margin on this order","OK")))))) )</f>
        <v>0</v>
      </c>
    </row>
    <row r="662" spans="1:39">
      <c r="A662" s="38">
        <f>IF(B662="","",SalePrefix&amp;TEXT(ROW()-4,"0000"))</f>
        <v>0</v>
      </c>
      <c r="Q662" s="13">
        <f>IF(C662="","",IFERROR(INDEX(Products!$B$5:$B$304,MATCH(C662,Products!$A$5:$A$304,0)),"Bundle or deleted"))</f>
        <v>0</v>
      </c>
      <c r="R662" s="13">
        <f>IF(B662="","",TEXT(B662,"yyyy-mm"))</f>
        <v>0</v>
      </c>
      <c r="S662" s="20">
        <f>IF(C662="","",IFERROR(INDEX(Products!$AR$5:$AR$304,MATCH(C662,Products!$A$5:$A$304,0)),""))</f>
        <v>0</v>
      </c>
      <c r="T662" s="20">
        <f>IF(B662="","",IF(F662&lt;&gt;"",F662,IF(S662="",0,S662)))</f>
        <v>0</v>
      </c>
      <c r="U662" s="20">
        <f>IF(B662="","",ROUND(IF(D662="",0,D662)*T662,2))</f>
        <v>0</v>
      </c>
      <c r="V662" s="20">
        <f>IF(B662="","",ROUND(U662-IF(G662="",0,G662)-IF(L662="",0,L662),2))</f>
        <v>0</v>
      </c>
      <c r="W662" s="20">
        <f>IF(C662="","",IFERROR(INDEX(Products!$AT$5:$AT$304,MATCH(C662,Products!$A$5:$A$304,0)),""))</f>
        <v>0</v>
      </c>
      <c r="X662" s="20">
        <f>IF(C662="","",IFERROR(INDEX(Products!$AG$5:$AG$304,MATCH(C662,Products!$A$5:$A$304,0)),""))</f>
        <v>0</v>
      </c>
      <c r="Y662" s="20">
        <f>IF(B662="","",ROUND(IF(D662="",0,D662)*MAX(0,IF(W662="",0,W662)-IF(X662="",0,X662)),2))</f>
        <v>0</v>
      </c>
      <c r="Z662" s="20">
        <f>IF(B662="","",ROUND(MAX(0,IF(J662="",0,J662)-IF(I662="",0,I662)),2))</f>
        <v>0</v>
      </c>
      <c r="AA662" s="33">
        <f>IF(B662="","",IFERROR(INDEX(Channels!$S$5:$S$18,MATCH(IF(E662="",DefaultChannel,E662),Channels!$A$5:$A$18,0)),0))</f>
        <v>0</v>
      </c>
      <c r="AB662" s="20">
        <f>IF(B662="","",IFERROR(INDEX(Channels!$T$5:$T$18,MATCH(IF(E662="",DefaultChannel,E662),Channels!$A$5:$A$18,0)),0))</f>
        <v>0</v>
      </c>
      <c r="AC662" s="42">
        <f>IF(B662="","",IFERROR(INDEX(Channels!$O$5:$O$18,MATCH(IF(E662="",DefaultChannel,E662),Channels!$A$5:$A$18,0)),"No"))</f>
        <v>0</v>
      </c>
      <c r="AD662" s="20">
        <f>IF(B662="","",ROUND((V662+IF(AC662="Yes",IF(I662="",0,I662),0))*AA662+AB662,2))</f>
        <v>0</v>
      </c>
      <c r="AE662" s="20">
        <f>IF(B662="","",IF(K662&lt;&gt;"",K662,AD662))</f>
        <v>0</v>
      </c>
      <c r="AF662" s="20">
        <f>IF(B662="","",IF(K662="","",ROUND(K662-AD662,2)))</f>
        <v>0</v>
      </c>
      <c r="AG662" s="20">
        <f>IF(B662="","",ROUND(V662-Y662-AE662-Z662,2))</f>
        <v>0</v>
      </c>
      <c r="AH662" s="33">
        <f>IF(B662="","",IF(OR(V662="",V662=0),"",AG662/V662))</f>
        <v>0</v>
      </c>
      <c r="AI662" s="33">
        <f>IF(C662="","",IFERROR(INDEX(Products!$AW$5:$AW$304,MATCH(C662,Products!$A$5:$A$304,0)),""))</f>
        <v>0</v>
      </c>
      <c r="AJ662" s="33">
        <f>IF(B662="","",IF(OR(AH662="",AI662=""),"",AH662-AI662))</f>
        <v>0</v>
      </c>
      <c r="AK662" s="41">
        <f>IF(B662="","",IFERROR(ROUND(IF(D662="",0,D662)*INDEX(Products!$X$5:$X$304,MATCH(C662,Products!$A$5:$A$304,0))/60,2),""))</f>
        <v>0</v>
      </c>
      <c r="AL662" s="20">
        <f>IF(B662="","",IF(OR(AK662="",AK662=0),"",ROUND(AG662/AK662,2)))</f>
        <v>0</v>
      </c>
      <c r="AM662" s="43">
        <f>IF(B662="","",IF(C662="","Add - which product?",IF(AG662&lt;0,"Loss - this order cost you money",IF(M662="Refunded","Refunded - check why",IF(AND(AF662&lt;&gt;"",AF662&gt;0.25),"Check - fees higher than your settings",IF(Z662&gt;1,"Check - postage is eating the margin",IF(AND(AH662&lt;&gt;"",AH662&lt;MarginWarning),"Low margin on this order","OK")))))) )</f>
        <v>0</v>
      </c>
    </row>
    <row r="663" spans="1:39">
      <c r="A663" s="38">
        <f>IF(B663="","",SalePrefix&amp;TEXT(ROW()-4,"0000"))</f>
        <v>0</v>
      </c>
      <c r="Q663" s="13">
        <f>IF(C663="","",IFERROR(INDEX(Products!$B$5:$B$304,MATCH(C663,Products!$A$5:$A$304,0)),"Bundle or deleted"))</f>
        <v>0</v>
      </c>
      <c r="R663" s="13">
        <f>IF(B663="","",TEXT(B663,"yyyy-mm"))</f>
        <v>0</v>
      </c>
      <c r="S663" s="20">
        <f>IF(C663="","",IFERROR(INDEX(Products!$AR$5:$AR$304,MATCH(C663,Products!$A$5:$A$304,0)),""))</f>
        <v>0</v>
      </c>
      <c r="T663" s="20">
        <f>IF(B663="","",IF(F663&lt;&gt;"",F663,IF(S663="",0,S663)))</f>
        <v>0</v>
      </c>
      <c r="U663" s="20">
        <f>IF(B663="","",ROUND(IF(D663="",0,D663)*T663,2))</f>
        <v>0</v>
      </c>
      <c r="V663" s="20">
        <f>IF(B663="","",ROUND(U663-IF(G663="",0,G663)-IF(L663="",0,L663),2))</f>
        <v>0</v>
      </c>
      <c r="W663" s="20">
        <f>IF(C663="","",IFERROR(INDEX(Products!$AT$5:$AT$304,MATCH(C663,Products!$A$5:$A$304,0)),""))</f>
        <v>0</v>
      </c>
      <c r="X663" s="20">
        <f>IF(C663="","",IFERROR(INDEX(Products!$AG$5:$AG$304,MATCH(C663,Products!$A$5:$A$304,0)),""))</f>
        <v>0</v>
      </c>
      <c r="Y663" s="20">
        <f>IF(B663="","",ROUND(IF(D663="",0,D663)*MAX(0,IF(W663="",0,W663)-IF(X663="",0,X663)),2))</f>
        <v>0</v>
      </c>
      <c r="Z663" s="20">
        <f>IF(B663="","",ROUND(MAX(0,IF(J663="",0,J663)-IF(I663="",0,I663)),2))</f>
        <v>0</v>
      </c>
      <c r="AA663" s="33">
        <f>IF(B663="","",IFERROR(INDEX(Channels!$S$5:$S$18,MATCH(IF(E663="",DefaultChannel,E663),Channels!$A$5:$A$18,0)),0))</f>
        <v>0</v>
      </c>
      <c r="AB663" s="20">
        <f>IF(B663="","",IFERROR(INDEX(Channels!$T$5:$T$18,MATCH(IF(E663="",DefaultChannel,E663),Channels!$A$5:$A$18,0)),0))</f>
        <v>0</v>
      </c>
      <c r="AC663" s="42">
        <f>IF(B663="","",IFERROR(INDEX(Channels!$O$5:$O$18,MATCH(IF(E663="",DefaultChannel,E663),Channels!$A$5:$A$18,0)),"No"))</f>
        <v>0</v>
      </c>
      <c r="AD663" s="20">
        <f>IF(B663="","",ROUND((V663+IF(AC663="Yes",IF(I663="",0,I663),0))*AA663+AB663,2))</f>
        <v>0</v>
      </c>
      <c r="AE663" s="20">
        <f>IF(B663="","",IF(K663&lt;&gt;"",K663,AD663))</f>
        <v>0</v>
      </c>
      <c r="AF663" s="20">
        <f>IF(B663="","",IF(K663="","",ROUND(K663-AD663,2)))</f>
        <v>0</v>
      </c>
      <c r="AG663" s="20">
        <f>IF(B663="","",ROUND(V663-Y663-AE663-Z663,2))</f>
        <v>0</v>
      </c>
      <c r="AH663" s="33">
        <f>IF(B663="","",IF(OR(V663="",V663=0),"",AG663/V663))</f>
        <v>0</v>
      </c>
      <c r="AI663" s="33">
        <f>IF(C663="","",IFERROR(INDEX(Products!$AW$5:$AW$304,MATCH(C663,Products!$A$5:$A$304,0)),""))</f>
        <v>0</v>
      </c>
      <c r="AJ663" s="33">
        <f>IF(B663="","",IF(OR(AH663="",AI663=""),"",AH663-AI663))</f>
        <v>0</v>
      </c>
      <c r="AK663" s="41">
        <f>IF(B663="","",IFERROR(ROUND(IF(D663="",0,D663)*INDEX(Products!$X$5:$X$304,MATCH(C663,Products!$A$5:$A$304,0))/60,2),""))</f>
        <v>0</v>
      </c>
      <c r="AL663" s="20">
        <f>IF(B663="","",IF(OR(AK663="",AK663=0),"",ROUND(AG663/AK663,2)))</f>
        <v>0</v>
      </c>
      <c r="AM663" s="43">
        <f>IF(B663="","",IF(C663="","Add - which product?",IF(AG663&lt;0,"Loss - this order cost you money",IF(M663="Refunded","Refunded - check why",IF(AND(AF663&lt;&gt;"",AF663&gt;0.25),"Check - fees higher than your settings",IF(Z663&gt;1,"Check - postage is eating the margin",IF(AND(AH663&lt;&gt;"",AH663&lt;MarginWarning),"Low margin on this order","OK")))))) )</f>
        <v>0</v>
      </c>
    </row>
    <row r="664" spans="1:39">
      <c r="A664" s="38">
        <f>IF(B664="","",SalePrefix&amp;TEXT(ROW()-4,"0000"))</f>
        <v>0</v>
      </c>
      <c r="Q664" s="13">
        <f>IF(C664="","",IFERROR(INDEX(Products!$B$5:$B$304,MATCH(C664,Products!$A$5:$A$304,0)),"Bundle or deleted"))</f>
        <v>0</v>
      </c>
      <c r="R664" s="13">
        <f>IF(B664="","",TEXT(B664,"yyyy-mm"))</f>
        <v>0</v>
      </c>
      <c r="S664" s="20">
        <f>IF(C664="","",IFERROR(INDEX(Products!$AR$5:$AR$304,MATCH(C664,Products!$A$5:$A$304,0)),""))</f>
        <v>0</v>
      </c>
      <c r="T664" s="20">
        <f>IF(B664="","",IF(F664&lt;&gt;"",F664,IF(S664="",0,S664)))</f>
        <v>0</v>
      </c>
      <c r="U664" s="20">
        <f>IF(B664="","",ROUND(IF(D664="",0,D664)*T664,2))</f>
        <v>0</v>
      </c>
      <c r="V664" s="20">
        <f>IF(B664="","",ROUND(U664-IF(G664="",0,G664)-IF(L664="",0,L664),2))</f>
        <v>0</v>
      </c>
      <c r="W664" s="20">
        <f>IF(C664="","",IFERROR(INDEX(Products!$AT$5:$AT$304,MATCH(C664,Products!$A$5:$A$304,0)),""))</f>
        <v>0</v>
      </c>
      <c r="X664" s="20">
        <f>IF(C664="","",IFERROR(INDEX(Products!$AG$5:$AG$304,MATCH(C664,Products!$A$5:$A$304,0)),""))</f>
        <v>0</v>
      </c>
      <c r="Y664" s="20">
        <f>IF(B664="","",ROUND(IF(D664="",0,D664)*MAX(0,IF(W664="",0,W664)-IF(X664="",0,X664)),2))</f>
        <v>0</v>
      </c>
      <c r="Z664" s="20">
        <f>IF(B664="","",ROUND(MAX(0,IF(J664="",0,J664)-IF(I664="",0,I664)),2))</f>
        <v>0</v>
      </c>
      <c r="AA664" s="33">
        <f>IF(B664="","",IFERROR(INDEX(Channels!$S$5:$S$18,MATCH(IF(E664="",DefaultChannel,E664),Channels!$A$5:$A$18,0)),0))</f>
        <v>0</v>
      </c>
      <c r="AB664" s="20">
        <f>IF(B664="","",IFERROR(INDEX(Channels!$T$5:$T$18,MATCH(IF(E664="",DefaultChannel,E664),Channels!$A$5:$A$18,0)),0))</f>
        <v>0</v>
      </c>
      <c r="AC664" s="42">
        <f>IF(B664="","",IFERROR(INDEX(Channels!$O$5:$O$18,MATCH(IF(E664="",DefaultChannel,E664),Channels!$A$5:$A$18,0)),"No"))</f>
        <v>0</v>
      </c>
      <c r="AD664" s="20">
        <f>IF(B664="","",ROUND((V664+IF(AC664="Yes",IF(I664="",0,I664),0))*AA664+AB664,2))</f>
        <v>0</v>
      </c>
      <c r="AE664" s="20">
        <f>IF(B664="","",IF(K664&lt;&gt;"",K664,AD664))</f>
        <v>0</v>
      </c>
      <c r="AF664" s="20">
        <f>IF(B664="","",IF(K664="","",ROUND(K664-AD664,2)))</f>
        <v>0</v>
      </c>
      <c r="AG664" s="20">
        <f>IF(B664="","",ROUND(V664-Y664-AE664-Z664,2))</f>
        <v>0</v>
      </c>
      <c r="AH664" s="33">
        <f>IF(B664="","",IF(OR(V664="",V664=0),"",AG664/V664))</f>
        <v>0</v>
      </c>
      <c r="AI664" s="33">
        <f>IF(C664="","",IFERROR(INDEX(Products!$AW$5:$AW$304,MATCH(C664,Products!$A$5:$A$304,0)),""))</f>
        <v>0</v>
      </c>
      <c r="AJ664" s="33">
        <f>IF(B664="","",IF(OR(AH664="",AI664=""),"",AH664-AI664))</f>
        <v>0</v>
      </c>
      <c r="AK664" s="41">
        <f>IF(B664="","",IFERROR(ROUND(IF(D664="",0,D664)*INDEX(Products!$X$5:$X$304,MATCH(C664,Products!$A$5:$A$304,0))/60,2),""))</f>
        <v>0</v>
      </c>
      <c r="AL664" s="20">
        <f>IF(B664="","",IF(OR(AK664="",AK664=0),"",ROUND(AG664/AK664,2)))</f>
        <v>0</v>
      </c>
      <c r="AM664" s="43">
        <f>IF(B664="","",IF(C664="","Add - which product?",IF(AG664&lt;0,"Loss - this order cost you money",IF(M664="Refunded","Refunded - check why",IF(AND(AF664&lt;&gt;"",AF664&gt;0.25),"Check - fees higher than your settings",IF(Z664&gt;1,"Check - postage is eating the margin",IF(AND(AH664&lt;&gt;"",AH664&lt;MarginWarning),"Low margin on this order","OK")))))) )</f>
        <v>0</v>
      </c>
    </row>
    <row r="665" spans="1:39">
      <c r="A665" s="38">
        <f>IF(B665="","",SalePrefix&amp;TEXT(ROW()-4,"0000"))</f>
        <v>0</v>
      </c>
      <c r="Q665" s="13">
        <f>IF(C665="","",IFERROR(INDEX(Products!$B$5:$B$304,MATCH(C665,Products!$A$5:$A$304,0)),"Bundle or deleted"))</f>
        <v>0</v>
      </c>
      <c r="R665" s="13">
        <f>IF(B665="","",TEXT(B665,"yyyy-mm"))</f>
        <v>0</v>
      </c>
      <c r="S665" s="20">
        <f>IF(C665="","",IFERROR(INDEX(Products!$AR$5:$AR$304,MATCH(C665,Products!$A$5:$A$304,0)),""))</f>
        <v>0</v>
      </c>
      <c r="T665" s="20">
        <f>IF(B665="","",IF(F665&lt;&gt;"",F665,IF(S665="",0,S665)))</f>
        <v>0</v>
      </c>
      <c r="U665" s="20">
        <f>IF(B665="","",ROUND(IF(D665="",0,D665)*T665,2))</f>
        <v>0</v>
      </c>
      <c r="V665" s="20">
        <f>IF(B665="","",ROUND(U665-IF(G665="",0,G665)-IF(L665="",0,L665),2))</f>
        <v>0</v>
      </c>
      <c r="W665" s="20">
        <f>IF(C665="","",IFERROR(INDEX(Products!$AT$5:$AT$304,MATCH(C665,Products!$A$5:$A$304,0)),""))</f>
        <v>0</v>
      </c>
      <c r="X665" s="20">
        <f>IF(C665="","",IFERROR(INDEX(Products!$AG$5:$AG$304,MATCH(C665,Products!$A$5:$A$304,0)),""))</f>
        <v>0</v>
      </c>
      <c r="Y665" s="20">
        <f>IF(B665="","",ROUND(IF(D665="",0,D665)*MAX(0,IF(W665="",0,W665)-IF(X665="",0,X665)),2))</f>
        <v>0</v>
      </c>
      <c r="Z665" s="20">
        <f>IF(B665="","",ROUND(MAX(0,IF(J665="",0,J665)-IF(I665="",0,I665)),2))</f>
        <v>0</v>
      </c>
      <c r="AA665" s="33">
        <f>IF(B665="","",IFERROR(INDEX(Channels!$S$5:$S$18,MATCH(IF(E665="",DefaultChannel,E665),Channels!$A$5:$A$18,0)),0))</f>
        <v>0</v>
      </c>
      <c r="AB665" s="20">
        <f>IF(B665="","",IFERROR(INDEX(Channels!$T$5:$T$18,MATCH(IF(E665="",DefaultChannel,E665),Channels!$A$5:$A$18,0)),0))</f>
        <v>0</v>
      </c>
      <c r="AC665" s="42">
        <f>IF(B665="","",IFERROR(INDEX(Channels!$O$5:$O$18,MATCH(IF(E665="",DefaultChannel,E665),Channels!$A$5:$A$18,0)),"No"))</f>
        <v>0</v>
      </c>
      <c r="AD665" s="20">
        <f>IF(B665="","",ROUND((V665+IF(AC665="Yes",IF(I665="",0,I665),0))*AA665+AB665,2))</f>
        <v>0</v>
      </c>
      <c r="AE665" s="20">
        <f>IF(B665="","",IF(K665&lt;&gt;"",K665,AD665))</f>
        <v>0</v>
      </c>
      <c r="AF665" s="20">
        <f>IF(B665="","",IF(K665="","",ROUND(K665-AD665,2)))</f>
        <v>0</v>
      </c>
      <c r="AG665" s="20">
        <f>IF(B665="","",ROUND(V665-Y665-AE665-Z665,2))</f>
        <v>0</v>
      </c>
      <c r="AH665" s="33">
        <f>IF(B665="","",IF(OR(V665="",V665=0),"",AG665/V665))</f>
        <v>0</v>
      </c>
      <c r="AI665" s="33">
        <f>IF(C665="","",IFERROR(INDEX(Products!$AW$5:$AW$304,MATCH(C665,Products!$A$5:$A$304,0)),""))</f>
        <v>0</v>
      </c>
      <c r="AJ665" s="33">
        <f>IF(B665="","",IF(OR(AH665="",AI665=""),"",AH665-AI665))</f>
        <v>0</v>
      </c>
      <c r="AK665" s="41">
        <f>IF(B665="","",IFERROR(ROUND(IF(D665="",0,D665)*INDEX(Products!$X$5:$X$304,MATCH(C665,Products!$A$5:$A$304,0))/60,2),""))</f>
        <v>0</v>
      </c>
      <c r="AL665" s="20">
        <f>IF(B665="","",IF(OR(AK665="",AK665=0),"",ROUND(AG665/AK665,2)))</f>
        <v>0</v>
      </c>
      <c r="AM665" s="43">
        <f>IF(B665="","",IF(C665="","Add - which product?",IF(AG665&lt;0,"Loss - this order cost you money",IF(M665="Refunded","Refunded - check why",IF(AND(AF665&lt;&gt;"",AF665&gt;0.25),"Check - fees higher than your settings",IF(Z665&gt;1,"Check - postage is eating the margin",IF(AND(AH665&lt;&gt;"",AH665&lt;MarginWarning),"Low margin on this order","OK")))))) )</f>
        <v>0</v>
      </c>
    </row>
    <row r="666" spans="1:39">
      <c r="A666" s="38">
        <f>IF(B666="","",SalePrefix&amp;TEXT(ROW()-4,"0000"))</f>
        <v>0</v>
      </c>
      <c r="Q666" s="13">
        <f>IF(C666="","",IFERROR(INDEX(Products!$B$5:$B$304,MATCH(C666,Products!$A$5:$A$304,0)),"Bundle or deleted"))</f>
        <v>0</v>
      </c>
      <c r="R666" s="13">
        <f>IF(B666="","",TEXT(B666,"yyyy-mm"))</f>
        <v>0</v>
      </c>
      <c r="S666" s="20">
        <f>IF(C666="","",IFERROR(INDEX(Products!$AR$5:$AR$304,MATCH(C666,Products!$A$5:$A$304,0)),""))</f>
        <v>0</v>
      </c>
      <c r="T666" s="20">
        <f>IF(B666="","",IF(F666&lt;&gt;"",F666,IF(S666="",0,S666)))</f>
        <v>0</v>
      </c>
      <c r="U666" s="20">
        <f>IF(B666="","",ROUND(IF(D666="",0,D666)*T666,2))</f>
        <v>0</v>
      </c>
      <c r="V666" s="20">
        <f>IF(B666="","",ROUND(U666-IF(G666="",0,G666)-IF(L666="",0,L666),2))</f>
        <v>0</v>
      </c>
      <c r="W666" s="20">
        <f>IF(C666="","",IFERROR(INDEX(Products!$AT$5:$AT$304,MATCH(C666,Products!$A$5:$A$304,0)),""))</f>
        <v>0</v>
      </c>
      <c r="X666" s="20">
        <f>IF(C666="","",IFERROR(INDEX(Products!$AG$5:$AG$304,MATCH(C666,Products!$A$5:$A$304,0)),""))</f>
        <v>0</v>
      </c>
      <c r="Y666" s="20">
        <f>IF(B666="","",ROUND(IF(D666="",0,D666)*MAX(0,IF(W666="",0,W666)-IF(X666="",0,X666)),2))</f>
        <v>0</v>
      </c>
      <c r="Z666" s="20">
        <f>IF(B666="","",ROUND(MAX(0,IF(J666="",0,J666)-IF(I666="",0,I666)),2))</f>
        <v>0</v>
      </c>
      <c r="AA666" s="33">
        <f>IF(B666="","",IFERROR(INDEX(Channels!$S$5:$S$18,MATCH(IF(E666="",DefaultChannel,E666),Channels!$A$5:$A$18,0)),0))</f>
        <v>0</v>
      </c>
      <c r="AB666" s="20">
        <f>IF(B666="","",IFERROR(INDEX(Channels!$T$5:$T$18,MATCH(IF(E666="",DefaultChannel,E666),Channels!$A$5:$A$18,0)),0))</f>
        <v>0</v>
      </c>
      <c r="AC666" s="42">
        <f>IF(B666="","",IFERROR(INDEX(Channels!$O$5:$O$18,MATCH(IF(E666="",DefaultChannel,E666),Channels!$A$5:$A$18,0)),"No"))</f>
        <v>0</v>
      </c>
      <c r="AD666" s="20">
        <f>IF(B666="","",ROUND((V666+IF(AC666="Yes",IF(I666="",0,I666),0))*AA666+AB666,2))</f>
        <v>0</v>
      </c>
      <c r="AE666" s="20">
        <f>IF(B666="","",IF(K666&lt;&gt;"",K666,AD666))</f>
        <v>0</v>
      </c>
      <c r="AF666" s="20">
        <f>IF(B666="","",IF(K666="","",ROUND(K666-AD666,2)))</f>
        <v>0</v>
      </c>
      <c r="AG666" s="20">
        <f>IF(B666="","",ROUND(V666-Y666-AE666-Z666,2))</f>
        <v>0</v>
      </c>
      <c r="AH666" s="33">
        <f>IF(B666="","",IF(OR(V666="",V666=0),"",AG666/V666))</f>
        <v>0</v>
      </c>
      <c r="AI666" s="33">
        <f>IF(C666="","",IFERROR(INDEX(Products!$AW$5:$AW$304,MATCH(C666,Products!$A$5:$A$304,0)),""))</f>
        <v>0</v>
      </c>
      <c r="AJ666" s="33">
        <f>IF(B666="","",IF(OR(AH666="",AI666=""),"",AH666-AI666))</f>
        <v>0</v>
      </c>
      <c r="AK666" s="41">
        <f>IF(B666="","",IFERROR(ROUND(IF(D666="",0,D666)*INDEX(Products!$X$5:$X$304,MATCH(C666,Products!$A$5:$A$304,0))/60,2),""))</f>
        <v>0</v>
      </c>
      <c r="AL666" s="20">
        <f>IF(B666="","",IF(OR(AK666="",AK666=0),"",ROUND(AG666/AK666,2)))</f>
        <v>0</v>
      </c>
      <c r="AM666" s="43">
        <f>IF(B666="","",IF(C666="","Add - which product?",IF(AG666&lt;0,"Loss - this order cost you money",IF(M666="Refunded","Refunded - check why",IF(AND(AF666&lt;&gt;"",AF666&gt;0.25),"Check - fees higher than your settings",IF(Z666&gt;1,"Check - postage is eating the margin",IF(AND(AH666&lt;&gt;"",AH666&lt;MarginWarning),"Low margin on this order","OK")))))) )</f>
        <v>0</v>
      </c>
    </row>
    <row r="667" spans="1:39">
      <c r="A667" s="38">
        <f>IF(B667="","",SalePrefix&amp;TEXT(ROW()-4,"0000"))</f>
        <v>0</v>
      </c>
      <c r="Q667" s="13">
        <f>IF(C667="","",IFERROR(INDEX(Products!$B$5:$B$304,MATCH(C667,Products!$A$5:$A$304,0)),"Bundle or deleted"))</f>
        <v>0</v>
      </c>
      <c r="R667" s="13">
        <f>IF(B667="","",TEXT(B667,"yyyy-mm"))</f>
        <v>0</v>
      </c>
      <c r="S667" s="20">
        <f>IF(C667="","",IFERROR(INDEX(Products!$AR$5:$AR$304,MATCH(C667,Products!$A$5:$A$304,0)),""))</f>
        <v>0</v>
      </c>
      <c r="T667" s="20">
        <f>IF(B667="","",IF(F667&lt;&gt;"",F667,IF(S667="",0,S667)))</f>
        <v>0</v>
      </c>
      <c r="U667" s="20">
        <f>IF(B667="","",ROUND(IF(D667="",0,D667)*T667,2))</f>
        <v>0</v>
      </c>
      <c r="V667" s="20">
        <f>IF(B667="","",ROUND(U667-IF(G667="",0,G667)-IF(L667="",0,L667),2))</f>
        <v>0</v>
      </c>
      <c r="W667" s="20">
        <f>IF(C667="","",IFERROR(INDEX(Products!$AT$5:$AT$304,MATCH(C667,Products!$A$5:$A$304,0)),""))</f>
        <v>0</v>
      </c>
      <c r="X667" s="20">
        <f>IF(C667="","",IFERROR(INDEX(Products!$AG$5:$AG$304,MATCH(C667,Products!$A$5:$A$304,0)),""))</f>
        <v>0</v>
      </c>
      <c r="Y667" s="20">
        <f>IF(B667="","",ROUND(IF(D667="",0,D667)*MAX(0,IF(W667="",0,W667)-IF(X667="",0,X667)),2))</f>
        <v>0</v>
      </c>
      <c r="Z667" s="20">
        <f>IF(B667="","",ROUND(MAX(0,IF(J667="",0,J667)-IF(I667="",0,I667)),2))</f>
        <v>0</v>
      </c>
      <c r="AA667" s="33">
        <f>IF(B667="","",IFERROR(INDEX(Channels!$S$5:$S$18,MATCH(IF(E667="",DefaultChannel,E667),Channels!$A$5:$A$18,0)),0))</f>
        <v>0</v>
      </c>
      <c r="AB667" s="20">
        <f>IF(B667="","",IFERROR(INDEX(Channels!$T$5:$T$18,MATCH(IF(E667="",DefaultChannel,E667),Channels!$A$5:$A$18,0)),0))</f>
        <v>0</v>
      </c>
      <c r="AC667" s="42">
        <f>IF(B667="","",IFERROR(INDEX(Channels!$O$5:$O$18,MATCH(IF(E667="",DefaultChannel,E667),Channels!$A$5:$A$18,0)),"No"))</f>
        <v>0</v>
      </c>
      <c r="AD667" s="20">
        <f>IF(B667="","",ROUND((V667+IF(AC667="Yes",IF(I667="",0,I667),0))*AA667+AB667,2))</f>
        <v>0</v>
      </c>
      <c r="AE667" s="20">
        <f>IF(B667="","",IF(K667&lt;&gt;"",K667,AD667))</f>
        <v>0</v>
      </c>
      <c r="AF667" s="20">
        <f>IF(B667="","",IF(K667="","",ROUND(K667-AD667,2)))</f>
        <v>0</v>
      </c>
      <c r="AG667" s="20">
        <f>IF(B667="","",ROUND(V667-Y667-AE667-Z667,2))</f>
        <v>0</v>
      </c>
      <c r="AH667" s="33">
        <f>IF(B667="","",IF(OR(V667="",V667=0),"",AG667/V667))</f>
        <v>0</v>
      </c>
      <c r="AI667" s="33">
        <f>IF(C667="","",IFERROR(INDEX(Products!$AW$5:$AW$304,MATCH(C667,Products!$A$5:$A$304,0)),""))</f>
        <v>0</v>
      </c>
      <c r="AJ667" s="33">
        <f>IF(B667="","",IF(OR(AH667="",AI667=""),"",AH667-AI667))</f>
        <v>0</v>
      </c>
      <c r="AK667" s="41">
        <f>IF(B667="","",IFERROR(ROUND(IF(D667="",0,D667)*INDEX(Products!$X$5:$X$304,MATCH(C667,Products!$A$5:$A$304,0))/60,2),""))</f>
        <v>0</v>
      </c>
      <c r="AL667" s="20">
        <f>IF(B667="","",IF(OR(AK667="",AK667=0),"",ROUND(AG667/AK667,2)))</f>
        <v>0</v>
      </c>
      <c r="AM667" s="43">
        <f>IF(B667="","",IF(C667="","Add - which product?",IF(AG667&lt;0,"Loss - this order cost you money",IF(M667="Refunded","Refunded - check why",IF(AND(AF667&lt;&gt;"",AF667&gt;0.25),"Check - fees higher than your settings",IF(Z667&gt;1,"Check - postage is eating the margin",IF(AND(AH667&lt;&gt;"",AH667&lt;MarginWarning),"Low margin on this order","OK")))))) )</f>
        <v>0</v>
      </c>
    </row>
    <row r="668" spans="1:39">
      <c r="A668" s="38">
        <f>IF(B668="","",SalePrefix&amp;TEXT(ROW()-4,"0000"))</f>
        <v>0</v>
      </c>
      <c r="Q668" s="13">
        <f>IF(C668="","",IFERROR(INDEX(Products!$B$5:$B$304,MATCH(C668,Products!$A$5:$A$304,0)),"Bundle or deleted"))</f>
        <v>0</v>
      </c>
      <c r="R668" s="13">
        <f>IF(B668="","",TEXT(B668,"yyyy-mm"))</f>
        <v>0</v>
      </c>
      <c r="S668" s="20">
        <f>IF(C668="","",IFERROR(INDEX(Products!$AR$5:$AR$304,MATCH(C668,Products!$A$5:$A$304,0)),""))</f>
        <v>0</v>
      </c>
      <c r="T668" s="20">
        <f>IF(B668="","",IF(F668&lt;&gt;"",F668,IF(S668="",0,S668)))</f>
        <v>0</v>
      </c>
      <c r="U668" s="20">
        <f>IF(B668="","",ROUND(IF(D668="",0,D668)*T668,2))</f>
        <v>0</v>
      </c>
      <c r="V668" s="20">
        <f>IF(B668="","",ROUND(U668-IF(G668="",0,G668)-IF(L668="",0,L668),2))</f>
        <v>0</v>
      </c>
      <c r="W668" s="20">
        <f>IF(C668="","",IFERROR(INDEX(Products!$AT$5:$AT$304,MATCH(C668,Products!$A$5:$A$304,0)),""))</f>
        <v>0</v>
      </c>
      <c r="X668" s="20">
        <f>IF(C668="","",IFERROR(INDEX(Products!$AG$5:$AG$304,MATCH(C668,Products!$A$5:$A$304,0)),""))</f>
        <v>0</v>
      </c>
      <c r="Y668" s="20">
        <f>IF(B668="","",ROUND(IF(D668="",0,D668)*MAX(0,IF(W668="",0,W668)-IF(X668="",0,X668)),2))</f>
        <v>0</v>
      </c>
      <c r="Z668" s="20">
        <f>IF(B668="","",ROUND(MAX(0,IF(J668="",0,J668)-IF(I668="",0,I668)),2))</f>
        <v>0</v>
      </c>
      <c r="AA668" s="33">
        <f>IF(B668="","",IFERROR(INDEX(Channels!$S$5:$S$18,MATCH(IF(E668="",DefaultChannel,E668),Channels!$A$5:$A$18,0)),0))</f>
        <v>0</v>
      </c>
      <c r="AB668" s="20">
        <f>IF(B668="","",IFERROR(INDEX(Channels!$T$5:$T$18,MATCH(IF(E668="",DefaultChannel,E668),Channels!$A$5:$A$18,0)),0))</f>
        <v>0</v>
      </c>
      <c r="AC668" s="42">
        <f>IF(B668="","",IFERROR(INDEX(Channels!$O$5:$O$18,MATCH(IF(E668="",DefaultChannel,E668),Channels!$A$5:$A$18,0)),"No"))</f>
        <v>0</v>
      </c>
      <c r="AD668" s="20">
        <f>IF(B668="","",ROUND((V668+IF(AC668="Yes",IF(I668="",0,I668),0))*AA668+AB668,2))</f>
        <v>0</v>
      </c>
      <c r="AE668" s="20">
        <f>IF(B668="","",IF(K668&lt;&gt;"",K668,AD668))</f>
        <v>0</v>
      </c>
      <c r="AF668" s="20">
        <f>IF(B668="","",IF(K668="","",ROUND(K668-AD668,2)))</f>
        <v>0</v>
      </c>
      <c r="AG668" s="20">
        <f>IF(B668="","",ROUND(V668-Y668-AE668-Z668,2))</f>
        <v>0</v>
      </c>
      <c r="AH668" s="33">
        <f>IF(B668="","",IF(OR(V668="",V668=0),"",AG668/V668))</f>
        <v>0</v>
      </c>
      <c r="AI668" s="33">
        <f>IF(C668="","",IFERROR(INDEX(Products!$AW$5:$AW$304,MATCH(C668,Products!$A$5:$A$304,0)),""))</f>
        <v>0</v>
      </c>
      <c r="AJ668" s="33">
        <f>IF(B668="","",IF(OR(AH668="",AI668=""),"",AH668-AI668))</f>
        <v>0</v>
      </c>
      <c r="AK668" s="41">
        <f>IF(B668="","",IFERROR(ROUND(IF(D668="",0,D668)*INDEX(Products!$X$5:$X$304,MATCH(C668,Products!$A$5:$A$304,0))/60,2),""))</f>
        <v>0</v>
      </c>
      <c r="AL668" s="20">
        <f>IF(B668="","",IF(OR(AK668="",AK668=0),"",ROUND(AG668/AK668,2)))</f>
        <v>0</v>
      </c>
      <c r="AM668" s="43">
        <f>IF(B668="","",IF(C668="","Add - which product?",IF(AG668&lt;0,"Loss - this order cost you money",IF(M668="Refunded","Refunded - check why",IF(AND(AF668&lt;&gt;"",AF668&gt;0.25),"Check - fees higher than your settings",IF(Z668&gt;1,"Check - postage is eating the margin",IF(AND(AH668&lt;&gt;"",AH668&lt;MarginWarning),"Low margin on this order","OK")))))) )</f>
        <v>0</v>
      </c>
    </row>
    <row r="669" spans="1:39">
      <c r="A669" s="38">
        <f>IF(B669="","",SalePrefix&amp;TEXT(ROW()-4,"0000"))</f>
        <v>0</v>
      </c>
      <c r="Q669" s="13">
        <f>IF(C669="","",IFERROR(INDEX(Products!$B$5:$B$304,MATCH(C669,Products!$A$5:$A$304,0)),"Bundle or deleted"))</f>
        <v>0</v>
      </c>
      <c r="R669" s="13">
        <f>IF(B669="","",TEXT(B669,"yyyy-mm"))</f>
        <v>0</v>
      </c>
      <c r="S669" s="20">
        <f>IF(C669="","",IFERROR(INDEX(Products!$AR$5:$AR$304,MATCH(C669,Products!$A$5:$A$304,0)),""))</f>
        <v>0</v>
      </c>
      <c r="T669" s="20">
        <f>IF(B669="","",IF(F669&lt;&gt;"",F669,IF(S669="",0,S669)))</f>
        <v>0</v>
      </c>
      <c r="U669" s="20">
        <f>IF(B669="","",ROUND(IF(D669="",0,D669)*T669,2))</f>
        <v>0</v>
      </c>
      <c r="V669" s="20">
        <f>IF(B669="","",ROUND(U669-IF(G669="",0,G669)-IF(L669="",0,L669),2))</f>
        <v>0</v>
      </c>
      <c r="W669" s="20">
        <f>IF(C669="","",IFERROR(INDEX(Products!$AT$5:$AT$304,MATCH(C669,Products!$A$5:$A$304,0)),""))</f>
        <v>0</v>
      </c>
      <c r="X669" s="20">
        <f>IF(C669="","",IFERROR(INDEX(Products!$AG$5:$AG$304,MATCH(C669,Products!$A$5:$A$304,0)),""))</f>
        <v>0</v>
      </c>
      <c r="Y669" s="20">
        <f>IF(B669="","",ROUND(IF(D669="",0,D669)*MAX(0,IF(W669="",0,W669)-IF(X669="",0,X669)),2))</f>
        <v>0</v>
      </c>
      <c r="Z669" s="20">
        <f>IF(B669="","",ROUND(MAX(0,IF(J669="",0,J669)-IF(I669="",0,I669)),2))</f>
        <v>0</v>
      </c>
      <c r="AA669" s="33">
        <f>IF(B669="","",IFERROR(INDEX(Channels!$S$5:$S$18,MATCH(IF(E669="",DefaultChannel,E669),Channels!$A$5:$A$18,0)),0))</f>
        <v>0</v>
      </c>
      <c r="AB669" s="20">
        <f>IF(B669="","",IFERROR(INDEX(Channels!$T$5:$T$18,MATCH(IF(E669="",DefaultChannel,E669),Channels!$A$5:$A$18,0)),0))</f>
        <v>0</v>
      </c>
      <c r="AC669" s="42">
        <f>IF(B669="","",IFERROR(INDEX(Channels!$O$5:$O$18,MATCH(IF(E669="",DefaultChannel,E669),Channels!$A$5:$A$18,0)),"No"))</f>
        <v>0</v>
      </c>
      <c r="AD669" s="20">
        <f>IF(B669="","",ROUND((V669+IF(AC669="Yes",IF(I669="",0,I669),0))*AA669+AB669,2))</f>
        <v>0</v>
      </c>
      <c r="AE669" s="20">
        <f>IF(B669="","",IF(K669&lt;&gt;"",K669,AD669))</f>
        <v>0</v>
      </c>
      <c r="AF669" s="20">
        <f>IF(B669="","",IF(K669="","",ROUND(K669-AD669,2)))</f>
        <v>0</v>
      </c>
      <c r="AG669" s="20">
        <f>IF(B669="","",ROUND(V669-Y669-AE669-Z669,2))</f>
        <v>0</v>
      </c>
      <c r="AH669" s="33">
        <f>IF(B669="","",IF(OR(V669="",V669=0),"",AG669/V669))</f>
        <v>0</v>
      </c>
      <c r="AI669" s="33">
        <f>IF(C669="","",IFERROR(INDEX(Products!$AW$5:$AW$304,MATCH(C669,Products!$A$5:$A$304,0)),""))</f>
        <v>0</v>
      </c>
      <c r="AJ669" s="33">
        <f>IF(B669="","",IF(OR(AH669="",AI669=""),"",AH669-AI669))</f>
        <v>0</v>
      </c>
      <c r="AK669" s="41">
        <f>IF(B669="","",IFERROR(ROUND(IF(D669="",0,D669)*INDEX(Products!$X$5:$X$304,MATCH(C669,Products!$A$5:$A$304,0))/60,2),""))</f>
        <v>0</v>
      </c>
      <c r="AL669" s="20">
        <f>IF(B669="","",IF(OR(AK669="",AK669=0),"",ROUND(AG669/AK669,2)))</f>
        <v>0</v>
      </c>
      <c r="AM669" s="43">
        <f>IF(B669="","",IF(C669="","Add - which product?",IF(AG669&lt;0,"Loss - this order cost you money",IF(M669="Refunded","Refunded - check why",IF(AND(AF669&lt;&gt;"",AF669&gt;0.25),"Check - fees higher than your settings",IF(Z669&gt;1,"Check - postage is eating the margin",IF(AND(AH669&lt;&gt;"",AH669&lt;MarginWarning),"Low margin on this order","OK")))))) )</f>
        <v>0</v>
      </c>
    </row>
    <row r="670" spans="1:39">
      <c r="A670" s="38">
        <f>IF(B670="","",SalePrefix&amp;TEXT(ROW()-4,"0000"))</f>
        <v>0</v>
      </c>
      <c r="Q670" s="13">
        <f>IF(C670="","",IFERROR(INDEX(Products!$B$5:$B$304,MATCH(C670,Products!$A$5:$A$304,0)),"Bundle or deleted"))</f>
        <v>0</v>
      </c>
      <c r="R670" s="13">
        <f>IF(B670="","",TEXT(B670,"yyyy-mm"))</f>
        <v>0</v>
      </c>
      <c r="S670" s="20">
        <f>IF(C670="","",IFERROR(INDEX(Products!$AR$5:$AR$304,MATCH(C670,Products!$A$5:$A$304,0)),""))</f>
        <v>0</v>
      </c>
      <c r="T670" s="20">
        <f>IF(B670="","",IF(F670&lt;&gt;"",F670,IF(S670="",0,S670)))</f>
        <v>0</v>
      </c>
      <c r="U670" s="20">
        <f>IF(B670="","",ROUND(IF(D670="",0,D670)*T670,2))</f>
        <v>0</v>
      </c>
      <c r="V670" s="20">
        <f>IF(B670="","",ROUND(U670-IF(G670="",0,G670)-IF(L670="",0,L670),2))</f>
        <v>0</v>
      </c>
      <c r="W670" s="20">
        <f>IF(C670="","",IFERROR(INDEX(Products!$AT$5:$AT$304,MATCH(C670,Products!$A$5:$A$304,0)),""))</f>
        <v>0</v>
      </c>
      <c r="X670" s="20">
        <f>IF(C670="","",IFERROR(INDEX(Products!$AG$5:$AG$304,MATCH(C670,Products!$A$5:$A$304,0)),""))</f>
        <v>0</v>
      </c>
      <c r="Y670" s="20">
        <f>IF(B670="","",ROUND(IF(D670="",0,D670)*MAX(0,IF(W670="",0,W670)-IF(X670="",0,X670)),2))</f>
        <v>0</v>
      </c>
      <c r="Z670" s="20">
        <f>IF(B670="","",ROUND(MAX(0,IF(J670="",0,J670)-IF(I670="",0,I670)),2))</f>
        <v>0</v>
      </c>
      <c r="AA670" s="33">
        <f>IF(B670="","",IFERROR(INDEX(Channels!$S$5:$S$18,MATCH(IF(E670="",DefaultChannel,E670),Channels!$A$5:$A$18,0)),0))</f>
        <v>0</v>
      </c>
      <c r="AB670" s="20">
        <f>IF(B670="","",IFERROR(INDEX(Channels!$T$5:$T$18,MATCH(IF(E670="",DefaultChannel,E670),Channels!$A$5:$A$18,0)),0))</f>
        <v>0</v>
      </c>
      <c r="AC670" s="42">
        <f>IF(B670="","",IFERROR(INDEX(Channels!$O$5:$O$18,MATCH(IF(E670="",DefaultChannel,E670),Channels!$A$5:$A$18,0)),"No"))</f>
        <v>0</v>
      </c>
      <c r="AD670" s="20">
        <f>IF(B670="","",ROUND((V670+IF(AC670="Yes",IF(I670="",0,I670),0))*AA670+AB670,2))</f>
        <v>0</v>
      </c>
      <c r="AE670" s="20">
        <f>IF(B670="","",IF(K670&lt;&gt;"",K670,AD670))</f>
        <v>0</v>
      </c>
      <c r="AF670" s="20">
        <f>IF(B670="","",IF(K670="","",ROUND(K670-AD670,2)))</f>
        <v>0</v>
      </c>
      <c r="AG670" s="20">
        <f>IF(B670="","",ROUND(V670-Y670-AE670-Z670,2))</f>
        <v>0</v>
      </c>
      <c r="AH670" s="33">
        <f>IF(B670="","",IF(OR(V670="",V670=0),"",AG670/V670))</f>
        <v>0</v>
      </c>
      <c r="AI670" s="33">
        <f>IF(C670="","",IFERROR(INDEX(Products!$AW$5:$AW$304,MATCH(C670,Products!$A$5:$A$304,0)),""))</f>
        <v>0</v>
      </c>
      <c r="AJ670" s="33">
        <f>IF(B670="","",IF(OR(AH670="",AI670=""),"",AH670-AI670))</f>
        <v>0</v>
      </c>
      <c r="AK670" s="41">
        <f>IF(B670="","",IFERROR(ROUND(IF(D670="",0,D670)*INDEX(Products!$X$5:$X$304,MATCH(C670,Products!$A$5:$A$304,0))/60,2),""))</f>
        <v>0</v>
      </c>
      <c r="AL670" s="20">
        <f>IF(B670="","",IF(OR(AK670="",AK670=0),"",ROUND(AG670/AK670,2)))</f>
        <v>0</v>
      </c>
      <c r="AM670" s="43">
        <f>IF(B670="","",IF(C670="","Add - which product?",IF(AG670&lt;0,"Loss - this order cost you money",IF(M670="Refunded","Refunded - check why",IF(AND(AF670&lt;&gt;"",AF670&gt;0.25),"Check - fees higher than your settings",IF(Z670&gt;1,"Check - postage is eating the margin",IF(AND(AH670&lt;&gt;"",AH670&lt;MarginWarning),"Low margin on this order","OK")))))) )</f>
        <v>0</v>
      </c>
    </row>
    <row r="671" spans="1:39">
      <c r="A671" s="38">
        <f>IF(B671="","",SalePrefix&amp;TEXT(ROW()-4,"0000"))</f>
        <v>0</v>
      </c>
      <c r="Q671" s="13">
        <f>IF(C671="","",IFERROR(INDEX(Products!$B$5:$B$304,MATCH(C671,Products!$A$5:$A$304,0)),"Bundle or deleted"))</f>
        <v>0</v>
      </c>
      <c r="R671" s="13">
        <f>IF(B671="","",TEXT(B671,"yyyy-mm"))</f>
        <v>0</v>
      </c>
      <c r="S671" s="20">
        <f>IF(C671="","",IFERROR(INDEX(Products!$AR$5:$AR$304,MATCH(C671,Products!$A$5:$A$304,0)),""))</f>
        <v>0</v>
      </c>
      <c r="T671" s="20">
        <f>IF(B671="","",IF(F671&lt;&gt;"",F671,IF(S671="",0,S671)))</f>
        <v>0</v>
      </c>
      <c r="U671" s="20">
        <f>IF(B671="","",ROUND(IF(D671="",0,D671)*T671,2))</f>
        <v>0</v>
      </c>
      <c r="V671" s="20">
        <f>IF(B671="","",ROUND(U671-IF(G671="",0,G671)-IF(L671="",0,L671),2))</f>
        <v>0</v>
      </c>
      <c r="W671" s="20">
        <f>IF(C671="","",IFERROR(INDEX(Products!$AT$5:$AT$304,MATCH(C671,Products!$A$5:$A$304,0)),""))</f>
        <v>0</v>
      </c>
      <c r="X671" s="20">
        <f>IF(C671="","",IFERROR(INDEX(Products!$AG$5:$AG$304,MATCH(C671,Products!$A$5:$A$304,0)),""))</f>
        <v>0</v>
      </c>
      <c r="Y671" s="20">
        <f>IF(B671="","",ROUND(IF(D671="",0,D671)*MAX(0,IF(W671="",0,W671)-IF(X671="",0,X671)),2))</f>
        <v>0</v>
      </c>
      <c r="Z671" s="20">
        <f>IF(B671="","",ROUND(MAX(0,IF(J671="",0,J671)-IF(I671="",0,I671)),2))</f>
        <v>0</v>
      </c>
      <c r="AA671" s="33">
        <f>IF(B671="","",IFERROR(INDEX(Channels!$S$5:$S$18,MATCH(IF(E671="",DefaultChannel,E671),Channels!$A$5:$A$18,0)),0))</f>
        <v>0</v>
      </c>
      <c r="AB671" s="20">
        <f>IF(B671="","",IFERROR(INDEX(Channels!$T$5:$T$18,MATCH(IF(E671="",DefaultChannel,E671),Channels!$A$5:$A$18,0)),0))</f>
        <v>0</v>
      </c>
      <c r="AC671" s="42">
        <f>IF(B671="","",IFERROR(INDEX(Channels!$O$5:$O$18,MATCH(IF(E671="",DefaultChannel,E671),Channels!$A$5:$A$18,0)),"No"))</f>
        <v>0</v>
      </c>
      <c r="AD671" s="20">
        <f>IF(B671="","",ROUND((V671+IF(AC671="Yes",IF(I671="",0,I671),0))*AA671+AB671,2))</f>
        <v>0</v>
      </c>
      <c r="AE671" s="20">
        <f>IF(B671="","",IF(K671&lt;&gt;"",K671,AD671))</f>
        <v>0</v>
      </c>
      <c r="AF671" s="20">
        <f>IF(B671="","",IF(K671="","",ROUND(K671-AD671,2)))</f>
        <v>0</v>
      </c>
      <c r="AG671" s="20">
        <f>IF(B671="","",ROUND(V671-Y671-AE671-Z671,2))</f>
        <v>0</v>
      </c>
      <c r="AH671" s="33">
        <f>IF(B671="","",IF(OR(V671="",V671=0),"",AG671/V671))</f>
        <v>0</v>
      </c>
      <c r="AI671" s="33">
        <f>IF(C671="","",IFERROR(INDEX(Products!$AW$5:$AW$304,MATCH(C671,Products!$A$5:$A$304,0)),""))</f>
        <v>0</v>
      </c>
      <c r="AJ671" s="33">
        <f>IF(B671="","",IF(OR(AH671="",AI671=""),"",AH671-AI671))</f>
        <v>0</v>
      </c>
      <c r="AK671" s="41">
        <f>IF(B671="","",IFERROR(ROUND(IF(D671="",0,D671)*INDEX(Products!$X$5:$X$304,MATCH(C671,Products!$A$5:$A$304,0))/60,2),""))</f>
        <v>0</v>
      </c>
      <c r="AL671" s="20">
        <f>IF(B671="","",IF(OR(AK671="",AK671=0),"",ROUND(AG671/AK671,2)))</f>
        <v>0</v>
      </c>
      <c r="AM671" s="43">
        <f>IF(B671="","",IF(C671="","Add - which product?",IF(AG671&lt;0,"Loss - this order cost you money",IF(M671="Refunded","Refunded - check why",IF(AND(AF671&lt;&gt;"",AF671&gt;0.25),"Check - fees higher than your settings",IF(Z671&gt;1,"Check - postage is eating the margin",IF(AND(AH671&lt;&gt;"",AH671&lt;MarginWarning),"Low margin on this order","OK")))))) )</f>
        <v>0</v>
      </c>
    </row>
    <row r="672" spans="1:39">
      <c r="A672" s="38">
        <f>IF(B672="","",SalePrefix&amp;TEXT(ROW()-4,"0000"))</f>
        <v>0</v>
      </c>
      <c r="Q672" s="13">
        <f>IF(C672="","",IFERROR(INDEX(Products!$B$5:$B$304,MATCH(C672,Products!$A$5:$A$304,0)),"Bundle or deleted"))</f>
        <v>0</v>
      </c>
      <c r="R672" s="13">
        <f>IF(B672="","",TEXT(B672,"yyyy-mm"))</f>
        <v>0</v>
      </c>
      <c r="S672" s="20">
        <f>IF(C672="","",IFERROR(INDEX(Products!$AR$5:$AR$304,MATCH(C672,Products!$A$5:$A$304,0)),""))</f>
        <v>0</v>
      </c>
      <c r="T672" s="20">
        <f>IF(B672="","",IF(F672&lt;&gt;"",F672,IF(S672="",0,S672)))</f>
        <v>0</v>
      </c>
      <c r="U672" s="20">
        <f>IF(B672="","",ROUND(IF(D672="",0,D672)*T672,2))</f>
        <v>0</v>
      </c>
      <c r="V672" s="20">
        <f>IF(B672="","",ROUND(U672-IF(G672="",0,G672)-IF(L672="",0,L672),2))</f>
        <v>0</v>
      </c>
      <c r="W672" s="20">
        <f>IF(C672="","",IFERROR(INDEX(Products!$AT$5:$AT$304,MATCH(C672,Products!$A$5:$A$304,0)),""))</f>
        <v>0</v>
      </c>
      <c r="X672" s="20">
        <f>IF(C672="","",IFERROR(INDEX(Products!$AG$5:$AG$304,MATCH(C672,Products!$A$5:$A$304,0)),""))</f>
        <v>0</v>
      </c>
      <c r="Y672" s="20">
        <f>IF(B672="","",ROUND(IF(D672="",0,D672)*MAX(0,IF(W672="",0,W672)-IF(X672="",0,X672)),2))</f>
        <v>0</v>
      </c>
      <c r="Z672" s="20">
        <f>IF(B672="","",ROUND(MAX(0,IF(J672="",0,J672)-IF(I672="",0,I672)),2))</f>
        <v>0</v>
      </c>
      <c r="AA672" s="33">
        <f>IF(B672="","",IFERROR(INDEX(Channels!$S$5:$S$18,MATCH(IF(E672="",DefaultChannel,E672),Channels!$A$5:$A$18,0)),0))</f>
        <v>0</v>
      </c>
      <c r="AB672" s="20">
        <f>IF(B672="","",IFERROR(INDEX(Channels!$T$5:$T$18,MATCH(IF(E672="",DefaultChannel,E672),Channels!$A$5:$A$18,0)),0))</f>
        <v>0</v>
      </c>
      <c r="AC672" s="42">
        <f>IF(B672="","",IFERROR(INDEX(Channels!$O$5:$O$18,MATCH(IF(E672="",DefaultChannel,E672),Channels!$A$5:$A$18,0)),"No"))</f>
        <v>0</v>
      </c>
      <c r="AD672" s="20">
        <f>IF(B672="","",ROUND((V672+IF(AC672="Yes",IF(I672="",0,I672),0))*AA672+AB672,2))</f>
        <v>0</v>
      </c>
      <c r="AE672" s="20">
        <f>IF(B672="","",IF(K672&lt;&gt;"",K672,AD672))</f>
        <v>0</v>
      </c>
      <c r="AF672" s="20">
        <f>IF(B672="","",IF(K672="","",ROUND(K672-AD672,2)))</f>
        <v>0</v>
      </c>
      <c r="AG672" s="20">
        <f>IF(B672="","",ROUND(V672-Y672-AE672-Z672,2))</f>
        <v>0</v>
      </c>
      <c r="AH672" s="33">
        <f>IF(B672="","",IF(OR(V672="",V672=0),"",AG672/V672))</f>
        <v>0</v>
      </c>
      <c r="AI672" s="33">
        <f>IF(C672="","",IFERROR(INDEX(Products!$AW$5:$AW$304,MATCH(C672,Products!$A$5:$A$304,0)),""))</f>
        <v>0</v>
      </c>
      <c r="AJ672" s="33">
        <f>IF(B672="","",IF(OR(AH672="",AI672=""),"",AH672-AI672))</f>
        <v>0</v>
      </c>
      <c r="AK672" s="41">
        <f>IF(B672="","",IFERROR(ROUND(IF(D672="",0,D672)*INDEX(Products!$X$5:$X$304,MATCH(C672,Products!$A$5:$A$304,0))/60,2),""))</f>
        <v>0</v>
      </c>
      <c r="AL672" s="20">
        <f>IF(B672="","",IF(OR(AK672="",AK672=0),"",ROUND(AG672/AK672,2)))</f>
        <v>0</v>
      </c>
      <c r="AM672" s="43">
        <f>IF(B672="","",IF(C672="","Add - which product?",IF(AG672&lt;0,"Loss - this order cost you money",IF(M672="Refunded","Refunded - check why",IF(AND(AF672&lt;&gt;"",AF672&gt;0.25),"Check - fees higher than your settings",IF(Z672&gt;1,"Check - postage is eating the margin",IF(AND(AH672&lt;&gt;"",AH672&lt;MarginWarning),"Low margin on this order","OK")))))) )</f>
        <v>0</v>
      </c>
    </row>
    <row r="673" spans="1:39">
      <c r="A673" s="38">
        <f>IF(B673="","",SalePrefix&amp;TEXT(ROW()-4,"0000"))</f>
        <v>0</v>
      </c>
      <c r="Q673" s="13">
        <f>IF(C673="","",IFERROR(INDEX(Products!$B$5:$B$304,MATCH(C673,Products!$A$5:$A$304,0)),"Bundle or deleted"))</f>
        <v>0</v>
      </c>
      <c r="R673" s="13">
        <f>IF(B673="","",TEXT(B673,"yyyy-mm"))</f>
        <v>0</v>
      </c>
      <c r="S673" s="20">
        <f>IF(C673="","",IFERROR(INDEX(Products!$AR$5:$AR$304,MATCH(C673,Products!$A$5:$A$304,0)),""))</f>
        <v>0</v>
      </c>
      <c r="T673" s="20">
        <f>IF(B673="","",IF(F673&lt;&gt;"",F673,IF(S673="",0,S673)))</f>
        <v>0</v>
      </c>
      <c r="U673" s="20">
        <f>IF(B673="","",ROUND(IF(D673="",0,D673)*T673,2))</f>
        <v>0</v>
      </c>
      <c r="V673" s="20">
        <f>IF(B673="","",ROUND(U673-IF(G673="",0,G673)-IF(L673="",0,L673),2))</f>
        <v>0</v>
      </c>
      <c r="W673" s="20">
        <f>IF(C673="","",IFERROR(INDEX(Products!$AT$5:$AT$304,MATCH(C673,Products!$A$5:$A$304,0)),""))</f>
        <v>0</v>
      </c>
      <c r="X673" s="20">
        <f>IF(C673="","",IFERROR(INDEX(Products!$AG$5:$AG$304,MATCH(C673,Products!$A$5:$A$304,0)),""))</f>
        <v>0</v>
      </c>
      <c r="Y673" s="20">
        <f>IF(B673="","",ROUND(IF(D673="",0,D673)*MAX(0,IF(W673="",0,W673)-IF(X673="",0,X673)),2))</f>
        <v>0</v>
      </c>
      <c r="Z673" s="20">
        <f>IF(B673="","",ROUND(MAX(0,IF(J673="",0,J673)-IF(I673="",0,I673)),2))</f>
        <v>0</v>
      </c>
      <c r="AA673" s="33">
        <f>IF(B673="","",IFERROR(INDEX(Channels!$S$5:$S$18,MATCH(IF(E673="",DefaultChannel,E673),Channels!$A$5:$A$18,0)),0))</f>
        <v>0</v>
      </c>
      <c r="AB673" s="20">
        <f>IF(B673="","",IFERROR(INDEX(Channels!$T$5:$T$18,MATCH(IF(E673="",DefaultChannel,E673),Channels!$A$5:$A$18,0)),0))</f>
        <v>0</v>
      </c>
      <c r="AC673" s="42">
        <f>IF(B673="","",IFERROR(INDEX(Channels!$O$5:$O$18,MATCH(IF(E673="",DefaultChannel,E673),Channels!$A$5:$A$18,0)),"No"))</f>
        <v>0</v>
      </c>
      <c r="AD673" s="20">
        <f>IF(B673="","",ROUND((V673+IF(AC673="Yes",IF(I673="",0,I673),0))*AA673+AB673,2))</f>
        <v>0</v>
      </c>
      <c r="AE673" s="20">
        <f>IF(B673="","",IF(K673&lt;&gt;"",K673,AD673))</f>
        <v>0</v>
      </c>
      <c r="AF673" s="20">
        <f>IF(B673="","",IF(K673="","",ROUND(K673-AD673,2)))</f>
        <v>0</v>
      </c>
      <c r="AG673" s="20">
        <f>IF(B673="","",ROUND(V673-Y673-AE673-Z673,2))</f>
        <v>0</v>
      </c>
      <c r="AH673" s="33">
        <f>IF(B673="","",IF(OR(V673="",V673=0),"",AG673/V673))</f>
        <v>0</v>
      </c>
      <c r="AI673" s="33">
        <f>IF(C673="","",IFERROR(INDEX(Products!$AW$5:$AW$304,MATCH(C673,Products!$A$5:$A$304,0)),""))</f>
        <v>0</v>
      </c>
      <c r="AJ673" s="33">
        <f>IF(B673="","",IF(OR(AH673="",AI673=""),"",AH673-AI673))</f>
        <v>0</v>
      </c>
      <c r="AK673" s="41">
        <f>IF(B673="","",IFERROR(ROUND(IF(D673="",0,D673)*INDEX(Products!$X$5:$X$304,MATCH(C673,Products!$A$5:$A$304,0))/60,2),""))</f>
        <v>0</v>
      </c>
      <c r="AL673" s="20">
        <f>IF(B673="","",IF(OR(AK673="",AK673=0),"",ROUND(AG673/AK673,2)))</f>
        <v>0</v>
      </c>
      <c r="AM673" s="43">
        <f>IF(B673="","",IF(C673="","Add - which product?",IF(AG673&lt;0,"Loss - this order cost you money",IF(M673="Refunded","Refunded - check why",IF(AND(AF673&lt;&gt;"",AF673&gt;0.25),"Check - fees higher than your settings",IF(Z673&gt;1,"Check - postage is eating the margin",IF(AND(AH673&lt;&gt;"",AH673&lt;MarginWarning),"Low margin on this order","OK")))))) )</f>
        <v>0</v>
      </c>
    </row>
    <row r="674" spans="1:39">
      <c r="A674" s="38">
        <f>IF(B674="","",SalePrefix&amp;TEXT(ROW()-4,"0000"))</f>
        <v>0</v>
      </c>
      <c r="Q674" s="13">
        <f>IF(C674="","",IFERROR(INDEX(Products!$B$5:$B$304,MATCH(C674,Products!$A$5:$A$304,0)),"Bundle or deleted"))</f>
        <v>0</v>
      </c>
      <c r="R674" s="13">
        <f>IF(B674="","",TEXT(B674,"yyyy-mm"))</f>
        <v>0</v>
      </c>
      <c r="S674" s="20">
        <f>IF(C674="","",IFERROR(INDEX(Products!$AR$5:$AR$304,MATCH(C674,Products!$A$5:$A$304,0)),""))</f>
        <v>0</v>
      </c>
      <c r="T674" s="20">
        <f>IF(B674="","",IF(F674&lt;&gt;"",F674,IF(S674="",0,S674)))</f>
        <v>0</v>
      </c>
      <c r="U674" s="20">
        <f>IF(B674="","",ROUND(IF(D674="",0,D674)*T674,2))</f>
        <v>0</v>
      </c>
      <c r="V674" s="20">
        <f>IF(B674="","",ROUND(U674-IF(G674="",0,G674)-IF(L674="",0,L674),2))</f>
        <v>0</v>
      </c>
      <c r="W674" s="20">
        <f>IF(C674="","",IFERROR(INDEX(Products!$AT$5:$AT$304,MATCH(C674,Products!$A$5:$A$304,0)),""))</f>
        <v>0</v>
      </c>
      <c r="X674" s="20">
        <f>IF(C674="","",IFERROR(INDEX(Products!$AG$5:$AG$304,MATCH(C674,Products!$A$5:$A$304,0)),""))</f>
        <v>0</v>
      </c>
      <c r="Y674" s="20">
        <f>IF(B674="","",ROUND(IF(D674="",0,D674)*MAX(0,IF(W674="",0,W674)-IF(X674="",0,X674)),2))</f>
        <v>0</v>
      </c>
      <c r="Z674" s="20">
        <f>IF(B674="","",ROUND(MAX(0,IF(J674="",0,J674)-IF(I674="",0,I674)),2))</f>
        <v>0</v>
      </c>
      <c r="AA674" s="33">
        <f>IF(B674="","",IFERROR(INDEX(Channels!$S$5:$S$18,MATCH(IF(E674="",DefaultChannel,E674),Channels!$A$5:$A$18,0)),0))</f>
        <v>0</v>
      </c>
      <c r="AB674" s="20">
        <f>IF(B674="","",IFERROR(INDEX(Channels!$T$5:$T$18,MATCH(IF(E674="",DefaultChannel,E674),Channels!$A$5:$A$18,0)),0))</f>
        <v>0</v>
      </c>
      <c r="AC674" s="42">
        <f>IF(B674="","",IFERROR(INDEX(Channels!$O$5:$O$18,MATCH(IF(E674="",DefaultChannel,E674),Channels!$A$5:$A$18,0)),"No"))</f>
        <v>0</v>
      </c>
      <c r="AD674" s="20">
        <f>IF(B674="","",ROUND((V674+IF(AC674="Yes",IF(I674="",0,I674),0))*AA674+AB674,2))</f>
        <v>0</v>
      </c>
      <c r="AE674" s="20">
        <f>IF(B674="","",IF(K674&lt;&gt;"",K674,AD674))</f>
        <v>0</v>
      </c>
      <c r="AF674" s="20">
        <f>IF(B674="","",IF(K674="","",ROUND(K674-AD674,2)))</f>
        <v>0</v>
      </c>
      <c r="AG674" s="20">
        <f>IF(B674="","",ROUND(V674-Y674-AE674-Z674,2))</f>
        <v>0</v>
      </c>
      <c r="AH674" s="33">
        <f>IF(B674="","",IF(OR(V674="",V674=0),"",AG674/V674))</f>
        <v>0</v>
      </c>
      <c r="AI674" s="33">
        <f>IF(C674="","",IFERROR(INDEX(Products!$AW$5:$AW$304,MATCH(C674,Products!$A$5:$A$304,0)),""))</f>
        <v>0</v>
      </c>
      <c r="AJ674" s="33">
        <f>IF(B674="","",IF(OR(AH674="",AI674=""),"",AH674-AI674))</f>
        <v>0</v>
      </c>
      <c r="AK674" s="41">
        <f>IF(B674="","",IFERROR(ROUND(IF(D674="",0,D674)*INDEX(Products!$X$5:$X$304,MATCH(C674,Products!$A$5:$A$304,0))/60,2),""))</f>
        <v>0</v>
      </c>
      <c r="AL674" s="20">
        <f>IF(B674="","",IF(OR(AK674="",AK674=0),"",ROUND(AG674/AK674,2)))</f>
        <v>0</v>
      </c>
      <c r="AM674" s="43">
        <f>IF(B674="","",IF(C674="","Add - which product?",IF(AG674&lt;0,"Loss - this order cost you money",IF(M674="Refunded","Refunded - check why",IF(AND(AF674&lt;&gt;"",AF674&gt;0.25),"Check - fees higher than your settings",IF(Z674&gt;1,"Check - postage is eating the margin",IF(AND(AH674&lt;&gt;"",AH674&lt;MarginWarning),"Low margin on this order","OK")))))) )</f>
        <v>0</v>
      </c>
    </row>
    <row r="675" spans="1:39">
      <c r="A675" s="38">
        <f>IF(B675="","",SalePrefix&amp;TEXT(ROW()-4,"0000"))</f>
        <v>0</v>
      </c>
      <c r="Q675" s="13">
        <f>IF(C675="","",IFERROR(INDEX(Products!$B$5:$B$304,MATCH(C675,Products!$A$5:$A$304,0)),"Bundle or deleted"))</f>
        <v>0</v>
      </c>
      <c r="R675" s="13">
        <f>IF(B675="","",TEXT(B675,"yyyy-mm"))</f>
        <v>0</v>
      </c>
      <c r="S675" s="20">
        <f>IF(C675="","",IFERROR(INDEX(Products!$AR$5:$AR$304,MATCH(C675,Products!$A$5:$A$304,0)),""))</f>
        <v>0</v>
      </c>
      <c r="T675" s="20">
        <f>IF(B675="","",IF(F675&lt;&gt;"",F675,IF(S675="",0,S675)))</f>
        <v>0</v>
      </c>
      <c r="U675" s="20">
        <f>IF(B675="","",ROUND(IF(D675="",0,D675)*T675,2))</f>
        <v>0</v>
      </c>
      <c r="V675" s="20">
        <f>IF(B675="","",ROUND(U675-IF(G675="",0,G675)-IF(L675="",0,L675),2))</f>
        <v>0</v>
      </c>
      <c r="W675" s="20">
        <f>IF(C675="","",IFERROR(INDEX(Products!$AT$5:$AT$304,MATCH(C675,Products!$A$5:$A$304,0)),""))</f>
        <v>0</v>
      </c>
      <c r="X675" s="20">
        <f>IF(C675="","",IFERROR(INDEX(Products!$AG$5:$AG$304,MATCH(C675,Products!$A$5:$A$304,0)),""))</f>
        <v>0</v>
      </c>
      <c r="Y675" s="20">
        <f>IF(B675="","",ROUND(IF(D675="",0,D675)*MAX(0,IF(W675="",0,W675)-IF(X675="",0,X675)),2))</f>
        <v>0</v>
      </c>
      <c r="Z675" s="20">
        <f>IF(B675="","",ROUND(MAX(0,IF(J675="",0,J675)-IF(I675="",0,I675)),2))</f>
        <v>0</v>
      </c>
      <c r="AA675" s="33">
        <f>IF(B675="","",IFERROR(INDEX(Channels!$S$5:$S$18,MATCH(IF(E675="",DefaultChannel,E675),Channels!$A$5:$A$18,0)),0))</f>
        <v>0</v>
      </c>
      <c r="AB675" s="20">
        <f>IF(B675="","",IFERROR(INDEX(Channels!$T$5:$T$18,MATCH(IF(E675="",DefaultChannel,E675),Channels!$A$5:$A$18,0)),0))</f>
        <v>0</v>
      </c>
      <c r="AC675" s="42">
        <f>IF(B675="","",IFERROR(INDEX(Channels!$O$5:$O$18,MATCH(IF(E675="",DefaultChannel,E675),Channels!$A$5:$A$18,0)),"No"))</f>
        <v>0</v>
      </c>
      <c r="AD675" s="20">
        <f>IF(B675="","",ROUND((V675+IF(AC675="Yes",IF(I675="",0,I675),0))*AA675+AB675,2))</f>
        <v>0</v>
      </c>
      <c r="AE675" s="20">
        <f>IF(B675="","",IF(K675&lt;&gt;"",K675,AD675))</f>
        <v>0</v>
      </c>
      <c r="AF675" s="20">
        <f>IF(B675="","",IF(K675="","",ROUND(K675-AD675,2)))</f>
        <v>0</v>
      </c>
      <c r="AG675" s="20">
        <f>IF(B675="","",ROUND(V675-Y675-AE675-Z675,2))</f>
        <v>0</v>
      </c>
      <c r="AH675" s="33">
        <f>IF(B675="","",IF(OR(V675="",V675=0),"",AG675/V675))</f>
        <v>0</v>
      </c>
      <c r="AI675" s="33">
        <f>IF(C675="","",IFERROR(INDEX(Products!$AW$5:$AW$304,MATCH(C675,Products!$A$5:$A$304,0)),""))</f>
        <v>0</v>
      </c>
      <c r="AJ675" s="33">
        <f>IF(B675="","",IF(OR(AH675="",AI675=""),"",AH675-AI675))</f>
        <v>0</v>
      </c>
      <c r="AK675" s="41">
        <f>IF(B675="","",IFERROR(ROUND(IF(D675="",0,D675)*INDEX(Products!$X$5:$X$304,MATCH(C675,Products!$A$5:$A$304,0))/60,2),""))</f>
        <v>0</v>
      </c>
      <c r="AL675" s="20">
        <f>IF(B675="","",IF(OR(AK675="",AK675=0),"",ROUND(AG675/AK675,2)))</f>
        <v>0</v>
      </c>
      <c r="AM675" s="43">
        <f>IF(B675="","",IF(C675="","Add - which product?",IF(AG675&lt;0,"Loss - this order cost you money",IF(M675="Refunded","Refunded - check why",IF(AND(AF675&lt;&gt;"",AF675&gt;0.25),"Check - fees higher than your settings",IF(Z675&gt;1,"Check - postage is eating the margin",IF(AND(AH675&lt;&gt;"",AH675&lt;MarginWarning),"Low margin on this order","OK")))))) )</f>
        <v>0</v>
      </c>
    </row>
    <row r="676" spans="1:39">
      <c r="A676" s="38">
        <f>IF(B676="","",SalePrefix&amp;TEXT(ROW()-4,"0000"))</f>
        <v>0</v>
      </c>
      <c r="Q676" s="13">
        <f>IF(C676="","",IFERROR(INDEX(Products!$B$5:$B$304,MATCH(C676,Products!$A$5:$A$304,0)),"Bundle or deleted"))</f>
        <v>0</v>
      </c>
      <c r="R676" s="13">
        <f>IF(B676="","",TEXT(B676,"yyyy-mm"))</f>
        <v>0</v>
      </c>
      <c r="S676" s="20">
        <f>IF(C676="","",IFERROR(INDEX(Products!$AR$5:$AR$304,MATCH(C676,Products!$A$5:$A$304,0)),""))</f>
        <v>0</v>
      </c>
      <c r="T676" s="20">
        <f>IF(B676="","",IF(F676&lt;&gt;"",F676,IF(S676="",0,S676)))</f>
        <v>0</v>
      </c>
      <c r="U676" s="20">
        <f>IF(B676="","",ROUND(IF(D676="",0,D676)*T676,2))</f>
        <v>0</v>
      </c>
      <c r="V676" s="20">
        <f>IF(B676="","",ROUND(U676-IF(G676="",0,G676)-IF(L676="",0,L676),2))</f>
        <v>0</v>
      </c>
      <c r="W676" s="20">
        <f>IF(C676="","",IFERROR(INDEX(Products!$AT$5:$AT$304,MATCH(C676,Products!$A$5:$A$304,0)),""))</f>
        <v>0</v>
      </c>
      <c r="X676" s="20">
        <f>IF(C676="","",IFERROR(INDEX(Products!$AG$5:$AG$304,MATCH(C676,Products!$A$5:$A$304,0)),""))</f>
        <v>0</v>
      </c>
      <c r="Y676" s="20">
        <f>IF(B676="","",ROUND(IF(D676="",0,D676)*MAX(0,IF(W676="",0,W676)-IF(X676="",0,X676)),2))</f>
        <v>0</v>
      </c>
      <c r="Z676" s="20">
        <f>IF(B676="","",ROUND(MAX(0,IF(J676="",0,J676)-IF(I676="",0,I676)),2))</f>
        <v>0</v>
      </c>
      <c r="AA676" s="33">
        <f>IF(B676="","",IFERROR(INDEX(Channels!$S$5:$S$18,MATCH(IF(E676="",DefaultChannel,E676),Channels!$A$5:$A$18,0)),0))</f>
        <v>0</v>
      </c>
      <c r="AB676" s="20">
        <f>IF(B676="","",IFERROR(INDEX(Channels!$T$5:$T$18,MATCH(IF(E676="",DefaultChannel,E676),Channels!$A$5:$A$18,0)),0))</f>
        <v>0</v>
      </c>
      <c r="AC676" s="42">
        <f>IF(B676="","",IFERROR(INDEX(Channels!$O$5:$O$18,MATCH(IF(E676="",DefaultChannel,E676),Channels!$A$5:$A$18,0)),"No"))</f>
        <v>0</v>
      </c>
      <c r="AD676" s="20">
        <f>IF(B676="","",ROUND((V676+IF(AC676="Yes",IF(I676="",0,I676),0))*AA676+AB676,2))</f>
        <v>0</v>
      </c>
      <c r="AE676" s="20">
        <f>IF(B676="","",IF(K676&lt;&gt;"",K676,AD676))</f>
        <v>0</v>
      </c>
      <c r="AF676" s="20">
        <f>IF(B676="","",IF(K676="","",ROUND(K676-AD676,2)))</f>
        <v>0</v>
      </c>
      <c r="AG676" s="20">
        <f>IF(B676="","",ROUND(V676-Y676-AE676-Z676,2))</f>
        <v>0</v>
      </c>
      <c r="AH676" s="33">
        <f>IF(B676="","",IF(OR(V676="",V676=0),"",AG676/V676))</f>
        <v>0</v>
      </c>
      <c r="AI676" s="33">
        <f>IF(C676="","",IFERROR(INDEX(Products!$AW$5:$AW$304,MATCH(C676,Products!$A$5:$A$304,0)),""))</f>
        <v>0</v>
      </c>
      <c r="AJ676" s="33">
        <f>IF(B676="","",IF(OR(AH676="",AI676=""),"",AH676-AI676))</f>
        <v>0</v>
      </c>
      <c r="AK676" s="41">
        <f>IF(B676="","",IFERROR(ROUND(IF(D676="",0,D676)*INDEX(Products!$X$5:$X$304,MATCH(C676,Products!$A$5:$A$304,0))/60,2),""))</f>
        <v>0</v>
      </c>
      <c r="AL676" s="20">
        <f>IF(B676="","",IF(OR(AK676="",AK676=0),"",ROUND(AG676/AK676,2)))</f>
        <v>0</v>
      </c>
      <c r="AM676" s="43">
        <f>IF(B676="","",IF(C676="","Add - which product?",IF(AG676&lt;0,"Loss - this order cost you money",IF(M676="Refunded","Refunded - check why",IF(AND(AF676&lt;&gt;"",AF676&gt;0.25),"Check - fees higher than your settings",IF(Z676&gt;1,"Check - postage is eating the margin",IF(AND(AH676&lt;&gt;"",AH676&lt;MarginWarning),"Low margin on this order","OK")))))) )</f>
        <v>0</v>
      </c>
    </row>
    <row r="677" spans="1:39">
      <c r="A677" s="38">
        <f>IF(B677="","",SalePrefix&amp;TEXT(ROW()-4,"0000"))</f>
        <v>0</v>
      </c>
      <c r="Q677" s="13">
        <f>IF(C677="","",IFERROR(INDEX(Products!$B$5:$B$304,MATCH(C677,Products!$A$5:$A$304,0)),"Bundle or deleted"))</f>
        <v>0</v>
      </c>
      <c r="R677" s="13">
        <f>IF(B677="","",TEXT(B677,"yyyy-mm"))</f>
        <v>0</v>
      </c>
      <c r="S677" s="20">
        <f>IF(C677="","",IFERROR(INDEX(Products!$AR$5:$AR$304,MATCH(C677,Products!$A$5:$A$304,0)),""))</f>
        <v>0</v>
      </c>
      <c r="T677" s="20">
        <f>IF(B677="","",IF(F677&lt;&gt;"",F677,IF(S677="",0,S677)))</f>
        <v>0</v>
      </c>
      <c r="U677" s="20">
        <f>IF(B677="","",ROUND(IF(D677="",0,D677)*T677,2))</f>
        <v>0</v>
      </c>
      <c r="V677" s="20">
        <f>IF(B677="","",ROUND(U677-IF(G677="",0,G677)-IF(L677="",0,L677),2))</f>
        <v>0</v>
      </c>
      <c r="W677" s="20">
        <f>IF(C677="","",IFERROR(INDEX(Products!$AT$5:$AT$304,MATCH(C677,Products!$A$5:$A$304,0)),""))</f>
        <v>0</v>
      </c>
      <c r="X677" s="20">
        <f>IF(C677="","",IFERROR(INDEX(Products!$AG$5:$AG$304,MATCH(C677,Products!$A$5:$A$304,0)),""))</f>
        <v>0</v>
      </c>
      <c r="Y677" s="20">
        <f>IF(B677="","",ROUND(IF(D677="",0,D677)*MAX(0,IF(W677="",0,W677)-IF(X677="",0,X677)),2))</f>
        <v>0</v>
      </c>
      <c r="Z677" s="20">
        <f>IF(B677="","",ROUND(MAX(0,IF(J677="",0,J677)-IF(I677="",0,I677)),2))</f>
        <v>0</v>
      </c>
      <c r="AA677" s="33">
        <f>IF(B677="","",IFERROR(INDEX(Channels!$S$5:$S$18,MATCH(IF(E677="",DefaultChannel,E677),Channels!$A$5:$A$18,0)),0))</f>
        <v>0</v>
      </c>
      <c r="AB677" s="20">
        <f>IF(B677="","",IFERROR(INDEX(Channels!$T$5:$T$18,MATCH(IF(E677="",DefaultChannel,E677),Channels!$A$5:$A$18,0)),0))</f>
        <v>0</v>
      </c>
      <c r="AC677" s="42">
        <f>IF(B677="","",IFERROR(INDEX(Channels!$O$5:$O$18,MATCH(IF(E677="",DefaultChannel,E677),Channels!$A$5:$A$18,0)),"No"))</f>
        <v>0</v>
      </c>
      <c r="AD677" s="20">
        <f>IF(B677="","",ROUND((V677+IF(AC677="Yes",IF(I677="",0,I677),0))*AA677+AB677,2))</f>
        <v>0</v>
      </c>
      <c r="AE677" s="20">
        <f>IF(B677="","",IF(K677&lt;&gt;"",K677,AD677))</f>
        <v>0</v>
      </c>
      <c r="AF677" s="20">
        <f>IF(B677="","",IF(K677="","",ROUND(K677-AD677,2)))</f>
        <v>0</v>
      </c>
      <c r="AG677" s="20">
        <f>IF(B677="","",ROUND(V677-Y677-AE677-Z677,2))</f>
        <v>0</v>
      </c>
      <c r="AH677" s="33">
        <f>IF(B677="","",IF(OR(V677="",V677=0),"",AG677/V677))</f>
        <v>0</v>
      </c>
      <c r="AI677" s="33">
        <f>IF(C677="","",IFERROR(INDEX(Products!$AW$5:$AW$304,MATCH(C677,Products!$A$5:$A$304,0)),""))</f>
        <v>0</v>
      </c>
      <c r="AJ677" s="33">
        <f>IF(B677="","",IF(OR(AH677="",AI677=""),"",AH677-AI677))</f>
        <v>0</v>
      </c>
      <c r="AK677" s="41">
        <f>IF(B677="","",IFERROR(ROUND(IF(D677="",0,D677)*INDEX(Products!$X$5:$X$304,MATCH(C677,Products!$A$5:$A$304,0))/60,2),""))</f>
        <v>0</v>
      </c>
      <c r="AL677" s="20">
        <f>IF(B677="","",IF(OR(AK677="",AK677=0),"",ROUND(AG677/AK677,2)))</f>
        <v>0</v>
      </c>
      <c r="AM677" s="43">
        <f>IF(B677="","",IF(C677="","Add - which product?",IF(AG677&lt;0,"Loss - this order cost you money",IF(M677="Refunded","Refunded - check why",IF(AND(AF677&lt;&gt;"",AF677&gt;0.25),"Check - fees higher than your settings",IF(Z677&gt;1,"Check - postage is eating the margin",IF(AND(AH677&lt;&gt;"",AH677&lt;MarginWarning),"Low margin on this order","OK")))))) )</f>
        <v>0</v>
      </c>
    </row>
    <row r="678" spans="1:39">
      <c r="A678" s="38">
        <f>IF(B678="","",SalePrefix&amp;TEXT(ROW()-4,"0000"))</f>
        <v>0</v>
      </c>
      <c r="Q678" s="13">
        <f>IF(C678="","",IFERROR(INDEX(Products!$B$5:$B$304,MATCH(C678,Products!$A$5:$A$304,0)),"Bundle or deleted"))</f>
        <v>0</v>
      </c>
      <c r="R678" s="13">
        <f>IF(B678="","",TEXT(B678,"yyyy-mm"))</f>
        <v>0</v>
      </c>
      <c r="S678" s="20">
        <f>IF(C678="","",IFERROR(INDEX(Products!$AR$5:$AR$304,MATCH(C678,Products!$A$5:$A$304,0)),""))</f>
        <v>0</v>
      </c>
      <c r="T678" s="20">
        <f>IF(B678="","",IF(F678&lt;&gt;"",F678,IF(S678="",0,S678)))</f>
        <v>0</v>
      </c>
      <c r="U678" s="20">
        <f>IF(B678="","",ROUND(IF(D678="",0,D678)*T678,2))</f>
        <v>0</v>
      </c>
      <c r="V678" s="20">
        <f>IF(B678="","",ROUND(U678-IF(G678="",0,G678)-IF(L678="",0,L678),2))</f>
        <v>0</v>
      </c>
      <c r="W678" s="20">
        <f>IF(C678="","",IFERROR(INDEX(Products!$AT$5:$AT$304,MATCH(C678,Products!$A$5:$A$304,0)),""))</f>
        <v>0</v>
      </c>
      <c r="X678" s="20">
        <f>IF(C678="","",IFERROR(INDEX(Products!$AG$5:$AG$304,MATCH(C678,Products!$A$5:$A$304,0)),""))</f>
        <v>0</v>
      </c>
      <c r="Y678" s="20">
        <f>IF(B678="","",ROUND(IF(D678="",0,D678)*MAX(0,IF(W678="",0,W678)-IF(X678="",0,X678)),2))</f>
        <v>0</v>
      </c>
      <c r="Z678" s="20">
        <f>IF(B678="","",ROUND(MAX(0,IF(J678="",0,J678)-IF(I678="",0,I678)),2))</f>
        <v>0</v>
      </c>
      <c r="AA678" s="33">
        <f>IF(B678="","",IFERROR(INDEX(Channels!$S$5:$S$18,MATCH(IF(E678="",DefaultChannel,E678),Channels!$A$5:$A$18,0)),0))</f>
        <v>0</v>
      </c>
      <c r="AB678" s="20">
        <f>IF(B678="","",IFERROR(INDEX(Channels!$T$5:$T$18,MATCH(IF(E678="",DefaultChannel,E678),Channels!$A$5:$A$18,0)),0))</f>
        <v>0</v>
      </c>
      <c r="AC678" s="42">
        <f>IF(B678="","",IFERROR(INDEX(Channels!$O$5:$O$18,MATCH(IF(E678="",DefaultChannel,E678),Channels!$A$5:$A$18,0)),"No"))</f>
        <v>0</v>
      </c>
      <c r="AD678" s="20">
        <f>IF(B678="","",ROUND((V678+IF(AC678="Yes",IF(I678="",0,I678),0))*AA678+AB678,2))</f>
        <v>0</v>
      </c>
      <c r="AE678" s="20">
        <f>IF(B678="","",IF(K678&lt;&gt;"",K678,AD678))</f>
        <v>0</v>
      </c>
      <c r="AF678" s="20">
        <f>IF(B678="","",IF(K678="","",ROUND(K678-AD678,2)))</f>
        <v>0</v>
      </c>
      <c r="AG678" s="20">
        <f>IF(B678="","",ROUND(V678-Y678-AE678-Z678,2))</f>
        <v>0</v>
      </c>
      <c r="AH678" s="33">
        <f>IF(B678="","",IF(OR(V678="",V678=0),"",AG678/V678))</f>
        <v>0</v>
      </c>
      <c r="AI678" s="33">
        <f>IF(C678="","",IFERROR(INDEX(Products!$AW$5:$AW$304,MATCH(C678,Products!$A$5:$A$304,0)),""))</f>
        <v>0</v>
      </c>
      <c r="AJ678" s="33">
        <f>IF(B678="","",IF(OR(AH678="",AI678=""),"",AH678-AI678))</f>
        <v>0</v>
      </c>
      <c r="AK678" s="41">
        <f>IF(B678="","",IFERROR(ROUND(IF(D678="",0,D678)*INDEX(Products!$X$5:$X$304,MATCH(C678,Products!$A$5:$A$304,0))/60,2),""))</f>
        <v>0</v>
      </c>
      <c r="AL678" s="20">
        <f>IF(B678="","",IF(OR(AK678="",AK678=0),"",ROUND(AG678/AK678,2)))</f>
        <v>0</v>
      </c>
      <c r="AM678" s="43">
        <f>IF(B678="","",IF(C678="","Add - which product?",IF(AG678&lt;0,"Loss - this order cost you money",IF(M678="Refunded","Refunded - check why",IF(AND(AF678&lt;&gt;"",AF678&gt;0.25),"Check - fees higher than your settings",IF(Z678&gt;1,"Check - postage is eating the margin",IF(AND(AH678&lt;&gt;"",AH678&lt;MarginWarning),"Low margin on this order","OK")))))) )</f>
        <v>0</v>
      </c>
    </row>
    <row r="679" spans="1:39">
      <c r="A679" s="38">
        <f>IF(B679="","",SalePrefix&amp;TEXT(ROW()-4,"0000"))</f>
        <v>0</v>
      </c>
      <c r="Q679" s="13">
        <f>IF(C679="","",IFERROR(INDEX(Products!$B$5:$B$304,MATCH(C679,Products!$A$5:$A$304,0)),"Bundle or deleted"))</f>
        <v>0</v>
      </c>
      <c r="R679" s="13">
        <f>IF(B679="","",TEXT(B679,"yyyy-mm"))</f>
        <v>0</v>
      </c>
      <c r="S679" s="20">
        <f>IF(C679="","",IFERROR(INDEX(Products!$AR$5:$AR$304,MATCH(C679,Products!$A$5:$A$304,0)),""))</f>
        <v>0</v>
      </c>
      <c r="T679" s="20">
        <f>IF(B679="","",IF(F679&lt;&gt;"",F679,IF(S679="",0,S679)))</f>
        <v>0</v>
      </c>
      <c r="U679" s="20">
        <f>IF(B679="","",ROUND(IF(D679="",0,D679)*T679,2))</f>
        <v>0</v>
      </c>
      <c r="V679" s="20">
        <f>IF(B679="","",ROUND(U679-IF(G679="",0,G679)-IF(L679="",0,L679),2))</f>
        <v>0</v>
      </c>
      <c r="W679" s="20">
        <f>IF(C679="","",IFERROR(INDEX(Products!$AT$5:$AT$304,MATCH(C679,Products!$A$5:$A$304,0)),""))</f>
        <v>0</v>
      </c>
      <c r="X679" s="20">
        <f>IF(C679="","",IFERROR(INDEX(Products!$AG$5:$AG$304,MATCH(C679,Products!$A$5:$A$304,0)),""))</f>
        <v>0</v>
      </c>
      <c r="Y679" s="20">
        <f>IF(B679="","",ROUND(IF(D679="",0,D679)*MAX(0,IF(W679="",0,W679)-IF(X679="",0,X679)),2))</f>
        <v>0</v>
      </c>
      <c r="Z679" s="20">
        <f>IF(B679="","",ROUND(MAX(0,IF(J679="",0,J679)-IF(I679="",0,I679)),2))</f>
        <v>0</v>
      </c>
      <c r="AA679" s="33">
        <f>IF(B679="","",IFERROR(INDEX(Channels!$S$5:$S$18,MATCH(IF(E679="",DefaultChannel,E679),Channels!$A$5:$A$18,0)),0))</f>
        <v>0</v>
      </c>
      <c r="AB679" s="20">
        <f>IF(B679="","",IFERROR(INDEX(Channels!$T$5:$T$18,MATCH(IF(E679="",DefaultChannel,E679),Channels!$A$5:$A$18,0)),0))</f>
        <v>0</v>
      </c>
      <c r="AC679" s="42">
        <f>IF(B679="","",IFERROR(INDEX(Channels!$O$5:$O$18,MATCH(IF(E679="",DefaultChannel,E679),Channels!$A$5:$A$18,0)),"No"))</f>
        <v>0</v>
      </c>
      <c r="AD679" s="20">
        <f>IF(B679="","",ROUND((V679+IF(AC679="Yes",IF(I679="",0,I679),0))*AA679+AB679,2))</f>
        <v>0</v>
      </c>
      <c r="AE679" s="20">
        <f>IF(B679="","",IF(K679&lt;&gt;"",K679,AD679))</f>
        <v>0</v>
      </c>
      <c r="AF679" s="20">
        <f>IF(B679="","",IF(K679="","",ROUND(K679-AD679,2)))</f>
        <v>0</v>
      </c>
      <c r="AG679" s="20">
        <f>IF(B679="","",ROUND(V679-Y679-AE679-Z679,2))</f>
        <v>0</v>
      </c>
      <c r="AH679" s="33">
        <f>IF(B679="","",IF(OR(V679="",V679=0),"",AG679/V679))</f>
        <v>0</v>
      </c>
      <c r="AI679" s="33">
        <f>IF(C679="","",IFERROR(INDEX(Products!$AW$5:$AW$304,MATCH(C679,Products!$A$5:$A$304,0)),""))</f>
        <v>0</v>
      </c>
      <c r="AJ679" s="33">
        <f>IF(B679="","",IF(OR(AH679="",AI679=""),"",AH679-AI679))</f>
        <v>0</v>
      </c>
      <c r="AK679" s="41">
        <f>IF(B679="","",IFERROR(ROUND(IF(D679="",0,D679)*INDEX(Products!$X$5:$X$304,MATCH(C679,Products!$A$5:$A$304,0))/60,2),""))</f>
        <v>0</v>
      </c>
      <c r="AL679" s="20">
        <f>IF(B679="","",IF(OR(AK679="",AK679=0),"",ROUND(AG679/AK679,2)))</f>
        <v>0</v>
      </c>
      <c r="AM679" s="43">
        <f>IF(B679="","",IF(C679="","Add - which product?",IF(AG679&lt;0,"Loss - this order cost you money",IF(M679="Refunded","Refunded - check why",IF(AND(AF679&lt;&gt;"",AF679&gt;0.25),"Check - fees higher than your settings",IF(Z679&gt;1,"Check - postage is eating the margin",IF(AND(AH679&lt;&gt;"",AH679&lt;MarginWarning),"Low margin on this order","OK")))))) )</f>
        <v>0</v>
      </c>
    </row>
    <row r="680" spans="1:39">
      <c r="A680" s="38">
        <f>IF(B680="","",SalePrefix&amp;TEXT(ROW()-4,"0000"))</f>
        <v>0</v>
      </c>
      <c r="Q680" s="13">
        <f>IF(C680="","",IFERROR(INDEX(Products!$B$5:$B$304,MATCH(C680,Products!$A$5:$A$304,0)),"Bundle or deleted"))</f>
        <v>0</v>
      </c>
      <c r="R680" s="13">
        <f>IF(B680="","",TEXT(B680,"yyyy-mm"))</f>
        <v>0</v>
      </c>
      <c r="S680" s="20">
        <f>IF(C680="","",IFERROR(INDEX(Products!$AR$5:$AR$304,MATCH(C680,Products!$A$5:$A$304,0)),""))</f>
        <v>0</v>
      </c>
      <c r="T680" s="20">
        <f>IF(B680="","",IF(F680&lt;&gt;"",F680,IF(S680="",0,S680)))</f>
        <v>0</v>
      </c>
      <c r="U680" s="20">
        <f>IF(B680="","",ROUND(IF(D680="",0,D680)*T680,2))</f>
        <v>0</v>
      </c>
      <c r="V680" s="20">
        <f>IF(B680="","",ROUND(U680-IF(G680="",0,G680)-IF(L680="",0,L680),2))</f>
        <v>0</v>
      </c>
      <c r="W680" s="20">
        <f>IF(C680="","",IFERROR(INDEX(Products!$AT$5:$AT$304,MATCH(C680,Products!$A$5:$A$304,0)),""))</f>
        <v>0</v>
      </c>
      <c r="X680" s="20">
        <f>IF(C680="","",IFERROR(INDEX(Products!$AG$5:$AG$304,MATCH(C680,Products!$A$5:$A$304,0)),""))</f>
        <v>0</v>
      </c>
      <c r="Y680" s="20">
        <f>IF(B680="","",ROUND(IF(D680="",0,D680)*MAX(0,IF(W680="",0,W680)-IF(X680="",0,X680)),2))</f>
        <v>0</v>
      </c>
      <c r="Z680" s="20">
        <f>IF(B680="","",ROUND(MAX(0,IF(J680="",0,J680)-IF(I680="",0,I680)),2))</f>
        <v>0</v>
      </c>
      <c r="AA680" s="33">
        <f>IF(B680="","",IFERROR(INDEX(Channels!$S$5:$S$18,MATCH(IF(E680="",DefaultChannel,E680),Channels!$A$5:$A$18,0)),0))</f>
        <v>0</v>
      </c>
      <c r="AB680" s="20">
        <f>IF(B680="","",IFERROR(INDEX(Channels!$T$5:$T$18,MATCH(IF(E680="",DefaultChannel,E680),Channels!$A$5:$A$18,0)),0))</f>
        <v>0</v>
      </c>
      <c r="AC680" s="42">
        <f>IF(B680="","",IFERROR(INDEX(Channels!$O$5:$O$18,MATCH(IF(E680="",DefaultChannel,E680),Channels!$A$5:$A$18,0)),"No"))</f>
        <v>0</v>
      </c>
      <c r="AD680" s="20">
        <f>IF(B680="","",ROUND((V680+IF(AC680="Yes",IF(I680="",0,I680),0))*AA680+AB680,2))</f>
        <v>0</v>
      </c>
      <c r="AE680" s="20">
        <f>IF(B680="","",IF(K680&lt;&gt;"",K680,AD680))</f>
        <v>0</v>
      </c>
      <c r="AF680" s="20">
        <f>IF(B680="","",IF(K680="","",ROUND(K680-AD680,2)))</f>
        <v>0</v>
      </c>
      <c r="AG680" s="20">
        <f>IF(B680="","",ROUND(V680-Y680-AE680-Z680,2))</f>
        <v>0</v>
      </c>
      <c r="AH680" s="33">
        <f>IF(B680="","",IF(OR(V680="",V680=0),"",AG680/V680))</f>
        <v>0</v>
      </c>
      <c r="AI680" s="33">
        <f>IF(C680="","",IFERROR(INDEX(Products!$AW$5:$AW$304,MATCH(C680,Products!$A$5:$A$304,0)),""))</f>
        <v>0</v>
      </c>
      <c r="AJ680" s="33">
        <f>IF(B680="","",IF(OR(AH680="",AI680=""),"",AH680-AI680))</f>
        <v>0</v>
      </c>
      <c r="AK680" s="41">
        <f>IF(B680="","",IFERROR(ROUND(IF(D680="",0,D680)*INDEX(Products!$X$5:$X$304,MATCH(C680,Products!$A$5:$A$304,0))/60,2),""))</f>
        <v>0</v>
      </c>
      <c r="AL680" s="20">
        <f>IF(B680="","",IF(OR(AK680="",AK680=0),"",ROUND(AG680/AK680,2)))</f>
        <v>0</v>
      </c>
      <c r="AM680" s="43">
        <f>IF(B680="","",IF(C680="","Add - which product?",IF(AG680&lt;0,"Loss - this order cost you money",IF(M680="Refunded","Refunded - check why",IF(AND(AF680&lt;&gt;"",AF680&gt;0.25),"Check - fees higher than your settings",IF(Z680&gt;1,"Check - postage is eating the margin",IF(AND(AH680&lt;&gt;"",AH680&lt;MarginWarning),"Low margin on this order","OK")))))) )</f>
        <v>0</v>
      </c>
    </row>
    <row r="681" spans="1:39">
      <c r="A681" s="38">
        <f>IF(B681="","",SalePrefix&amp;TEXT(ROW()-4,"0000"))</f>
        <v>0</v>
      </c>
      <c r="Q681" s="13">
        <f>IF(C681="","",IFERROR(INDEX(Products!$B$5:$B$304,MATCH(C681,Products!$A$5:$A$304,0)),"Bundle or deleted"))</f>
        <v>0</v>
      </c>
      <c r="R681" s="13">
        <f>IF(B681="","",TEXT(B681,"yyyy-mm"))</f>
        <v>0</v>
      </c>
      <c r="S681" s="20">
        <f>IF(C681="","",IFERROR(INDEX(Products!$AR$5:$AR$304,MATCH(C681,Products!$A$5:$A$304,0)),""))</f>
        <v>0</v>
      </c>
      <c r="T681" s="20">
        <f>IF(B681="","",IF(F681&lt;&gt;"",F681,IF(S681="",0,S681)))</f>
        <v>0</v>
      </c>
      <c r="U681" s="20">
        <f>IF(B681="","",ROUND(IF(D681="",0,D681)*T681,2))</f>
        <v>0</v>
      </c>
      <c r="V681" s="20">
        <f>IF(B681="","",ROUND(U681-IF(G681="",0,G681)-IF(L681="",0,L681),2))</f>
        <v>0</v>
      </c>
      <c r="W681" s="20">
        <f>IF(C681="","",IFERROR(INDEX(Products!$AT$5:$AT$304,MATCH(C681,Products!$A$5:$A$304,0)),""))</f>
        <v>0</v>
      </c>
      <c r="X681" s="20">
        <f>IF(C681="","",IFERROR(INDEX(Products!$AG$5:$AG$304,MATCH(C681,Products!$A$5:$A$304,0)),""))</f>
        <v>0</v>
      </c>
      <c r="Y681" s="20">
        <f>IF(B681="","",ROUND(IF(D681="",0,D681)*MAX(0,IF(W681="",0,W681)-IF(X681="",0,X681)),2))</f>
        <v>0</v>
      </c>
      <c r="Z681" s="20">
        <f>IF(B681="","",ROUND(MAX(0,IF(J681="",0,J681)-IF(I681="",0,I681)),2))</f>
        <v>0</v>
      </c>
      <c r="AA681" s="33">
        <f>IF(B681="","",IFERROR(INDEX(Channels!$S$5:$S$18,MATCH(IF(E681="",DefaultChannel,E681),Channels!$A$5:$A$18,0)),0))</f>
        <v>0</v>
      </c>
      <c r="AB681" s="20">
        <f>IF(B681="","",IFERROR(INDEX(Channels!$T$5:$T$18,MATCH(IF(E681="",DefaultChannel,E681),Channels!$A$5:$A$18,0)),0))</f>
        <v>0</v>
      </c>
      <c r="AC681" s="42">
        <f>IF(B681="","",IFERROR(INDEX(Channels!$O$5:$O$18,MATCH(IF(E681="",DefaultChannel,E681),Channels!$A$5:$A$18,0)),"No"))</f>
        <v>0</v>
      </c>
      <c r="AD681" s="20">
        <f>IF(B681="","",ROUND((V681+IF(AC681="Yes",IF(I681="",0,I681),0))*AA681+AB681,2))</f>
        <v>0</v>
      </c>
      <c r="AE681" s="20">
        <f>IF(B681="","",IF(K681&lt;&gt;"",K681,AD681))</f>
        <v>0</v>
      </c>
      <c r="AF681" s="20">
        <f>IF(B681="","",IF(K681="","",ROUND(K681-AD681,2)))</f>
        <v>0</v>
      </c>
      <c r="AG681" s="20">
        <f>IF(B681="","",ROUND(V681-Y681-AE681-Z681,2))</f>
        <v>0</v>
      </c>
      <c r="AH681" s="33">
        <f>IF(B681="","",IF(OR(V681="",V681=0),"",AG681/V681))</f>
        <v>0</v>
      </c>
      <c r="AI681" s="33">
        <f>IF(C681="","",IFERROR(INDEX(Products!$AW$5:$AW$304,MATCH(C681,Products!$A$5:$A$304,0)),""))</f>
        <v>0</v>
      </c>
      <c r="AJ681" s="33">
        <f>IF(B681="","",IF(OR(AH681="",AI681=""),"",AH681-AI681))</f>
        <v>0</v>
      </c>
      <c r="AK681" s="41">
        <f>IF(B681="","",IFERROR(ROUND(IF(D681="",0,D681)*INDEX(Products!$X$5:$X$304,MATCH(C681,Products!$A$5:$A$304,0))/60,2),""))</f>
        <v>0</v>
      </c>
      <c r="AL681" s="20">
        <f>IF(B681="","",IF(OR(AK681="",AK681=0),"",ROUND(AG681/AK681,2)))</f>
        <v>0</v>
      </c>
      <c r="AM681" s="43">
        <f>IF(B681="","",IF(C681="","Add - which product?",IF(AG681&lt;0,"Loss - this order cost you money",IF(M681="Refunded","Refunded - check why",IF(AND(AF681&lt;&gt;"",AF681&gt;0.25),"Check - fees higher than your settings",IF(Z681&gt;1,"Check - postage is eating the margin",IF(AND(AH681&lt;&gt;"",AH681&lt;MarginWarning),"Low margin on this order","OK")))))) )</f>
        <v>0</v>
      </c>
    </row>
    <row r="682" spans="1:39">
      <c r="A682" s="38">
        <f>IF(B682="","",SalePrefix&amp;TEXT(ROW()-4,"0000"))</f>
        <v>0</v>
      </c>
      <c r="Q682" s="13">
        <f>IF(C682="","",IFERROR(INDEX(Products!$B$5:$B$304,MATCH(C682,Products!$A$5:$A$304,0)),"Bundle or deleted"))</f>
        <v>0</v>
      </c>
      <c r="R682" s="13">
        <f>IF(B682="","",TEXT(B682,"yyyy-mm"))</f>
        <v>0</v>
      </c>
      <c r="S682" s="20">
        <f>IF(C682="","",IFERROR(INDEX(Products!$AR$5:$AR$304,MATCH(C682,Products!$A$5:$A$304,0)),""))</f>
        <v>0</v>
      </c>
      <c r="T682" s="20">
        <f>IF(B682="","",IF(F682&lt;&gt;"",F682,IF(S682="",0,S682)))</f>
        <v>0</v>
      </c>
      <c r="U682" s="20">
        <f>IF(B682="","",ROUND(IF(D682="",0,D682)*T682,2))</f>
        <v>0</v>
      </c>
      <c r="V682" s="20">
        <f>IF(B682="","",ROUND(U682-IF(G682="",0,G682)-IF(L682="",0,L682),2))</f>
        <v>0</v>
      </c>
      <c r="W682" s="20">
        <f>IF(C682="","",IFERROR(INDEX(Products!$AT$5:$AT$304,MATCH(C682,Products!$A$5:$A$304,0)),""))</f>
        <v>0</v>
      </c>
      <c r="X682" s="20">
        <f>IF(C682="","",IFERROR(INDEX(Products!$AG$5:$AG$304,MATCH(C682,Products!$A$5:$A$304,0)),""))</f>
        <v>0</v>
      </c>
      <c r="Y682" s="20">
        <f>IF(B682="","",ROUND(IF(D682="",0,D682)*MAX(0,IF(W682="",0,W682)-IF(X682="",0,X682)),2))</f>
        <v>0</v>
      </c>
      <c r="Z682" s="20">
        <f>IF(B682="","",ROUND(MAX(0,IF(J682="",0,J682)-IF(I682="",0,I682)),2))</f>
        <v>0</v>
      </c>
      <c r="AA682" s="33">
        <f>IF(B682="","",IFERROR(INDEX(Channels!$S$5:$S$18,MATCH(IF(E682="",DefaultChannel,E682),Channels!$A$5:$A$18,0)),0))</f>
        <v>0</v>
      </c>
      <c r="AB682" s="20">
        <f>IF(B682="","",IFERROR(INDEX(Channels!$T$5:$T$18,MATCH(IF(E682="",DefaultChannel,E682),Channels!$A$5:$A$18,0)),0))</f>
        <v>0</v>
      </c>
      <c r="AC682" s="42">
        <f>IF(B682="","",IFERROR(INDEX(Channels!$O$5:$O$18,MATCH(IF(E682="",DefaultChannel,E682),Channels!$A$5:$A$18,0)),"No"))</f>
        <v>0</v>
      </c>
      <c r="AD682" s="20">
        <f>IF(B682="","",ROUND((V682+IF(AC682="Yes",IF(I682="",0,I682),0))*AA682+AB682,2))</f>
        <v>0</v>
      </c>
      <c r="AE682" s="20">
        <f>IF(B682="","",IF(K682&lt;&gt;"",K682,AD682))</f>
        <v>0</v>
      </c>
      <c r="AF682" s="20">
        <f>IF(B682="","",IF(K682="","",ROUND(K682-AD682,2)))</f>
        <v>0</v>
      </c>
      <c r="AG682" s="20">
        <f>IF(B682="","",ROUND(V682-Y682-AE682-Z682,2))</f>
        <v>0</v>
      </c>
      <c r="AH682" s="33">
        <f>IF(B682="","",IF(OR(V682="",V682=0),"",AG682/V682))</f>
        <v>0</v>
      </c>
      <c r="AI682" s="33">
        <f>IF(C682="","",IFERROR(INDEX(Products!$AW$5:$AW$304,MATCH(C682,Products!$A$5:$A$304,0)),""))</f>
        <v>0</v>
      </c>
      <c r="AJ682" s="33">
        <f>IF(B682="","",IF(OR(AH682="",AI682=""),"",AH682-AI682))</f>
        <v>0</v>
      </c>
      <c r="AK682" s="41">
        <f>IF(B682="","",IFERROR(ROUND(IF(D682="",0,D682)*INDEX(Products!$X$5:$X$304,MATCH(C682,Products!$A$5:$A$304,0))/60,2),""))</f>
        <v>0</v>
      </c>
      <c r="AL682" s="20">
        <f>IF(B682="","",IF(OR(AK682="",AK682=0),"",ROUND(AG682/AK682,2)))</f>
        <v>0</v>
      </c>
      <c r="AM682" s="43">
        <f>IF(B682="","",IF(C682="","Add - which product?",IF(AG682&lt;0,"Loss - this order cost you money",IF(M682="Refunded","Refunded - check why",IF(AND(AF682&lt;&gt;"",AF682&gt;0.25),"Check - fees higher than your settings",IF(Z682&gt;1,"Check - postage is eating the margin",IF(AND(AH682&lt;&gt;"",AH682&lt;MarginWarning),"Low margin on this order","OK")))))) )</f>
        <v>0</v>
      </c>
    </row>
    <row r="683" spans="1:39">
      <c r="A683" s="38">
        <f>IF(B683="","",SalePrefix&amp;TEXT(ROW()-4,"0000"))</f>
        <v>0</v>
      </c>
      <c r="Q683" s="13">
        <f>IF(C683="","",IFERROR(INDEX(Products!$B$5:$B$304,MATCH(C683,Products!$A$5:$A$304,0)),"Bundle or deleted"))</f>
        <v>0</v>
      </c>
      <c r="R683" s="13">
        <f>IF(B683="","",TEXT(B683,"yyyy-mm"))</f>
        <v>0</v>
      </c>
      <c r="S683" s="20">
        <f>IF(C683="","",IFERROR(INDEX(Products!$AR$5:$AR$304,MATCH(C683,Products!$A$5:$A$304,0)),""))</f>
        <v>0</v>
      </c>
      <c r="T683" s="20">
        <f>IF(B683="","",IF(F683&lt;&gt;"",F683,IF(S683="",0,S683)))</f>
        <v>0</v>
      </c>
      <c r="U683" s="20">
        <f>IF(B683="","",ROUND(IF(D683="",0,D683)*T683,2))</f>
        <v>0</v>
      </c>
      <c r="V683" s="20">
        <f>IF(B683="","",ROUND(U683-IF(G683="",0,G683)-IF(L683="",0,L683),2))</f>
        <v>0</v>
      </c>
      <c r="W683" s="20">
        <f>IF(C683="","",IFERROR(INDEX(Products!$AT$5:$AT$304,MATCH(C683,Products!$A$5:$A$304,0)),""))</f>
        <v>0</v>
      </c>
      <c r="X683" s="20">
        <f>IF(C683="","",IFERROR(INDEX(Products!$AG$5:$AG$304,MATCH(C683,Products!$A$5:$A$304,0)),""))</f>
        <v>0</v>
      </c>
      <c r="Y683" s="20">
        <f>IF(B683="","",ROUND(IF(D683="",0,D683)*MAX(0,IF(W683="",0,W683)-IF(X683="",0,X683)),2))</f>
        <v>0</v>
      </c>
      <c r="Z683" s="20">
        <f>IF(B683="","",ROUND(MAX(0,IF(J683="",0,J683)-IF(I683="",0,I683)),2))</f>
        <v>0</v>
      </c>
      <c r="AA683" s="33">
        <f>IF(B683="","",IFERROR(INDEX(Channels!$S$5:$S$18,MATCH(IF(E683="",DefaultChannel,E683),Channels!$A$5:$A$18,0)),0))</f>
        <v>0</v>
      </c>
      <c r="AB683" s="20">
        <f>IF(B683="","",IFERROR(INDEX(Channels!$T$5:$T$18,MATCH(IF(E683="",DefaultChannel,E683),Channels!$A$5:$A$18,0)),0))</f>
        <v>0</v>
      </c>
      <c r="AC683" s="42">
        <f>IF(B683="","",IFERROR(INDEX(Channels!$O$5:$O$18,MATCH(IF(E683="",DefaultChannel,E683),Channels!$A$5:$A$18,0)),"No"))</f>
        <v>0</v>
      </c>
      <c r="AD683" s="20">
        <f>IF(B683="","",ROUND((V683+IF(AC683="Yes",IF(I683="",0,I683),0))*AA683+AB683,2))</f>
        <v>0</v>
      </c>
      <c r="AE683" s="20">
        <f>IF(B683="","",IF(K683&lt;&gt;"",K683,AD683))</f>
        <v>0</v>
      </c>
      <c r="AF683" s="20">
        <f>IF(B683="","",IF(K683="","",ROUND(K683-AD683,2)))</f>
        <v>0</v>
      </c>
      <c r="AG683" s="20">
        <f>IF(B683="","",ROUND(V683-Y683-AE683-Z683,2))</f>
        <v>0</v>
      </c>
      <c r="AH683" s="33">
        <f>IF(B683="","",IF(OR(V683="",V683=0),"",AG683/V683))</f>
        <v>0</v>
      </c>
      <c r="AI683" s="33">
        <f>IF(C683="","",IFERROR(INDEX(Products!$AW$5:$AW$304,MATCH(C683,Products!$A$5:$A$304,0)),""))</f>
        <v>0</v>
      </c>
      <c r="AJ683" s="33">
        <f>IF(B683="","",IF(OR(AH683="",AI683=""),"",AH683-AI683))</f>
        <v>0</v>
      </c>
      <c r="AK683" s="41">
        <f>IF(B683="","",IFERROR(ROUND(IF(D683="",0,D683)*INDEX(Products!$X$5:$X$304,MATCH(C683,Products!$A$5:$A$304,0))/60,2),""))</f>
        <v>0</v>
      </c>
      <c r="AL683" s="20">
        <f>IF(B683="","",IF(OR(AK683="",AK683=0),"",ROUND(AG683/AK683,2)))</f>
        <v>0</v>
      </c>
      <c r="AM683" s="43">
        <f>IF(B683="","",IF(C683="","Add - which product?",IF(AG683&lt;0,"Loss - this order cost you money",IF(M683="Refunded","Refunded - check why",IF(AND(AF683&lt;&gt;"",AF683&gt;0.25),"Check - fees higher than your settings",IF(Z683&gt;1,"Check - postage is eating the margin",IF(AND(AH683&lt;&gt;"",AH683&lt;MarginWarning),"Low margin on this order","OK")))))) )</f>
        <v>0</v>
      </c>
    </row>
    <row r="684" spans="1:39">
      <c r="A684" s="38">
        <f>IF(B684="","",SalePrefix&amp;TEXT(ROW()-4,"0000"))</f>
        <v>0</v>
      </c>
      <c r="Q684" s="13">
        <f>IF(C684="","",IFERROR(INDEX(Products!$B$5:$B$304,MATCH(C684,Products!$A$5:$A$304,0)),"Bundle or deleted"))</f>
        <v>0</v>
      </c>
      <c r="R684" s="13">
        <f>IF(B684="","",TEXT(B684,"yyyy-mm"))</f>
        <v>0</v>
      </c>
      <c r="S684" s="20">
        <f>IF(C684="","",IFERROR(INDEX(Products!$AR$5:$AR$304,MATCH(C684,Products!$A$5:$A$304,0)),""))</f>
        <v>0</v>
      </c>
      <c r="T684" s="20">
        <f>IF(B684="","",IF(F684&lt;&gt;"",F684,IF(S684="",0,S684)))</f>
        <v>0</v>
      </c>
      <c r="U684" s="20">
        <f>IF(B684="","",ROUND(IF(D684="",0,D684)*T684,2))</f>
        <v>0</v>
      </c>
      <c r="V684" s="20">
        <f>IF(B684="","",ROUND(U684-IF(G684="",0,G684)-IF(L684="",0,L684),2))</f>
        <v>0</v>
      </c>
      <c r="W684" s="20">
        <f>IF(C684="","",IFERROR(INDEX(Products!$AT$5:$AT$304,MATCH(C684,Products!$A$5:$A$304,0)),""))</f>
        <v>0</v>
      </c>
      <c r="X684" s="20">
        <f>IF(C684="","",IFERROR(INDEX(Products!$AG$5:$AG$304,MATCH(C684,Products!$A$5:$A$304,0)),""))</f>
        <v>0</v>
      </c>
      <c r="Y684" s="20">
        <f>IF(B684="","",ROUND(IF(D684="",0,D684)*MAX(0,IF(W684="",0,W684)-IF(X684="",0,X684)),2))</f>
        <v>0</v>
      </c>
      <c r="Z684" s="20">
        <f>IF(B684="","",ROUND(MAX(0,IF(J684="",0,J684)-IF(I684="",0,I684)),2))</f>
        <v>0</v>
      </c>
      <c r="AA684" s="33">
        <f>IF(B684="","",IFERROR(INDEX(Channels!$S$5:$S$18,MATCH(IF(E684="",DefaultChannel,E684),Channels!$A$5:$A$18,0)),0))</f>
        <v>0</v>
      </c>
      <c r="AB684" s="20">
        <f>IF(B684="","",IFERROR(INDEX(Channels!$T$5:$T$18,MATCH(IF(E684="",DefaultChannel,E684),Channels!$A$5:$A$18,0)),0))</f>
        <v>0</v>
      </c>
      <c r="AC684" s="42">
        <f>IF(B684="","",IFERROR(INDEX(Channels!$O$5:$O$18,MATCH(IF(E684="",DefaultChannel,E684),Channels!$A$5:$A$18,0)),"No"))</f>
        <v>0</v>
      </c>
      <c r="AD684" s="20">
        <f>IF(B684="","",ROUND((V684+IF(AC684="Yes",IF(I684="",0,I684),0))*AA684+AB684,2))</f>
        <v>0</v>
      </c>
      <c r="AE684" s="20">
        <f>IF(B684="","",IF(K684&lt;&gt;"",K684,AD684))</f>
        <v>0</v>
      </c>
      <c r="AF684" s="20">
        <f>IF(B684="","",IF(K684="","",ROUND(K684-AD684,2)))</f>
        <v>0</v>
      </c>
      <c r="AG684" s="20">
        <f>IF(B684="","",ROUND(V684-Y684-AE684-Z684,2))</f>
        <v>0</v>
      </c>
      <c r="AH684" s="33">
        <f>IF(B684="","",IF(OR(V684="",V684=0),"",AG684/V684))</f>
        <v>0</v>
      </c>
      <c r="AI684" s="33">
        <f>IF(C684="","",IFERROR(INDEX(Products!$AW$5:$AW$304,MATCH(C684,Products!$A$5:$A$304,0)),""))</f>
        <v>0</v>
      </c>
      <c r="AJ684" s="33">
        <f>IF(B684="","",IF(OR(AH684="",AI684=""),"",AH684-AI684))</f>
        <v>0</v>
      </c>
      <c r="AK684" s="41">
        <f>IF(B684="","",IFERROR(ROUND(IF(D684="",0,D684)*INDEX(Products!$X$5:$X$304,MATCH(C684,Products!$A$5:$A$304,0))/60,2),""))</f>
        <v>0</v>
      </c>
      <c r="AL684" s="20">
        <f>IF(B684="","",IF(OR(AK684="",AK684=0),"",ROUND(AG684/AK684,2)))</f>
        <v>0</v>
      </c>
      <c r="AM684" s="43">
        <f>IF(B684="","",IF(C684="","Add - which product?",IF(AG684&lt;0,"Loss - this order cost you money",IF(M684="Refunded","Refunded - check why",IF(AND(AF684&lt;&gt;"",AF684&gt;0.25),"Check - fees higher than your settings",IF(Z684&gt;1,"Check - postage is eating the margin",IF(AND(AH684&lt;&gt;"",AH684&lt;MarginWarning),"Low margin on this order","OK")))))) )</f>
        <v>0</v>
      </c>
    </row>
    <row r="685" spans="1:39">
      <c r="A685" s="38">
        <f>IF(B685="","",SalePrefix&amp;TEXT(ROW()-4,"0000"))</f>
        <v>0</v>
      </c>
      <c r="Q685" s="13">
        <f>IF(C685="","",IFERROR(INDEX(Products!$B$5:$B$304,MATCH(C685,Products!$A$5:$A$304,0)),"Bundle or deleted"))</f>
        <v>0</v>
      </c>
      <c r="R685" s="13">
        <f>IF(B685="","",TEXT(B685,"yyyy-mm"))</f>
        <v>0</v>
      </c>
      <c r="S685" s="20">
        <f>IF(C685="","",IFERROR(INDEX(Products!$AR$5:$AR$304,MATCH(C685,Products!$A$5:$A$304,0)),""))</f>
        <v>0</v>
      </c>
      <c r="T685" s="20">
        <f>IF(B685="","",IF(F685&lt;&gt;"",F685,IF(S685="",0,S685)))</f>
        <v>0</v>
      </c>
      <c r="U685" s="20">
        <f>IF(B685="","",ROUND(IF(D685="",0,D685)*T685,2))</f>
        <v>0</v>
      </c>
      <c r="V685" s="20">
        <f>IF(B685="","",ROUND(U685-IF(G685="",0,G685)-IF(L685="",0,L685),2))</f>
        <v>0</v>
      </c>
      <c r="W685" s="20">
        <f>IF(C685="","",IFERROR(INDEX(Products!$AT$5:$AT$304,MATCH(C685,Products!$A$5:$A$304,0)),""))</f>
        <v>0</v>
      </c>
      <c r="X685" s="20">
        <f>IF(C685="","",IFERROR(INDEX(Products!$AG$5:$AG$304,MATCH(C685,Products!$A$5:$A$304,0)),""))</f>
        <v>0</v>
      </c>
      <c r="Y685" s="20">
        <f>IF(B685="","",ROUND(IF(D685="",0,D685)*MAX(0,IF(W685="",0,W685)-IF(X685="",0,X685)),2))</f>
        <v>0</v>
      </c>
      <c r="Z685" s="20">
        <f>IF(B685="","",ROUND(MAX(0,IF(J685="",0,J685)-IF(I685="",0,I685)),2))</f>
        <v>0</v>
      </c>
      <c r="AA685" s="33">
        <f>IF(B685="","",IFERROR(INDEX(Channels!$S$5:$S$18,MATCH(IF(E685="",DefaultChannel,E685),Channels!$A$5:$A$18,0)),0))</f>
        <v>0</v>
      </c>
      <c r="AB685" s="20">
        <f>IF(B685="","",IFERROR(INDEX(Channels!$T$5:$T$18,MATCH(IF(E685="",DefaultChannel,E685),Channels!$A$5:$A$18,0)),0))</f>
        <v>0</v>
      </c>
      <c r="AC685" s="42">
        <f>IF(B685="","",IFERROR(INDEX(Channels!$O$5:$O$18,MATCH(IF(E685="",DefaultChannel,E685),Channels!$A$5:$A$18,0)),"No"))</f>
        <v>0</v>
      </c>
      <c r="AD685" s="20">
        <f>IF(B685="","",ROUND((V685+IF(AC685="Yes",IF(I685="",0,I685),0))*AA685+AB685,2))</f>
        <v>0</v>
      </c>
      <c r="AE685" s="20">
        <f>IF(B685="","",IF(K685&lt;&gt;"",K685,AD685))</f>
        <v>0</v>
      </c>
      <c r="AF685" s="20">
        <f>IF(B685="","",IF(K685="","",ROUND(K685-AD685,2)))</f>
        <v>0</v>
      </c>
      <c r="AG685" s="20">
        <f>IF(B685="","",ROUND(V685-Y685-AE685-Z685,2))</f>
        <v>0</v>
      </c>
      <c r="AH685" s="33">
        <f>IF(B685="","",IF(OR(V685="",V685=0),"",AG685/V685))</f>
        <v>0</v>
      </c>
      <c r="AI685" s="33">
        <f>IF(C685="","",IFERROR(INDEX(Products!$AW$5:$AW$304,MATCH(C685,Products!$A$5:$A$304,0)),""))</f>
        <v>0</v>
      </c>
      <c r="AJ685" s="33">
        <f>IF(B685="","",IF(OR(AH685="",AI685=""),"",AH685-AI685))</f>
        <v>0</v>
      </c>
      <c r="AK685" s="41">
        <f>IF(B685="","",IFERROR(ROUND(IF(D685="",0,D685)*INDEX(Products!$X$5:$X$304,MATCH(C685,Products!$A$5:$A$304,0))/60,2),""))</f>
        <v>0</v>
      </c>
      <c r="AL685" s="20">
        <f>IF(B685="","",IF(OR(AK685="",AK685=0),"",ROUND(AG685/AK685,2)))</f>
        <v>0</v>
      </c>
      <c r="AM685" s="43">
        <f>IF(B685="","",IF(C685="","Add - which product?",IF(AG685&lt;0,"Loss - this order cost you money",IF(M685="Refunded","Refunded - check why",IF(AND(AF685&lt;&gt;"",AF685&gt;0.25),"Check - fees higher than your settings",IF(Z685&gt;1,"Check - postage is eating the margin",IF(AND(AH685&lt;&gt;"",AH685&lt;MarginWarning),"Low margin on this order","OK")))))) )</f>
        <v>0</v>
      </c>
    </row>
    <row r="686" spans="1:39">
      <c r="A686" s="38">
        <f>IF(B686="","",SalePrefix&amp;TEXT(ROW()-4,"0000"))</f>
        <v>0</v>
      </c>
      <c r="Q686" s="13">
        <f>IF(C686="","",IFERROR(INDEX(Products!$B$5:$B$304,MATCH(C686,Products!$A$5:$A$304,0)),"Bundle or deleted"))</f>
        <v>0</v>
      </c>
      <c r="R686" s="13">
        <f>IF(B686="","",TEXT(B686,"yyyy-mm"))</f>
        <v>0</v>
      </c>
      <c r="S686" s="20">
        <f>IF(C686="","",IFERROR(INDEX(Products!$AR$5:$AR$304,MATCH(C686,Products!$A$5:$A$304,0)),""))</f>
        <v>0</v>
      </c>
      <c r="T686" s="20">
        <f>IF(B686="","",IF(F686&lt;&gt;"",F686,IF(S686="",0,S686)))</f>
        <v>0</v>
      </c>
      <c r="U686" s="20">
        <f>IF(B686="","",ROUND(IF(D686="",0,D686)*T686,2))</f>
        <v>0</v>
      </c>
      <c r="V686" s="20">
        <f>IF(B686="","",ROUND(U686-IF(G686="",0,G686)-IF(L686="",0,L686),2))</f>
        <v>0</v>
      </c>
      <c r="W686" s="20">
        <f>IF(C686="","",IFERROR(INDEX(Products!$AT$5:$AT$304,MATCH(C686,Products!$A$5:$A$304,0)),""))</f>
        <v>0</v>
      </c>
      <c r="X686" s="20">
        <f>IF(C686="","",IFERROR(INDEX(Products!$AG$5:$AG$304,MATCH(C686,Products!$A$5:$A$304,0)),""))</f>
        <v>0</v>
      </c>
      <c r="Y686" s="20">
        <f>IF(B686="","",ROUND(IF(D686="",0,D686)*MAX(0,IF(W686="",0,W686)-IF(X686="",0,X686)),2))</f>
        <v>0</v>
      </c>
      <c r="Z686" s="20">
        <f>IF(B686="","",ROUND(MAX(0,IF(J686="",0,J686)-IF(I686="",0,I686)),2))</f>
        <v>0</v>
      </c>
      <c r="AA686" s="33">
        <f>IF(B686="","",IFERROR(INDEX(Channels!$S$5:$S$18,MATCH(IF(E686="",DefaultChannel,E686),Channels!$A$5:$A$18,0)),0))</f>
        <v>0</v>
      </c>
      <c r="AB686" s="20">
        <f>IF(B686="","",IFERROR(INDEX(Channels!$T$5:$T$18,MATCH(IF(E686="",DefaultChannel,E686),Channels!$A$5:$A$18,0)),0))</f>
        <v>0</v>
      </c>
      <c r="AC686" s="42">
        <f>IF(B686="","",IFERROR(INDEX(Channels!$O$5:$O$18,MATCH(IF(E686="",DefaultChannel,E686),Channels!$A$5:$A$18,0)),"No"))</f>
        <v>0</v>
      </c>
      <c r="AD686" s="20">
        <f>IF(B686="","",ROUND((V686+IF(AC686="Yes",IF(I686="",0,I686),0))*AA686+AB686,2))</f>
        <v>0</v>
      </c>
      <c r="AE686" s="20">
        <f>IF(B686="","",IF(K686&lt;&gt;"",K686,AD686))</f>
        <v>0</v>
      </c>
      <c r="AF686" s="20">
        <f>IF(B686="","",IF(K686="","",ROUND(K686-AD686,2)))</f>
        <v>0</v>
      </c>
      <c r="AG686" s="20">
        <f>IF(B686="","",ROUND(V686-Y686-AE686-Z686,2))</f>
        <v>0</v>
      </c>
      <c r="AH686" s="33">
        <f>IF(B686="","",IF(OR(V686="",V686=0),"",AG686/V686))</f>
        <v>0</v>
      </c>
      <c r="AI686" s="33">
        <f>IF(C686="","",IFERROR(INDEX(Products!$AW$5:$AW$304,MATCH(C686,Products!$A$5:$A$304,0)),""))</f>
        <v>0</v>
      </c>
      <c r="AJ686" s="33">
        <f>IF(B686="","",IF(OR(AH686="",AI686=""),"",AH686-AI686))</f>
        <v>0</v>
      </c>
      <c r="AK686" s="41">
        <f>IF(B686="","",IFERROR(ROUND(IF(D686="",0,D686)*INDEX(Products!$X$5:$X$304,MATCH(C686,Products!$A$5:$A$304,0))/60,2),""))</f>
        <v>0</v>
      </c>
      <c r="AL686" s="20">
        <f>IF(B686="","",IF(OR(AK686="",AK686=0),"",ROUND(AG686/AK686,2)))</f>
        <v>0</v>
      </c>
      <c r="AM686" s="43">
        <f>IF(B686="","",IF(C686="","Add - which product?",IF(AG686&lt;0,"Loss - this order cost you money",IF(M686="Refunded","Refunded - check why",IF(AND(AF686&lt;&gt;"",AF686&gt;0.25),"Check - fees higher than your settings",IF(Z686&gt;1,"Check - postage is eating the margin",IF(AND(AH686&lt;&gt;"",AH686&lt;MarginWarning),"Low margin on this order","OK")))))) )</f>
        <v>0</v>
      </c>
    </row>
    <row r="687" spans="1:39">
      <c r="A687" s="38">
        <f>IF(B687="","",SalePrefix&amp;TEXT(ROW()-4,"0000"))</f>
        <v>0</v>
      </c>
      <c r="Q687" s="13">
        <f>IF(C687="","",IFERROR(INDEX(Products!$B$5:$B$304,MATCH(C687,Products!$A$5:$A$304,0)),"Bundle or deleted"))</f>
        <v>0</v>
      </c>
      <c r="R687" s="13">
        <f>IF(B687="","",TEXT(B687,"yyyy-mm"))</f>
        <v>0</v>
      </c>
      <c r="S687" s="20">
        <f>IF(C687="","",IFERROR(INDEX(Products!$AR$5:$AR$304,MATCH(C687,Products!$A$5:$A$304,0)),""))</f>
        <v>0</v>
      </c>
      <c r="T687" s="20">
        <f>IF(B687="","",IF(F687&lt;&gt;"",F687,IF(S687="",0,S687)))</f>
        <v>0</v>
      </c>
      <c r="U687" s="20">
        <f>IF(B687="","",ROUND(IF(D687="",0,D687)*T687,2))</f>
        <v>0</v>
      </c>
      <c r="V687" s="20">
        <f>IF(B687="","",ROUND(U687-IF(G687="",0,G687)-IF(L687="",0,L687),2))</f>
        <v>0</v>
      </c>
      <c r="W687" s="20">
        <f>IF(C687="","",IFERROR(INDEX(Products!$AT$5:$AT$304,MATCH(C687,Products!$A$5:$A$304,0)),""))</f>
        <v>0</v>
      </c>
      <c r="X687" s="20">
        <f>IF(C687="","",IFERROR(INDEX(Products!$AG$5:$AG$304,MATCH(C687,Products!$A$5:$A$304,0)),""))</f>
        <v>0</v>
      </c>
      <c r="Y687" s="20">
        <f>IF(B687="","",ROUND(IF(D687="",0,D687)*MAX(0,IF(W687="",0,W687)-IF(X687="",0,X687)),2))</f>
        <v>0</v>
      </c>
      <c r="Z687" s="20">
        <f>IF(B687="","",ROUND(MAX(0,IF(J687="",0,J687)-IF(I687="",0,I687)),2))</f>
        <v>0</v>
      </c>
      <c r="AA687" s="33">
        <f>IF(B687="","",IFERROR(INDEX(Channels!$S$5:$S$18,MATCH(IF(E687="",DefaultChannel,E687),Channels!$A$5:$A$18,0)),0))</f>
        <v>0</v>
      </c>
      <c r="AB687" s="20">
        <f>IF(B687="","",IFERROR(INDEX(Channels!$T$5:$T$18,MATCH(IF(E687="",DefaultChannel,E687),Channels!$A$5:$A$18,0)),0))</f>
        <v>0</v>
      </c>
      <c r="AC687" s="42">
        <f>IF(B687="","",IFERROR(INDEX(Channels!$O$5:$O$18,MATCH(IF(E687="",DefaultChannel,E687),Channels!$A$5:$A$18,0)),"No"))</f>
        <v>0</v>
      </c>
      <c r="AD687" s="20">
        <f>IF(B687="","",ROUND((V687+IF(AC687="Yes",IF(I687="",0,I687),0))*AA687+AB687,2))</f>
        <v>0</v>
      </c>
      <c r="AE687" s="20">
        <f>IF(B687="","",IF(K687&lt;&gt;"",K687,AD687))</f>
        <v>0</v>
      </c>
      <c r="AF687" s="20">
        <f>IF(B687="","",IF(K687="","",ROUND(K687-AD687,2)))</f>
        <v>0</v>
      </c>
      <c r="AG687" s="20">
        <f>IF(B687="","",ROUND(V687-Y687-AE687-Z687,2))</f>
        <v>0</v>
      </c>
      <c r="AH687" s="33">
        <f>IF(B687="","",IF(OR(V687="",V687=0),"",AG687/V687))</f>
        <v>0</v>
      </c>
      <c r="AI687" s="33">
        <f>IF(C687="","",IFERROR(INDEX(Products!$AW$5:$AW$304,MATCH(C687,Products!$A$5:$A$304,0)),""))</f>
        <v>0</v>
      </c>
      <c r="AJ687" s="33">
        <f>IF(B687="","",IF(OR(AH687="",AI687=""),"",AH687-AI687))</f>
        <v>0</v>
      </c>
      <c r="AK687" s="41">
        <f>IF(B687="","",IFERROR(ROUND(IF(D687="",0,D687)*INDEX(Products!$X$5:$X$304,MATCH(C687,Products!$A$5:$A$304,0))/60,2),""))</f>
        <v>0</v>
      </c>
      <c r="AL687" s="20">
        <f>IF(B687="","",IF(OR(AK687="",AK687=0),"",ROUND(AG687/AK687,2)))</f>
        <v>0</v>
      </c>
      <c r="AM687" s="43">
        <f>IF(B687="","",IF(C687="","Add - which product?",IF(AG687&lt;0,"Loss - this order cost you money",IF(M687="Refunded","Refunded - check why",IF(AND(AF687&lt;&gt;"",AF687&gt;0.25),"Check - fees higher than your settings",IF(Z687&gt;1,"Check - postage is eating the margin",IF(AND(AH687&lt;&gt;"",AH687&lt;MarginWarning),"Low margin on this order","OK")))))) )</f>
        <v>0</v>
      </c>
    </row>
    <row r="688" spans="1:39">
      <c r="A688" s="38">
        <f>IF(B688="","",SalePrefix&amp;TEXT(ROW()-4,"0000"))</f>
        <v>0</v>
      </c>
      <c r="Q688" s="13">
        <f>IF(C688="","",IFERROR(INDEX(Products!$B$5:$B$304,MATCH(C688,Products!$A$5:$A$304,0)),"Bundle or deleted"))</f>
        <v>0</v>
      </c>
      <c r="R688" s="13">
        <f>IF(B688="","",TEXT(B688,"yyyy-mm"))</f>
        <v>0</v>
      </c>
      <c r="S688" s="20">
        <f>IF(C688="","",IFERROR(INDEX(Products!$AR$5:$AR$304,MATCH(C688,Products!$A$5:$A$304,0)),""))</f>
        <v>0</v>
      </c>
      <c r="T688" s="20">
        <f>IF(B688="","",IF(F688&lt;&gt;"",F688,IF(S688="",0,S688)))</f>
        <v>0</v>
      </c>
      <c r="U688" s="20">
        <f>IF(B688="","",ROUND(IF(D688="",0,D688)*T688,2))</f>
        <v>0</v>
      </c>
      <c r="V688" s="20">
        <f>IF(B688="","",ROUND(U688-IF(G688="",0,G688)-IF(L688="",0,L688),2))</f>
        <v>0</v>
      </c>
      <c r="W688" s="20">
        <f>IF(C688="","",IFERROR(INDEX(Products!$AT$5:$AT$304,MATCH(C688,Products!$A$5:$A$304,0)),""))</f>
        <v>0</v>
      </c>
      <c r="X688" s="20">
        <f>IF(C688="","",IFERROR(INDEX(Products!$AG$5:$AG$304,MATCH(C688,Products!$A$5:$A$304,0)),""))</f>
        <v>0</v>
      </c>
      <c r="Y688" s="20">
        <f>IF(B688="","",ROUND(IF(D688="",0,D688)*MAX(0,IF(W688="",0,W688)-IF(X688="",0,X688)),2))</f>
        <v>0</v>
      </c>
      <c r="Z688" s="20">
        <f>IF(B688="","",ROUND(MAX(0,IF(J688="",0,J688)-IF(I688="",0,I688)),2))</f>
        <v>0</v>
      </c>
      <c r="AA688" s="33">
        <f>IF(B688="","",IFERROR(INDEX(Channels!$S$5:$S$18,MATCH(IF(E688="",DefaultChannel,E688),Channels!$A$5:$A$18,0)),0))</f>
        <v>0</v>
      </c>
      <c r="AB688" s="20">
        <f>IF(B688="","",IFERROR(INDEX(Channels!$T$5:$T$18,MATCH(IF(E688="",DefaultChannel,E688),Channels!$A$5:$A$18,0)),0))</f>
        <v>0</v>
      </c>
      <c r="AC688" s="42">
        <f>IF(B688="","",IFERROR(INDEX(Channels!$O$5:$O$18,MATCH(IF(E688="",DefaultChannel,E688),Channels!$A$5:$A$18,0)),"No"))</f>
        <v>0</v>
      </c>
      <c r="AD688" s="20">
        <f>IF(B688="","",ROUND((V688+IF(AC688="Yes",IF(I688="",0,I688),0))*AA688+AB688,2))</f>
        <v>0</v>
      </c>
      <c r="AE688" s="20">
        <f>IF(B688="","",IF(K688&lt;&gt;"",K688,AD688))</f>
        <v>0</v>
      </c>
      <c r="AF688" s="20">
        <f>IF(B688="","",IF(K688="","",ROUND(K688-AD688,2)))</f>
        <v>0</v>
      </c>
      <c r="AG688" s="20">
        <f>IF(B688="","",ROUND(V688-Y688-AE688-Z688,2))</f>
        <v>0</v>
      </c>
      <c r="AH688" s="33">
        <f>IF(B688="","",IF(OR(V688="",V688=0),"",AG688/V688))</f>
        <v>0</v>
      </c>
      <c r="AI688" s="33">
        <f>IF(C688="","",IFERROR(INDEX(Products!$AW$5:$AW$304,MATCH(C688,Products!$A$5:$A$304,0)),""))</f>
        <v>0</v>
      </c>
      <c r="AJ688" s="33">
        <f>IF(B688="","",IF(OR(AH688="",AI688=""),"",AH688-AI688))</f>
        <v>0</v>
      </c>
      <c r="AK688" s="41">
        <f>IF(B688="","",IFERROR(ROUND(IF(D688="",0,D688)*INDEX(Products!$X$5:$X$304,MATCH(C688,Products!$A$5:$A$304,0))/60,2),""))</f>
        <v>0</v>
      </c>
      <c r="AL688" s="20">
        <f>IF(B688="","",IF(OR(AK688="",AK688=0),"",ROUND(AG688/AK688,2)))</f>
        <v>0</v>
      </c>
      <c r="AM688" s="43">
        <f>IF(B688="","",IF(C688="","Add - which product?",IF(AG688&lt;0,"Loss - this order cost you money",IF(M688="Refunded","Refunded - check why",IF(AND(AF688&lt;&gt;"",AF688&gt;0.25),"Check - fees higher than your settings",IF(Z688&gt;1,"Check - postage is eating the margin",IF(AND(AH688&lt;&gt;"",AH688&lt;MarginWarning),"Low margin on this order","OK")))))) )</f>
        <v>0</v>
      </c>
    </row>
    <row r="689" spans="1:39">
      <c r="A689" s="38">
        <f>IF(B689="","",SalePrefix&amp;TEXT(ROW()-4,"0000"))</f>
        <v>0</v>
      </c>
      <c r="Q689" s="13">
        <f>IF(C689="","",IFERROR(INDEX(Products!$B$5:$B$304,MATCH(C689,Products!$A$5:$A$304,0)),"Bundle or deleted"))</f>
        <v>0</v>
      </c>
      <c r="R689" s="13">
        <f>IF(B689="","",TEXT(B689,"yyyy-mm"))</f>
        <v>0</v>
      </c>
      <c r="S689" s="20">
        <f>IF(C689="","",IFERROR(INDEX(Products!$AR$5:$AR$304,MATCH(C689,Products!$A$5:$A$304,0)),""))</f>
        <v>0</v>
      </c>
      <c r="T689" s="20">
        <f>IF(B689="","",IF(F689&lt;&gt;"",F689,IF(S689="",0,S689)))</f>
        <v>0</v>
      </c>
      <c r="U689" s="20">
        <f>IF(B689="","",ROUND(IF(D689="",0,D689)*T689,2))</f>
        <v>0</v>
      </c>
      <c r="V689" s="20">
        <f>IF(B689="","",ROUND(U689-IF(G689="",0,G689)-IF(L689="",0,L689),2))</f>
        <v>0</v>
      </c>
      <c r="W689" s="20">
        <f>IF(C689="","",IFERROR(INDEX(Products!$AT$5:$AT$304,MATCH(C689,Products!$A$5:$A$304,0)),""))</f>
        <v>0</v>
      </c>
      <c r="X689" s="20">
        <f>IF(C689="","",IFERROR(INDEX(Products!$AG$5:$AG$304,MATCH(C689,Products!$A$5:$A$304,0)),""))</f>
        <v>0</v>
      </c>
      <c r="Y689" s="20">
        <f>IF(B689="","",ROUND(IF(D689="",0,D689)*MAX(0,IF(W689="",0,W689)-IF(X689="",0,X689)),2))</f>
        <v>0</v>
      </c>
      <c r="Z689" s="20">
        <f>IF(B689="","",ROUND(MAX(0,IF(J689="",0,J689)-IF(I689="",0,I689)),2))</f>
        <v>0</v>
      </c>
      <c r="AA689" s="33">
        <f>IF(B689="","",IFERROR(INDEX(Channels!$S$5:$S$18,MATCH(IF(E689="",DefaultChannel,E689),Channels!$A$5:$A$18,0)),0))</f>
        <v>0</v>
      </c>
      <c r="AB689" s="20">
        <f>IF(B689="","",IFERROR(INDEX(Channels!$T$5:$T$18,MATCH(IF(E689="",DefaultChannel,E689),Channels!$A$5:$A$18,0)),0))</f>
        <v>0</v>
      </c>
      <c r="AC689" s="42">
        <f>IF(B689="","",IFERROR(INDEX(Channels!$O$5:$O$18,MATCH(IF(E689="",DefaultChannel,E689),Channels!$A$5:$A$18,0)),"No"))</f>
        <v>0</v>
      </c>
      <c r="AD689" s="20">
        <f>IF(B689="","",ROUND((V689+IF(AC689="Yes",IF(I689="",0,I689),0))*AA689+AB689,2))</f>
        <v>0</v>
      </c>
      <c r="AE689" s="20">
        <f>IF(B689="","",IF(K689&lt;&gt;"",K689,AD689))</f>
        <v>0</v>
      </c>
      <c r="AF689" s="20">
        <f>IF(B689="","",IF(K689="","",ROUND(K689-AD689,2)))</f>
        <v>0</v>
      </c>
      <c r="AG689" s="20">
        <f>IF(B689="","",ROUND(V689-Y689-AE689-Z689,2))</f>
        <v>0</v>
      </c>
      <c r="AH689" s="33">
        <f>IF(B689="","",IF(OR(V689="",V689=0),"",AG689/V689))</f>
        <v>0</v>
      </c>
      <c r="AI689" s="33">
        <f>IF(C689="","",IFERROR(INDEX(Products!$AW$5:$AW$304,MATCH(C689,Products!$A$5:$A$304,0)),""))</f>
        <v>0</v>
      </c>
      <c r="AJ689" s="33">
        <f>IF(B689="","",IF(OR(AH689="",AI689=""),"",AH689-AI689))</f>
        <v>0</v>
      </c>
      <c r="AK689" s="41">
        <f>IF(B689="","",IFERROR(ROUND(IF(D689="",0,D689)*INDEX(Products!$X$5:$X$304,MATCH(C689,Products!$A$5:$A$304,0))/60,2),""))</f>
        <v>0</v>
      </c>
      <c r="AL689" s="20">
        <f>IF(B689="","",IF(OR(AK689="",AK689=0),"",ROUND(AG689/AK689,2)))</f>
        <v>0</v>
      </c>
      <c r="AM689" s="43">
        <f>IF(B689="","",IF(C689="","Add - which product?",IF(AG689&lt;0,"Loss - this order cost you money",IF(M689="Refunded","Refunded - check why",IF(AND(AF689&lt;&gt;"",AF689&gt;0.25),"Check - fees higher than your settings",IF(Z689&gt;1,"Check - postage is eating the margin",IF(AND(AH689&lt;&gt;"",AH689&lt;MarginWarning),"Low margin on this order","OK")))))) )</f>
        <v>0</v>
      </c>
    </row>
    <row r="690" spans="1:39">
      <c r="A690" s="38">
        <f>IF(B690="","",SalePrefix&amp;TEXT(ROW()-4,"0000"))</f>
        <v>0</v>
      </c>
      <c r="Q690" s="13">
        <f>IF(C690="","",IFERROR(INDEX(Products!$B$5:$B$304,MATCH(C690,Products!$A$5:$A$304,0)),"Bundle or deleted"))</f>
        <v>0</v>
      </c>
      <c r="R690" s="13">
        <f>IF(B690="","",TEXT(B690,"yyyy-mm"))</f>
        <v>0</v>
      </c>
      <c r="S690" s="20">
        <f>IF(C690="","",IFERROR(INDEX(Products!$AR$5:$AR$304,MATCH(C690,Products!$A$5:$A$304,0)),""))</f>
        <v>0</v>
      </c>
      <c r="T690" s="20">
        <f>IF(B690="","",IF(F690&lt;&gt;"",F690,IF(S690="",0,S690)))</f>
        <v>0</v>
      </c>
      <c r="U690" s="20">
        <f>IF(B690="","",ROUND(IF(D690="",0,D690)*T690,2))</f>
        <v>0</v>
      </c>
      <c r="V690" s="20">
        <f>IF(B690="","",ROUND(U690-IF(G690="",0,G690)-IF(L690="",0,L690),2))</f>
        <v>0</v>
      </c>
      <c r="W690" s="20">
        <f>IF(C690="","",IFERROR(INDEX(Products!$AT$5:$AT$304,MATCH(C690,Products!$A$5:$A$304,0)),""))</f>
        <v>0</v>
      </c>
      <c r="X690" s="20">
        <f>IF(C690="","",IFERROR(INDEX(Products!$AG$5:$AG$304,MATCH(C690,Products!$A$5:$A$304,0)),""))</f>
        <v>0</v>
      </c>
      <c r="Y690" s="20">
        <f>IF(B690="","",ROUND(IF(D690="",0,D690)*MAX(0,IF(W690="",0,W690)-IF(X690="",0,X690)),2))</f>
        <v>0</v>
      </c>
      <c r="Z690" s="20">
        <f>IF(B690="","",ROUND(MAX(0,IF(J690="",0,J690)-IF(I690="",0,I690)),2))</f>
        <v>0</v>
      </c>
      <c r="AA690" s="33">
        <f>IF(B690="","",IFERROR(INDEX(Channels!$S$5:$S$18,MATCH(IF(E690="",DefaultChannel,E690),Channels!$A$5:$A$18,0)),0))</f>
        <v>0</v>
      </c>
      <c r="AB690" s="20">
        <f>IF(B690="","",IFERROR(INDEX(Channels!$T$5:$T$18,MATCH(IF(E690="",DefaultChannel,E690),Channels!$A$5:$A$18,0)),0))</f>
        <v>0</v>
      </c>
      <c r="AC690" s="42">
        <f>IF(B690="","",IFERROR(INDEX(Channels!$O$5:$O$18,MATCH(IF(E690="",DefaultChannel,E690),Channels!$A$5:$A$18,0)),"No"))</f>
        <v>0</v>
      </c>
      <c r="AD690" s="20">
        <f>IF(B690="","",ROUND((V690+IF(AC690="Yes",IF(I690="",0,I690),0))*AA690+AB690,2))</f>
        <v>0</v>
      </c>
      <c r="AE690" s="20">
        <f>IF(B690="","",IF(K690&lt;&gt;"",K690,AD690))</f>
        <v>0</v>
      </c>
      <c r="AF690" s="20">
        <f>IF(B690="","",IF(K690="","",ROUND(K690-AD690,2)))</f>
        <v>0</v>
      </c>
      <c r="AG690" s="20">
        <f>IF(B690="","",ROUND(V690-Y690-AE690-Z690,2))</f>
        <v>0</v>
      </c>
      <c r="AH690" s="33">
        <f>IF(B690="","",IF(OR(V690="",V690=0),"",AG690/V690))</f>
        <v>0</v>
      </c>
      <c r="AI690" s="33">
        <f>IF(C690="","",IFERROR(INDEX(Products!$AW$5:$AW$304,MATCH(C690,Products!$A$5:$A$304,0)),""))</f>
        <v>0</v>
      </c>
      <c r="AJ690" s="33">
        <f>IF(B690="","",IF(OR(AH690="",AI690=""),"",AH690-AI690))</f>
        <v>0</v>
      </c>
      <c r="AK690" s="41">
        <f>IF(B690="","",IFERROR(ROUND(IF(D690="",0,D690)*INDEX(Products!$X$5:$X$304,MATCH(C690,Products!$A$5:$A$304,0))/60,2),""))</f>
        <v>0</v>
      </c>
      <c r="AL690" s="20">
        <f>IF(B690="","",IF(OR(AK690="",AK690=0),"",ROUND(AG690/AK690,2)))</f>
        <v>0</v>
      </c>
      <c r="AM690" s="43">
        <f>IF(B690="","",IF(C690="","Add - which product?",IF(AG690&lt;0,"Loss - this order cost you money",IF(M690="Refunded","Refunded - check why",IF(AND(AF690&lt;&gt;"",AF690&gt;0.25),"Check - fees higher than your settings",IF(Z690&gt;1,"Check - postage is eating the margin",IF(AND(AH690&lt;&gt;"",AH690&lt;MarginWarning),"Low margin on this order","OK")))))) )</f>
        <v>0</v>
      </c>
    </row>
    <row r="691" spans="1:39">
      <c r="A691" s="38">
        <f>IF(B691="","",SalePrefix&amp;TEXT(ROW()-4,"0000"))</f>
        <v>0</v>
      </c>
      <c r="Q691" s="13">
        <f>IF(C691="","",IFERROR(INDEX(Products!$B$5:$B$304,MATCH(C691,Products!$A$5:$A$304,0)),"Bundle or deleted"))</f>
        <v>0</v>
      </c>
      <c r="R691" s="13">
        <f>IF(B691="","",TEXT(B691,"yyyy-mm"))</f>
        <v>0</v>
      </c>
      <c r="S691" s="20">
        <f>IF(C691="","",IFERROR(INDEX(Products!$AR$5:$AR$304,MATCH(C691,Products!$A$5:$A$304,0)),""))</f>
        <v>0</v>
      </c>
      <c r="T691" s="20">
        <f>IF(B691="","",IF(F691&lt;&gt;"",F691,IF(S691="",0,S691)))</f>
        <v>0</v>
      </c>
      <c r="U691" s="20">
        <f>IF(B691="","",ROUND(IF(D691="",0,D691)*T691,2))</f>
        <v>0</v>
      </c>
      <c r="V691" s="20">
        <f>IF(B691="","",ROUND(U691-IF(G691="",0,G691)-IF(L691="",0,L691),2))</f>
        <v>0</v>
      </c>
      <c r="W691" s="20">
        <f>IF(C691="","",IFERROR(INDEX(Products!$AT$5:$AT$304,MATCH(C691,Products!$A$5:$A$304,0)),""))</f>
        <v>0</v>
      </c>
      <c r="X691" s="20">
        <f>IF(C691="","",IFERROR(INDEX(Products!$AG$5:$AG$304,MATCH(C691,Products!$A$5:$A$304,0)),""))</f>
        <v>0</v>
      </c>
      <c r="Y691" s="20">
        <f>IF(B691="","",ROUND(IF(D691="",0,D691)*MAX(0,IF(W691="",0,W691)-IF(X691="",0,X691)),2))</f>
        <v>0</v>
      </c>
      <c r="Z691" s="20">
        <f>IF(B691="","",ROUND(MAX(0,IF(J691="",0,J691)-IF(I691="",0,I691)),2))</f>
        <v>0</v>
      </c>
      <c r="AA691" s="33">
        <f>IF(B691="","",IFERROR(INDEX(Channels!$S$5:$S$18,MATCH(IF(E691="",DefaultChannel,E691),Channels!$A$5:$A$18,0)),0))</f>
        <v>0</v>
      </c>
      <c r="AB691" s="20">
        <f>IF(B691="","",IFERROR(INDEX(Channels!$T$5:$T$18,MATCH(IF(E691="",DefaultChannel,E691),Channels!$A$5:$A$18,0)),0))</f>
        <v>0</v>
      </c>
      <c r="AC691" s="42">
        <f>IF(B691="","",IFERROR(INDEX(Channels!$O$5:$O$18,MATCH(IF(E691="",DefaultChannel,E691),Channels!$A$5:$A$18,0)),"No"))</f>
        <v>0</v>
      </c>
      <c r="AD691" s="20">
        <f>IF(B691="","",ROUND((V691+IF(AC691="Yes",IF(I691="",0,I691),0))*AA691+AB691,2))</f>
        <v>0</v>
      </c>
      <c r="AE691" s="20">
        <f>IF(B691="","",IF(K691&lt;&gt;"",K691,AD691))</f>
        <v>0</v>
      </c>
      <c r="AF691" s="20">
        <f>IF(B691="","",IF(K691="","",ROUND(K691-AD691,2)))</f>
        <v>0</v>
      </c>
      <c r="AG691" s="20">
        <f>IF(B691="","",ROUND(V691-Y691-AE691-Z691,2))</f>
        <v>0</v>
      </c>
      <c r="AH691" s="33">
        <f>IF(B691="","",IF(OR(V691="",V691=0),"",AG691/V691))</f>
        <v>0</v>
      </c>
      <c r="AI691" s="33">
        <f>IF(C691="","",IFERROR(INDEX(Products!$AW$5:$AW$304,MATCH(C691,Products!$A$5:$A$304,0)),""))</f>
        <v>0</v>
      </c>
      <c r="AJ691" s="33">
        <f>IF(B691="","",IF(OR(AH691="",AI691=""),"",AH691-AI691))</f>
        <v>0</v>
      </c>
      <c r="AK691" s="41">
        <f>IF(B691="","",IFERROR(ROUND(IF(D691="",0,D691)*INDEX(Products!$X$5:$X$304,MATCH(C691,Products!$A$5:$A$304,0))/60,2),""))</f>
        <v>0</v>
      </c>
      <c r="AL691" s="20">
        <f>IF(B691="","",IF(OR(AK691="",AK691=0),"",ROUND(AG691/AK691,2)))</f>
        <v>0</v>
      </c>
      <c r="AM691" s="43">
        <f>IF(B691="","",IF(C691="","Add - which product?",IF(AG691&lt;0,"Loss - this order cost you money",IF(M691="Refunded","Refunded - check why",IF(AND(AF691&lt;&gt;"",AF691&gt;0.25),"Check - fees higher than your settings",IF(Z691&gt;1,"Check - postage is eating the margin",IF(AND(AH691&lt;&gt;"",AH691&lt;MarginWarning),"Low margin on this order","OK")))))) )</f>
        <v>0</v>
      </c>
    </row>
    <row r="692" spans="1:39">
      <c r="A692" s="38">
        <f>IF(B692="","",SalePrefix&amp;TEXT(ROW()-4,"0000"))</f>
        <v>0</v>
      </c>
      <c r="Q692" s="13">
        <f>IF(C692="","",IFERROR(INDEX(Products!$B$5:$B$304,MATCH(C692,Products!$A$5:$A$304,0)),"Bundle or deleted"))</f>
        <v>0</v>
      </c>
      <c r="R692" s="13">
        <f>IF(B692="","",TEXT(B692,"yyyy-mm"))</f>
        <v>0</v>
      </c>
      <c r="S692" s="20">
        <f>IF(C692="","",IFERROR(INDEX(Products!$AR$5:$AR$304,MATCH(C692,Products!$A$5:$A$304,0)),""))</f>
        <v>0</v>
      </c>
      <c r="T692" s="20">
        <f>IF(B692="","",IF(F692&lt;&gt;"",F692,IF(S692="",0,S692)))</f>
        <v>0</v>
      </c>
      <c r="U692" s="20">
        <f>IF(B692="","",ROUND(IF(D692="",0,D692)*T692,2))</f>
        <v>0</v>
      </c>
      <c r="V692" s="20">
        <f>IF(B692="","",ROUND(U692-IF(G692="",0,G692)-IF(L692="",0,L692),2))</f>
        <v>0</v>
      </c>
      <c r="W692" s="20">
        <f>IF(C692="","",IFERROR(INDEX(Products!$AT$5:$AT$304,MATCH(C692,Products!$A$5:$A$304,0)),""))</f>
        <v>0</v>
      </c>
      <c r="X692" s="20">
        <f>IF(C692="","",IFERROR(INDEX(Products!$AG$5:$AG$304,MATCH(C692,Products!$A$5:$A$304,0)),""))</f>
        <v>0</v>
      </c>
      <c r="Y692" s="20">
        <f>IF(B692="","",ROUND(IF(D692="",0,D692)*MAX(0,IF(W692="",0,W692)-IF(X692="",0,X692)),2))</f>
        <v>0</v>
      </c>
      <c r="Z692" s="20">
        <f>IF(B692="","",ROUND(MAX(0,IF(J692="",0,J692)-IF(I692="",0,I692)),2))</f>
        <v>0</v>
      </c>
      <c r="AA692" s="33">
        <f>IF(B692="","",IFERROR(INDEX(Channels!$S$5:$S$18,MATCH(IF(E692="",DefaultChannel,E692),Channels!$A$5:$A$18,0)),0))</f>
        <v>0</v>
      </c>
      <c r="AB692" s="20">
        <f>IF(B692="","",IFERROR(INDEX(Channels!$T$5:$T$18,MATCH(IF(E692="",DefaultChannel,E692),Channels!$A$5:$A$18,0)),0))</f>
        <v>0</v>
      </c>
      <c r="AC692" s="42">
        <f>IF(B692="","",IFERROR(INDEX(Channels!$O$5:$O$18,MATCH(IF(E692="",DefaultChannel,E692),Channels!$A$5:$A$18,0)),"No"))</f>
        <v>0</v>
      </c>
      <c r="AD692" s="20">
        <f>IF(B692="","",ROUND((V692+IF(AC692="Yes",IF(I692="",0,I692),0))*AA692+AB692,2))</f>
        <v>0</v>
      </c>
      <c r="AE692" s="20">
        <f>IF(B692="","",IF(K692&lt;&gt;"",K692,AD692))</f>
        <v>0</v>
      </c>
      <c r="AF692" s="20">
        <f>IF(B692="","",IF(K692="","",ROUND(K692-AD692,2)))</f>
        <v>0</v>
      </c>
      <c r="AG692" s="20">
        <f>IF(B692="","",ROUND(V692-Y692-AE692-Z692,2))</f>
        <v>0</v>
      </c>
      <c r="AH692" s="33">
        <f>IF(B692="","",IF(OR(V692="",V692=0),"",AG692/V692))</f>
        <v>0</v>
      </c>
      <c r="AI692" s="33">
        <f>IF(C692="","",IFERROR(INDEX(Products!$AW$5:$AW$304,MATCH(C692,Products!$A$5:$A$304,0)),""))</f>
        <v>0</v>
      </c>
      <c r="AJ692" s="33">
        <f>IF(B692="","",IF(OR(AH692="",AI692=""),"",AH692-AI692))</f>
        <v>0</v>
      </c>
      <c r="AK692" s="41">
        <f>IF(B692="","",IFERROR(ROUND(IF(D692="",0,D692)*INDEX(Products!$X$5:$X$304,MATCH(C692,Products!$A$5:$A$304,0))/60,2),""))</f>
        <v>0</v>
      </c>
      <c r="AL692" s="20">
        <f>IF(B692="","",IF(OR(AK692="",AK692=0),"",ROUND(AG692/AK692,2)))</f>
        <v>0</v>
      </c>
      <c r="AM692" s="43">
        <f>IF(B692="","",IF(C692="","Add - which product?",IF(AG692&lt;0,"Loss - this order cost you money",IF(M692="Refunded","Refunded - check why",IF(AND(AF692&lt;&gt;"",AF692&gt;0.25),"Check - fees higher than your settings",IF(Z692&gt;1,"Check - postage is eating the margin",IF(AND(AH692&lt;&gt;"",AH692&lt;MarginWarning),"Low margin on this order","OK")))))) )</f>
        <v>0</v>
      </c>
    </row>
    <row r="693" spans="1:39">
      <c r="A693" s="38">
        <f>IF(B693="","",SalePrefix&amp;TEXT(ROW()-4,"0000"))</f>
        <v>0</v>
      </c>
      <c r="Q693" s="13">
        <f>IF(C693="","",IFERROR(INDEX(Products!$B$5:$B$304,MATCH(C693,Products!$A$5:$A$304,0)),"Bundle or deleted"))</f>
        <v>0</v>
      </c>
      <c r="R693" s="13">
        <f>IF(B693="","",TEXT(B693,"yyyy-mm"))</f>
        <v>0</v>
      </c>
      <c r="S693" s="20">
        <f>IF(C693="","",IFERROR(INDEX(Products!$AR$5:$AR$304,MATCH(C693,Products!$A$5:$A$304,0)),""))</f>
        <v>0</v>
      </c>
      <c r="T693" s="20">
        <f>IF(B693="","",IF(F693&lt;&gt;"",F693,IF(S693="",0,S693)))</f>
        <v>0</v>
      </c>
      <c r="U693" s="20">
        <f>IF(B693="","",ROUND(IF(D693="",0,D693)*T693,2))</f>
        <v>0</v>
      </c>
      <c r="V693" s="20">
        <f>IF(B693="","",ROUND(U693-IF(G693="",0,G693)-IF(L693="",0,L693),2))</f>
        <v>0</v>
      </c>
      <c r="W693" s="20">
        <f>IF(C693="","",IFERROR(INDEX(Products!$AT$5:$AT$304,MATCH(C693,Products!$A$5:$A$304,0)),""))</f>
        <v>0</v>
      </c>
      <c r="X693" s="20">
        <f>IF(C693="","",IFERROR(INDEX(Products!$AG$5:$AG$304,MATCH(C693,Products!$A$5:$A$304,0)),""))</f>
        <v>0</v>
      </c>
      <c r="Y693" s="20">
        <f>IF(B693="","",ROUND(IF(D693="",0,D693)*MAX(0,IF(W693="",0,W693)-IF(X693="",0,X693)),2))</f>
        <v>0</v>
      </c>
      <c r="Z693" s="20">
        <f>IF(B693="","",ROUND(MAX(0,IF(J693="",0,J693)-IF(I693="",0,I693)),2))</f>
        <v>0</v>
      </c>
      <c r="AA693" s="33">
        <f>IF(B693="","",IFERROR(INDEX(Channels!$S$5:$S$18,MATCH(IF(E693="",DefaultChannel,E693),Channels!$A$5:$A$18,0)),0))</f>
        <v>0</v>
      </c>
      <c r="AB693" s="20">
        <f>IF(B693="","",IFERROR(INDEX(Channels!$T$5:$T$18,MATCH(IF(E693="",DefaultChannel,E693),Channels!$A$5:$A$18,0)),0))</f>
        <v>0</v>
      </c>
      <c r="AC693" s="42">
        <f>IF(B693="","",IFERROR(INDEX(Channels!$O$5:$O$18,MATCH(IF(E693="",DefaultChannel,E693),Channels!$A$5:$A$18,0)),"No"))</f>
        <v>0</v>
      </c>
      <c r="AD693" s="20">
        <f>IF(B693="","",ROUND((V693+IF(AC693="Yes",IF(I693="",0,I693),0))*AA693+AB693,2))</f>
        <v>0</v>
      </c>
      <c r="AE693" s="20">
        <f>IF(B693="","",IF(K693&lt;&gt;"",K693,AD693))</f>
        <v>0</v>
      </c>
      <c r="AF693" s="20">
        <f>IF(B693="","",IF(K693="","",ROUND(K693-AD693,2)))</f>
        <v>0</v>
      </c>
      <c r="AG693" s="20">
        <f>IF(B693="","",ROUND(V693-Y693-AE693-Z693,2))</f>
        <v>0</v>
      </c>
      <c r="AH693" s="33">
        <f>IF(B693="","",IF(OR(V693="",V693=0),"",AG693/V693))</f>
        <v>0</v>
      </c>
      <c r="AI693" s="33">
        <f>IF(C693="","",IFERROR(INDEX(Products!$AW$5:$AW$304,MATCH(C693,Products!$A$5:$A$304,0)),""))</f>
        <v>0</v>
      </c>
      <c r="AJ693" s="33">
        <f>IF(B693="","",IF(OR(AH693="",AI693=""),"",AH693-AI693))</f>
        <v>0</v>
      </c>
      <c r="AK693" s="41">
        <f>IF(B693="","",IFERROR(ROUND(IF(D693="",0,D693)*INDEX(Products!$X$5:$X$304,MATCH(C693,Products!$A$5:$A$304,0))/60,2),""))</f>
        <v>0</v>
      </c>
      <c r="AL693" s="20">
        <f>IF(B693="","",IF(OR(AK693="",AK693=0),"",ROUND(AG693/AK693,2)))</f>
        <v>0</v>
      </c>
      <c r="AM693" s="43">
        <f>IF(B693="","",IF(C693="","Add - which product?",IF(AG693&lt;0,"Loss - this order cost you money",IF(M693="Refunded","Refunded - check why",IF(AND(AF693&lt;&gt;"",AF693&gt;0.25),"Check - fees higher than your settings",IF(Z693&gt;1,"Check - postage is eating the margin",IF(AND(AH693&lt;&gt;"",AH693&lt;MarginWarning),"Low margin on this order","OK")))))) )</f>
        <v>0</v>
      </c>
    </row>
    <row r="694" spans="1:39">
      <c r="A694" s="38">
        <f>IF(B694="","",SalePrefix&amp;TEXT(ROW()-4,"0000"))</f>
        <v>0</v>
      </c>
      <c r="Q694" s="13">
        <f>IF(C694="","",IFERROR(INDEX(Products!$B$5:$B$304,MATCH(C694,Products!$A$5:$A$304,0)),"Bundle or deleted"))</f>
        <v>0</v>
      </c>
      <c r="R694" s="13">
        <f>IF(B694="","",TEXT(B694,"yyyy-mm"))</f>
        <v>0</v>
      </c>
      <c r="S694" s="20">
        <f>IF(C694="","",IFERROR(INDEX(Products!$AR$5:$AR$304,MATCH(C694,Products!$A$5:$A$304,0)),""))</f>
        <v>0</v>
      </c>
      <c r="T694" s="20">
        <f>IF(B694="","",IF(F694&lt;&gt;"",F694,IF(S694="",0,S694)))</f>
        <v>0</v>
      </c>
      <c r="U694" s="20">
        <f>IF(B694="","",ROUND(IF(D694="",0,D694)*T694,2))</f>
        <v>0</v>
      </c>
      <c r="V694" s="20">
        <f>IF(B694="","",ROUND(U694-IF(G694="",0,G694)-IF(L694="",0,L694),2))</f>
        <v>0</v>
      </c>
      <c r="W694" s="20">
        <f>IF(C694="","",IFERROR(INDEX(Products!$AT$5:$AT$304,MATCH(C694,Products!$A$5:$A$304,0)),""))</f>
        <v>0</v>
      </c>
      <c r="X694" s="20">
        <f>IF(C694="","",IFERROR(INDEX(Products!$AG$5:$AG$304,MATCH(C694,Products!$A$5:$A$304,0)),""))</f>
        <v>0</v>
      </c>
      <c r="Y694" s="20">
        <f>IF(B694="","",ROUND(IF(D694="",0,D694)*MAX(0,IF(W694="",0,W694)-IF(X694="",0,X694)),2))</f>
        <v>0</v>
      </c>
      <c r="Z694" s="20">
        <f>IF(B694="","",ROUND(MAX(0,IF(J694="",0,J694)-IF(I694="",0,I694)),2))</f>
        <v>0</v>
      </c>
      <c r="AA694" s="33">
        <f>IF(B694="","",IFERROR(INDEX(Channels!$S$5:$S$18,MATCH(IF(E694="",DefaultChannel,E694),Channels!$A$5:$A$18,0)),0))</f>
        <v>0</v>
      </c>
      <c r="AB694" s="20">
        <f>IF(B694="","",IFERROR(INDEX(Channels!$T$5:$T$18,MATCH(IF(E694="",DefaultChannel,E694),Channels!$A$5:$A$18,0)),0))</f>
        <v>0</v>
      </c>
      <c r="AC694" s="42">
        <f>IF(B694="","",IFERROR(INDEX(Channels!$O$5:$O$18,MATCH(IF(E694="",DefaultChannel,E694),Channels!$A$5:$A$18,0)),"No"))</f>
        <v>0</v>
      </c>
      <c r="AD694" s="20">
        <f>IF(B694="","",ROUND((V694+IF(AC694="Yes",IF(I694="",0,I694),0))*AA694+AB694,2))</f>
        <v>0</v>
      </c>
      <c r="AE694" s="20">
        <f>IF(B694="","",IF(K694&lt;&gt;"",K694,AD694))</f>
        <v>0</v>
      </c>
      <c r="AF694" s="20">
        <f>IF(B694="","",IF(K694="","",ROUND(K694-AD694,2)))</f>
        <v>0</v>
      </c>
      <c r="AG694" s="20">
        <f>IF(B694="","",ROUND(V694-Y694-AE694-Z694,2))</f>
        <v>0</v>
      </c>
      <c r="AH694" s="33">
        <f>IF(B694="","",IF(OR(V694="",V694=0),"",AG694/V694))</f>
        <v>0</v>
      </c>
      <c r="AI694" s="33">
        <f>IF(C694="","",IFERROR(INDEX(Products!$AW$5:$AW$304,MATCH(C694,Products!$A$5:$A$304,0)),""))</f>
        <v>0</v>
      </c>
      <c r="AJ694" s="33">
        <f>IF(B694="","",IF(OR(AH694="",AI694=""),"",AH694-AI694))</f>
        <v>0</v>
      </c>
      <c r="AK694" s="41">
        <f>IF(B694="","",IFERROR(ROUND(IF(D694="",0,D694)*INDEX(Products!$X$5:$X$304,MATCH(C694,Products!$A$5:$A$304,0))/60,2),""))</f>
        <v>0</v>
      </c>
      <c r="AL694" s="20">
        <f>IF(B694="","",IF(OR(AK694="",AK694=0),"",ROUND(AG694/AK694,2)))</f>
        <v>0</v>
      </c>
      <c r="AM694" s="43">
        <f>IF(B694="","",IF(C694="","Add - which product?",IF(AG694&lt;0,"Loss - this order cost you money",IF(M694="Refunded","Refunded - check why",IF(AND(AF694&lt;&gt;"",AF694&gt;0.25),"Check - fees higher than your settings",IF(Z694&gt;1,"Check - postage is eating the margin",IF(AND(AH694&lt;&gt;"",AH694&lt;MarginWarning),"Low margin on this order","OK")))))) )</f>
        <v>0</v>
      </c>
    </row>
    <row r="695" spans="1:39">
      <c r="A695" s="38">
        <f>IF(B695="","",SalePrefix&amp;TEXT(ROW()-4,"0000"))</f>
        <v>0</v>
      </c>
      <c r="Q695" s="13">
        <f>IF(C695="","",IFERROR(INDEX(Products!$B$5:$B$304,MATCH(C695,Products!$A$5:$A$304,0)),"Bundle or deleted"))</f>
        <v>0</v>
      </c>
      <c r="R695" s="13">
        <f>IF(B695="","",TEXT(B695,"yyyy-mm"))</f>
        <v>0</v>
      </c>
      <c r="S695" s="20">
        <f>IF(C695="","",IFERROR(INDEX(Products!$AR$5:$AR$304,MATCH(C695,Products!$A$5:$A$304,0)),""))</f>
        <v>0</v>
      </c>
      <c r="T695" s="20">
        <f>IF(B695="","",IF(F695&lt;&gt;"",F695,IF(S695="",0,S695)))</f>
        <v>0</v>
      </c>
      <c r="U695" s="20">
        <f>IF(B695="","",ROUND(IF(D695="",0,D695)*T695,2))</f>
        <v>0</v>
      </c>
      <c r="V695" s="20">
        <f>IF(B695="","",ROUND(U695-IF(G695="",0,G695)-IF(L695="",0,L695),2))</f>
        <v>0</v>
      </c>
      <c r="W695" s="20">
        <f>IF(C695="","",IFERROR(INDEX(Products!$AT$5:$AT$304,MATCH(C695,Products!$A$5:$A$304,0)),""))</f>
        <v>0</v>
      </c>
      <c r="X695" s="20">
        <f>IF(C695="","",IFERROR(INDEX(Products!$AG$5:$AG$304,MATCH(C695,Products!$A$5:$A$304,0)),""))</f>
        <v>0</v>
      </c>
      <c r="Y695" s="20">
        <f>IF(B695="","",ROUND(IF(D695="",0,D695)*MAX(0,IF(W695="",0,W695)-IF(X695="",0,X695)),2))</f>
        <v>0</v>
      </c>
      <c r="Z695" s="20">
        <f>IF(B695="","",ROUND(MAX(0,IF(J695="",0,J695)-IF(I695="",0,I695)),2))</f>
        <v>0</v>
      </c>
      <c r="AA695" s="33">
        <f>IF(B695="","",IFERROR(INDEX(Channels!$S$5:$S$18,MATCH(IF(E695="",DefaultChannel,E695),Channels!$A$5:$A$18,0)),0))</f>
        <v>0</v>
      </c>
      <c r="AB695" s="20">
        <f>IF(B695="","",IFERROR(INDEX(Channels!$T$5:$T$18,MATCH(IF(E695="",DefaultChannel,E695),Channels!$A$5:$A$18,0)),0))</f>
        <v>0</v>
      </c>
      <c r="AC695" s="42">
        <f>IF(B695="","",IFERROR(INDEX(Channels!$O$5:$O$18,MATCH(IF(E695="",DefaultChannel,E695),Channels!$A$5:$A$18,0)),"No"))</f>
        <v>0</v>
      </c>
      <c r="AD695" s="20">
        <f>IF(B695="","",ROUND((V695+IF(AC695="Yes",IF(I695="",0,I695),0))*AA695+AB695,2))</f>
        <v>0</v>
      </c>
      <c r="AE695" s="20">
        <f>IF(B695="","",IF(K695&lt;&gt;"",K695,AD695))</f>
        <v>0</v>
      </c>
      <c r="AF695" s="20">
        <f>IF(B695="","",IF(K695="","",ROUND(K695-AD695,2)))</f>
        <v>0</v>
      </c>
      <c r="AG695" s="20">
        <f>IF(B695="","",ROUND(V695-Y695-AE695-Z695,2))</f>
        <v>0</v>
      </c>
      <c r="AH695" s="33">
        <f>IF(B695="","",IF(OR(V695="",V695=0),"",AG695/V695))</f>
        <v>0</v>
      </c>
      <c r="AI695" s="33">
        <f>IF(C695="","",IFERROR(INDEX(Products!$AW$5:$AW$304,MATCH(C695,Products!$A$5:$A$304,0)),""))</f>
        <v>0</v>
      </c>
      <c r="AJ695" s="33">
        <f>IF(B695="","",IF(OR(AH695="",AI695=""),"",AH695-AI695))</f>
        <v>0</v>
      </c>
      <c r="AK695" s="41">
        <f>IF(B695="","",IFERROR(ROUND(IF(D695="",0,D695)*INDEX(Products!$X$5:$X$304,MATCH(C695,Products!$A$5:$A$304,0))/60,2),""))</f>
        <v>0</v>
      </c>
      <c r="AL695" s="20">
        <f>IF(B695="","",IF(OR(AK695="",AK695=0),"",ROUND(AG695/AK695,2)))</f>
        <v>0</v>
      </c>
      <c r="AM695" s="43">
        <f>IF(B695="","",IF(C695="","Add - which product?",IF(AG695&lt;0,"Loss - this order cost you money",IF(M695="Refunded","Refunded - check why",IF(AND(AF695&lt;&gt;"",AF695&gt;0.25),"Check - fees higher than your settings",IF(Z695&gt;1,"Check - postage is eating the margin",IF(AND(AH695&lt;&gt;"",AH695&lt;MarginWarning),"Low margin on this order","OK")))))) )</f>
        <v>0</v>
      </c>
    </row>
    <row r="696" spans="1:39">
      <c r="A696" s="38">
        <f>IF(B696="","",SalePrefix&amp;TEXT(ROW()-4,"0000"))</f>
        <v>0</v>
      </c>
      <c r="Q696" s="13">
        <f>IF(C696="","",IFERROR(INDEX(Products!$B$5:$B$304,MATCH(C696,Products!$A$5:$A$304,0)),"Bundle or deleted"))</f>
        <v>0</v>
      </c>
      <c r="R696" s="13">
        <f>IF(B696="","",TEXT(B696,"yyyy-mm"))</f>
        <v>0</v>
      </c>
      <c r="S696" s="20">
        <f>IF(C696="","",IFERROR(INDEX(Products!$AR$5:$AR$304,MATCH(C696,Products!$A$5:$A$304,0)),""))</f>
        <v>0</v>
      </c>
      <c r="T696" s="20">
        <f>IF(B696="","",IF(F696&lt;&gt;"",F696,IF(S696="",0,S696)))</f>
        <v>0</v>
      </c>
      <c r="U696" s="20">
        <f>IF(B696="","",ROUND(IF(D696="",0,D696)*T696,2))</f>
        <v>0</v>
      </c>
      <c r="V696" s="20">
        <f>IF(B696="","",ROUND(U696-IF(G696="",0,G696)-IF(L696="",0,L696),2))</f>
        <v>0</v>
      </c>
      <c r="W696" s="20">
        <f>IF(C696="","",IFERROR(INDEX(Products!$AT$5:$AT$304,MATCH(C696,Products!$A$5:$A$304,0)),""))</f>
        <v>0</v>
      </c>
      <c r="X696" s="20">
        <f>IF(C696="","",IFERROR(INDEX(Products!$AG$5:$AG$304,MATCH(C696,Products!$A$5:$A$304,0)),""))</f>
        <v>0</v>
      </c>
      <c r="Y696" s="20">
        <f>IF(B696="","",ROUND(IF(D696="",0,D696)*MAX(0,IF(W696="",0,W696)-IF(X696="",0,X696)),2))</f>
        <v>0</v>
      </c>
      <c r="Z696" s="20">
        <f>IF(B696="","",ROUND(MAX(0,IF(J696="",0,J696)-IF(I696="",0,I696)),2))</f>
        <v>0</v>
      </c>
      <c r="AA696" s="33">
        <f>IF(B696="","",IFERROR(INDEX(Channels!$S$5:$S$18,MATCH(IF(E696="",DefaultChannel,E696),Channels!$A$5:$A$18,0)),0))</f>
        <v>0</v>
      </c>
      <c r="AB696" s="20">
        <f>IF(B696="","",IFERROR(INDEX(Channels!$T$5:$T$18,MATCH(IF(E696="",DefaultChannel,E696),Channels!$A$5:$A$18,0)),0))</f>
        <v>0</v>
      </c>
      <c r="AC696" s="42">
        <f>IF(B696="","",IFERROR(INDEX(Channels!$O$5:$O$18,MATCH(IF(E696="",DefaultChannel,E696),Channels!$A$5:$A$18,0)),"No"))</f>
        <v>0</v>
      </c>
      <c r="AD696" s="20">
        <f>IF(B696="","",ROUND((V696+IF(AC696="Yes",IF(I696="",0,I696),0))*AA696+AB696,2))</f>
        <v>0</v>
      </c>
      <c r="AE696" s="20">
        <f>IF(B696="","",IF(K696&lt;&gt;"",K696,AD696))</f>
        <v>0</v>
      </c>
      <c r="AF696" s="20">
        <f>IF(B696="","",IF(K696="","",ROUND(K696-AD696,2)))</f>
        <v>0</v>
      </c>
      <c r="AG696" s="20">
        <f>IF(B696="","",ROUND(V696-Y696-AE696-Z696,2))</f>
        <v>0</v>
      </c>
      <c r="AH696" s="33">
        <f>IF(B696="","",IF(OR(V696="",V696=0),"",AG696/V696))</f>
        <v>0</v>
      </c>
      <c r="AI696" s="33">
        <f>IF(C696="","",IFERROR(INDEX(Products!$AW$5:$AW$304,MATCH(C696,Products!$A$5:$A$304,0)),""))</f>
        <v>0</v>
      </c>
      <c r="AJ696" s="33">
        <f>IF(B696="","",IF(OR(AH696="",AI696=""),"",AH696-AI696))</f>
        <v>0</v>
      </c>
      <c r="AK696" s="41">
        <f>IF(B696="","",IFERROR(ROUND(IF(D696="",0,D696)*INDEX(Products!$X$5:$X$304,MATCH(C696,Products!$A$5:$A$304,0))/60,2),""))</f>
        <v>0</v>
      </c>
      <c r="AL696" s="20">
        <f>IF(B696="","",IF(OR(AK696="",AK696=0),"",ROUND(AG696/AK696,2)))</f>
        <v>0</v>
      </c>
      <c r="AM696" s="43">
        <f>IF(B696="","",IF(C696="","Add - which product?",IF(AG696&lt;0,"Loss - this order cost you money",IF(M696="Refunded","Refunded - check why",IF(AND(AF696&lt;&gt;"",AF696&gt;0.25),"Check - fees higher than your settings",IF(Z696&gt;1,"Check - postage is eating the margin",IF(AND(AH696&lt;&gt;"",AH696&lt;MarginWarning),"Low margin on this order","OK")))))) )</f>
        <v>0</v>
      </c>
    </row>
    <row r="697" spans="1:39">
      <c r="A697" s="38">
        <f>IF(B697="","",SalePrefix&amp;TEXT(ROW()-4,"0000"))</f>
        <v>0</v>
      </c>
      <c r="Q697" s="13">
        <f>IF(C697="","",IFERROR(INDEX(Products!$B$5:$B$304,MATCH(C697,Products!$A$5:$A$304,0)),"Bundle or deleted"))</f>
        <v>0</v>
      </c>
      <c r="R697" s="13">
        <f>IF(B697="","",TEXT(B697,"yyyy-mm"))</f>
        <v>0</v>
      </c>
      <c r="S697" s="20">
        <f>IF(C697="","",IFERROR(INDEX(Products!$AR$5:$AR$304,MATCH(C697,Products!$A$5:$A$304,0)),""))</f>
        <v>0</v>
      </c>
      <c r="T697" s="20">
        <f>IF(B697="","",IF(F697&lt;&gt;"",F697,IF(S697="",0,S697)))</f>
        <v>0</v>
      </c>
      <c r="U697" s="20">
        <f>IF(B697="","",ROUND(IF(D697="",0,D697)*T697,2))</f>
        <v>0</v>
      </c>
      <c r="V697" s="20">
        <f>IF(B697="","",ROUND(U697-IF(G697="",0,G697)-IF(L697="",0,L697),2))</f>
        <v>0</v>
      </c>
      <c r="W697" s="20">
        <f>IF(C697="","",IFERROR(INDEX(Products!$AT$5:$AT$304,MATCH(C697,Products!$A$5:$A$304,0)),""))</f>
        <v>0</v>
      </c>
      <c r="X697" s="20">
        <f>IF(C697="","",IFERROR(INDEX(Products!$AG$5:$AG$304,MATCH(C697,Products!$A$5:$A$304,0)),""))</f>
        <v>0</v>
      </c>
      <c r="Y697" s="20">
        <f>IF(B697="","",ROUND(IF(D697="",0,D697)*MAX(0,IF(W697="",0,W697)-IF(X697="",0,X697)),2))</f>
        <v>0</v>
      </c>
      <c r="Z697" s="20">
        <f>IF(B697="","",ROUND(MAX(0,IF(J697="",0,J697)-IF(I697="",0,I697)),2))</f>
        <v>0</v>
      </c>
      <c r="AA697" s="33">
        <f>IF(B697="","",IFERROR(INDEX(Channels!$S$5:$S$18,MATCH(IF(E697="",DefaultChannel,E697),Channels!$A$5:$A$18,0)),0))</f>
        <v>0</v>
      </c>
      <c r="AB697" s="20">
        <f>IF(B697="","",IFERROR(INDEX(Channels!$T$5:$T$18,MATCH(IF(E697="",DefaultChannel,E697),Channels!$A$5:$A$18,0)),0))</f>
        <v>0</v>
      </c>
      <c r="AC697" s="42">
        <f>IF(B697="","",IFERROR(INDEX(Channels!$O$5:$O$18,MATCH(IF(E697="",DefaultChannel,E697),Channels!$A$5:$A$18,0)),"No"))</f>
        <v>0</v>
      </c>
      <c r="AD697" s="20">
        <f>IF(B697="","",ROUND((V697+IF(AC697="Yes",IF(I697="",0,I697),0))*AA697+AB697,2))</f>
        <v>0</v>
      </c>
      <c r="AE697" s="20">
        <f>IF(B697="","",IF(K697&lt;&gt;"",K697,AD697))</f>
        <v>0</v>
      </c>
      <c r="AF697" s="20">
        <f>IF(B697="","",IF(K697="","",ROUND(K697-AD697,2)))</f>
        <v>0</v>
      </c>
      <c r="AG697" s="20">
        <f>IF(B697="","",ROUND(V697-Y697-AE697-Z697,2))</f>
        <v>0</v>
      </c>
      <c r="AH697" s="33">
        <f>IF(B697="","",IF(OR(V697="",V697=0),"",AG697/V697))</f>
        <v>0</v>
      </c>
      <c r="AI697" s="33">
        <f>IF(C697="","",IFERROR(INDEX(Products!$AW$5:$AW$304,MATCH(C697,Products!$A$5:$A$304,0)),""))</f>
        <v>0</v>
      </c>
      <c r="AJ697" s="33">
        <f>IF(B697="","",IF(OR(AH697="",AI697=""),"",AH697-AI697))</f>
        <v>0</v>
      </c>
      <c r="AK697" s="41">
        <f>IF(B697="","",IFERROR(ROUND(IF(D697="",0,D697)*INDEX(Products!$X$5:$X$304,MATCH(C697,Products!$A$5:$A$304,0))/60,2),""))</f>
        <v>0</v>
      </c>
      <c r="AL697" s="20">
        <f>IF(B697="","",IF(OR(AK697="",AK697=0),"",ROUND(AG697/AK697,2)))</f>
        <v>0</v>
      </c>
      <c r="AM697" s="43">
        <f>IF(B697="","",IF(C697="","Add - which product?",IF(AG697&lt;0,"Loss - this order cost you money",IF(M697="Refunded","Refunded - check why",IF(AND(AF697&lt;&gt;"",AF697&gt;0.25),"Check - fees higher than your settings",IF(Z697&gt;1,"Check - postage is eating the margin",IF(AND(AH697&lt;&gt;"",AH697&lt;MarginWarning),"Low margin on this order","OK")))))) )</f>
        <v>0</v>
      </c>
    </row>
    <row r="698" spans="1:39">
      <c r="A698" s="38">
        <f>IF(B698="","",SalePrefix&amp;TEXT(ROW()-4,"0000"))</f>
        <v>0</v>
      </c>
      <c r="Q698" s="13">
        <f>IF(C698="","",IFERROR(INDEX(Products!$B$5:$B$304,MATCH(C698,Products!$A$5:$A$304,0)),"Bundle or deleted"))</f>
        <v>0</v>
      </c>
      <c r="R698" s="13">
        <f>IF(B698="","",TEXT(B698,"yyyy-mm"))</f>
        <v>0</v>
      </c>
      <c r="S698" s="20">
        <f>IF(C698="","",IFERROR(INDEX(Products!$AR$5:$AR$304,MATCH(C698,Products!$A$5:$A$304,0)),""))</f>
        <v>0</v>
      </c>
      <c r="T698" s="20">
        <f>IF(B698="","",IF(F698&lt;&gt;"",F698,IF(S698="",0,S698)))</f>
        <v>0</v>
      </c>
      <c r="U698" s="20">
        <f>IF(B698="","",ROUND(IF(D698="",0,D698)*T698,2))</f>
        <v>0</v>
      </c>
      <c r="V698" s="20">
        <f>IF(B698="","",ROUND(U698-IF(G698="",0,G698)-IF(L698="",0,L698),2))</f>
        <v>0</v>
      </c>
      <c r="W698" s="20">
        <f>IF(C698="","",IFERROR(INDEX(Products!$AT$5:$AT$304,MATCH(C698,Products!$A$5:$A$304,0)),""))</f>
        <v>0</v>
      </c>
      <c r="X698" s="20">
        <f>IF(C698="","",IFERROR(INDEX(Products!$AG$5:$AG$304,MATCH(C698,Products!$A$5:$A$304,0)),""))</f>
        <v>0</v>
      </c>
      <c r="Y698" s="20">
        <f>IF(B698="","",ROUND(IF(D698="",0,D698)*MAX(0,IF(W698="",0,W698)-IF(X698="",0,X698)),2))</f>
        <v>0</v>
      </c>
      <c r="Z698" s="20">
        <f>IF(B698="","",ROUND(MAX(0,IF(J698="",0,J698)-IF(I698="",0,I698)),2))</f>
        <v>0</v>
      </c>
      <c r="AA698" s="33">
        <f>IF(B698="","",IFERROR(INDEX(Channels!$S$5:$S$18,MATCH(IF(E698="",DefaultChannel,E698),Channels!$A$5:$A$18,0)),0))</f>
        <v>0</v>
      </c>
      <c r="AB698" s="20">
        <f>IF(B698="","",IFERROR(INDEX(Channels!$T$5:$T$18,MATCH(IF(E698="",DefaultChannel,E698),Channels!$A$5:$A$18,0)),0))</f>
        <v>0</v>
      </c>
      <c r="AC698" s="42">
        <f>IF(B698="","",IFERROR(INDEX(Channels!$O$5:$O$18,MATCH(IF(E698="",DefaultChannel,E698),Channels!$A$5:$A$18,0)),"No"))</f>
        <v>0</v>
      </c>
      <c r="AD698" s="20">
        <f>IF(B698="","",ROUND((V698+IF(AC698="Yes",IF(I698="",0,I698),0))*AA698+AB698,2))</f>
        <v>0</v>
      </c>
      <c r="AE698" s="20">
        <f>IF(B698="","",IF(K698&lt;&gt;"",K698,AD698))</f>
        <v>0</v>
      </c>
      <c r="AF698" s="20">
        <f>IF(B698="","",IF(K698="","",ROUND(K698-AD698,2)))</f>
        <v>0</v>
      </c>
      <c r="AG698" s="20">
        <f>IF(B698="","",ROUND(V698-Y698-AE698-Z698,2))</f>
        <v>0</v>
      </c>
      <c r="AH698" s="33">
        <f>IF(B698="","",IF(OR(V698="",V698=0),"",AG698/V698))</f>
        <v>0</v>
      </c>
      <c r="AI698" s="33">
        <f>IF(C698="","",IFERROR(INDEX(Products!$AW$5:$AW$304,MATCH(C698,Products!$A$5:$A$304,0)),""))</f>
        <v>0</v>
      </c>
      <c r="AJ698" s="33">
        <f>IF(B698="","",IF(OR(AH698="",AI698=""),"",AH698-AI698))</f>
        <v>0</v>
      </c>
      <c r="AK698" s="41">
        <f>IF(B698="","",IFERROR(ROUND(IF(D698="",0,D698)*INDEX(Products!$X$5:$X$304,MATCH(C698,Products!$A$5:$A$304,0))/60,2),""))</f>
        <v>0</v>
      </c>
      <c r="AL698" s="20">
        <f>IF(B698="","",IF(OR(AK698="",AK698=0),"",ROUND(AG698/AK698,2)))</f>
        <v>0</v>
      </c>
      <c r="AM698" s="43">
        <f>IF(B698="","",IF(C698="","Add - which product?",IF(AG698&lt;0,"Loss - this order cost you money",IF(M698="Refunded","Refunded - check why",IF(AND(AF698&lt;&gt;"",AF698&gt;0.25),"Check - fees higher than your settings",IF(Z698&gt;1,"Check - postage is eating the margin",IF(AND(AH698&lt;&gt;"",AH698&lt;MarginWarning),"Low margin on this order","OK")))))) )</f>
        <v>0</v>
      </c>
    </row>
    <row r="699" spans="1:39">
      <c r="A699" s="38">
        <f>IF(B699="","",SalePrefix&amp;TEXT(ROW()-4,"0000"))</f>
        <v>0</v>
      </c>
      <c r="Q699" s="13">
        <f>IF(C699="","",IFERROR(INDEX(Products!$B$5:$B$304,MATCH(C699,Products!$A$5:$A$304,0)),"Bundle or deleted"))</f>
        <v>0</v>
      </c>
      <c r="R699" s="13">
        <f>IF(B699="","",TEXT(B699,"yyyy-mm"))</f>
        <v>0</v>
      </c>
      <c r="S699" s="20">
        <f>IF(C699="","",IFERROR(INDEX(Products!$AR$5:$AR$304,MATCH(C699,Products!$A$5:$A$304,0)),""))</f>
        <v>0</v>
      </c>
      <c r="T699" s="20">
        <f>IF(B699="","",IF(F699&lt;&gt;"",F699,IF(S699="",0,S699)))</f>
        <v>0</v>
      </c>
      <c r="U699" s="20">
        <f>IF(B699="","",ROUND(IF(D699="",0,D699)*T699,2))</f>
        <v>0</v>
      </c>
      <c r="V699" s="20">
        <f>IF(B699="","",ROUND(U699-IF(G699="",0,G699)-IF(L699="",0,L699),2))</f>
        <v>0</v>
      </c>
      <c r="W699" s="20">
        <f>IF(C699="","",IFERROR(INDEX(Products!$AT$5:$AT$304,MATCH(C699,Products!$A$5:$A$304,0)),""))</f>
        <v>0</v>
      </c>
      <c r="X699" s="20">
        <f>IF(C699="","",IFERROR(INDEX(Products!$AG$5:$AG$304,MATCH(C699,Products!$A$5:$A$304,0)),""))</f>
        <v>0</v>
      </c>
      <c r="Y699" s="20">
        <f>IF(B699="","",ROUND(IF(D699="",0,D699)*MAX(0,IF(W699="",0,W699)-IF(X699="",0,X699)),2))</f>
        <v>0</v>
      </c>
      <c r="Z699" s="20">
        <f>IF(B699="","",ROUND(MAX(0,IF(J699="",0,J699)-IF(I699="",0,I699)),2))</f>
        <v>0</v>
      </c>
      <c r="AA699" s="33">
        <f>IF(B699="","",IFERROR(INDEX(Channels!$S$5:$S$18,MATCH(IF(E699="",DefaultChannel,E699),Channels!$A$5:$A$18,0)),0))</f>
        <v>0</v>
      </c>
      <c r="AB699" s="20">
        <f>IF(B699="","",IFERROR(INDEX(Channels!$T$5:$T$18,MATCH(IF(E699="",DefaultChannel,E699),Channels!$A$5:$A$18,0)),0))</f>
        <v>0</v>
      </c>
      <c r="AC699" s="42">
        <f>IF(B699="","",IFERROR(INDEX(Channels!$O$5:$O$18,MATCH(IF(E699="",DefaultChannel,E699),Channels!$A$5:$A$18,0)),"No"))</f>
        <v>0</v>
      </c>
      <c r="AD699" s="20">
        <f>IF(B699="","",ROUND((V699+IF(AC699="Yes",IF(I699="",0,I699),0))*AA699+AB699,2))</f>
        <v>0</v>
      </c>
      <c r="AE699" s="20">
        <f>IF(B699="","",IF(K699&lt;&gt;"",K699,AD699))</f>
        <v>0</v>
      </c>
      <c r="AF699" s="20">
        <f>IF(B699="","",IF(K699="","",ROUND(K699-AD699,2)))</f>
        <v>0</v>
      </c>
      <c r="AG699" s="20">
        <f>IF(B699="","",ROUND(V699-Y699-AE699-Z699,2))</f>
        <v>0</v>
      </c>
      <c r="AH699" s="33">
        <f>IF(B699="","",IF(OR(V699="",V699=0),"",AG699/V699))</f>
        <v>0</v>
      </c>
      <c r="AI699" s="33">
        <f>IF(C699="","",IFERROR(INDEX(Products!$AW$5:$AW$304,MATCH(C699,Products!$A$5:$A$304,0)),""))</f>
        <v>0</v>
      </c>
      <c r="AJ699" s="33">
        <f>IF(B699="","",IF(OR(AH699="",AI699=""),"",AH699-AI699))</f>
        <v>0</v>
      </c>
      <c r="AK699" s="41">
        <f>IF(B699="","",IFERROR(ROUND(IF(D699="",0,D699)*INDEX(Products!$X$5:$X$304,MATCH(C699,Products!$A$5:$A$304,0))/60,2),""))</f>
        <v>0</v>
      </c>
      <c r="AL699" s="20">
        <f>IF(B699="","",IF(OR(AK699="",AK699=0),"",ROUND(AG699/AK699,2)))</f>
        <v>0</v>
      </c>
      <c r="AM699" s="43">
        <f>IF(B699="","",IF(C699="","Add - which product?",IF(AG699&lt;0,"Loss - this order cost you money",IF(M699="Refunded","Refunded - check why",IF(AND(AF699&lt;&gt;"",AF699&gt;0.25),"Check - fees higher than your settings",IF(Z699&gt;1,"Check - postage is eating the margin",IF(AND(AH699&lt;&gt;"",AH699&lt;MarginWarning),"Low margin on this order","OK")))))) )</f>
        <v>0</v>
      </c>
    </row>
    <row r="700" spans="1:39">
      <c r="A700" s="38">
        <f>IF(B700="","",SalePrefix&amp;TEXT(ROW()-4,"0000"))</f>
        <v>0</v>
      </c>
      <c r="Q700" s="13">
        <f>IF(C700="","",IFERROR(INDEX(Products!$B$5:$B$304,MATCH(C700,Products!$A$5:$A$304,0)),"Bundle or deleted"))</f>
        <v>0</v>
      </c>
      <c r="R700" s="13">
        <f>IF(B700="","",TEXT(B700,"yyyy-mm"))</f>
        <v>0</v>
      </c>
      <c r="S700" s="20">
        <f>IF(C700="","",IFERROR(INDEX(Products!$AR$5:$AR$304,MATCH(C700,Products!$A$5:$A$304,0)),""))</f>
        <v>0</v>
      </c>
      <c r="T700" s="20">
        <f>IF(B700="","",IF(F700&lt;&gt;"",F700,IF(S700="",0,S700)))</f>
        <v>0</v>
      </c>
      <c r="U700" s="20">
        <f>IF(B700="","",ROUND(IF(D700="",0,D700)*T700,2))</f>
        <v>0</v>
      </c>
      <c r="V700" s="20">
        <f>IF(B700="","",ROUND(U700-IF(G700="",0,G700)-IF(L700="",0,L700),2))</f>
        <v>0</v>
      </c>
      <c r="W700" s="20">
        <f>IF(C700="","",IFERROR(INDEX(Products!$AT$5:$AT$304,MATCH(C700,Products!$A$5:$A$304,0)),""))</f>
        <v>0</v>
      </c>
      <c r="X700" s="20">
        <f>IF(C700="","",IFERROR(INDEX(Products!$AG$5:$AG$304,MATCH(C700,Products!$A$5:$A$304,0)),""))</f>
        <v>0</v>
      </c>
      <c r="Y700" s="20">
        <f>IF(B700="","",ROUND(IF(D700="",0,D700)*MAX(0,IF(W700="",0,W700)-IF(X700="",0,X700)),2))</f>
        <v>0</v>
      </c>
      <c r="Z700" s="20">
        <f>IF(B700="","",ROUND(MAX(0,IF(J700="",0,J700)-IF(I700="",0,I700)),2))</f>
        <v>0</v>
      </c>
      <c r="AA700" s="33">
        <f>IF(B700="","",IFERROR(INDEX(Channels!$S$5:$S$18,MATCH(IF(E700="",DefaultChannel,E700),Channels!$A$5:$A$18,0)),0))</f>
        <v>0</v>
      </c>
      <c r="AB700" s="20">
        <f>IF(B700="","",IFERROR(INDEX(Channels!$T$5:$T$18,MATCH(IF(E700="",DefaultChannel,E700),Channels!$A$5:$A$18,0)),0))</f>
        <v>0</v>
      </c>
      <c r="AC700" s="42">
        <f>IF(B700="","",IFERROR(INDEX(Channels!$O$5:$O$18,MATCH(IF(E700="",DefaultChannel,E700),Channels!$A$5:$A$18,0)),"No"))</f>
        <v>0</v>
      </c>
      <c r="AD700" s="20">
        <f>IF(B700="","",ROUND((V700+IF(AC700="Yes",IF(I700="",0,I700),0))*AA700+AB700,2))</f>
        <v>0</v>
      </c>
      <c r="AE700" s="20">
        <f>IF(B700="","",IF(K700&lt;&gt;"",K700,AD700))</f>
        <v>0</v>
      </c>
      <c r="AF700" s="20">
        <f>IF(B700="","",IF(K700="","",ROUND(K700-AD700,2)))</f>
        <v>0</v>
      </c>
      <c r="AG700" s="20">
        <f>IF(B700="","",ROUND(V700-Y700-AE700-Z700,2))</f>
        <v>0</v>
      </c>
      <c r="AH700" s="33">
        <f>IF(B700="","",IF(OR(V700="",V700=0),"",AG700/V700))</f>
        <v>0</v>
      </c>
      <c r="AI700" s="33">
        <f>IF(C700="","",IFERROR(INDEX(Products!$AW$5:$AW$304,MATCH(C700,Products!$A$5:$A$304,0)),""))</f>
        <v>0</v>
      </c>
      <c r="AJ700" s="33">
        <f>IF(B700="","",IF(OR(AH700="",AI700=""),"",AH700-AI700))</f>
        <v>0</v>
      </c>
      <c r="AK700" s="41">
        <f>IF(B700="","",IFERROR(ROUND(IF(D700="",0,D700)*INDEX(Products!$X$5:$X$304,MATCH(C700,Products!$A$5:$A$304,0))/60,2),""))</f>
        <v>0</v>
      </c>
      <c r="AL700" s="20">
        <f>IF(B700="","",IF(OR(AK700="",AK700=0),"",ROUND(AG700/AK700,2)))</f>
        <v>0</v>
      </c>
      <c r="AM700" s="43">
        <f>IF(B700="","",IF(C700="","Add - which product?",IF(AG700&lt;0,"Loss - this order cost you money",IF(M700="Refunded","Refunded - check why",IF(AND(AF700&lt;&gt;"",AF700&gt;0.25),"Check - fees higher than your settings",IF(Z700&gt;1,"Check - postage is eating the margin",IF(AND(AH700&lt;&gt;"",AH700&lt;MarginWarning),"Low margin on this order","OK")))))) )</f>
        <v>0</v>
      </c>
    </row>
    <row r="701" spans="1:39">
      <c r="A701" s="38">
        <f>IF(B701="","",SalePrefix&amp;TEXT(ROW()-4,"0000"))</f>
        <v>0</v>
      </c>
      <c r="Q701" s="13">
        <f>IF(C701="","",IFERROR(INDEX(Products!$B$5:$B$304,MATCH(C701,Products!$A$5:$A$304,0)),"Bundle or deleted"))</f>
        <v>0</v>
      </c>
      <c r="R701" s="13">
        <f>IF(B701="","",TEXT(B701,"yyyy-mm"))</f>
        <v>0</v>
      </c>
      <c r="S701" s="20">
        <f>IF(C701="","",IFERROR(INDEX(Products!$AR$5:$AR$304,MATCH(C701,Products!$A$5:$A$304,0)),""))</f>
        <v>0</v>
      </c>
      <c r="T701" s="20">
        <f>IF(B701="","",IF(F701&lt;&gt;"",F701,IF(S701="",0,S701)))</f>
        <v>0</v>
      </c>
      <c r="U701" s="20">
        <f>IF(B701="","",ROUND(IF(D701="",0,D701)*T701,2))</f>
        <v>0</v>
      </c>
      <c r="V701" s="20">
        <f>IF(B701="","",ROUND(U701-IF(G701="",0,G701)-IF(L701="",0,L701),2))</f>
        <v>0</v>
      </c>
      <c r="W701" s="20">
        <f>IF(C701="","",IFERROR(INDEX(Products!$AT$5:$AT$304,MATCH(C701,Products!$A$5:$A$304,0)),""))</f>
        <v>0</v>
      </c>
      <c r="X701" s="20">
        <f>IF(C701="","",IFERROR(INDEX(Products!$AG$5:$AG$304,MATCH(C701,Products!$A$5:$A$304,0)),""))</f>
        <v>0</v>
      </c>
      <c r="Y701" s="20">
        <f>IF(B701="","",ROUND(IF(D701="",0,D701)*MAX(0,IF(W701="",0,W701)-IF(X701="",0,X701)),2))</f>
        <v>0</v>
      </c>
      <c r="Z701" s="20">
        <f>IF(B701="","",ROUND(MAX(0,IF(J701="",0,J701)-IF(I701="",0,I701)),2))</f>
        <v>0</v>
      </c>
      <c r="AA701" s="33">
        <f>IF(B701="","",IFERROR(INDEX(Channels!$S$5:$S$18,MATCH(IF(E701="",DefaultChannel,E701),Channels!$A$5:$A$18,0)),0))</f>
        <v>0</v>
      </c>
      <c r="AB701" s="20">
        <f>IF(B701="","",IFERROR(INDEX(Channels!$T$5:$T$18,MATCH(IF(E701="",DefaultChannel,E701),Channels!$A$5:$A$18,0)),0))</f>
        <v>0</v>
      </c>
      <c r="AC701" s="42">
        <f>IF(B701="","",IFERROR(INDEX(Channels!$O$5:$O$18,MATCH(IF(E701="",DefaultChannel,E701),Channels!$A$5:$A$18,0)),"No"))</f>
        <v>0</v>
      </c>
      <c r="AD701" s="20">
        <f>IF(B701="","",ROUND((V701+IF(AC701="Yes",IF(I701="",0,I701),0))*AA701+AB701,2))</f>
        <v>0</v>
      </c>
      <c r="AE701" s="20">
        <f>IF(B701="","",IF(K701&lt;&gt;"",K701,AD701))</f>
        <v>0</v>
      </c>
      <c r="AF701" s="20">
        <f>IF(B701="","",IF(K701="","",ROUND(K701-AD701,2)))</f>
        <v>0</v>
      </c>
      <c r="AG701" s="20">
        <f>IF(B701="","",ROUND(V701-Y701-AE701-Z701,2))</f>
        <v>0</v>
      </c>
      <c r="AH701" s="33">
        <f>IF(B701="","",IF(OR(V701="",V701=0),"",AG701/V701))</f>
        <v>0</v>
      </c>
      <c r="AI701" s="33">
        <f>IF(C701="","",IFERROR(INDEX(Products!$AW$5:$AW$304,MATCH(C701,Products!$A$5:$A$304,0)),""))</f>
        <v>0</v>
      </c>
      <c r="AJ701" s="33">
        <f>IF(B701="","",IF(OR(AH701="",AI701=""),"",AH701-AI701))</f>
        <v>0</v>
      </c>
      <c r="AK701" s="41">
        <f>IF(B701="","",IFERROR(ROUND(IF(D701="",0,D701)*INDEX(Products!$X$5:$X$304,MATCH(C701,Products!$A$5:$A$304,0))/60,2),""))</f>
        <v>0</v>
      </c>
      <c r="AL701" s="20">
        <f>IF(B701="","",IF(OR(AK701="",AK701=0),"",ROUND(AG701/AK701,2)))</f>
        <v>0</v>
      </c>
      <c r="AM701" s="43">
        <f>IF(B701="","",IF(C701="","Add - which product?",IF(AG701&lt;0,"Loss - this order cost you money",IF(M701="Refunded","Refunded - check why",IF(AND(AF701&lt;&gt;"",AF701&gt;0.25),"Check - fees higher than your settings",IF(Z701&gt;1,"Check - postage is eating the margin",IF(AND(AH701&lt;&gt;"",AH701&lt;MarginWarning),"Low margin on this order","OK")))))) )</f>
        <v>0</v>
      </c>
    </row>
    <row r="702" spans="1:39">
      <c r="A702" s="38">
        <f>IF(B702="","",SalePrefix&amp;TEXT(ROW()-4,"0000"))</f>
        <v>0</v>
      </c>
      <c r="Q702" s="13">
        <f>IF(C702="","",IFERROR(INDEX(Products!$B$5:$B$304,MATCH(C702,Products!$A$5:$A$304,0)),"Bundle or deleted"))</f>
        <v>0</v>
      </c>
      <c r="R702" s="13">
        <f>IF(B702="","",TEXT(B702,"yyyy-mm"))</f>
        <v>0</v>
      </c>
      <c r="S702" s="20">
        <f>IF(C702="","",IFERROR(INDEX(Products!$AR$5:$AR$304,MATCH(C702,Products!$A$5:$A$304,0)),""))</f>
        <v>0</v>
      </c>
      <c r="T702" s="20">
        <f>IF(B702="","",IF(F702&lt;&gt;"",F702,IF(S702="",0,S702)))</f>
        <v>0</v>
      </c>
      <c r="U702" s="20">
        <f>IF(B702="","",ROUND(IF(D702="",0,D702)*T702,2))</f>
        <v>0</v>
      </c>
      <c r="V702" s="20">
        <f>IF(B702="","",ROUND(U702-IF(G702="",0,G702)-IF(L702="",0,L702),2))</f>
        <v>0</v>
      </c>
      <c r="W702" s="20">
        <f>IF(C702="","",IFERROR(INDEX(Products!$AT$5:$AT$304,MATCH(C702,Products!$A$5:$A$304,0)),""))</f>
        <v>0</v>
      </c>
      <c r="X702" s="20">
        <f>IF(C702="","",IFERROR(INDEX(Products!$AG$5:$AG$304,MATCH(C702,Products!$A$5:$A$304,0)),""))</f>
        <v>0</v>
      </c>
      <c r="Y702" s="20">
        <f>IF(B702="","",ROUND(IF(D702="",0,D702)*MAX(0,IF(W702="",0,W702)-IF(X702="",0,X702)),2))</f>
        <v>0</v>
      </c>
      <c r="Z702" s="20">
        <f>IF(B702="","",ROUND(MAX(0,IF(J702="",0,J702)-IF(I702="",0,I702)),2))</f>
        <v>0</v>
      </c>
      <c r="AA702" s="33">
        <f>IF(B702="","",IFERROR(INDEX(Channels!$S$5:$S$18,MATCH(IF(E702="",DefaultChannel,E702),Channels!$A$5:$A$18,0)),0))</f>
        <v>0</v>
      </c>
      <c r="AB702" s="20">
        <f>IF(B702="","",IFERROR(INDEX(Channels!$T$5:$T$18,MATCH(IF(E702="",DefaultChannel,E702),Channels!$A$5:$A$18,0)),0))</f>
        <v>0</v>
      </c>
      <c r="AC702" s="42">
        <f>IF(B702="","",IFERROR(INDEX(Channels!$O$5:$O$18,MATCH(IF(E702="",DefaultChannel,E702),Channels!$A$5:$A$18,0)),"No"))</f>
        <v>0</v>
      </c>
      <c r="AD702" s="20">
        <f>IF(B702="","",ROUND((V702+IF(AC702="Yes",IF(I702="",0,I702),0))*AA702+AB702,2))</f>
        <v>0</v>
      </c>
      <c r="AE702" s="20">
        <f>IF(B702="","",IF(K702&lt;&gt;"",K702,AD702))</f>
        <v>0</v>
      </c>
      <c r="AF702" s="20">
        <f>IF(B702="","",IF(K702="","",ROUND(K702-AD702,2)))</f>
        <v>0</v>
      </c>
      <c r="AG702" s="20">
        <f>IF(B702="","",ROUND(V702-Y702-AE702-Z702,2))</f>
        <v>0</v>
      </c>
      <c r="AH702" s="33">
        <f>IF(B702="","",IF(OR(V702="",V702=0),"",AG702/V702))</f>
        <v>0</v>
      </c>
      <c r="AI702" s="33">
        <f>IF(C702="","",IFERROR(INDEX(Products!$AW$5:$AW$304,MATCH(C702,Products!$A$5:$A$304,0)),""))</f>
        <v>0</v>
      </c>
      <c r="AJ702" s="33">
        <f>IF(B702="","",IF(OR(AH702="",AI702=""),"",AH702-AI702))</f>
        <v>0</v>
      </c>
      <c r="AK702" s="41">
        <f>IF(B702="","",IFERROR(ROUND(IF(D702="",0,D702)*INDEX(Products!$X$5:$X$304,MATCH(C702,Products!$A$5:$A$304,0))/60,2),""))</f>
        <v>0</v>
      </c>
      <c r="AL702" s="20">
        <f>IF(B702="","",IF(OR(AK702="",AK702=0),"",ROUND(AG702/AK702,2)))</f>
        <v>0</v>
      </c>
      <c r="AM702" s="43">
        <f>IF(B702="","",IF(C702="","Add - which product?",IF(AG702&lt;0,"Loss - this order cost you money",IF(M702="Refunded","Refunded - check why",IF(AND(AF702&lt;&gt;"",AF702&gt;0.25),"Check - fees higher than your settings",IF(Z702&gt;1,"Check - postage is eating the margin",IF(AND(AH702&lt;&gt;"",AH702&lt;MarginWarning),"Low margin on this order","OK")))))) )</f>
        <v>0</v>
      </c>
    </row>
    <row r="703" spans="1:39">
      <c r="A703" s="38">
        <f>IF(B703="","",SalePrefix&amp;TEXT(ROW()-4,"0000"))</f>
        <v>0</v>
      </c>
      <c r="Q703" s="13">
        <f>IF(C703="","",IFERROR(INDEX(Products!$B$5:$B$304,MATCH(C703,Products!$A$5:$A$304,0)),"Bundle or deleted"))</f>
        <v>0</v>
      </c>
      <c r="R703" s="13">
        <f>IF(B703="","",TEXT(B703,"yyyy-mm"))</f>
        <v>0</v>
      </c>
      <c r="S703" s="20">
        <f>IF(C703="","",IFERROR(INDEX(Products!$AR$5:$AR$304,MATCH(C703,Products!$A$5:$A$304,0)),""))</f>
        <v>0</v>
      </c>
      <c r="T703" s="20">
        <f>IF(B703="","",IF(F703&lt;&gt;"",F703,IF(S703="",0,S703)))</f>
        <v>0</v>
      </c>
      <c r="U703" s="20">
        <f>IF(B703="","",ROUND(IF(D703="",0,D703)*T703,2))</f>
        <v>0</v>
      </c>
      <c r="V703" s="20">
        <f>IF(B703="","",ROUND(U703-IF(G703="",0,G703)-IF(L703="",0,L703),2))</f>
        <v>0</v>
      </c>
      <c r="W703" s="20">
        <f>IF(C703="","",IFERROR(INDEX(Products!$AT$5:$AT$304,MATCH(C703,Products!$A$5:$A$304,0)),""))</f>
        <v>0</v>
      </c>
      <c r="X703" s="20">
        <f>IF(C703="","",IFERROR(INDEX(Products!$AG$5:$AG$304,MATCH(C703,Products!$A$5:$A$304,0)),""))</f>
        <v>0</v>
      </c>
      <c r="Y703" s="20">
        <f>IF(B703="","",ROUND(IF(D703="",0,D703)*MAX(0,IF(W703="",0,W703)-IF(X703="",0,X703)),2))</f>
        <v>0</v>
      </c>
      <c r="Z703" s="20">
        <f>IF(B703="","",ROUND(MAX(0,IF(J703="",0,J703)-IF(I703="",0,I703)),2))</f>
        <v>0</v>
      </c>
      <c r="AA703" s="33">
        <f>IF(B703="","",IFERROR(INDEX(Channels!$S$5:$S$18,MATCH(IF(E703="",DefaultChannel,E703),Channels!$A$5:$A$18,0)),0))</f>
        <v>0</v>
      </c>
      <c r="AB703" s="20">
        <f>IF(B703="","",IFERROR(INDEX(Channels!$T$5:$T$18,MATCH(IF(E703="",DefaultChannel,E703),Channels!$A$5:$A$18,0)),0))</f>
        <v>0</v>
      </c>
      <c r="AC703" s="42">
        <f>IF(B703="","",IFERROR(INDEX(Channels!$O$5:$O$18,MATCH(IF(E703="",DefaultChannel,E703),Channels!$A$5:$A$18,0)),"No"))</f>
        <v>0</v>
      </c>
      <c r="AD703" s="20">
        <f>IF(B703="","",ROUND((V703+IF(AC703="Yes",IF(I703="",0,I703),0))*AA703+AB703,2))</f>
        <v>0</v>
      </c>
      <c r="AE703" s="20">
        <f>IF(B703="","",IF(K703&lt;&gt;"",K703,AD703))</f>
        <v>0</v>
      </c>
      <c r="AF703" s="20">
        <f>IF(B703="","",IF(K703="","",ROUND(K703-AD703,2)))</f>
        <v>0</v>
      </c>
      <c r="AG703" s="20">
        <f>IF(B703="","",ROUND(V703-Y703-AE703-Z703,2))</f>
        <v>0</v>
      </c>
      <c r="AH703" s="33">
        <f>IF(B703="","",IF(OR(V703="",V703=0),"",AG703/V703))</f>
        <v>0</v>
      </c>
      <c r="AI703" s="33">
        <f>IF(C703="","",IFERROR(INDEX(Products!$AW$5:$AW$304,MATCH(C703,Products!$A$5:$A$304,0)),""))</f>
        <v>0</v>
      </c>
      <c r="AJ703" s="33">
        <f>IF(B703="","",IF(OR(AH703="",AI703=""),"",AH703-AI703))</f>
        <v>0</v>
      </c>
      <c r="AK703" s="41">
        <f>IF(B703="","",IFERROR(ROUND(IF(D703="",0,D703)*INDEX(Products!$X$5:$X$304,MATCH(C703,Products!$A$5:$A$304,0))/60,2),""))</f>
        <v>0</v>
      </c>
      <c r="AL703" s="20">
        <f>IF(B703="","",IF(OR(AK703="",AK703=0),"",ROUND(AG703/AK703,2)))</f>
        <v>0</v>
      </c>
      <c r="AM703" s="43">
        <f>IF(B703="","",IF(C703="","Add - which product?",IF(AG703&lt;0,"Loss - this order cost you money",IF(M703="Refunded","Refunded - check why",IF(AND(AF703&lt;&gt;"",AF703&gt;0.25),"Check - fees higher than your settings",IF(Z703&gt;1,"Check - postage is eating the margin",IF(AND(AH703&lt;&gt;"",AH703&lt;MarginWarning),"Low margin on this order","OK")))))) )</f>
        <v>0</v>
      </c>
    </row>
    <row r="704" spans="1:39">
      <c r="A704" s="38">
        <f>IF(B704="","",SalePrefix&amp;TEXT(ROW()-4,"0000"))</f>
        <v>0</v>
      </c>
      <c r="Q704" s="13">
        <f>IF(C704="","",IFERROR(INDEX(Products!$B$5:$B$304,MATCH(C704,Products!$A$5:$A$304,0)),"Bundle or deleted"))</f>
        <v>0</v>
      </c>
      <c r="R704" s="13">
        <f>IF(B704="","",TEXT(B704,"yyyy-mm"))</f>
        <v>0</v>
      </c>
      <c r="S704" s="20">
        <f>IF(C704="","",IFERROR(INDEX(Products!$AR$5:$AR$304,MATCH(C704,Products!$A$5:$A$304,0)),""))</f>
        <v>0</v>
      </c>
      <c r="T704" s="20">
        <f>IF(B704="","",IF(F704&lt;&gt;"",F704,IF(S704="",0,S704)))</f>
        <v>0</v>
      </c>
      <c r="U704" s="20">
        <f>IF(B704="","",ROUND(IF(D704="",0,D704)*T704,2))</f>
        <v>0</v>
      </c>
      <c r="V704" s="20">
        <f>IF(B704="","",ROUND(U704-IF(G704="",0,G704)-IF(L704="",0,L704),2))</f>
        <v>0</v>
      </c>
      <c r="W704" s="20">
        <f>IF(C704="","",IFERROR(INDEX(Products!$AT$5:$AT$304,MATCH(C704,Products!$A$5:$A$304,0)),""))</f>
        <v>0</v>
      </c>
      <c r="X704" s="20">
        <f>IF(C704="","",IFERROR(INDEX(Products!$AG$5:$AG$304,MATCH(C704,Products!$A$5:$A$304,0)),""))</f>
        <v>0</v>
      </c>
      <c r="Y704" s="20">
        <f>IF(B704="","",ROUND(IF(D704="",0,D704)*MAX(0,IF(W704="",0,W704)-IF(X704="",0,X704)),2))</f>
        <v>0</v>
      </c>
      <c r="Z704" s="20">
        <f>IF(B704="","",ROUND(MAX(0,IF(J704="",0,J704)-IF(I704="",0,I704)),2))</f>
        <v>0</v>
      </c>
      <c r="AA704" s="33">
        <f>IF(B704="","",IFERROR(INDEX(Channels!$S$5:$S$18,MATCH(IF(E704="",DefaultChannel,E704),Channels!$A$5:$A$18,0)),0))</f>
        <v>0</v>
      </c>
      <c r="AB704" s="20">
        <f>IF(B704="","",IFERROR(INDEX(Channels!$T$5:$T$18,MATCH(IF(E704="",DefaultChannel,E704),Channels!$A$5:$A$18,0)),0))</f>
        <v>0</v>
      </c>
      <c r="AC704" s="42">
        <f>IF(B704="","",IFERROR(INDEX(Channels!$O$5:$O$18,MATCH(IF(E704="",DefaultChannel,E704),Channels!$A$5:$A$18,0)),"No"))</f>
        <v>0</v>
      </c>
      <c r="AD704" s="20">
        <f>IF(B704="","",ROUND((V704+IF(AC704="Yes",IF(I704="",0,I704),0))*AA704+AB704,2))</f>
        <v>0</v>
      </c>
      <c r="AE704" s="20">
        <f>IF(B704="","",IF(K704&lt;&gt;"",K704,AD704))</f>
        <v>0</v>
      </c>
      <c r="AF704" s="20">
        <f>IF(B704="","",IF(K704="","",ROUND(K704-AD704,2)))</f>
        <v>0</v>
      </c>
      <c r="AG704" s="20">
        <f>IF(B704="","",ROUND(V704-Y704-AE704-Z704,2))</f>
        <v>0</v>
      </c>
      <c r="AH704" s="33">
        <f>IF(B704="","",IF(OR(V704="",V704=0),"",AG704/V704))</f>
        <v>0</v>
      </c>
      <c r="AI704" s="33">
        <f>IF(C704="","",IFERROR(INDEX(Products!$AW$5:$AW$304,MATCH(C704,Products!$A$5:$A$304,0)),""))</f>
        <v>0</v>
      </c>
      <c r="AJ704" s="33">
        <f>IF(B704="","",IF(OR(AH704="",AI704=""),"",AH704-AI704))</f>
        <v>0</v>
      </c>
      <c r="AK704" s="41">
        <f>IF(B704="","",IFERROR(ROUND(IF(D704="",0,D704)*INDEX(Products!$X$5:$X$304,MATCH(C704,Products!$A$5:$A$304,0))/60,2),""))</f>
        <v>0</v>
      </c>
      <c r="AL704" s="20">
        <f>IF(B704="","",IF(OR(AK704="",AK704=0),"",ROUND(AG704/AK704,2)))</f>
        <v>0</v>
      </c>
      <c r="AM704" s="43">
        <f>IF(B704="","",IF(C704="","Add - which product?",IF(AG704&lt;0,"Loss - this order cost you money",IF(M704="Refunded","Refunded - check why",IF(AND(AF704&lt;&gt;"",AF704&gt;0.25),"Check - fees higher than your settings",IF(Z704&gt;1,"Check - postage is eating the margin",IF(AND(AH704&lt;&gt;"",AH704&lt;MarginWarning),"Low margin on this order","OK")))))) )</f>
        <v>0</v>
      </c>
    </row>
    <row r="705" spans="1:39">
      <c r="A705" s="38">
        <f>IF(B705="","",SalePrefix&amp;TEXT(ROW()-4,"0000"))</f>
        <v>0</v>
      </c>
      <c r="Q705" s="13">
        <f>IF(C705="","",IFERROR(INDEX(Products!$B$5:$B$304,MATCH(C705,Products!$A$5:$A$304,0)),"Bundle or deleted"))</f>
        <v>0</v>
      </c>
      <c r="R705" s="13">
        <f>IF(B705="","",TEXT(B705,"yyyy-mm"))</f>
        <v>0</v>
      </c>
      <c r="S705" s="20">
        <f>IF(C705="","",IFERROR(INDEX(Products!$AR$5:$AR$304,MATCH(C705,Products!$A$5:$A$304,0)),""))</f>
        <v>0</v>
      </c>
      <c r="T705" s="20">
        <f>IF(B705="","",IF(F705&lt;&gt;"",F705,IF(S705="",0,S705)))</f>
        <v>0</v>
      </c>
      <c r="U705" s="20">
        <f>IF(B705="","",ROUND(IF(D705="",0,D705)*T705,2))</f>
        <v>0</v>
      </c>
      <c r="V705" s="20">
        <f>IF(B705="","",ROUND(U705-IF(G705="",0,G705)-IF(L705="",0,L705),2))</f>
        <v>0</v>
      </c>
      <c r="W705" s="20">
        <f>IF(C705="","",IFERROR(INDEX(Products!$AT$5:$AT$304,MATCH(C705,Products!$A$5:$A$304,0)),""))</f>
        <v>0</v>
      </c>
      <c r="X705" s="20">
        <f>IF(C705="","",IFERROR(INDEX(Products!$AG$5:$AG$304,MATCH(C705,Products!$A$5:$A$304,0)),""))</f>
        <v>0</v>
      </c>
      <c r="Y705" s="20">
        <f>IF(B705="","",ROUND(IF(D705="",0,D705)*MAX(0,IF(W705="",0,W705)-IF(X705="",0,X705)),2))</f>
        <v>0</v>
      </c>
      <c r="Z705" s="20">
        <f>IF(B705="","",ROUND(MAX(0,IF(J705="",0,J705)-IF(I705="",0,I705)),2))</f>
        <v>0</v>
      </c>
      <c r="AA705" s="33">
        <f>IF(B705="","",IFERROR(INDEX(Channels!$S$5:$S$18,MATCH(IF(E705="",DefaultChannel,E705),Channels!$A$5:$A$18,0)),0))</f>
        <v>0</v>
      </c>
      <c r="AB705" s="20">
        <f>IF(B705="","",IFERROR(INDEX(Channels!$T$5:$T$18,MATCH(IF(E705="",DefaultChannel,E705),Channels!$A$5:$A$18,0)),0))</f>
        <v>0</v>
      </c>
      <c r="AC705" s="42">
        <f>IF(B705="","",IFERROR(INDEX(Channels!$O$5:$O$18,MATCH(IF(E705="",DefaultChannel,E705),Channels!$A$5:$A$18,0)),"No"))</f>
        <v>0</v>
      </c>
      <c r="AD705" s="20">
        <f>IF(B705="","",ROUND((V705+IF(AC705="Yes",IF(I705="",0,I705),0))*AA705+AB705,2))</f>
        <v>0</v>
      </c>
      <c r="AE705" s="20">
        <f>IF(B705="","",IF(K705&lt;&gt;"",K705,AD705))</f>
        <v>0</v>
      </c>
      <c r="AF705" s="20">
        <f>IF(B705="","",IF(K705="","",ROUND(K705-AD705,2)))</f>
        <v>0</v>
      </c>
      <c r="AG705" s="20">
        <f>IF(B705="","",ROUND(V705-Y705-AE705-Z705,2))</f>
        <v>0</v>
      </c>
      <c r="AH705" s="33">
        <f>IF(B705="","",IF(OR(V705="",V705=0),"",AG705/V705))</f>
        <v>0</v>
      </c>
      <c r="AI705" s="33">
        <f>IF(C705="","",IFERROR(INDEX(Products!$AW$5:$AW$304,MATCH(C705,Products!$A$5:$A$304,0)),""))</f>
        <v>0</v>
      </c>
      <c r="AJ705" s="33">
        <f>IF(B705="","",IF(OR(AH705="",AI705=""),"",AH705-AI705))</f>
        <v>0</v>
      </c>
      <c r="AK705" s="41">
        <f>IF(B705="","",IFERROR(ROUND(IF(D705="",0,D705)*INDEX(Products!$X$5:$X$304,MATCH(C705,Products!$A$5:$A$304,0))/60,2),""))</f>
        <v>0</v>
      </c>
      <c r="AL705" s="20">
        <f>IF(B705="","",IF(OR(AK705="",AK705=0),"",ROUND(AG705/AK705,2)))</f>
        <v>0</v>
      </c>
      <c r="AM705" s="43">
        <f>IF(B705="","",IF(C705="","Add - which product?",IF(AG705&lt;0,"Loss - this order cost you money",IF(M705="Refunded","Refunded - check why",IF(AND(AF705&lt;&gt;"",AF705&gt;0.25),"Check - fees higher than your settings",IF(Z705&gt;1,"Check - postage is eating the margin",IF(AND(AH705&lt;&gt;"",AH705&lt;MarginWarning),"Low margin on this order","OK")))))) )</f>
        <v>0</v>
      </c>
    </row>
    <row r="706" spans="1:39">
      <c r="A706" s="38">
        <f>IF(B706="","",SalePrefix&amp;TEXT(ROW()-4,"0000"))</f>
        <v>0</v>
      </c>
      <c r="Q706" s="13">
        <f>IF(C706="","",IFERROR(INDEX(Products!$B$5:$B$304,MATCH(C706,Products!$A$5:$A$304,0)),"Bundle or deleted"))</f>
        <v>0</v>
      </c>
      <c r="R706" s="13">
        <f>IF(B706="","",TEXT(B706,"yyyy-mm"))</f>
        <v>0</v>
      </c>
      <c r="S706" s="20">
        <f>IF(C706="","",IFERROR(INDEX(Products!$AR$5:$AR$304,MATCH(C706,Products!$A$5:$A$304,0)),""))</f>
        <v>0</v>
      </c>
      <c r="T706" s="20">
        <f>IF(B706="","",IF(F706&lt;&gt;"",F706,IF(S706="",0,S706)))</f>
        <v>0</v>
      </c>
      <c r="U706" s="20">
        <f>IF(B706="","",ROUND(IF(D706="",0,D706)*T706,2))</f>
        <v>0</v>
      </c>
      <c r="V706" s="20">
        <f>IF(B706="","",ROUND(U706-IF(G706="",0,G706)-IF(L706="",0,L706),2))</f>
        <v>0</v>
      </c>
      <c r="W706" s="20">
        <f>IF(C706="","",IFERROR(INDEX(Products!$AT$5:$AT$304,MATCH(C706,Products!$A$5:$A$304,0)),""))</f>
        <v>0</v>
      </c>
      <c r="X706" s="20">
        <f>IF(C706="","",IFERROR(INDEX(Products!$AG$5:$AG$304,MATCH(C706,Products!$A$5:$A$304,0)),""))</f>
        <v>0</v>
      </c>
      <c r="Y706" s="20">
        <f>IF(B706="","",ROUND(IF(D706="",0,D706)*MAX(0,IF(W706="",0,W706)-IF(X706="",0,X706)),2))</f>
        <v>0</v>
      </c>
      <c r="Z706" s="20">
        <f>IF(B706="","",ROUND(MAX(0,IF(J706="",0,J706)-IF(I706="",0,I706)),2))</f>
        <v>0</v>
      </c>
      <c r="AA706" s="33">
        <f>IF(B706="","",IFERROR(INDEX(Channels!$S$5:$S$18,MATCH(IF(E706="",DefaultChannel,E706),Channels!$A$5:$A$18,0)),0))</f>
        <v>0</v>
      </c>
      <c r="AB706" s="20">
        <f>IF(B706="","",IFERROR(INDEX(Channels!$T$5:$T$18,MATCH(IF(E706="",DefaultChannel,E706),Channels!$A$5:$A$18,0)),0))</f>
        <v>0</v>
      </c>
      <c r="AC706" s="42">
        <f>IF(B706="","",IFERROR(INDEX(Channels!$O$5:$O$18,MATCH(IF(E706="",DefaultChannel,E706),Channels!$A$5:$A$18,0)),"No"))</f>
        <v>0</v>
      </c>
      <c r="AD706" s="20">
        <f>IF(B706="","",ROUND((V706+IF(AC706="Yes",IF(I706="",0,I706),0))*AA706+AB706,2))</f>
        <v>0</v>
      </c>
      <c r="AE706" s="20">
        <f>IF(B706="","",IF(K706&lt;&gt;"",K706,AD706))</f>
        <v>0</v>
      </c>
      <c r="AF706" s="20">
        <f>IF(B706="","",IF(K706="","",ROUND(K706-AD706,2)))</f>
        <v>0</v>
      </c>
      <c r="AG706" s="20">
        <f>IF(B706="","",ROUND(V706-Y706-AE706-Z706,2))</f>
        <v>0</v>
      </c>
      <c r="AH706" s="33">
        <f>IF(B706="","",IF(OR(V706="",V706=0),"",AG706/V706))</f>
        <v>0</v>
      </c>
      <c r="AI706" s="33">
        <f>IF(C706="","",IFERROR(INDEX(Products!$AW$5:$AW$304,MATCH(C706,Products!$A$5:$A$304,0)),""))</f>
        <v>0</v>
      </c>
      <c r="AJ706" s="33">
        <f>IF(B706="","",IF(OR(AH706="",AI706=""),"",AH706-AI706))</f>
        <v>0</v>
      </c>
      <c r="AK706" s="41">
        <f>IF(B706="","",IFERROR(ROUND(IF(D706="",0,D706)*INDEX(Products!$X$5:$X$304,MATCH(C706,Products!$A$5:$A$304,0))/60,2),""))</f>
        <v>0</v>
      </c>
      <c r="AL706" s="20">
        <f>IF(B706="","",IF(OR(AK706="",AK706=0),"",ROUND(AG706/AK706,2)))</f>
        <v>0</v>
      </c>
      <c r="AM706" s="43">
        <f>IF(B706="","",IF(C706="","Add - which product?",IF(AG706&lt;0,"Loss - this order cost you money",IF(M706="Refunded","Refunded - check why",IF(AND(AF706&lt;&gt;"",AF706&gt;0.25),"Check - fees higher than your settings",IF(Z706&gt;1,"Check - postage is eating the margin",IF(AND(AH706&lt;&gt;"",AH706&lt;MarginWarning),"Low margin on this order","OK")))))) )</f>
        <v>0</v>
      </c>
    </row>
    <row r="707" spans="1:39">
      <c r="A707" s="38">
        <f>IF(B707="","",SalePrefix&amp;TEXT(ROW()-4,"0000"))</f>
        <v>0</v>
      </c>
      <c r="Q707" s="13">
        <f>IF(C707="","",IFERROR(INDEX(Products!$B$5:$B$304,MATCH(C707,Products!$A$5:$A$304,0)),"Bundle or deleted"))</f>
        <v>0</v>
      </c>
      <c r="R707" s="13">
        <f>IF(B707="","",TEXT(B707,"yyyy-mm"))</f>
        <v>0</v>
      </c>
      <c r="S707" s="20">
        <f>IF(C707="","",IFERROR(INDEX(Products!$AR$5:$AR$304,MATCH(C707,Products!$A$5:$A$304,0)),""))</f>
        <v>0</v>
      </c>
      <c r="T707" s="20">
        <f>IF(B707="","",IF(F707&lt;&gt;"",F707,IF(S707="",0,S707)))</f>
        <v>0</v>
      </c>
      <c r="U707" s="20">
        <f>IF(B707="","",ROUND(IF(D707="",0,D707)*T707,2))</f>
        <v>0</v>
      </c>
      <c r="V707" s="20">
        <f>IF(B707="","",ROUND(U707-IF(G707="",0,G707)-IF(L707="",0,L707),2))</f>
        <v>0</v>
      </c>
      <c r="W707" s="20">
        <f>IF(C707="","",IFERROR(INDEX(Products!$AT$5:$AT$304,MATCH(C707,Products!$A$5:$A$304,0)),""))</f>
        <v>0</v>
      </c>
      <c r="X707" s="20">
        <f>IF(C707="","",IFERROR(INDEX(Products!$AG$5:$AG$304,MATCH(C707,Products!$A$5:$A$304,0)),""))</f>
        <v>0</v>
      </c>
      <c r="Y707" s="20">
        <f>IF(B707="","",ROUND(IF(D707="",0,D707)*MAX(0,IF(W707="",0,W707)-IF(X707="",0,X707)),2))</f>
        <v>0</v>
      </c>
      <c r="Z707" s="20">
        <f>IF(B707="","",ROUND(MAX(0,IF(J707="",0,J707)-IF(I707="",0,I707)),2))</f>
        <v>0</v>
      </c>
      <c r="AA707" s="33">
        <f>IF(B707="","",IFERROR(INDEX(Channels!$S$5:$S$18,MATCH(IF(E707="",DefaultChannel,E707),Channels!$A$5:$A$18,0)),0))</f>
        <v>0</v>
      </c>
      <c r="AB707" s="20">
        <f>IF(B707="","",IFERROR(INDEX(Channels!$T$5:$T$18,MATCH(IF(E707="",DefaultChannel,E707),Channels!$A$5:$A$18,0)),0))</f>
        <v>0</v>
      </c>
      <c r="AC707" s="42">
        <f>IF(B707="","",IFERROR(INDEX(Channels!$O$5:$O$18,MATCH(IF(E707="",DefaultChannel,E707),Channels!$A$5:$A$18,0)),"No"))</f>
        <v>0</v>
      </c>
      <c r="AD707" s="20">
        <f>IF(B707="","",ROUND((V707+IF(AC707="Yes",IF(I707="",0,I707),0))*AA707+AB707,2))</f>
        <v>0</v>
      </c>
      <c r="AE707" s="20">
        <f>IF(B707="","",IF(K707&lt;&gt;"",K707,AD707))</f>
        <v>0</v>
      </c>
      <c r="AF707" s="20">
        <f>IF(B707="","",IF(K707="","",ROUND(K707-AD707,2)))</f>
        <v>0</v>
      </c>
      <c r="AG707" s="20">
        <f>IF(B707="","",ROUND(V707-Y707-AE707-Z707,2))</f>
        <v>0</v>
      </c>
      <c r="AH707" s="33">
        <f>IF(B707="","",IF(OR(V707="",V707=0),"",AG707/V707))</f>
        <v>0</v>
      </c>
      <c r="AI707" s="33">
        <f>IF(C707="","",IFERROR(INDEX(Products!$AW$5:$AW$304,MATCH(C707,Products!$A$5:$A$304,0)),""))</f>
        <v>0</v>
      </c>
      <c r="AJ707" s="33">
        <f>IF(B707="","",IF(OR(AH707="",AI707=""),"",AH707-AI707))</f>
        <v>0</v>
      </c>
      <c r="AK707" s="41">
        <f>IF(B707="","",IFERROR(ROUND(IF(D707="",0,D707)*INDEX(Products!$X$5:$X$304,MATCH(C707,Products!$A$5:$A$304,0))/60,2),""))</f>
        <v>0</v>
      </c>
      <c r="AL707" s="20">
        <f>IF(B707="","",IF(OR(AK707="",AK707=0),"",ROUND(AG707/AK707,2)))</f>
        <v>0</v>
      </c>
      <c r="AM707" s="43">
        <f>IF(B707="","",IF(C707="","Add - which product?",IF(AG707&lt;0,"Loss - this order cost you money",IF(M707="Refunded","Refunded - check why",IF(AND(AF707&lt;&gt;"",AF707&gt;0.25),"Check - fees higher than your settings",IF(Z707&gt;1,"Check - postage is eating the margin",IF(AND(AH707&lt;&gt;"",AH707&lt;MarginWarning),"Low margin on this order","OK")))))) )</f>
        <v>0</v>
      </c>
    </row>
    <row r="708" spans="1:39">
      <c r="A708" s="38">
        <f>IF(B708="","",SalePrefix&amp;TEXT(ROW()-4,"0000"))</f>
        <v>0</v>
      </c>
      <c r="Q708" s="13">
        <f>IF(C708="","",IFERROR(INDEX(Products!$B$5:$B$304,MATCH(C708,Products!$A$5:$A$304,0)),"Bundle or deleted"))</f>
        <v>0</v>
      </c>
      <c r="R708" s="13">
        <f>IF(B708="","",TEXT(B708,"yyyy-mm"))</f>
        <v>0</v>
      </c>
      <c r="S708" s="20">
        <f>IF(C708="","",IFERROR(INDEX(Products!$AR$5:$AR$304,MATCH(C708,Products!$A$5:$A$304,0)),""))</f>
        <v>0</v>
      </c>
      <c r="T708" s="20">
        <f>IF(B708="","",IF(F708&lt;&gt;"",F708,IF(S708="",0,S708)))</f>
        <v>0</v>
      </c>
      <c r="U708" s="20">
        <f>IF(B708="","",ROUND(IF(D708="",0,D708)*T708,2))</f>
        <v>0</v>
      </c>
      <c r="V708" s="20">
        <f>IF(B708="","",ROUND(U708-IF(G708="",0,G708)-IF(L708="",0,L708),2))</f>
        <v>0</v>
      </c>
      <c r="W708" s="20">
        <f>IF(C708="","",IFERROR(INDEX(Products!$AT$5:$AT$304,MATCH(C708,Products!$A$5:$A$304,0)),""))</f>
        <v>0</v>
      </c>
      <c r="X708" s="20">
        <f>IF(C708="","",IFERROR(INDEX(Products!$AG$5:$AG$304,MATCH(C708,Products!$A$5:$A$304,0)),""))</f>
        <v>0</v>
      </c>
      <c r="Y708" s="20">
        <f>IF(B708="","",ROUND(IF(D708="",0,D708)*MAX(0,IF(W708="",0,W708)-IF(X708="",0,X708)),2))</f>
        <v>0</v>
      </c>
      <c r="Z708" s="20">
        <f>IF(B708="","",ROUND(MAX(0,IF(J708="",0,J708)-IF(I708="",0,I708)),2))</f>
        <v>0</v>
      </c>
      <c r="AA708" s="33">
        <f>IF(B708="","",IFERROR(INDEX(Channels!$S$5:$S$18,MATCH(IF(E708="",DefaultChannel,E708),Channels!$A$5:$A$18,0)),0))</f>
        <v>0</v>
      </c>
      <c r="AB708" s="20">
        <f>IF(B708="","",IFERROR(INDEX(Channels!$T$5:$T$18,MATCH(IF(E708="",DefaultChannel,E708),Channels!$A$5:$A$18,0)),0))</f>
        <v>0</v>
      </c>
      <c r="AC708" s="42">
        <f>IF(B708="","",IFERROR(INDEX(Channels!$O$5:$O$18,MATCH(IF(E708="",DefaultChannel,E708),Channels!$A$5:$A$18,0)),"No"))</f>
        <v>0</v>
      </c>
      <c r="AD708" s="20">
        <f>IF(B708="","",ROUND((V708+IF(AC708="Yes",IF(I708="",0,I708),0))*AA708+AB708,2))</f>
        <v>0</v>
      </c>
      <c r="AE708" s="20">
        <f>IF(B708="","",IF(K708&lt;&gt;"",K708,AD708))</f>
        <v>0</v>
      </c>
      <c r="AF708" s="20">
        <f>IF(B708="","",IF(K708="","",ROUND(K708-AD708,2)))</f>
        <v>0</v>
      </c>
      <c r="AG708" s="20">
        <f>IF(B708="","",ROUND(V708-Y708-AE708-Z708,2))</f>
        <v>0</v>
      </c>
      <c r="AH708" s="33">
        <f>IF(B708="","",IF(OR(V708="",V708=0),"",AG708/V708))</f>
        <v>0</v>
      </c>
      <c r="AI708" s="33">
        <f>IF(C708="","",IFERROR(INDEX(Products!$AW$5:$AW$304,MATCH(C708,Products!$A$5:$A$304,0)),""))</f>
        <v>0</v>
      </c>
      <c r="AJ708" s="33">
        <f>IF(B708="","",IF(OR(AH708="",AI708=""),"",AH708-AI708))</f>
        <v>0</v>
      </c>
      <c r="AK708" s="41">
        <f>IF(B708="","",IFERROR(ROUND(IF(D708="",0,D708)*INDEX(Products!$X$5:$X$304,MATCH(C708,Products!$A$5:$A$304,0))/60,2),""))</f>
        <v>0</v>
      </c>
      <c r="AL708" s="20">
        <f>IF(B708="","",IF(OR(AK708="",AK708=0),"",ROUND(AG708/AK708,2)))</f>
        <v>0</v>
      </c>
      <c r="AM708" s="43">
        <f>IF(B708="","",IF(C708="","Add - which product?",IF(AG708&lt;0,"Loss - this order cost you money",IF(M708="Refunded","Refunded - check why",IF(AND(AF708&lt;&gt;"",AF708&gt;0.25),"Check - fees higher than your settings",IF(Z708&gt;1,"Check - postage is eating the margin",IF(AND(AH708&lt;&gt;"",AH708&lt;MarginWarning),"Low margin on this order","OK")))))) )</f>
        <v>0</v>
      </c>
    </row>
    <row r="709" spans="1:39">
      <c r="A709" s="38">
        <f>IF(B709="","",SalePrefix&amp;TEXT(ROW()-4,"0000"))</f>
        <v>0</v>
      </c>
      <c r="Q709" s="13">
        <f>IF(C709="","",IFERROR(INDEX(Products!$B$5:$B$304,MATCH(C709,Products!$A$5:$A$304,0)),"Bundle or deleted"))</f>
        <v>0</v>
      </c>
      <c r="R709" s="13">
        <f>IF(B709="","",TEXT(B709,"yyyy-mm"))</f>
        <v>0</v>
      </c>
      <c r="S709" s="20">
        <f>IF(C709="","",IFERROR(INDEX(Products!$AR$5:$AR$304,MATCH(C709,Products!$A$5:$A$304,0)),""))</f>
        <v>0</v>
      </c>
      <c r="T709" s="20">
        <f>IF(B709="","",IF(F709&lt;&gt;"",F709,IF(S709="",0,S709)))</f>
        <v>0</v>
      </c>
      <c r="U709" s="20">
        <f>IF(B709="","",ROUND(IF(D709="",0,D709)*T709,2))</f>
        <v>0</v>
      </c>
      <c r="V709" s="20">
        <f>IF(B709="","",ROUND(U709-IF(G709="",0,G709)-IF(L709="",0,L709),2))</f>
        <v>0</v>
      </c>
      <c r="W709" s="20">
        <f>IF(C709="","",IFERROR(INDEX(Products!$AT$5:$AT$304,MATCH(C709,Products!$A$5:$A$304,0)),""))</f>
        <v>0</v>
      </c>
      <c r="X709" s="20">
        <f>IF(C709="","",IFERROR(INDEX(Products!$AG$5:$AG$304,MATCH(C709,Products!$A$5:$A$304,0)),""))</f>
        <v>0</v>
      </c>
      <c r="Y709" s="20">
        <f>IF(B709="","",ROUND(IF(D709="",0,D709)*MAX(0,IF(W709="",0,W709)-IF(X709="",0,X709)),2))</f>
        <v>0</v>
      </c>
      <c r="Z709" s="20">
        <f>IF(B709="","",ROUND(MAX(0,IF(J709="",0,J709)-IF(I709="",0,I709)),2))</f>
        <v>0</v>
      </c>
      <c r="AA709" s="33">
        <f>IF(B709="","",IFERROR(INDEX(Channels!$S$5:$S$18,MATCH(IF(E709="",DefaultChannel,E709),Channels!$A$5:$A$18,0)),0))</f>
        <v>0</v>
      </c>
      <c r="AB709" s="20">
        <f>IF(B709="","",IFERROR(INDEX(Channels!$T$5:$T$18,MATCH(IF(E709="",DefaultChannel,E709),Channels!$A$5:$A$18,0)),0))</f>
        <v>0</v>
      </c>
      <c r="AC709" s="42">
        <f>IF(B709="","",IFERROR(INDEX(Channels!$O$5:$O$18,MATCH(IF(E709="",DefaultChannel,E709),Channels!$A$5:$A$18,0)),"No"))</f>
        <v>0</v>
      </c>
      <c r="AD709" s="20">
        <f>IF(B709="","",ROUND((V709+IF(AC709="Yes",IF(I709="",0,I709),0))*AA709+AB709,2))</f>
        <v>0</v>
      </c>
      <c r="AE709" s="20">
        <f>IF(B709="","",IF(K709&lt;&gt;"",K709,AD709))</f>
        <v>0</v>
      </c>
      <c r="AF709" s="20">
        <f>IF(B709="","",IF(K709="","",ROUND(K709-AD709,2)))</f>
        <v>0</v>
      </c>
      <c r="AG709" s="20">
        <f>IF(B709="","",ROUND(V709-Y709-AE709-Z709,2))</f>
        <v>0</v>
      </c>
      <c r="AH709" s="33">
        <f>IF(B709="","",IF(OR(V709="",V709=0),"",AG709/V709))</f>
        <v>0</v>
      </c>
      <c r="AI709" s="33">
        <f>IF(C709="","",IFERROR(INDEX(Products!$AW$5:$AW$304,MATCH(C709,Products!$A$5:$A$304,0)),""))</f>
        <v>0</v>
      </c>
      <c r="AJ709" s="33">
        <f>IF(B709="","",IF(OR(AH709="",AI709=""),"",AH709-AI709))</f>
        <v>0</v>
      </c>
      <c r="AK709" s="41">
        <f>IF(B709="","",IFERROR(ROUND(IF(D709="",0,D709)*INDEX(Products!$X$5:$X$304,MATCH(C709,Products!$A$5:$A$304,0))/60,2),""))</f>
        <v>0</v>
      </c>
      <c r="AL709" s="20">
        <f>IF(B709="","",IF(OR(AK709="",AK709=0),"",ROUND(AG709/AK709,2)))</f>
        <v>0</v>
      </c>
      <c r="AM709" s="43">
        <f>IF(B709="","",IF(C709="","Add - which product?",IF(AG709&lt;0,"Loss - this order cost you money",IF(M709="Refunded","Refunded - check why",IF(AND(AF709&lt;&gt;"",AF709&gt;0.25),"Check - fees higher than your settings",IF(Z709&gt;1,"Check - postage is eating the margin",IF(AND(AH709&lt;&gt;"",AH709&lt;MarginWarning),"Low margin on this order","OK")))))) )</f>
        <v>0</v>
      </c>
    </row>
    <row r="710" spans="1:39">
      <c r="A710" s="38">
        <f>IF(B710="","",SalePrefix&amp;TEXT(ROW()-4,"0000"))</f>
        <v>0</v>
      </c>
      <c r="Q710" s="13">
        <f>IF(C710="","",IFERROR(INDEX(Products!$B$5:$B$304,MATCH(C710,Products!$A$5:$A$304,0)),"Bundle or deleted"))</f>
        <v>0</v>
      </c>
      <c r="R710" s="13">
        <f>IF(B710="","",TEXT(B710,"yyyy-mm"))</f>
        <v>0</v>
      </c>
      <c r="S710" s="20">
        <f>IF(C710="","",IFERROR(INDEX(Products!$AR$5:$AR$304,MATCH(C710,Products!$A$5:$A$304,0)),""))</f>
        <v>0</v>
      </c>
      <c r="T710" s="20">
        <f>IF(B710="","",IF(F710&lt;&gt;"",F710,IF(S710="",0,S710)))</f>
        <v>0</v>
      </c>
      <c r="U710" s="20">
        <f>IF(B710="","",ROUND(IF(D710="",0,D710)*T710,2))</f>
        <v>0</v>
      </c>
      <c r="V710" s="20">
        <f>IF(B710="","",ROUND(U710-IF(G710="",0,G710)-IF(L710="",0,L710),2))</f>
        <v>0</v>
      </c>
      <c r="W710" s="20">
        <f>IF(C710="","",IFERROR(INDEX(Products!$AT$5:$AT$304,MATCH(C710,Products!$A$5:$A$304,0)),""))</f>
        <v>0</v>
      </c>
      <c r="X710" s="20">
        <f>IF(C710="","",IFERROR(INDEX(Products!$AG$5:$AG$304,MATCH(C710,Products!$A$5:$A$304,0)),""))</f>
        <v>0</v>
      </c>
      <c r="Y710" s="20">
        <f>IF(B710="","",ROUND(IF(D710="",0,D710)*MAX(0,IF(W710="",0,W710)-IF(X710="",0,X710)),2))</f>
        <v>0</v>
      </c>
      <c r="Z710" s="20">
        <f>IF(B710="","",ROUND(MAX(0,IF(J710="",0,J710)-IF(I710="",0,I710)),2))</f>
        <v>0</v>
      </c>
      <c r="AA710" s="33">
        <f>IF(B710="","",IFERROR(INDEX(Channels!$S$5:$S$18,MATCH(IF(E710="",DefaultChannel,E710),Channels!$A$5:$A$18,0)),0))</f>
        <v>0</v>
      </c>
      <c r="AB710" s="20">
        <f>IF(B710="","",IFERROR(INDEX(Channels!$T$5:$T$18,MATCH(IF(E710="",DefaultChannel,E710),Channels!$A$5:$A$18,0)),0))</f>
        <v>0</v>
      </c>
      <c r="AC710" s="42">
        <f>IF(B710="","",IFERROR(INDEX(Channels!$O$5:$O$18,MATCH(IF(E710="",DefaultChannel,E710),Channels!$A$5:$A$18,0)),"No"))</f>
        <v>0</v>
      </c>
      <c r="AD710" s="20">
        <f>IF(B710="","",ROUND((V710+IF(AC710="Yes",IF(I710="",0,I710),0))*AA710+AB710,2))</f>
        <v>0</v>
      </c>
      <c r="AE710" s="20">
        <f>IF(B710="","",IF(K710&lt;&gt;"",K710,AD710))</f>
        <v>0</v>
      </c>
      <c r="AF710" s="20">
        <f>IF(B710="","",IF(K710="","",ROUND(K710-AD710,2)))</f>
        <v>0</v>
      </c>
      <c r="AG710" s="20">
        <f>IF(B710="","",ROUND(V710-Y710-AE710-Z710,2))</f>
        <v>0</v>
      </c>
      <c r="AH710" s="33">
        <f>IF(B710="","",IF(OR(V710="",V710=0),"",AG710/V710))</f>
        <v>0</v>
      </c>
      <c r="AI710" s="33">
        <f>IF(C710="","",IFERROR(INDEX(Products!$AW$5:$AW$304,MATCH(C710,Products!$A$5:$A$304,0)),""))</f>
        <v>0</v>
      </c>
      <c r="AJ710" s="33">
        <f>IF(B710="","",IF(OR(AH710="",AI710=""),"",AH710-AI710))</f>
        <v>0</v>
      </c>
      <c r="AK710" s="41">
        <f>IF(B710="","",IFERROR(ROUND(IF(D710="",0,D710)*INDEX(Products!$X$5:$X$304,MATCH(C710,Products!$A$5:$A$304,0))/60,2),""))</f>
        <v>0</v>
      </c>
      <c r="AL710" s="20">
        <f>IF(B710="","",IF(OR(AK710="",AK710=0),"",ROUND(AG710/AK710,2)))</f>
        <v>0</v>
      </c>
      <c r="AM710" s="43">
        <f>IF(B710="","",IF(C710="","Add - which product?",IF(AG710&lt;0,"Loss - this order cost you money",IF(M710="Refunded","Refunded - check why",IF(AND(AF710&lt;&gt;"",AF710&gt;0.25),"Check - fees higher than your settings",IF(Z710&gt;1,"Check - postage is eating the margin",IF(AND(AH710&lt;&gt;"",AH710&lt;MarginWarning),"Low margin on this order","OK")))))) )</f>
        <v>0</v>
      </c>
    </row>
    <row r="711" spans="1:39">
      <c r="A711" s="38">
        <f>IF(B711="","",SalePrefix&amp;TEXT(ROW()-4,"0000"))</f>
        <v>0</v>
      </c>
      <c r="Q711" s="13">
        <f>IF(C711="","",IFERROR(INDEX(Products!$B$5:$B$304,MATCH(C711,Products!$A$5:$A$304,0)),"Bundle or deleted"))</f>
        <v>0</v>
      </c>
      <c r="R711" s="13">
        <f>IF(B711="","",TEXT(B711,"yyyy-mm"))</f>
        <v>0</v>
      </c>
      <c r="S711" s="20">
        <f>IF(C711="","",IFERROR(INDEX(Products!$AR$5:$AR$304,MATCH(C711,Products!$A$5:$A$304,0)),""))</f>
        <v>0</v>
      </c>
      <c r="T711" s="20">
        <f>IF(B711="","",IF(F711&lt;&gt;"",F711,IF(S711="",0,S711)))</f>
        <v>0</v>
      </c>
      <c r="U711" s="20">
        <f>IF(B711="","",ROUND(IF(D711="",0,D711)*T711,2))</f>
        <v>0</v>
      </c>
      <c r="V711" s="20">
        <f>IF(B711="","",ROUND(U711-IF(G711="",0,G711)-IF(L711="",0,L711),2))</f>
        <v>0</v>
      </c>
      <c r="W711" s="20">
        <f>IF(C711="","",IFERROR(INDEX(Products!$AT$5:$AT$304,MATCH(C711,Products!$A$5:$A$304,0)),""))</f>
        <v>0</v>
      </c>
      <c r="X711" s="20">
        <f>IF(C711="","",IFERROR(INDEX(Products!$AG$5:$AG$304,MATCH(C711,Products!$A$5:$A$304,0)),""))</f>
        <v>0</v>
      </c>
      <c r="Y711" s="20">
        <f>IF(B711="","",ROUND(IF(D711="",0,D711)*MAX(0,IF(W711="",0,W711)-IF(X711="",0,X711)),2))</f>
        <v>0</v>
      </c>
      <c r="Z711" s="20">
        <f>IF(B711="","",ROUND(MAX(0,IF(J711="",0,J711)-IF(I711="",0,I711)),2))</f>
        <v>0</v>
      </c>
      <c r="AA711" s="33">
        <f>IF(B711="","",IFERROR(INDEX(Channels!$S$5:$S$18,MATCH(IF(E711="",DefaultChannel,E711),Channels!$A$5:$A$18,0)),0))</f>
        <v>0</v>
      </c>
      <c r="AB711" s="20">
        <f>IF(B711="","",IFERROR(INDEX(Channels!$T$5:$T$18,MATCH(IF(E711="",DefaultChannel,E711),Channels!$A$5:$A$18,0)),0))</f>
        <v>0</v>
      </c>
      <c r="AC711" s="42">
        <f>IF(B711="","",IFERROR(INDEX(Channels!$O$5:$O$18,MATCH(IF(E711="",DefaultChannel,E711),Channels!$A$5:$A$18,0)),"No"))</f>
        <v>0</v>
      </c>
      <c r="AD711" s="20">
        <f>IF(B711="","",ROUND((V711+IF(AC711="Yes",IF(I711="",0,I711),0))*AA711+AB711,2))</f>
        <v>0</v>
      </c>
      <c r="AE711" s="20">
        <f>IF(B711="","",IF(K711&lt;&gt;"",K711,AD711))</f>
        <v>0</v>
      </c>
      <c r="AF711" s="20">
        <f>IF(B711="","",IF(K711="","",ROUND(K711-AD711,2)))</f>
        <v>0</v>
      </c>
      <c r="AG711" s="20">
        <f>IF(B711="","",ROUND(V711-Y711-AE711-Z711,2))</f>
        <v>0</v>
      </c>
      <c r="AH711" s="33">
        <f>IF(B711="","",IF(OR(V711="",V711=0),"",AG711/V711))</f>
        <v>0</v>
      </c>
      <c r="AI711" s="33">
        <f>IF(C711="","",IFERROR(INDEX(Products!$AW$5:$AW$304,MATCH(C711,Products!$A$5:$A$304,0)),""))</f>
        <v>0</v>
      </c>
      <c r="AJ711" s="33">
        <f>IF(B711="","",IF(OR(AH711="",AI711=""),"",AH711-AI711))</f>
        <v>0</v>
      </c>
      <c r="AK711" s="41">
        <f>IF(B711="","",IFERROR(ROUND(IF(D711="",0,D711)*INDEX(Products!$X$5:$X$304,MATCH(C711,Products!$A$5:$A$304,0))/60,2),""))</f>
        <v>0</v>
      </c>
      <c r="AL711" s="20">
        <f>IF(B711="","",IF(OR(AK711="",AK711=0),"",ROUND(AG711/AK711,2)))</f>
        <v>0</v>
      </c>
      <c r="AM711" s="43">
        <f>IF(B711="","",IF(C711="","Add - which product?",IF(AG711&lt;0,"Loss - this order cost you money",IF(M711="Refunded","Refunded - check why",IF(AND(AF711&lt;&gt;"",AF711&gt;0.25),"Check - fees higher than your settings",IF(Z711&gt;1,"Check - postage is eating the margin",IF(AND(AH711&lt;&gt;"",AH711&lt;MarginWarning),"Low margin on this order","OK")))))) )</f>
        <v>0</v>
      </c>
    </row>
    <row r="712" spans="1:39">
      <c r="A712" s="38">
        <f>IF(B712="","",SalePrefix&amp;TEXT(ROW()-4,"0000"))</f>
        <v>0</v>
      </c>
      <c r="Q712" s="13">
        <f>IF(C712="","",IFERROR(INDEX(Products!$B$5:$B$304,MATCH(C712,Products!$A$5:$A$304,0)),"Bundle or deleted"))</f>
        <v>0</v>
      </c>
      <c r="R712" s="13">
        <f>IF(B712="","",TEXT(B712,"yyyy-mm"))</f>
        <v>0</v>
      </c>
      <c r="S712" s="20">
        <f>IF(C712="","",IFERROR(INDEX(Products!$AR$5:$AR$304,MATCH(C712,Products!$A$5:$A$304,0)),""))</f>
        <v>0</v>
      </c>
      <c r="T712" s="20">
        <f>IF(B712="","",IF(F712&lt;&gt;"",F712,IF(S712="",0,S712)))</f>
        <v>0</v>
      </c>
      <c r="U712" s="20">
        <f>IF(B712="","",ROUND(IF(D712="",0,D712)*T712,2))</f>
        <v>0</v>
      </c>
      <c r="V712" s="20">
        <f>IF(B712="","",ROUND(U712-IF(G712="",0,G712)-IF(L712="",0,L712),2))</f>
        <v>0</v>
      </c>
      <c r="W712" s="20">
        <f>IF(C712="","",IFERROR(INDEX(Products!$AT$5:$AT$304,MATCH(C712,Products!$A$5:$A$304,0)),""))</f>
        <v>0</v>
      </c>
      <c r="X712" s="20">
        <f>IF(C712="","",IFERROR(INDEX(Products!$AG$5:$AG$304,MATCH(C712,Products!$A$5:$A$304,0)),""))</f>
        <v>0</v>
      </c>
      <c r="Y712" s="20">
        <f>IF(B712="","",ROUND(IF(D712="",0,D712)*MAX(0,IF(W712="",0,W712)-IF(X712="",0,X712)),2))</f>
        <v>0</v>
      </c>
      <c r="Z712" s="20">
        <f>IF(B712="","",ROUND(MAX(0,IF(J712="",0,J712)-IF(I712="",0,I712)),2))</f>
        <v>0</v>
      </c>
      <c r="AA712" s="33">
        <f>IF(B712="","",IFERROR(INDEX(Channels!$S$5:$S$18,MATCH(IF(E712="",DefaultChannel,E712),Channels!$A$5:$A$18,0)),0))</f>
        <v>0</v>
      </c>
      <c r="AB712" s="20">
        <f>IF(B712="","",IFERROR(INDEX(Channels!$T$5:$T$18,MATCH(IF(E712="",DefaultChannel,E712),Channels!$A$5:$A$18,0)),0))</f>
        <v>0</v>
      </c>
      <c r="AC712" s="42">
        <f>IF(B712="","",IFERROR(INDEX(Channels!$O$5:$O$18,MATCH(IF(E712="",DefaultChannel,E712),Channels!$A$5:$A$18,0)),"No"))</f>
        <v>0</v>
      </c>
      <c r="AD712" s="20">
        <f>IF(B712="","",ROUND((V712+IF(AC712="Yes",IF(I712="",0,I712),0))*AA712+AB712,2))</f>
        <v>0</v>
      </c>
      <c r="AE712" s="20">
        <f>IF(B712="","",IF(K712&lt;&gt;"",K712,AD712))</f>
        <v>0</v>
      </c>
      <c r="AF712" s="20">
        <f>IF(B712="","",IF(K712="","",ROUND(K712-AD712,2)))</f>
        <v>0</v>
      </c>
      <c r="AG712" s="20">
        <f>IF(B712="","",ROUND(V712-Y712-AE712-Z712,2))</f>
        <v>0</v>
      </c>
      <c r="AH712" s="33">
        <f>IF(B712="","",IF(OR(V712="",V712=0),"",AG712/V712))</f>
        <v>0</v>
      </c>
      <c r="AI712" s="33">
        <f>IF(C712="","",IFERROR(INDEX(Products!$AW$5:$AW$304,MATCH(C712,Products!$A$5:$A$304,0)),""))</f>
        <v>0</v>
      </c>
      <c r="AJ712" s="33">
        <f>IF(B712="","",IF(OR(AH712="",AI712=""),"",AH712-AI712))</f>
        <v>0</v>
      </c>
      <c r="AK712" s="41">
        <f>IF(B712="","",IFERROR(ROUND(IF(D712="",0,D712)*INDEX(Products!$X$5:$X$304,MATCH(C712,Products!$A$5:$A$304,0))/60,2),""))</f>
        <v>0</v>
      </c>
      <c r="AL712" s="20">
        <f>IF(B712="","",IF(OR(AK712="",AK712=0),"",ROUND(AG712/AK712,2)))</f>
        <v>0</v>
      </c>
      <c r="AM712" s="43">
        <f>IF(B712="","",IF(C712="","Add - which product?",IF(AG712&lt;0,"Loss - this order cost you money",IF(M712="Refunded","Refunded - check why",IF(AND(AF712&lt;&gt;"",AF712&gt;0.25),"Check - fees higher than your settings",IF(Z712&gt;1,"Check - postage is eating the margin",IF(AND(AH712&lt;&gt;"",AH712&lt;MarginWarning),"Low margin on this order","OK")))))) )</f>
        <v>0</v>
      </c>
    </row>
    <row r="713" spans="1:39">
      <c r="A713" s="38">
        <f>IF(B713="","",SalePrefix&amp;TEXT(ROW()-4,"0000"))</f>
        <v>0</v>
      </c>
      <c r="Q713" s="13">
        <f>IF(C713="","",IFERROR(INDEX(Products!$B$5:$B$304,MATCH(C713,Products!$A$5:$A$304,0)),"Bundle or deleted"))</f>
        <v>0</v>
      </c>
      <c r="R713" s="13">
        <f>IF(B713="","",TEXT(B713,"yyyy-mm"))</f>
        <v>0</v>
      </c>
      <c r="S713" s="20">
        <f>IF(C713="","",IFERROR(INDEX(Products!$AR$5:$AR$304,MATCH(C713,Products!$A$5:$A$304,0)),""))</f>
        <v>0</v>
      </c>
      <c r="T713" s="20">
        <f>IF(B713="","",IF(F713&lt;&gt;"",F713,IF(S713="",0,S713)))</f>
        <v>0</v>
      </c>
      <c r="U713" s="20">
        <f>IF(B713="","",ROUND(IF(D713="",0,D713)*T713,2))</f>
        <v>0</v>
      </c>
      <c r="V713" s="20">
        <f>IF(B713="","",ROUND(U713-IF(G713="",0,G713)-IF(L713="",0,L713),2))</f>
        <v>0</v>
      </c>
      <c r="W713" s="20">
        <f>IF(C713="","",IFERROR(INDEX(Products!$AT$5:$AT$304,MATCH(C713,Products!$A$5:$A$304,0)),""))</f>
        <v>0</v>
      </c>
      <c r="X713" s="20">
        <f>IF(C713="","",IFERROR(INDEX(Products!$AG$5:$AG$304,MATCH(C713,Products!$A$5:$A$304,0)),""))</f>
        <v>0</v>
      </c>
      <c r="Y713" s="20">
        <f>IF(B713="","",ROUND(IF(D713="",0,D713)*MAX(0,IF(W713="",0,W713)-IF(X713="",0,X713)),2))</f>
        <v>0</v>
      </c>
      <c r="Z713" s="20">
        <f>IF(B713="","",ROUND(MAX(0,IF(J713="",0,J713)-IF(I713="",0,I713)),2))</f>
        <v>0</v>
      </c>
      <c r="AA713" s="33">
        <f>IF(B713="","",IFERROR(INDEX(Channels!$S$5:$S$18,MATCH(IF(E713="",DefaultChannel,E713),Channels!$A$5:$A$18,0)),0))</f>
        <v>0</v>
      </c>
      <c r="AB713" s="20">
        <f>IF(B713="","",IFERROR(INDEX(Channels!$T$5:$T$18,MATCH(IF(E713="",DefaultChannel,E713),Channels!$A$5:$A$18,0)),0))</f>
        <v>0</v>
      </c>
      <c r="AC713" s="42">
        <f>IF(B713="","",IFERROR(INDEX(Channels!$O$5:$O$18,MATCH(IF(E713="",DefaultChannel,E713),Channels!$A$5:$A$18,0)),"No"))</f>
        <v>0</v>
      </c>
      <c r="AD713" s="20">
        <f>IF(B713="","",ROUND((V713+IF(AC713="Yes",IF(I713="",0,I713),0))*AA713+AB713,2))</f>
        <v>0</v>
      </c>
      <c r="AE713" s="20">
        <f>IF(B713="","",IF(K713&lt;&gt;"",K713,AD713))</f>
        <v>0</v>
      </c>
      <c r="AF713" s="20">
        <f>IF(B713="","",IF(K713="","",ROUND(K713-AD713,2)))</f>
        <v>0</v>
      </c>
      <c r="AG713" s="20">
        <f>IF(B713="","",ROUND(V713-Y713-AE713-Z713,2))</f>
        <v>0</v>
      </c>
      <c r="AH713" s="33">
        <f>IF(B713="","",IF(OR(V713="",V713=0),"",AG713/V713))</f>
        <v>0</v>
      </c>
      <c r="AI713" s="33">
        <f>IF(C713="","",IFERROR(INDEX(Products!$AW$5:$AW$304,MATCH(C713,Products!$A$5:$A$304,0)),""))</f>
        <v>0</v>
      </c>
      <c r="AJ713" s="33">
        <f>IF(B713="","",IF(OR(AH713="",AI713=""),"",AH713-AI713))</f>
        <v>0</v>
      </c>
      <c r="AK713" s="41">
        <f>IF(B713="","",IFERROR(ROUND(IF(D713="",0,D713)*INDEX(Products!$X$5:$X$304,MATCH(C713,Products!$A$5:$A$304,0))/60,2),""))</f>
        <v>0</v>
      </c>
      <c r="AL713" s="20">
        <f>IF(B713="","",IF(OR(AK713="",AK713=0),"",ROUND(AG713/AK713,2)))</f>
        <v>0</v>
      </c>
      <c r="AM713" s="43">
        <f>IF(B713="","",IF(C713="","Add - which product?",IF(AG713&lt;0,"Loss - this order cost you money",IF(M713="Refunded","Refunded - check why",IF(AND(AF713&lt;&gt;"",AF713&gt;0.25),"Check - fees higher than your settings",IF(Z713&gt;1,"Check - postage is eating the margin",IF(AND(AH713&lt;&gt;"",AH713&lt;MarginWarning),"Low margin on this order","OK")))))) )</f>
        <v>0</v>
      </c>
    </row>
    <row r="714" spans="1:39">
      <c r="A714" s="38">
        <f>IF(B714="","",SalePrefix&amp;TEXT(ROW()-4,"0000"))</f>
        <v>0</v>
      </c>
      <c r="Q714" s="13">
        <f>IF(C714="","",IFERROR(INDEX(Products!$B$5:$B$304,MATCH(C714,Products!$A$5:$A$304,0)),"Bundle or deleted"))</f>
        <v>0</v>
      </c>
      <c r="R714" s="13">
        <f>IF(B714="","",TEXT(B714,"yyyy-mm"))</f>
        <v>0</v>
      </c>
      <c r="S714" s="20">
        <f>IF(C714="","",IFERROR(INDEX(Products!$AR$5:$AR$304,MATCH(C714,Products!$A$5:$A$304,0)),""))</f>
        <v>0</v>
      </c>
      <c r="T714" s="20">
        <f>IF(B714="","",IF(F714&lt;&gt;"",F714,IF(S714="",0,S714)))</f>
        <v>0</v>
      </c>
      <c r="U714" s="20">
        <f>IF(B714="","",ROUND(IF(D714="",0,D714)*T714,2))</f>
        <v>0</v>
      </c>
      <c r="V714" s="20">
        <f>IF(B714="","",ROUND(U714-IF(G714="",0,G714)-IF(L714="",0,L714),2))</f>
        <v>0</v>
      </c>
      <c r="W714" s="20">
        <f>IF(C714="","",IFERROR(INDEX(Products!$AT$5:$AT$304,MATCH(C714,Products!$A$5:$A$304,0)),""))</f>
        <v>0</v>
      </c>
      <c r="X714" s="20">
        <f>IF(C714="","",IFERROR(INDEX(Products!$AG$5:$AG$304,MATCH(C714,Products!$A$5:$A$304,0)),""))</f>
        <v>0</v>
      </c>
      <c r="Y714" s="20">
        <f>IF(B714="","",ROUND(IF(D714="",0,D714)*MAX(0,IF(W714="",0,W714)-IF(X714="",0,X714)),2))</f>
        <v>0</v>
      </c>
      <c r="Z714" s="20">
        <f>IF(B714="","",ROUND(MAX(0,IF(J714="",0,J714)-IF(I714="",0,I714)),2))</f>
        <v>0</v>
      </c>
      <c r="AA714" s="33">
        <f>IF(B714="","",IFERROR(INDEX(Channels!$S$5:$S$18,MATCH(IF(E714="",DefaultChannel,E714),Channels!$A$5:$A$18,0)),0))</f>
        <v>0</v>
      </c>
      <c r="AB714" s="20">
        <f>IF(B714="","",IFERROR(INDEX(Channels!$T$5:$T$18,MATCH(IF(E714="",DefaultChannel,E714),Channels!$A$5:$A$18,0)),0))</f>
        <v>0</v>
      </c>
      <c r="AC714" s="42">
        <f>IF(B714="","",IFERROR(INDEX(Channels!$O$5:$O$18,MATCH(IF(E714="",DefaultChannel,E714),Channels!$A$5:$A$18,0)),"No"))</f>
        <v>0</v>
      </c>
      <c r="AD714" s="20">
        <f>IF(B714="","",ROUND((V714+IF(AC714="Yes",IF(I714="",0,I714),0))*AA714+AB714,2))</f>
        <v>0</v>
      </c>
      <c r="AE714" s="20">
        <f>IF(B714="","",IF(K714&lt;&gt;"",K714,AD714))</f>
        <v>0</v>
      </c>
      <c r="AF714" s="20">
        <f>IF(B714="","",IF(K714="","",ROUND(K714-AD714,2)))</f>
        <v>0</v>
      </c>
      <c r="AG714" s="20">
        <f>IF(B714="","",ROUND(V714-Y714-AE714-Z714,2))</f>
        <v>0</v>
      </c>
      <c r="AH714" s="33">
        <f>IF(B714="","",IF(OR(V714="",V714=0),"",AG714/V714))</f>
        <v>0</v>
      </c>
      <c r="AI714" s="33">
        <f>IF(C714="","",IFERROR(INDEX(Products!$AW$5:$AW$304,MATCH(C714,Products!$A$5:$A$304,0)),""))</f>
        <v>0</v>
      </c>
      <c r="AJ714" s="33">
        <f>IF(B714="","",IF(OR(AH714="",AI714=""),"",AH714-AI714))</f>
        <v>0</v>
      </c>
      <c r="AK714" s="41">
        <f>IF(B714="","",IFERROR(ROUND(IF(D714="",0,D714)*INDEX(Products!$X$5:$X$304,MATCH(C714,Products!$A$5:$A$304,0))/60,2),""))</f>
        <v>0</v>
      </c>
      <c r="AL714" s="20">
        <f>IF(B714="","",IF(OR(AK714="",AK714=0),"",ROUND(AG714/AK714,2)))</f>
        <v>0</v>
      </c>
      <c r="AM714" s="43">
        <f>IF(B714="","",IF(C714="","Add - which product?",IF(AG714&lt;0,"Loss - this order cost you money",IF(M714="Refunded","Refunded - check why",IF(AND(AF714&lt;&gt;"",AF714&gt;0.25),"Check - fees higher than your settings",IF(Z714&gt;1,"Check - postage is eating the margin",IF(AND(AH714&lt;&gt;"",AH714&lt;MarginWarning),"Low margin on this order","OK")))))) )</f>
        <v>0</v>
      </c>
    </row>
    <row r="715" spans="1:39">
      <c r="A715" s="38">
        <f>IF(B715="","",SalePrefix&amp;TEXT(ROW()-4,"0000"))</f>
        <v>0</v>
      </c>
      <c r="Q715" s="13">
        <f>IF(C715="","",IFERROR(INDEX(Products!$B$5:$B$304,MATCH(C715,Products!$A$5:$A$304,0)),"Bundle or deleted"))</f>
        <v>0</v>
      </c>
      <c r="R715" s="13">
        <f>IF(B715="","",TEXT(B715,"yyyy-mm"))</f>
        <v>0</v>
      </c>
      <c r="S715" s="20">
        <f>IF(C715="","",IFERROR(INDEX(Products!$AR$5:$AR$304,MATCH(C715,Products!$A$5:$A$304,0)),""))</f>
        <v>0</v>
      </c>
      <c r="T715" s="20">
        <f>IF(B715="","",IF(F715&lt;&gt;"",F715,IF(S715="",0,S715)))</f>
        <v>0</v>
      </c>
      <c r="U715" s="20">
        <f>IF(B715="","",ROUND(IF(D715="",0,D715)*T715,2))</f>
        <v>0</v>
      </c>
      <c r="V715" s="20">
        <f>IF(B715="","",ROUND(U715-IF(G715="",0,G715)-IF(L715="",0,L715),2))</f>
        <v>0</v>
      </c>
      <c r="W715" s="20">
        <f>IF(C715="","",IFERROR(INDEX(Products!$AT$5:$AT$304,MATCH(C715,Products!$A$5:$A$304,0)),""))</f>
        <v>0</v>
      </c>
      <c r="X715" s="20">
        <f>IF(C715="","",IFERROR(INDEX(Products!$AG$5:$AG$304,MATCH(C715,Products!$A$5:$A$304,0)),""))</f>
        <v>0</v>
      </c>
      <c r="Y715" s="20">
        <f>IF(B715="","",ROUND(IF(D715="",0,D715)*MAX(0,IF(W715="",0,W715)-IF(X715="",0,X715)),2))</f>
        <v>0</v>
      </c>
      <c r="Z715" s="20">
        <f>IF(B715="","",ROUND(MAX(0,IF(J715="",0,J715)-IF(I715="",0,I715)),2))</f>
        <v>0</v>
      </c>
      <c r="AA715" s="33">
        <f>IF(B715="","",IFERROR(INDEX(Channels!$S$5:$S$18,MATCH(IF(E715="",DefaultChannel,E715),Channels!$A$5:$A$18,0)),0))</f>
        <v>0</v>
      </c>
      <c r="AB715" s="20">
        <f>IF(B715="","",IFERROR(INDEX(Channels!$T$5:$T$18,MATCH(IF(E715="",DefaultChannel,E715),Channels!$A$5:$A$18,0)),0))</f>
        <v>0</v>
      </c>
      <c r="AC715" s="42">
        <f>IF(B715="","",IFERROR(INDEX(Channels!$O$5:$O$18,MATCH(IF(E715="",DefaultChannel,E715),Channels!$A$5:$A$18,0)),"No"))</f>
        <v>0</v>
      </c>
      <c r="AD715" s="20">
        <f>IF(B715="","",ROUND((V715+IF(AC715="Yes",IF(I715="",0,I715),0))*AA715+AB715,2))</f>
        <v>0</v>
      </c>
      <c r="AE715" s="20">
        <f>IF(B715="","",IF(K715&lt;&gt;"",K715,AD715))</f>
        <v>0</v>
      </c>
      <c r="AF715" s="20">
        <f>IF(B715="","",IF(K715="","",ROUND(K715-AD715,2)))</f>
        <v>0</v>
      </c>
      <c r="AG715" s="20">
        <f>IF(B715="","",ROUND(V715-Y715-AE715-Z715,2))</f>
        <v>0</v>
      </c>
      <c r="AH715" s="33">
        <f>IF(B715="","",IF(OR(V715="",V715=0),"",AG715/V715))</f>
        <v>0</v>
      </c>
      <c r="AI715" s="33">
        <f>IF(C715="","",IFERROR(INDEX(Products!$AW$5:$AW$304,MATCH(C715,Products!$A$5:$A$304,0)),""))</f>
        <v>0</v>
      </c>
      <c r="AJ715" s="33">
        <f>IF(B715="","",IF(OR(AH715="",AI715=""),"",AH715-AI715))</f>
        <v>0</v>
      </c>
      <c r="AK715" s="41">
        <f>IF(B715="","",IFERROR(ROUND(IF(D715="",0,D715)*INDEX(Products!$X$5:$X$304,MATCH(C715,Products!$A$5:$A$304,0))/60,2),""))</f>
        <v>0</v>
      </c>
      <c r="AL715" s="20">
        <f>IF(B715="","",IF(OR(AK715="",AK715=0),"",ROUND(AG715/AK715,2)))</f>
        <v>0</v>
      </c>
      <c r="AM715" s="43">
        <f>IF(B715="","",IF(C715="","Add - which product?",IF(AG715&lt;0,"Loss - this order cost you money",IF(M715="Refunded","Refunded - check why",IF(AND(AF715&lt;&gt;"",AF715&gt;0.25),"Check - fees higher than your settings",IF(Z715&gt;1,"Check - postage is eating the margin",IF(AND(AH715&lt;&gt;"",AH715&lt;MarginWarning),"Low margin on this order","OK")))))) )</f>
        <v>0</v>
      </c>
    </row>
    <row r="716" spans="1:39">
      <c r="A716" s="38">
        <f>IF(B716="","",SalePrefix&amp;TEXT(ROW()-4,"0000"))</f>
        <v>0</v>
      </c>
      <c r="Q716" s="13">
        <f>IF(C716="","",IFERROR(INDEX(Products!$B$5:$B$304,MATCH(C716,Products!$A$5:$A$304,0)),"Bundle or deleted"))</f>
        <v>0</v>
      </c>
      <c r="R716" s="13">
        <f>IF(B716="","",TEXT(B716,"yyyy-mm"))</f>
        <v>0</v>
      </c>
      <c r="S716" s="20">
        <f>IF(C716="","",IFERROR(INDEX(Products!$AR$5:$AR$304,MATCH(C716,Products!$A$5:$A$304,0)),""))</f>
        <v>0</v>
      </c>
      <c r="T716" s="20">
        <f>IF(B716="","",IF(F716&lt;&gt;"",F716,IF(S716="",0,S716)))</f>
        <v>0</v>
      </c>
      <c r="U716" s="20">
        <f>IF(B716="","",ROUND(IF(D716="",0,D716)*T716,2))</f>
        <v>0</v>
      </c>
      <c r="V716" s="20">
        <f>IF(B716="","",ROUND(U716-IF(G716="",0,G716)-IF(L716="",0,L716),2))</f>
        <v>0</v>
      </c>
      <c r="W716" s="20">
        <f>IF(C716="","",IFERROR(INDEX(Products!$AT$5:$AT$304,MATCH(C716,Products!$A$5:$A$304,0)),""))</f>
        <v>0</v>
      </c>
      <c r="X716" s="20">
        <f>IF(C716="","",IFERROR(INDEX(Products!$AG$5:$AG$304,MATCH(C716,Products!$A$5:$A$304,0)),""))</f>
        <v>0</v>
      </c>
      <c r="Y716" s="20">
        <f>IF(B716="","",ROUND(IF(D716="",0,D716)*MAX(0,IF(W716="",0,W716)-IF(X716="",0,X716)),2))</f>
        <v>0</v>
      </c>
      <c r="Z716" s="20">
        <f>IF(B716="","",ROUND(MAX(0,IF(J716="",0,J716)-IF(I716="",0,I716)),2))</f>
        <v>0</v>
      </c>
      <c r="AA716" s="33">
        <f>IF(B716="","",IFERROR(INDEX(Channels!$S$5:$S$18,MATCH(IF(E716="",DefaultChannel,E716),Channels!$A$5:$A$18,0)),0))</f>
        <v>0</v>
      </c>
      <c r="AB716" s="20">
        <f>IF(B716="","",IFERROR(INDEX(Channels!$T$5:$T$18,MATCH(IF(E716="",DefaultChannel,E716),Channels!$A$5:$A$18,0)),0))</f>
        <v>0</v>
      </c>
      <c r="AC716" s="42">
        <f>IF(B716="","",IFERROR(INDEX(Channels!$O$5:$O$18,MATCH(IF(E716="",DefaultChannel,E716),Channels!$A$5:$A$18,0)),"No"))</f>
        <v>0</v>
      </c>
      <c r="AD716" s="20">
        <f>IF(B716="","",ROUND((V716+IF(AC716="Yes",IF(I716="",0,I716),0))*AA716+AB716,2))</f>
        <v>0</v>
      </c>
      <c r="AE716" s="20">
        <f>IF(B716="","",IF(K716&lt;&gt;"",K716,AD716))</f>
        <v>0</v>
      </c>
      <c r="AF716" s="20">
        <f>IF(B716="","",IF(K716="","",ROUND(K716-AD716,2)))</f>
        <v>0</v>
      </c>
      <c r="AG716" s="20">
        <f>IF(B716="","",ROUND(V716-Y716-AE716-Z716,2))</f>
        <v>0</v>
      </c>
      <c r="AH716" s="33">
        <f>IF(B716="","",IF(OR(V716="",V716=0),"",AG716/V716))</f>
        <v>0</v>
      </c>
      <c r="AI716" s="33">
        <f>IF(C716="","",IFERROR(INDEX(Products!$AW$5:$AW$304,MATCH(C716,Products!$A$5:$A$304,0)),""))</f>
        <v>0</v>
      </c>
      <c r="AJ716" s="33">
        <f>IF(B716="","",IF(OR(AH716="",AI716=""),"",AH716-AI716))</f>
        <v>0</v>
      </c>
      <c r="AK716" s="41">
        <f>IF(B716="","",IFERROR(ROUND(IF(D716="",0,D716)*INDEX(Products!$X$5:$X$304,MATCH(C716,Products!$A$5:$A$304,0))/60,2),""))</f>
        <v>0</v>
      </c>
      <c r="AL716" s="20">
        <f>IF(B716="","",IF(OR(AK716="",AK716=0),"",ROUND(AG716/AK716,2)))</f>
        <v>0</v>
      </c>
      <c r="AM716" s="43">
        <f>IF(B716="","",IF(C716="","Add - which product?",IF(AG716&lt;0,"Loss - this order cost you money",IF(M716="Refunded","Refunded - check why",IF(AND(AF716&lt;&gt;"",AF716&gt;0.25),"Check - fees higher than your settings",IF(Z716&gt;1,"Check - postage is eating the margin",IF(AND(AH716&lt;&gt;"",AH716&lt;MarginWarning),"Low margin on this order","OK")))))) )</f>
        <v>0</v>
      </c>
    </row>
    <row r="717" spans="1:39">
      <c r="A717" s="38">
        <f>IF(B717="","",SalePrefix&amp;TEXT(ROW()-4,"0000"))</f>
        <v>0</v>
      </c>
      <c r="Q717" s="13">
        <f>IF(C717="","",IFERROR(INDEX(Products!$B$5:$B$304,MATCH(C717,Products!$A$5:$A$304,0)),"Bundle or deleted"))</f>
        <v>0</v>
      </c>
      <c r="R717" s="13">
        <f>IF(B717="","",TEXT(B717,"yyyy-mm"))</f>
        <v>0</v>
      </c>
      <c r="S717" s="20">
        <f>IF(C717="","",IFERROR(INDEX(Products!$AR$5:$AR$304,MATCH(C717,Products!$A$5:$A$304,0)),""))</f>
        <v>0</v>
      </c>
      <c r="T717" s="20">
        <f>IF(B717="","",IF(F717&lt;&gt;"",F717,IF(S717="",0,S717)))</f>
        <v>0</v>
      </c>
      <c r="U717" s="20">
        <f>IF(B717="","",ROUND(IF(D717="",0,D717)*T717,2))</f>
        <v>0</v>
      </c>
      <c r="V717" s="20">
        <f>IF(B717="","",ROUND(U717-IF(G717="",0,G717)-IF(L717="",0,L717),2))</f>
        <v>0</v>
      </c>
      <c r="W717" s="20">
        <f>IF(C717="","",IFERROR(INDEX(Products!$AT$5:$AT$304,MATCH(C717,Products!$A$5:$A$304,0)),""))</f>
        <v>0</v>
      </c>
      <c r="X717" s="20">
        <f>IF(C717="","",IFERROR(INDEX(Products!$AG$5:$AG$304,MATCH(C717,Products!$A$5:$A$304,0)),""))</f>
        <v>0</v>
      </c>
      <c r="Y717" s="20">
        <f>IF(B717="","",ROUND(IF(D717="",0,D717)*MAX(0,IF(W717="",0,W717)-IF(X717="",0,X717)),2))</f>
        <v>0</v>
      </c>
      <c r="Z717" s="20">
        <f>IF(B717="","",ROUND(MAX(0,IF(J717="",0,J717)-IF(I717="",0,I717)),2))</f>
        <v>0</v>
      </c>
      <c r="AA717" s="33">
        <f>IF(B717="","",IFERROR(INDEX(Channels!$S$5:$S$18,MATCH(IF(E717="",DefaultChannel,E717),Channels!$A$5:$A$18,0)),0))</f>
        <v>0</v>
      </c>
      <c r="AB717" s="20">
        <f>IF(B717="","",IFERROR(INDEX(Channels!$T$5:$T$18,MATCH(IF(E717="",DefaultChannel,E717),Channels!$A$5:$A$18,0)),0))</f>
        <v>0</v>
      </c>
      <c r="AC717" s="42">
        <f>IF(B717="","",IFERROR(INDEX(Channels!$O$5:$O$18,MATCH(IF(E717="",DefaultChannel,E717),Channels!$A$5:$A$18,0)),"No"))</f>
        <v>0</v>
      </c>
      <c r="AD717" s="20">
        <f>IF(B717="","",ROUND((V717+IF(AC717="Yes",IF(I717="",0,I717),0))*AA717+AB717,2))</f>
        <v>0</v>
      </c>
      <c r="AE717" s="20">
        <f>IF(B717="","",IF(K717&lt;&gt;"",K717,AD717))</f>
        <v>0</v>
      </c>
      <c r="AF717" s="20">
        <f>IF(B717="","",IF(K717="","",ROUND(K717-AD717,2)))</f>
        <v>0</v>
      </c>
      <c r="AG717" s="20">
        <f>IF(B717="","",ROUND(V717-Y717-AE717-Z717,2))</f>
        <v>0</v>
      </c>
      <c r="AH717" s="33">
        <f>IF(B717="","",IF(OR(V717="",V717=0),"",AG717/V717))</f>
        <v>0</v>
      </c>
      <c r="AI717" s="33">
        <f>IF(C717="","",IFERROR(INDEX(Products!$AW$5:$AW$304,MATCH(C717,Products!$A$5:$A$304,0)),""))</f>
        <v>0</v>
      </c>
      <c r="AJ717" s="33">
        <f>IF(B717="","",IF(OR(AH717="",AI717=""),"",AH717-AI717))</f>
        <v>0</v>
      </c>
      <c r="AK717" s="41">
        <f>IF(B717="","",IFERROR(ROUND(IF(D717="",0,D717)*INDEX(Products!$X$5:$X$304,MATCH(C717,Products!$A$5:$A$304,0))/60,2),""))</f>
        <v>0</v>
      </c>
      <c r="AL717" s="20">
        <f>IF(B717="","",IF(OR(AK717="",AK717=0),"",ROUND(AG717/AK717,2)))</f>
        <v>0</v>
      </c>
      <c r="AM717" s="43">
        <f>IF(B717="","",IF(C717="","Add - which product?",IF(AG717&lt;0,"Loss - this order cost you money",IF(M717="Refunded","Refunded - check why",IF(AND(AF717&lt;&gt;"",AF717&gt;0.25),"Check - fees higher than your settings",IF(Z717&gt;1,"Check - postage is eating the margin",IF(AND(AH717&lt;&gt;"",AH717&lt;MarginWarning),"Low margin on this order","OK")))))) )</f>
        <v>0</v>
      </c>
    </row>
    <row r="718" spans="1:39">
      <c r="A718" s="38">
        <f>IF(B718="","",SalePrefix&amp;TEXT(ROW()-4,"0000"))</f>
        <v>0</v>
      </c>
      <c r="Q718" s="13">
        <f>IF(C718="","",IFERROR(INDEX(Products!$B$5:$B$304,MATCH(C718,Products!$A$5:$A$304,0)),"Bundle or deleted"))</f>
        <v>0</v>
      </c>
      <c r="R718" s="13">
        <f>IF(B718="","",TEXT(B718,"yyyy-mm"))</f>
        <v>0</v>
      </c>
      <c r="S718" s="20">
        <f>IF(C718="","",IFERROR(INDEX(Products!$AR$5:$AR$304,MATCH(C718,Products!$A$5:$A$304,0)),""))</f>
        <v>0</v>
      </c>
      <c r="T718" s="20">
        <f>IF(B718="","",IF(F718&lt;&gt;"",F718,IF(S718="",0,S718)))</f>
        <v>0</v>
      </c>
      <c r="U718" s="20">
        <f>IF(B718="","",ROUND(IF(D718="",0,D718)*T718,2))</f>
        <v>0</v>
      </c>
      <c r="V718" s="20">
        <f>IF(B718="","",ROUND(U718-IF(G718="",0,G718)-IF(L718="",0,L718),2))</f>
        <v>0</v>
      </c>
      <c r="W718" s="20">
        <f>IF(C718="","",IFERROR(INDEX(Products!$AT$5:$AT$304,MATCH(C718,Products!$A$5:$A$304,0)),""))</f>
        <v>0</v>
      </c>
      <c r="X718" s="20">
        <f>IF(C718="","",IFERROR(INDEX(Products!$AG$5:$AG$304,MATCH(C718,Products!$A$5:$A$304,0)),""))</f>
        <v>0</v>
      </c>
      <c r="Y718" s="20">
        <f>IF(B718="","",ROUND(IF(D718="",0,D718)*MAX(0,IF(W718="",0,W718)-IF(X718="",0,X718)),2))</f>
        <v>0</v>
      </c>
      <c r="Z718" s="20">
        <f>IF(B718="","",ROUND(MAX(0,IF(J718="",0,J718)-IF(I718="",0,I718)),2))</f>
        <v>0</v>
      </c>
      <c r="AA718" s="33">
        <f>IF(B718="","",IFERROR(INDEX(Channels!$S$5:$S$18,MATCH(IF(E718="",DefaultChannel,E718),Channels!$A$5:$A$18,0)),0))</f>
        <v>0</v>
      </c>
      <c r="AB718" s="20">
        <f>IF(B718="","",IFERROR(INDEX(Channels!$T$5:$T$18,MATCH(IF(E718="",DefaultChannel,E718),Channels!$A$5:$A$18,0)),0))</f>
        <v>0</v>
      </c>
      <c r="AC718" s="42">
        <f>IF(B718="","",IFERROR(INDEX(Channels!$O$5:$O$18,MATCH(IF(E718="",DefaultChannel,E718),Channels!$A$5:$A$18,0)),"No"))</f>
        <v>0</v>
      </c>
      <c r="AD718" s="20">
        <f>IF(B718="","",ROUND((V718+IF(AC718="Yes",IF(I718="",0,I718),0))*AA718+AB718,2))</f>
        <v>0</v>
      </c>
      <c r="AE718" s="20">
        <f>IF(B718="","",IF(K718&lt;&gt;"",K718,AD718))</f>
        <v>0</v>
      </c>
      <c r="AF718" s="20">
        <f>IF(B718="","",IF(K718="","",ROUND(K718-AD718,2)))</f>
        <v>0</v>
      </c>
      <c r="AG718" s="20">
        <f>IF(B718="","",ROUND(V718-Y718-AE718-Z718,2))</f>
        <v>0</v>
      </c>
      <c r="AH718" s="33">
        <f>IF(B718="","",IF(OR(V718="",V718=0),"",AG718/V718))</f>
        <v>0</v>
      </c>
      <c r="AI718" s="33">
        <f>IF(C718="","",IFERROR(INDEX(Products!$AW$5:$AW$304,MATCH(C718,Products!$A$5:$A$304,0)),""))</f>
        <v>0</v>
      </c>
      <c r="AJ718" s="33">
        <f>IF(B718="","",IF(OR(AH718="",AI718=""),"",AH718-AI718))</f>
        <v>0</v>
      </c>
      <c r="AK718" s="41">
        <f>IF(B718="","",IFERROR(ROUND(IF(D718="",0,D718)*INDEX(Products!$X$5:$X$304,MATCH(C718,Products!$A$5:$A$304,0))/60,2),""))</f>
        <v>0</v>
      </c>
      <c r="AL718" s="20">
        <f>IF(B718="","",IF(OR(AK718="",AK718=0),"",ROUND(AG718/AK718,2)))</f>
        <v>0</v>
      </c>
      <c r="AM718" s="43">
        <f>IF(B718="","",IF(C718="","Add - which product?",IF(AG718&lt;0,"Loss - this order cost you money",IF(M718="Refunded","Refunded - check why",IF(AND(AF718&lt;&gt;"",AF718&gt;0.25),"Check - fees higher than your settings",IF(Z718&gt;1,"Check - postage is eating the margin",IF(AND(AH718&lt;&gt;"",AH718&lt;MarginWarning),"Low margin on this order","OK")))))) )</f>
        <v>0</v>
      </c>
    </row>
    <row r="719" spans="1:39">
      <c r="A719" s="38">
        <f>IF(B719="","",SalePrefix&amp;TEXT(ROW()-4,"0000"))</f>
        <v>0</v>
      </c>
      <c r="Q719" s="13">
        <f>IF(C719="","",IFERROR(INDEX(Products!$B$5:$B$304,MATCH(C719,Products!$A$5:$A$304,0)),"Bundle or deleted"))</f>
        <v>0</v>
      </c>
      <c r="R719" s="13">
        <f>IF(B719="","",TEXT(B719,"yyyy-mm"))</f>
        <v>0</v>
      </c>
      <c r="S719" s="20">
        <f>IF(C719="","",IFERROR(INDEX(Products!$AR$5:$AR$304,MATCH(C719,Products!$A$5:$A$304,0)),""))</f>
        <v>0</v>
      </c>
      <c r="T719" s="20">
        <f>IF(B719="","",IF(F719&lt;&gt;"",F719,IF(S719="",0,S719)))</f>
        <v>0</v>
      </c>
      <c r="U719" s="20">
        <f>IF(B719="","",ROUND(IF(D719="",0,D719)*T719,2))</f>
        <v>0</v>
      </c>
      <c r="V719" s="20">
        <f>IF(B719="","",ROUND(U719-IF(G719="",0,G719)-IF(L719="",0,L719),2))</f>
        <v>0</v>
      </c>
      <c r="W719" s="20">
        <f>IF(C719="","",IFERROR(INDEX(Products!$AT$5:$AT$304,MATCH(C719,Products!$A$5:$A$304,0)),""))</f>
        <v>0</v>
      </c>
      <c r="X719" s="20">
        <f>IF(C719="","",IFERROR(INDEX(Products!$AG$5:$AG$304,MATCH(C719,Products!$A$5:$A$304,0)),""))</f>
        <v>0</v>
      </c>
      <c r="Y719" s="20">
        <f>IF(B719="","",ROUND(IF(D719="",0,D719)*MAX(0,IF(W719="",0,W719)-IF(X719="",0,X719)),2))</f>
        <v>0</v>
      </c>
      <c r="Z719" s="20">
        <f>IF(B719="","",ROUND(MAX(0,IF(J719="",0,J719)-IF(I719="",0,I719)),2))</f>
        <v>0</v>
      </c>
      <c r="AA719" s="33">
        <f>IF(B719="","",IFERROR(INDEX(Channels!$S$5:$S$18,MATCH(IF(E719="",DefaultChannel,E719),Channels!$A$5:$A$18,0)),0))</f>
        <v>0</v>
      </c>
      <c r="AB719" s="20">
        <f>IF(B719="","",IFERROR(INDEX(Channels!$T$5:$T$18,MATCH(IF(E719="",DefaultChannel,E719),Channels!$A$5:$A$18,0)),0))</f>
        <v>0</v>
      </c>
      <c r="AC719" s="42">
        <f>IF(B719="","",IFERROR(INDEX(Channels!$O$5:$O$18,MATCH(IF(E719="",DefaultChannel,E719),Channels!$A$5:$A$18,0)),"No"))</f>
        <v>0</v>
      </c>
      <c r="AD719" s="20">
        <f>IF(B719="","",ROUND((V719+IF(AC719="Yes",IF(I719="",0,I719),0))*AA719+AB719,2))</f>
        <v>0</v>
      </c>
      <c r="AE719" s="20">
        <f>IF(B719="","",IF(K719&lt;&gt;"",K719,AD719))</f>
        <v>0</v>
      </c>
      <c r="AF719" s="20">
        <f>IF(B719="","",IF(K719="","",ROUND(K719-AD719,2)))</f>
        <v>0</v>
      </c>
      <c r="AG719" s="20">
        <f>IF(B719="","",ROUND(V719-Y719-AE719-Z719,2))</f>
        <v>0</v>
      </c>
      <c r="AH719" s="33">
        <f>IF(B719="","",IF(OR(V719="",V719=0),"",AG719/V719))</f>
        <v>0</v>
      </c>
      <c r="AI719" s="33">
        <f>IF(C719="","",IFERROR(INDEX(Products!$AW$5:$AW$304,MATCH(C719,Products!$A$5:$A$304,0)),""))</f>
        <v>0</v>
      </c>
      <c r="AJ719" s="33">
        <f>IF(B719="","",IF(OR(AH719="",AI719=""),"",AH719-AI719))</f>
        <v>0</v>
      </c>
      <c r="AK719" s="41">
        <f>IF(B719="","",IFERROR(ROUND(IF(D719="",0,D719)*INDEX(Products!$X$5:$X$304,MATCH(C719,Products!$A$5:$A$304,0))/60,2),""))</f>
        <v>0</v>
      </c>
      <c r="AL719" s="20">
        <f>IF(B719="","",IF(OR(AK719="",AK719=0),"",ROUND(AG719/AK719,2)))</f>
        <v>0</v>
      </c>
      <c r="AM719" s="43">
        <f>IF(B719="","",IF(C719="","Add - which product?",IF(AG719&lt;0,"Loss - this order cost you money",IF(M719="Refunded","Refunded - check why",IF(AND(AF719&lt;&gt;"",AF719&gt;0.25),"Check - fees higher than your settings",IF(Z719&gt;1,"Check - postage is eating the margin",IF(AND(AH719&lt;&gt;"",AH719&lt;MarginWarning),"Low margin on this order","OK")))))) )</f>
        <v>0</v>
      </c>
    </row>
    <row r="720" spans="1:39">
      <c r="A720" s="38">
        <f>IF(B720="","",SalePrefix&amp;TEXT(ROW()-4,"0000"))</f>
        <v>0</v>
      </c>
      <c r="Q720" s="13">
        <f>IF(C720="","",IFERROR(INDEX(Products!$B$5:$B$304,MATCH(C720,Products!$A$5:$A$304,0)),"Bundle or deleted"))</f>
        <v>0</v>
      </c>
      <c r="R720" s="13">
        <f>IF(B720="","",TEXT(B720,"yyyy-mm"))</f>
        <v>0</v>
      </c>
      <c r="S720" s="20">
        <f>IF(C720="","",IFERROR(INDEX(Products!$AR$5:$AR$304,MATCH(C720,Products!$A$5:$A$304,0)),""))</f>
        <v>0</v>
      </c>
      <c r="T720" s="20">
        <f>IF(B720="","",IF(F720&lt;&gt;"",F720,IF(S720="",0,S720)))</f>
        <v>0</v>
      </c>
      <c r="U720" s="20">
        <f>IF(B720="","",ROUND(IF(D720="",0,D720)*T720,2))</f>
        <v>0</v>
      </c>
      <c r="V720" s="20">
        <f>IF(B720="","",ROUND(U720-IF(G720="",0,G720)-IF(L720="",0,L720),2))</f>
        <v>0</v>
      </c>
      <c r="W720" s="20">
        <f>IF(C720="","",IFERROR(INDEX(Products!$AT$5:$AT$304,MATCH(C720,Products!$A$5:$A$304,0)),""))</f>
        <v>0</v>
      </c>
      <c r="X720" s="20">
        <f>IF(C720="","",IFERROR(INDEX(Products!$AG$5:$AG$304,MATCH(C720,Products!$A$5:$A$304,0)),""))</f>
        <v>0</v>
      </c>
      <c r="Y720" s="20">
        <f>IF(B720="","",ROUND(IF(D720="",0,D720)*MAX(0,IF(W720="",0,W720)-IF(X720="",0,X720)),2))</f>
        <v>0</v>
      </c>
      <c r="Z720" s="20">
        <f>IF(B720="","",ROUND(MAX(0,IF(J720="",0,J720)-IF(I720="",0,I720)),2))</f>
        <v>0</v>
      </c>
      <c r="AA720" s="33">
        <f>IF(B720="","",IFERROR(INDEX(Channels!$S$5:$S$18,MATCH(IF(E720="",DefaultChannel,E720),Channels!$A$5:$A$18,0)),0))</f>
        <v>0</v>
      </c>
      <c r="AB720" s="20">
        <f>IF(B720="","",IFERROR(INDEX(Channels!$T$5:$T$18,MATCH(IF(E720="",DefaultChannel,E720),Channels!$A$5:$A$18,0)),0))</f>
        <v>0</v>
      </c>
      <c r="AC720" s="42">
        <f>IF(B720="","",IFERROR(INDEX(Channels!$O$5:$O$18,MATCH(IF(E720="",DefaultChannel,E720),Channels!$A$5:$A$18,0)),"No"))</f>
        <v>0</v>
      </c>
      <c r="AD720" s="20">
        <f>IF(B720="","",ROUND((V720+IF(AC720="Yes",IF(I720="",0,I720),0))*AA720+AB720,2))</f>
        <v>0</v>
      </c>
      <c r="AE720" s="20">
        <f>IF(B720="","",IF(K720&lt;&gt;"",K720,AD720))</f>
        <v>0</v>
      </c>
      <c r="AF720" s="20">
        <f>IF(B720="","",IF(K720="","",ROUND(K720-AD720,2)))</f>
        <v>0</v>
      </c>
      <c r="AG720" s="20">
        <f>IF(B720="","",ROUND(V720-Y720-AE720-Z720,2))</f>
        <v>0</v>
      </c>
      <c r="AH720" s="33">
        <f>IF(B720="","",IF(OR(V720="",V720=0),"",AG720/V720))</f>
        <v>0</v>
      </c>
      <c r="AI720" s="33">
        <f>IF(C720="","",IFERROR(INDEX(Products!$AW$5:$AW$304,MATCH(C720,Products!$A$5:$A$304,0)),""))</f>
        <v>0</v>
      </c>
      <c r="AJ720" s="33">
        <f>IF(B720="","",IF(OR(AH720="",AI720=""),"",AH720-AI720))</f>
        <v>0</v>
      </c>
      <c r="AK720" s="41">
        <f>IF(B720="","",IFERROR(ROUND(IF(D720="",0,D720)*INDEX(Products!$X$5:$X$304,MATCH(C720,Products!$A$5:$A$304,0))/60,2),""))</f>
        <v>0</v>
      </c>
      <c r="AL720" s="20">
        <f>IF(B720="","",IF(OR(AK720="",AK720=0),"",ROUND(AG720/AK720,2)))</f>
        <v>0</v>
      </c>
      <c r="AM720" s="43">
        <f>IF(B720="","",IF(C720="","Add - which product?",IF(AG720&lt;0,"Loss - this order cost you money",IF(M720="Refunded","Refunded - check why",IF(AND(AF720&lt;&gt;"",AF720&gt;0.25),"Check - fees higher than your settings",IF(Z720&gt;1,"Check - postage is eating the margin",IF(AND(AH720&lt;&gt;"",AH720&lt;MarginWarning),"Low margin on this order","OK")))))) )</f>
        <v>0</v>
      </c>
    </row>
    <row r="721" spans="1:39">
      <c r="A721" s="38">
        <f>IF(B721="","",SalePrefix&amp;TEXT(ROW()-4,"0000"))</f>
        <v>0</v>
      </c>
      <c r="Q721" s="13">
        <f>IF(C721="","",IFERROR(INDEX(Products!$B$5:$B$304,MATCH(C721,Products!$A$5:$A$304,0)),"Bundle or deleted"))</f>
        <v>0</v>
      </c>
      <c r="R721" s="13">
        <f>IF(B721="","",TEXT(B721,"yyyy-mm"))</f>
        <v>0</v>
      </c>
      <c r="S721" s="20">
        <f>IF(C721="","",IFERROR(INDEX(Products!$AR$5:$AR$304,MATCH(C721,Products!$A$5:$A$304,0)),""))</f>
        <v>0</v>
      </c>
      <c r="T721" s="20">
        <f>IF(B721="","",IF(F721&lt;&gt;"",F721,IF(S721="",0,S721)))</f>
        <v>0</v>
      </c>
      <c r="U721" s="20">
        <f>IF(B721="","",ROUND(IF(D721="",0,D721)*T721,2))</f>
        <v>0</v>
      </c>
      <c r="V721" s="20">
        <f>IF(B721="","",ROUND(U721-IF(G721="",0,G721)-IF(L721="",0,L721),2))</f>
        <v>0</v>
      </c>
      <c r="W721" s="20">
        <f>IF(C721="","",IFERROR(INDEX(Products!$AT$5:$AT$304,MATCH(C721,Products!$A$5:$A$304,0)),""))</f>
        <v>0</v>
      </c>
      <c r="X721" s="20">
        <f>IF(C721="","",IFERROR(INDEX(Products!$AG$5:$AG$304,MATCH(C721,Products!$A$5:$A$304,0)),""))</f>
        <v>0</v>
      </c>
      <c r="Y721" s="20">
        <f>IF(B721="","",ROUND(IF(D721="",0,D721)*MAX(0,IF(W721="",0,W721)-IF(X721="",0,X721)),2))</f>
        <v>0</v>
      </c>
      <c r="Z721" s="20">
        <f>IF(B721="","",ROUND(MAX(0,IF(J721="",0,J721)-IF(I721="",0,I721)),2))</f>
        <v>0</v>
      </c>
      <c r="AA721" s="33">
        <f>IF(B721="","",IFERROR(INDEX(Channels!$S$5:$S$18,MATCH(IF(E721="",DefaultChannel,E721),Channels!$A$5:$A$18,0)),0))</f>
        <v>0</v>
      </c>
      <c r="AB721" s="20">
        <f>IF(B721="","",IFERROR(INDEX(Channels!$T$5:$T$18,MATCH(IF(E721="",DefaultChannel,E721),Channels!$A$5:$A$18,0)),0))</f>
        <v>0</v>
      </c>
      <c r="AC721" s="42">
        <f>IF(B721="","",IFERROR(INDEX(Channels!$O$5:$O$18,MATCH(IF(E721="",DefaultChannel,E721),Channels!$A$5:$A$18,0)),"No"))</f>
        <v>0</v>
      </c>
      <c r="AD721" s="20">
        <f>IF(B721="","",ROUND((V721+IF(AC721="Yes",IF(I721="",0,I721),0))*AA721+AB721,2))</f>
        <v>0</v>
      </c>
      <c r="AE721" s="20">
        <f>IF(B721="","",IF(K721&lt;&gt;"",K721,AD721))</f>
        <v>0</v>
      </c>
      <c r="AF721" s="20">
        <f>IF(B721="","",IF(K721="","",ROUND(K721-AD721,2)))</f>
        <v>0</v>
      </c>
      <c r="AG721" s="20">
        <f>IF(B721="","",ROUND(V721-Y721-AE721-Z721,2))</f>
        <v>0</v>
      </c>
      <c r="AH721" s="33">
        <f>IF(B721="","",IF(OR(V721="",V721=0),"",AG721/V721))</f>
        <v>0</v>
      </c>
      <c r="AI721" s="33">
        <f>IF(C721="","",IFERROR(INDEX(Products!$AW$5:$AW$304,MATCH(C721,Products!$A$5:$A$304,0)),""))</f>
        <v>0</v>
      </c>
      <c r="AJ721" s="33">
        <f>IF(B721="","",IF(OR(AH721="",AI721=""),"",AH721-AI721))</f>
        <v>0</v>
      </c>
      <c r="AK721" s="41">
        <f>IF(B721="","",IFERROR(ROUND(IF(D721="",0,D721)*INDEX(Products!$X$5:$X$304,MATCH(C721,Products!$A$5:$A$304,0))/60,2),""))</f>
        <v>0</v>
      </c>
      <c r="AL721" s="20">
        <f>IF(B721="","",IF(OR(AK721="",AK721=0),"",ROUND(AG721/AK721,2)))</f>
        <v>0</v>
      </c>
      <c r="AM721" s="43">
        <f>IF(B721="","",IF(C721="","Add - which product?",IF(AG721&lt;0,"Loss - this order cost you money",IF(M721="Refunded","Refunded - check why",IF(AND(AF721&lt;&gt;"",AF721&gt;0.25),"Check - fees higher than your settings",IF(Z721&gt;1,"Check - postage is eating the margin",IF(AND(AH721&lt;&gt;"",AH721&lt;MarginWarning),"Low margin on this order","OK")))))) )</f>
        <v>0</v>
      </c>
    </row>
    <row r="722" spans="1:39">
      <c r="A722" s="38">
        <f>IF(B722="","",SalePrefix&amp;TEXT(ROW()-4,"0000"))</f>
        <v>0</v>
      </c>
      <c r="Q722" s="13">
        <f>IF(C722="","",IFERROR(INDEX(Products!$B$5:$B$304,MATCH(C722,Products!$A$5:$A$304,0)),"Bundle or deleted"))</f>
        <v>0</v>
      </c>
      <c r="R722" s="13">
        <f>IF(B722="","",TEXT(B722,"yyyy-mm"))</f>
        <v>0</v>
      </c>
      <c r="S722" s="20">
        <f>IF(C722="","",IFERROR(INDEX(Products!$AR$5:$AR$304,MATCH(C722,Products!$A$5:$A$304,0)),""))</f>
        <v>0</v>
      </c>
      <c r="T722" s="20">
        <f>IF(B722="","",IF(F722&lt;&gt;"",F722,IF(S722="",0,S722)))</f>
        <v>0</v>
      </c>
      <c r="U722" s="20">
        <f>IF(B722="","",ROUND(IF(D722="",0,D722)*T722,2))</f>
        <v>0</v>
      </c>
      <c r="V722" s="20">
        <f>IF(B722="","",ROUND(U722-IF(G722="",0,G722)-IF(L722="",0,L722),2))</f>
        <v>0</v>
      </c>
      <c r="W722" s="20">
        <f>IF(C722="","",IFERROR(INDEX(Products!$AT$5:$AT$304,MATCH(C722,Products!$A$5:$A$304,0)),""))</f>
        <v>0</v>
      </c>
      <c r="X722" s="20">
        <f>IF(C722="","",IFERROR(INDEX(Products!$AG$5:$AG$304,MATCH(C722,Products!$A$5:$A$304,0)),""))</f>
        <v>0</v>
      </c>
      <c r="Y722" s="20">
        <f>IF(B722="","",ROUND(IF(D722="",0,D722)*MAX(0,IF(W722="",0,W722)-IF(X722="",0,X722)),2))</f>
        <v>0</v>
      </c>
      <c r="Z722" s="20">
        <f>IF(B722="","",ROUND(MAX(0,IF(J722="",0,J722)-IF(I722="",0,I722)),2))</f>
        <v>0</v>
      </c>
      <c r="AA722" s="33">
        <f>IF(B722="","",IFERROR(INDEX(Channels!$S$5:$S$18,MATCH(IF(E722="",DefaultChannel,E722),Channels!$A$5:$A$18,0)),0))</f>
        <v>0</v>
      </c>
      <c r="AB722" s="20">
        <f>IF(B722="","",IFERROR(INDEX(Channels!$T$5:$T$18,MATCH(IF(E722="",DefaultChannel,E722),Channels!$A$5:$A$18,0)),0))</f>
        <v>0</v>
      </c>
      <c r="AC722" s="42">
        <f>IF(B722="","",IFERROR(INDEX(Channels!$O$5:$O$18,MATCH(IF(E722="",DefaultChannel,E722),Channels!$A$5:$A$18,0)),"No"))</f>
        <v>0</v>
      </c>
      <c r="AD722" s="20">
        <f>IF(B722="","",ROUND((V722+IF(AC722="Yes",IF(I722="",0,I722),0))*AA722+AB722,2))</f>
        <v>0</v>
      </c>
      <c r="AE722" s="20">
        <f>IF(B722="","",IF(K722&lt;&gt;"",K722,AD722))</f>
        <v>0</v>
      </c>
      <c r="AF722" s="20">
        <f>IF(B722="","",IF(K722="","",ROUND(K722-AD722,2)))</f>
        <v>0</v>
      </c>
      <c r="AG722" s="20">
        <f>IF(B722="","",ROUND(V722-Y722-AE722-Z722,2))</f>
        <v>0</v>
      </c>
      <c r="AH722" s="33">
        <f>IF(B722="","",IF(OR(V722="",V722=0),"",AG722/V722))</f>
        <v>0</v>
      </c>
      <c r="AI722" s="33">
        <f>IF(C722="","",IFERROR(INDEX(Products!$AW$5:$AW$304,MATCH(C722,Products!$A$5:$A$304,0)),""))</f>
        <v>0</v>
      </c>
      <c r="AJ722" s="33">
        <f>IF(B722="","",IF(OR(AH722="",AI722=""),"",AH722-AI722))</f>
        <v>0</v>
      </c>
      <c r="AK722" s="41">
        <f>IF(B722="","",IFERROR(ROUND(IF(D722="",0,D722)*INDEX(Products!$X$5:$X$304,MATCH(C722,Products!$A$5:$A$304,0))/60,2),""))</f>
        <v>0</v>
      </c>
      <c r="AL722" s="20">
        <f>IF(B722="","",IF(OR(AK722="",AK722=0),"",ROUND(AG722/AK722,2)))</f>
        <v>0</v>
      </c>
      <c r="AM722" s="43">
        <f>IF(B722="","",IF(C722="","Add - which product?",IF(AG722&lt;0,"Loss - this order cost you money",IF(M722="Refunded","Refunded - check why",IF(AND(AF722&lt;&gt;"",AF722&gt;0.25),"Check - fees higher than your settings",IF(Z722&gt;1,"Check - postage is eating the margin",IF(AND(AH722&lt;&gt;"",AH722&lt;MarginWarning),"Low margin on this order","OK")))))) )</f>
        <v>0</v>
      </c>
    </row>
    <row r="723" spans="1:39">
      <c r="A723" s="38">
        <f>IF(B723="","",SalePrefix&amp;TEXT(ROW()-4,"0000"))</f>
        <v>0</v>
      </c>
      <c r="Q723" s="13">
        <f>IF(C723="","",IFERROR(INDEX(Products!$B$5:$B$304,MATCH(C723,Products!$A$5:$A$304,0)),"Bundle or deleted"))</f>
        <v>0</v>
      </c>
      <c r="R723" s="13">
        <f>IF(B723="","",TEXT(B723,"yyyy-mm"))</f>
        <v>0</v>
      </c>
      <c r="S723" s="20">
        <f>IF(C723="","",IFERROR(INDEX(Products!$AR$5:$AR$304,MATCH(C723,Products!$A$5:$A$304,0)),""))</f>
        <v>0</v>
      </c>
      <c r="T723" s="20">
        <f>IF(B723="","",IF(F723&lt;&gt;"",F723,IF(S723="",0,S723)))</f>
        <v>0</v>
      </c>
      <c r="U723" s="20">
        <f>IF(B723="","",ROUND(IF(D723="",0,D723)*T723,2))</f>
        <v>0</v>
      </c>
      <c r="V723" s="20">
        <f>IF(B723="","",ROUND(U723-IF(G723="",0,G723)-IF(L723="",0,L723),2))</f>
        <v>0</v>
      </c>
      <c r="W723" s="20">
        <f>IF(C723="","",IFERROR(INDEX(Products!$AT$5:$AT$304,MATCH(C723,Products!$A$5:$A$304,0)),""))</f>
        <v>0</v>
      </c>
      <c r="X723" s="20">
        <f>IF(C723="","",IFERROR(INDEX(Products!$AG$5:$AG$304,MATCH(C723,Products!$A$5:$A$304,0)),""))</f>
        <v>0</v>
      </c>
      <c r="Y723" s="20">
        <f>IF(B723="","",ROUND(IF(D723="",0,D723)*MAX(0,IF(W723="",0,W723)-IF(X723="",0,X723)),2))</f>
        <v>0</v>
      </c>
      <c r="Z723" s="20">
        <f>IF(B723="","",ROUND(MAX(0,IF(J723="",0,J723)-IF(I723="",0,I723)),2))</f>
        <v>0</v>
      </c>
      <c r="AA723" s="33">
        <f>IF(B723="","",IFERROR(INDEX(Channels!$S$5:$S$18,MATCH(IF(E723="",DefaultChannel,E723),Channels!$A$5:$A$18,0)),0))</f>
        <v>0</v>
      </c>
      <c r="AB723" s="20">
        <f>IF(B723="","",IFERROR(INDEX(Channels!$T$5:$T$18,MATCH(IF(E723="",DefaultChannel,E723),Channels!$A$5:$A$18,0)),0))</f>
        <v>0</v>
      </c>
      <c r="AC723" s="42">
        <f>IF(B723="","",IFERROR(INDEX(Channels!$O$5:$O$18,MATCH(IF(E723="",DefaultChannel,E723),Channels!$A$5:$A$18,0)),"No"))</f>
        <v>0</v>
      </c>
      <c r="AD723" s="20">
        <f>IF(B723="","",ROUND((V723+IF(AC723="Yes",IF(I723="",0,I723),0))*AA723+AB723,2))</f>
        <v>0</v>
      </c>
      <c r="AE723" s="20">
        <f>IF(B723="","",IF(K723&lt;&gt;"",K723,AD723))</f>
        <v>0</v>
      </c>
      <c r="AF723" s="20">
        <f>IF(B723="","",IF(K723="","",ROUND(K723-AD723,2)))</f>
        <v>0</v>
      </c>
      <c r="AG723" s="20">
        <f>IF(B723="","",ROUND(V723-Y723-AE723-Z723,2))</f>
        <v>0</v>
      </c>
      <c r="AH723" s="33">
        <f>IF(B723="","",IF(OR(V723="",V723=0),"",AG723/V723))</f>
        <v>0</v>
      </c>
      <c r="AI723" s="33">
        <f>IF(C723="","",IFERROR(INDEX(Products!$AW$5:$AW$304,MATCH(C723,Products!$A$5:$A$304,0)),""))</f>
        <v>0</v>
      </c>
      <c r="AJ723" s="33">
        <f>IF(B723="","",IF(OR(AH723="",AI723=""),"",AH723-AI723))</f>
        <v>0</v>
      </c>
      <c r="AK723" s="41">
        <f>IF(B723="","",IFERROR(ROUND(IF(D723="",0,D723)*INDEX(Products!$X$5:$X$304,MATCH(C723,Products!$A$5:$A$304,0))/60,2),""))</f>
        <v>0</v>
      </c>
      <c r="AL723" s="20">
        <f>IF(B723="","",IF(OR(AK723="",AK723=0),"",ROUND(AG723/AK723,2)))</f>
        <v>0</v>
      </c>
      <c r="AM723" s="43">
        <f>IF(B723="","",IF(C723="","Add - which product?",IF(AG723&lt;0,"Loss - this order cost you money",IF(M723="Refunded","Refunded - check why",IF(AND(AF723&lt;&gt;"",AF723&gt;0.25),"Check - fees higher than your settings",IF(Z723&gt;1,"Check - postage is eating the margin",IF(AND(AH723&lt;&gt;"",AH723&lt;MarginWarning),"Low margin on this order","OK")))))) )</f>
        <v>0</v>
      </c>
    </row>
    <row r="724" spans="1:39">
      <c r="A724" s="38">
        <f>IF(B724="","",SalePrefix&amp;TEXT(ROW()-4,"0000"))</f>
        <v>0</v>
      </c>
      <c r="Q724" s="13">
        <f>IF(C724="","",IFERROR(INDEX(Products!$B$5:$B$304,MATCH(C724,Products!$A$5:$A$304,0)),"Bundle or deleted"))</f>
        <v>0</v>
      </c>
      <c r="R724" s="13">
        <f>IF(B724="","",TEXT(B724,"yyyy-mm"))</f>
        <v>0</v>
      </c>
      <c r="S724" s="20">
        <f>IF(C724="","",IFERROR(INDEX(Products!$AR$5:$AR$304,MATCH(C724,Products!$A$5:$A$304,0)),""))</f>
        <v>0</v>
      </c>
      <c r="T724" s="20">
        <f>IF(B724="","",IF(F724&lt;&gt;"",F724,IF(S724="",0,S724)))</f>
        <v>0</v>
      </c>
      <c r="U724" s="20">
        <f>IF(B724="","",ROUND(IF(D724="",0,D724)*T724,2))</f>
        <v>0</v>
      </c>
      <c r="V724" s="20">
        <f>IF(B724="","",ROUND(U724-IF(G724="",0,G724)-IF(L724="",0,L724),2))</f>
        <v>0</v>
      </c>
      <c r="W724" s="20">
        <f>IF(C724="","",IFERROR(INDEX(Products!$AT$5:$AT$304,MATCH(C724,Products!$A$5:$A$304,0)),""))</f>
        <v>0</v>
      </c>
      <c r="X724" s="20">
        <f>IF(C724="","",IFERROR(INDEX(Products!$AG$5:$AG$304,MATCH(C724,Products!$A$5:$A$304,0)),""))</f>
        <v>0</v>
      </c>
      <c r="Y724" s="20">
        <f>IF(B724="","",ROUND(IF(D724="",0,D724)*MAX(0,IF(W724="",0,W724)-IF(X724="",0,X724)),2))</f>
        <v>0</v>
      </c>
      <c r="Z724" s="20">
        <f>IF(B724="","",ROUND(MAX(0,IF(J724="",0,J724)-IF(I724="",0,I724)),2))</f>
        <v>0</v>
      </c>
      <c r="AA724" s="33">
        <f>IF(B724="","",IFERROR(INDEX(Channels!$S$5:$S$18,MATCH(IF(E724="",DefaultChannel,E724),Channels!$A$5:$A$18,0)),0))</f>
        <v>0</v>
      </c>
      <c r="AB724" s="20">
        <f>IF(B724="","",IFERROR(INDEX(Channels!$T$5:$T$18,MATCH(IF(E724="",DefaultChannel,E724),Channels!$A$5:$A$18,0)),0))</f>
        <v>0</v>
      </c>
      <c r="AC724" s="42">
        <f>IF(B724="","",IFERROR(INDEX(Channels!$O$5:$O$18,MATCH(IF(E724="",DefaultChannel,E724),Channels!$A$5:$A$18,0)),"No"))</f>
        <v>0</v>
      </c>
      <c r="AD724" s="20">
        <f>IF(B724="","",ROUND((V724+IF(AC724="Yes",IF(I724="",0,I724),0))*AA724+AB724,2))</f>
        <v>0</v>
      </c>
      <c r="AE724" s="20">
        <f>IF(B724="","",IF(K724&lt;&gt;"",K724,AD724))</f>
        <v>0</v>
      </c>
      <c r="AF724" s="20">
        <f>IF(B724="","",IF(K724="","",ROUND(K724-AD724,2)))</f>
        <v>0</v>
      </c>
      <c r="AG724" s="20">
        <f>IF(B724="","",ROUND(V724-Y724-AE724-Z724,2))</f>
        <v>0</v>
      </c>
      <c r="AH724" s="33">
        <f>IF(B724="","",IF(OR(V724="",V724=0),"",AG724/V724))</f>
        <v>0</v>
      </c>
      <c r="AI724" s="33">
        <f>IF(C724="","",IFERROR(INDEX(Products!$AW$5:$AW$304,MATCH(C724,Products!$A$5:$A$304,0)),""))</f>
        <v>0</v>
      </c>
      <c r="AJ724" s="33">
        <f>IF(B724="","",IF(OR(AH724="",AI724=""),"",AH724-AI724))</f>
        <v>0</v>
      </c>
      <c r="AK724" s="41">
        <f>IF(B724="","",IFERROR(ROUND(IF(D724="",0,D724)*INDEX(Products!$X$5:$X$304,MATCH(C724,Products!$A$5:$A$304,0))/60,2),""))</f>
        <v>0</v>
      </c>
      <c r="AL724" s="20">
        <f>IF(B724="","",IF(OR(AK724="",AK724=0),"",ROUND(AG724/AK724,2)))</f>
        <v>0</v>
      </c>
      <c r="AM724" s="43">
        <f>IF(B724="","",IF(C724="","Add - which product?",IF(AG724&lt;0,"Loss - this order cost you money",IF(M724="Refunded","Refunded - check why",IF(AND(AF724&lt;&gt;"",AF724&gt;0.25),"Check - fees higher than your settings",IF(Z724&gt;1,"Check - postage is eating the margin",IF(AND(AH724&lt;&gt;"",AH724&lt;MarginWarning),"Low margin on this order","OK")))))) )</f>
        <v>0</v>
      </c>
    </row>
    <row r="725" spans="1:39">
      <c r="A725" s="38">
        <f>IF(B725="","",SalePrefix&amp;TEXT(ROW()-4,"0000"))</f>
        <v>0</v>
      </c>
      <c r="Q725" s="13">
        <f>IF(C725="","",IFERROR(INDEX(Products!$B$5:$B$304,MATCH(C725,Products!$A$5:$A$304,0)),"Bundle or deleted"))</f>
        <v>0</v>
      </c>
      <c r="R725" s="13">
        <f>IF(B725="","",TEXT(B725,"yyyy-mm"))</f>
        <v>0</v>
      </c>
      <c r="S725" s="20">
        <f>IF(C725="","",IFERROR(INDEX(Products!$AR$5:$AR$304,MATCH(C725,Products!$A$5:$A$304,0)),""))</f>
        <v>0</v>
      </c>
      <c r="T725" s="20">
        <f>IF(B725="","",IF(F725&lt;&gt;"",F725,IF(S725="",0,S725)))</f>
        <v>0</v>
      </c>
      <c r="U725" s="20">
        <f>IF(B725="","",ROUND(IF(D725="",0,D725)*T725,2))</f>
        <v>0</v>
      </c>
      <c r="V725" s="20">
        <f>IF(B725="","",ROUND(U725-IF(G725="",0,G725)-IF(L725="",0,L725),2))</f>
        <v>0</v>
      </c>
      <c r="W725" s="20">
        <f>IF(C725="","",IFERROR(INDEX(Products!$AT$5:$AT$304,MATCH(C725,Products!$A$5:$A$304,0)),""))</f>
        <v>0</v>
      </c>
      <c r="X725" s="20">
        <f>IF(C725="","",IFERROR(INDEX(Products!$AG$5:$AG$304,MATCH(C725,Products!$A$5:$A$304,0)),""))</f>
        <v>0</v>
      </c>
      <c r="Y725" s="20">
        <f>IF(B725="","",ROUND(IF(D725="",0,D725)*MAX(0,IF(W725="",0,W725)-IF(X725="",0,X725)),2))</f>
        <v>0</v>
      </c>
      <c r="Z725" s="20">
        <f>IF(B725="","",ROUND(MAX(0,IF(J725="",0,J725)-IF(I725="",0,I725)),2))</f>
        <v>0</v>
      </c>
      <c r="AA725" s="33">
        <f>IF(B725="","",IFERROR(INDEX(Channels!$S$5:$S$18,MATCH(IF(E725="",DefaultChannel,E725),Channels!$A$5:$A$18,0)),0))</f>
        <v>0</v>
      </c>
      <c r="AB725" s="20">
        <f>IF(B725="","",IFERROR(INDEX(Channels!$T$5:$T$18,MATCH(IF(E725="",DefaultChannel,E725),Channels!$A$5:$A$18,0)),0))</f>
        <v>0</v>
      </c>
      <c r="AC725" s="42">
        <f>IF(B725="","",IFERROR(INDEX(Channels!$O$5:$O$18,MATCH(IF(E725="",DefaultChannel,E725),Channels!$A$5:$A$18,0)),"No"))</f>
        <v>0</v>
      </c>
      <c r="AD725" s="20">
        <f>IF(B725="","",ROUND((V725+IF(AC725="Yes",IF(I725="",0,I725),0))*AA725+AB725,2))</f>
        <v>0</v>
      </c>
      <c r="AE725" s="20">
        <f>IF(B725="","",IF(K725&lt;&gt;"",K725,AD725))</f>
        <v>0</v>
      </c>
      <c r="AF725" s="20">
        <f>IF(B725="","",IF(K725="","",ROUND(K725-AD725,2)))</f>
        <v>0</v>
      </c>
      <c r="AG725" s="20">
        <f>IF(B725="","",ROUND(V725-Y725-AE725-Z725,2))</f>
        <v>0</v>
      </c>
      <c r="AH725" s="33">
        <f>IF(B725="","",IF(OR(V725="",V725=0),"",AG725/V725))</f>
        <v>0</v>
      </c>
      <c r="AI725" s="33">
        <f>IF(C725="","",IFERROR(INDEX(Products!$AW$5:$AW$304,MATCH(C725,Products!$A$5:$A$304,0)),""))</f>
        <v>0</v>
      </c>
      <c r="AJ725" s="33">
        <f>IF(B725="","",IF(OR(AH725="",AI725=""),"",AH725-AI725))</f>
        <v>0</v>
      </c>
      <c r="AK725" s="41">
        <f>IF(B725="","",IFERROR(ROUND(IF(D725="",0,D725)*INDEX(Products!$X$5:$X$304,MATCH(C725,Products!$A$5:$A$304,0))/60,2),""))</f>
        <v>0</v>
      </c>
      <c r="AL725" s="20">
        <f>IF(B725="","",IF(OR(AK725="",AK725=0),"",ROUND(AG725/AK725,2)))</f>
        <v>0</v>
      </c>
      <c r="AM725" s="43">
        <f>IF(B725="","",IF(C725="","Add - which product?",IF(AG725&lt;0,"Loss - this order cost you money",IF(M725="Refunded","Refunded - check why",IF(AND(AF725&lt;&gt;"",AF725&gt;0.25),"Check - fees higher than your settings",IF(Z725&gt;1,"Check - postage is eating the margin",IF(AND(AH725&lt;&gt;"",AH725&lt;MarginWarning),"Low margin on this order","OK")))))) )</f>
        <v>0</v>
      </c>
    </row>
    <row r="726" spans="1:39">
      <c r="A726" s="38">
        <f>IF(B726="","",SalePrefix&amp;TEXT(ROW()-4,"0000"))</f>
        <v>0</v>
      </c>
      <c r="Q726" s="13">
        <f>IF(C726="","",IFERROR(INDEX(Products!$B$5:$B$304,MATCH(C726,Products!$A$5:$A$304,0)),"Bundle or deleted"))</f>
        <v>0</v>
      </c>
      <c r="R726" s="13">
        <f>IF(B726="","",TEXT(B726,"yyyy-mm"))</f>
        <v>0</v>
      </c>
      <c r="S726" s="20">
        <f>IF(C726="","",IFERROR(INDEX(Products!$AR$5:$AR$304,MATCH(C726,Products!$A$5:$A$304,0)),""))</f>
        <v>0</v>
      </c>
      <c r="T726" s="20">
        <f>IF(B726="","",IF(F726&lt;&gt;"",F726,IF(S726="",0,S726)))</f>
        <v>0</v>
      </c>
      <c r="U726" s="20">
        <f>IF(B726="","",ROUND(IF(D726="",0,D726)*T726,2))</f>
        <v>0</v>
      </c>
      <c r="V726" s="20">
        <f>IF(B726="","",ROUND(U726-IF(G726="",0,G726)-IF(L726="",0,L726),2))</f>
        <v>0</v>
      </c>
      <c r="W726" s="20">
        <f>IF(C726="","",IFERROR(INDEX(Products!$AT$5:$AT$304,MATCH(C726,Products!$A$5:$A$304,0)),""))</f>
        <v>0</v>
      </c>
      <c r="X726" s="20">
        <f>IF(C726="","",IFERROR(INDEX(Products!$AG$5:$AG$304,MATCH(C726,Products!$A$5:$A$304,0)),""))</f>
        <v>0</v>
      </c>
      <c r="Y726" s="20">
        <f>IF(B726="","",ROUND(IF(D726="",0,D726)*MAX(0,IF(W726="",0,W726)-IF(X726="",0,X726)),2))</f>
        <v>0</v>
      </c>
      <c r="Z726" s="20">
        <f>IF(B726="","",ROUND(MAX(0,IF(J726="",0,J726)-IF(I726="",0,I726)),2))</f>
        <v>0</v>
      </c>
      <c r="AA726" s="33">
        <f>IF(B726="","",IFERROR(INDEX(Channels!$S$5:$S$18,MATCH(IF(E726="",DefaultChannel,E726),Channels!$A$5:$A$18,0)),0))</f>
        <v>0</v>
      </c>
      <c r="AB726" s="20">
        <f>IF(B726="","",IFERROR(INDEX(Channels!$T$5:$T$18,MATCH(IF(E726="",DefaultChannel,E726),Channels!$A$5:$A$18,0)),0))</f>
        <v>0</v>
      </c>
      <c r="AC726" s="42">
        <f>IF(B726="","",IFERROR(INDEX(Channels!$O$5:$O$18,MATCH(IF(E726="",DefaultChannel,E726),Channels!$A$5:$A$18,0)),"No"))</f>
        <v>0</v>
      </c>
      <c r="AD726" s="20">
        <f>IF(B726="","",ROUND((V726+IF(AC726="Yes",IF(I726="",0,I726),0))*AA726+AB726,2))</f>
        <v>0</v>
      </c>
      <c r="AE726" s="20">
        <f>IF(B726="","",IF(K726&lt;&gt;"",K726,AD726))</f>
        <v>0</v>
      </c>
      <c r="AF726" s="20">
        <f>IF(B726="","",IF(K726="","",ROUND(K726-AD726,2)))</f>
        <v>0</v>
      </c>
      <c r="AG726" s="20">
        <f>IF(B726="","",ROUND(V726-Y726-AE726-Z726,2))</f>
        <v>0</v>
      </c>
      <c r="AH726" s="33">
        <f>IF(B726="","",IF(OR(V726="",V726=0),"",AG726/V726))</f>
        <v>0</v>
      </c>
      <c r="AI726" s="33">
        <f>IF(C726="","",IFERROR(INDEX(Products!$AW$5:$AW$304,MATCH(C726,Products!$A$5:$A$304,0)),""))</f>
        <v>0</v>
      </c>
      <c r="AJ726" s="33">
        <f>IF(B726="","",IF(OR(AH726="",AI726=""),"",AH726-AI726))</f>
        <v>0</v>
      </c>
      <c r="AK726" s="41">
        <f>IF(B726="","",IFERROR(ROUND(IF(D726="",0,D726)*INDEX(Products!$X$5:$X$304,MATCH(C726,Products!$A$5:$A$304,0))/60,2),""))</f>
        <v>0</v>
      </c>
      <c r="AL726" s="20">
        <f>IF(B726="","",IF(OR(AK726="",AK726=0),"",ROUND(AG726/AK726,2)))</f>
        <v>0</v>
      </c>
      <c r="AM726" s="43">
        <f>IF(B726="","",IF(C726="","Add - which product?",IF(AG726&lt;0,"Loss - this order cost you money",IF(M726="Refunded","Refunded - check why",IF(AND(AF726&lt;&gt;"",AF726&gt;0.25),"Check - fees higher than your settings",IF(Z726&gt;1,"Check - postage is eating the margin",IF(AND(AH726&lt;&gt;"",AH726&lt;MarginWarning),"Low margin on this order","OK")))))) )</f>
        <v>0</v>
      </c>
    </row>
    <row r="727" spans="1:39">
      <c r="A727" s="38">
        <f>IF(B727="","",SalePrefix&amp;TEXT(ROW()-4,"0000"))</f>
        <v>0</v>
      </c>
      <c r="Q727" s="13">
        <f>IF(C727="","",IFERROR(INDEX(Products!$B$5:$B$304,MATCH(C727,Products!$A$5:$A$304,0)),"Bundle or deleted"))</f>
        <v>0</v>
      </c>
      <c r="R727" s="13">
        <f>IF(B727="","",TEXT(B727,"yyyy-mm"))</f>
        <v>0</v>
      </c>
      <c r="S727" s="20">
        <f>IF(C727="","",IFERROR(INDEX(Products!$AR$5:$AR$304,MATCH(C727,Products!$A$5:$A$304,0)),""))</f>
        <v>0</v>
      </c>
      <c r="T727" s="20">
        <f>IF(B727="","",IF(F727&lt;&gt;"",F727,IF(S727="",0,S727)))</f>
        <v>0</v>
      </c>
      <c r="U727" s="20">
        <f>IF(B727="","",ROUND(IF(D727="",0,D727)*T727,2))</f>
        <v>0</v>
      </c>
      <c r="V727" s="20">
        <f>IF(B727="","",ROUND(U727-IF(G727="",0,G727)-IF(L727="",0,L727),2))</f>
        <v>0</v>
      </c>
      <c r="W727" s="20">
        <f>IF(C727="","",IFERROR(INDEX(Products!$AT$5:$AT$304,MATCH(C727,Products!$A$5:$A$304,0)),""))</f>
        <v>0</v>
      </c>
      <c r="X727" s="20">
        <f>IF(C727="","",IFERROR(INDEX(Products!$AG$5:$AG$304,MATCH(C727,Products!$A$5:$A$304,0)),""))</f>
        <v>0</v>
      </c>
      <c r="Y727" s="20">
        <f>IF(B727="","",ROUND(IF(D727="",0,D727)*MAX(0,IF(W727="",0,W727)-IF(X727="",0,X727)),2))</f>
        <v>0</v>
      </c>
      <c r="Z727" s="20">
        <f>IF(B727="","",ROUND(MAX(0,IF(J727="",0,J727)-IF(I727="",0,I727)),2))</f>
        <v>0</v>
      </c>
      <c r="AA727" s="33">
        <f>IF(B727="","",IFERROR(INDEX(Channels!$S$5:$S$18,MATCH(IF(E727="",DefaultChannel,E727),Channels!$A$5:$A$18,0)),0))</f>
        <v>0</v>
      </c>
      <c r="AB727" s="20">
        <f>IF(B727="","",IFERROR(INDEX(Channels!$T$5:$T$18,MATCH(IF(E727="",DefaultChannel,E727),Channels!$A$5:$A$18,0)),0))</f>
        <v>0</v>
      </c>
      <c r="AC727" s="42">
        <f>IF(B727="","",IFERROR(INDEX(Channels!$O$5:$O$18,MATCH(IF(E727="",DefaultChannel,E727),Channels!$A$5:$A$18,0)),"No"))</f>
        <v>0</v>
      </c>
      <c r="AD727" s="20">
        <f>IF(B727="","",ROUND((V727+IF(AC727="Yes",IF(I727="",0,I727),0))*AA727+AB727,2))</f>
        <v>0</v>
      </c>
      <c r="AE727" s="20">
        <f>IF(B727="","",IF(K727&lt;&gt;"",K727,AD727))</f>
        <v>0</v>
      </c>
      <c r="AF727" s="20">
        <f>IF(B727="","",IF(K727="","",ROUND(K727-AD727,2)))</f>
        <v>0</v>
      </c>
      <c r="AG727" s="20">
        <f>IF(B727="","",ROUND(V727-Y727-AE727-Z727,2))</f>
        <v>0</v>
      </c>
      <c r="AH727" s="33">
        <f>IF(B727="","",IF(OR(V727="",V727=0),"",AG727/V727))</f>
        <v>0</v>
      </c>
      <c r="AI727" s="33">
        <f>IF(C727="","",IFERROR(INDEX(Products!$AW$5:$AW$304,MATCH(C727,Products!$A$5:$A$304,0)),""))</f>
        <v>0</v>
      </c>
      <c r="AJ727" s="33">
        <f>IF(B727="","",IF(OR(AH727="",AI727=""),"",AH727-AI727))</f>
        <v>0</v>
      </c>
      <c r="AK727" s="41">
        <f>IF(B727="","",IFERROR(ROUND(IF(D727="",0,D727)*INDEX(Products!$X$5:$X$304,MATCH(C727,Products!$A$5:$A$304,0))/60,2),""))</f>
        <v>0</v>
      </c>
      <c r="AL727" s="20">
        <f>IF(B727="","",IF(OR(AK727="",AK727=0),"",ROUND(AG727/AK727,2)))</f>
        <v>0</v>
      </c>
      <c r="AM727" s="43">
        <f>IF(B727="","",IF(C727="","Add - which product?",IF(AG727&lt;0,"Loss - this order cost you money",IF(M727="Refunded","Refunded - check why",IF(AND(AF727&lt;&gt;"",AF727&gt;0.25),"Check - fees higher than your settings",IF(Z727&gt;1,"Check - postage is eating the margin",IF(AND(AH727&lt;&gt;"",AH727&lt;MarginWarning),"Low margin on this order","OK")))))) )</f>
        <v>0</v>
      </c>
    </row>
    <row r="728" spans="1:39">
      <c r="A728" s="38">
        <f>IF(B728="","",SalePrefix&amp;TEXT(ROW()-4,"0000"))</f>
        <v>0</v>
      </c>
      <c r="Q728" s="13">
        <f>IF(C728="","",IFERROR(INDEX(Products!$B$5:$B$304,MATCH(C728,Products!$A$5:$A$304,0)),"Bundle or deleted"))</f>
        <v>0</v>
      </c>
      <c r="R728" s="13">
        <f>IF(B728="","",TEXT(B728,"yyyy-mm"))</f>
        <v>0</v>
      </c>
      <c r="S728" s="20">
        <f>IF(C728="","",IFERROR(INDEX(Products!$AR$5:$AR$304,MATCH(C728,Products!$A$5:$A$304,0)),""))</f>
        <v>0</v>
      </c>
      <c r="T728" s="20">
        <f>IF(B728="","",IF(F728&lt;&gt;"",F728,IF(S728="",0,S728)))</f>
        <v>0</v>
      </c>
      <c r="U728" s="20">
        <f>IF(B728="","",ROUND(IF(D728="",0,D728)*T728,2))</f>
        <v>0</v>
      </c>
      <c r="V728" s="20">
        <f>IF(B728="","",ROUND(U728-IF(G728="",0,G728)-IF(L728="",0,L728),2))</f>
        <v>0</v>
      </c>
      <c r="W728" s="20">
        <f>IF(C728="","",IFERROR(INDEX(Products!$AT$5:$AT$304,MATCH(C728,Products!$A$5:$A$304,0)),""))</f>
        <v>0</v>
      </c>
      <c r="X728" s="20">
        <f>IF(C728="","",IFERROR(INDEX(Products!$AG$5:$AG$304,MATCH(C728,Products!$A$5:$A$304,0)),""))</f>
        <v>0</v>
      </c>
      <c r="Y728" s="20">
        <f>IF(B728="","",ROUND(IF(D728="",0,D728)*MAX(0,IF(W728="",0,W728)-IF(X728="",0,X728)),2))</f>
        <v>0</v>
      </c>
      <c r="Z728" s="20">
        <f>IF(B728="","",ROUND(MAX(0,IF(J728="",0,J728)-IF(I728="",0,I728)),2))</f>
        <v>0</v>
      </c>
      <c r="AA728" s="33">
        <f>IF(B728="","",IFERROR(INDEX(Channels!$S$5:$S$18,MATCH(IF(E728="",DefaultChannel,E728),Channels!$A$5:$A$18,0)),0))</f>
        <v>0</v>
      </c>
      <c r="AB728" s="20">
        <f>IF(B728="","",IFERROR(INDEX(Channels!$T$5:$T$18,MATCH(IF(E728="",DefaultChannel,E728),Channels!$A$5:$A$18,0)),0))</f>
        <v>0</v>
      </c>
      <c r="AC728" s="42">
        <f>IF(B728="","",IFERROR(INDEX(Channels!$O$5:$O$18,MATCH(IF(E728="",DefaultChannel,E728),Channels!$A$5:$A$18,0)),"No"))</f>
        <v>0</v>
      </c>
      <c r="AD728" s="20">
        <f>IF(B728="","",ROUND((V728+IF(AC728="Yes",IF(I728="",0,I728),0))*AA728+AB728,2))</f>
        <v>0</v>
      </c>
      <c r="AE728" s="20">
        <f>IF(B728="","",IF(K728&lt;&gt;"",K728,AD728))</f>
        <v>0</v>
      </c>
      <c r="AF728" s="20">
        <f>IF(B728="","",IF(K728="","",ROUND(K728-AD728,2)))</f>
        <v>0</v>
      </c>
      <c r="AG728" s="20">
        <f>IF(B728="","",ROUND(V728-Y728-AE728-Z728,2))</f>
        <v>0</v>
      </c>
      <c r="AH728" s="33">
        <f>IF(B728="","",IF(OR(V728="",V728=0),"",AG728/V728))</f>
        <v>0</v>
      </c>
      <c r="AI728" s="33">
        <f>IF(C728="","",IFERROR(INDEX(Products!$AW$5:$AW$304,MATCH(C728,Products!$A$5:$A$304,0)),""))</f>
        <v>0</v>
      </c>
      <c r="AJ728" s="33">
        <f>IF(B728="","",IF(OR(AH728="",AI728=""),"",AH728-AI728))</f>
        <v>0</v>
      </c>
      <c r="AK728" s="41">
        <f>IF(B728="","",IFERROR(ROUND(IF(D728="",0,D728)*INDEX(Products!$X$5:$X$304,MATCH(C728,Products!$A$5:$A$304,0))/60,2),""))</f>
        <v>0</v>
      </c>
      <c r="AL728" s="20">
        <f>IF(B728="","",IF(OR(AK728="",AK728=0),"",ROUND(AG728/AK728,2)))</f>
        <v>0</v>
      </c>
      <c r="AM728" s="43">
        <f>IF(B728="","",IF(C728="","Add - which product?",IF(AG728&lt;0,"Loss - this order cost you money",IF(M728="Refunded","Refunded - check why",IF(AND(AF728&lt;&gt;"",AF728&gt;0.25),"Check - fees higher than your settings",IF(Z728&gt;1,"Check - postage is eating the margin",IF(AND(AH728&lt;&gt;"",AH728&lt;MarginWarning),"Low margin on this order","OK")))))) )</f>
        <v>0</v>
      </c>
    </row>
    <row r="729" spans="1:39">
      <c r="A729" s="38">
        <f>IF(B729="","",SalePrefix&amp;TEXT(ROW()-4,"0000"))</f>
        <v>0</v>
      </c>
      <c r="Q729" s="13">
        <f>IF(C729="","",IFERROR(INDEX(Products!$B$5:$B$304,MATCH(C729,Products!$A$5:$A$304,0)),"Bundle or deleted"))</f>
        <v>0</v>
      </c>
      <c r="R729" s="13">
        <f>IF(B729="","",TEXT(B729,"yyyy-mm"))</f>
        <v>0</v>
      </c>
      <c r="S729" s="20">
        <f>IF(C729="","",IFERROR(INDEX(Products!$AR$5:$AR$304,MATCH(C729,Products!$A$5:$A$304,0)),""))</f>
        <v>0</v>
      </c>
      <c r="T729" s="20">
        <f>IF(B729="","",IF(F729&lt;&gt;"",F729,IF(S729="",0,S729)))</f>
        <v>0</v>
      </c>
      <c r="U729" s="20">
        <f>IF(B729="","",ROUND(IF(D729="",0,D729)*T729,2))</f>
        <v>0</v>
      </c>
      <c r="V729" s="20">
        <f>IF(B729="","",ROUND(U729-IF(G729="",0,G729)-IF(L729="",0,L729),2))</f>
        <v>0</v>
      </c>
      <c r="W729" s="20">
        <f>IF(C729="","",IFERROR(INDEX(Products!$AT$5:$AT$304,MATCH(C729,Products!$A$5:$A$304,0)),""))</f>
        <v>0</v>
      </c>
      <c r="X729" s="20">
        <f>IF(C729="","",IFERROR(INDEX(Products!$AG$5:$AG$304,MATCH(C729,Products!$A$5:$A$304,0)),""))</f>
        <v>0</v>
      </c>
      <c r="Y729" s="20">
        <f>IF(B729="","",ROUND(IF(D729="",0,D729)*MAX(0,IF(W729="",0,W729)-IF(X729="",0,X729)),2))</f>
        <v>0</v>
      </c>
      <c r="Z729" s="20">
        <f>IF(B729="","",ROUND(MAX(0,IF(J729="",0,J729)-IF(I729="",0,I729)),2))</f>
        <v>0</v>
      </c>
      <c r="AA729" s="33">
        <f>IF(B729="","",IFERROR(INDEX(Channels!$S$5:$S$18,MATCH(IF(E729="",DefaultChannel,E729),Channels!$A$5:$A$18,0)),0))</f>
        <v>0</v>
      </c>
      <c r="AB729" s="20">
        <f>IF(B729="","",IFERROR(INDEX(Channels!$T$5:$T$18,MATCH(IF(E729="",DefaultChannel,E729),Channels!$A$5:$A$18,0)),0))</f>
        <v>0</v>
      </c>
      <c r="AC729" s="42">
        <f>IF(B729="","",IFERROR(INDEX(Channels!$O$5:$O$18,MATCH(IF(E729="",DefaultChannel,E729),Channels!$A$5:$A$18,0)),"No"))</f>
        <v>0</v>
      </c>
      <c r="AD729" s="20">
        <f>IF(B729="","",ROUND((V729+IF(AC729="Yes",IF(I729="",0,I729),0))*AA729+AB729,2))</f>
        <v>0</v>
      </c>
      <c r="AE729" s="20">
        <f>IF(B729="","",IF(K729&lt;&gt;"",K729,AD729))</f>
        <v>0</v>
      </c>
      <c r="AF729" s="20">
        <f>IF(B729="","",IF(K729="","",ROUND(K729-AD729,2)))</f>
        <v>0</v>
      </c>
      <c r="AG729" s="20">
        <f>IF(B729="","",ROUND(V729-Y729-AE729-Z729,2))</f>
        <v>0</v>
      </c>
      <c r="AH729" s="33">
        <f>IF(B729="","",IF(OR(V729="",V729=0),"",AG729/V729))</f>
        <v>0</v>
      </c>
      <c r="AI729" s="33">
        <f>IF(C729="","",IFERROR(INDEX(Products!$AW$5:$AW$304,MATCH(C729,Products!$A$5:$A$304,0)),""))</f>
        <v>0</v>
      </c>
      <c r="AJ729" s="33">
        <f>IF(B729="","",IF(OR(AH729="",AI729=""),"",AH729-AI729))</f>
        <v>0</v>
      </c>
      <c r="AK729" s="41">
        <f>IF(B729="","",IFERROR(ROUND(IF(D729="",0,D729)*INDEX(Products!$X$5:$X$304,MATCH(C729,Products!$A$5:$A$304,0))/60,2),""))</f>
        <v>0</v>
      </c>
      <c r="AL729" s="20">
        <f>IF(B729="","",IF(OR(AK729="",AK729=0),"",ROUND(AG729/AK729,2)))</f>
        <v>0</v>
      </c>
      <c r="AM729" s="43">
        <f>IF(B729="","",IF(C729="","Add - which product?",IF(AG729&lt;0,"Loss - this order cost you money",IF(M729="Refunded","Refunded - check why",IF(AND(AF729&lt;&gt;"",AF729&gt;0.25),"Check - fees higher than your settings",IF(Z729&gt;1,"Check - postage is eating the margin",IF(AND(AH729&lt;&gt;"",AH729&lt;MarginWarning),"Low margin on this order","OK")))))) )</f>
        <v>0</v>
      </c>
    </row>
    <row r="730" spans="1:39">
      <c r="A730" s="38">
        <f>IF(B730="","",SalePrefix&amp;TEXT(ROW()-4,"0000"))</f>
        <v>0</v>
      </c>
      <c r="Q730" s="13">
        <f>IF(C730="","",IFERROR(INDEX(Products!$B$5:$B$304,MATCH(C730,Products!$A$5:$A$304,0)),"Bundle or deleted"))</f>
        <v>0</v>
      </c>
      <c r="R730" s="13">
        <f>IF(B730="","",TEXT(B730,"yyyy-mm"))</f>
        <v>0</v>
      </c>
      <c r="S730" s="20">
        <f>IF(C730="","",IFERROR(INDEX(Products!$AR$5:$AR$304,MATCH(C730,Products!$A$5:$A$304,0)),""))</f>
        <v>0</v>
      </c>
      <c r="T730" s="20">
        <f>IF(B730="","",IF(F730&lt;&gt;"",F730,IF(S730="",0,S730)))</f>
        <v>0</v>
      </c>
      <c r="U730" s="20">
        <f>IF(B730="","",ROUND(IF(D730="",0,D730)*T730,2))</f>
        <v>0</v>
      </c>
      <c r="V730" s="20">
        <f>IF(B730="","",ROUND(U730-IF(G730="",0,G730)-IF(L730="",0,L730),2))</f>
        <v>0</v>
      </c>
      <c r="W730" s="20">
        <f>IF(C730="","",IFERROR(INDEX(Products!$AT$5:$AT$304,MATCH(C730,Products!$A$5:$A$304,0)),""))</f>
        <v>0</v>
      </c>
      <c r="X730" s="20">
        <f>IF(C730="","",IFERROR(INDEX(Products!$AG$5:$AG$304,MATCH(C730,Products!$A$5:$A$304,0)),""))</f>
        <v>0</v>
      </c>
      <c r="Y730" s="20">
        <f>IF(B730="","",ROUND(IF(D730="",0,D730)*MAX(0,IF(W730="",0,W730)-IF(X730="",0,X730)),2))</f>
        <v>0</v>
      </c>
      <c r="Z730" s="20">
        <f>IF(B730="","",ROUND(MAX(0,IF(J730="",0,J730)-IF(I730="",0,I730)),2))</f>
        <v>0</v>
      </c>
      <c r="AA730" s="33">
        <f>IF(B730="","",IFERROR(INDEX(Channels!$S$5:$S$18,MATCH(IF(E730="",DefaultChannel,E730),Channels!$A$5:$A$18,0)),0))</f>
        <v>0</v>
      </c>
      <c r="AB730" s="20">
        <f>IF(B730="","",IFERROR(INDEX(Channels!$T$5:$T$18,MATCH(IF(E730="",DefaultChannel,E730),Channels!$A$5:$A$18,0)),0))</f>
        <v>0</v>
      </c>
      <c r="AC730" s="42">
        <f>IF(B730="","",IFERROR(INDEX(Channels!$O$5:$O$18,MATCH(IF(E730="",DefaultChannel,E730),Channels!$A$5:$A$18,0)),"No"))</f>
        <v>0</v>
      </c>
      <c r="AD730" s="20">
        <f>IF(B730="","",ROUND((V730+IF(AC730="Yes",IF(I730="",0,I730),0))*AA730+AB730,2))</f>
        <v>0</v>
      </c>
      <c r="AE730" s="20">
        <f>IF(B730="","",IF(K730&lt;&gt;"",K730,AD730))</f>
        <v>0</v>
      </c>
      <c r="AF730" s="20">
        <f>IF(B730="","",IF(K730="","",ROUND(K730-AD730,2)))</f>
        <v>0</v>
      </c>
      <c r="AG730" s="20">
        <f>IF(B730="","",ROUND(V730-Y730-AE730-Z730,2))</f>
        <v>0</v>
      </c>
      <c r="AH730" s="33">
        <f>IF(B730="","",IF(OR(V730="",V730=0),"",AG730/V730))</f>
        <v>0</v>
      </c>
      <c r="AI730" s="33">
        <f>IF(C730="","",IFERROR(INDEX(Products!$AW$5:$AW$304,MATCH(C730,Products!$A$5:$A$304,0)),""))</f>
        <v>0</v>
      </c>
      <c r="AJ730" s="33">
        <f>IF(B730="","",IF(OR(AH730="",AI730=""),"",AH730-AI730))</f>
        <v>0</v>
      </c>
      <c r="AK730" s="41">
        <f>IF(B730="","",IFERROR(ROUND(IF(D730="",0,D730)*INDEX(Products!$X$5:$X$304,MATCH(C730,Products!$A$5:$A$304,0))/60,2),""))</f>
        <v>0</v>
      </c>
      <c r="AL730" s="20">
        <f>IF(B730="","",IF(OR(AK730="",AK730=0),"",ROUND(AG730/AK730,2)))</f>
        <v>0</v>
      </c>
      <c r="AM730" s="43">
        <f>IF(B730="","",IF(C730="","Add - which product?",IF(AG730&lt;0,"Loss - this order cost you money",IF(M730="Refunded","Refunded - check why",IF(AND(AF730&lt;&gt;"",AF730&gt;0.25),"Check - fees higher than your settings",IF(Z730&gt;1,"Check - postage is eating the margin",IF(AND(AH730&lt;&gt;"",AH730&lt;MarginWarning),"Low margin on this order","OK")))))) )</f>
        <v>0</v>
      </c>
    </row>
    <row r="731" spans="1:39">
      <c r="A731" s="38">
        <f>IF(B731="","",SalePrefix&amp;TEXT(ROW()-4,"0000"))</f>
        <v>0</v>
      </c>
      <c r="Q731" s="13">
        <f>IF(C731="","",IFERROR(INDEX(Products!$B$5:$B$304,MATCH(C731,Products!$A$5:$A$304,0)),"Bundle or deleted"))</f>
        <v>0</v>
      </c>
      <c r="R731" s="13">
        <f>IF(B731="","",TEXT(B731,"yyyy-mm"))</f>
        <v>0</v>
      </c>
      <c r="S731" s="20">
        <f>IF(C731="","",IFERROR(INDEX(Products!$AR$5:$AR$304,MATCH(C731,Products!$A$5:$A$304,0)),""))</f>
        <v>0</v>
      </c>
      <c r="T731" s="20">
        <f>IF(B731="","",IF(F731&lt;&gt;"",F731,IF(S731="",0,S731)))</f>
        <v>0</v>
      </c>
      <c r="U731" s="20">
        <f>IF(B731="","",ROUND(IF(D731="",0,D731)*T731,2))</f>
        <v>0</v>
      </c>
      <c r="V731" s="20">
        <f>IF(B731="","",ROUND(U731-IF(G731="",0,G731)-IF(L731="",0,L731),2))</f>
        <v>0</v>
      </c>
      <c r="W731" s="20">
        <f>IF(C731="","",IFERROR(INDEX(Products!$AT$5:$AT$304,MATCH(C731,Products!$A$5:$A$304,0)),""))</f>
        <v>0</v>
      </c>
      <c r="X731" s="20">
        <f>IF(C731="","",IFERROR(INDEX(Products!$AG$5:$AG$304,MATCH(C731,Products!$A$5:$A$304,0)),""))</f>
        <v>0</v>
      </c>
      <c r="Y731" s="20">
        <f>IF(B731="","",ROUND(IF(D731="",0,D731)*MAX(0,IF(W731="",0,W731)-IF(X731="",0,X731)),2))</f>
        <v>0</v>
      </c>
      <c r="Z731" s="20">
        <f>IF(B731="","",ROUND(MAX(0,IF(J731="",0,J731)-IF(I731="",0,I731)),2))</f>
        <v>0</v>
      </c>
      <c r="AA731" s="33">
        <f>IF(B731="","",IFERROR(INDEX(Channels!$S$5:$S$18,MATCH(IF(E731="",DefaultChannel,E731),Channels!$A$5:$A$18,0)),0))</f>
        <v>0</v>
      </c>
      <c r="AB731" s="20">
        <f>IF(B731="","",IFERROR(INDEX(Channels!$T$5:$T$18,MATCH(IF(E731="",DefaultChannel,E731),Channels!$A$5:$A$18,0)),0))</f>
        <v>0</v>
      </c>
      <c r="AC731" s="42">
        <f>IF(B731="","",IFERROR(INDEX(Channels!$O$5:$O$18,MATCH(IF(E731="",DefaultChannel,E731),Channels!$A$5:$A$18,0)),"No"))</f>
        <v>0</v>
      </c>
      <c r="AD731" s="20">
        <f>IF(B731="","",ROUND((V731+IF(AC731="Yes",IF(I731="",0,I731),0))*AA731+AB731,2))</f>
        <v>0</v>
      </c>
      <c r="AE731" s="20">
        <f>IF(B731="","",IF(K731&lt;&gt;"",K731,AD731))</f>
        <v>0</v>
      </c>
      <c r="AF731" s="20">
        <f>IF(B731="","",IF(K731="","",ROUND(K731-AD731,2)))</f>
        <v>0</v>
      </c>
      <c r="AG731" s="20">
        <f>IF(B731="","",ROUND(V731-Y731-AE731-Z731,2))</f>
        <v>0</v>
      </c>
      <c r="AH731" s="33">
        <f>IF(B731="","",IF(OR(V731="",V731=0),"",AG731/V731))</f>
        <v>0</v>
      </c>
      <c r="AI731" s="33">
        <f>IF(C731="","",IFERROR(INDEX(Products!$AW$5:$AW$304,MATCH(C731,Products!$A$5:$A$304,0)),""))</f>
        <v>0</v>
      </c>
      <c r="AJ731" s="33">
        <f>IF(B731="","",IF(OR(AH731="",AI731=""),"",AH731-AI731))</f>
        <v>0</v>
      </c>
      <c r="AK731" s="41">
        <f>IF(B731="","",IFERROR(ROUND(IF(D731="",0,D731)*INDEX(Products!$X$5:$X$304,MATCH(C731,Products!$A$5:$A$304,0))/60,2),""))</f>
        <v>0</v>
      </c>
      <c r="AL731" s="20">
        <f>IF(B731="","",IF(OR(AK731="",AK731=0),"",ROUND(AG731/AK731,2)))</f>
        <v>0</v>
      </c>
      <c r="AM731" s="43">
        <f>IF(B731="","",IF(C731="","Add - which product?",IF(AG731&lt;0,"Loss - this order cost you money",IF(M731="Refunded","Refunded - check why",IF(AND(AF731&lt;&gt;"",AF731&gt;0.25),"Check - fees higher than your settings",IF(Z731&gt;1,"Check - postage is eating the margin",IF(AND(AH731&lt;&gt;"",AH731&lt;MarginWarning),"Low margin on this order","OK")))))) )</f>
        <v>0</v>
      </c>
    </row>
    <row r="732" spans="1:39">
      <c r="A732" s="38">
        <f>IF(B732="","",SalePrefix&amp;TEXT(ROW()-4,"0000"))</f>
        <v>0</v>
      </c>
      <c r="Q732" s="13">
        <f>IF(C732="","",IFERROR(INDEX(Products!$B$5:$B$304,MATCH(C732,Products!$A$5:$A$304,0)),"Bundle or deleted"))</f>
        <v>0</v>
      </c>
      <c r="R732" s="13">
        <f>IF(B732="","",TEXT(B732,"yyyy-mm"))</f>
        <v>0</v>
      </c>
      <c r="S732" s="20">
        <f>IF(C732="","",IFERROR(INDEX(Products!$AR$5:$AR$304,MATCH(C732,Products!$A$5:$A$304,0)),""))</f>
        <v>0</v>
      </c>
      <c r="T732" s="20">
        <f>IF(B732="","",IF(F732&lt;&gt;"",F732,IF(S732="",0,S732)))</f>
        <v>0</v>
      </c>
      <c r="U732" s="20">
        <f>IF(B732="","",ROUND(IF(D732="",0,D732)*T732,2))</f>
        <v>0</v>
      </c>
      <c r="V732" s="20">
        <f>IF(B732="","",ROUND(U732-IF(G732="",0,G732)-IF(L732="",0,L732),2))</f>
        <v>0</v>
      </c>
      <c r="W732" s="20">
        <f>IF(C732="","",IFERROR(INDEX(Products!$AT$5:$AT$304,MATCH(C732,Products!$A$5:$A$304,0)),""))</f>
        <v>0</v>
      </c>
      <c r="X732" s="20">
        <f>IF(C732="","",IFERROR(INDEX(Products!$AG$5:$AG$304,MATCH(C732,Products!$A$5:$A$304,0)),""))</f>
        <v>0</v>
      </c>
      <c r="Y732" s="20">
        <f>IF(B732="","",ROUND(IF(D732="",0,D732)*MAX(0,IF(W732="",0,W732)-IF(X732="",0,X732)),2))</f>
        <v>0</v>
      </c>
      <c r="Z732" s="20">
        <f>IF(B732="","",ROUND(MAX(0,IF(J732="",0,J732)-IF(I732="",0,I732)),2))</f>
        <v>0</v>
      </c>
      <c r="AA732" s="33">
        <f>IF(B732="","",IFERROR(INDEX(Channels!$S$5:$S$18,MATCH(IF(E732="",DefaultChannel,E732),Channels!$A$5:$A$18,0)),0))</f>
        <v>0</v>
      </c>
      <c r="AB732" s="20">
        <f>IF(B732="","",IFERROR(INDEX(Channels!$T$5:$T$18,MATCH(IF(E732="",DefaultChannel,E732),Channels!$A$5:$A$18,0)),0))</f>
        <v>0</v>
      </c>
      <c r="AC732" s="42">
        <f>IF(B732="","",IFERROR(INDEX(Channels!$O$5:$O$18,MATCH(IF(E732="",DefaultChannel,E732),Channels!$A$5:$A$18,0)),"No"))</f>
        <v>0</v>
      </c>
      <c r="AD732" s="20">
        <f>IF(B732="","",ROUND((V732+IF(AC732="Yes",IF(I732="",0,I732),0))*AA732+AB732,2))</f>
        <v>0</v>
      </c>
      <c r="AE732" s="20">
        <f>IF(B732="","",IF(K732&lt;&gt;"",K732,AD732))</f>
        <v>0</v>
      </c>
      <c r="AF732" s="20">
        <f>IF(B732="","",IF(K732="","",ROUND(K732-AD732,2)))</f>
        <v>0</v>
      </c>
      <c r="AG732" s="20">
        <f>IF(B732="","",ROUND(V732-Y732-AE732-Z732,2))</f>
        <v>0</v>
      </c>
      <c r="AH732" s="33">
        <f>IF(B732="","",IF(OR(V732="",V732=0),"",AG732/V732))</f>
        <v>0</v>
      </c>
      <c r="AI732" s="33">
        <f>IF(C732="","",IFERROR(INDEX(Products!$AW$5:$AW$304,MATCH(C732,Products!$A$5:$A$304,0)),""))</f>
        <v>0</v>
      </c>
      <c r="AJ732" s="33">
        <f>IF(B732="","",IF(OR(AH732="",AI732=""),"",AH732-AI732))</f>
        <v>0</v>
      </c>
      <c r="AK732" s="41">
        <f>IF(B732="","",IFERROR(ROUND(IF(D732="",0,D732)*INDEX(Products!$X$5:$X$304,MATCH(C732,Products!$A$5:$A$304,0))/60,2),""))</f>
        <v>0</v>
      </c>
      <c r="AL732" s="20">
        <f>IF(B732="","",IF(OR(AK732="",AK732=0),"",ROUND(AG732/AK732,2)))</f>
        <v>0</v>
      </c>
      <c r="AM732" s="43">
        <f>IF(B732="","",IF(C732="","Add - which product?",IF(AG732&lt;0,"Loss - this order cost you money",IF(M732="Refunded","Refunded - check why",IF(AND(AF732&lt;&gt;"",AF732&gt;0.25),"Check - fees higher than your settings",IF(Z732&gt;1,"Check - postage is eating the margin",IF(AND(AH732&lt;&gt;"",AH732&lt;MarginWarning),"Low margin on this order","OK")))))) )</f>
        <v>0</v>
      </c>
    </row>
    <row r="733" spans="1:39">
      <c r="A733" s="38">
        <f>IF(B733="","",SalePrefix&amp;TEXT(ROW()-4,"0000"))</f>
        <v>0</v>
      </c>
      <c r="Q733" s="13">
        <f>IF(C733="","",IFERROR(INDEX(Products!$B$5:$B$304,MATCH(C733,Products!$A$5:$A$304,0)),"Bundle or deleted"))</f>
        <v>0</v>
      </c>
      <c r="R733" s="13">
        <f>IF(B733="","",TEXT(B733,"yyyy-mm"))</f>
        <v>0</v>
      </c>
      <c r="S733" s="20">
        <f>IF(C733="","",IFERROR(INDEX(Products!$AR$5:$AR$304,MATCH(C733,Products!$A$5:$A$304,0)),""))</f>
        <v>0</v>
      </c>
      <c r="T733" s="20">
        <f>IF(B733="","",IF(F733&lt;&gt;"",F733,IF(S733="",0,S733)))</f>
        <v>0</v>
      </c>
      <c r="U733" s="20">
        <f>IF(B733="","",ROUND(IF(D733="",0,D733)*T733,2))</f>
        <v>0</v>
      </c>
      <c r="V733" s="20">
        <f>IF(B733="","",ROUND(U733-IF(G733="",0,G733)-IF(L733="",0,L733),2))</f>
        <v>0</v>
      </c>
      <c r="W733" s="20">
        <f>IF(C733="","",IFERROR(INDEX(Products!$AT$5:$AT$304,MATCH(C733,Products!$A$5:$A$304,0)),""))</f>
        <v>0</v>
      </c>
      <c r="X733" s="20">
        <f>IF(C733="","",IFERROR(INDEX(Products!$AG$5:$AG$304,MATCH(C733,Products!$A$5:$A$304,0)),""))</f>
        <v>0</v>
      </c>
      <c r="Y733" s="20">
        <f>IF(B733="","",ROUND(IF(D733="",0,D733)*MAX(0,IF(W733="",0,W733)-IF(X733="",0,X733)),2))</f>
        <v>0</v>
      </c>
      <c r="Z733" s="20">
        <f>IF(B733="","",ROUND(MAX(0,IF(J733="",0,J733)-IF(I733="",0,I733)),2))</f>
        <v>0</v>
      </c>
      <c r="AA733" s="33">
        <f>IF(B733="","",IFERROR(INDEX(Channels!$S$5:$S$18,MATCH(IF(E733="",DefaultChannel,E733),Channels!$A$5:$A$18,0)),0))</f>
        <v>0</v>
      </c>
      <c r="AB733" s="20">
        <f>IF(B733="","",IFERROR(INDEX(Channels!$T$5:$T$18,MATCH(IF(E733="",DefaultChannel,E733),Channels!$A$5:$A$18,0)),0))</f>
        <v>0</v>
      </c>
      <c r="AC733" s="42">
        <f>IF(B733="","",IFERROR(INDEX(Channels!$O$5:$O$18,MATCH(IF(E733="",DefaultChannel,E733),Channels!$A$5:$A$18,0)),"No"))</f>
        <v>0</v>
      </c>
      <c r="AD733" s="20">
        <f>IF(B733="","",ROUND((V733+IF(AC733="Yes",IF(I733="",0,I733),0))*AA733+AB733,2))</f>
        <v>0</v>
      </c>
      <c r="AE733" s="20">
        <f>IF(B733="","",IF(K733&lt;&gt;"",K733,AD733))</f>
        <v>0</v>
      </c>
      <c r="AF733" s="20">
        <f>IF(B733="","",IF(K733="","",ROUND(K733-AD733,2)))</f>
        <v>0</v>
      </c>
      <c r="AG733" s="20">
        <f>IF(B733="","",ROUND(V733-Y733-AE733-Z733,2))</f>
        <v>0</v>
      </c>
      <c r="AH733" s="33">
        <f>IF(B733="","",IF(OR(V733="",V733=0),"",AG733/V733))</f>
        <v>0</v>
      </c>
      <c r="AI733" s="33">
        <f>IF(C733="","",IFERROR(INDEX(Products!$AW$5:$AW$304,MATCH(C733,Products!$A$5:$A$304,0)),""))</f>
        <v>0</v>
      </c>
      <c r="AJ733" s="33">
        <f>IF(B733="","",IF(OR(AH733="",AI733=""),"",AH733-AI733))</f>
        <v>0</v>
      </c>
      <c r="AK733" s="41">
        <f>IF(B733="","",IFERROR(ROUND(IF(D733="",0,D733)*INDEX(Products!$X$5:$X$304,MATCH(C733,Products!$A$5:$A$304,0))/60,2),""))</f>
        <v>0</v>
      </c>
      <c r="AL733" s="20">
        <f>IF(B733="","",IF(OR(AK733="",AK733=0),"",ROUND(AG733/AK733,2)))</f>
        <v>0</v>
      </c>
      <c r="AM733" s="43">
        <f>IF(B733="","",IF(C733="","Add - which product?",IF(AG733&lt;0,"Loss - this order cost you money",IF(M733="Refunded","Refunded - check why",IF(AND(AF733&lt;&gt;"",AF733&gt;0.25),"Check - fees higher than your settings",IF(Z733&gt;1,"Check - postage is eating the margin",IF(AND(AH733&lt;&gt;"",AH733&lt;MarginWarning),"Low margin on this order","OK")))))) )</f>
        <v>0</v>
      </c>
    </row>
    <row r="734" spans="1:39">
      <c r="A734" s="38">
        <f>IF(B734="","",SalePrefix&amp;TEXT(ROW()-4,"0000"))</f>
        <v>0</v>
      </c>
      <c r="Q734" s="13">
        <f>IF(C734="","",IFERROR(INDEX(Products!$B$5:$B$304,MATCH(C734,Products!$A$5:$A$304,0)),"Bundle or deleted"))</f>
        <v>0</v>
      </c>
      <c r="R734" s="13">
        <f>IF(B734="","",TEXT(B734,"yyyy-mm"))</f>
        <v>0</v>
      </c>
      <c r="S734" s="20">
        <f>IF(C734="","",IFERROR(INDEX(Products!$AR$5:$AR$304,MATCH(C734,Products!$A$5:$A$304,0)),""))</f>
        <v>0</v>
      </c>
      <c r="T734" s="20">
        <f>IF(B734="","",IF(F734&lt;&gt;"",F734,IF(S734="",0,S734)))</f>
        <v>0</v>
      </c>
      <c r="U734" s="20">
        <f>IF(B734="","",ROUND(IF(D734="",0,D734)*T734,2))</f>
        <v>0</v>
      </c>
      <c r="V734" s="20">
        <f>IF(B734="","",ROUND(U734-IF(G734="",0,G734)-IF(L734="",0,L734),2))</f>
        <v>0</v>
      </c>
      <c r="W734" s="20">
        <f>IF(C734="","",IFERROR(INDEX(Products!$AT$5:$AT$304,MATCH(C734,Products!$A$5:$A$304,0)),""))</f>
        <v>0</v>
      </c>
      <c r="X734" s="20">
        <f>IF(C734="","",IFERROR(INDEX(Products!$AG$5:$AG$304,MATCH(C734,Products!$A$5:$A$304,0)),""))</f>
        <v>0</v>
      </c>
      <c r="Y734" s="20">
        <f>IF(B734="","",ROUND(IF(D734="",0,D734)*MAX(0,IF(W734="",0,W734)-IF(X734="",0,X734)),2))</f>
        <v>0</v>
      </c>
      <c r="Z734" s="20">
        <f>IF(B734="","",ROUND(MAX(0,IF(J734="",0,J734)-IF(I734="",0,I734)),2))</f>
        <v>0</v>
      </c>
      <c r="AA734" s="33">
        <f>IF(B734="","",IFERROR(INDEX(Channels!$S$5:$S$18,MATCH(IF(E734="",DefaultChannel,E734),Channels!$A$5:$A$18,0)),0))</f>
        <v>0</v>
      </c>
      <c r="AB734" s="20">
        <f>IF(B734="","",IFERROR(INDEX(Channels!$T$5:$T$18,MATCH(IF(E734="",DefaultChannel,E734),Channels!$A$5:$A$18,0)),0))</f>
        <v>0</v>
      </c>
      <c r="AC734" s="42">
        <f>IF(B734="","",IFERROR(INDEX(Channels!$O$5:$O$18,MATCH(IF(E734="",DefaultChannel,E734),Channels!$A$5:$A$18,0)),"No"))</f>
        <v>0</v>
      </c>
      <c r="AD734" s="20">
        <f>IF(B734="","",ROUND((V734+IF(AC734="Yes",IF(I734="",0,I734),0))*AA734+AB734,2))</f>
        <v>0</v>
      </c>
      <c r="AE734" s="20">
        <f>IF(B734="","",IF(K734&lt;&gt;"",K734,AD734))</f>
        <v>0</v>
      </c>
      <c r="AF734" s="20">
        <f>IF(B734="","",IF(K734="","",ROUND(K734-AD734,2)))</f>
        <v>0</v>
      </c>
      <c r="AG734" s="20">
        <f>IF(B734="","",ROUND(V734-Y734-AE734-Z734,2))</f>
        <v>0</v>
      </c>
      <c r="AH734" s="33">
        <f>IF(B734="","",IF(OR(V734="",V734=0),"",AG734/V734))</f>
        <v>0</v>
      </c>
      <c r="AI734" s="33">
        <f>IF(C734="","",IFERROR(INDEX(Products!$AW$5:$AW$304,MATCH(C734,Products!$A$5:$A$304,0)),""))</f>
        <v>0</v>
      </c>
      <c r="AJ734" s="33">
        <f>IF(B734="","",IF(OR(AH734="",AI734=""),"",AH734-AI734))</f>
        <v>0</v>
      </c>
      <c r="AK734" s="41">
        <f>IF(B734="","",IFERROR(ROUND(IF(D734="",0,D734)*INDEX(Products!$X$5:$X$304,MATCH(C734,Products!$A$5:$A$304,0))/60,2),""))</f>
        <v>0</v>
      </c>
      <c r="AL734" s="20">
        <f>IF(B734="","",IF(OR(AK734="",AK734=0),"",ROUND(AG734/AK734,2)))</f>
        <v>0</v>
      </c>
      <c r="AM734" s="43">
        <f>IF(B734="","",IF(C734="","Add - which product?",IF(AG734&lt;0,"Loss - this order cost you money",IF(M734="Refunded","Refunded - check why",IF(AND(AF734&lt;&gt;"",AF734&gt;0.25),"Check - fees higher than your settings",IF(Z734&gt;1,"Check - postage is eating the margin",IF(AND(AH734&lt;&gt;"",AH734&lt;MarginWarning),"Low margin on this order","OK")))))) )</f>
        <v>0</v>
      </c>
    </row>
    <row r="735" spans="1:39">
      <c r="A735" s="38">
        <f>IF(B735="","",SalePrefix&amp;TEXT(ROW()-4,"0000"))</f>
        <v>0</v>
      </c>
      <c r="Q735" s="13">
        <f>IF(C735="","",IFERROR(INDEX(Products!$B$5:$B$304,MATCH(C735,Products!$A$5:$A$304,0)),"Bundle or deleted"))</f>
        <v>0</v>
      </c>
      <c r="R735" s="13">
        <f>IF(B735="","",TEXT(B735,"yyyy-mm"))</f>
        <v>0</v>
      </c>
      <c r="S735" s="20">
        <f>IF(C735="","",IFERROR(INDEX(Products!$AR$5:$AR$304,MATCH(C735,Products!$A$5:$A$304,0)),""))</f>
        <v>0</v>
      </c>
      <c r="T735" s="20">
        <f>IF(B735="","",IF(F735&lt;&gt;"",F735,IF(S735="",0,S735)))</f>
        <v>0</v>
      </c>
      <c r="U735" s="20">
        <f>IF(B735="","",ROUND(IF(D735="",0,D735)*T735,2))</f>
        <v>0</v>
      </c>
      <c r="V735" s="20">
        <f>IF(B735="","",ROUND(U735-IF(G735="",0,G735)-IF(L735="",0,L735),2))</f>
        <v>0</v>
      </c>
      <c r="W735" s="20">
        <f>IF(C735="","",IFERROR(INDEX(Products!$AT$5:$AT$304,MATCH(C735,Products!$A$5:$A$304,0)),""))</f>
        <v>0</v>
      </c>
      <c r="X735" s="20">
        <f>IF(C735="","",IFERROR(INDEX(Products!$AG$5:$AG$304,MATCH(C735,Products!$A$5:$A$304,0)),""))</f>
        <v>0</v>
      </c>
      <c r="Y735" s="20">
        <f>IF(B735="","",ROUND(IF(D735="",0,D735)*MAX(0,IF(W735="",0,W735)-IF(X735="",0,X735)),2))</f>
        <v>0</v>
      </c>
      <c r="Z735" s="20">
        <f>IF(B735="","",ROUND(MAX(0,IF(J735="",0,J735)-IF(I735="",0,I735)),2))</f>
        <v>0</v>
      </c>
      <c r="AA735" s="33">
        <f>IF(B735="","",IFERROR(INDEX(Channels!$S$5:$S$18,MATCH(IF(E735="",DefaultChannel,E735),Channels!$A$5:$A$18,0)),0))</f>
        <v>0</v>
      </c>
      <c r="AB735" s="20">
        <f>IF(B735="","",IFERROR(INDEX(Channels!$T$5:$T$18,MATCH(IF(E735="",DefaultChannel,E735),Channels!$A$5:$A$18,0)),0))</f>
        <v>0</v>
      </c>
      <c r="AC735" s="42">
        <f>IF(B735="","",IFERROR(INDEX(Channels!$O$5:$O$18,MATCH(IF(E735="",DefaultChannel,E735),Channels!$A$5:$A$18,0)),"No"))</f>
        <v>0</v>
      </c>
      <c r="AD735" s="20">
        <f>IF(B735="","",ROUND((V735+IF(AC735="Yes",IF(I735="",0,I735),0))*AA735+AB735,2))</f>
        <v>0</v>
      </c>
      <c r="AE735" s="20">
        <f>IF(B735="","",IF(K735&lt;&gt;"",K735,AD735))</f>
        <v>0</v>
      </c>
      <c r="AF735" s="20">
        <f>IF(B735="","",IF(K735="","",ROUND(K735-AD735,2)))</f>
        <v>0</v>
      </c>
      <c r="AG735" s="20">
        <f>IF(B735="","",ROUND(V735-Y735-AE735-Z735,2))</f>
        <v>0</v>
      </c>
      <c r="AH735" s="33">
        <f>IF(B735="","",IF(OR(V735="",V735=0),"",AG735/V735))</f>
        <v>0</v>
      </c>
      <c r="AI735" s="33">
        <f>IF(C735="","",IFERROR(INDEX(Products!$AW$5:$AW$304,MATCH(C735,Products!$A$5:$A$304,0)),""))</f>
        <v>0</v>
      </c>
      <c r="AJ735" s="33">
        <f>IF(B735="","",IF(OR(AH735="",AI735=""),"",AH735-AI735))</f>
        <v>0</v>
      </c>
      <c r="AK735" s="41">
        <f>IF(B735="","",IFERROR(ROUND(IF(D735="",0,D735)*INDEX(Products!$X$5:$X$304,MATCH(C735,Products!$A$5:$A$304,0))/60,2),""))</f>
        <v>0</v>
      </c>
      <c r="AL735" s="20">
        <f>IF(B735="","",IF(OR(AK735="",AK735=0),"",ROUND(AG735/AK735,2)))</f>
        <v>0</v>
      </c>
      <c r="AM735" s="43">
        <f>IF(B735="","",IF(C735="","Add - which product?",IF(AG735&lt;0,"Loss - this order cost you money",IF(M735="Refunded","Refunded - check why",IF(AND(AF735&lt;&gt;"",AF735&gt;0.25),"Check - fees higher than your settings",IF(Z735&gt;1,"Check - postage is eating the margin",IF(AND(AH735&lt;&gt;"",AH735&lt;MarginWarning),"Low margin on this order","OK")))))) )</f>
        <v>0</v>
      </c>
    </row>
    <row r="736" spans="1:39">
      <c r="A736" s="38">
        <f>IF(B736="","",SalePrefix&amp;TEXT(ROW()-4,"0000"))</f>
        <v>0</v>
      </c>
      <c r="Q736" s="13">
        <f>IF(C736="","",IFERROR(INDEX(Products!$B$5:$B$304,MATCH(C736,Products!$A$5:$A$304,0)),"Bundle or deleted"))</f>
        <v>0</v>
      </c>
      <c r="R736" s="13">
        <f>IF(B736="","",TEXT(B736,"yyyy-mm"))</f>
        <v>0</v>
      </c>
      <c r="S736" s="20">
        <f>IF(C736="","",IFERROR(INDEX(Products!$AR$5:$AR$304,MATCH(C736,Products!$A$5:$A$304,0)),""))</f>
        <v>0</v>
      </c>
      <c r="T736" s="20">
        <f>IF(B736="","",IF(F736&lt;&gt;"",F736,IF(S736="",0,S736)))</f>
        <v>0</v>
      </c>
      <c r="U736" s="20">
        <f>IF(B736="","",ROUND(IF(D736="",0,D736)*T736,2))</f>
        <v>0</v>
      </c>
      <c r="V736" s="20">
        <f>IF(B736="","",ROUND(U736-IF(G736="",0,G736)-IF(L736="",0,L736),2))</f>
        <v>0</v>
      </c>
      <c r="W736" s="20">
        <f>IF(C736="","",IFERROR(INDEX(Products!$AT$5:$AT$304,MATCH(C736,Products!$A$5:$A$304,0)),""))</f>
        <v>0</v>
      </c>
      <c r="X736" s="20">
        <f>IF(C736="","",IFERROR(INDEX(Products!$AG$5:$AG$304,MATCH(C736,Products!$A$5:$A$304,0)),""))</f>
        <v>0</v>
      </c>
      <c r="Y736" s="20">
        <f>IF(B736="","",ROUND(IF(D736="",0,D736)*MAX(0,IF(W736="",0,W736)-IF(X736="",0,X736)),2))</f>
        <v>0</v>
      </c>
      <c r="Z736" s="20">
        <f>IF(B736="","",ROUND(MAX(0,IF(J736="",0,J736)-IF(I736="",0,I736)),2))</f>
        <v>0</v>
      </c>
      <c r="AA736" s="33">
        <f>IF(B736="","",IFERROR(INDEX(Channels!$S$5:$S$18,MATCH(IF(E736="",DefaultChannel,E736),Channels!$A$5:$A$18,0)),0))</f>
        <v>0</v>
      </c>
      <c r="AB736" s="20">
        <f>IF(B736="","",IFERROR(INDEX(Channels!$T$5:$T$18,MATCH(IF(E736="",DefaultChannel,E736),Channels!$A$5:$A$18,0)),0))</f>
        <v>0</v>
      </c>
      <c r="AC736" s="42">
        <f>IF(B736="","",IFERROR(INDEX(Channels!$O$5:$O$18,MATCH(IF(E736="",DefaultChannel,E736),Channels!$A$5:$A$18,0)),"No"))</f>
        <v>0</v>
      </c>
      <c r="AD736" s="20">
        <f>IF(B736="","",ROUND((V736+IF(AC736="Yes",IF(I736="",0,I736),0))*AA736+AB736,2))</f>
        <v>0</v>
      </c>
      <c r="AE736" s="20">
        <f>IF(B736="","",IF(K736&lt;&gt;"",K736,AD736))</f>
        <v>0</v>
      </c>
      <c r="AF736" s="20">
        <f>IF(B736="","",IF(K736="","",ROUND(K736-AD736,2)))</f>
        <v>0</v>
      </c>
      <c r="AG736" s="20">
        <f>IF(B736="","",ROUND(V736-Y736-AE736-Z736,2))</f>
        <v>0</v>
      </c>
      <c r="AH736" s="33">
        <f>IF(B736="","",IF(OR(V736="",V736=0),"",AG736/V736))</f>
        <v>0</v>
      </c>
      <c r="AI736" s="33">
        <f>IF(C736="","",IFERROR(INDEX(Products!$AW$5:$AW$304,MATCH(C736,Products!$A$5:$A$304,0)),""))</f>
        <v>0</v>
      </c>
      <c r="AJ736" s="33">
        <f>IF(B736="","",IF(OR(AH736="",AI736=""),"",AH736-AI736))</f>
        <v>0</v>
      </c>
      <c r="AK736" s="41">
        <f>IF(B736="","",IFERROR(ROUND(IF(D736="",0,D736)*INDEX(Products!$X$5:$X$304,MATCH(C736,Products!$A$5:$A$304,0))/60,2),""))</f>
        <v>0</v>
      </c>
      <c r="AL736" s="20">
        <f>IF(B736="","",IF(OR(AK736="",AK736=0),"",ROUND(AG736/AK736,2)))</f>
        <v>0</v>
      </c>
      <c r="AM736" s="43">
        <f>IF(B736="","",IF(C736="","Add - which product?",IF(AG736&lt;0,"Loss - this order cost you money",IF(M736="Refunded","Refunded - check why",IF(AND(AF736&lt;&gt;"",AF736&gt;0.25),"Check - fees higher than your settings",IF(Z736&gt;1,"Check - postage is eating the margin",IF(AND(AH736&lt;&gt;"",AH736&lt;MarginWarning),"Low margin on this order","OK")))))) )</f>
        <v>0</v>
      </c>
    </row>
    <row r="737" spans="1:39">
      <c r="A737" s="38">
        <f>IF(B737="","",SalePrefix&amp;TEXT(ROW()-4,"0000"))</f>
        <v>0</v>
      </c>
      <c r="Q737" s="13">
        <f>IF(C737="","",IFERROR(INDEX(Products!$B$5:$B$304,MATCH(C737,Products!$A$5:$A$304,0)),"Bundle or deleted"))</f>
        <v>0</v>
      </c>
      <c r="R737" s="13">
        <f>IF(B737="","",TEXT(B737,"yyyy-mm"))</f>
        <v>0</v>
      </c>
      <c r="S737" s="20">
        <f>IF(C737="","",IFERROR(INDEX(Products!$AR$5:$AR$304,MATCH(C737,Products!$A$5:$A$304,0)),""))</f>
        <v>0</v>
      </c>
      <c r="T737" s="20">
        <f>IF(B737="","",IF(F737&lt;&gt;"",F737,IF(S737="",0,S737)))</f>
        <v>0</v>
      </c>
      <c r="U737" s="20">
        <f>IF(B737="","",ROUND(IF(D737="",0,D737)*T737,2))</f>
        <v>0</v>
      </c>
      <c r="V737" s="20">
        <f>IF(B737="","",ROUND(U737-IF(G737="",0,G737)-IF(L737="",0,L737),2))</f>
        <v>0</v>
      </c>
      <c r="W737" s="20">
        <f>IF(C737="","",IFERROR(INDEX(Products!$AT$5:$AT$304,MATCH(C737,Products!$A$5:$A$304,0)),""))</f>
        <v>0</v>
      </c>
      <c r="X737" s="20">
        <f>IF(C737="","",IFERROR(INDEX(Products!$AG$5:$AG$304,MATCH(C737,Products!$A$5:$A$304,0)),""))</f>
        <v>0</v>
      </c>
      <c r="Y737" s="20">
        <f>IF(B737="","",ROUND(IF(D737="",0,D737)*MAX(0,IF(W737="",0,W737)-IF(X737="",0,X737)),2))</f>
        <v>0</v>
      </c>
      <c r="Z737" s="20">
        <f>IF(B737="","",ROUND(MAX(0,IF(J737="",0,J737)-IF(I737="",0,I737)),2))</f>
        <v>0</v>
      </c>
      <c r="AA737" s="33">
        <f>IF(B737="","",IFERROR(INDEX(Channels!$S$5:$S$18,MATCH(IF(E737="",DefaultChannel,E737),Channels!$A$5:$A$18,0)),0))</f>
        <v>0</v>
      </c>
      <c r="AB737" s="20">
        <f>IF(B737="","",IFERROR(INDEX(Channels!$T$5:$T$18,MATCH(IF(E737="",DefaultChannel,E737),Channels!$A$5:$A$18,0)),0))</f>
        <v>0</v>
      </c>
      <c r="AC737" s="42">
        <f>IF(B737="","",IFERROR(INDEX(Channels!$O$5:$O$18,MATCH(IF(E737="",DefaultChannel,E737),Channels!$A$5:$A$18,0)),"No"))</f>
        <v>0</v>
      </c>
      <c r="AD737" s="20">
        <f>IF(B737="","",ROUND((V737+IF(AC737="Yes",IF(I737="",0,I737),0))*AA737+AB737,2))</f>
        <v>0</v>
      </c>
      <c r="AE737" s="20">
        <f>IF(B737="","",IF(K737&lt;&gt;"",K737,AD737))</f>
        <v>0</v>
      </c>
      <c r="AF737" s="20">
        <f>IF(B737="","",IF(K737="","",ROUND(K737-AD737,2)))</f>
        <v>0</v>
      </c>
      <c r="AG737" s="20">
        <f>IF(B737="","",ROUND(V737-Y737-AE737-Z737,2))</f>
        <v>0</v>
      </c>
      <c r="AH737" s="33">
        <f>IF(B737="","",IF(OR(V737="",V737=0),"",AG737/V737))</f>
        <v>0</v>
      </c>
      <c r="AI737" s="33">
        <f>IF(C737="","",IFERROR(INDEX(Products!$AW$5:$AW$304,MATCH(C737,Products!$A$5:$A$304,0)),""))</f>
        <v>0</v>
      </c>
      <c r="AJ737" s="33">
        <f>IF(B737="","",IF(OR(AH737="",AI737=""),"",AH737-AI737))</f>
        <v>0</v>
      </c>
      <c r="AK737" s="41">
        <f>IF(B737="","",IFERROR(ROUND(IF(D737="",0,D737)*INDEX(Products!$X$5:$X$304,MATCH(C737,Products!$A$5:$A$304,0))/60,2),""))</f>
        <v>0</v>
      </c>
      <c r="AL737" s="20">
        <f>IF(B737="","",IF(OR(AK737="",AK737=0),"",ROUND(AG737/AK737,2)))</f>
        <v>0</v>
      </c>
      <c r="AM737" s="43">
        <f>IF(B737="","",IF(C737="","Add - which product?",IF(AG737&lt;0,"Loss - this order cost you money",IF(M737="Refunded","Refunded - check why",IF(AND(AF737&lt;&gt;"",AF737&gt;0.25),"Check - fees higher than your settings",IF(Z737&gt;1,"Check - postage is eating the margin",IF(AND(AH737&lt;&gt;"",AH737&lt;MarginWarning),"Low margin on this order","OK")))))) )</f>
        <v>0</v>
      </c>
    </row>
    <row r="738" spans="1:39">
      <c r="A738" s="38">
        <f>IF(B738="","",SalePrefix&amp;TEXT(ROW()-4,"0000"))</f>
        <v>0</v>
      </c>
      <c r="Q738" s="13">
        <f>IF(C738="","",IFERROR(INDEX(Products!$B$5:$B$304,MATCH(C738,Products!$A$5:$A$304,0)),"Bundle or deleted"))</f>
        <v>0</v>
      </c>
      <c r="R738" s="13">
        <f>IF(B738="","",TEXT(B738,"yyyy-mm"))</f>
        <v>0</v>
      </c>
      <c r="S738" s="20">
        <f>IF(C738="","",IFERROR(INDEX(Products!$AR$5:$AR$304,MATCH(C738,Products!$A$5:$A$304,0)),""))</f>
        <v>0</v>
      </c>
      <c r="T738" s="20">
        <f>IF(B738="","",IF(F738&lt;&gt;"",F738,IF(S738="",0,S738)))</f>
        <v>0</v>
      </c>
      <c r="U738" s="20">
        <f>IF(B738="","",ROUND(IF(D738="",0,D738)*T738,2))</f>
        <v>0</v>
      </c>
      <c r="V738" s="20">
        <f>IF(B738="","",ROUND(U738-IF(G738="",0,G738)-IF(L738="",0,L738),2))</f>
        <v>0</v>
      </c>
      <c r="W738" s="20">
        <f>IF(C738="","",IFERROR(INDEX(Products!$AT$5:$AT$304,MATCH(C738,Products!$A$5:$A$304,0)),""))</f>
        <v>0</v>
      </c>
      <c r="X738" s="20">
        <f>IF(C738="","",IFERROR(INDEX(Products!$AG$5:$AG$304,MATCH(C738,Products!$A$5:$A$304,0)),""))</f>
        <v>0</v>
      </c>
      <c r="Y738" s="20">
        <f>IF(B738="","",ROUND(IF(D738="",0,D738)*MAX(0,IF(W738="",0,W738)-IF(X738="",0,X738)),2))</f>
        <v>0</v>
      </c>
      <c r="Z738" s="20">
        <f>IF(B738="","",ROUND(MAX(0,IF(J738="",0,J738)-IF(I738="",0,I738)),2))</f>
        <v>0</v>
      </c>
      <c r="AA738" s="33">
        <f>IF(B738="","",IFERROR(INDEX(Channels!$S$5:$S$18,MATCH(IF(E738="",DefaultChannel,E738),Channels!$A$5:$A$18,0)),0))</f>
        <v>0</v>
      </c>
      <c r="AB738" s="20">
        <f>IF(B738="","",IFERROR(INDEX(Channels!$T$5:$T$18,MATCH(IF(E738="",DefaultChannel,E738),Channels!$A$5:$A$18,0)),0))</f>
        <v>0</v>
      </c>
      <c r="AC738" s="42">
        <f>IF(B738="","",IFERROR(INDEX(Channels!$O$5:$O$18,MATCH(IF(E738="",DefaultChannel,E738),Channels!$A$5:$A$18,0)),"No"))</f>
        <v>0</v>
      </c>
      <c r="AD738" s="20">
        <f>IF(B738="","",ROUND((V738+IF(AC738="Yes",IF(I738="",0,I738),0))*AA738+AB738,2))</f>
        <v>0</v>
      </c>
      <c r="AE738" s="20">
        <f>IF(B738="","",IF(K738&lt;&gt;"",K738,AD738))</f>
        <v>0</v>
      </c>
      <c r="AF738" s="20">
        <f>IF(B738="","",IF(K738="","",ROUND(K738-AD738,2)))</f>
        <v>0</v>
      </c>
      <c r="AG738" s="20">
        <f>IF(B738="","",ROUND(V738-Y738-AE738-Z738,2))</f>
        <v>0</v>
      </c>
      <c r="AH738" s="33">
        <f>IF(B738="","",IF(OR(V738="",V738=0),"",AG738/V738))</f>
        <v>0</v>
      </c>
      <c r="AI738" s="33">
        <f>IF(C738="","",IFERROR(INDEX(Products!$AW$5:$AW$304,MATCH(C738,Products!$A$5:$A$304,0)),""))</f>
        <v>0</v>
      </c>
      <c r="AJ738" s="33">
        <f>IF(B738="","",IF(OR(AH738="",AI738=""),"",AH738-AI738))</f>
        <v>0</v>
      </c>
      <c r="AK738" s="41">
        <f>IF(B738="","",IFERROR(ROUND(IF(D738="",0,D738)*INDEX(Products!$X$5:$X$304,MATCH(C738,Products!$A$5:$A$304,0))/60,2),""))</f>
        <v>0</v>
      </c>
      <c r="AL738" s="20">
        <f>IF(B738="","",IF(OR(AK738="",AK738=0),"",ROUND(AG738/AK738,2)))</f>
        <v>0</v>
      </c>
      <c r="AM738" s="43">
        <f>IF(B738="","",IF(C738="","Add - which product?",IF(AG738&lt;0,"Loss - this order cost you money",IF(M738="Refunded","Refunded - check why",IF(AND(AF738&lt;&gt;"",AF738&gt;0.25),"Check - fees higher than your settings",IF(Z738&gt;1,"Check - postage is eating the margin",IF(AND(AH738&lt;&gt;"",AH738&lt;MarginWarning),"Low margin on this order","OK")))))) )</f>
        <v>0</v>
      </c>
    </row>
    <row r="739" spans="1:39">
      <c r="A739" s="38">
        <f>IF(B739="","",SalePrefix&amp;TEXT(ROW()-4,"0000"))</f>
        <v>0</v>
      </c>
      <c r="Q739" s="13">
        <f>IF(C739="","",IFERROR(INDEX(Products!$B$5:$B$304,MATCH(C739,Products!$A$5:$A$304,0)),"Bundle or deleted"))</f>
        <v>0</v>
      </c>
      <c r="R739" s="13">
        <f>IF(B739="","",TEXT(B739,"yyyy-mm"))</f>
        <v>0</v>
      </c>
      <c r="S739" s="20">
        <f>IF(C739="","",IFERROR(INDEX(Products!$AR$5:$AR$304,MATCH(C739,Products!$A$5:$A$304,0)),""))</f>
        <v>0</v>
      </c>
      <c r="T739" s="20">
        <f>IF(B739="","",IF(F739&lt;&gt;"",F739,IF(S739="",0,S739)))</f>
        <v>0</v>
      </c>
      <c r="U739" s="20">
        <f>IF(B739="","",ROUND(IF(D739="",0,D739)*T739,2))</f>
        <v>0</v>
      </c>
      <c r="V739" s="20">
        <f>IF(B739="","",ROUND(U739-IF(G739="",0,G739)-IF(L739="",0,L739),2))</f>
        <v>0</v>
      </c>
      <c r="W739" s="20">
        <f>IF(C739="","",IFERROR(INDEX(Products!$AT$5:$AT$304,MATCH(C739,Products!$A$5:$A$304,0)),""))</f>
        <v>0</v>
      </c>
      <c r="X739" s="20">
        <f>IF(C739="","",IFERROR(INDEX(Products!$AG$5:$AG$304,MATCH(C739,Products!$A$5:$A$304,0)),""))</f>
        <v>0</v>
      </c>
      <c r="Y739" s="20">
        <f>IF(B739="","",ROUND(IF(D739="",0,D739)*MAX(0,IF(W739="",0,W739)-IF(X739="",0,X739)),2))</f>
        <v>0</v>
      </c>
      <c r="Z739" s="20">
        <f>IF(B739="","",ROUND(MAX(0,IF(J739="",0,J739)-IF(I739="",0,I739)),2))</f>
        <v>0</v>
      </c>
      <c r="AA739" s="33">
        <f>IF(B739="","",IFERROR(INDEX(Channels!$S$5:$S$18,MATCH(IF(E739="",DefaultChannel,E739),Channels!$A$5:$A$18,0)),0))</f>
        <v>0</v>
      </c>
      <c r="AB739" s="20">
        <f>IF(B739="","",IFERROR(INDEX(Channels!$T$5:$T$18,MATCH(IF(E739="",DefaultChannel,E739),Channels!$A$5:$A$18,0)),0))</f>
        <v>0</v>
      </c>
      <c r="AC739" s="42">
        <f>IF(B739="","",IFERROR(INDEX(Channels!$O$5:$O$18,MATCH(IF(E739="",DefaultChannel,E739),Channels!$A$5:$A$18,0)),"No"))</f>
        <v>0</v>
      </c>
      <c r="AD739" s="20">
        <f>IF(B739="","",ROUND((V739+IF(AC739="Yes",IF(I739="",0,I739),0))*AA739+AB739,2))</f>
        <v>0</v>
      </c>
      <c r="AE739" s="20">
        <f>IF(B739="","",IF(K739&lt;&gt;"",K739,AD739))</f>
        <v>0</v>
      </c>
      <c r="AF739" s="20">
        <f>IF(B739="","",IF(K739="","",ROUND(K739-AD739,2)))</f>
        <v>0</v>
      </c>
      <c r="AG739" s="20">
        <f>IF(B739="","",ROUND(V739-Y739-AE739-Z739,2))</f>
        <v>0</v>
      </c>
      <c r="AH739" s="33">
        <f>IF(B739="","",IF(OR(V739="",V739=0),"",AG739/V739))</f>
        <v>0</v>
      </c>
      <c r="AI739" s="33">
        <f>IF(C739="","",IFERROR(INDEX(Products!$AW$5:$AW$304,MATCH(C739,Products!$A$5:$A$304,0)),""))</f>
        <v>0</v>
      </c>
      <c r="AJ739" s="33">
        <f>IF(B739="","",IF(OR(AH739="",AI739=""),"",AH739-AI739))</f>
        <v>0</v>
      </c>
      <c r="AK739" s="41">
        <f>IF(B739="","",IFERROR(ROUND(IF(D739="",0,D739)*INDEX(Products!$X$5:$X$304,MATCH(C739,Products!$A$5:$A$304,0))/60,2),""))</f>
        <v>0</v>
      </c>
      <c r="AL739" s="20">
        <f>IF(B739="","",IF(OR(AK739="",AK739=0),"",ROUND(AG739/AK739,2)))</f>
        <v>0</v>
      </c>
      <c r="AM739" s="43">
        <f>IF(B739="","",IF(C739="","Add - which product?",IF(AG739&lt;0,"Loss - this order cost you money",IF(M739="Refunded","Refunded - check why",IF(AND(AF739&lt;&gt;"",AF739&gt;0.25),"Check - fees higher than your settings",IF(Z739&gt;1,"Check - postage is eating the margin",IF(AND(AH739&lt;&gt;"",AH739&lt;MarginWarning),"Low margin on this order","OK")))))) )</f>
        <v>0</v>
      </c>
    </row>
    <row r="740" spans="1:39">
      <c r="A740" s="38">
        <f>IF(B740="","",SalePrefix&amp;TEXT(ROW()-4,"0000"))</f>
        <v>0</v>
      </c>
      <c r="Q740" s="13">
        <f>IF(C740="","",IFERROR(INDEX(Products!$B$5:$B$304,MATCH(C740,Products!$A$5:$A$304,0)),"Bundle or deleted"))</f>
        <v>0</v>
      </c>
      <c r="R740" s="13">
        <f>IF(B740="","",TEXT(B740,"yyyy-mm"))</f>
        <v>0</v>
      </c>
      <c r="S740" s="20">
        <f>IF(C740="","",IFERROR(INDEX(Products!$AR$5:$AR$304,MATCH(C740,Products!$A$5:$A$304,0)),""))</f>
        <v>0</v>
      </c>
      <c r="T740" s="20">
        <f>IF(B740="","",IF(F740&lt;&gt;"",F740,IF(S740="",0,S740)))</f>
        <v>0</v>
      </c>
      <c r="U740" s="20">
        <f>IF(B740="","",ROUND(IF(D740="",0,D740)*T740,2))</f>
        <v>0</v>
      </c>
      <c r="V740" s="20">
        <f>IF(B740="","",ROUND(U740-IF(G740="",0,G740)-IF(L740="",0,L740),2))</f>
        <v>0</v>
      </c>
      <c r="W740" s="20">
        <f>IF(C740="","",IFERROR(INDEX(Products!$AT$5:$AT$304,MATCH(C740,Products!$A$5:$A$304,0)),""))</f>
        <v>0</v>
      </c>
      <c r="X740" s="20">
        <f>IF(C740="","",IFERROR(INDEX(Products!$AG$5:$AG$304,MATCH(C740,Products!$A$5:$A$304,0)),""))</f>
        <v>0</v>
      </c>
      <c r="Y740" s="20">
        <f>IF(B740="","",ROUND(IF(D740="",0,D740)*MAX(0,IF(W740="",0,W740)-IF(X740="",0,X740)),2))</f>
        <v>0</v>
      </c>
      <c r="Z740" s="20">
        <f>IF(B740="","",ROUND(MAX(0,IF(J740="",0,J740)-IF(I740="",0,I740)),2))</f>
        <v>0</v>
      </c>
      <c r="AA740" s="33">
        <f>IF(B740="","",IFERROR(INDEX(Channels!$S$5:$S$18,MATCH(IF(E740="",DefaultChannel,E740),Channels!$A$5:$A$18,0)),0))</f>
        <v>0</v>
      </c>
      <c r="AB740" s="20">
        <f>IF(B740="","",IFERROR(INDEX(Channels!$T$5:$T$18,MATCH(IF(E740="",DefaultChannel,E740),Channels!$A$5:$A$18,0)),0))</f>
        <v>0</v>
      </c>
      <c r="AC740" s="42">
        <f>IF(B740="","",IFERROR(INDEX(Channels!$O$5:$O$18,MATCH(IF(E740="",DefaultChannel,E740),Channels!$A$5:$A$18,0)),"No"))</f>
        <v>0</v>
      </c>
      <c r="AD740" s="20">
        <f>IF(B740="","",ROUND((V740+IF(AC740="Yes",IF(I740="",0,I740),0))*AA740+AB740,2))</f>
        <v>0</v>
      </c>
      <c r="AE740" s="20">
        <f>IF(B740="","",IF(K740&lt;&gt;"",K740,AD740))</f>
        <v>0</v>
      </c>
      <c r="AF740" s="20">
        <f>IF(B740="","",IF(K740="","",ROUND(K740-AD740,2)))</f>
        <v>0</v>
      </c>
      <c r="AG740" s="20">
        <f>IF(B740="","",ROUND(V740-Y740-AE740-Z740,2))</f>
        <v>0</v>
      </c>
      <c r="AH740" s="33">
        <f>IF(B740="","",IF(OR(V740="",V740=0),"",AG740/V740))</f>
        <v>0</v>
      </c>
      <c r="AI740" s="33">
        <f>IF(C740="","",IFERROR(INDEX(Products!$AW$5:$AW$304,MATCH(C740,Products!$A$5:$A$304,0)),""))</f>
        <v>0</v>
      </c>
      <c r="AJ740" s="33">
        <f>IF(B740="","",IF(OR(AH740="",AI740=""),"",AH740-AI740))</f>
        <v>0</v>
      </c>
      <c r="AK740" s="41">
        <f>IF(B740="","",IFERROR(ROUND(IF(D740="",0,D740)*INDEX(Products!$X$5:$X$304,MATCH(C740,Products!$A$5:$A$304,0))/60,2),""))</f>
        <v>0</v>
      </c>
      <c r="AL740" s="20">
        <f>IF(B740="","",IF(OR(AK740="",AK740=0),"",ROUND(AG740/AK740,2)))</f>
        <v>0</v>
      </c>
      <c r="AM740" s="43">
        <f>IF(B740="","",IF(C740="","Add - which product?",IF(AG740&lt;0,"Loss - this order cost you money",IF(M740="Refunded","Refunded - check why",IF(AND(AF740&lt;&gt;"",AF740&gt;0.25),"Check - fees higher than your settings",IF(Z740&gt;1,"Check - postage is eating the margin",IF(AND(AH740&lt;&gt;"",AH740&lt;MarginWarning),"Low margin on this order","OK")))))) )</f>
        <v>0</v>
      </c>
    </row>
    <row r="741" spans="1:39">
      <c r="A741" s="38">
        <f>IF(B741="","",SalePrefix&amp;TEXT(ROW()-4,"0000"))</f>
        <v>0</v>
      </c>
      <c r="Q741" s="13">
        <f>IF(C741="","",IFERROR(INDEX(Products!$B$5:$B$304,MATCH(C741,Products!$A$5:$A$304,0)),"Bundle or deleted"))</f>
        <v>0</v>
      </c>
      <c r="R741" s="13">
        <f>IF(B741="","",TEXT(B741,"yyyy-mm"))</f>
        <v>0</v>
      </c>
      <c r="S741" s="20">
        <f>IF(C741="","",IFERROR(INDEX(Products!$AR$5:$AR$304,MATCH(C741,Products!$A$5:$A$304,0)),""))</f>
        <v>0</v>
      </c>
      <c r="T741" s="20">
        <f>IF(B741="","",IF(F741&lt;&gt;"",F741,IF(S741="",0,S741)))</f>
        <v>0</v>
      </c>
      <c r="U741" s="20">
        <f>IF(B741="","",ROUND(IF(D741="",0,D741)*T741,2))</f>
        <v>0</v>
      </c>
      <c r="V741" s="20">
        <f>IF(B741="","",ROUND(U741-IF(G741="",0,G741)-IF(L741="",0,L741),2))</f>
        <v>0</v>
      </c>
      <c r="W741" s="20">
        <f>IF(C741="","",IFERROR(INDEX(Products!$AT$5:$AT$304,MATCH(C741,Products!$A$5:$A$304,0)),""))</f>
        <v>0</v>
      </c>
      <c r="X741" s="20">
        <f>IF(C741="","",IFERROR(INDEX(Products!$AG$5:$AG$304,MATCH(C741,Products!$A$5:$A$304,0)),""))</f>
        <v>0</v>
      </c>
      <c r="Y741" s="20">
        <f>IF(B741="","",ROUND(IF(D741="",0,D741)*MAX(0,IF(W741="",0,W741)-IF(X741="",0,X741)),2))</f>
        <v>0</v>
      </c>
      <c r="Z741" s="20">
        <f>IF(B741="","",ROUND(MAX(0,IF(J741="",0,J741)-IF(I741="",0,I741)),2))</f>
        <v>0</v>
      </c>
      <c r="AA741" s="33">
        <f>IF(B741="","",IFERROR(INDEX(Channels!$S$5:$S$18,MATCH(IF(E741="",DefaultChannel,E741),Channels!$A$5:$A$18,0)),0))</f>
        <v>0</v>
      </c>
      <c r="AB741" s="20">
        <f>IF(B741="","",IFERROR(INDEX(Channels!$T$5:$T$18,MATCH(IF(E741="",DefaultChannel,E741),Channels!$A$5:$A$18,0)),0))</f>
        <v>0</v>
      </c>
      <c r="AC741" s="42">
        <f>IF(B741="","",IFERROR(INDEX(Channels!$O$5:$O$18,MATCH(IF(E741="",DefaultChannel,E741),Channels!$A$5:$A$18,0)),"No"))</f>
        <v>0</v>
      </c>
      <c r="AD741" s="20">
        <f>IF(B741="","",ROUND((V741+IF(AC741="Yes",IF(I741="",0,I741),0))*AA741+AB741,2))</f>
        <v>0</v>
      </c>
      <c r="AE741" s="20">
        <f>IF(B741="","",IF(K741&lt;&gt;"",K741,AD741))</f>
        <v>0</v>
      </c>
      <c r="AF741" s="20">
        <f>IF(B741="","",IF(K741="","",ROUND(K741-AD741,2)))</f>
        <v>0</v>
      </c>
      <c r="AG741" s="20">
        <f>IF(B741="","",ROUND(V741-Y741-AE741-Z741,2))</f>
        <v>0</v>
      </c>
      <c r="AH741" s="33">
        <f>IF(B741="","",IF(OR(V741="",V741=0),"",AG741/V741))</f>
        <v>0</v>
      </c>
      <c r="AI741" s="33">
        <f>IF(C741="","",IFERROR(INDEX(Products!$AW$5:$AW$304,MATCH(C741,Products!$A$5:$A$304,0)),""))</f>
        <v>0</v>
      </c>
      <c r="AJ741" s="33">
        <f>IF(B741="","",IF(OR(AH741="",AI741=""),"",AH741-AI741))</f>
        <v>0</v>
      </c>
      <c r="AK741" s="41">
        <f>IF(B741="","",IFERROR(ROUND(IF(D741="",0,D741)*INDEX(Products!$X$5:$X$304,MATCH(C741,Products!$A$5:$A$304,0))/60,2),""))</f>
        <v>0</v>
      </c>
      <c r="AL741" s="20">
        <f>IF(B741="","",IF(OR(AK741="",AK741=0),"",ROUND(AG741/AK741,2)))</f>
        <v>0</v>
      </c>
      <c r="AM741" s="43">
        <f>IF(B741="","",IF(C741="","Add - which product?",IF(AG741&lt;0,"Loss - this order cost you money",IF(M741="Refunded","Refunded - check why",IF(AND(AF741&lt;&gt;"",AF741&gt;0.25),"Check - fees higher than your settings",IF(Z741&gt;1,"Check - postage is eating the margin",IF(AND(AH741&lt;&gt;"",AH741&lt;MarginWarning),"Low margin on this order","OK")))))) )</f>
        <v>0</v>
      </c>
    </row>
    <row r="742" spans="1:39">
      <c r="A742" s="38">
        <f>IF(B742="","",SalePrefix&amp;TEXT(ROW()-4,"0000"))</f>
        <v>0</v>
      </c>
      <c r="Q742" s="13">
        <f>IF(C742="","",IFERROR(INDEX(Products!$B$5:$B$304,MATCH(C742,Products!$A$5:$A$304,0)),"Bundle or deleted"))</f>
        <v>0</v>
      </c>
      <c r="R742" s="13">
        <f>IF(B742="","",TEXT(B742,"yyyy-mm"))</f>
        <v>0</v>
      </c>
      <c r="S742" s="20">
        <f>IF(C742="","",IFERROR(INDEX(Products!$AR$5:$AR$304,MATCH(C742,Products!$A$5:$A$304,0)),""))</f>
        <v>0</v>
      </c>
      <c r="T742" s="20">
        <f>IF(B742="","",IF(F742&lt;&gt;"",F742,IF(S742="",0,S742)))</f>
        <v>0</v>
      </c>
      <c r="U742" s="20">
        <f>IF(B742="","",ROUND(IF(D742="",0,D742)*T742,2))</f>
        <v>0</v>
      </c>
      <c r="V742" s="20">
        <f>IF(B742="","",ROUND(U742-IF(G742="",0,G742)-IF(L742="",0,L742),2))</f>
        <v>0</v>
      </c>
      <c r="W742" s="20">
        <f>IF(C742="","",IFERROR(INDEX(Products!$AT$5:$AT$304,MATCH(C742,Products!$A$5:$A$304,0)),""))</f>
        <v>0</v>
      </c>
      <c r="X742" s="20">
        <f>IF(C742="","",IFERROR(INDEX(Products!$AG$5:$AG$304,MATCH(C742,Products!$A$5:$A$304,0)),""))</f>
        <v>0</v>
      </c>
      <c r="Y742" s="20">
        <f>IF(B742="","",ROUND(IF(D742="",0,D742)*MAX(0,IF(W742="",0,W742)-IF(X742="",0,X742)),2))</f>
        <v>0</v>
      </c>
      <c r="Z742" s="20">
        <f>IF(B742="","",ROUND(MAX(0,IF(J742="",0,J742)-IF(I742="",0,I742)),2))</f>
        <v>0</v>
      </c>
      <c r="AA742" s="33">
        <f>IF(B742="","",IFERROR(INDEX(Channels!$S$5:$S$18,MATCH(IF(E742="",DefaultChannel,E742),Channels!$A$5:$A$18,0)),0))</f>
        <v>0</v>
      </c>
      <c r="AB742" s="20">
        <f>IF(B742="","",IFERROR(INDEX(Channels!$T$5:$T$18,MATCH(IF(E742="",DefaultChannel,E742),Channels!$A$5:$A$18,0)),0))</f>
        <v>0</v>
      </c>
      <c r="AC742" s="42">
        <f>IF(B742="","",IFERROR(INDEX(Channels!$O$5:$O$18,MATCH(IF(E742="",DefaultChannel,E742),Channels!$A$5:$A$18,0)),"No"))</f>
        <v>0</v>
      </c>
      <c r="AD742" s="20">
        <f>IF(B742="","",ROUND((V742+IF(AC742="Yes",IF(I742="",0,I742),0))*AA742+AB742,2))</f>
        <v>0</v>
      </c>
      <c r="AE742" s="20">
        <f>IF(B742="","",IF(K742&lt;&gt;"",K742,AD742))</f>
        <v>0</v>
      </c>
      <c r="AF742" s="20">
        <f>IF(B742="","",IF(K742="","",ROUND(K742-AD742,2)))</f>
        <v>0</v>
      </c>
      <c r="AG742" s="20">
        <f>IF(B742="","",ROUND(V742-Y742-AE742-Z742,2))</f>
        <v>0</v>
      </c>
      <c r="AH742" s="33">
        <f>IF(B742="","",IF(OR(V742="",V742=0),"",AG742/V742))</f>
        <v>0</v>
      </c>
      <c r="AI742" s="33">
        <f>IF(C742="","",IFERROR(INDEX(Products!$AW$5:$AW$304,MATCH(C742,Products!$A$5:$A$304,0)),""))</f>
        <v>0</v>
      </c>
      <c r="AJ742" s="33">
        <f>IF(B742="","",IF(OR(AH742="",AI742=""),"",AH742-AI742))</f>
        <v>0</v>
      </c>
      <c r="AK742" s="41">
        <f>IF(B742="","",IFERROR(ROUND(IF(D742="",0,D742)*INDEX(Products!$X$5:$X$304,MATCH(C742,Products!$A$5:$A$304,0))/60,2),""))</f>
        <v>0</v>
      </c>
      <c r="AL742" s="20">
        <f>IF(B742="","",IF(OR(AK742="",AK742=0),"",ROUND(AG742/AK742,2)))</f>
        <v>0</v>
      </c>
      <c r="AM742" s="43">
        <f>IF(B742="","",IF(C742="","Add - which product?",IF(AG742&lt;0,"Loss - this order cost you money",IF(M742="Refunded","Refunded - check why",IF(AND(AF742&lt;&gt;"",AF742&gt;0.25),"Check - fees higher than your settings",IF(Z742&gt;1,"Check - postage is eating the margin",IF(AND(AH742&lt;&gt;"",AH742&lt;MarginWarning),"Low margin on this order","OK")))))) )</f>
        <v>0</v>
      </c>
    </row>
    <row r="743" spans="1:39">
      <c r="A743" s="38">
        <f>IF(B743="","",SalePrefix&amp;TEXT(ROW()-4,"0000"))</f>
        <v>0</v>
      </c>
      <c r="Q743" s="13">
        <f>IF(C743="","",IFERROR(INDEX(Products!$B$5:$B$304,MATCH(C743,Products!$A$5:$A$304,0)),"Bundle or deleted"))</f>
        <v>0</v>
      </c>
      <c r="R743" s="13">
        <f>IF(B743="","",TEXT(B743,"yyyy-mm"))</f>
        <v>0</v>
      </c>
      <c r="S743" s="20">
        <f>IF(C743="","",IFERROR(INDEX(Products!$AR$5:$AR$304,MATCH(C743,Products!$A$5:$A$304,0)),""))</f>
        <v>0</v>
      </c>
      <c r="T743" s="20">
        <f>IF(B743="","",IF(F743&lt;&gt;"",F743,IF(S743="",0,S743)))</f>
        <v>0</v>
      </c>
      <c r="U743" s="20">
        <f>IF(B743="","",ROUND(IF(D743="",0,D743)*T743,2))</f>
        <v>0</v>
      </c>
      <c r="V743" s="20">
        <f>IF(B743="","",ROUND(U743-IF(G743="",0,G743)-IF(L743="",0,L743),2))</f>
        <v>0</v>
      </c>
      <c r="W743" s="20">
        <f>IF(C743="","",IFERROR(INDEX(Products!$AT$5:$AT$304,MATCH(C743,Products!$A$5:$A$304,0)),""))</f>
        <v>0</v>
      </c>
      <c r="X743" s="20">
        <f>IF(C743="","",IFERROR(INDEX(Products!$AG$5:$AG$304,MATCH(C743,Products!$A$5:$A$304,0)),""))</f>
        <v>0</v>
      </c>
      <c r="Y743" s="20">
        <f>IF(B743="","",ROUND(IF(D743="",0,D743)*MAX(0,IF(W743="",0,W743)-IF(X743="",0,X743)),2))</f>
        <v>0</v>
      </c>
      <c r="Z743" s="20">
        <f>IF(B743="","",ROUND(MAX(0,IF(J743="",0,J743)-IF(I743="",0,I743)),2))</f>
        <v>0</v>
      </c>
      <c r="AA743" s="33">
        <f>IF(B743="","",IFERROR(INDEX(Channels!$S$5:$S$18,MATCH(IF(E743="",DefaultChannel,E743),Channels!$A$5:$A$18,0)),0))</f>
        <v>0</v>
      </c>
      <c r="AB743" s="20">
        <f>IF(B743="","",IFERROR(INDEX(Channels!$T$5:$T$18,MATCH(IF(E743="",DefaultChannel,E743),Channels!$A$5:$A$18,0)),0))</f>
        <v>0</v>
      </c>
      <c r="AC743" s="42">
        <f>IF(B743="","",IFERROR(INDEX(Channels!$O$5:$O$18,MATCH(IF(E743="",DefaultChannel,E743),Channels!$A$5:$A$18,0)),"No"))</f>
        <v>0</v>
      </c>
      <c r="AD743" s="20">
        <f>IF(B743="","",ROUND((V743+IF(AC743="Yes",IF(I743="",0,I743),0))*AA743+AB743,2))</f>
        <v>0</v>
      </c>
      <c r="AE743" s="20">
        <f>IF(B743="","",IF(K743&lt;&gt;"",K743,AD743))</f>
        <v>0</v>
      </c>
      <c r="AF743" s="20">
        <f>IF(B743="","",IF(K743="","",ROUND(K743-AD743,2)))</f>
        <v>0</v>
      </c>
      <c r="AG743" s="20">
        <f>IF(B743="","",ROUND(V743-Y743-AE743-Z743,2))</f>
        <v>0</v>
      </c>
      <c r="AH743" s="33">
        <f>IF(B743="","",IF(OR(V743="",V743=0),"",AG743/V743))</f>
        <v>0</v>
      </c>
      <c r="AI743" s="33">
        <f>IF(C743="","",IFERROR(INDEX(Products!$AW$5:$AW$304,MATCH(C743,Products!$A$5:$A$304,0)),""))</f>
        <v>0</v>
      </c>
      <c r="AJ743" s="33">
        <f>IF(B743="","",IF(OR(AH743="",AI743=""),"",AH743-AI743))</f>
        <v>0</v>
      </c>
      <c r="AK743" s="41">
        <f>IF(B743="","",IFERROR(ROUND(IF(D743="",0,D743)*INDEX(Products!$X$5:$X$304,MATCH(C743,Products!$A$5:$A$304,0))/60,2),""))</f>
        <v>0</v>
      </c>
      <c r="AL743" s="20">
        <f>IF(B743="","",IF(OR(AK743="",AK743=0),"",ROUND(AG743/AK743,2)))</f>
        <v>0</v>
      </c>
      <c r="AM743" s="43">
        <f>IF(B743="","",IF(C743="","Add - which product?",IF(AG743&lt;0,"Loss - this order cost you money",IF(M743="Refunded","Refunded - check why",IF(AND(AF743&lt;&gt;"",AF743&gt;0.25),"Check - fees higher than your settings",IF(Z743&gt;1,"Check - postage is eating the margin",IF(AND(AH743&lt;&gt;"",AH743&lt;MarginWarning),"Low margin on this order","OK")))))) )</f>
        <v>0</v>
      </c>
    </row>
    <row r="744" spans="1:39">
      <c r="A744" s="38">
        <f>IF(B744="","",SalePrefix&amp;TEXT(ROW()-4,"0000"))</f>
        <v>0</v>
      </c>
      <c r="Q744" s="13">
        <f>IF(C744="","",IFERROR(INDEX(Products!$B$5:$B$304,MATCH(C744,Products!$A$5:$A$304,0)),"Bundle or deleted"))</f>
        <v>0</v>
      </c>
      <c r="R744" s="13">
        <f>IF(B744="","",TEXT(B744,"yyyy-mm"))</f>
        <v>0</v>
      </c>
      <c r="S744" s="20">
        <f>IF(C744="","",IFERROR(INDEX(Products!$AR$5:$AR$304,MATCH(C744,Products!$A$5:$A$304,0)),""))</f>
        <v>0</v>
      </c>
      <c r="T744" s="20">
        <f>IF(B744="","",IF(F744&lt;&gt;"",F744,IF(S744="",0,S744)))</f>
        <v>0</v>
      </c>
      <c r="U744" s="20">
        <f>IF(B744="","",ROUND(IF(D744="",0,D744)*T744,2))</f>
        <v>0</v>
      </c>
      <c r="V744" s="20">
        <f>IF(B744="","",ROUND(U744-IF(G744="",0,G744)-IF(L744="",0,L744),2))</f>
        <v>0</v>
      </c>
      <c r="W744" s="20">
        <f>IF(C744="","",IFERROR(INDEX(Products!$AT$5:$AT$304,MATCH(C744,Products!$A$5:$A$304,0)),""))</f>
        <v>0</v>
      </c>
      <c r="X744" s="20">
        <f>IF(C744="","",IFERROR(INDEX(Products!$AG$5:$AG$304,MATCH(C744,Products!$A$5:$A$304,0)),""))</f>
        <v>0</v>
      </c>
      <c r="Y744" s="20">
        <f>IF(B744="","",ROUND(IF(D744="",0,D744)*MAX(0,IF(W744="",0,W744)-IF(X744="",0,X744)),2))</f>
        <v>0</v>
      </c>
      <c r="Z744" s="20">
        <f>IF(B744="","",ROUND(MAX(0,IF(J744="",0,J744)-IF(I744="",0,I744)),2))</f>
        <v>0</v>
      </c>
      <c r="AA744" s="33">
        <f>IF(B744="","",IFERROR(INDEX(Channels!$S$5:$S$18,MATCH(IF(E744="",DefaultChannel,E744),Channels!$A$5:$A$18,0)),0))</f>
        <v>0</v>
      </c>
      <c r="AB744" s="20">
        <f>IF(B744="","",IFERROR(INDEX(Channels!$T$5:$T$18,MATCH(IF(E744="",DefaultChannel,E744),Channels!$A$5:$A$18,0)),0))</f>
        <v>0</v>
      </c>
      <c r="AC744" s="42">
        <f>IF(B744="","",IFERROR(INDEX(Channels!$O$5:$O$18,MATCH(IF(E744="",DefaultChannel,E744),Channels!$A$5:$A$18,0)),"No"))</f>
        <v>0</v>
      </c>
      <c r="AD744" s="20">
        <f>IF(B744="","",ROUND((V744+IF(AC744="Yes",IF(I744="",0,I744),0))*AA744+AB744,2))</f>
        <v>0</v>
      </c>
      <c r="AE744" s="20">
        <f>IF(B744="","",IF(K744&lt;&gt;"",K744,AD744))</f>
        <v>0</v>
      </c>
      <c r="AF744" s="20">
        <f>IF(B744="","",IF(K744="","",ROUND(K744-AD744,2)))</f>
        <v>0</v>
      </c>
      <c r="AG744" s="20">
        <f>IF(B744="","",ROUND(V744-Y744-AE744-Z744,2))</f>
        <v>0</v>
      </c>
      <c r="AH744" s="33">
        <f>IF(B744="","",IF(OR(V744="",V744=0),"",AG744/V744))</f>
        <v>0</v>
      </c>
      <c r="AI744" s="33">
        <f>IF(C744="","",IFERROR(INDEX(Products!$AW$5:$AW$304,MATCH(C744,Products!$A$5:$A$304,0)),""))</f>
        <v>0</v>
      </c>
      <c r="AJ744" s="33">
        <f>IF(B744="","",IF(OR(AH744="",AI744=""),"",AH744-AI744))</f>
        <v>0</v>
      </c>
      <c r="AK744" s="41">
        <f>IF(B744="","",IFERROR(ROUND(IF(D744="",0,D744)*INDEX(Products!$X$5:$X$304,MATCH(C744,Products!$A$5:$A$304,0))/60,2),""))</f>
        <v>0</v>
      </c>
      <c r="AL744" s="20">
        <f>IF(B744="","",IF(OR(AK744="",AK744=0),"",ROUND(AG744/AK744,2)))</f>
        <v>0</v>
      </c>
      <c r="AM744" s="43">
        <f>IF(B744="","",IF(C744="","Add - which product?",IF(AG744&lt;0,"Loss - this order cost you money",IF(M744="Refunded","Refunded - check why",IF(AND(AF744&lt;&gt;"",AF744&gt;0.25),"Check - fees higher than your settings",IF(Z744&gt;1,"Check - postage is eating the margin",IF(AND(AH744&lt;&gt;"",AH744&lt;MarginWarning),"Low margin on this order","OK")))))) )</f>
        <v>0</v>
      </c>
    </row>
    <row r="745" spans="1:39">
      <c r="A745" s="38">
        <f>IF(B745="","",SalePrefix&amp;TEXT(ROW()-4,"0000"))</f>
        <v>0</v>
      </c>
      <c r="Q745" s="13">
        <f>IF(C745="","",IFERROR(INDEX(Products!$B$5:$B$304,MATCH(C745,Products!$A$5:$A$304,0)),"Bundle or deleted"))</f>
        <v>0</v>
      </c>
      <c r="R745" s="13">
        <f>IF(B745="","",TEXT(B745,"yyyy-mm"))</f>
        <v>0</v>
      </c>
      <c r="S745" s="20">
        <f>IF(C745="","",IFERROR(INDEX(Products!$AR$5:$AR$304,MATCH(C745,Products!$A$5:$A$304,0)),""))</f>
        <v>0</v>
      </c>
      <c r="T745" s="20">
        <f>IF(B745="","",IF(F745&lt;&gt;"",F745,IF(S745="",0,S745)))</f>
        <v>0</v>
      </c>
      <c r="U745" s="20">
        <f>IF(B745="","",ROUND(IF(D745="",0,D745)*T745,2))</f>
        <v>0</v>
      </c>
      <c r="V745" s="20">
        <f>IF(B745="","",ROUND(U745-IF(G745="",0,G745)-IF(L745="",0,L745),2))</f>
        <v>0</v>
      </c>
      <c r="W745" s="20">
        <f>IF(C745="","",IFERROR(INDEX(Products!$AT$5:$AT$304,MATCH(C745,Products!$A$5:$A$304,0)),""))</f>
        <v>0</v>
      </c>
      <c r="X745" s="20">
        <f>IF(C745="","",IFERROR(INDEX(Products!$AG$5:$AG$304,MATCH(C745,Products!$A$5:$A$304,0)),""))</f>
        <v>0</v>
      </c>
      <c r="Y745" s="20">
        <f>IF(B745="","",ROUND(IF(D745="",0,D745)*MAX(0,IF(W745="",0,W745)-IF(X745="",0,X745)),2))</f>
        <v>0</v>
      </c>
      <c r="Z745" s="20">
        <f>IF(B745="","",ROUND(MAX(0,IF(J745="",0,J745)-IF(I745="",0,I745)),2))</f>
        <v>0</v>
      </c>
      <c r="AA745" s="33">
        <f>IF(B745="","",IFERROR(INDEX(Channels!$S$5:$S$18,MATCH(IF(E745="",DefaultChannel,E745),Channels!$A$5:$A$18,0)),0))</f>
        <v>0</v>
      </c>
      <c r="AB745" s="20">
        <f>IF(B745="","",IFERROR(INDEX(Channels!$T$5:$T$18,MATCH(IF(E745="",DefaultChannel,E745),Channels!$A$5:$A$18,0)),0))</f>
        <v>0</v>
      </c>
      <c r="AC745" s="42">
        <f>IF(B745="","",IFERROR(INDEX(Channels!$O$5:$O$18,MATCH(IF(E745="",DefaultChannel,E745),Channels!$A$5:$A$18,0)),"No"))</f>
        <v>0</v>
      </c>
      <c r="AD745" s="20">
        <f>IF(B745="","",ROUND((V745+IF(AC745="Yes",IF(I745="",0,I745),0))*AA745+AB745,2))</f>
        <v>0</v>
      </c>
      <c r="AE745" s="20">
        <f>IF(B745="","",IF(K745&lt;&gt;"",K745,AD745))</f>
        <v>0</v>
      </c>
      <c r="AF745" s="20">
        <f>IF(B745="","",IF(K745="","",ROUND(K745-AD745,2)))</f>
        <v>0</v>
      </c>
      <c r="AG745" s="20">
        <f>IF(B745="","",ROUND(V745-Y745-AE745-Z745,2))</f>
        <v>0</v>
      </c>
      <c r="AH745" s="33">
        <f>IF(B745="","",IF(OR(V745="",V745=0),"",AG745/V745))</f>
        <v>0</v>
      </c>
      <c r="AI745" s="33">
        <f>IF(C745="","",IFERROR(INDEX(Products!$AW$5:$AW$304,MATCH(C745,Products!$A$5:$A$304,0)),""))</f>
        <v>0</v>
      </c>
      <c r="AJ745" s="33">
        <f>IF(B745="","",IF(OR(AH745="",AI745=""),"",AH745-AI745))</f>
        <v>0</v>
      </c>
      <c r="AK745" s="41">
        <f>IF(B745="","",IFERROR(ROUND(IF(D745="",0,D745)*INDEX(Products!$X$5:$X$304,MATCH(C745,Products!$A$5:$A$304,0))/60,2),""))</f>
        <v>0</v>
      </c>
      <c r="AL745" s="20">
        <f>IF(B745="","",IF(OR(AK745="",AK745=0),"",ROUND(AG745/AK745,2)))</f>
        <v>0</v>
      </c>
      <c r="AM745" s="43">
        <f>IF(B745="","",IF(C745="","Add - which product?",IF(AG745&lt;0,"Loss - this order cost you money",IF(M745="Refunded","Refunded - check why",IF(AND(AF745&lt;&gt;"",AF745&gt;0.25),"Check - fees higher than your settings",IF(Z745&gt;1,"Check - postage is eating the margin",IF(AND(AH745&lt;&gt;"",AH745&lt;MarginWarning),"Low margin on this order","OK")))))) )</f>
        <v>0</v>
      </c>
    </row>
    <row r="746" spans="1:39">
      <c r="A746" s="38">
        <f>IF(B746="","",SalePrefix&amp;TEXT(ROW()-4,"0000"))</f>
        <v>0</v>
      </c>
      <c r="Q746" s="13">
        <f>IF(C746="","",IFERROR(INDEX(Products!$B$5:$B$304,MATCH(C746,Products!$A$5:$A$304,0)),"Bundle or deleted"))</f>
        <v>0</v>
      </c>
      <c r="R746" s="13">
        <f>IF(B746="","",TEXT(B746,"yyyy-mm"))</f>
        <v>0</v>
      </c>
      <c r="S746" s="20">
        <f>IF(C746="","",IFERROR(INDEX(Products!$AR$5:$AR$304,MATCH(C746,Products!$A$5:$A$304,0)),""))</f>
        <v>0</v>
      </c>
      <c r="T746" s="20">
        <f>IF(B746="","",IF(F746&lt;&gt;"",F746,IF(S746="",0,S746)))</f>
        <v>0</v>
      </c>
      <c r="U746" s="20">
        <f>IF(B746="","",ROUND(IF(D746="",0,D746)*T746,2))</f>
        <v>0</v>
      </c>
      <c r="V746" s="20">
        <f>IF(B746="","",ROUND(U746-IF(G746="",0,G746)-IF(L746="",0,L746),2))</f>
        <v>0</v>
      </c>
      <c r="W746" s="20">
        <f>IF(C746="","",IFERROR(INDEX(Products!$AT$5:$AT$304,MATCH(C746,Products!$A$5:$A$304,0)),""))</f>
        <v>0</v>
      </c>
      <c r="X746" s="20">
        <f>IF(C746="","",IFERROR(INDEX(Products!$AG$5:$AG$304,MATCH(C746,Products!$A$5:$A$304,0)),""))</f>
        <v>0</v>
      </c>
      <c r="Y746" s="20">
        <f>IF(B746="","",ROUND(IF(D746="",0,D746)*MAX(0,IF(W746="",0,W746)-IF(X746="",0,X746)),2))</f>
        <v>0</v>
      </c>
      <c r="Z746" s="20">
        <f>IF(B746="","",ROUND(MAX(0,IF(J746="",0,J746)-IF(I746="",0,I746)),2))</f>
        <v>0</v>
      </c>
      <c r="AA746" s="33">
        <f>IF(B746="","",IFERROR(INDEX(Channels!$S$5:$S$18,MATCH(IF(E746="",DefaultChannel,E746),Channels!$A$5:$A$18,0)),0))</f>
        <v>0</v>
      </c>
      <c r="AB746" s="20">
        <f>IF(B746="","",IFERROR(INDEX(Channels!$T$5:$T$18,MATCH(IF(E746="",DefaultChannel,E746),Channels!$A$5:$A$18,0)),0))</f>
        <v>0</v>
      </c>
      <c r="AC746" s="42">
        <f>IF(B746="","",IFERROR(INDEX(Channels!$O$5:$O$18,MATCH(IF(E746="",DefaultChannel,E746),Channels!$A$5:$A$18,0)),"No"))</f>
        <v>0</v>
      </c>
      <c r="AD746" s="20">
        <f>IF(B746="","",ROUND((V746+IF(AC746="Yes",IF(I746="",0,I746),0))*AA746+AB746,2))</f>
        <v>0</v>
      </c>
      <c r="AE746" s="20">
        <f>IF(B746="","",IF(K746&lt;&gt;"",K746,AD746))</f>
        <v>0</v>
      </c>
      <c r="AF746" s="20">
        <f>IF(B746="","",IF(K746="","",ROUND(K746-AD746,2)))</f>
        <v>0</v>
      </c>
      <c r="AG746" s="20">
        <f>IF(B746="","",ROUND(V746-Y746-AE746-Z746,2))</f>
        <v>0</v>
      </c>
      <c r="AH746" s="33">
        <f>IF(B746="","",IF(OR(V746="",V746=0),"",AG746/V746))</f>
        <v>0</v>
      </c>
      <c r="AI746" s="33">
        <f>IF(C746="","",IFERROR(INDEX(Products!$AW$5:$AW$304,MATCH(C746,Products!$A$5:$A$304,0)),""))</f>
        <v>0</v>
      </c>
      <c r="AJ746" s="33">
        <f>IF(B746="","",IF(OR(AH746="",AI746=""),"",AH746-AI746))</f>
        <v>0</v>
      </c>
      <c r="AK746" s="41">
        <f>IF(B746="","",IFERROR(ROUND(IF(D746="",0,D746)*INDEX(Products!$X$5:$X$304,MATCH(C746,Products!$A$5:$A$304,0))/60,2),""))</f>
        <v>0</v>
      </c>
      <c r="AL746" s="20">
        <f>IF(B746="","",IF(OR(AK746="",AK746=0),"",ROUND(AG746/AK746,2)))</f>
        <v>0</v>
      </c>
      <c r="AM746" s="43">
        <f>IF(B746="","",IF(C746="","Add - which product?",IF(AG746&lt;0,"Loss - this order cost you money",IF(M746="Refunded","Refunded - check why",IF(AND(AF746&lt;&gt;"",AF746&gt;0.25),"Check - fees higher than your settings",IF(Z746&gt;1,"Check - postage is eating the margin",IF(AND(AH746&lt;&gt;"",AH746&lt;MarginWarning),"Low margin on this order","OK")))))) )</f>
        <v>0</v>
      </c>
    </row>
    <row r="747" spans="1:39">
      <c r="A747" s="38">
        <f>IF(B747="","",SalePrefix&amp;TEXT(ROW()-4,"0000"))</f>
        <v>0</v>
      </c>
      <c r="Q747" s="13">
        <f>IF(C747="","",IFERROR(INDEX(Products!$B$5:$B$304,MATCH(C747,Products!$A$5:$A$304,0)),"Bundle or deleted"))</f>
        <v>0</v>
      </c>
      <c r="R747" s="13">
        <f>IF(B747="","",TEXT(B747,"yyyy-mm"))</f>
        <v>0</v>
      </c>
      <c r="S747" s="20">
        <f>IF(C747="","",IFERROR(INDEX(Products!$AR$5:$AR$304,MATCH(C747,Products!$A$5:$A$304,0)),""))</f>
        <v>0</v>
      </c>
      <c r="T747" s="20">
        <f>IF(B747="","",IF(F747&lt;&gt;"",F747,IF(S747="",0,S747)))</f>
        <v>0</v>
      </c>
      <c r="U747" s="20">
        <f>IF(B747="","",ROUND(IF(D747="",0,D747)*T747,2))</f>
        <v>0</v>
      </c>
      <c r="V747" s="20">
        <f>IF(B747="","",ROUND(U747-IF(G747="",0,G747)-IF(L747="",0,L747),2))</f>
        <v>0</v>
      </c>
      <c r="W747" s="20">
        <f>IF(C747="","",IFERROR(INDEX(Products!$AT$5:$AT$304,MATCH(C747,Products!$A$5:$A$304,0)),""))</f>
        <v>0</v>
      </c>
      <c r="X747" s="20">
        <f>IF(C747="","",IFERROR(INDEX(Products!$AG$5:$AG$304,MATCH(C747,Products!$A$5:$A$304,0)),""))</f>
        <v>0</v>
      </c>
      <c r="Y747" s="20">
        <f>IF(B747="","",ROUND(IF(D747="",0,D747)*MAX(0,IF(W747="",0,W747)-IF(X747="",0,X747)),2))</f>
        <v>0</v>
      </c>
      <c r="Z747" s="20">
        <f>IF(B747="","",ROUND(MAX(0,IF(J747="",0,J747)-IF(I747="",0,I747)),2))</f>
        <v>0</v>
      </c>
      <c r="AA747" s="33">
        <f>IF(B747="","",IFERROR(INDEX(Channels!$S$5:$S$18,MATCH(IF(E747="",DefaultChannel,E747),Channels!$A$5:$A$18,0)),0))</f>
        <v>0</v>
      </c>
      <c r="AB747" s="20">
        <f>IF(B747="","",IFERROR(INDEX(Channels!$T$5:$T$18,MATCH(IF(E747="",DefaultChannel,E747),Channels!$A$5:$A$18,0)),0))</f>
        <v>0</v>
      </c>
      <c r="AC747" s="42">
        <f>IF(B747="","",IFERROR(INDEX(Channels!$O$5:$O$18,MATCH(IF(E747="",DefaultChannel,E747),Channels!$A$5:$A$18,0)),"No"))</f>
        <v>0</v>
      </c>
      <c r="AD747" s="20">
        <f>IF(B747="","",ROUND((V747+IF(AC747="Yes",IF(I747="",0,I747),0))*AA747+AB747,2))</f>
        <v>0</v>
      </c>
      <c r="AE747" s="20">
        <f>IF(B747="","",IF(K747&lt;&gt;"",K747,AD747))</f>
        <v>0</v>
      </c>
      <c r="AF747" s="20">
        <f>IF(B747="","",IF(K747="","",ROUND(K747-AD747,2)))</f>
        <v>0</v>
      </c>
      <c r="AG747" s="20">
        <f>IF(B747="","",ROUND(V747-Y747-AE747-Z747,2))</f>
        <v>0</v>
      </c>
      <c r="AH747" s="33">
        <f>IF(B747="","",IF(OR(V747="",V747=0),"",AG747/V747))</f>
        <v>0</v>
      </c>
      <c r="AI747" s="33">
        <f>IF(C747="","",IFERROR(INDEX(Products!$AW$5:$AW$304,MATCH(C747,Products!$A$5:$A$304,0)),""))</f>
        <v>0</v>
      </c>
      <c r="AJ747" s="33">
        <f>IF(B747="","",IF(OR(AH747="",AI747=""),"",AH747-AI747))</f>
        <v>0</v>
      </c>
      <c r="AK747" s="41">
        <f>IF(B747="","",IFERROR(ROUND(IF(D747="",0,D747)*INDEX(Products!$X$5:$X$304,MATCH(C747,Products!$A$5:$A$304,0))/60,2),""))</f>
        <v>0</v>
      </c>
      <c r="AL747" s="20">
        <f>IF(B747="","",IF(OR(AK747="",AK747=0),"",ROUND(AG747/AK747,2)))</f>
        <v>0</v>
      </c>
      <c r="AM747" s="43">
        <f>IF(B747="","",IF(C747="","Add - which product?",IF(AG747&lt;0,"Loss - this order cost you money",IF(M747="Refunded","Refunded - check why",IF(AND(AF747&lt;&gt;"",AF747&gt;0.25),"Check - fees higher than your settings",IF(Z747&gt;1,"Check - postage is eating the margin",IF(AND(AH747&lt;&gt;"",AH747&lt;MarginWarning),"Low margin on this order","OK")))))) )</f>
        <v>0</v>
      </c>
    </row>
    <row r="748" spans="1:39">
      <c r="A748" s="38">
        <f>IF(B748="","",SalePrefix&amp;TEXT(ROW()-4,"0000"))</f>
        <v>0</v>
      </c>
      <c r="Q748" s="13">
        <f>IF(C748="","",IFERROR(INDEX(Products!$B$5:$B$304,MATCH(C748,Products!$A$5:$A$304,0)),"Bundle or deleted"))</f>
        <v>0</v>
      </c>
      <c r="R748" s="13">
        <f>IF(B748="","",TEXT(B748,"yyyy-mm"))</f>
        <v>0</v>
      </c>
      <c r="S748" s="20">
        <f>IF(C748="","",IFERROR(INDEX(Products!$AR$5:$AR$304,MATCH(C748,Products!$A$5:$A$304,0)),""))</f>
        <v>0</v>
      </c>
      <c r="T748" s="20">
        <f>IF(B748="","",IF(F748&lt;&gt;"",F748,IF(S748="",0,S748)))</f>
        <v>0</v>
      </c>
      <c r="U748" s="20">
        <f>IF(B748="","",ROUND(IF(D748="",0,D748)*T748,2))</f>
        <v>0</v>
      </c>
      <c r="V748" s="20">
        <f>IF(B748="","",ROUND(U748-IF(G748="",0,G748)-IF(L748="",0,L748),2))</f>
        <v>0</v>
      </c>
      <c r="W748" s="20">
        <f>IF(C748="","",IFERROR(INDEX(Products!$AT$5:$AT$304,MATCH(C748,Products!$A$5:$A$304,0)),""))</f>
        <v>0</v>
      </c>
      <c r="X748" s="20">
        <f>IF(C748="","",IFERROR(INDEX(Products!$AG$5:$AG$304,MATCH(C748,Products!$A$5:$A$304,0)),""))</f>
        <v>0</v>
      </c>
      <c r="Y748" s="20">
        <f>IF(B748="","",ROUND(IF(D748="",0,D748)*MAX(0,IF(W748="",0,W748)-IF(X748="",0,X748)),2))</f>
        <v>0</v>
      </c>
      <c r="Z748" s="20">
        <f>IF(B748="","",ROUND(MAX(0,IF(J748="",0,J748)-IF(I748="",0,I748)),2))</f>
        <v>0</v>
      </c>
      <c r="AA748" s="33">
        <f>IF(B748="","",IFERROR(INDEX(Channels!$S$5:$S$18,MATCH(IF(E748="",DefaultChannel,E748),Channels!$A$5:$A$18,0)),0))</f>
        <v>0</v>
      </c>
      <c r="AB748" s="20">
        <f>IF(B748="","",IFERROR(INDEX(Channels!$T$5:$T$18,MATCH(IF(E748="",DefaultChannel,E748),Channels!$A$5:$A$18,0)),0))</f>
        <v>0</v>
      </c>
      <c r="AC748" s="42">
        <f>IF(B748="","",IFERROR(INDEX(Channels!$O$5:$O$18,MATCH(IF(E748="",DefaultChannel,E748),Channels!$A$5:$A$18,0)),"No"))</f>
        <v>0</v>
      </c>
      <c r="AD748" s="20">
        <f>IF(B748="","",ROUND((V748+IF(AC748="Yes",IF(I748="",0,I748),0))*AA748+AB748,2))</f>
        <v>0</v>
      </c>
      <c r="AE748" s="20">
        <f>IF(B748="","",IF(K748&lt;&gt;"",K748,AD748))</f>
        <v>0</v>
      </c>
      <c r="AF748" s="20">
        <f>IF(B748="","",IF(K748="","",ROUND(K748-AD748,2)))</f>
        <v>0</v>
      </c>
      <c r="AG748" s="20">
        <f>IF(B748="","",ROUND(V748-Y748-AE748-Z748,2))</f>
        <v>0</v>
      </c>
      <c r="AH748" s="33">
        <f>IF(B748="","",IF(OR(V748="",V748=0),"",AG748/V748))</f>
        <v>0</v>
      </c>
      <c r="AI748" s="33">
        <f>IF(C748="","",IFERROR(INDEX(Products!$AW$5:$AW$304,MATCH(C748,Products!$A$5:$A$304,0)),""))</f>
        <v>0</v>
      </c>
      <c r="AJ748" s="33">
        <f>IF(B748="","",IF(OR(AH748="",AI748=""),"",AH748-AI748))</f>
        <v>0</v>
      </c>
      <c r="AK748" s="41">
        <f>IF(B748="","",IFERROR(ROUND(IF(D748="",0,D748)*INDEX(Products!$X$5:$X$304,MATCH(C748,Products!$A$5:$A$304,0))/60,2),""))</f>
        <v>0</v>
      </c>
      <c r="AL748" s="20">
        <f>IF(B748="","",IF(OR(AK748="",AK748=0),"",ROUND(AG748/AK748,2)))</f>
        <v>0</v>
      </c>
      <c r="AM748" s="43">
        <f>IF(B748="","",IF(C748="","Add - which product?",IF(AG748&lt;0,"Loss - this order cost you money",IF(M748="Refunded","Refunded - check why",IF(AND(AF748&lt;&gt;"",AF748&gt;0.25),"Check - fees higher than your settings",IF(Z748&gt;1,"Check - postage is eating the margin",IF(AND(AH748&lt;&gt;"",AH748&lt;MarginWarning),"Low margin on this order","OK")))))) )</f>
        <v>0</v>
      </c>
    </row>
    <row r="749" spans="1:39">
      <c r="A749" s="38">
        <f>IF(B749="","",SalePrefix&amp;TEXT(ROW()-4,"0000"))</f>
        <v>0</v>
      </c>
      <c r="Q749" s="13">
        <f>IF(C749="","",IFERROR(INDEX(Products!$B$5:$B$304,MATCH(C749,Products!$A$5:$A$304,0)),"Bundle or deleted"))</f>
        <v>0</v>
      </c>
      <c r="R749" s="13">
        <f>IF(B749="","",TEXT(B749,"yyyy-mm"))</f>
        <v>0</v>
      </c>
      <c r="S749" s="20">
        <f>IF(C749="","",IFERROR(INDEX(Products!$AR$5:$AR$304,MATCH(C749,Products!$A$5:$A$304,0)),""))</f>
        <v>0</v>
      </c>
      <c r="T749" s="20">
        <f>IF(B749="","",IF(F749&lt;&gt;"",F749,IF(S749="",0,S749)))</f>
        <v>0</v>
      </c>
      <c r="U749" s="20">
        <f>IF(B749="","",ROUND(IF(D749="",0,D749)*T749,2))</f>
        <v>0</v>
      </c>
      <c r="V749" s="20">
        <f>IF(B749="","",ROUND(U749-IF(G749="",0,G749)-IF(L749="",0,L749),2))</f>
        <v>0</v>
      </c>
      <c r="W749" s="20">
        <f>IF(C749="","",IFERROR(INDEX(Products!$AT$5:$AT$304,MATCH(C749,Products!$A$5:$A$304,0)),""))</f>
        <v>0</v>
      </c>
      <c r="X749" s="20">
        <f>IF(C749="","",IFERROR(INDEX(Products!$AG$5:$AG$304,MATCH(C749,Products!$A$5:$A$304,0)),""))</f>
        <v>0</v>
      </c>
      <c r="Y749" s="20">
        <f>IF(B749="","",ROUND(IF(D749="",0,D749)*MAX(0,IF(W749="",0,W749)-IF(X749="",0,X749)),2))</f>
        <v>0</v>
      </c>
      <c r="Z749" s="20">
        <f>IF(B749="","",ROUND(MAX(0,IF(J749="",0,J749)-IF(I749="",0,I749)),2))</f>
        <v>0</v>
      </c>
      <c r="AA749" s="33">
        <f>IF(B749="","",IFERROR(INDEX(Channels!$S$5:$S$18,MATCH(IF(E749="",DefaultChannel,E749),Channels!$A$5:$A$18,0)),0))</f>
        <v>0</v>
      </c>
      <c r="AB749" s="20">
        <f>IF(B749="","",IFERROR(INDEX(Channels!$T$5:$T$18,MATCH(IF(E749="",DefaultChannel,E749),Channels!$A$5:$A$18,0)),0))</f>
        <v>0</v>
      </c>
      <c r="AC749" s="42">
        <f>IF(B749="","",IFERROR(INDEX(Channels!$O$5:$O$18,MATCH(IF(E749="",DefaultChannel,E749),Channels!$A$5:$A$18,0)),"No"))</f>
        <v>0</v>
      </c>
      <c r="AD749" s="20">
        <f>IF(B749="","",ROUND((V749+IF(AC749="Yes",IF(I749="",0,I749),0))*AA749+AB749,2))</f>
        <v>0</v>
      </c>
      <c r="AE749" s="20">
        <f>IF(B749="","",IF(K749&lt;&gt;"",K749,AD749))</f>
        <v>0</v>
      </c>
      <c r="AF749" s="20">
        <f>IF(B749="","",IF(K749="","",ROUND(K749-AD749,2)))</f>
        <v>0</v>
      </c>
      <c r="AG749" s="20">
        <f>IF(B749="","",ROUND(V749-Y749-AE749-Z749,2))</f>
        <v>0</v>
      </c>
      <c r="AH749" s="33">
        <f>IF(B749="","",IF(OR(V749="",V749=0),"",AG749/V749))</f>
        <v>0</v>
      </c>
      <c r="AI749" s="33">
        <f>IF(C749="","",IFERROR(INDEX(Products!$AW$5:$AW$304,MATCH(C749,Products!$A$5:$A$304,0)),""))</f>
        <v>0</v>
      </c>
      <c r="AJ749" s="33">
        <f>IF(B749="","",IF(OR(AH749="",AI749=""),"",AH749-AI749))</f>
        <v>0</v>
      </c>
      <c r="AK749" s="41">
        <f>IF(B749="","",IFERROR(ROUND(IF(D749="",0,D749)*INDEX(Products!$X$5:$X$304,MATCH(C749,Products!$A$5:$A$304,0))/60,2),""))</f>
        <v>0</v>
      </c>
      <c r="AL749" s="20">
        <f>IF(B749="","",IF(OR(AK749="",AK749=0),"",ROUND(AG749/AK749,2)))</f>
        <v>0</v>
      </c>
      <c r="AM749" s="43">
        <f>IF(B749="","",IF(C749="","Add - which product?",IF(AG749&lt;0,"Loss - this order cost you money",IF(M749="Refunded","Refunded - check why",IF(AND(AF749&lt;&gt;"",AF749&gt;0.25),"Check - fees higher than your settings",IF(Z749&gt;1,"Check - postage is eating the margin",IF(AND(AH749&lt;&gt;"",AH749&lt;MarginWarning),"Low margin on this order","OK")))))) )</f>
        <v>0</v>
      </c>
    </row>
    <row r="750" spans="1:39">
      <c r="A750" s="38">
        <f>IF(B750="","",SalePrefix&amp;TEXT(ROW()-4,"0000"))</f>
        <v>0</v>
      </c>
      <c r="Q750" s="13">
        <f>IF(C750="","",IFERROR(INDEX(Products!$B$5:$B$304,MATCH(C750,Products!$A$5:$A$304,0)),"Bundle or deleted"))</f>
        <v>0</v>
      </c>
      <c r="R750" s="13">
        <f>IF(B750="","",TEXT(B750,"yyyy-mm"))</f>
        <v>0</v>
      </c>
      <c r="S750" s="20">
        <f>IF(C750="","",IFERROR(INDEX(Products!$AR$5:$AR$304,MATCH(C750,Products!$A$5:$A$304,0)),""))</f>
        <v>0</v>
      </c>
      <c r="T750" s="20">
        <f>IF(B750="","",IF(F750&lt;&gt;"",F750,IF(S750="",0,S750)))</f>
        <v>0</v>
      </c>
      <c r="U750" s="20">
        <f>IF(B750="","",ROUND(IF(D750="",0,D750)*T750,2))</f>
        <v>0</v>
      </c>
      <c r="V750" s="20">
        <f>IF(B750="","",ROUND(U750-IF(G750="",0,G750)-IF(L750="",0,L750),2))</f>
        <v>0</v>
      </c>
      <c r="W750" s="20">
        <f>IF(C750="","",IFERROR(INDEX(Products!$AT$5:$AT$304,MATCH(C750,Products!$A$5:$A$304,0)),""))</f>
        <v>0</v>
      </c>
      <c r="X750" s="20">
        <f>IF(C750="","",IFERROR(INDEX(Products!$AG$5:$AG$304,MATCH(C750,Products!$A$5:$A$304,0)),""))</f>
        <v>0</v>
      </c>
      <c r="Y750" s="20">
        <f>IF(B750="","",ROUND(IF(D750="",0,D750)*MAX(0,IF(W750="",0,W750)-IF(X750="",0,X750)),2))</f>
        <v>0</v>
      </c>
      <c r="Z750" s="20">
        <f>IF(B750="","",ROUND(MAX(0,IF(J750="",0,J750)-IF(I750="",0,I750)),2))</f>
        <v>0</v>
      </c>
      <c r="AA750" s="33">
        <f>IF(B750="","",IFERROR(INDEX(Channels!$S$5:$S$18,MATCH(IF(E750="",DefaultChannel,E750),Channels!$A$5:$A$18,0)),0))</f>
        <v>0</v>
      </c>
      <c r="AB750" s="20">
        <f>IF(B750="","",IFERROR(INDEX(Channels!$T$5:$T$18,MATCH(IF(E750="",DefaultChannel,E750),Channels!$A$5:$A$18,0)),0))</f>
        <v>0</v>
      </c>
      <c r="AC750" s="42">
        <f>IF(B750="","",IFERROR(INDEX(Channels!$O$5:$O$18,MATCH(IF(E750="",DefaultChannel,E750),Channels!$A$5:$A$18,0)),"No"))</f>
        <v>0</v>
      </c>
      <c r="AD750" s="20">
        <f>IF(B750="","",ROUND((V750+IF(AC750="Yes",IF(I750="",0,I750),0))*AA750+AB750,2))</f>
        <v>0</v>
      </c>
      <c r="AE750" s="20">
        <f>IF(B750="","",IF(K750&lt;&gt;"",K750,AD750))</f>
        <v>0</v>
      </c>
      <c r="AF750" s="20">
        <f>IF(B750="","",IF(K750="","",ROUND(K750-AD750,2)))</f>
        <v>0</v>
      </c>
      <c r="AG750" s="20">
        <f>IF(B750="","",ROUND(V750-Y750-AE750-Z750,2))</f>
        <v>0</v>
      </c>
      <c r="AH750" s="33">
        <f>IF(B750="","",IF(OR(V750="",V750=0),"",AG750/V750))</f>
        <v>0</v>
      </c>
      <c r="AI750" s="33">
        <f>IF(C750="","",IFERROR(INDEX(Products!$AW$5:$AW$304,MATCH(C750,Products!$A$5:$A$304,0)),""))</f>
        <v>0</v>
      </c>
      <c r="AJ750" s="33">
        <f>IF(B750="","",IF(OR(AH750="",AI750=""),"",AH750-AI750))</f>
        <v>0</v>
      </c>
      <c r="AK750" s="41">
        <f>IF(B750="","",IFERROR(ROUND(IF(D750="",0,D750)*INDEX(Products!$X$5:$X$304,MATCH(C750,Products!$A$5:$A$304,0))/60,2),""))</f>
        <v>0</v>
      </c>
      <c r="AL750" s="20">
        <f>IF(B750="","",IF(OR(AK750="",AK750=0),"",ROUND(AG750/AK750,2)))</f>
        <v>0</v>
      </c>
      <c r="AM750" s="43">
        <f>IF(B750="","",IF(C750="","Add - which product?",IF(AG750&lt;0,"Loss - this order cost you money",IF(M750="Refunded","Refunded - check why",IF(AND(AF750&lt;&gt;"",AF750&gt;0.25),"Check - fees higher than your settings",IF(Z750&gt;1,"Check - postage is eating the margin",IF(AND(AH750&lt;&gt;"",AH750&lt;MarginWarning),"Low margin on this order","OK")))))) )</f>
        <v>0</v>
      </c>
    </row>
    <row r="751" spans="1:39">
      <c r="A751" s="38">
        <f>IF(B751="","",SalePrefix&amp;TEXT(ROW()-4,"0000"))</f>
        <v>0</v>
      </c>
      <c r="Q751" s="13">
        <f>IF(C751="","",IFERROR(INDEX(Products!$B$5:$B$304,MATCH(C751,Products!$A$5:$A$304,0)),"Bundle or deleted"))</f>
        <v>0</v>
      </c>
      <c r="R751" s="13">
        <f>IF(B751="","",TEXT(B751,"yyyy-mm"))</f>
        <v>0</v>
      </c>
      <c r="S751" s="20">
        <f>IF(C751="","",IFERROR(INDEX(Products!$AR$5:$AR$304,MATCH(C751,Products!$A$5:$A$304,0)),""))</f>
        <v>0</v>
      </c>
      <c r="T751" s="20">
        <f>IF(B751="","",IF(F751&lt;&gt;"",F751,IF(S751="",0,S751)))</f>
        <v>0</v>
      </c>
      <c r="U751" s="20">
        <f>IF(B751="","",ROUND(IF(D751="",0,D751)*T751,2))</f>
        <v>0</v>
      </c>
      <c r="V751" s="20">
        <f>IF(B751="","",ROUND(U751-IF(G751="",0,G751)-IF(L751="",0,L751),2))</f>
        <v>0</v>
      </c>
      <c r="W751" s="20">
        <f>IF(C751="","",IFERROR(INDEX(Products!$AT$5:$AT$304,MATCH(C751,Products!$A$5:$A$304,0)),""))</f>
        <v>0</v>
      </c>
      <c r="X751" s="20">
        <f>IF(C751="","",IFERROR(INDEX(Products!$AG$5:$AG$304,MATCH(C751,Products!$A$5:$A$304,0)),""))</f>
        <v>0</v>
      </c>
      <c r="Y751" s="20">
        <f>IF(B751="","",ROUND(IF(D751="",0,D751)*MAX(0,IF(W751="",0,W751)-IF(X751="",0,X751)),2))</f>
        <v>0</v>
      </c>
      <c r="Z751" s="20">
        <f>IF(B751="","",ROUND(MAX(0,IF(J751="",0,J751)-IF(I751="",0,I751)),2))</f>
        <v>0</v>
      </c>
      <c r="AA751" s="33">
        <f>IF(B751="","",IFERROR(INDEX(Channels!$S$5:$S$18,MATCH(IF(E751="",DefaultChannel,E751),Channels!$A$5:$A$18,0)),0))</f>
        <v>0</v>
      </c>
      <c r="AB751" s="20">
        <f>IF(B751="","",IFERROR(INDEX(Channels!$T$5:$T$18,MATCH(IF(E751="",DefaultChannel,E751),Channels!$A$5:$A$18,0)),0))</f>
        <v>0</v>
      </c>
      <c r="AC751" s="42">
        <f>IF(B751="","",IFERROR(INDEX(Channels!$O$5:$O$18,MATCH(IF(E751="",DefaultChannel,E751),Channels!$A$5:$A$18,0)),"No"))</f>
        <v>0</v>
      </c>
      <c r="AD751" s="20">
        <f>IF(B751="","",ROUND((V751+IF(AC751="Yes",IF(I751="",0,I751),0))*AA751+AB751,2))</f>
        <v>0</v>
      </c>
      <c r="AE751" s="20">
        <f>IF(B751="","",IF(K751&lt;&gt;"",K751,AD751))</f>
        <v>0</v>
      </c>
      <c r="AF751" s="20">
        <f>IF(B751="","",IF(K751="","",ROUND(K751-AD751,2)))</f>
        <v>0</v>
      </c>
      <c r="AG751" s="20">
        <f>IF(B751="","",ROUND(V751-Y751-AE751-Z751,2))</f>
        <v>0</v>
      </c>
      <c r="AH751" s="33">
        <f>IF(B751="","",IF(OR(V751="",V751=0),"",AG751/V751))</f>
        <v>0</v>
      </c>
      <c r="AI751" s="33">
        <f>IF(C751="","",IFERROR(INDEX(Products!$AW$5:$AW$304,MATCH(C751,Products!$A$5:$A$304,0)),""))</f>
        <v>0</v>
      </c>
      <c r="AJ751" s="33">
        <f>IF(B751="","",IF(OR(AH751="",AI751=""),"",AH751-AI751))</f>
        <v>0</v>
      </c>
      <c r="AK751" s="41">
        <f>IF(B751="","",IFERROR(ROUND(IF(D751="",0,D751)*INDEX(Products!$X$5:$X$304,MATCH(C751,Products!$A$5:$A$304,0))/60,2),""))</f>
        <v>0</v>
      </c>
      <c r="AL751" s="20">
        <f>IF(B751="","",IF(OR(AK751="",AK751=0),"",ROUND(AG751/AK751,2)))</f>
        <v>0</v>
      </c>
      <c r="AM751" s="43">
        <f>IF(B751="","",IF(C751="","Add - which product?",IF(AG751&lt;0,"Loss - this order cost you money",IF(M751="Refunded","Refunded - check why",IF(AND(AF751&lt;&gt;"",AF751&gt;0.25),"Check - fees higher than your settings",IF(Z751&gt;1,"Check - postage is eating the margin",IF(AND(AH751&lt;&gt;"",AH751&lt;MarginWarning),"Low margin on this order","OK")))))) )</f>
        <v>0</v>
      </c>
    </row>
    <row r="752" spans="1:39">
      <c r="A752" s="38">
        <f>IF(B752="","",SalePrefix&amp;TEXT(ROW()-4,"0000"))</f>
        <v>0</v>
      </c>
      <c r="Q752" s="13">
        <f>IF(C752="","",IFERROR(INDEX(Products!$B$5:$B$304,MATCH(C752,Products!$A$5:$A$304,0)),"Bundle or deleted"))</f>
        <v>0</v>
      </c>
      <c r="R752" s="13">
        <f>IF(B752="","",TEXT(B752,"yyyy-mm"))</f>
        <v>0</v>
      </c>
      <c r="S752" s="20">
        <f>IF(C752="","",IFERROR(INDEX(Products!$AR$5:$AR$304,MATCH(C752,Products!$A$5:$A$304,0)),""))</f>
        <v>0</v>
      </c>
      <c r="T752" s="20">
        <f>IF(B752="","",IF(F752&lt;&gt;"",F752,IF(S752="",0,S752)))</f>
        <v>0</v>
      </c>
      <c r="U752" s="20">
        <f>IF(B752="","",ROUND(IF(D752="",0,D752)*T752,2))</f>
        <v>0</v>
      </c>
      <c r="V752" s="20">
        <f>IF(B752="","",ROUND(U752-IF(G752="",0,G752)-IF(L752="",0,L752),2))</f>
        <v>0</v>
      </c>
      <c r="W752" s="20">
        <f>IF(C752="","",IFERROR(INDEX(Products!$AT$5:$AT$304,MATCH(C752,Products!$A$5:$A$304,0)),""))</f>
        <v>0</v>
      </c>
      <c r="X752" s="20">
        <f>IF(C752="","",IFERROR(INDEX(Products!$AG$5:$AG$304,MATCH(C752,Products!$A$5:$A$304,0)),""))</f>
        <v>0</v>
      </c>
      <c r="Y752" s="20">
        <f>IF(B752="","",ROUND(IF(D752="",0,D752)*MAX(0,IF(W752="",0,W752)-IF(X752="",0,X752)),2))</f>
        <v>0</v>
      </c>
      <c r="Z752" s="20">
        <f>IF(B752="","",ROUND(MAX(0,IF(J752="",0,J752)-IF(I752="",0,I752)),2))</f>
        <v>0</v>
      </c>
      <c r="AA752" s="33">
        <f>IF(B752="","",IFERROR(INDEX(Channels!$S$5:$S$18,MATCH(IF(E752="",DefaultChannel,E752),Channels!$A$5:$A$18,0)),0))</f>
        <v>0</v>
      </c>
      <c r="AB752" s="20">
        <f>IF(B752="","",IFERROR(INDEX(Channels!$T$5:$T$18,MATCH(IF(E752="",DefaultChannel,E752),Channels!$A$5:$A$18,0)),0))</f>
        <v>0</v>
      </c>
      <c r="AC752" s="42">
        <f>IF(B752="","",IFERROR(INDEX(Channels!$O$5:$O$18,MATCH(IF(E752="",DefaultChannel,E752),Channels!$A$5:$A$18,0)),"No"))</f>
        <v>0</v>
      </c>
      <c r="AD752" s="20">
        <f>IF(B752="","",ROUND((V752+IF(AC752="Yes",IF(I752="",0,I752),0))*AA752+AB752,2))</f>
        <v>0</v>
      </c>
      <c r="AE752" s="20">
        <f>IF(B752="","",IF(K752&lt;&gt;"",K752,AD752))</f>
        <v>0</v>
      </c>
      <c r="AF752" s="20">
        <f>IF(B752="","",IF(K752="","",ROUND(K752-AD752,2)))</f>
        <v>0</v>
      </c>
      <c r="AG752" s="20">
        <f>IF(B752="","",ROUND(V752-Y752-AE752-Z752,2))</f>
        <v>0</v>
      </c>
      <c r="AH752" s="33">
        <f>IF(B752="","",IF(OR(V752="",V752=0),"",AG752/V752))</f>
        <v>0</v>
      </c>
      <c r="AI752" s="33">
        <f>IF(C752="","",IFERROR(INDEX(Products!$AW$5:$AW$304,MATCH(C752,Products!$A$5:$A$304,0)),""))</f>
        <v>0</v>
      </c>
      <c r="AJ752" s="33">
        <f>IF(B752="","",IF(OR(AH752="",AI752=""),"",AH752-AI752))</f>
        <v>0</v>
      </c>
      <c r="AK752" s="41">
        <f>IF(B752="","",IFERROR(ROUND(IF(D752="",0,D752)*INDEX(Products!$X$5:$X$304,MATCH(C752,Products!$A$5:$A$304,0))/60,2),""))</f>
        <v>0</v>
      </c>
      <c r="AL752" s="20">
        <f>IF(B752="","",IF(OR(AK752="",AK752=0),"",ROUND(AG752/AK752,2)))</f>
        <v>0</v>
      </c>
      <c r="AM752" s="43">
        <f>IF(B752="","",IF(C752="","Add - which product?",IF(AG752&lt;0,"Loss - this order cost you money",IF(M752="Refunded","Refunded - check why",IF(AND(AF752&lt;&gt;"",AF752&gt;0.25),"Check - fees higher than your settings",IF(Z752&gt;1,"Check - postage is eating the margin",IF(AND(AH752&lt;&gt;"",AH752&lt;MarginWarning),"Low margin on this order","OK")))))) )</f>
        <v>0</v>
      </c>
    </row>
    <row r="753" spans="1:39">
      <c r="A753" s="38">
        <f>IF(B753="","",SalePrefix&amp;TEXT(ROW()-4,"0000"))</f>
        <v>0</v>
      </c>
      <c r="Q753" s="13">
        <f>IF(C753="","",IFERROR(INDEX(Products!$B$5:$B$304,MATCH(C753,Products!$A$5:$A$304,0)),"Bundle or deleted"))</f>
        <v>0</v>
      </c>
      <c r="R753" s="13">
        <f>IF(B753="","",TEXT(B753,"yyyy-mm"))</f>
        <v>0</v>
      </c>
      <c r="S753" s="20">
        <f>IF(C753="","",IFERROR(INDEX(Products!$AR$5:$AR$304,MATCH(C753,Products!$A$5:$A$304,0)),""))</f>
        <v>0</v>
      </c>
      <c r="T753" s="20">
        <f>IF(B753="","",IF(F753&lt;&gt;"",F753,IF(S753="",0,S753)))</f>
        <v>0</v>
      </c>
      <c r="U753" s="20">
        <f>IF(B753="","",ROUND(IF(D753="",0,D753)*T753,2))</f>
        <v>0</v>
      </c>
      <c r="V753" s="20">
        <f>IF(B753="","",ROUND(U753-IF(G753="",0,G753)-IF(L753="",0,L753),2))</f>
        <v>0</v>
      </c>
      <c r="W753" s="20">
        <f>IF(C753="","",IFERROR(INDEX(Products!$AT$5:$AT$304,MATCH(C753,Products!$A$5:$A$304,0)),""))</f>
        <v>0</v>
      </c>
      <c r="X753" s="20">
        <f>IF(C753="","",IFERROR(INDEX(Products!$AG$5:$AG$304,MATCH(C753,Products!$A$5:$A$304,0)),""))</f>
        <v>0</v>
      </c>
      <c r="Y753" s="20">
        <f>IF(B753="","",ROUND(IF(D753="",0,D753)*MAX(0,IF(W753="",0,W753)-IF(X753="",0,X753)),2))</f>
        <v>0</v>
      </c>
      <c r="Z753" s="20">
        <f>IF(B753="","",ROUND(MAX(0,IF(J753="",0,J753)-IF(I753="",0,I753)),2))</f>
        <v>0</v>
      </c>
      <c r="AA753" s="33">
        <f>IF(B753="","",IFERROR(INDEX(Channels!$S$5:$S$18,MATCH(IF(E753="",DefaultChannel,E753),Channels!$A$5:$A$18,0)),0))</f>
        <v>0</v>
      </c>
      <c r="AB753" s="20">
        <f>IF(B753="","",IFERROR(INDEX(Channels!$T$5:$T$18,MATCH(IF(E753="",DefaultChannel,E753),Channels!$A$5:$A$18,0)),0))</f>
        <v>0</v>
      </c>
      <c r="AC753" s="42">
        <f>IF(B753="","",IFERROR(INDEX(Channels!$O$5:$O$18,MATCH(IF(E753="",DefaultChannel,E753),Channels!$A$5:$A$18,0)),"No"))</f>
        <v>0</v>
      </c>
      <c r="AD753" s="20">
        <f>IF(B753="","",ROUND((V753+IF(AC753="Yes",IF(I753="",0,I753),0))*AA753+AB753,2))</f>
        <v>0</v>
      </c>
      <c r="AE753" s="20">
        <f>IF(B753="","",IF(K753&lt;&gt;"",K753,AD753))</f>
        <v>0</v>
      </c>
      <c r="AF753" s="20">
        <f>IF(B753="","",IF(K753="","",ROUND(K753-AD753,2)))</f>
        <v>0</v>
      </c>
      <c r="AG753" s="20">
        <f>IF(B753="","",ROUND(V753-Y753-AE753-Z753,2))</f>
        <v>0</v>
      </c>
      <c r="AH753" s="33">
        <f>IF(B753="","",IF(OR(V753="",V753=0),"",AG753/V753))</f>
        <v>0</v>
      </c>
      <c r="AI753" s="33">
        <f>IF(C753="","",IFERROR(INDEX(Products!$AW$5:$AW$304,MATCH(C753,Products!$A$5:$A$304,0)),""))</f>
        <v>0</v>
      </c>
      <c r="AJ753" s="33">
        <f>IF(B753="","",IF(OR(AH753="",AI753=""),"",AH753-AI753))</f>
        <v>0</v>
      </c>
      <c r="AK753" s="41">
        <f>IF(B753="","",IFERROR(ROUND(IF(D753="",0,D753)*INDEX(Products!$X$5:$X$304,MATCH(C753,Products!$A$5:$A$304,0))/60,2),""))</f>
        <v>0</v>
      </c>
      <c r="AL753" s="20">
        <f>IF(B753="","",IF(OR(AK753="",AK753=0),"",ROUND(AG753/AK753,2)))</f>
        <v>0</v>
      </c>
      <c r="AM753" s="43">
        <f>IF(B753="","",IF(C753="","Add - which product?",IF(AG753&lt;0,"Loss - this order cost you money",IF(M753="Refunded","Refunded - check why",IF(AND(AF753&lt;&gt;"",AF753&gt;0.25),"Check - fees higher than your settings",IF(Z753&gt;1,"Check - postage is eating the margin",IF(AND(AH753&lt;&gt;"",AH753&lt;MarginWarning),"Low margin on this order","OK")))))) )</f>
        <v>0</v>
      </c>
    </row>
    <row r="754" spans="1:39">
      <c r="A754" s="38">
        <f>IF(B754="","",SalePrefix&amp;TEXT(ROW()-4,"0000"))</f>
        <v>0</v>
      </c>
      <c r="Q754" s="13">
        <f>IF(C754="","",IFERROR(INDEX(Products!$B$5:$B$304,MATCH(C754,Products!$A$5:$A$304,0)),"Bundle or deleted"))</f>
        <v>0</v>
      </c>
      <c r="R754" s="13">
        <f>IF(B754="","",TEXT(B754,"yyyy-mm"))</f>
        <v>0</v>
      </c>
      <c r="S754" s="20">
        <f>IF(C754="","",IFERROR(INDEX(Products!$AR$5:$AR$304,MATCH(C754,Products!$A$5:$A$304,0)),""))</f>
        <v>0</v>
      </c>
      <c r="T754" s="20">
        <f>IF(B754="","",IF(F754&lt;&gt;"",F754,IF(S754="",0,S754)))</f>
        <v>0</v>
      </c>
      <c r="U754" s="20">
        <f>IF(B754="","",ROUND(IF(D754="",0,D754)*T754,2))</f>
        <v>0</v>
      </c>
      <c r="V754" s="20">
        <f>IF(B754="","",ROUND(U754-IF(G754="",0,G754)-IF(L754="",0,L754),2))</f>
        <v>0</v>
      </c>
      <c r="W754" s="20">
        <f>IF(C754="","",IFERROR(INDEX(Products!$AT$5:$AT$304,MATCH(C754,Products!$A$5:$A$304,0)),""))</f>
        <v>0</v>
      </c>
      <c r="X754" s="20">
        <f>IF(C754="","",IFERROR(INDEX(Products!$AG$5:$AG$304,MATCH(C754,Products!$A$5:$A$304,0)),""))</f>
        <v>0</v>
      </c>
      <c r="Y754" s="20">
        <f>IF(B754="","",ROUND(IF(D754="",0,D754)*MAX(0,IF(W754="",0,W754)-IF(X754="",0,X754)),2))</f>
        <v>0</v>
      </c>
      <c r="Z754" s="20">
        <f>IF(B754="","",ROUND(MAX(0,IF(J754="",0,J754)-IF(I754="",0,I754)),2))</f>
        <v>0</v>
      </c>
      <c r="AA754" s="33">
        <f>IF(B754="","",IFERROR(INDEX(Channels!$S$5:$S$18,MATCH(IF(E754="",DefaultChannel,E754),Channels!$A$5:$A$18,0)),0))</f>
        <v>0</v>
      </c>
      <c r="AB754" s="20">
        <f>IF(B754="","",IFERROR(INDEX(Channels!$T$5:$T$18,MATCH(IF(E754="",DefaultChannel,E754),Channels!$A$5:$A$18,0)),0))</f>
        <v>0</v>
      </c>
      <c r="AC754" s="42">
        <f>IF(B754="","",IFERROR(INDEX(Channels!$O$5:$O$18,MATCH(IF(E754="",DefaultChannel,E754),Channels!$A$5:$A$18,0)),"No"))</f>
        <v>0</v>
      </c>
      <c r="AD754" s="20">
        <f>IF(B754="","",ROUND((V754+IF(AC754="Yes",IF(I754="",0,I754),0))*AA754+AB754,2))</f>
        <v>0</v>
      </c>
      <c r="AE754" s="20">
        <f>IF(B754="","",IF(K754&lt;&gt;"",K754,AD754))</f>
        <v>0</v>
      </c>
      <c r="AF754" s="20">
        <f>IF(B754="","",IF(K754="","",ROUND(K754-AD754,2)))</f>
        <v>0</v>
      </c>
      <c r="AG754" s="20">
        <f>IF(B754="","",ROUND(V754-Y754-AE754-Z754,2))</f>
        <v>0</v>
      </c>
      <c r="AH754" s="33">
        <f>IF(B754="","",IF(OR(V754="",V754=0),"",AG754/V754))</f>
        <v>0</v>
      </c>
      <c r="AI754" s="33">
        <f>IF(C754="","",IFERROR(INDEX(Products!$AW$5:$AW$304,MATCH(C754,Products!$A$5:$A$304,0)),""))</f>
        <v>0</v>
      </c>
      <c r="AJ754" s="33">
        <f>IF(B754="","",IF(OR(AH754="",AI754=""),"",AH754-AI754))</f>
        <v>0</v>
      </c>
      <c r="AK754" s="41">
        <f>IF(B754="","",IFERROR(ROUND(IF(D754="",0,D754)*INDEX(Products!$X$5:$X$304,MATCH(C754,Products!$A$5:$A$304,0))/60,2),""))</f>
        <v>0</v>
      </c>
      <c r="AL754" s="20">
        <f>IF(B754="","",IF(OR(AK754="",AK754=0),"",ROUND(AG754/AK754,2)))</f>
        <v>0</v>
      </c>
      <c r="AM754" s="43">
        <f>IF(B754="","",IF(C754="","Add - which product?",IF(AG754&lt;0,"Loss - this order cost you money",IF(M754="Refunded","Refunded - check why",IF(AND(AF754&lt;&gt;"",AF754&gt;0.25),"Check - fees higher than your settings",IF(Z754&gt;1,"Check - postage is eating the margin",IF(AND(AH754&lt;&gt;"",AH754&lt;MarginWarning),"Low margin on this order","OK")))))) )</f>
        <v>0</v>
      </c>
    </row>
    <row r="755" spans="1:39">
      <c r="A755" s="38">
        <f>IF(B755="","",SalePrefix&amp;TEXT(ROW()-4,"0000"))</f>
        <v>0</v>
      </c>
      <c r="Q755" s="13">
        <f>IF(C755="","",IFERROR(INDEX(Products!$B$5:$B$304,MATCH(C755,Products!$A$5:$A$304,0)),"Bundle or deleted"))</f>
        <v>0</v>
      </c>
      <c r="R755" s="13">
        <f>IF(B755="","",TEXT(B755,"yyyy-mm"))</f>
        <v>0</v>
      </c>
      <c r="S755" s="20">
        <f>IF(C755="","",IFERROR(INDEX(Products!$AR$5:$AR$304,MATCH(C755,Products!$A$5:$A$304,0)),""))</f>
        <v>0</v>
      </c>
      <c r="T755" s="20">
        <f>IF(B755="","",IF(F755&lt;&gt;"",F755,IF(S755="",0,S755)))</f>
        <v>0</v>
      </c>
      <c r="U755" s="20">
        <f>IF(B755="","",ROUND(IF(D755="",0,D755)*T755,2))</f>
        <v>0</v>
      </c>
      <c r="V755" s="20">
        <f>IF(B755="","",ROUND(U755-IF(G755="",0,G755)-IF(L755="",0,L755),2))</f>
        <v>0</v>
      </c>
      <c r="W755" s="20">
        <f>IF(C755="","",IFERROR(INDEX(Products!$AT$5:$AT$304,MATCH(C755,Products!$A$5:$A$304,0)),""))</f>
        <v>0</v>
      </c>
      <c r="X755" s="20">
        <f>IF(C755="","",IFERROR(INDEX(Products!$AG$5:$AG$304,MATCH(C755,Products!$A$5:$A$304,0)),""))</f>
        <v>0</v>
      </c>
      <c r="Y755" s="20">
        <f>IF(B755="","",ROUND(IF(D755="",0,D755)*MAX(0,IF(W755="",0,W755)-IF(X755="",0,X755)),2))</f>
        <v>0</v>
      </c>
      <c r="Z755" s="20">
        <f>IF(B755="","",ROUND(MAX(0,IF(J755="",0,J755)-IF(I755="",0,I755)),2))</f>
        <v>0</v>
      </c>
      <c r="AA755" s="33">
        <f>IF(B755="","",IFERROR(INDEX(Channels!$S$5:$S$18,MATCH(IF(E755="",DefaultChannel,E755),Channels!$A$5:$A$18,0)),0))</f>
        <v>0</v>
      </c>
      <c r="AB755" s="20">
        <f>IF(B755="","",IFERROR(INDEX(Channels!$T$5:$T$18,MATCH(IF(E755="",DefaultChannel,E755),Channels!$A$5:$A$18,0)),0))</f>
        <v>0</v>
      </c>
      <c r="AC755" s="42">
        <f>IF(B755="","",IFERROR(INDEX(Channels!$O$5:$O$18,MATCH(IF(E755="",DefaultChannel,E755),Channels!$A$5:$A$18,0)),"No"))</f>
        <v>0</v>
      </c>
      <c r="AD755" s="20">
        <f>IF(B755="","",ROUND((V755+IF(AC755="Yes",IF(I755="",0,I755),0))*AA755+AB755,2))</f>
        <v>0</v>
      </c>
      <c r="AE755" s="20">
        <f>IF(B755="","",IF(K755&lt;&gt;"",K755,AD755))</f>
        <v>0</v>
      </c>
      <c r="AF755" s="20">
        <f>IF(B755="","",IF(K755="","",ROUND(K755-AD755,2)))</f>
        <v>0</v>
      </c>
      <c r="AG755" s="20">
        <f>IF(B755="","",ROUND(V755-Y755-AE755-Z755,2))</f>
        <v>0</v>
      </c>
      <c r="AH755" s="33">
        <f>IF(B755="","",IF(OR(V755="",V755=0),"",AG755/V755))</f>
        <v>0</v>
      </c>
      <c r="AI755" s="33">
        <f>IF(C755="","",IFERROR(INDEX(Products!$AW$5:$AW$304,MATCH(C755,Products!$A$5:$A$304,0)),""))</f>
        <v>0</v>
      </c>
      <c r="AJ755" s="33">
        <f>IF(B755="","",IF(OR(AH755="",AI755=""),"",AH755-AI755))</f>
        <v>0</v>
      </c>
      <c r="AK755" s="41">
        <f>IF(B755="","",IFERROR(ROUND(IF(D755="",0,D755)*INDEX(Products!$X$5:$X$304,MATCH(C755,Products!$A$5:$A$304,0))/60,2),""))</f>
        <v>0</v>
      </c>
      <c r="AL755" s="20">
        <f>IF(B755="","",IF(OR(AK755="",AK755=0),"",ROUND(AG755/AK755,2)))</f>
        <v>0</v>
      </c>
      <c r="AM755" s="43">
        <f>IF(B755="","",IF(C755="","Add - which product?",IF(AG755&lt;0,"Loss - this order cost you money",IF(M755="Refunded","Refunded - check why",IF(AND(AF755&lt;&gt;"",AF755&gt;0.25),"Check - fees higher than your settings",IF(Z755&gt;1,"Check - postage is eating the margin",IF(AND(AH755&lt;&gt;"",AH755&lt;MarginWarning),"Low margin on this order","OK")))))) )</f>
        <v>0</v>
      </c>
    </row>
    <row r="756" spans="1:39">
      <c r="A756" s="38">
        <f>IF(B756="","",SalePrefix&amp;TEXT(ROW()-4,"0000"))</f>
        <v>0</v>
      </c>
      <c r="Q756" s="13">
        <f>IF(C756="","",IFERROR(INDEX(Products!$B$5:$B$304,MATCH(C756,Products!$A$5:$A$304,0)),"Bundle or deleted"))</f>
        <v>0</v>
      </c>
      <c r="R756" s="13">
        <f>IF(B756="","",TEXT(B756,"yyyy-mm"))</f>
        <v>0</v>
      </c>
      <c r="S756" s="20">
        <f>IF(C756="","",IFERROR(INDEX(Products!$AR$5:$AR$304,MATCH(C756,Products!$A$5:$A$304,0)),""))</f>
        <v>0</v>
      </c>
      <c r="T756" s="20">
        <f>IF(B756="","",IF(F756&lt;&gt;"",F756,IF(S756="",0,S756)))</f>
        <v>0</v>
      </c>
      <c r="U756" s="20">
        <f>IF(B756="","",ROUND(IF(D756="",0,D756)*T756,2))</f>
        <v>0</v>
      </c>
      <c r="V756" s="20">
        <f>IF(B756="","",ROUND(U756-IF(G756="",0,G756)-IF(L756="",0,L756),2))</f>
        <v>0</v>
      </c>
      <c r="W756" s="20">
        <f>IF(C756="","",IFERROR(INDEX(Products!$AT$5:$AT$304,MATCH(C756,Products!$A$5:$A$304,0)),""))</f>
        <v>0</v>
      </c>
      <c r="X756" s="20">
        <f>IF(C756="","",IFERROR(INDEX(Products!$AG$5:$AG$304,MATCH(C756,Products!$A$5:$A$304,0)),""))</f>
        <v>0</v>
      </c>
      <c r="Y756" s="20">
        <f>IF(B756="","",ROUND(IF(D756="",0,D756)*MAX(0,IF(W756="",0,W756)-IF(X756="",0,X756)),2))</f>
        <v>0</v>
      </c>
      <c r="Z756" s="20">
        <f>IF(B756="","",ROUND(MAX(0,IF(J756="",0,J756)-IF(I756="",0,I756)),2))</f>
        <v>0</v>
      </c>
      <c r="AA756" s="33">
        <f>IF(B756="","",IFERROR(INDEX(Channels!$S$5:$S$18,MATCH(IF(E756="",DefaultChannel,E756),Channels!$A$5:$A$18,0)),0))</f>
        <v>0</v>
      </c>
      <c r="AB756" s="20">
        <f>IF(B756="","",IFERROR(INDEX(Channels!$T$5:$T$18,MATCH(IF(E756="",DefaultChannel,E756),Channels!$A$5:$A$18,0)),0))</f>
        <v>0</v>
      </c>
      <c r="AC756" s="42">
        <f>IF(B756="","",IFERROR(INDEX(Channels!$O$5:$O$18,MATCH(IF(E756="",DefaultChannel,E756),Channels!$A$5:$A$18,0)),"No"))</f>
        <v>0</v>
      </c>
      <c r="AD756" s="20">
        <f>IF(B756="","",ROUND((V756+IF(AC756="Yes",IF(I756="",0,I756),0))*AA756+AB756,2))</f>
        <v>0</v>
      </c>
      <c r="AE756" s="20">
        <f>IF(B756="","",IF(K756&lt;&gt;"",K756,AD756))</f>
        <v>0</v>
      </c>
      <c r="AF756" s="20">
        <f>IF(B756="","",IF(K756="","",ROUND(K756-AD756,2)))</f>
        <v>0</v>
      </c>
      <c r="AG756" s="20">
        <f>IF(B756="","",ROUND(V756-Y756-AE756-Z756,2))</f>
        <v>0</v>
      </c>
      <c r="AH756" s="33">
        <f>IF(B756="","",IF(OR(V756="",V756=0),"",AG756/V756))</f>
        <v>0</v>
      </c>
      <c r="AI756" s="33">
        <f>IF(C756="","",IFERROR(INDEX(Products!$AW$5:$AW$304,MATCH(C756,Products!$A$5:$A$304,0)),""))</f>
        <v>0</v>
      </c>
      <c r="AJ756" s="33">
        <f>IF(B756="","",IF(OR(AH756="",AI756=""),"",AH756-AI756))</f>
        <v>0</v>
      </c>
      <c r="AK756" s="41">
        <f>IF(B756="","",IFERROR(ROUND(IF(D756="",0,D756)*INDEX(Products!$X$5:$X$304,MATCH(C756,Products!$A$5:$A$304,0))/60,2),""))</f>
        <v>0</v>
      </c>
      <c r="AL756" s="20">
        <f>IF(B756="","",IF(OR(AK756="",AK756=0),"",ROUND(AG756/AK756,2)))</f>
        <v>0</v>
      </c>
      <c r="AM756" s="43">
        <f>IF(B756="","",IF(C756="","Add - which product?",IF(AG756&lt;0,"Loss - this order cost you money",IF(M756="Refunded","Refunded - check why",IF(AND(AF756&lt;&gt;"",AF756&gt;0.25),"Check - fees higher than your settings",IF(Z756&gt;1,"Check - postage is eating the margin",IF(AND(AH756&lt;&gt;"",AH756&lt;MarginWarning),"Low margin on this order","OK")))))) )</f>
        <v>0</v>
      </c>
    </row>
    <row r="757" spans="1:39">
      <c r="A757" s="38">
        <f>IF(B757="","",SalePrefix&amp;TEXT(ROW()-4,"0000"))</f>
        <v>0</v>
      </c>
      <c r="Q757" s="13">
        <f>IF(C757="","",IFERROR(INDEX(Products!$B$5:$B$304,MATCH(C757,Products!$A$5:$A$304,0)),"Bundle or deleted"))</f>
        <v>0</v>
      </c>
      <c r="R757" s="13">
        <f>IF(B757="","",TEXT(B757,"yyyy-mm"))</f>
        <v>0</v>
      </c>
      <c r="S757" s="20">
        <f>IF(C757="","",IFERROR(INDEX(Products!$AR$5:$AR$304,MATCH(C757,Products!$A$5:$A$304,0)),""))</f>
        <v>0</v>
      </c>
      <c r="T757" s="20">
        <f>IF(B757="","",IF(F757&lt;&gt;"",F757,IF(S757="",0,S757)))</f>
        <v>0</v>
      </c>
      <c r="U757" s="20">
        <f>IF(B757="","",ROUND(IF(D757="",0,D757)*T757,2))</f>
        <v>0</v>
      </c>
      <c r="V757" s="20">
        <f>IF(B757="","",ROUND(U757-IF(G757="",0,G757)-IF(L757="",0,L757),2))</f>
        <v>0</v>
      </c>
      <c r="W757" s="20">
        <f>IF(C757="","",IFERROR(INDEX(Products!$AT$5:$AT$304,MATCH(C757,Products!$A$5:$A$304,0)),""))</f>
        <v>0</v>
      </c>
      <c r="X757" s="20">
        <f>IF(C757="","",IFERROR(INDEX(Products!$AG$5:$AG$304,MATCH(C757,Products!$A$5:$A$304,0)),""))</f>
        <v>0</v>
      </c>
      <c r="Y757" s="20">
        <f>IF(B757="","",ROUND(IF(D757="",0,D757)*MAX(0,IF(W757="",0,W757)-IF(X757="",0,X757)),2))</f>
        <v>0</v>
      </c>
      <c r="Z757" s="20">
        <f>IF(B757="","",ROUND(MAX(0,IF(J757="",0,J757)-IF(I757="",0,I757)),2))</f>
        <v>0</v>
      </c>
      <c r="AA757" s="33">
        <f>IF(B757="","",IFERROR(INDEX(Channels!$S$5:$S$18,MATCH(IF(E757="",DefaultChannel,E757),Channels!$A$5:$A$18,0)),0))</f>
        <v>0</v>
      </c>
      <c r="AB757" s="20">
        <f>IF(B757="","",IFERROR(INDEX(Channels!$T$5:$T$18,MATCH(IF(E757="",DefaultChannel,E757),Channels!$A$5:$A$18,0)),0))</f>
        <v>0</v>
      </c>
      <c r="AC757" s="42">
        <f>IF(B757="","",IFERROR(INDEX(Channels!$O$5:$O$18,MATCH(IF(E757="",DefaultChannel,E757),Channels!$A$5:$A$18,0)),"No"))</f>
        <v>0</v>
      </c>
      <c r="AD757" s="20">
        <f>IF(B757="","",ROUND((V757+IF(AC757="Yes",IF(I757="",0,I757),0))*AA757+AB757,2))</f>
        <v>0</v>
      </c>
      <c r="AE757" s="20">
        <f>IF(B757="","",IF(K757&lt;&gt;"",K757,AD757))</f>
        <v>0</v>
      </c>
      <c r="AF757" s="20">
        <f>IF(B757="","",IF(K757="","",ROUND(K757-AD757,2)))</f>
        <v>0</v>
      </c>
      <c r="AG757" s="20">
        <f>IF(B757="","",ROUND(V757-Y757-AE757-Z757,2))</f>
        <v>0</v>
      </c>
      <c r="AH757" s="33">
        <f>IF(B757="","",IF(OR(V757="",V757=0),"",AG757/V757))</f>
        <v>0</v>
      </c>
      <c r="AI757" s="33">
        <f>IF(C757="","",IFERROR(INDEX(Products!$AW$5:$AW$304,MATCH(C757,Products!$A$5:$A$304,0)),""))</f>
        <v>0</v>
      </c>
      <c r="AJ757" s="33">
        <f>IF(B757="","",IF(OR(AH757="",AI757=""),"",AH757-AI757))</f>
        <v>0</v>
      </c>
      <c r="AK757" s="41">
        <f>IF(B757="","",IFERROR(ROUND(IF(D757="",0,D757)*INDEX(Products!$X$5:$X$304,MATCH(C757,Products!$A$5:$A$304,0))/60,2),""))</f>
        <v>0</v>
      </c>
      <c r="AL757" s="20">
        <f>IF(B757="","",IF(OR(AK757="",AK757=0),"",ROUND(AG757/AK757,2)))</f>
        <v>0</v>
      </c>
      <c r="AM757" s="43">
        <f>IF(B757="","",IF(C757="","Add - which product?",IF(AG757&lt;0,"Loss - this order cost you money",IF(M757="Refunded","Refunded - check why",IF(AND(AF757&lt;&gt;"",AF757&gt;0.25),"Check - fees higher than your settings",IF(Z757&gt;1,"Check - postage is eating the margin",IF(AND(AH757&lt;&gt;"",AH757&lt;MarginWarning),"Low margin on this order","OK")))))) )</f>
        <v>0</v>
      </c>
    </row>
    <row r="758" spans="1:39">
      <c r="A758" s="38">
        <f>IF(B758="","",SalePrefix&amp;TEXT(ROW()-4,"0000"))</f>
        <v>0</v>
      </c>
      <c r="Q758" s="13">
        <f>IF(C758="","",IFERROR(INDEX(Products!$B$5:$B$304,MATCH(C758,Products!$A$5:$A$304,0)),"Bundle or deleted"))</f>
        <v>0</v>
      </c>
      <c r="R758" s="13">
        <f>IF(B758="","",TEXT(B758,"yyyy-mm"))</f>
        <v>0</v>
      </c>
      <c r="S758" s="20">
        <f>IF(C758="","",IFERROR(INDEX(Products!$AR$5:$AR$304,MATCH(C758,Products!$A$5:$A$304,0)),""))</f>
        <v>0</v>
      </c>
      <c r="T758" s="20">
        <f>IF(B758="","",IF(F758&lt;&gt;"",F758,IF(S758="",0,S758)))</f>
        <v>0</v>
      </c>
      <c r="U758" s="20">
        <f>IF(B758="","",ROUND(IF(D758="",0,D758)*T758,2))</f>
        <v>0</v>
      </c>
      <c r="V758" s="20">
        <f>IF(B758="","",ROUND(U758-IF(G758="",0,G758)-IF(L758="",0,L758),2))</f>
        <v>0</v>
      </c>
      <c r="W758" s="20">
        <f>IF(C758="","",IFERROR(INDEX(Products!$AT$5:$AT$304,MATCH(C758,Products!$A$5:$A$304,0)),""))</f>
        <v>0</v>
      </c>
      <c r="X758" s="20">
        <f>IF(C758="","",IFERROR(INDEX(Products!$AG$5:$AG$304,MATCH(C758,Products!$A$5:$A$304,0)),""))</f>
        <v>0</v>
      </c>
      <c r="Y758" s="20">
        <f>IF(B758="","",ROUND(IF(D758="",0,D758)*MAX(0,IF(W758="",0,W758)-IF(X758="",0,X758)),2))</f>
        <v>0</v>
      </c>
      <c r="Z758" s="20">
        <f>IF(B758="","",ROUND(MAX(0,IF(J758="",0,J758)-IF(I758="",0,I758)),2))</f>
        <v>0</v>
      </c>
      <c r="AA758" s="33">
        <f>IF(B758="","",IFERROR(INDEX(Channels!$S$5:$S$18,MATCH(IF(E758="",DefaultChannel,E758),Channels!$A$5:$A$18,0)),0))</f>
        <v>0</v>
      </c>
      <c r="AB758" s="20">
        <f>IF(B758="","",IFERROR(INDEX(Channels!$T$5:$T$18,MATCH(IF(E758="",DefaultChannel,E758),Channels!$A$5:$A$18,0)),0))</f>
        <v>0</v>
      </c>
      <c r="AC758" s="42">
        <f>IF(B758="","",IFERROR(INDEX(Channels!$O$5:$O$18,MATCH(IF(E758="",DefaultChannel,E758),Channels!$A$5:$A$18,0)),"No"))</f>
        <v>0</v>
      </c>
      <c r="AD758" s="20">
        <f>IF(B758="","",ROUND((V758+IF(AC758="Yes",IF(I758="",0,I758),0))*AA758+AB758,2))</f>
        <v>0</v>
      </c>
      <c r="AE758" s="20">
        <f>IF(B758="","",IF(K758&lt;&gt;"",K758,AD758))</f>
        <v>0</v>
      </c>
      <c r="AF758" s="20">
        <f>IF(B758="","",IF(K758="","",ROUND(K758-AD758,2)))</f>
        <v>0</v>
      </c>
      <c r="AG758" s="20">
        <f>IF(B758="","",ROUND(V758-Y758-AE758-Z758,2))</f>
        <v>0</v>
      </c>
      <c r="AH758" s="33">
        <f>IF(B758="","",IF(OR(V758="",V758=0),"",AG758/V758))</f>
        <v>0</v>
      </c>
      <c r="AI758" s="33">
        <f>IF(C758="","",IFERROR(INDEX(Products!$AW$5:$AW$304,MATCH(C758,Products!$A$5:$A$304,0)),""))</f>
        <v>0</v>
      </c>
      <c r="AJ758" s="33">
        <f>IF(B758="","",IF(OR(AH758="",AI758=""),"",AH758-AI758))</f>
        <v>0</v>
      </c>
      <c r="AK758" s="41">
        <f>IF(B758="","",IFERROR(ROUND(IF(D758="",0,D758)*INDEX(Products!$X$5:$X$304,MATCH(C758,Products!$A$5:$A$304,0))/60,2),""))</f>
        <v>0</v>
      </c>
      <c r="AL758" s="20">
        <f>IF(B758="","",IF(OR(AK758="",AK758=0),"",ROUND(AG758/AK758,2)))</f>
        <v>0</v>
      </c>
      <c r="AM758" s="43">
        <f>IF(B758="","",IF(C758="","Add - which product?",IF(AG758&lt;0,"Loss - this order cost you money",IF(M758="Refunded","Refunded - check why",IF(AND(AF758&lt;&gt;"",AF758&gt;0.25),"Check - fees higher than your settings",IF(Z758&gt;1,"Check - postage is eating the margin",IF(AND(AH758&lt;&gt;"",AH758&lt;MarginWarning),"Low margin on this order","OK")))))) )</f>
        <v>0</v>
      </c>
    </row>
    <row r="759" spans="1:39">
      <c r="A759" s="38">
        <f>IF(B759="","",SalePrefix&amp;TEXT(ROW()-4,"0000"))</f>
        <v>0</v>
      </c>
      <c r="Q759" s="13">
        <f>IF(C759="","",IFERROR(INDEX(Products!$B$5:$B$304,MATCH(C759,Products!$A$5:$A$304,0)),"Bundle or deleted"))</f>
        <v>0</v>
      </c>
      <c r="R759" s="13">
        <f>IF(B759="","",TEXT(B759,"yyyy-mm"))</f>
        <v>0</v>
      </c>
      <c r="S759" s="20">
        <f>IF(C759="","",IFERROR(INDEX(Products!$AR$5:$AR$304,MATCH(C759,Products!$A$5:$A$304,0)),""))</f>
        <v>0</v>
      </c>
      <c r="T759" s="20">
        <f>IF(B759="","",IF(F759&lt;&gt;"",F759,IF(S759="",0,S759)))</f>
        <v>0</v>
      </c>
      <c r="U759" s="20">
        <f>IF(B759="","",ROUND(IF(D759="",0,D759)*T759,2))</f>
        <v>0</v>
      </c>
      <c r="V759" s="20">
        <f>IF(B759="","",ROUND(U759-IF(G759="",0,G759)-IF(L759="",0,L759),2))</f>
        <v>0</v>
      </c>
      <c r="W759" s="20">
        <f>IF(C759="","",IFERROR(INDEX(Products!$AT$5:$AT$304,MATCH(C759,Products!$A$5:$A$304,0)),""))</f>
        <v>0</v>
      </c>
      <c r="X759" s="20">
        <f>IF(C759="","",IFERROR(INDEX(Products!$AG$5:$AG$304,MATCH(C759,Products!$A$5:$A$304,0)),""))</f>
        <v>0</v>
      </c>
      <c r="Y759" s="20">
        <f>IF(B759="","",ROUND(IF(D759="",0,D759)*MAX(0,IF(W759="",0,W759)-IF(X759="",0,X759)),2))</f>
        <v>0</v>
      </c>
      <c r="Z759" s="20">
        <f>IF(B759="","",ROUND(MAX(0,IF(J759="",0,J759)-IF(I759="",0,I759)),2))</f>
        <v>0</v>
      </c>
      <c r="AA759" s="33">
        <f>IF(B759="","",IFERROR(INDEX(Channels!$S$5:$S$18,MATCH(IF(E759="",DefaultChannel,E759),Channels!$A$5:$A$18,0)),0))</f>
        <v>0</v>
      </c>
      <c r="AB759" s="20">
        <f>IF(B759="","",IFERROR(INDEX(Channels!$T$5:$T$18,MATCH(IF(E759="",DefaultChannel,E759),Channels!$A$5:$A$18,0)),0))</f>
        <v>0</v>
      </c>
      <c r="AC759" s="42">
        <f>IF(B759="","",IFERROR(INDEX(Channels!$O$5:$O$18,MATCH(IF(E759="",DefaultChannel,E759),Channels!$A$5:$A$18,0)),"No"))</f>
        <v>0</v>
      </c>
      <c r="AD759" s="20">
        <f>IF(B759="","",ROUND((V759+IF(AC759="Yes",IF(I759="",0,I759),0))*AA759+AB759,2))</f>
        <v>0</v>
      </c>
      <c r="AE759" s="20">
        <f>IF(B759="","",IF(K759&lt;&gt;"",K759,AD759))</f>
        <v>0</v>
      </c>
      <c r="AF759" s="20">
        <f>IF(B759="","",IF(K759="","",ROUND(K759-AD759,2)))</f>
        <v>0</v>
      </c>
      <c r="AG759" s="20">
        <f>IF(B759="","",ROUND(V759-Y759-AE759-Z759,2))</f>
        <v>0</v>
      </c>
      <c r="AH759" s="33">
        <f>IF(B759="","",IF(OR(V759="",V759=0),"",AG759/V759))</f>
        <v>0</v>
      </c>
      <c r="AI759" s="33">
        <f>IF(C759="","",IFERROR(INDEX(Products!$AW$5:$AW$304,MATCH(C759,Products!$A$5:$A$304,0)),""))</f>
        <v>0</v>
      </c>
      <c r="AJ759" s="33">
        <f>IF(B759="","",IF(OR(AH759="",AI759=""),"",AH759-AI759))</f>
        <v>0</v>
      </c>
      <c r="AK759" s="41">
        <f>IF(B759="","",IFERROR(ROUND(IF(D759="",0,D759)*INDEX(Products!$X$5:$X$304,MATCH(C759,Products!$A$5:$A$304,0))/60,2),""))</f>
        <v>0</v>
      </c>
      <c r="AL759" s="20">
        <f>IF(B759="","",IF(OR(AK759="",AK759=0),"",ROUND(AG759/AK759,2)))</f>
        <v>0</v>
      </c>
      <c r="AM759" s="43">
        <f>IF(B759="","",IF(C759="","Add - which product?",IF(AG759&lt;0,"Loss - this order cost you money",IF(M759="Refunded","Refunded - check why",IF(AND(AF759&lt;&gt;"",AF759&gt;0.25),"Check - fees higher than your settings",IF(Z759&gt;1,"Check - postage is eating the margin",IF(AND(AH759&lt;&gt;"",AH759&lt;MarginWarning),"Low margin on this order","OK")))))) )</f>
        <v>0</v>
      </c>
    </row>
    <row r="760" spans="1:39">
      <c r="A760" s="38">
        <f>IF(B760="","",SalePrefix&amp;TEXT(ROW()-4,"0000"))</f>
        <v>0</v>
      </c>
      <c r="Q760" s="13">
        <f>IF(C760="","",IFERROR(INDEX(Products!$B$5:$B$304,MATCH(C760,Products!$A$5:$A$304,0)),"Bundle or deleted"))</f>
        <v>0</v>
      </c>
      <c r="R760" s="13">
        <f>IF(B760="","",TEXT(B760,"yyyy-mm"))</f>
        <v>0</v>
      </c>
      <c r="S760" s="20">
        <f>IF(C760="","",IFERROR(INDEX(Products!$AR$5:$AR$304,MATCH(C760,Products!$A$5:$A$304,0)),""))</f>
        <v>0</v>
      </c>
      <c r="T760" s="20">
        <f>IF(B760="","",IF(F760&lt;&gt;"",F760,IF(S760="",0,S760)))</f>
        <v>0</v>
      </c>
      <c r="U760" s="20">
        <f>IF(B760="","",ROUND(IF(D760="",0,D760)*T760,2))</f>
        <v>0</v>
      </c>
      <c r="V760" s="20">
        <f>IF(B760="","",ROUND(U760-IF(G760="",0,G760)-IF(L760="",0,L760),2))</f>
        <v>0</v>
      </c>
      <c r="W760" s="20">
        <f>IF(C760="","",IFERROR(INDEX(Products!$AT$5:$AT$304,MATCH(C760,Products!$A$5:$A$304,0)),""))</f>
        <v>0</v>
      </c>
      <c r="X760" s="20">
        <f>IF(C760="","",IFERROR(INDEX(Products!$AG$5:$AG$304,MATCH(C760,Products!$A$5:$A$304,0)),""))</f>
        <v>0</v>
      </c>
      <c r="Y760" s="20">
        <f>IF(B760="","",ROUND(IF(D760="",0,D760)*MAX(0,IF(W760="",0,W760)-IF(X760="",0,X760)),2))</f>
        <v>0</v>
      </c>
      <c r="Z760" s="20">
        <f>IF(B760="","",ROUND(MAX(0,IF(J760="",0,J760)-IF(I760="",0,I760)),2))</f>
        <v>0</v>
      </c>
      <c r="AA760" s="33">
        <f>IF(B760="","",IFERROR(INDEX(Channels!$S$5:$S$18,MATCH(IF(E760="",DefaultChannel,E760),Channels!$A$5:$A$18,0)),0))</f>
        <v>0</v>
      </c>
      <c r="AB760" s="20">
        <f>IF(B760="","",IFERROR(INDEX(Channels!$T$5:$T$18,MATCH(IF(E760="",DefaultChannel,E760),Channels!$A$5:$A$18,0)),0))</f>
        <v>0</v>
      </c>
      <c r="AC760" s="42">
        <f>IF(B760="","",IFERROR(INDEX(Channels!$O$5:$O$18,MATCH(IF(E760="",DefaultChannel,E760),Channels!$A$5:$A$18,0)),"No"))</f>
        <v>0</v>
      </c>
      <c r="AD760" s="20">
        <f>IF(B760="","",ROUND((V760+IF(AC760="Yes",IF(I760="",0,I760),0))*AA760+AB760,2))</f>
        <v>0</v>
      </c>
      <c r="AE760" s="20">
        <f>IF(B760="","",IF(K760&lt;&gt;"",K760,AD760))</f>
        <v>0</v>
      </c>
      <c r="AF760" s="20">
        <f>IF(B760="","",IF(K760="","",ROUND(K760-AD760,2)))</f>
        <v>0</v>
      </c>
      <c r="AG760" s="20">
        <f>IF(B760="","",ROUND(V760-Y760-AE760-Z760,2))</f>
        <v>0</v>
      </c>
      <c r="AH760" s="33">
        <f>IF(B760="","",IF(OR(V760="",V760=0),"",AG760/V760))</f>
        <v>0</v>
      </c>
      <c r="AI760" s="33">
        <f>IF(C760="","",IFERROR(INDEX(Products!$AW$5:$AW$304,MATCH(C760,Products!$A$5:$A$304,0)),""))</f>
        <v>0</v>
      </c>
      <c r="AJ760" s="33">
        <f>IF(B760="","",IF(OR(AH760="",AI760=""),"",AH760-AI760))</f>
        <v>0</v>
      </c>
      <c r="AK760" s="41">
        <f>IF(B760="","",IFERROR(ROUND(IF(D760="",0,D760)*INDEX(Products!$X$5:$X$304,MATCH(C760,Products!$A$5:$A$304,0))/60,2),""))</f>
        <v>0</v>
      </c>
      <c r="AL760" s="20">
        <f>IF(B760="","",IF(OR(AK760="",AK760=0),"",ROUND(AG760/AK760,2)))</f>
        <v>0</v>
      </c>
      <c r="AM760" s="43">
        <f>IF(B760="","",IF(C760="","Add - which product?",IF(AG760&lt;0,"Loss - this order cost you money",IF(M760="Refunded","Refunded - check why",IF(AND(AF760&lt;&gt;"",AF760&gt;0.25),"Check - fees higher than your settings",IF(Z760&gt;1,"Check - postage is eating the margin",IF(AND(AH760&lt;&gt;"",AH760&lt;MarginWarning),"Low margin on this order","OK")))))) )</f>
        <v>0</v>
      </c>
    </row>
    <row r="761" spans="1:39">
      <c r="A761" s="38">
        <f>IF(B761="","",SalePrefix&amp;TEXT(ROW()-4,"0000"))</f>
        <v>0</v>
      </c>
      <c r="Q761" s="13">
        <f>IF(C761="","",IFERROR(INDEX(Products!$B$5:$B$304,MATCH(C761,Products!$A$5:$A$304,0)),"Bundle or deleted"))</f>
        <v>0</v>
      </c>
      <c r="R761" s="13">
        <f>IF(B761="","",TEXT(B761,"yyyy-mm"))</f>
        <v>0</v>
      </c>
      <c r="S761" s="20">
        <f>IF(C761="","",IFERROR(INDEX(Products!$AR$5:$AR$304,MATCH(C761,Products!$A$5:$A$304,0)),""))</f>
        <v>0</v>
      </c>
      <c r="T761" s="20">
        <f>IF(B761="","",IF(F761&lt;&gt;"",F761,IF(S761="",0,S761)))</f>
        <v>0</v>
      </c>
      <c r="U761" s="20">
        <f>IF(B761="","",ROUND(IF(D761="",0,D761)*T761,2))</f>
        <v>0</v>
      </c>
      <c r="V761" s="20">
        <f>IF(B761="","",ROUND(U761-IF(G761="",0,G761)-IF(L761="",0,L761),2))</f>
        <v>0</v>
      </c>
      <c r="W761" s="20">
        <f>IF(C761="","",IFERROR(INDEX(Products!$AT$5:$AT$304,MATCH(C761,Products!$A$5:$A$304,0)),""))</f>
        <v>0</v>
      </c>
      <c r="X761" s="20">
        <f>IF(C761="","",IFERROR(INDEX(Products!$AG$5:$AG$304,MATCH(C761,Products!$A$5:$A$304,0)),""))</f>
        <v>0</v>
      </c>
      <c r="Y761" s="20">
        <f>IF(B761="","",ROUND(IF(D761="",0,D761)*MAX(0,IF(W761="",0,W761)-IF(X761="",0,X761)),2))</f>
        <v>0</v>
      </c>
      <c r="Z761" s="20">
        <f>IF(B761="","",ROUND(MAX(0,IF(J761="",0,J761)-IF(I761="",0,I761)),2))</f>
        <v>0</v>
      </c>
      <c r="AA761" s="33">
        <f>IF(B761="","",IFERROR(INDEX(Channels!$S$5:$S$18,MATCH(IF(E761="",DefaultChannel,E761),Channels!$A$5:$A$18,0)),0))</f>
        <v>0</v>
      </c>
      <c r="AB761" s="20">
        <f>IF(B761="","",IFERROR(INDEX(Channels!$T$5:$T$18,MATCH(IF(E761="",DefaultChannel,E761),Channels!$A$5:$A$18,0)),0))</f>
        <v>0</v>
      </c>
      <c r="AC761" s="42">
        <f>IF(B761="","",IFERROR(INDEX(Channels!$O$5:$O$18,MATCH(IF(E761="",DefaultChannel,E761),Channels!$A$5:$A$18,0)),"No"))</f>
        <v>0</v>
      </c>
      <c r="AD761" s="20">
        <f>IF(B761="","",ROUND((V761+IF(AC761="Yes",IF(I761="",0,I761),0))*AA761+AB761,2))</f>
        <v>0</v>
      </c>
      <c r="AE761" s="20">
        <f>IF(B761="","",IF(K761&lt;&gt;"",K761,AD761))</f>
        <v>0</v>
      </c>
      <c r="AF761" s="20">
        <f>IF(B761="","",IF(K761="","",ROUND(K761-AD761,2)))</f>
        <v>0</v>
      </c>
      <c r="AG761" s="20">
        <f>IF(B761="","",ROUND(V761-Y761-AE761-Z761,2))</f>
        <v>0</v>
      </c>
      <c r="AH761" s="33">
        <f>IF(B761="","",IF(OR(V761="",V761=0),"",AG761/V761))</f>
        <v>0</v>
      </c>
      <c r="AI761" s="33">
        <f>IF(C761="","",IFERROR(INDEX(Products!$AW$5:$AW$304,MATCH(C761,Products!$A$5:$A$304,0)),""))</f>
        <v>0</v>
      </c>
      <c r="AJ761" s="33">
        <f>IF(B761="","",IF(OR(AH761="",AI761=""),"",AH761-AI761))</f>
        <v>0</v>
      </c>
      <c r="AK761" s="41">
        <f>IF(B761="","",IFERROR(ROUND(IF(D761="",0,D761)*INDEX(Products!$X$5:$X$304,MATCH(C761,Products!$A$5:$A$304,0))/60,2),""))</f>
        <v>0</v>
      </c>
      <c r="AL761" s="20">
        <f>IF(B761="","",IF(OR(AK761="",AK761=0),"",ROUND(AG761/AK761,2)))</f>
        <v>0</v>
      </c>
      <c r="AM761" s="43">
        <f>IF(B761="","",IF(C761="","Add - which product?",IF(AG761&lt;0,"Loss - this order cost you money",IF(M761="Refunded","Refunded - check why",IF(AND(AF761&lt;&gt;"",AF761&gt;0.25),"Check - fees higher than your settings",IF(Z761&gt;1,"Check - postage is eating the margin",IF(AND(AH761&lt;&gt;"",AH761&lt;MarginWarning),"Low margin on this order","OK")))))) )</f>
        <v>0</v>
      </c>
    </row>
    <row r="762" spans="1:39">
      <c r="A762" s="38">
        <f>IF(B762="","",SalePrefix&amp;TEXT(ROW()-4,"0000"))</f>
        <v>0</v>
      </c>
      <c r="Q762" s="13">
        <f>IF(C762="","",IFERROR(INDEX(Products!$B$5:$B$304,MATCH(C762,Products!$A$5:$A$304,0)),"Bundle or deleted"))</f>
        <v>0</v>
      </c>
      <c r="R762" s="13">
        <f>IF(B762="","",TEXT(B762,"yyyy-mm"))</f>
        <v>0</v>
      </c>
      <c r="S762" s="20">
        <f>IF(C762="","",IFERROR(INDEX(Products!$AR$5:$AR$304,MATCH(C762,Products!$A$5:$A$304,0)),""))</f>
        <v>0</v>
      </c>
      <c r="T762" s="20">
        <f>IF(B762="","",IF(F762&lt;&gt;"",F762,IF(S762="",0,S762)))</f>
        <v>0</v>
      </c>
      <c r="U762" s="20">
        <f>IF(B762="","",ROUND(IF(D762="",0,D762)*T762,2))</f>
        <v>0</v>
      </c>
      <c r="V762" s="20">
        <f>IF(B762="","",ROUND(U762-IF(G762="",0,G762)-IF(L762="",0,L762),2))</f>
        <v>0</v>
      </c>
      <c r="W762" s="20">
        <f>IF(C762="","",IFERROR(INDEX(Products!$AT$5:$AT$304,MATCH(C762,Products!$A$5:$A$304,0)),""))</f>
        <v>0</v>
      </c>
      <c r="X762" s="20">
        <f>IF(C762="","",IFERROR(INDEX(Products!$AG$5:$AG$304,MATCH(C762,Products!$A$5:$A$304,0)),""))</f>
        <v>0</v>
      </c>
      <c r="Y762" s="20">
        <f>IF(B762="","",ROUND(IF(D762="",0,D762)*MAX(0,IF(W762="",0,W762)-IF(X762="",0,X762)),2))</f>
        <v>0</v>
      </c>
      <c r="Z762" s="20">
        <f>IF(B762="","",ROUND(MAX(0,IF(J762="",0,J762)-IF(I762="",0,I762)),2))</f>
        <v>0</v>
      </c>
      <c r="AA762" s="33">
        <f>IF(B762="","",IFERROR(INDEX(Channels!$S$5:$S$18,MATCH(IF(E762="",DefaultChannel,E762),Channels!$A$5:$A$18,0)),0))</f>
        <v>0</v>
      </c>
      <c r="AB762" s="20">
        <f>IF(B762="","",IFERROR(INDEX(Channels!$T$5:$T$18,MATCH(IF(E762="",DefaultChannel,E762),Channels!$A$5:$A$18,0)),0))</f>
        <v>0</v>
      </c>
      <c r="AC762" s="42">
        <f>IF(B762="","",IFERROR(INDEX(Channels!$O$5:$O$18,MATCH(IF(E762="",DefaultChannel,E762),Channels!$A$5:$A$18,0)),"No"))</f>
        <v>0</v>
      </c>
      <c r="AD762" s="20">
        <f>IF(B762="","",ROUND((V762+IF(AC762="Yes",IF(I762="",0,I762),0))*AA762+AB762,2))</f>
        <v>0</v>
      </c>
      <c r="AE762" s="20">
        <f>IF(B762="","",IF(K762&lt;&gt;"",K762,AD762))</f>
        <v>0</v>
      </c>
      <c r="AF762" s="20">
        <f>IF(B762="","",IF(K762="","",ROUND(K762-AD762,2)))</f>
        <v>0</v>
      </c>
      <c r="AG762" s="20">
        <f>IF(B762="","",ROUND(V762-Y762-AE762-Z762,2))</f>
        <v>0</v>
      </c>
      <c r="AH762" s="33">
        <f>IF(B762="","",IF(OR(V762="",V762=0),"",AG762/V762))</f>
        <v>0</v>
      </c>
      <c r="AI762" s="33">
        <f>IF(C762="","",IFERROR(INDEX(Products!$AW$5:$AW$304,MATCH(C762,Products!$A$5:$A$304,0)),""))</f>
        <v>0</v>
      </c>
      <c r="AJ762" s="33">
        <f>IF(B762="","",IF(OR(AH762="",AI762=""),"",AH762-AI762))</f>
        <v>0</v>
      </c>
      <c r="AK762" s="41">
        <f>IF(B762="","",IFERROR(ROUND(IF(D762="",0,D762)*INDEX(Products!$X$5:$X$304,MATCH(C762,Products!$A$5:$A$304,0))/60,2),""))</f>
        <v>0</v>
      </c>
      <c r="AL762" s="20">
        <f>IF(B762="","",IF(OR(AK762="",AK762=0),"",ROUND(AG762/AK762,2)))</f>
        <v>0</v>
      </c>
      <c r="AM762" s="43">
        <f>IF(B762="","",IF(C762="","Add - which product?",IF(AG762&lt;0,"Loss - this order cost you money",IF(M762="Refunded","Refunded - check why",IF(AND(AF762&lt;&gt;"",AF762&gt;0.25),"Check - fees higher than your settings",IF(Z762&gt;1,"Check - postage is eating the margin",IF(AND(AH762&lt;&gt;"",AH762&lt;MarginWarning),"Low margin on this order","OK")))))) )</f>
        <v>0</v>
      </c>
    </row>
    <row r="763" spans="1:39">
      <c r="A763" s="38">
        <f>IF(B763="","",SalePrefix&amp;TEXT(ROW()-4,"0000"))</f>
        <v>0</v>
      </c>
      <c r="Q763" s="13">
        <f>IF(C763="","",IFERROR(INDEX(Products!$B$5:$B$304,MATCH(C763,Products!$A$5:$A$304,0)),"Bundle or deleted"))</f>
        <v>0</v>
      </c>
      <c r="R763" s="13">
        <f>IF(B763="","",TEXT(B763,"yyyy-mm"))</f>
        <v>0</v>
      </c>
      <c r="S763" s="20">
        <f>IF(C763="","",IFERROR(INDEX(Products!$AR$5:$AR$304,MATCH(C763,Products!$A$5:$A$304,0)),""))</f>
        <v>0</v>
      </c>
      <c r="T763" s="20">
        <f>IF(B763="","",IF(F763&lt;&gt;"",F763,IF(S763="",0,S763)))</f>
        <v>0</v>
      </c>
      <c r="U763" s="20">
        <f>IF(B763="","",ROUND(IF(D763="",0,D763)*T763,2))</f>
        <v>0</v>
      </c>
      <c r="V763" s="20">
        <f>IF(B763="","",ROUND(U763-IF(G763="",0,G763)-IF(L763="",0,L763),2))</f>
        <v>0</v>
      </c>
      <c r="W763" s="20">
        <f>IF(C763="","",IFERROR(INDEX(Products!$AT$5:$AT$304,MATCH(C763,Products!$A$5:$A$304,0)),""))</f>
        <v>0</v>
      </c>
      <c r="X763" s="20">
        <f>IF(C763="","",IFERROR(INDEX(Products!$AG$5:$AG$304,MATCH(C763,Products!$A$5:$A$304,0)),""))</f>
        <v>0</v>
      </c>
      <c r="Y763" s="20">
        <f>IF(B763="","",ROUND(IF(D763="",0,D763)*MAX(0,IF(W763="",0,W763)-IF(X763="",0,X763)),2))</f>
        <v>0</v>
      </c>
      <c r="Z763" s="20">
        <f>IF(B763="","",ROUND(MAX(0,IF(J763="",0,J763)-IF(I763="",0,I763)),2))</f>
        <v>0</v>
      </c>
      <c r="AA763" s="33">
        <f>IF(B763="","",IFERROR(INDEX(Channels!$S$5:$S$18,MATCH(IF(E763="",DefaultChannel,E763),Channels!$A$5:$A$18,0)),0))</f>
        <v>0</v>
      </c>
      <c r="AB763" s="20">
        <f>IF(B763="","",IFERROR(INDEX(Channels!$T$5:$T$18,MATCH(IF(E763="",DefaultChannel,E763),Channels!$A$5:$A$18,0)),0))</f>
        <v>0</v>
      </c>
      <c r="AC763" s="42">
        <f>IF(B763="","",IFERROR(INDEX(Channels!$O$5:$O$18,MATCH(IF(E763="",DefaultChannel,E763),Channels!$A$5:$A$18,0)),"No"))</f>
        <v>0</v>
      </c>
      <c r="AD763" s="20">
        <f>IF(B763="","",ROUND((V763+IF(AC763="Yes",IF(I763="",0,I763),0))*AA763+AB763,2))</f>
        <v>0</v>
      </c>
      <c r="AE763" s="20">
        <f>IF(B763="","",IF(K763&lt;&gt;"",K763,AD763))</f>
        <v>0</v>
      </c>
      <c r="AF763" s="20">
        <f>IF(B763="","",IF(K763="","",ROUND(K763-AD763,2)))</f>
        <v>0</v>
      </c>
      <c r="AG763" s="20">
        <f>IF(B763="","",ROUND(V763-Y763-AE763-Z763,2))</f>
        <v>0</v>
      </c>
      <c r="AH763" s="33">
        <f>IF(B763="","",IF(OR(V763="",V763=0),"",AG763/V763))</f>
        <v>0</v>
      </c>
      <c r="AI763" s="33">
        <f>IF(C763="","",IFERROR(INDEX(Products!$AW$5:$AW$304,MATCH(C763,Products!$A$5:$A$304,0)),""))</f>
        <v>0</v>
      </c>
      <c r="AJ763" s="33">
        <f>IF(B763="","",IF(OR(AH763="",AI763=""),"",AH763-AI763))</f>
        <v>0</v>
      </c>
      <c r="AK763" s="41">
        <f>IF(B763="","",IFERROR(ROUND(IF(D763="",0,D763)*INDEX(Products!$X$5:$X$304,MATCH(C763,Products!$A$5:$A$304,0))/60,2),""))</f>
        <v>0</v>
      </c>
      <c r="AL763" s="20">
        <f>IF(B763="","",IF(OR(AK763="",AK763=0),"",ROUND(AG763/AK763,2)))</f>
        <v>0</v>
      </c>
      <c r="AM763" s="43">
        <f>IF(B763="","",IF(C763="","Add - which product?",IF(AG763&lt;0,"Loss - this order cost you money",IF(M763="Refunded","Refunded - check why",IF(AND(AF763&lt;&gt;"",AF763&gt;0.25),"Check - fees higher than your settings",IF(Z763&gt;1,"Check - postage is eating the margin",IF(AND(AH763&lt;&gt;"",AH763&lt;MarginWarning),"Low margin on this order","OK")))))) )</f>
        <v>0</v>
      </c>
    </row>
    <row r="764" spans="1:39">
      <c r="A764" s="38">
        <f>IF(B764="","",SalePrefix&amp;TEXT(ROW()-4,"0000"))</f>
        <v>0</v>
      </c>
      <c r="Q764" s="13">
        <f>IF(C764="","",IFERROR(INDEX(Products!$B$5:$B$304,MATCH(C764,Products!$A$5:$A$304,0)),"Bundle or deleted"))</f>
        <v>0</v>
      </c>
      <c r="R764" s="13">
        <f>IF(B764="","",TEXT(B764,"yyyy-mm"))</f>
        <v>0</v>
      </c>
      <c r="S764" s="20">
        <f>IF(C764="","",IFERROR(INDEX(Products!$AR$5:$AR$304,MATCH(C764,Products!$A$5:$A$304,0)),""))</f>
        <v>0</v>
      </c>
      <c r="T764" s="20">
        <f>IF(B764="","",IF(F764&lt;&gt;"",F764,IF(S764="",0,S764)))</f>
        <v>0</v>
      </c>
      <c r="U764" s="20">
        <f>IF(B764="","",ROUND(IF(D764="",0,D764)*T764,2))</f>
        <v>0</v>
      </c>
      <c r="V764" s="20">
        <f>IF(B764="","",ROUND(U764-IF(G764="",0,G764)-IF(L764="",0,L764),2))</f>
        <v>0</v>
      </c>
      <c r="W764" s="20">
        <f>IF(C764="","",IFERROR(INDEX(Products!$AT$5:$AT$304,MATCH(C764,Products!$A$5:$A$304,0)),""))</f>
        <v>0</v>
      </c>
      <c r="X764" s="20">
        <f>IF(C764="","",IFERROR(INDEX(Products!$AG$5:$AG$304,MATCH(C764,Products!$A$5:$A$304,0)),""))</f>
        <v>0</v>
      </c>
      <c r="Y764" s="20">
        <f>IF(B764="","",ROUND(IF(D764="",0,D764)*MAX(0,IF(W764="",0,W764)-IF(X764="",0,X764)),2))</f>
        <v>0</v>
      </c>
      <c r="Z764" s="20">
        <f>IF(B764="","",ROUND(MAX(0,IF(J764="",0,J764)-IF(I764="",0,I764)),2))</f>
        <v>0</v>
      </c>
      <c r="AA764" s="33">
        <f>IF(B764="","",IFERROR(INDEX(Channels!$S$5:$S$18,MATCH(IF(E764="",DefaultChannel,E764),Channels!$A$5:$A$18,0)),0))</f>
        <v>0</v>
      </c>
      <c r="AB764" s="20">
        <f>IF(B764="","",IFERROR(INDEX(Channels!$T$5:$T$18,MATCH(IF(E764="",DefaultChannel,E764),Channels!$A$5:$A$18,0)),0))</f>
        <v>0</v>
      </c>
      <c r="AC764" s="42">
        <f>IF(B764="","",IFERROR(INDEX(Channels!$O$5:$O$18,MATCH(IF(E764="",DefaultChannel,E764),Channels!$A$5:$A$18,0)),"No"))</f>
        <v>0</v>
      </c>
      <c r="AD764" s="20">
        <f>IF(B764="","",ROUND((V764+IF(AC764="Yes",IF(I764="",0,I764),0))*AA764+AB764,2))</f>
        <v>0</v>
      </c>
      <c r="AE764" s="20">
        <f>IF(B764="","",IF(K764&lt;&gt;"",K764,AD764))</f>
        <v>0</v>
      </c>
      <c r="AF764" s="20">
        <f>IF(B764="","",IF(K764="","",ROUND(K764-AD764,2)))</f>
        <v>0</v>
      </c>
      <c r="AG764" s="20">
        <f>IF(B764="","",ROUND(V764-Y764-AE764-Z764,2))</f>
        <v>0</v>
      </c>
      <c r="AH764" s="33">
        <f>IF(B764="","",IF(OR(V764="",V764=0),"",AG764/V764))</f>
        <v>0</v>
      </c>
      <c r="AI764" s="33">
        <f>IF(C764="","",IFERROR(INDEX(Products!$AW$5:$AW$304,MATCH(C764,Products!$A$5:$A$304,0)),""))</f>
        <v>0</v>
      </c>
      <c r="AJ764" s="33">
        <f>IF(B764="","",IF(OR(AH764="",AI764=""),"",AH764-AI764))</f>
        <v>0</v>
      </c>
      <c r="AK764" s="41">
        <f>IF(B764="","",IFERROR(ROUND(IF(D764="",0,D764)*INDEX(Products!$X$5:$X$304,MATCH(C764,Products!$A$5:$A$304,0))/60,2),""))</f>
        <v>0</v>
      </c>
      <c r="AL764" s="20">
        <f>IF(B764="","",IF(OR(AK764="",AK764=0),"",ROUND(AG764/AK764,2)))</f>
        <v>0</v>
      </c>
      <c r="AM764" s="43">
        <f>IF(B764="","",IF(C764="","Add - which product?",IF(AG764&lt;0,"Loss - this order cost you money",IF(M764="Refunded","Refunded - check why",IF(AND(AF764&lt;&gt;"",AF764&gt;0.25),"Check - fees higher than your settings",IF(Z764&gt;1,"Check - postage is eating the margin",IF(AND(AH764&lt;&gt;"",AH764&lt;MarginWarning),"Low margin on this order","OK")))))) )</f>
        <v>0</v>
      </c>
    </row>
    <row r="765" spans="1:39">
      <c r="A765" s="38">
        <f>IF(B765="","",SalePrefix&amp;TEXT(ROW()-4,"0000"))</f>
        <v>0</v>
      </c>
      <c r="Q765" s="13">
        <f>IF(C765="","",IFERROR(INDEX(Products!$B$5:$B$304,MATCH(C765,Products!$A$5:$A$304,0)),"Bundle or deleted"))</f>
        <v>0</v>
      </c>
      <c r="R765" s="13">
        <f>IF(B765="","",TEXT(B765,"yyyy-mm"))</f>
        <v>0</v>
      </c>
      <c r="S765" s="20">
        <f>IF(C765="","",IFERROR(INDEX(Products!$AR$5:$AR$304,MATCH(C765,Products!$A$5:$A$304,0)),""))</f>
        <v>0</v>
      </c>
      <c r="T765" s="20">
        <f>IF(B765="","",IF(F765&lt;&gt;"",F765,IF(S765="",0,S765)))</f>
        <v>0</v>
      </c>
      <c r="U765" s="20">
        <f>IF(B765="","",ROUND(IF(D765="",0,D765)*T765,2))</f>
        <v>0</v>
      </c>
      <c r="V765" s="20">
        <f>IF(B765="","",ROUND(U765-IF(G765="",0,G765)-IF(L765="",0,L765),2))</f>
        <v>0</v>
      </c>
      <c r="W765" s="20">
        <f>IF(C765="","",IFERROR(INDEX(Products!$AT$5:$AT$304,MATCH(C765,Products!$A$5:$A$304,0)),""))</f>
        <v>0</v>
      </c>
      <c r="X765" s="20">
        <f>IF(C765="","",IFERROR(INDEX(Products!$AG$5:$AG$304,MATCH(C765,Products!$A$5:$A$304,0)),""))</f>
        <v>0</v>
      </c>
      <c r="Y765" s="20">
        <f>IF(B765="","",ROUND(IF(D765="",0,D765)*MAX(0,IF(W765="",0,W765)-IF(X765="",0,X765)),2))</f>
        <v>0</v>
      </c>
      <c r="Z765" s="20">
        <f>IF(B765="","",ROUND(MAX(0,IF(J765="",0,J765)-IF(I765="",0,I765)),2))</f>
        <v>0</v>
      </c>
      <c r="AA765" s="33">
        <f>IF(B765="","",IFERROR(INDEX(Channels!$S$5:$S$18,MATCH(IF(E765="",DefaultChannel,E765),Channels!$A$5:$A$18,0)),0))</f>
        <v>0</v>
      </c>
      <c r="AB765" s="20">
        <f>IF(B765="","",IFERROR(INDEX(Channels!$T$5:$T$18,MATCH(IF(E765="",DefaultChannel,E765),Channels!$A$5:$A$18,0)),0))</f>
        <v>0</v>
      </c>
      <c r="AC765" s="42">
        <f>IF(B765="","",IFERROR(INDEX(Channels!$O$5:$O$18,MATCH(IF(E765="",DefaultChannel,E765),Channels!$A$5:$A$18,0)),"No"))</f>
        <v>0</v>
      </c>
      <c r="AD765" s="20">
        <f>IF(B765="","",ROUND((V765+IF(AC765="Yes",IF(I765="",0,I765),0))*AA765+AB765,2))</f>
        <v>0</v>
      </c>
      <c r="AE765" s="20">
        <f>IF(B765="","",IF(K765&lt;&gt;"",K765,AD765))</f>
        <v>0</v>
      </c>
      <c r="AF765" s="20">
        <f>IF(B765="","",IF(K765="","",ROUND(K765-AD765,2)))</f>
        <v>0</v>
      </c>
      <c r="AG765" s="20">
        <f>IF(B765="","",ROUND(V765-Y765-AE765-Z765,2))</f>
        <v>0</v>
      </c>
      <c r="AH765" s="33">
        <f>IF(B765="","",IF(OR(V765="",V765=0),"",AG765/V765))</f>
        <v>0</v>
      </c>
      <c r="AI765" s="33">
        <f>IF(C765="","",IFERROR(INDEX(Products!$AW$5:$AW$304,MATCH(C765,Products!$A$5:$A$304,0)),""))</f>
        <v>0</v>
      </c>
      <c r="AJ765" s="33">
        <f>IF(B765="","",IF(OR(AH765="",AI765=""),"",AH765-AI765))</f>
        <v>0</v>
      </c>
      <c r="AK765" s="41">
        <f>IF(B765="","",IFERROR(ROUND(IF(D765="",0,D765)*INDEX(Products!$X$5:$X$304,MATCH(C765,Products!$A$5:$A$304,0))/60,2),""))</f>
        <v>0</v>
      </c>
      <c r="AL765" s="20">
        <f>IF(B765="","",IF(OR(AK765="",AK765=0),"",ROUND(AG765/AK765,2)))</f>
        <v>0</v>
      </c>
      <c r="AM765" s="43">
        <f>IF(B765="","",IF(C765="","Add - which product?",IF(AG765&lt;0,"Loss - this order cost you money",IF(M765="Refunded","Refunded - check why",IF(AND(AF765&lt;&gt;"",AF765&gt;0.25),"Check - fees higher than your settings",IF(Z765&gt;1,"Check - postage is eating the margin",IF(AND(AH765&lt;&gt;"",AH765&lt;MarginWarning),"Low margin on this order","OK")))))) )</f>
        <v>0</v>
      </c>
    </row>
    <row r="766" spans="1:39">
      <c r="A766" s="38">
        <f>IF(B766="","",SalePrefix&amp;TEXT(ROW()-4,"0000"))</f>
        <v>0</v>
      </c>
      <c r="Q766" s="13">
        <f>IF(C766="","",IFERROR(INDEX(Products!$B$5:$B$304,MATCH(C766,Products!$A$5:$A$304,0)),"Bundle or deleted"))</f>
        <v>0</v>
      </c>
      <c r="R766" s="13">
        <f>IF(B766="","",TEXT(B766,"yyyy-mm"))</f>
        <v>0</v>
      </c>
      <c r="S766" s="20">
        <f>IF(C766="","",IFERROR(INDEX(Products!$AR$5:$AR$304,MATCH(C766,Products!$A$5:$A$304,0)),""))</f>
        <v>0</v>
      </c>
      <c r="T766" s="20">
        <f>IF(B766="","",IF(F766&lt;&gt;"",F766,IF(S766="",0,S766)))</f>
        <v>0</v>
      </c>
      <c r="U766" s="20">
        <f>IF(B766="","",ROUND(IF(D766="",0,D766)*T766,2))</f>
        <v>0</v>
      </c>
      <c r="V766" s="20">
        <f>IF(B766="","",ROUND(U766-IF(G766="",0,G766)-IF(L766="",0,L766),2))</f>
        <v>0</v>
      </c>
      <c r="W766" s="20">
        <f>IF(C766="","",IFERROR(INDEX(Products!$AT$5:$AT$304,MATCH(C766,Products!$A$5:$A$304,0)),""))</f>
        <v>0</v>
      </c>
      <c r="X766" s="20">
        <f>IF(C766="","",IFERROR(INDEX(Products!$AG$5:$AG$304,MATCH(C766,Products!$A$5:$A$304,0)),""))</f>
        <v>0</v>
      </c>
      <c r="Y766" s="20">
        <f>IF(B766="","",ROUND(IF(D766="",0,D766)*MAX(0,IF(W766="",0,W766)-IF(X766="",0,X766)),2))</f>
        <v>0</v>
      </c>
      <c r="Z766" s="20">
        <f>IF(B766="","",ROUND(MAX(0,IF(J766="",0,J766)-IF(I766="",0,I766)),2))</f>
        <v>0</v>
      </c>
      <c r="AA766" s="33">
        <f>IF(B766="","",IFERROR(INDEX(Channels!$S$5:$S$18,MATCH(IF(E766="",DefaultChannel,E766),Channels!$A$5:$A$18,0)),0))</f>
        <v>0</v>
      </c>
      <c r="AB766" s="20">
        <f>IF(B766="","",IFERROR(INDEX(Channels!$T$5:$T$18,MATCH(IF(E766="",DefaultChannel,E766),Channels!$A$5:$A$18,0)),0))</f>
        <v>0</v>
      </c>
      <c r="AC766" s="42">
        <f>IF(B766="","",IFERROR(INDEX(Channels!$O$5:$O$18,MATCH(IF(E766="",DefaultChannel,E766),Channels!$A$5:$A$18,0)),"No"))</f>
        <v>0</v>
      </c>
      <c r="AD766" s="20">
        <f>IF(B766="","",ROUND((V766+IF(AC766="Yes",IF(I766="",0,I766),0))*AA766+AB766,2))</f>
        <v>0</v>
      </c>
      <c r="AE766" s="20">
        <f>IF(B766="","",IF(K766&lt;&gt;"",K766,AD766))</f>
        <v>0</v>
      </c>
      <c r="AF766" s="20">
        <f>IF(B766="","",IF(K766="","",ROUND(K766-AD766,2)))</f>
        <v>0</v>
      </c>
      <c r="AG766" s="20">
        <f>IF(B766="","",ROUND(V766-Y766-AE766-Z766,2))</f>
        <v>0</v>
      </c>
      <c r="AH766" s="33">
        <f>IF(B766="","",IF(OR(V766="",V766=0),"",AG766/V766))</f>
        <v>0</v>
      </c>
      <c r="AI766" s="33">
        <f>IF(C766="","",IFERROR(INDEX(Products!$AW$5:$AW$304,MATCH(C766,Products!$A$5:$A$304,0)),""))</f>
        <v>0</v>
      </c>
      <c r="AJ766" s="33">
        <f>IF(B766="","",IF(OR(AH766="",AI766=""),"",AH766-AI766))</f>
        <v>0</v>
      </c>
      <c r="AK766" s="41">
        <f>IF(B766="","",IFERROR(ROUND(IF(D766="",0,D766)*INDEX(Products!$X$5:$X$304,MATCH(C766,Products!$A$5:$A$304,0))/60,2),""))</f>
        <v>0</v>
      </c>
      <c r="AL766" s="20">
        <f>IF(B766="","",IF(OR(AK766="",AK766=0),"",ROUND(AG766/AK766,2)))</f>
        <v>0</v>
      </c>
      <c r="AM766" s="43">
        <f>IF(B766="","",IF(C766="","Add - which product?",IF(AG766&lt;0,"Loss - this order cost you money",IF(M766="Refunded","Refunded - check why",IF(AND(AF766&lt;&gt;"",AF766&gt;0.25),"Check - fees higher than your settings",IF(Z766&gt;1,"Check - postage is eating the margin",IF(AND(AH766&lt;&gt;"",AH766&lt;MarginWarning),"Low margin on this order","OK")))))) )</f>
        <v>0</v>
      </c>
    </row>
    <row r="767" spans="1:39">
      <c r="A767" s="38">
        <f>IF(B767="","",SalePrefix&amp;TEXT(ROW()-4,"0000"))</f>
        <v>0</v>
      </c>
      <c r="Q767" s="13">
        <f>IF(C767="","",IFERROR(INDEX(Products!$B$5:$B$304,MATCH(C767,Products!$A$5:$A$304,0)),"Bundle or deleted"))</f>
        <v>0</v>
      </c>
      <c r="R767" s="13">
        <f>IF(B767="","",TEXT(B767,"yyyy-mm"))</f>
        <v>0</v>
      </c>
      <c r="S767" s="20">
        <f>IF(C767="","",IFERROR(INDEX(Products!$AR$5:$AR$304,MATCH(C767,Products!$A$5:$A$304,0)),""))</f>
        <v>0</v>
      </c>
      <c r="T767" s="20">
        <f>IF(B767="","",IF(F767&lt;&gt;"",F767,IF(S767="",0,S767)))</f>
        <v>0</v>
      </c>
      <c r="U767" s="20">
        <f>IF(B767="","",ROUND(IF(D767="",0,D767)*T767,2))</f>
        <v>0</v>
      </c>
      <c r="V767" s="20">
        <f>IF(B767="","",ROUND(U767-IF(G767="",0,G767)-IF(L767="",0,L767),2))</f>
        <v>0</v>
      </c>
      <c r="W767" s="20">
        <f>IF(C767="","",IFERROR(INDEX(Products!$AT$5:$AT$304,MATCH(C767,Products!$A$5:$A$304,0)),""))</f>
        <v>0</v>
      </c>
      <c r="X767" s="20">
        <f>IF(C767="","",IFERROR(INDEX(Products!$AG$5:$AG$304,MATCH(C767,Products!$A$5:$A$304,0)),""))</f>
        <v>0</v>
      </c>
      <c r="Y767" s="20">
        <f>IF(B767="","",ROUND(IF(D767="",0,D767)*MAX(0,IF(W767="",0,W767)-IF(X767="",0,X767)),2))</f>
        <v>0</v>
      </c>
      <c r="Z767" s="20">
        <f>IF(B767="","",ROUND(MAX(0,IF(J767="",0,J767)-IF(I767="",0,I767)),2))</f>
        <v>0</v>
      </c>
      <c r="AA767" s="33">
        <f>IF(B767="","",IFERROR(INDEX(Channels!$S$5:$S$18,MATCH(IF(E767="",DefaultChannel,E767),Channels!$A$5:$A$18,0)),0))</f>
        <v>0</v>
      </c>
      <c r="AB767" s="20">
        <f>IF(B767="","",IFERROR(INDEX(Channels!$T$5:$T$18,MATCH(IF(E767="",DefaultChannel,E767),Channels!$A$5:$A$18,0)),0))</f>
        <v>0</v>
      </c>
      <c r="AC767" s="42">
        <f>IF(B767="","",IFERROR(INDEX(Channels!$O$5:$O$18,MATCH(IF(E767="",DefaultChannel,E767),Channels!$A$5:$A$18,0)),"No"))</f>
        <v>0</v>
      </c>
      <c r="AD767" s="20">
        <f>IF(B767="","",ROUND((V767+IF(AC767="Yes",IF(I767="",0,I767),0))*AA767+AB767,2))</f>
        <v>0</v>
      </c>
      <c r="AE767" s="20">
        <f>IF(B767="","",IF(K767&lt;&gt;"",K767,AD767))</f>
        <v>0</v>
      </c>
      <c r="AF767" s="20">
        <f>IF(B767="","",IF(K767="","",ROUND(K767-AD767,2)))</f>
        <v>0</v>
      </c>
      <c r="AG767" s="20">
        <f>IF(B767="","",ROUND(V767-Y767-AE767-Z767,2))</f>
        <v>0</v>
      </c>
      <c r="AH767" s="33">
        <f>IF(B767="","",IF(OR(V767="",V767=0),"",AG767/V767))</f>
        <v>0</v>
      </c>
      <c r="AI767" s="33">
        <f>IF(C767="","",IFERROR(INDEX(Products!$AW$5:$AW$304,MATCH(C767,Products!$A$5:$A$304,0)),""))</f>
        <v>0</v>
      </c>
      <c r="AJ767" s="33">
        <f>IF(B767="","",IF(OR(AH767="",AI767=""),"",AH767-AI767))</f>
        <v>0</v>
      </c>
      <c r="AK767" s="41">
        <f>IF(B767="","",IFERROR(ROUND(IF(D767="",0,D767)*INDEX(Products!$X$5:$X$304,MATCH(C767,Products!$A$5:$A$304,0))/60,2),""))</f>
        <v>0</v>
      </c>
      <c r="AL767" s="20">
        <f>IF(B767="","",IF(OR(AK767="",AK767=0),"",ROUND(AG767/AK767,2)))</f>
        <v>0</v>
      </c>
      <c r="AM767" s="43">
        <f>IF(B767="","",IF(C767="","Add - which product?",IF(AG767&lt;0,"Loss - this order cost you money",IF(M767="Refunded","Refunded - check why",IF(AND(AF767&lt;&gt;"",AF767&gt;0.25),"Check - fees higher than your settings",IF(Z767&gt;1,"Check - postage is eating the margin",IF(AND(AH767&lt;&gt;"",AH767&lt;MarginWarning),"Low margin on this order","OK")))))) )</f>
        <v>0</v>
      </c>
    </row>
    <row r="768" spans="1:39">
      <c r="A768" s="38">
        <f>IF(B768="","",SalePrefix&amp;TEXT(ROW()-4,"0000"))</f>
        <v>0</v>
      </c>
      <c r="Q768" s="13">
        <f>IF(C768="","",IFERROR(INDEX(Products!$B$5:$B$304,MATCH(C768,Products!$A$5:$A$304,0)),"Bundle or deleted"))</f>
        <v>0</v>
      </c>
      <c r="R768" s="13">
        <f>IF(B768="","",TEXT(B768,"yyyy-mm"))</f>
        <v>0</v>
      </c>
      <c r="S768" s="20">
        <f>IF(C768="","",IFERROR(INDEX(Products!$AR$5:$AR$304,MATCH(C768,Products!$A$5:$A$304,0)),""))</f>
        <v>0</v>
      </c>
      <c r="T768" s="20">
        <f>IF(B768="","",IF(F768&lt;&gt;"",F768,IF(S768="",0,S768)))</f>
        <v>0</v>
      </c>
      <c r="U768" s="20">
        <f>IF(B768="","",ROUND(IF(D768="",0,D768)*T768,2))</f>
        <v>0</v>
      </c>
      <c r="V768" s="20">
        <f>IF(B768="","",ROUND(U768-IF(G768="",0,G768)-IF(L768="",0,L768),2))</f>
        <v>0</v>
      </c>
      <c r="W768" s="20">
        <f>IF(C768="","",IFERROR(INDEX(Products!$AT$5:$AT$304,MATCH(C768,Products!$A$5:$A$304,0)),""))</f>
        <v>0</v>
      </c>
      <c r="X768" s="20">
        <f>IF(C768="","",IFERROR(INDEX(Products!$AG$5:$AG$304,MATCH(C768,Products!$A$5:$A$304,0)),""))</f>
        <v>0</v>
      </c>
      <c r="Y768" s="20">
        <f>IF(B768="","",ROUND(IF(D768="",0,D768)*MAX(0,IF(W768="",0,W768)-IF(X768="",0,X768)),2))</f>
        <v>0</v>
      </c>
      <c r="Z768" s="20">
        <f>IF(B768="","",ROUND(MAX(0,IF(J768="",0,J768)-IF(I768="",0,I768)),2))</f>
        <v>0</v>
      </c>
      <c r="AA768" s="33">
        <f>IF(B768="","",IFERROR(INDEX(Channels!$S$5:$S$18,MATCH(IF(E768="",DefaultChannel,E768),Channels!$A$5:$A$18,0)),0))</f>
        <v>0</v>
      </c>
      <c r="AB768" s="20">
        <f>IF(B768="","",IFERROR(INDEX(Channels!$T$5:$T$18,MATCH(IF(E768="",DefaultChannel,E768),Channels!$A$5:$A$18,0)),0))</f>
        <v>0</v>
      </c>
      <c r="AC768" s="42">
        <f>IF(B768="","",IFERROR(INDEX(Channels!$O$5:$O$18,MATCH(IF(E768="",DefaultChannel,E768),Channels!$A$5:$A$18,0)),"No"))</f>
        <v>0</v>
      </c>
      <c r="AD768" s="20">
        <f>IF(B768="","",ROUND((V768+IF(AC768="Yes",IF(I768="",0,I768),0))*AA768+AB768,2))</f>
        <v>0</v>
      </c>
      <c r="AE768" s="20">
        <f>IF(B768="","",IF(K768&lt;&gt;"",K768,AD768))</f>
        <v>0</v>
      </c>
      <c r="AF768" s="20">
        <f>IF(B768="","",IF(K768="","",ROUND(K768-AD768,2)))</f>
        <v>0</v>
      </c>
      <c r="AG768" s="20">
        <f>IF(B768="","",ROUND(V768-Y768-AE768-Z768,2))</f>
        <v>0</v>
      </c>
      <c r="AH768" s="33">
        <f>IF(B768="","",IF(OR(V768="",V768=0),"",AG768/V768))</f>
        <v>0</v>
      </c>
      <c r="AI768" s="33">
        <f>IF(C768="","",IFERROR(INDEX(Products!$AW$5:$AW$304,MATCH(C768,Products!$A$5:$A$304,0)),""))</f>
        <v>0</v>
      </c>
      <c r="AJ768" s="33">
        <f>IF(B768="","",IF(OR(AH768="",AI768=""),"",AH768-AI768))</f>
        <v>0</v>
      </c>
      <c r="AK768" s="41">
        <f>IF(B768="","",IFERROR(ROUND(IF(D768="",0,D768)*INDEX(Products!$X$5:$X$304,MATCH(C768,Products!$A$5:$A$304,0))/60,2),""))</f>
        <v>0</v>
      </c>
      <c r="AL768" s="20">
        <f>IF(B768="","",IF(OR(AK768="",AK768=0),"",ROUND(AG768/AK768,2)))</f>
        <v>0</v>
      </c>
      <c r="AM768" s="43">
        <f>IF(B768="","",IF(C768="","Add - which product?",IF(AG768&lt;0,"Loss - this order cost you money",IF(M768="Refunded","Refunded - check why",IF(AND(AF768&lt;&gt;"",AF768&gt;0.25),"Check - fees higher than your settings",IF(Z768&gt;1,"Check - postage is eating the margin",IF(AND(AH768&lt;&gt;"",AH768&lt;MarginWarning),"Low margin on this order","OK")))))) )</f>
        <v>0</v>
      </c>
    </row>
    <row r="769" spans="1:39">
      <c r="A769" s="38">
        <f>IF(B769="","",SalePrefix&amp;TEXT(ROW()-4,"0000"))</f>
        <v>0</v>
      </c>
      <c r="Q769" s="13">
        <f>IF(C769="","",IFERROR(INDEX(Products!$B$5:$B$304,MATCH(C769,Products!$A$5:$A$304,0)),"Bundle or deleted"))</f>
        <v>0</v>
      </c>
      <c r="R769" s="13">
        <f>IF(B769="","",TEXT(B769,"yyyy-mm"))</f>
        <v>0</v>
      </c>
      <c r="S769" s="20">
        <f>IF(C769="","",IFERROR(INDEX(Products!$AR$5:$AR$304,MATCH(C769,Products!$A$5:$A$304,0)),""))</f>
        <v>0</v>
      </c>
      <c r="T769" s="20">
        <f>IF(B769="","",IF(F769&lt;&gt;"",F769,IF(S769="",0,S769)))</f>
        <v>0</v>
      </c>
      <c r="U769" s="20">
        <f>IF(B769="","",ROUND(IF(D769="",0,D769)*T769,2))</f>
        <v>0</v>
      </c>
      <c r="V769" s="20">
        <f>IF(B769="","",ROUND(U769-IF(G769="",0,G769)-IF(L769="",0,L769),2))</f>
        <v>0</v>
      </c>
      <c r="W769" s="20">
        <f>IF(C769="","",IFERROR(INDEX(Products!$AT$5:$AT$304,MATCH(C769,Products!$A$5:$A$304,0)),""))</f>
        <v>0</v>
      </c>
      <c r="X769" s="20">
        <f>IF(C769="","",IFERROR(INDEX(Products!$AG$5:$AG$304,MATCH(C769,Products!$A$5:$A$304,0)),""))</f>
        <v>0</v>
      </c>
      <c r="Y769" s="20">
        <f>IF(B769="","",ROUND(IF(D769="",0,D769)*MAX(0,IF(W769="",0,W769)-IF(X769="",0,X769)),2))</f>
        <v>0</v>
      </c>
      <c r="Z769" s="20">
        <f>IF(B769="","",ROUND(MAX(0,IF(J769="",0,J769)-IF(I769="",0,I769)),2))</f>
        <v>0</v>
      </c>
      <c r="AA769" s="33">
        <f>IF(B769="","",IFERROR(INDEX(Channels!$S$5:$S$18,MATCH(IF(E769="",DefaultChannel,E769),Channels!$A$5:$A$18,0)),0))</f>
        <v>0</v>
      </c>
      <c r="AB769" s="20">
        <f>IF(B769="","",IFERROR(INDEX(Channels!$T$5:$T$18,MATCH(IF(E769="",DefaultChannel,E769),Channels!$A$5:$A$18,0)),0))</f>
        <v>0</v>
      </c>
      <c r="AC769" s="42">
        <f>IF(B769="","",IFERROR(INDEX(Channels!$O$5:$O$18,MATCH(IF(E769="",DefaultChannel,E769),Channels!$A$5:$A$18,0)),"No"))</f>
        <v>0</v>
      </c>
      <c r="AD769" s="20">
        <f>IF(B769="","",ROUND((V769+IF(AC769="Yes",IF(I769="",0,I769),0))*AA769+AB769,2))</f>
        <v>0</v>
      </c>
      <c r="AE769" s="20">
        <f>IF(B769="","",IF(K769&lt;&gt;"",K769,AD769))</f>
        <v>0</v>
      </c>
      <c r="AF769" s="20">
        <f>IF(B769="","",IF(K769="","",ROUND(K769-AD769,2)))</f>
        <v>0</v>
      </c>
      <c r="AG769" s="20">
        <f>IF(B769="","",ROUND(V769-Y769-AE769-Z769,2))</f>
        <v>0</v>
      </c>
      <c r="AH769" s="33">
        <f>IF(B769="","",IF(OR(V769="",V769=0),"",AG769/V769))</f>
        <v>0</v>
      </c>
      <c r="AI769" s="33">
        <f>IF(C769="","",IFERROR(INDEX(Products!$AW$5:$AW$304,MATCH(C769,Products!$A$5:$A$304,0)),""))</f>
        <v>0</v>
      </c>
      <c r="AJ769" s="33">
        <f>IF(B769="","",IF(OR(AH769="",AI769=""),"",AH769-AI769))</f>
        <v>0</v>
      </c>
      <c r="AK769" s="41">
        <f>IF(B769="","",IFERROR(ROUND(IF(D769="",0,D769)*INDEX(Products!$X$5:$X$304,MATCH(C769,Products!$A$5:$A$304,0))/60,2),""))</f>
        <v>0</v>
      </c>
      <c r="AL769" s="20">
        <f>IF(B769="","",IF(OR(AK769="",AK769=0),"",ROUND(AG769/AK769,2)))</f>
        <v>0</v>
      </c>
      <c r="AM769" s="43">
        <f>IF(B769="","",IF(C769="","Add - which product?",IF(AG769&lt;0,"Loss - this order cost you money",IF(M769="Refunded","Refunded - check why",IF(AND(AF769&lt;&gt;"",AF769&gt;0.25),"Check - fees higher than your settings",IF(Z769&gt;1,"Check - postage is eating the margin",IF(AND(AH769&lt;&gt;"",AH769&lt;MarginWarning),"Low margin on this order","OK")))))) )</f>
        <v>0</v>
      </c>
    </row>
    <row r="770" spans="1:39">
      <c r="A770" s="38">
        <f>IF(B770="","",SalePrefix&amp;TEXT(ROW()-4,"0000"))</f>
        <v>0</v>
      </c>
      <c r="Q770" s="13">
        <f>IF(C770="","",IFERROR(INDEX(Products!$B$5:$B$304,MATCH(C770,Products!$A$5:$A$304,0)),"Bundle or deleted"))</f>
        <v>0</v>
      </c>
      <c r="R770" s="13">
        <f>IF(B770="","",TEXT(B770,"yyyy-mm"))</f>
        <v>0</v>
      </c>
      <c r="S770" s="20">
        <f>IF(C770="","",IFERROR(INDEX(Products!$AR$5:$AR$304,MATCH(C770,Products!$A$5:$A$304,0)),""))</f>
        <v>0</v>
      </c>
      <c r="T770" s="20">
        <f>IF(B770="","",IF(F770&lt;&gt;"",F770,IF(S770="",0,S770)))</f>
        <v>0</v>
      </c>
      <c r="U770" s="20">
        <f>IF(B770="","",ROUND(IF(D770="",0,D770)*T770,2))</f>
        <v>0</v>
      </c>
      <c r="V770" s="20">
        <f>IF(B770="","",ROUND(U770-IF(G770="",0,G770)-IF(L770="",0,L770),2))</f>
        <v>0</v>
      </c>
      <c r="W770" s="20">
        <f>IF(C770="","",IFERROR(INDEX(Products!$AT$5:$AT$304,MATCH(C770,Products!$A$5:$A$304,0)),""))</f>
        <v>0</v>
      </c>
      <c r="X770" s="20">
        <f>IF(C770="","",IFERROR(INDEX(Products!$AG$5:$AG$304,MATCH(C770,Products!$A$5:$A$304,0)),""))</f>
        <v>0</v>
      </c>
      <c r="Y770" s="20">
        <f>IF(B770="","",ROUND(IF(D770="",0,D770)*MAX(0,IF(W770="",0,W770)-IF(X770="",0,X770)),2))</f>
        <v>0</v>
      </c>
      <c r="Z770" s="20">
        <f>IF(B770="","",ROUND(MAX(0,IF(J770="",0,J770)-IF(I770="",0,I770)),2))</f>
        <v>0</v>
      </c>
      <c r="AA770" s="33">
        <f>IF(B770="","",IFERROR(INDEX(Channels!$S$5:$S$18,MATCH(IF(E770="",DefaultChannel,E770),Channels!$A$5:$A$18,0)),0))</f>
        <v>0</v>
      </c>
      <c r="AB770" s="20">
        <f>IF(B770="","",IFERROR(INDEX(Channels!$T$5:$T$18,MATCH(IF(E770="",DefaultChannel,E770),Channels!$A$5:$A$18,0)),0))</f>
        <v>0</v>
      </c>
      <c r="AC770" s="42">
        <f>IF(B770="","",IFERROR(INDEX(Channels!$O$5:$O$18,MATCH(IF(E770="",DefaultChannel,E770),Channels!$A$5:$A$18,0)),"No"))</f>
        <v>0</v>
      </c>
      <c r="AD770" s="20">
        <f>IF(B770="","",ROUND((V770+IF(AC770="Yes",IF(I770="",0,I770),0))*AA770+AB770,2))</f>
        <v>0</v>
      </c>
      <c r="AE770" s="20">
        <f>IF(B770="","",IF(K770&lt;&gt;"",K770,AD770))</f>
        <v>0</v>
      </c>
      <c r="AF770" s="20">
        <f>IF(B770="","",IF(K770="","",ROUND(K770-AD770,2)))</f>
        <v>0</v>
      </c>
      <c r="AG770" s="20">
        <f>IF(B770="","",ROUND(V770-Y770-AE770-Z770,2))</f>
        <v>0</v>
      </c>
      <c r="AH770" s="33">
        <f>IF(B770="","",IF(OR(V770="",V770=0),"",AG770/V770))</f>
        <v>0</v>
      </c>
      <c r="AI770" s="33">
        <f>IF(C770="","",IFERROR(INDEX(Products!$AW$5:$AW$304,MATCH(C770,Products!$A$5:$A$304,0)),""))</f>
        <v>0</v>
      </c>
      <c r="AJ770" s="33">
        <f>IF(B770="","",IF(OR(AH770="",AI770=""),"",AH770-AI770))</f>
        <v>0</v>
      </c>
      <c r="AK770" s="41">
        <f>IF(B770="","",IFERROR(ROUND(IF(D770="",0,D770)*INDEX(Products!$X$5:$X$304,MATCH(C770,Products!$A$5:$A$304,0))/60,2),""))</f>
        <v>0</v>
      </c>
      <c r="AL770" s="20">
        <f>IF(B770="","",IF(OR(AK770="",AK770=0),"",ROUND(AG770/AK770,2)))</f>
        <v>0</v>
      </c>
      <c r="AM770" s="43">
        <f>IF(B770="","",IF(C770="","Add - which product?",IF(AG770&lt;0,"Loss - this order cost you money",IF(M770="Refunded","Refunded - check why",IF(AND(AF770&lt;&gt;"",AF770&gt;0.25),"Check - fees higher than your settings",IF(Z770&gt;1,"Check - postage is eating the margin",IF(AND(AH770&lt;&gt;"",AH770&lt;MarginWarning),"Low margin on this order","OK")))))) )</f>
        <v>0</v>
      </c>
    </row>
    <row r="771" spans="1:39">
      <c r="A771" s="38">
        <f>IF(B771="","",SalePrefix&amp;TEXT(ROW()-4,"0000"))</f>
        <v>0</v>
      </c>
      <c r="Q771" s="13">
        <f>IF(C771="","",IFERROR(INDEX(Products!$B$5:$B$304,MATCH(C771,Products!$A$5:$A$304,0)),"Bundle or deleted"))</f>
        <v>0</v>
      </c>
      <c r="R771" s="13">
        <f>IF(B771="","",TEXT(B771,"yyyy-mm"))</f>
        <v>0</v>
      </c>
      <c r="S771" s="20">
        <f>IF(C771="","",IFERROR(INDEX(Products!$AR$5:$AR$304,MATCH(C771,Products!$A$5:$A$304,0)),""))</f>
        <v>0</v>
      </c>
      <c r="T771" s="20">
        <f>IF(B771="","",IF(F771&lt;&gt;"",F771,IF(S771="",0,S771)))</f>
        <v>0</v>
      </c>
      <c r="U771" s="20">
        <f>IF(B771="","",ROUND(IF(D771="",0,D771)*T771,2))</f>
        <v>0</v>
      </c>
      <c r="V771" s="20">
        <f>IF(B771="","",ROUND(U771-IF(G771="",0,G771)-IF(L771="",0,L771),2))</f>
        <v>0</v>
      </c>
      <c r="W771" s="20">
        <f>IF(C771="","",IFERROR(INDEX(Products!$AT$5:$AT$304,MATCH(C771,Products!$A$5:$A$304,0)),""))</f>
        <v>0</v>
      </c>
      <c r="X771" s="20">
        <f>IF(C771="","",IFERROR(INDEX(Products!$AG$5:$AG$304,MATCH(C771,Products!$A$5:$A$304,0)),""))</f>
        <v>0</v>
      </c>
      <c r="Y771" s="20">
        <f>IF(B771="","",ROUND(IF(D771="",0,D771)*MAX(0,IF(W771="",0,W771)-IF(X771="",0,X771)),2))</f>
        <v>0</v>
      </c>
      <c r="Z771" s="20">
        <f>IF(B771="","",ROUND(MAX(0,IF(J771="",0,J771)-IF(I771="",0,I771)),2))</f>
        <v>0</v>
      </c>
      <c r="AA771" s="33">
        <f>IF(B771="","",IFERROR(INDEX(Channels!$S$5:$S$18,MATCH(IF(E771="",DefaultChannel,E771),Channels!$A$5:$A$18,0)),0))</f>
        <v>0</v>
      </c>
      <c r="AB771" s="20">
        <f>IF(B771="","",IFERROR(INDEX(Channels!$T$5:$T$18,MATCH(IF(E771="",DefaultChannel,E771),Channels!$A$5:$A$18,0)),0))</f>
        <v>0</v>
      </c>
      <c r="AC771" s="42">
        <f>IF(B771="","",IFERROR(INDEX(Channels!$O$5:$O$18,MATCH(IF(E771="",DefaultChannel,E771),Channels!$A$5:$A$18,0)),"No"))</f>
        <v>0</v>
      </c>
      <c r="AD771" s="20">
        <f>IF(B771="","",ROUND((V771+IF(AC771="Yes",IF(I771="",0,I771),0))*AA771+AB771,2))</f>
        <v>0</v>
      </c>
      <c r="AE771" s="20">
        <f>IF(B771="","",IF(K771&lt;&gt;"",K771,AD771))</f>
        <v>0</v>
      </c>
      <c r="AF771" s="20">
        <f>IF(B771="","",IF(K771="","",ROUND(K771-AD771,2)))</f>
        <v>0</v>
      </c>
      <c r="AG771" s="20">
        <f>IF(B771="","",ROUND(V771-Y771-AE771-Z771,2))</f>
        <v>0</v>
      </c>
      <c r="AH771" s="33">
        <f>IF(B771="","",IF(OR(V771="",V771=0),"",AG771/V771))</f>
        <v>0</v>
      </c>
      <c r="AI771" s="33">
        <f>IF(C771="","",IFERROR(INDEX(Products!$AW$5:$AW$304,MATCH(C771,Products!$A$5:$A$304,0)),""))</f>
        <v>0</v>
      </c>
      <c r="AJ771" s="33">
        <f>IF(B771="","",IF(OR(AH771="",AI771=""),"",AH771-AI771))</f>
        <v>0</v>
      </c>
      <c r="AK771" s="41">
        <f>IF(B771="","",IFERROR(ROUND(IF(D771="",0,D771)*INDEX(Products!$X$5:$X$304,MATCH(C771,Products!$A$5:$A$304,0))/60,2),""))</f>
        <v>0</v>
      </c>
      <c r="AL771" s="20">
        <f>IF(B771="","",IF(OR(AK771="",AK771=0),"",ROUND(AG771/AK771,2)))</f>
        <v>0</v>
      </c>
      <c r="AM771" s="43">
        <f>IF(B771="","",IF(C771="","Add - which product?",IF(AG771&lt;0,"Loss - this order cost you money",IF(M771="Refunded","Refunded - check why",IF(AND(AF771&lt;&gt;"",AF771&gt;0.25),"Check - fees higher than your settings",IF(Z771&gt;1,"Check - postage is eating the margin",IF(AND(AH771&lt;&gt;"",AH771&lt;MarginWarning),"Low margin on this order","OK")))))) )</f>
        <v>0</v>
      </c>
    </row>
    <row r="772" spans="1:39">
      <c r="A772" s="38">
        <f>IF(B772="","",SalePrefix&amp;TEXT(ROW()-4,"0000"))</f>
        <v>0</v>
      </c>
      <c r="Q772" s="13">
        <f>IF(C772="","",IFERROR(INDEX(Products!$B$5:$B$304,MATCH(C772,Products!$A$5:$A$304,0)),"Bundle or deleted"))</f>
        <v>0</v>
      </c>
      <c r="R772" s="13">
        <f>IF(B772="","",TEXT(B772,"yyyy-mm"))</f>
        <v>0</v>
      </c>
      <c r="S772" s="20">
        <f>IF(C772="","",IFERROR(INDEX(Products!$AR$5:$AR$304,MATCH(C772,Products!$A$5:$A$304,0)),""))</f>
        <v>0</v>
      </c>
      <c r="T772" s="20">
        <f>IF(B772="","",IF(F772&lt;&gt;"",F772,IF(S772="",0,S772)))</f>
        <v>0</v>
      </c>
      <c r="U772" s="20">
        <f>IF(B772="","",ROUND(IF(D772="",0,D772)*T772,2))</f>
        <v>0</v>
      </c>
      <c r="V772" s="20">
        <f>IF(B772="","",ROUND(U772-IF(G772="",0,G772)-IF(L772="",0,L772),2))</f>
        <v>0</v>
      </c>
      <c r="W772" s="20">
        <f>IF(C772="","",IFERROR(INDEX(Products!$AT$5:$AT$304,MATCH(C772,Products!$A$5:$A$304,0)),""))</f>
        <v>0</v>
      </c>
      <c r="X772" s="20">
        <f>IF(C772="","",IFERROR(INDEX(Products!$AG$5:$AG$304,MATCH(C772,Products!$A$5:$A$304,0)),""))</f>
        <v>0</v>
      </c>
      <c r="Y772" s="20">
        <f>IF(B772="","",ROUND(IF(D772="",0,D772)*MAX(0,IF(W772="",0,W772)-IF(X772="",0,X772)),2))</f>
        <v>0</v>
      </c>
      <c r="Z772" s="20">
        <f>IF(B772="","",ROUND(MAX(0,IF(J772="",0,J772)-IF(I772="",0,I772)),2))</f>
        <v>0</v>
      </c>
      <c r="AA772" s="33">
        <f>IF(B772="","",IFERROR(INDEX(Channels!$S$5:$S$18,MATCH(IF(E772="",DefaultChannel,E772),Channels!$A$5:$A$18,0)),0))</f>
        <v>0</v>
      </c>
      <c r="AB772" s="20">
        <f>IF(B772="","",IFERROR(INDEX(Channels!$T$5:$T$18,MATCH(IF(E772="",DefaultChannel,E772),Channels!$A$5:$A$18,0)),0))</f>
        <v>0</v>
      </c>
      <c r="AC772" s="42">
        <f>IF(B772="","",IFERROR(INDEX(Channels!$O$5:$O$18,MATCH(IF(E772="",DefaultChannel,E772),Channels!$A$5:$A$18,0)),"No"))</f>
        <v>0</v>
      </c>
      <c r="AD772" s="20">
        <f>IF(B772="","",ROUND((V772+IF(AC772="Yes",IF(I772="",0,I772),0))*AA772+AB772,2))</f>
        <v>0</v>
      </c>
      <c r="AE772" s="20">
        <f>IF(B772="","",IF(K772&lt;&gt;"",K772,AD772))</f>
        <v>0</v>
      </c>
      <c r="AF772" s="20">
        <f>IF(B772="","",IF(K772="","",ROUND(K772-AD772,2)))</f>
        <v>0</v>
      </c>
      <c r="AG772" s="20">
        <f>IF(B772="","",ROUND(V772-Y772-AE772-Z772,2))</f>
        <v>0</v>
      </c>
      <c r="AH772" s="33">
        <f>IF(B772="","",IF(OR(V772="",V772=0),"",AG772/V772))</f>
        <v>0</v>
      </c>
      <c r="AI772" s="33">
        <f>IF(C772="","",IFERROR(INDEX(Products!$AW$5:$AW$304,MATCH(C772,Products!$A$5:$A$304,0)),""))</f>
        <v>0</v>
      </c>
      <c r="AJ772" s="33">
        <f>IF(B772="","",IF(OR(AH772="",AI772=""),"",AH772-AI772))</f>
        <v>0</v>
      </c>
      <c r="AK772" s="41">
        <f>IF(B772="","",IFERROR(ROUND(IF(D772="",0,D772)*INDEX(Products!$X$5:$X$304,MATCH(C772,Products!$A$5:$A$304,0))/60,2),""))</f>
        <v>0</v>
      </c>
      <c r="AL772" s="20">
        <f>IF(B772="","",IF(OR(AK772="",AK772=0),"",ROUND(AG772/AK772,2)))</f>
        <v>0</v>
      </c>
      <c r="AM772" s="43">
        <f>IF(B772="","",IF(C772="","Add - which product?",IF(AG772&lt;0,"Loss - this order cost you money",IF(M772="Refunded","Refunded - check why",IF(AND(AF772&lt;&gt;"",AF772&gt;0.25),"Check - fees higher than your settings",IF(Z772&gt;1,"Check - postage is eating the margin",IF(AND(AH772&lt;&gt;"",AH772&lt;MarginWarning),"Low margin on this order","OK")))))) )</f>
        <v>0</v>
      </c>
    </row>
    <row r="773" spans="1:39">
      <c r="A773" s="38">
        <f>IF(B773="","",SalePrefix&amp;TEXT(ROW()-4,"0000"))</f>
        <v>0</v>
      </c>
      <c r="Q773" s="13">
        <f>IF(C773="","",IFERROR(INDEX(Products!$B$5:$B$304,MATCH(C773,Products!$A$5:$A$304,0)),"Bundle or deleted"))</f>
        <v>0</v>
      </c>
      <c r="R773" s="13">
        <f>IF(B773="","",TEXT(B773,"yyyy-mm"))</f>
        <v>0</v>
      </c>
      <c r="S773" s="20">
        <f>IF(C773="","",IFERROR(INDEX(Products!$AR$5:$AR$304,MATCH(C773,Products!$A$5:$A$304,0)),""))</f>
        <v>0</v>
      </c>
      <c r="T773" s="20">
        <f>IF(B773="","",IF(F773&lt;&gt;"",F773,IF(S773="",0,S773)))</f>
        <v>0</v>
      </c>
      <c r="U773" s="20">
        <f>IF(B773="","",ROUND(IF(D773="",0,D773)*T773,2))</f>
        <v>0</v>
      </c>
      <c r="V773" s="20">
        <f>IF(B773="","",ROUND(U773-IF(G773="",0,G773)-IF(L773="",0,L773),2))</f>
        <v>0</v>
      </c>
      <c r="W773" s="20">
        <f>IF(C773="","",IFERROR(INDEX(Products!$AT$5:$AT$304,MATCH(C773,Products!$A$5:$A$304,0)),""))</f>
        <v>0</v>
      </c>
      <c r="X773" s="20">
        <f>IF(C773="","",IFERROR(INDEX(Products!$AG$5:$AG$304,MATCH(C773,Products!$A$5:$A$304,0)),""))</f>
        <v>0</v>
      </c>
      <c r="Y773" s="20">
        <f>IF(B773="","",ROUND(IF(D773="",0,D773)*MAX(0,IF(W773="",0,W773)-IF(X773="",0,X773)),2))</f>
        <v>0</v>
      </c>
      <c r="Z773" s="20">
        <f>IF(B773="","",ROUND(MAX(0,IF(J773="",0,J773)-IF(I773="",0,I773)),2))</f>
        <v>0</v>
      </c>
      <c r="AA773" s="33">
        <f>IF(B773="","",IFERROR(INDEX(Channels!$S$5:$S$18,MATCH(IF(E773="",DefaultChannel,E773),Channels!$A$5:$A$18,0)),0))</f>
        <v>0</v>
      </c>
      <c r="AB773" s="20">
        <f>IF(B773="","",IFERROR(INDEX(Channels!$T$5:$T$18,MATCH(IF(E773="",DefaultChannel,E773),Channels!$A$5:$A$18,0)),0))</f>
        <v>0</v>
      </c>
      <c r="AC773" s="42">
        <f>IF(B773="","",IFERROR(INDEX(Channels!$O$5:$O$18,MATCH(IF(E773="",DefaultChannel,E773),Channels!$A$5:$A$18,0)),"No"))</f>
        <v>0</v>
      </c>
      <c r="AD773" s="20">
        <f>IF(B773="","",ROUND((V773+IF(AC773="Yes",IF(I773="",0,I773),0))*AA773+AB773,2))</f>
        <v>0</v>
      </c>
      <c r="AE773" s="20">
        <f>IF(B773="","",IF(K773&lt;&gt;"",K773,AD773))</f>
        <v>0</v>
      </c>
      <c r="AF773" s="20">
        <f>IF(B773="","",IF(K773="","",ROUND(K773-AD773,2)))</f>
        <v>0</v>
      </c>
      <c r="AG773" s="20">
        <f>IF(B773="","",ROUND(V773-Y773-AE773-Z773,2))</f>
        <v>0</v>
      </c>
      <c r="AH773" s="33">
        <f>IF(B773="","",IF(OR(V773="",V773=0),"",AG773/V773))</f>
        <v>0</v>
      </c>
      <c r="AI773" s="33">
        <f>IF(C773="","",IFERROR(INDEX(Products!$AW$5:$AW$304,MATCH(C773,Products!$A$5:$A$304,0)),""))</f>
        <v>0</v>
      </c>
      <c r="AJ773" s="33">
        <f>IF(B773="","",IF(OR(AH773="",AI773=""),"",AH773-AI773))</f>
        <v>0</v>
      </c>
      <c r="AK773" s="41">
        <f>IF(B773="","",IFERROR(ROUND(IF(D773="",0,D773)*INDEX(Products!$X$5:$X$304,MATCH(C773,Products!$A$5:$A$304,0))/60,2),""))</f>
        <v>0</v>
      </c>
      <c r="AL773" s="20">
        <f>IF(B773="","",IF(OR(AK773="",AK773=0),"",ROUND(AG773/AK773,2)))</f>
        <v>0</v>
      </c>
      <c r="AM773" s="43">
        <f>IF(B773="","",IF(C773="","Add - which product?",IF(AG773&lt;0,"Loss - this order cost you money",IF(M773="Refunded","Refunded - check why",IF(AND(AF773&lt;&gt;"",AF773&gt;0.25),"Check - fees higher than your settings",IF(Z773&gt;1,"Check - postage is eating the margin",IF(AND(AH773&lt;&gt;"",AH773&lt;MarginWarning),"Low margin on this order","OK")))))) )</f>
        <v>0</v>
      </c>
    </row>
    <row r="774" spans="1:39">
      <c r="A774" s="38">
        <f>IF(B774="","",SalePrefix&amp;TEXT(ROW()-4,"0000"))</f>
        <v>0</v>
      </c>
      <c r="Q774" s="13">
        <f>IF(C774="","",IFERROR(INDEX(Products!$B$5:$B$304,MATCH(C774,Products!$A$5:$A$304,0)),"Bundle or deleted"))</f>
        <v>0</v>
      </c>
      <c r="R774" s="13">
        <f>IF(B774="","",TEXT(B774,"yyyy-mm"))</f>
        <v>0</v>
      </c>
      <c r="S774" s="20">
        <f>IF(C774="","",IFERROR(INDEX(Products!$AR$5:$AR$304,MATCH(C774,Products!$A$5:$A$304,0)),""))</f>
        <v>0</v>
      </c>
      <c r="T774" s="20">
        <f>IF(B774="","",IF(F774&lt;&gt;"",F774,IF(S774="",0,S774)))</f>
        <v>0</v>
      </c>
      <c r="U774" s="20">
        <f>IF(B774="","",ROUND(IF(D774="",0,D774)*T774,2))</f>
        <v>0</v>
      </c>
      <c r="V774" s="20">
        <f>IF(B774="","",ROUND(U774-IF(G774="",0,G774)-IF(L774="",0,L774),2))</f>
        <v>0</v>
      </c>
      <c r="W774" s="20">
        <f>IF(C774="","",IFERROR(INDEX(Products!$AT$5:$AT$304,MATCH(C774,Products!$A$5:$A$304,0)),""))</f>
        <v>0</v>
      </c>
      <c r="X774" s="20">
        <f>IF(C774="","",IFERROR(INDEX(Products!$AG$5:$AG$304,MATCH(C774,Products!$A$5:$A$304,0)),""))</f>
        <v>0</v>
      </c>
      <c r="Y774" s="20">
        <f>IF(B774="","",ROUND(IF(D774="",0,D774)*MAX(0,IF(W774="",0,W774)-IF(X774="",0,X774)),2))</f>
        <v>0</v>
      </c>
      <c r="Z774" s="20">
        <f>IF(B774="","",ROUND(MAX(0,IF(J774="",0,J774)-IF(I774="",0,I774)),2))</f>
        <v>0</v>
      </c>
      <c r="AA774" s="33">
        <f>IF(B774="","",IFERROR(INDEX(Channels!$S$5:$S$18,MATCH(IF(E774="",DefaultChannel,E774),Channels!$A$5:$A$18,0)),0))</f>
        <v>0</v>
      </c>
      <c r="AB774" s="20">
        <f>IF(B774="","",IFERROR(INDEX(Channels!$T$5:$T$18,MATCH(IF(E774="",DefaultChannel,E774),Channels!$A$5:$A$18,0)),0))</f>
        <v>0</v>
      </c>
      <c r="AC774" s="42">
        <f>IF(B774="","",IFERROR(INDEX(Channels!$O$5:$O$18,MATCH(IF(E774="",DefaultChannel,E774),Channels!$A$5:$A$18,0)),"No"))</f>
        <v>0</v>
      </c>
      <c r="AD774" s="20">
        <f>IF(B774="","",ROUND((V774+IF(AC774="Yes",IF(I774="",0,I774),0))*AA774+AB774,2))</f>
        <v>0</v>
      </c>
      <c r="AE774" s="20">
        <f>IF(B774="","",IF(K774&lt;&gt;"",K774,AD774))</f>
        <v>0</v>
      </c>
      <c r="AF774" s="20">
        <f>IF(B774="","",IF(K774="","",ROUND(K774-AD774,2)))</f>
        <v>0</v>
      </c>
      <c r="AG774" s="20">
        <f>IF(B774="","",ROUND(V774-Y774-AE774-Z774,2))</f>
        <v>0</v>
      </c>
      <c r="AH774" s="33">
        <f>IF(B774="","",IF(OR(V774="",V774=0),"",AG774/V774))</f>
        <v>0</v>
      </c>
      <c r="AI774" s="33">
        <f>IF(C774="","",IFERROR(INDEX(Products!$AW$5:$AW$304,MATCH(C774,Products!$A$5:$A$304,0)),""))</f>
        <v>0</v>
      </c>
      <c r="AJ774" s="33">
        <f>IF(B774="","",IF(OR(AH774="",AI774=""),"",AH774-AI774))</f>
        <v>0</v>
      </c>
      <c r="AK774" s="41">
        <f>IF(B774="","",IFERROR(ROUND(IF(D774="",0,D774)*INDEX(Products!$X$5:$X$304,MATCH(C774,Products!$A$5:$A$304,0))/60,2),""))</f>
        <v>0</v>
      </c>
      <c r="AL774" s="20">
        <f>IF(B774="","",IF(OR(AK774="",AK774=0),"",ROUND(AG774/AK774,2)))</f>
        <v>0</v>
      </c>
      <c r="AM774" s="43">
        <f>IF(B774="","",IF(C774="","Add - which product?",IF(AG774&lt;0,"Loss - this order cost you money",IF(M774="Refunded","Refunded - check why",IF(AND(AF774&lt;&gt;"",AF774&gt;0.25),"Check - fees higher than your settings",IF(Z774&gt;1,"Check - postage is eating the margin",IF(AND(AH774&lt;&gt;"",AH774&lt;MarginWarning),"Low margin on this order","OK")))))) )</f>
        <v>0</v>
      </c>
    </row>
    <row r="775" spans="1:39">
      <c r="A775" s="38">
        <f>IF(B775="","",SalePrefix&amp;TEXT(ROW()-4,"0000"))</f>
        <v>0</v>
      </c>
      <c r="Q775" s="13">
        <f>IF(C775="","",IFERROR(INDEX(Products!$B$5:$B$304,MATCH(C775,Products!$A$5:$A$304,0)),"Bundle or deleted"))</f>
        <v>0</v>
      </c>
      <c r="R775" s="13">
        <f>IF(B775="","",TEXT(B775,"yyyy-mm"))</f>
        <v>0</v>
      </c>
      <c r="S775" s="20">
        <f>IF(C775="","",IFERROR(INDEX(Products!$AR$5:$AR$304,MATCH(C775,Products!$A$5:$A$304,0)),""))</f>
        <v>0</v>
      </c>
      <c r="T775" s="20">
        <f>IF(B775="","",IF(F775&lt;&gt;"",F775,IF(S775="",0,S775)))</f>
        <v>0</v>
      </c>
      <c r="U775" s="20">
        <f>IF(B775="","",ROUND(IF(D775="",0,D775)*T775,2))</f>
        <v>0</v>
      </c>
      <c r="V775" s="20">
        <f>IF(B775="","",ROUND(U775-IF(G775="",0,G775)-IF(L775="",0,L775),2))</f>
        <v>0</v>
      </c>
      <c r="W775" s="20">
        <f>IF(C775="","",IFERROR(INDEX(Products!$AT$5:$AT$304,MATCH(C775,Products!$A$5:$A$304,0)),""))</f>
        <v>0</v>
      </c>
      <c r="X775" s="20">
        <f>IF(C775="","",IFERROR(INDEX(Products!$AG$5:$AG$304,MATCH(C775,Products!$A$5:$A$304,0)),""))</f>
        <v>0</v>
      </c>
      <c r="Y775" s="20">
        <f>IF(B775="","",ROUND(IF(D775="",0,D775)*MAX(0,IF(W775="",0,W775)-IF(X775="",0,X775)),2))</f>
        <v>0</v>
      </c>
      <c r="Z775" s="20">
        <f>IF(B775="","",ROUND(MAX(0,IF(J775="",0,J775)-IF(I775="",0,I775)),2))</f>
        <v>0</v>
      </c>
      <c r="AA775" s="33">
        <f>IF(B775="","",IFERROR(INDEX(Channels!$S$5:$S$18,MATCH(IF(E775="",DefaultChannel,E775),Channels!$A$5:$A$18,0)),0))</f>
        <v>0</v>
      </c>
      <c r="AB775" s="20">
        <f>IF(B775="","",IFERROR(INDEX(Channels!$T$5:$T$18,MATCH(IF(E775="",DefaultChannel,E775),Channels!$A$5:$A$18,0)),0))</f>
        <v>0</v>
      </c>
      <c r="AC775" s="42">
        <f>IF(B775="","",IFERROR(INDEX(Channels!$O$5:$O$18,MATCH(IF(E775="",DefaultChannel,E775),Channels!$A$5:$A$18,0)),"No"))</f>
        <v>0</v>
      </c>
      <c r="AD775" s="20">
        <f>IF(B775="","",ROUND((V775+IF(AC775="Yes",IF(I775="",0,I775),0))*AA775+AB775,2))</f>
        <v>0</v>
      </c>
      <c r="AE775" s="20">
        <f>IF(B775="","",IF(K775&lt;&gt;"",K775,AD775))</f>
        <v>0</v>
      </c>
      <c r="AF775" s="20">
        <f>IF(B775="","",IF(K775="","",ROUND(K775-AD775,2)))</f>
        <v>0</v>
      </c>
      <c r="AG775" s="20">
        <f>IF(B775="","",ROUND(V775-Y775-AE775-Z775,2))</f>
        <v>0</v>
      </c>
      <c r="AH775" s="33">
        <f>IF(B775="","",IF(OR(V775="",V775=0),"",AG775/V775))</f>
        <v>0</v>
      </c>
      <c r="AI775" s="33">
        <f>IF(C775="","",IFERROR(INDEX(Products!$AW$5:$AW$304,MATCH(C775,Products!$A$5:$A$304,0)),""))</f>
        <v>0</v>
      </c>
      <c r="AJ775" s="33">
        <f>IF(B775="","",IF(OR(AH775="",AI775=""),"",AH775-AI775))</f>
        <v>0</v>
      </c>
      <c r="AK775" s="41">
        <f>IF(B775="","",IFERROR(ROUND(IF(D775="",0,D775)*INDEX(Products!$X$5:$X$304,MATCH(C775,Products!$A$5:$A$304,0))/60,2),""))</f>
        <v>0</v>
      </c>
      <c r="AL775" s="20">
        <f>IF(B775="","",IF(OR(AK775="",AK775=0),"",ROUND(AG775/AK775,2)))</f>
        <v>0</v>
      </c>
      <c r="AM775" s="43">
        <f>IF(B775="","",IF(C775="","Add - which product?",IF(AG775&lt;0,"Loss - this order cost you money",IF(M775="Refunded","Refunded - check why",IF(AND(AF775&lt;&gt;"",AF775&gt;0.25),"Check - fees higher than your settings",IF(Z775&gt;1,"Check - postage is eating the margin",IF(AND(AH775&lt;&gt;"",AH775&lt;MarginWarning),"Low margin on this order","OK")))))) )</f>
        <v>0</v>
      </c>
    </row>
    <row r="776" spans="1:39">
      <c r="A776" s="38">
        <f>IF(B776="","",SalePrefix&amp;TEXT(ROW()-4,"0000"))</f>
        <v>0</v>
      </c>
      <c r="Q776" s="13">
        <f>IF(C776="","",IFERROR(INDEX(Products!$B$5:$B$304,MATCH(C776,Products!$A$5:$A$304,0)),"Bundle or deleted"))</f>
        <v>0</v>
      </c>
      <c r="R776" s="13">
        <f>IF(B776="","",TEXT(B776,"yyyy-mm"))</f>
        <v>0</v>
      </c>
      <c r="S776" s="20">
        <f>IF(C776="","",IFERROR(INDEX(Products!$AR$5:$AR$304,MATCH(C776,Products!$A$5:$A$304,0)),""))</f>
        <v>0</v>
      </c>
      <c r="T776" s="20">
        <f>IF(B776="","",IF(F776&lt;&gt;"",F776,IF(S776="",0,S776)))</f>
        <v>0</v>
      </c>
      <c r="U776" s="20">
        <f>IF(B776="","",ROUND(IF(D776="",0,D776)*T776,2))</f>
        <v>0</v>
      </c>
      <c r="V776" s="20">
        <f>IF(B776="","",ROUND(U776-IF(G776="",0,G776)-IF(L776="",0,L776),2))</f>
        <v>0</v>
      </c>
      <c r="W776" s="20">
        <f>IF(C776="","",IFERROR(INDEX(Products!$AT$5:$AT$304,MATCH(C776,Products!$A$5:$A$304,0)),""))</f>
        <v>0</v>
      </c>
      <c r="X776" s="20">
        <f>IF(C776="","",IFERROR(INDEX(Products!$AG$5:$AG$304,MATCH(C776,Products!$A$5:$A$304,0)),""))</f>
        <v>0</v>
      </c>
      <c r="Y776" s="20">
        <f>IF(B776="","",ROUND(IF(D776="",0,D776)*MAX(0,IF(W776="",0,W776)-IF(X776="",0,X776)),2))</f>
        <v>0</v>
      </c>
      <c r="Z776" s="20">
        <f>IF(B776="","",ROUND(MAX(0,IF(J776="",0,J776)-IF(I776="",0,I776)),2))</f>
        <v>0</v>
      </c>
      <c r="AA776" s="33">
        <f>IF(B776="","",IFERROR(INDEX(Channels!$S$5:$S$18,MATCH(IF(E776="",DefaultChannel,E776),Channels!$A$5:$A$18,0)),0))</f>
        <v>0</v>
      </c>
      <c r="AB776" s="20">
        <f>IF(B776="","",IFERROR(INDEX(Channels!$T$5:$T$18,MATCH(IF(E776="",DefaultChannel,E776),Channels!$A$5:$A$18,0)),0))</f>
        <v>0</v>
      </c>
      <c r="AC776" s="42">
        <f>IF(B776="","",IFERROR(INDEX(Channels!$O$5:$O$18,MATCH(IF(E776="",DefaultChannel,E776),Channels!$A$5:$A$18,0)),"No"))</f>
        <v>0</v>
      </c>
      <c r="AD776" s="20">
        <f>IF(B776="","",ROUND((V776+IF(AC776="Yes",IF(I776="",0,I776),0))*AA776+AB776,2))</f>
        <v>0</v>
      </c>
      <c r="AE776" s="20">
        <f>IF(B776="","",IF(K776&lt;&gt;"",K776,AD776))</f>
        <v>0</v>
      </c>
      <c r="AF776" s="20">
        <f>IF(B776="","",IF(K776="","",ROUND(K776-AD776,2)))</f>
        <v>0</v>
      </c>
      <c r="AG776" s="20">
        <f>IF(B776="","",ROUND(V776-Y776-AE776-Z776,2))</f>
        <v>0</v>
      </c>
      <c r="AH776" s="33">
        <f>IF(B776="","",IF(OR(V776="",V776=0),"",AG776/V776))</f>
        <v>0</v>
      </c>
      <c r="AI776" s="33">
        <f>IF(C776="","",IFERROR(INDEX(Products!$AW$5:$AW$304,MATCH(C776,Products!$A$5:$A$304,0)),""))</f>
        <v>0</v>
      </c>
      <c r="AJ776" s="33">
        <f>IF(B776="","",IF(OR(AH776="",AI776=""),"",AH776-AI776))</f>
        <v>0</v>
      </c>
      <c r="AK776" s="41">
        <f>IF(B776="","",IFERROR(ROUND(IF(D776="",0,D776)*INDEX(Products!$X$5:$X$304,MATCH(C776,Products!$A$5:$A$304,0))/60,2),""))</f>
        <v>0</v>
      </c>
      <c r="AL776" s="20">
        <f>IF(B776="","",IF(OR(AK776="",AK776=0),"",ROUND(AG776/AK776,2)))</f>
        <v>0</v>
      </c>
      <c r="AM776" s="43">
        <f>IF(B776="","",IF(C776="","Add - which product?",IF(AG776&lt;0,"Loss - this order cost you money",IF(M776="Refunded","Refunded - check why",IF(AND(AF776&lt;&gt;"",AF776&gt;0.25),"Check - fees higher than your settings",IF(Z776&gt;1,"Check - postage is eating the margin",IF(AND(AH776&lt;&gt;"",AH776&lt;MarginWarning),"Low margin on this order","OK")))))) )</f>
        <v>0</v>
      </c>
    </row>
    <row r="777" spans="1:39">
      <c r="A777" s="38">
        <f>IF(B777="","",SalePrefix&amp;TEXT(ROW()-4,"0000"))</f>
        <v>0</v>
      </c>
      <c r="Q777" s="13">
        <f>IF(C777="","",IFERROR(INDEX(Products!$B$5:$B$304,MATCH(C777,Products!$A$5:$A$304,0)),"Bundle or deleted"))</f>
        <v>0</v>
      </c>
      <c r="R777" s="13">
        <f>IF(B777="","",TEXT(B777,"yyyy-mm"))</f>
        <v>0</v>
      </c>
      <c r="S777" s="20">
        <f>IF(C777="","",IFERROR(INDEX(Products!$AR$5:$AR$304,MATCH(C777,Products!$A$5:$A$304,0)),""))</f>
        <v>0</v>
      </c>
      <c r="T777" s="20">
        <f>IF(B777="","",IF(F777&lt;&gt;"",F777,IF(S777="",0,S777)))</f>
        <v>0</v>
      </c>
      <c r="U777" s="20">
        <f>IF(B777="","",ROUND(IF(D777="",0,D777)*T777,2))</f>
        <v>0</v>
      </c>
      <c r="V777" s="20">
        <f>IF(B777="","",ROUND(U777-IF(G777="",0,G777)-IF(L777="",0,L777),2))</f>
        <v>0</v>
      </c>
      <c r="W777" s="20">
        <f>IF(C777="","",IFERROR(INDEX(Products!$AT$5:$AT$304,MATCH(C777,Products!$A$5:$A$304,0)),""))</f>
        <v>0</v>
      </c>
      <c r="X777" s="20">
        <f>IF(C777="","",IFERROR(INDEX(Products!$AG$5:$AG$304,MATCH(C777,Products!$A$5:$A$304,0)),""))</f>
        <v>0</v>
      </c>
      <c r="Y777" s="20">
        <f>IF(B777="","",ROUND(IF(D777="",0,D777)*MAX(0,IF(W777="",0,W777)-IF(X777="",0,X777)),2))</f>
        <v>0</v>
      </c>
      <c r="Z777" s="20">
        <f>IF(B777="","",ROUND(MAX(0,IF(J777="",0,J777)-IF(I777="",0,I777)),2))</f>
        <v>0</v>
      </c>
      <c r="AA777" s="33">
        <f>IF(B777="","",IFERROR(INDEX(Channels!$S$5:$S$18,MATCH(IF(E777="",DefaultChannel,E777),Channels!$A$5:$A$18,0)),0))</f>
        <v>0</v>
      </c>
      <c r="AB777" s="20">
        <f>IF(B777="","",IFERROR(INDEX(Channels!$T$5:$T$18,MATCH(IF(E777="",DefaultChannel,E777),Channels!$A$5:$A$18,0)),0))</f>
        <v>0</v>
      </c>
      <c r="AC777" s="42">
        <f>IF(B777="","",IFERROR(INDEX(Channels!$O$5:$O$18,MATCH(IF(E777="",DefaultChannel,E777),Channels!$A$5:$A$18,0)),"No"))</f>
        <v>0</v>
      </c>
      <c r="AD777" s="20">
        <f>IF(B777="","",ROUND((V777+IF(AC777="Yes",IF(I777="",0,I777),0))*AA777+AB777,2))</f>
        <v>0</v>
      </c>
      <c r="AE777" s="20">
        <f>IF(B777="","",IF(K777&lt;&gt;"",K777,AD777))</f>
        <v>0</v>
      </c>
      <c r="AF777" s="20">
        <f>IF(B777="","",IF(K777="","",ROUND(K777-AD777,2)))</f>
        <v>0</v>
      </c>
      <c r="AG777" s="20">
        <f>IF(B777="","",ROUND(V777-Y777-AE777-Z777,2))</f>
        <v>0</v>
      </c>
      <c r="AH777" s="33">
        <f>IF(B777="","",IF(OR(V777="",V777=0),"",AG777/V777))</f>
        <v>0</v>
      </c>
      <c r="AI777" s="33">
        <f>IF(C777="","",IFERROR(INDEX(Products!$AW$5:$AW$304,MATCH(C777,Products!$A$5:$A$304,0)),""))</f>
        <v>0</v>
      </c>
      <c r="AJ777" s="33">
        <f>IF(B777="","",IF(OR(AH777="",AI777=""),"",AH777-AI777))</f>
        <v>0</v>
      </c>
      <c r="AK777" s="41">
        <f>IF(B777="","",IFERROR(ROUND(IF(D777="",0,D777)*INDEX(Products!$X$5:$X$304,MATCH(C777,Products!$A$5:$A$304,0))/60,2),""))</f>
        <v>0</v>
      </c>
      <c r="AL777" s="20">
        <f>IF(B777="","",IF(OR(AK777="",AK777=0),"",ROUND(AG777/AK777,2)))</f>
        <v>0</v>
      </c>
      <c r="AM777" s="43">
        <f>IF(B777="","",IF(C777="","Add - which product?",IF(AG777&lt;0,"Loss - this order cost you money",IF(M777="Refunded","Refunded - check why",IF(AND(AF777&lt;&gt;"",AF777&gt;0.25),"Check - fees higher than your settings",IF(Z777&gt;1,"Check - postage is eating the margin",IF(AND(AH777&lt;&gt;"",AH777&lt;MarginWarning),"Low margin on this order","OK")))))) )</f>
        <v>0</v>
      </c>
    </row>
    <row r="778" spans="1:39">
      <c r="A778" s="38">
        <f>IF(B778="","",SalePrefix&amp;TEXT(ROW()-4,"0000"))</f>
        <v>0</v>
      </c>
      <c r="Q778" s="13">
        <f>IF(C778="","",IFERROR(INDEX(Products!$B$5:$B$304,MATCH(C778,Products!$A$5:$A$304,0)),"Bundle or deleted"))</f>
        <v>0</v>
      </c>
      <c r="R778" s="13">
        <f>IF(B778="","",TEXT(B778,"yyyy-mm"))</f>
        <v>0</v>
      </c>
      <c r="S778" s="20">
        <f>IF(C778="","",IFERROR(INDEX(Products!$AR$5:$AR$304,MATCH(C778,Products!$A$5:$A$304,0)),""))</f>
        <v>0</v>
      </c>
      <c r="T778" s="20">
        <f>IF(B778="","",IF(F778&lt;&gt;"",F778,IF(S778="",0,S778)))</f>
        <v>0</v>
      </c>
      <c r="U778" s="20">
        <f>IF(B778="","",ROUND(IF(D778="",0,D778)*T778,2))</f>
        <v>0</v>
      </c>
      <c r="V778" s="20">
        <f>IF(B778="","",ROUND(U778-IF(G778="",0,G778)-IF(L778="",0,L778),2))</f>
        <v>0</v>
      </c>
      <c r="W778" s="20">
        <f>IF(C778="","",IFERROR(INDEX(Products!$AT$5:$AT$304,MATCH(C778,Products!$A$5:$A$304,0)),""))</f>
        <v>0</v>
      </c>
      <c r="X778" s="20">
        <f>IF(C778="","",IFERROR(INDEX(Products!$AG$5:$AG$304,MATCH(C778,Products!$A$5:$A$304,0)),""))</f>
        <v>0</v>
      </c>
      <c r="Y778" s="20">
        <f>IF(B778="","",ROUND(IF(D778="",0,D778)*MAX(0,IF(W778="",0,W778)-IF(X778="",0,X778)),2))</f>
        <v>0</v>
      </c>
      <c r="Z778" s="20">
        <f>IF(B778="","",ROUND(MAX(0,IF(J778="",0,J778)-IF(I778="",0,I778)),2))</f>
        <v>0</v>
      </c>
      <c r="AA778" s="33">
        <f>IF(B778="","",IFERROR(INDEX(Channels!$S$5:$S$18,MATCH(IF(E778="",DefaultChannel,E778),Channels!$A$5:$A$18,0)),0))</f>
        <v>0</v>
      </c>
      <c r="AB778" s="20">
        <f>IF(B778="","",IFERROR(INDEX(Channels!$T$5:$T$18,MATCH(IF(E778="",DefaultChannel,E778),Channels!$A$5:$A$18,0)),0))</f>
        <v>0</v>
      </c>
      <c r="AC778" s="42">
        <f>IF(B778="","",IFERROR(INDEX(Channels!$O$5:$O$18,MATCH(IF(E778="",DefaultChannel,E778),Channels!$A$5:$A$18,0)),"No"))</f>
        <v>0</v>
      </c>
      <c r="AD778" s="20">
        <f>IF(B778="","",ROUND((V778+IF(AC778="Yes",IF(I778="",0,I778),0))*AA778+AB778,2))</f>
        <v>0</v>
      </c>
      <c r="AE778" s="20">
        <f>IF(B778="","",IF(K778&lt;&gt;"",K778,AD778))</f>
        <v>0</v>
      </c>
      <c r="AF778" s="20">
        <f>IF(B778="","",IF(K778="","",ROUND(K778-AD778,2)))</f>
        <v>0</v>
      </c>
      <c r="AG778" s="20">
        <f>IF(B778="","",ROUND(V778-Y778-AE778-Z778,2))</f>
        <v>0</v>
      </c>
      <c r="AH778" s="33">
        <f>IF(B778="","",IF(OR(V778="",V778=0),"",AG778/V778))</f>
        <v>0</v>
      </c>
      <c r="AI778" s="33">
        <f>IF(C778="","",IFERROR(INDEX(Products!$AW$5:$AW$304,MATCH(C778,Products!$A$5:$A$304,0)),""))</f>
        <v>0</v>
      </c>
      <c r="AJ778" s="33">
        <f>IF(B778="","",IF(OR(AH778="",AI778=""),"",AH778-AI778))</f>
        <v>0</v>
      </c>
      <c r="AK778" s="41">
        <f>IF(B778="","",IFERROR(ROUND(IF(D778="",0,D778)*INDEX(Products!$X$5:$X$304,MATCH(C778,Products!$A$5:$A$304,0))/60,2),""))</f>
        <v>0</v>
      </c>
      <c r="AL778" s="20">
        <f>IF(B778="","",IF(OR(AK778="",AK778=0),"",ROUND(AG778/AK778,2)))</f>
        <v>0</v>
      </c>
      <c r="AM778" s="43">
        <f>IF(B778="","",IF(C778="","Add - which product?",IF(AG778&lt;0,"Loss - this order cost you money",IF(M778="Refunded","Refunded - check why",IF(AND(AF778&lt;&gt;"",AF778&gt;0.25),"Check - fees higher than your settings",IF(Z778&gt;1,"Check - postage is eating the margin",IF(AND(AH778&lt;&gt;"",AH778&lt;MarginWarning),"Low margin on this order","OK")))))) )</f>
        <v>0</v>
      </c>
    </row>
    <row r="779" spans="1:39">
      <c r="A779" s="38">
        <f>IF(B779="","",SalePrefix&amp;TEXT(ROW()-4,"0000"))</f>
        <v>0</v>
      </c>
      <c r="Q779" s="13">
        <f>IF(C779="","",IFERROR(INDEX(Products!$B$5:$B$304,MATCH(C779,Products!$A$5:$A$304,0)),"Bundle or deleted"))</f>
        <v>0</v>
      </c>
      <c r="R779" s="13">
        <f>IF(B779="","",TEXT(B779,"yyyy-mm"))</f>
        <v>0</v>
      </c>
      <c r="S779" s="20">
        <f>IF(C779="","",IFERROR(INDEX(Products!$AR$5:$AR$304,MATCH(C779,Products!$A$5:$A$304,0)),""))</f>
        <v>0</v>
      </c>
      <c r="T779" s="20">
        <f>IF(B779="","",IF(F779&lt;&gt;"",F779,IF(S779="",0,S779)))</f>
        <v>0</v>
      </c>
      <c r="U779" s="20">
        <f>IF(B779="","",ROUND(IF(D779="",0,D779)*T779,2))</f>
        <v>0</v>
      </c>
      <c r="V779" s="20">
        <f>IF(B779="","",ROUND(U779-IF(G779="",0,G779)-IF(L779="",0,L779),2))</f>
        <v>0</v>
      </c>
      <c r="W779" s="20">
        <f>IF(C779="","",IFERROR(INDEX(Products!$AT$5:$AT$304,MATCH(C779,Products!$A$5:$A$304,0)),""))</f>
        <v>0</v>
      </c>
      <c r="X779" s="20">
        <f>IF(C779="","",IFERROR(INDEX(Products!$AG$5:$AG$304,MATCH(C779,Products!$A$5:$A$304,0)),""))</f>
        <v>0</v>
      </c>
      <c r="Y779" s="20">
        <f>IF(B779="","",ROUND(IF(D779="",0,D779)*MAX(0,IF(W779="",0,W779)-IF(X779="",0,X779)),2))</f>
        <v>0</v>
      </c>
      <c r="Z779" s="20">
        <f>IF(B779="","",ROUND(MAX(0,IF(J779="",0,J779)-IF(I779="",0,I779)),2))</f>
        <v>0</v>
      </c>
      <c r="AA779" s="33">
        <f>IF(B779="","",IFERROR(INDEX(Channels!$S$5:$S$18,MATCH(IF(E779="",DefaultChannel,E779),Channels!$A$5:$A$18,0)),0))</f>
        <v>0</v>
      </c>
      <c r="AB779" s="20">
        <f>IF(B779="","",IFERROR(INDEX(Channels!$T$5:$T$18,MATCH(IF(E779="",DefaultChannel,E779),Channels!$A$5:$A$18,0)),0))</f>
        <v>0</v>
      </c>
      <c r="AC779" s="42">
        <f>IF(B779="","",IFERROR(INDEX(Channels!$O$5:$O$18,MATCH(IF(E779="",DefaultChannel,E779),Channels!$A$5:$A$18,0)),"No"))</f>
        <v>0</v>
      </c>
      <c r="AD779" s="20">
        <f>IF(B779="","",ROUND((V779+IF(AC779="Yes",IF(I779="",0,I779),0))*AA779+AB779,2))</f>
        <v>0</v>
      </c>
      <c r="AE779" s="20">
        <f>IF(B779="","",IF(K779&lt;&gt;"",K779,AD779))</f>
        <v>0</v>
      </c>
      <c r="AF779" s="20">
        <f>IF(B779="","",IF(K779="","",ROUND(K779-AD779,2)))</f>
        <v>0</v>
      </c>
      <c r="AG779" s="20">
        <f>IF(B779="","",ROUND(V779-Y779-AE779-Z779,2))</f>
        <v>0</v>
      </c>
      <c r="AH779" s="33">
        <f>IF(B779="","",IF(OR(V779="",V779=0),"",AG779/V779))</f>
        <v>0</v>
      </c>
      <c r="AI779" s="33">
        <f>IF(C779="","",IFERROR(INDEX(Products!$AW$5:$AW$304,MATCH(C779,Products!$A$5:$A$304,0)),""))</f>
        <v>0</v>
      </c>
      <c r="AJ779" s="33">
        <f>IF(B779="","",IF(OR(AH779="",AI779=""),"",AH779-AI779))</f>
        <v>0</v>
      </c>
      <c r="AK779" s="41">
        <f>IF(B779="","",IFERROR(ROUND(IF(D779="",0,D779)*INDEX(Products!$X$5:$X$304,MATCH(C779,Products!$A$5:$A$304,0))/60,2),""))</f>
        <v>0</v>
      </c>
      <c r="AL779" s="20">
        <f>IF(B779="","",IF(OR(AK779="",AK779=0),"",ROUND(AG779/AK779,2)))</f>
        <v>0</v>
      </c>
      <c r="AM779" s="43">
        <f>IF(B779="","",IF(C779="","Add - which product?",IF(AG779&lt;0,"Loss - this order cost you money",IF(M779="Refunded","Refunded - check why",IF(AND(AF779&lt;&gt;"",AF779&gt;0.25),"Check - fees higher than your settings",IF(Z779&gt;1,"Check - postage is eating the margin",IF(AND(AH779&lt;&gt;"",AH779&lt;MarginWarning),"Low margin on this order","OK")))))) )</f>
        <v>0</v>
      </c>
    </row>
    <row r="780" spans="1:39">
      <c r="A780" s="38">
        <f>IF(B780="","",SalePrefix&amp;TEXT(ROW()-4,"0000"))</f>
        <v>0</v>
      </c>
      <c r="Q780" s="13">
        <f>IF(C780="","",IFERROR(INDEX(Products!$B$5:$B$304,MATCH(C780,Products!$A$5:$A$304,0)),"Bundle or deleted"))</f>
        <v>0</v>
      </c>
      <c r="R780" s="13">
        <f>IF(B780="","",TEXT(B780,"yyyy-mm"))</f>
        <v>0</v>
      </c>
      <c r="S780" s="20">
        <f>IF(C780="","",IFERROR(INDEX(Products!$AR$5:$AR$304,MATCH(C780,Products!$A$5:$A$304,0)),""))</f>
        <v>0</v>
      </c>
      <c r="T780" s="20">
        <f>IF(B780="","",IF(F780&lt;&gt;"",F780,IF(S780="",0,S780)))</f>
        <v>0</v>
      </c>
      <c r="U780" s="20">
        <f>IF(B780="","",ROUND(IF(D780="",0,D780)*T780,2))</f>
        <v>0</v>
      </c>
      <c r="V780" s="20">
        <f>IF(B780="","",ROUND(U780-IF(G780="",0,G780)-IF(L780="",0,L780),2))</f>
        <v>0</v>
      </c>
      <c r="W780" s="20">
        <f>IF(C780="","",IFERROR(INDEX(Products!$AT$5:$AT$304,MATCH(C780,Products!$A$5:$A$304,0)),""))</f>
        <v>0</v>
      </c>
      <c r="X780" s="20">
        <f>IF(C780="","",IFERROR(INDEX(Products!$AG$5:$AG$304,MATCH(C780,Products!$A$5:$A$304,0)),""))</f>
        <v>0</v>
      </c>
      <c r="Y780" s="20">
        <f>IF(B780="","",ROUND(IF(D780="",0,D780)*MAX(0,IF(W780="",0,W780)-IF(X780="",0,X780)),2))</f>
        <v>0</v>
      </c>
      <c r="Z780" s="20">
        <f>IF(B780="","",ROUND(MAX(0,IF(J780="",0,J780)-IF(I780="",0,I780)),2))</f>
        <v>0</v>
      </c>
      <c r="AA780" s="33">
        <f>IF(B780="","",IFERROR(INDEX(Channels!$S$5:$S$18,MATCH(IF(E780="",DefaultChannel,E780),Channels!$A$5:$A$18,0)),0))</f>
        <v>0</v>
      </c>
      <c r="AB780" s="20">
        <f>IF(B780="","",IFERROR(INDEX(Channels!$T$5:$T$18,MATCH(IF(E780="",DefaultChannel,E780),Channels!$A$5:$A$18,0)),0))</f>
        <v>0</v>
      </c>
      <c r="AC780" s="42">
        <f>IF(B780="","",IFERROR(INDEX(Channels!$O$5:$O$18,MATCH(IF(E780="",DefaultChannel,E780),Channels!$A$5:$A$18,0)),"No"))</f>
        <v>0</v>
      </c>
      <c r="AD780" s="20">
        <f>IF(B780="","",ROUND((V780+IF(AC780="Yes",IF(I780="",0,I780),0))*AA780+AB780,2))</f>
        <v>0</v>
      </c>
      <c r="AE780" s="20">
        <f>IF(B780="","",IF(K780&lt;&gt;"",K780,AD780))</f>
        <v>0</v>
      </c>
      <c r="AF780" s="20">
        <f>IF(B780="","",IF(K780="","",ROUND(K780-AD780,2)))</f>
        <v>0</v>
      </c>
      <c r="AG780" s="20">
        <f>IF(B780="","",ROUND(V780-Y780-AE780-Z780,2))</f>
        <v>0</v>
      </c>
      <c r="AH780" s="33">
        <f>IF(B780="","",IF(OR(V780="",V780=0),"",AG780/V780))</f>
        <v>0</v>
      </c>
      <c r="AI780" s="33">
        <f>IF(C780="","",IFERROR(INDEX(Products!$AW$5:$AW$304,MATCH(C780,Products!$A$5:$A$304,0)),""))</f>
        <v>0</v>
      </c>
      <c r="AJ780" s="33">
        <f>IF(B780="","",IF(OR(AH780="",AI780=""),"",AH780-AI780))</f>
        <v>0</v>
      </c>
      <c r="AK780" s="41">
        <f>IF(B780="","",IFERROR(ROUND(IF(D780="",0,D780)*INDEX(Products!$X$5:$X$304,MATCH(C780,Products!$A$5:$A$304,0))/60,2),""))</f>
        <v>0</v>
      </c>
      <c r="AL780" s="20">
        <f>IF(B780="","",IF(OR(AK780="",AK780=0),"",ROUND(AG780/AK780,2)))</f>
        <v>0</v>
      </c>
      <c r="AM780" s="43">
        <f>IF(B780="","",IF(C780="","Add - which product?",IF(AG780&lt;0,"Loss - this order cost you money",IF(M780="Refunded","Refunded - check why",IF(AND(AF780&lt;&gt;"",AF780&gt;0.25),"Check - fees higher than your settings",IF(Z780&gt;1,"Check - postage is eating the margin",IF(AND(AH780&lt;&gt;"",AH780&lt;MarginWarning),"Low margin on this order","OK")))))) )</f>
        <v>0</v>
      </c>
    </row>
    <row r="781" spans="1:39">
      <c r="A781" s="38">
        <f>IF(B781="","",SalePrefix&amp;TEXT(ROW()-4,"0000"))</f>
        <v>0</v>
      </c>
      <c r="Q781" s="13">
        <f>IF(C781="","",IFERROR(INDEX(Products!$B$5:$B$304,MATCH(C781,Products!$A$5:$A$304,0)),"Bundle or deleted"))</f>
        <v>0</v>
      </c>
      <c r="R781" s="13">
        <f>IF(B781="","",TEXT(B781,"yyyy-mm"))</f>
        <v>0</v>
      </c>
      <c r="S781" s="20">
        <f>IF(C781="","",IFERROR(INDEX(Products!$AR$5:$AR$304,MATCH(C781,Products!$A$5:$A$304,0)),""))</f>
        <v>0</v>
      </c>
      <c r="T781" s="20">
        <f>IF(B781="","",IF(F781&lt;&gt;"",F781,IF(S781="",0,S781)))</f>
        <v>0</v>
      </c>
      <c r="U781" s="20">
        <f>IF(B781="","",ROUND(IF(D781="",0,D781)*T781,2))</f>
        <v>0</v>
      </c>
      <c r="V781" s="20">
        <f>IF(B781="","",ROUND(U781-IF(G781="",0,G781)-IF(L781="",0,L781),2))</f>
        <v>0</v>
      </c>
      <c r="W781" s="20">
        <f>IF(C781="","",IFERROR(INDEX(Products!$AT$5:$AT$304,MATCH(C781,Products!$A$5:$A$304,0)),""))</f>
        <v>0</v>
      </c>
      <c r="X781" s="20">
        <f>IF(C781="","",IFERROR(INDEX(Products!$AG$5:$AG$304,MATCH(C781,Products!$A$5:$A$304,0)),""))</f>
        <v>0</v>
      </c>
      <c r="Y781" s="20">
        <f>IF(B781="","",ROUND(IF(D781="",0,D781)*MAX(0,IF(W781="",0,W781)-IF(X781="",0,X781)),2))</f>
        <v>0</v>
      </c>
      <c r="Z781" s="20">
        <f>IF(B781="","",ROUND(MAX(0,IF(J781="",0,J781)-IF(I781="",0,I781)),2))</f>
        <v>0</v>
      </c>
      <c r="AA781" s="33">
        <f>IF(B781="","",IFERROR(INDEX(Channels!$S$5:$S$18,MATCH(IF(E781="",DefaultChannel,E781),Channels!$A$5:$A$18,0)),0))</f>
        <v>0</v>
      </c>
      <c r="AB781" s="20">
        <f>IF(B781="","",IFERROR(INDEX(Channels!$T$5:$T$18,MATCH(IF(E781="",DefaultChannel,E781),Channels!$A$5:$A$18,0)),0))</f>
        <v>0</v>
      </c>
      <c r="AC781" s="42">
        <f>IF(B781="","",IFERROR(INDEX(Channels!$O$5:$O$18,MATCH(IF(E781="",DefaultChannel,E781),Channels!$A$5:$A$18,0)),"No"))</f>
        <v>0</v>
      </c>
      <c r="AD781" s="20">
        <f>IF(B781="","",ROUND((V781+IF(AC781="Yes",IF(I781="",0,I781),0))*AA781+AB781,2))</f>
        <v>0</v>
      </c>
      <c r="AE781" s="20">
        <f>IF(B781="","",IF(K781&lt;&gt;"",K781,AD781))</f>
        <v>0</v>
      </c>
      <c r="AF781" s="20">
        <f>IF(B781="","",IF(K781="","",ROUND(K781-AD781,2)))</f>
        <v>0</v>
      </c>
      <c r="AG781" s="20">
        <f>IF(B781="","",ROUND(V781-Y781-AE781-Z781,2))</f>
        <v>0</v>
      </c>
      <c r="AH781" s="33">
        <f>IF(B781="","",IF(OR(V781="",V781=0),"",AG781/V781))</f>
        <v>0</v>
      </c>
      <c r="AI781" s="33">
        <f>IF(C781="","",IFERROR(INDEX(Products!$AW$5:$AW$304,MATCH(C781,Products!$A$5:$A$304,0)),""))</f>
        <v>0</v>
      </c>
      <c r="AJ781" s="33">
        <f>IF(B781="","",IF(OR(AH781="",AI781=""),"",AH781-AI781))</f>
        <v>0</v>
      </c>
      <c r="AK781" s="41">
        <f>IF(B781="","",IFERROR(ROUND(IF(D781="",0,D781)*INDEX(Products!$X$5:$X$304,MATCH(C781,Products!$A$5:$A$304,0))/60,2),""))</f>
        <v>0</v>
      </c>
      <c r="AL781" s="20">
        <f>IF(B781="","",IF(OR(AK781="",AK781=0),"",ROUND(AG781/AK781,2)))</f>
        <v>0</v>
      </c>
      <c r="AM781" s="43">
        <f>IF(B781="","",IF(C781="","Add - which product?",IF(AG781&lt;0,"Loss - this order cost you money",IF(M781="Refunded","Refunded - check why",IF(AND(AF781&lt;&gt;"",AF781&gt;0.25),"Check - fees higher than your settings",IF(Z781&gt;1,"Check - postage is eating the margin",IF(AND(AH781&lt;&gt;"",AH781&lt;MarginWarning),"Low margin on this order","OK")))))) )</f>
        <v>0</v>
      </c>
    </row>
    <row r="782" spans="1:39">
      <c r="A782" s="38">
        <f>IF(B782="","",SalePrefix&amp;TEXT(ROW()-4,"0000"))</f>
        <v>0</v>
      </c>
      <c r="Q782" s="13">
        <f>IF(C782="","",IFERROR(INDEX(Products!$B$5:$B$304,MATCH(C782,Products!$A$5:$A$304,0)),"Bundle or deleted"))</f>
        <v>0</v>
      </c>
      <c r="R782" s="13">
        <f>IF(B782="","",TEXT(B782,"yyyy-mm"))</f>
        <v>0</v>
      </c>
      <c r="S782" s="20">
        <f>IF(C782="","",IFERROR(INDEX(Products!$AR$5:$AR$304,MATCH(C782,Products!$A$5:$A$304,0)),""))</f>
        <v>0</v>
      </c>
      <c r="T782" s="20">
        <f>IF(B782="","",IF(F782&lt;&gt;"",F782,IF(S782="",0,S782)))</f>
        <v>0</v>
      </c>
      <c r="U782" s="20">
        <f>IF(B782="","",ROUND(IF(D782="",0,D782)*T782,2))</f>
        <v>0</v>
      </c>
      <c r="V782" s="20">
        <f>IF(B782="","",ROUND(U782-IF(G782="",0,G782)-IF(L782="",0,L782),2))</f>
        <v>0</v>
      </c>
      <c r="W782" s="20">
        <f>IF(C782="","",IFERROR(INDEX(Products!$AT$5:$AT$304,MATCH(C782,Products!$A$5:$A$304,0)),""))</f>
        <v>0</v>
      </c>
      <c r="X782" s="20">
        <f>IF(C782="","",IFERROR(INDEX(Products!$AG$5:$AG$304,MATCH(C782,Products!$A$5:$A$304,0)),""))</f>
        <v>0</v>
      </c>
      <c r="Y782" s="20">
        <f>IF(B782="","",ROUND(IF(D782="",0,D782)*MAX(0,IF(W782="",0,W782)-IF(X782="",0,X782)),2))</f>
        <v>0</v>
      </c>
      <c r="Z782" s="20">
        <f>IF(B782="","",ROUND(MAX(0,IF(J782="",0,J782)-IF(I782="",0,I782)),2))</f>
        <v>0</v>
      </c>
      <c r="AA782" s="33">
        <f>IF(B782="","",IFERROR(INDEX(Channels!$S$5:$S$18,MATCH(IF(E782="",DefaultChannel,E782),Channels!$A$5:$A$18,0)),0))</f>
        <v>0</v>
      </c>
      <c r="AB782" s="20">
        <f>IF(B782="","",IFERROR(INDEX(Channels!$T$5:$T$18,MATCH(IF(E782="",DefaultChannel,E782),Channels!$A$5:$A$18,0)),0))</f>
        <v>0</v>
      </c>
      <c r="AC782" s="42">
        <f>IF(B782="","",IFERROR(INDEX(Channels!$O$5:$O$18,MATCH(IF(E782="",DefaultChannel,E782),Channels!$A$5:$A$18,0)),"No"))</f>
        <v>0</v>
      </c>
      <c r="AD782" s="20">
        <f>IF(B782="","",ROUND((V782+IF(AC782="Yes",IF(I782="",0,I782),0))*AA782+AB782,2))</f>
        <v>0</v>
      </c>
      <c r="AE782" s="20">
        <f>IF(B782="","",IF(K782&lt;&gt;"",K782,AD782))</f>
        <v>0</v>
      </c>
      <c r="AF782" s="20">
        <f>IF(B782="","",IF(K782="","",ROUND(K782-AD782,2)))</f>
        <v>0</v>
      </c>
      <c r="AG782" s="20">
        <f>IF(B782="","",ROUND(V782-Y782-AE782-Z782,2))</f>
        <v>0</v>
      </c>
      <c r="AH782" s="33">
        <f>IF(B782="","",IF(OR(V782="",V782=0),"",AG782/V782))</f>
        <v>0</v>
      </c>
      <c r="AI782" s="33">
        <f>IF(C782="","",IFERROR(INDEX(Products!$AW$5:$AW$304,MATCH(C782,Products!$A$5:$A$304,0)),""))</f>
        <v>0</v>
      </c>
      <c r="AJ782" s="33">
        <f>IF(B782="","",IF(OR(AH782="",AI782=""),"",AH782-AI782))</f>
        <v>0</v>
      </c>
      <c r="AK782" s="41">
        <f>IF(B782="","",IFERROR(ROUND(IF(D782="",0,D782)*INDEX(Products!$X$5:$X$304,MATCH(C782,Products!$A$5:$A$304,0))/60,2),""))</f>
        <v>0</v>
      </c>
      <c r="AL782" s="20">
        <f>IF(B782="","",IF(OR(AK782="",AK782=0),"",ROUND(AG782/AK782,2)))</f>
        <v>0</v>
      </c>
      <c r="AM782" s="43">
        <f>IF(B782="","",IF(C782="","Add - which product?",IF(AG782&lt;0,"Loss - this order cost you money",IF(M782="Refunded","Refunded - check why",IF(AND(AF782&lt;&gt;"",AF782&gt;0.25),"Check - fees higher than your settings",IF(Z782&gt;1,"Check - postage is eating the margin",IF(AND(AH782&lt;&gt;"",AH782&lt;MarginWarning),"Low margin on this order","OK")))))) )</f>
        <v>0</v>
      </c>
    </row>
    <row r="783" spans="1:39">
      <c r="A783" s="38">
        <f>IF(B783="","",SalePrefix&amp;TEXT(ROW()-4,"0000"))</f>
        <v>0</v>
      </c>
      <c r="Q783" s="13">
        <f>IF(C783="","",IFERROR(INDEX(Products!$B$5:$B$304,MATCH(C783,Products!$A$5:$A$304,0)),"Bundle or deleted"))</f>
        <v>0</v>
      </c>
      <c r="R783" s="13">
        <f>IF(B783="","",TEXT(B783,"yyyy-mm"))</f>
        <v>0</v>
      </c>
      <c r="S783" s="20">
        <f>IF(C783="","",IFERROR(INDEX(Products!$AR$5:$AR$304,MATCH(C783,Products!$A$5:$A$304,0)),""))</f>
        <v>0</v>
      </c>
      <c r="T783" s="20">
        <f>IF(B783="","",IF(F783&lt;&gt;"",F783,IF(S783="",0,S783)))</f>
        <v>0</v>
      </c>
      <c r="U783" s="20">
        <f>IF(B783="","",ROUND(IF(D783="",0,D783)*T783,2))</f>
        <v>0</v>
      </c>
      <c r="V783" s="20">
        <f>IF(B783="","",ROUND(U783-IF(G783="",0,G783)-IF(L783="",0,L783),2))</f>
        <v>0</v>
      </c>
      <c r="W783" s="20">
        <f>IF(C783="","",IFERROR(INDEX(Products!$AT$5:$AT$304,MATCH(C783,Products!$A$5:$A$304,0)),""))</f>
        <v>0</v>
      </c>
      <c r="X783" s="20">
        <f>IF(C783="","",IFERROR(INDEX(Products!$AG$5:$AG$304,MATCH(C783,Products!$A$5:$A$304,0)),""))</f>
        <v>0</v>
      </c>
      <c r="Y783" s="20">
        <f>IF(B783="","",ROUND(IF(D783="",0,D783)*MAX(0,IF(W783="",0,W783)-IF(X783="",0,X783)),2))</f>
        <v>0</v>
      </c>
      <c r="Z783" s="20">
        <f>IF(B783="","",ROUND(MAX(0,IF(J783="",0,J783)-IF(I783="",0,I783)),2))</f>
        <v>0</v>
      </c>
      <c r="AA783" s="33">
        <f>IF(B783="","",IFERROR(INDEX(Channels!$S$5:$S$18,MATCH(IF(E783="",DefaultChannel,E783),Channels!$A$5:$A$18,0)),0))</f>
        <v>0</v>
      </c>
      <c r="AB783" s="20">
        <f>IF(B783="","",IFERROR(INDEX(Channels!$T$5:$T$18,MATCH(IF(E783="",DefaultChannel,E783),Channels!$A$5:$A$18,0)),0))</f>
        <v>0</v>
      </c>
      <c r="AC783" s="42">
        <f>IF(B783="","",IFERROR(INDEX(Channels!$O$5:$O$18,MATCH(IF(E783="",DefaultChannel,E783),Channels!$A$5:$A$18,0)),"No"))</f>
        <v>0</v>
      </c>
      <c r="AD783" s="20">
        <f>IF(B783="","",ROUND((V783+IF(AC783="Yes",IF(I783="",0,I783),0))*AA783+AB783,2))</f>
        <v>0</v>
      </c>
      <c r="AE783" s="20">
        <f>IF(B783="","",IF(K783&lt;&gt;"",K783,AD783))</f>
        <v>0</v>
      </c>
      <c r="AF783" s="20">
        <f>IF(B783="","",IF(K783="","",ROUND(K783-AD783,2)))</f>
        <v>0</v>
      </c>
      <c r="AG783" s="20">
        <f>IF(B783="","",ROUND(V783-Y783-AE783-Z783,2))</f>
        <v>0</v>
      </c>
      <c r="AH783" s="33">
        <f>IF(B783="","",IF(OR(V783="",V783=0),"",AG783/V783))</f>
        <v>0</v>
      </c>
      <c r="AI783" s="33">
        <f>IF(C783="","",IFERROR(INDEX(Products!$AW$5:$AW$304,MATCH(C783,Products!$A$5:$A$304,0)),""))</f>
        <v>0</v>
      </c>
      <c r="AJ783" s="33">
        <f>IF(B783="","",IF(OR(AH783="",AI783=""),"",AH783-AI783))</f>
        <v>0</v>
      </c>
      <c r="AK783" s="41">
        <f>IF(B783="","",IFERROR(ROUND(IF(D783="",0,D783)*INDEX(Products!$X$5:$X$304,MATCH(C783,Products!$A$5:$A$304,0))/60,2),""))</f>
        <v>0</v>
      </c>
      <c r="AL783" s="20">
        <f>IF(B783="","",IF(OR(AK783="",AK783=0),"",ROUND(AG783/AK783,2)))</f>
        <v>0</v>
      </c>
      <c r="AM783" s="43">
        <f>IF(B783="","",IF(C783="","Add - which product?",IF(AG783&lt;0,"Loss - this order cost you money",IF(M783="Refunded","Refunded - check why",IF(AND(AF783&lt;&gt;"",AF783&gt;0.25),"Check - fees higher than your settings",IF(Z783&gt;1,"Check - postage is eating the margin",IF(AND(AH783&lt;&gt;"",AH783&lt;MarginWarning),"Low margin on this order","OK")))))) )</f>
        <v>0</v>
      </c>
    </row>
    <row r="784" spans="1:39">
      <c r="A784" s="38">
        <f>IF(B784="","",SalePrefix&amp;TEXT(ROW()-4,"0000"))</f>
        <v>0</v>
      </c>
      <c r="Q784" s="13">
        <f>IF(C784="","",IFERROR(INDEX(Products!$B$5:$B$304,MATCH(C784,Products!$A$5:$A$304,0)),"Bundle or deleted"))</f>
        <v>0</v>
      </c>
      <c r="R784" s="13">
        <f>IF(B784="","",TEXT(B784,"yyyy-mm"))</f>
        <v>0</v>
      </c>
      <c r="S784" s="20">
        <f>IF(C784="","",IFERROR(INDEX(Products!$AR$5:$AR$304,MATCH(C784,Products!$A$5:$A$304,0)),""))</f>
        <v>0</v>
      </c>
      <c r="T784" s="20">
        <f>IF(B784="","",IF(F784&lt;&gt;"",F784,IF(S784="",0,S784)))</f>
        <v>0</v>
      </c>
      <c r="U784" s="20">
        <f>IF(B784="","",ROUND(IF(D784="",0,D784)*T784,2))</f>
        <v>0</v>
      </c>
      <c r="V784" s="20">
        <f>IF(B784="","",ROUND(U784-IF(G784="",0,G784)-IF(L784="",0,L784),2))</f>
        <v>0</v>
      </c>
      <c r="W784" s="20">
        <f>IF(C784="","",IFERROR(INDEX(Products!$AT$5:$AT$304,MATCH(C784,Products!$A$5:$A$304,0)),""))</f>
        <v>0</v>
      </c>
      <c r="X784" s="20">
        <f>IF(C784="","",IFERROR(INDEX(Products!$AG$5:$AG$304,MATCH(C784,Products!$A$5:$A$304,0)),""))</f>
        <v>0</v>
      </c>
      <c r="Y784" s="20">
        <f>IF(B784="","",ROUND(IF(D784="",0,D784)*MAX(0,IF(W784="",0,W784)-IF(X784="",0,X784)),2))</f>
        <v>0</v>
      </c>
      <c r="Z784" s="20">
        <f>IF(B784="","",ROUND(MAX(0,IF(J784="",0,J784)-IF(I784="",0,I784)),2))</f>
        <v>0</v>
      </c>
      <c r="AA784" s="33">
        <f>IF(B784="","",IFERROR(INDEX(Channels!$S$5:$S$18,MATCH(IF(E784="",DefaultChannel,E784),Channels!$A$5:$A$18,0)),0))</f>
        <v>0</v>
      </c>
      <c r="AB784" s="20">
        <f>IF(B784="","",IFERROR(INDEX(Channels!$T$5:$T$18,MATCH(IF(E784="",DefaultChannel,E784),Channels!$A$5:$A$18,0)),0))</f>
        <v>0</v>
      </c>
      <c r="AC784" s="42">
        <f>IF(B784="","",IFERROR(INDEX(Channels!$O$5:$O$18,MATCH(IF(E784="",DefaultChannel,E784),Channels!$A$5:$A$18,0)),"No"))</f>
        <v>0</v>
      </c>
      <c r="AD784" s="20">
        <f>IF(B784="","",ROUND((V784+IF(AC784="Yes",IF(I784="",0,I784),0))*AA784+AB784,2))</f>
        <v>0</v>
      </c>
      <c r="AE784" s="20">
        <f>IF(B784="","",IF(K784&lt;&gt;"",K784,AD784))</f>
        <v>0</v>
      </c>
      <c r="AF784" s="20">
        <f>IF(B784="","",IF(K784="","",ROUND(K784-AD784,2)))</f>
        <v>0</v>
      </c>
      <c r="AG784" s="20">
        <f>IF(B784="","",ROUND(V784-Y784-AE784-Z784,2))</f>
        <v>0</v>
      </c>
      <c r="AH784" s="33">
        <f>IF(B784="","",IF(OR(V784="",V784=0),"",AG784/V784))</f>
        <v>0</v>
      </c>
      <c r="AI784" s="33">
        <f>IF(C784="","",IFERROR(INDEX(Products!$AW$5:$AW$304,MATCH(C784,Products!$A$5:$A$304,0)),""))</f>
        <v>0</v>
      </c>
      <c r="AJ784" s="33">
        <f>IF(B784="","",IF(OR(AH784="",AI784=""),"",AH784-AI784))</f>
        <v>0</v>
      </c>
      <c r="AK784" s="41">
        <f>IF(B784="","",IFERROR(ROUND(IF(D784="",0,D784)*INDEX(Products!$X$5:$X$304,MATCH(C784,Products!$A$5:$A$304,0))/60,2),""))</f>
        <v>0</v>
      </c>
      <c r="AL784" s="20">
        <f>IF(B784="","",IF(OR(AK784="",AK784=0),"",ROUND(AG784/AK784,2)))</f>
        <v>0</v>
      </c>
      <c r="AM784" s="43">
        <f>IF(B784="","",IF(C784="","Add - which product?",IF(AG784&lt;0,"Loss - this order cost you money",IF(M784="Refunded","Refunded - check why",IF(AND(AF784&lt;&gt;"",AF784&gt;0.25),"Check - fees higher than your settings",IF(Z784&gt;1,"Check - postage is eating the margin",IF(AND(AH784&lt;&gt;"",AH784&lt;MarginWarning),"Low margin on this order","OK")))))) )</f>
        <v>0</v>
      </c>
    </row>
    <row r="785" spans="1:39">
      <c r="A785" s="38">
        <f>IF(B785="","",SalePrefix&amp;TEXT(ROW()-4,"0000"))</f>
        <v>0</v>
      </c>
      <c r="Q785" s="13">
        <f>IF(C785="","",IFERROR(INDEX(Products!$B$5:$B$304,MATCH(C785,Products!$A$5:$A$304,0)),"Bundle or deleted"))</f>
        <v>0</v>
      </c>
      <c r="R785" s="13">
        <f>IF(B785="","",TEXT(B785,"yyyy-mm"))</f>
        <v>0</v>
      </c>
      <c r="S785" s="20">
        <f>IF(C785="","",IFERROR(INDEX(Products!$AR$5:$AR$304,MATCH(C785,Products!$A$5:$A$304,0)),""))</f>
        <v>0</v>
      </c>
      <c r="T785" s="20">
        <f>IF(B785="","",IF(F785&lt;&gt;"",F785,IF(S785="",0,S785)))</f>
        <v>0</v>
      </c>
      <c r="U785" s="20">
        <f>IF(B785="","",ROUND(IF(D785="",0,D785)*T785,2))</f>
        <v>0</v>
      </c>
      <c r="V785" s="20">
        <f>IF(B785="","",ROUND(U785-IF(G785="",0,G785)-IF(L785="",0,L785),2))</f>
        <v>0</v>
      </c>
      <c r="W785" s="20">
        <f>IF(C785="","",IFERROR(INDEX(Products!$AT$5:$AT$304,MATCH(C785,Products!$A$5:$A$304,0)),""))</f>
        <v>0</v>
      </c>
      <c r="X785" s="20">
        <f>IF(C785="","",IFERROR(INDEX(Products!$AG$5:$AG$304,MATCH(C785,Products!$A$5:$A$304,0)),""))</f>
        <v>0</v>
      </c>
      <c r="Y785" s="20">
        <f>IF(B785="","",ROUND(IF(D785="",0,D785)*MAX(0,IF(W785="",0,W785)-IF(X785="",0,X785)),2))</f>
        <v>0</v>
      </c>
      <c r="Z785" s="20">
        <f>IF(B785="","",ROUND(MAX(0,IF(J785="",0,J785)-IF(I785="",0,I785)),2))</f>
        <v>0</v>
      </c>
      <c r="AA785" s="33">
        <f>IF(B785="","",IFERROR(INDEX(Channels!$S$5:$S$18,MATCH(IF(E785="",DefaultChannel,E785),Channels!$A$5:$A$18,0)),0))</f>
        <v>0</v>
      </c>
      <c r="AB785" s="20">
        <f>IF(B785="","",IFERROR(INDEX(Channels!$T$5:$T$18,MATCH(IF(E785="",DefaultChannel,E785),Channels!$A$5:$A$18,0)),0))</f>
        <v>0</v>
      </c>
      <c r="AC785" s="42">
        <f>IF(B785="","",IFERROR(INDEX(Channels!$O$5:$O$18,MATCH(IF(E785="",DefaultChannel,E785),Channels!$A$5:$A$18,0)),"No"))</f>
        <v>0</v>
      </c>
      <c r="AD785" s="20">
        <f>IF(B785="","",ROUND((V785+IF(AC785="Yes",IF(I785="",0,I785),0))*AA785+AB785,2))</f>
        <v>0</v>
      </c>
      <c r="AE785" s="20">
        <f>IF(B785="","",IF(K785&lt;&gt;"",K785,AD785))</f>
        <v>0</v>
      </c>
      <c r="AF785" s="20">
        <f>IF(B785="","",IF(K785="","",ROUND(K785-AD785,2)))</f>
        <v>0</v>
      </c>
      <c r="AG785" s="20">
        <f>IF(B785="","",ROUND(V785-Y785-AE785-Z785,2))</f>
        <v>0</v>
      </c>
      <c r="AH785" s="33">
        <f>IF(B785="","",IF(OR(V785="",V785=0),"",AG785/V785))</f>
        <v>0</v>
      </c>
      <c r="AI785" s="33">
        <f>IF(C785="","",IFERROR(INDEX(Products!$AW$5:$AW$304,MATCH(C785,Products!$A$5:$A$304,0)),""))</f>
        <v>0</v>
      </c>
      <c r="AJ785" s="33">
        <f>IF(B785="","",IF(OR(AH785="",AI785=""),"",AH785-AI785))</f>
        <v>0</v>
      </c>
      <c r="AK785" s="41">
        <f>IF(B785="","",IFERROR(ROUND(IF(D785="",0,D785)*INDEX(Products!$X$5:$X$304,MATCH(C785,Products!$A$5:$A$304,0))/60,2),""))</f>
        <v>0</v>
      </c>
      <c r="AL785" s="20">
        <f>IF(B785="","",IF(OR(AK785="",AK785=0),"",ROUND(AG785/AK785,2)))</f>
        <v>0</v>
      </c>
      <c r="AM785" s="43">
        <f>IF(B785="","",IF(C785="","Add - which product?",IF(AG785&lt;0,"Loss - this order cost you money",IF(M785="Refunded","Refunded - check why",IF(AND(AF785&lt;&gt;"",AF785&gt;0.25),"Check - fees higher than your settings",IF(Z785&gt;1,"Check - postage is eating the margin",IF(AND(AH785&lt;&gt;"",AH785&lt;MarginWarning),"Low margin on this order","OK")))))) )</f>
        <v>0</v>
      </c>
    </row>
    <row r="786" spans="1:39">
      <c r="A786" s="38">
        <f>IF(B786="","",SalePrefix&amp;TEXT(ROW()-4,"0000"))</f>
        <v>0</v>
      </c>
      <c r="Q786" s="13">
        <f>IF(C786="","",IFERROR(INDEX(Products!$B$5:$B$304,MATCH(C786,Products!$A$5:$A$304,0)),"Bundle or deleted"))</f>
        <v>0</v>
      </c>
      <c r="R786" s="13">
        <f>IF(B786="","",TEXT(B786,"yyyy-mm"))</f>
        <v>0</v>
      </c>
      <c r="S786" s="20">
        <f>IF(C786="","",IFERROR(INDEX(Products!$AR$5:$AR$304,MATCH(C786,Products!$A$5:$A$304,0)),""))</f>
        <v>0</v>
      </c>
      <c r="T786" s="20">
        <f>IF(B786="","",IF(F786&lt;&gt;"",F786,IF(S786="",0,S786)))</f>
        <v>0</v>
      </c>
      <c r="U786" s="20">
        <f>IF(B786="","",ROUND(IF(D786="",0,D786)*T786,2))</f>
        <v>0</v>
      </c>
      <c r="V786" s="20">
        <f>IF(B786="","",ROUND(U786-IF(G786="",0,G786)-IF(L786="",0,L786),2))</f>
        <v>0</v>
      </c>
      <c r="W786" s="20">
        <f>IF(C786="","",IFERROR(INDEX(Products!$AT$5:$AT$304,MATCH(C786,Products!$A$5:$A$304,0)),""))</f>
        <v>0</v>
      </c>
      <c r="X786" s="20">
        <f>IF(C786="","",IFERROR(INDEX(Products!$AG$5:$AG$304,MATCH(C786,Products!$A$5:$A$304,0)),""))</f>
        <v>0</v>
      </c>
      <c r="Y786" s="20">
        <f>IF(B786="","",ROUND(IF(D786="",0,D786)*MAX(0,IF(W786="",0,W786)-IF(X786="",0,X786)),2))</f>
        <v>0</v>
      </c>
      <c r="Z786" s="20">
        <f>IF(B786="","",ROUND(MAX(0,IF(J786="",0,J786)-IF(I786="",0,I786)),2))</f>
        <v>0</v>
      </c>
      <c r="AA786" s="33">
        <f>IF(B786="","",IFERROR(INDEX(Channels!$S$5:$S$18,MATCH(IF(E786="",DefaultChannel,E786),Channels!$A$5:$A$18,0)),0))</f>
        <v>0</v>
      </c>
      <c r="AB786" s="20">
        <f>IF(B786="","",IFERROR(INDEX(Channels!$T$5:$T$18,MATCH(IF(E786="",DefaultChannel,E786),Channels!$A$5:$A$18,0)),0))</f>
        <v>0</v>
      </c>
      <c r="AC786" s="42">
        <f>IF(B786="","",IFERROR(INDEX(Channels!$O$5:$O$18,MATCH(IF(E786="",DefaultChannel,E786),Channels!$A$5:$A$18,0)),"No"))</f>
        <v>0</v>
      </c>
      <c r="AD786" s="20">
        <f>IF(B786="","",ROUND((V786+IF(AC786="Yes",IF(I786="",0,I786),0))*AA786+AB786,2))</f>
        <v>0</v>
      </c>
      <c r="AE786" s="20">
        <f>IF(B786="","",IF(K786&lt;&gt;"",K786,AD786))</f>
        <v>0</v>
      </c>
      <c r="AF786" s="20">
        <f>IF(B786="","",IF(K786="","",ROUND(K786-AD786,2)))</f>
        <v>0</v>
      </c>
      <c r="AG786" s="20">
        <f>IF(B786="","",ROUND(V786-Y786-AE786-Z786,2))</f>
        <v>0</v>
      </c>
      <c r="AH786" s="33">
        <f>IF(B786="","",IF(OR(V786="",V786=0),"",AG786/V786))</f>
        <v>0</v>
      </c>
      <c r="AI786" s="33">
        <f>IF(C786="","",IFERROR(INDEX(Products!$AW$5:$AW$304,MATCH(C786,Products!$A$5:$A$304,0)),""))</f>
        <v>0</v>
      </c>
      <c r="AJ786" s="33">
        <f>IF(B786="","",IF(OR(AH786="",AI786=""),"",AH786-AI786))</f>
        <v>0</v>
      </c>
      <c r="AK786" s="41">
        <f>IF(B786="","",IFERROR(ROUND(IF(D786="",0,D786)*INDEX(Products!$X$5:$X$304,MATCH(C786,Products!$A$5:$A$304,0))/60,2),""))</f>
        <v>0</v>
      </c>
      <c r="AL786" s="20">
        <f>IF(B786="","",IF(OR(AK786="",AK786=0),"",ROUND(AG786/AK786,2)))</f>
        <v>0</v>
      </c>
      <c r="AM786" s="43">
        <f>IF(B786="","",IF(C786="","Add - which product?",IF(AG786&lt;0,"Loss - this order cost you money",IF(M786="Refunded","Refunded - check why",IF(AND(AF786&lt;&gt;"",AF786&gt;0.25),"Check - fees higher than your settings",IF(Z786&gt;1,"Check - postage is eating the margin",IF(AND(AH786&lt;&gt;"",AH786&lt;MarginWarning),"Low margin on this order","OK")))))) )</f>
        <v>0</v>
      </c>
    </row>
    <row r="787" spans="1:39">
      <c r="A787" s="38">
        <f>IF(B787="","",SalePrefix&amp;TEXT(ROW()-4,"0000"))</f>
        <v>0</v>
      </c>
      <c r="Q787" s="13">
        <f>IF(C787="","",IFERROR(INDEX(Products!$B$5:$B$304,MATCH(C787,Products!$A$5:$A$304,0)),"Bundle or deleted"))</f>
        <v>0</v>
      </c>
      <c r="R787" s="13">
        <f>IF(B787="","",TEXT(B787,"yyyy-mm"))</f>
        <v>0</v>
      </c>
      <c r="S787" s="20">
        <f>IF(C787="","",IFERROR(INDEX(Products!$AR$5:$AR$304,MATCH(C787,Products!$A$5:$A$304,0)),""))</f>
        <v>0</v>
      </c>
      <c r="T787" s="20">
        <f>IF(B787="","",IF(F787&lt;&gt;"",F787,IF(S787="",0,S787)))</f>
        <v>0</v>
      </c>
      <c r="U787" s="20">
        <f>IF(B787="","",ROUND(IF(D787="",0,D787)*T787,2))</f>
        <v>0</v>
      </c>
      <c r="V787" s="20">
        <f>IF(B787="","",ROUND(U787-IF(G787="",0,G787)-IF(L787="",0,L787),2))</f>
        <v>0</v>
      </c>
      <c r="W787" s="20">
        <f>IF(C787="","",IFERROR(INDEX(Products!$AT$5:$AT$304,MATCH(C787,Products!$A$5:$A$304,0)),""))</f>
        <v>0</v>
      </c>
      <c r="X787" s="20">
        <f>IF(C787="","",IFERROR(INDEX(Products!$AG$5:$AG$304,MATCH(C787,Products!$A$5:$A$304,0)),""))</f>
        <v>0</v>
      </c>
      <c r="Y787" s="20">
        <f>IF(B787="","",ROUND(IF(D787="",0,D787)*MAX(0,IF(W787="",0,W787)-IF(X787="",0,X787)),2))</f>
        <v>0</v>
      </c>
      <c r="Z787" s="20">
        <f>IF(B787="","",ROUND(MAX(0,IF(J787="",0,J787)-IF(I787="",0,I787)),2))</f>
        <v>0</v>
      </c>
      <c r="AA787" s="33">
        <f>IF(B787="","",IFERROR(INDEX(Channels!$S$5:$S$18,MATCH(IF(E787="",DefaultChannel,E787),Channels!$A$5:$A$18,0)),0))</f>
        <v>0</v>
      </c>
      <c r="AB787" s="20">
        <f>IF(B787="","",IFERROR(INDEX(Channels!$T$5:$T$18,MATCH(IF(E787="",DefaultChannel,E787),Channels!$A$5:$A$18,0)),0))</f>
        <v>0</v>
      </c>
      <c r="AC787" s="42">
        <f>IF(B787="","",IFERROR(INDEX(Channels!$O$5:$O$18,MATCH(IF(E787="",DefaultChannel,E787),Channels!$A$5:$A$18,0)),"No"))</f>
        <v>0</v>
      </c>
      <c r="AD787" s="20">
        <f>IF(B787="","",ROUND((V787+IF(AC787="Yes",IF(I787="",0,I787),0))*AA787+AB787,2))</f>
        <v>0</v>
      </c>
      <c r="AE787" s="20">
        <f>IF(B787="","",IF(K787&lt;&gt;"",K787,AD787))</f>
        <v>0</v>
      </c>
      <c r="AF787" s="20">
        <f>IF(B787="","",IF(K787="","",ROUND(K787-AD787,2)))</f>
        <v>0</v>
      </c>
      <c r="AG787" s="20">
        <f>IF(B787="","",ROUND(V787-Y787-AE787-Z787,2))</f>
        <v>0</v>
      </c>
      <c r="AH787" s="33">
        <f>IF(B787="","",IF(OR(V787="",V787=0),"",AG787/V787))</f>
        <v>0</v>
      </c>
      <c r="AI787" s="33">
        <f>IF(C787="","",IFERROR(INDEX(Products!$AW$5:$AW$304,MATCH(C787,Products!$A$5:$A$304,0)),""))</f>
        <v>0</v>
      </c>
      <c r="AJ787" s="33">
        <f>IF(B787="","",IF(OR(AH787="",AI787=""),"",AH787-AI787))</f>
        <v>0</v>
      </c>
      <c r="AK787" s="41">
        <f>IF(B787="","",IFERROR(ROUND(IF(D787="",0,D787)*INDEX(Products!$X$5:$X$304,MATCH(C787,Products!$A$5:$A$304,0))/60,2),""))</f>
        <v>0</v>
      </c>
      <c r="AL787" s="20">
        <f>IF(B787="","",IF(OR(AK787="",AK787=0),"",ROUND(AG787/AK787,2)))</f>
        <v>0</v>
      </c>
      <c r="AM787" s="43">
        <f>IF(B787="","",IF(C787="","Add - which product?",IF(AG787&lt;0,"Loss - this order cost you money",IF(M787="Refunded","Refunded - check why",IF(AND(AF787&lt;&gt;"",AF787&gt;0.25),"Check - fees higher than your settings",IF(Z787&gt;1,"Check - postage is eating the margin",IF(AND(AH787&lt;&gt;"",AH787&lt;MarginWarning),"Low margin on this order","OK")))))) )</f>
        <v>0</v>
      </c>
    </row>
    <row r="788" spans="1:39">
      <c r="A788" s="38">
        <f>IF(B788="","",SalePrefix&amp;TEXT(ROW()-4,"0000"))</f>
        <v>0</v>
      </c>
      <c r="Q788" s="13">
        <f>IF(C788="","",IFERROR(INDEX(Products!$B$5:$B$304,MATCH(C788,Products!$A$5:$A$304,0)),"Bundle or deleted"))</f>
        <v>0</v>
      </c>
      <c r="R788" s="13">
        <f>IF(B788="","",TEXT(B788,"yyyy-mm"))</f>
        <v>0</v>
      </c>
      <c r="S788" s="20">
        <f>IF(C788="","",IFERROR(INDEX(Products!$AR$5:$AR$304,MATCH(C788,Products!$A$5:$A$304,0)),""))</f>
        <v>0</v>
      </c>
      <c r="T788" s="20">
        <f>IF(B788="","",IF(F788&lt;&gt;"",F788,IF(S788="",0,S788)))</f>
        <v>0</v>
      </c>
      <c r="U788" s="20">
        <f>IF(B788="","",ROUND(IF(D788="",0,D788)*T788,2))</f>
        <v>0</v>
      </c>
      <c r="V788" s="20">
        <f>IF(B788="","",ROUND(U788-IF(G788="",0,G788)-IF(L788="",0,L788),2))</f>
        <v>0</v>
      </c>
      <c r="W788" s="20">
        <f>IF(C788="","",IFERROR(INDEX(Products!$AT$5:$AT$304,MATCH(C788,Products!$A$5:$A$304,0)),""))</f>
        <v>0</v>
      </c>
      <c r="X788" s="20">
        <f>IF(C788="","",IFERROR(INDEX(Products!$AG$5:$AG$304,MATCH(C788,Products!$A$5:$A$304,0)),""))</f>
        <v>0</v>
      </c>
      <c r="Y788" s="20">
        <f>IF(B788="","",ROUND(IF(D788="",0,D788)*MAX(0,IF(W788="",0,W788)-IF(X788="",0,X788)),2))</f>
        <v>0</v>
      </c>
      <c r="Z788" s="20">
        <f>IF(B788="","",ROUND(MAX(0,IF(J788="",0,J788)-IF(I788="",0,I788)),2))</f>
        <v>0</v>
      </c>
      <c r="AA788" s="33">
        <f>IF(B788="","",IFERROR(INDEX(Channels!$S$5:$S$18,MATCH(IF(E788="",DefaultChannel,E788),Channels!$A$5:$A$18,0)),0))</f>
        <v>0</v>
      </c>
      <c r="AB788" s="20">
        <f>IF(B788="","",IFERROR(INDEX(Channels!$T$5:$T$18,MATCH(IF(E788="",DefaultChannel,E788),Channels!$A$5:$A$18,0)),0))</f>
        <v>0</v>
      </c>
      <c r="AC788" s="42">
        <f>IF(B788="","",IFERROR(INDEX(Channels!$O$5:$O$18,MATCH(IF(E788="",DefaultChannel,E788),Channels!$A$5:$A$18,0)),"No"))</f>
        <v>0</v>
      </c>
      <c r="AD788" s="20">
        <f>IF(B788="","",ROUND((V788+IF(AC788="Yes",IF(I788="",0,I788),0))*AA788+AB788,2))</f>
        <v>0</v>
      </c>
      <c r="AE788" s="20">
        <f>IF(B788="","",IF(K788&lt;&gt;"",K788,AD788))</f>
        <v>0</v>
      </c>
      <c r="AF788" s="20">
        <f>IF(B788="","",IF(K788="","",ROUND(K788-AD788,2)))</f>
        <v>0</v>
      </c>
      <c r="AG788" s="20">
        <f>IF(B788="","",ROUND(V788-Y788-AE788-Z788,2))</f>
        <v>0</v>
      </c>
      <c r="AH788" s="33">
        <f>IF(B788="","",IF(OR(V788="",V788=0),"",AG788/V788))</f>
        <v>0</v>
      </c>
      <c r="AI788" s="33">
        <f>IF(C788="","",IFERROR(INDEX(Products!$AW$5:$AW$304,MATCH(C788,Products!$A$5:$A$304,0)),""))</f>
        <v>0</v>
      </c>
      <c r="AJ788" s="33">
        <f>IF(B788="","",IF(OR(AH788="",AI788=""),"",AH788-AI788))</f>
        <v>0</v>
      </c>
      <c r="AK788" s="41">
        <f>IF(B788="","",IFERROR(ROUND(IF(D788="",0,D788)*INDEX(Products!$X$5:$X$304,MATCH(C788,Products!$A$5:$A$304,0))/60,2),""))</f>
        <v>0</v>
      </c>
      <c r="AL788" s="20">
        <f>IF(B788="","",IF(OR(AK788="",AK788=0),"",ROUND(AG788/AK788,2)))</f>
        <v>0</v>
      </c>
      <c r="AM788" s="43">
        <f>IF(B788="","",IF(C788="","Add - which product?",IF(AG788&lt;0,"Loss - this order cost you money",IF(M788="Refunded","Refunded - check why",IF(AND(AF788&lt;&gt;"",AF788&gt;0.25),"Check - fees higher than your settings",IF(Z788&gt;1,"Check - postage is eating the margin",IF(AND(AH788&lt;&gt;"",AH788&lt;MarginWarning),"Low margin on this order","OK")))))) )</f>
        <v>0</v>
      </c>
    </row>
    <row r="789" spans="1:39">
      <c r="A789" s="38">
        <f>IF(B789="","",SalePrefix&amp;TEXT(ROW()-4,"0000"))</f>
        <v>0</v>
      </c>
      <c r="Q789" s="13">
        <f>IF(C789="","",IFERROR(INDEX(Products!$B$5:$B$304,MATCH(C789,Products!$A$5:$A$304,0)),"Bundle or deleted"))</f>
        <v>0</v>
      </c>
      <c r="R789" s="13">
        <f>IF(B789="","",TEXT(B789,"yyyy-mm"))</f>
        <v>0</v>
      </c>
      <c r="S789" s="20">
        <f>IF(C789="","",IFERROR(INDEX(Products!$AR$5:$AR$304,MATCH(C789,Products!$A$5:$A$304,0)),""))</f>
        <v>0</v>
      </c>
      <c r="T789" s="20">
        <f>IF(B789="","",IF(F789&lt;&gt;"",F789,IF(S789="",0,S789)))</f>
        <v>0</v>
      </c>
      <c r="U789" s="20">
        <f>IF(B789="","",ROUND(IF(D789="",0,D789)*T789,2))</f>
        <v>0</v>
      </c>
      <c r="V789" s="20">
        <f>IF(B789="","",ROUND(U789-IF(G789="",0,G789)-IF(L789="",0,L789),2))</f>
        <v>0</v>
      </c>
      <c r="W789" s="20">
        <f>IF(C789="","",IFERROR(INDEX(Products!$AT$5:$AT$304,MATCH(C789,Products!$A$5:$A$304,0)),""))</f>
        <v>0</v>
      </c>
      <c r="X789" s="20">
        <f>IF(C789="","",IFERROR(INDEX(Products!$AG$5:$AG$304,MATCH(C789,Products!$A$5:$A$304,0)),""))</f>
        <v>0</v>
      </c>
      <c r="Y789" s="20">
        <f>IF(B789="","",ROUND(IF(D789="",0,D789)*MAX(0,IF(W789="",0,W789)-IF(X789="",0,X789)),2))</f>
        <v>0</v>
      </c>
      <c r="Z789" s="20">
        <f>IF(B789="","",ROUND(MAX(0,IF(J789="",0,J789)-IF(I789="",0,I789)),2))</f>
        <v>0</v>
      </c>
      <c r="AA789" s="33">
        <f>IF(B789="","",IFERROR(INDEX(Channels!$S$5:$S$18,MATCH(IF(E789="",DefaultChannel,E789),Channels!$A$5:$A$18,0)),0))</f>
        <v>0</v>
      </c>
      <c r="AB789" s="20">
        <f>IF(B789="","",IFERROR(INDEX(Channels!$T$5:$T$18,MATCH(IF(E789="",DefaultChannel,E789),Channels!$A$5:$A$18,0)),0))</f>
        <v>0</v>
      </c>
      <c r="AC789" s="42">
        <f>IF(B789="","",IFERROR(INDEX(Channels!$O$5:$O$18,MATCH(IF(E789="",DefaultChannel,E789),Channels!$A$5:$A$18,0)),"No"))</f>
        <v>0</v>
      </c>
      <c r="AD789" s="20">
        <f>IF(B789="","",ROUND((V789+IF(AC789="Yes",IF(I789="",0,I789),0))*AA789+AB789,2))</f>
        <v>0</v>
      </c>
      <c r="AE789" s="20">
        <f>IF(B789="","",IF(K789&lt;&gt;"",K789,AD789))</f>
        <v>0</v>
      </c>
      <c r="AF789" s="20">
        <f>IF(B789="","",IF(K789="","",ROUND(K789-AD789,2)))</f>
        <v>0</v>
      </c>
      <c r="AG789" s="20">
        <f>IF(B789="","",ROUND(V789-Y789-AE789-Z789,2))</f>
        <v>0</v>
      </c>
      <c r="AH789" s="33">
        <f>IF(B789="","",IF(OR(V789="",V789=0),"",AG789/V789))</f>
        <v>0</v>
      </c>
      <c r="AI789" s="33">
        <f>IF(C789="","",IFERROR(INDEX(Products!$AW$5:$AW$304,MATCH(C789,Products!$A$5:$A$304,0)),""))</f>
        <v>0</v>
      </c>
      <c r="AJ789" s="33">
        <f>IF(B789="","",IF(OR(AH789="",AI789=""),"",AH789-AI789))</f>
        <v>0</v>
      </c>
      <c r="AK789" s="41">
        <f>IF(B789="","",IFERROR(ROUND(IF(D789="",0,D789)*INDEX(Products!$X$5:$X$304,MATCH(C789,Products!$A$5:$A$304,0))/60,2),""))</f>
        <v>0</v>
      </c>
      <c r="AL789" s="20">
        <f>IF(B789="","",IF(OR(AK789="",AK789=0),"",ROUND(AG789/AK789,2)))</f>
        <v>0</v>
      </c>
      <c r="AM789" s="43">
        <f>IF(B789="","",IF(C789="","Add - which product?",IF(AG789&lt;0,"Loss - this order cost you money",IF(M789="Refunded","Refunded - check why",IF(AND(AF789&lt;&gt;"",AF789&gt;0.25),"Check - fees higher than your settings",IF(Z789&gt;1,"Check - postage is eating the margin",IF(AND(AH789&lt;&gt;"",AH789&lt;MarginWarning),"Low margin on this order","OK")))))) )</f>
        <v>0</v>
      </c>
    </row>
    <row r="790" spans="1:39">
      <c r="A790" s="38">
        <f>IF(B790="","",SalePrefix&amp;TEXT(ROW()-4,"0000"))</f>
        <v>0</v>
      </c>
      <c r="Q790" s="13">
        <f>IF(C790="","",IFERROR(INDEX(Products!$B$5:$B$304,MATCH(C790,Products!$A$5:$A$304,0)),"Bundle or deleted"))</f>
        <v>0</v>
      </c>
      <c r="R790" s="13">
        <f>IF(B790="","",TEXT(B790,"yyyy-mm"))</f>
        <v>0</v>
      </c>
      <c r="S790" s="20">
        <f>IF(C790="","",IFERROR(INDEX(Products!$AR$5:$AR$304,MATCH(C790,Products!$A$5:$A$304,0)),""))</f>
        <v>0</v>
      </c>
      <c r="T790" s="20">
        <f>IF(B790="","",IF(F790&lt;&gt;"",F790,IF(S790="",0,S790)))</f>
        <v>0</v>
      </c>
      <c r="U790" s="20">
        <f>IF(B790="","",ROUND(IF(D790="",0,D790)*T790,2))</f>
        <v>0</v>
      </c>
      <c r="V790" s="20">
        <f>IF(B790="","",ROUND(U790-IF(G790="",0,G790)-IF(L790="",0,L790),2))</f>
        <v>0</v>
      </c>
      <c r="W790" s="20">
        <f>IF(C790="","",IFERROR(INDEX(Products!$AT$5:$AT$304,MATCH(C790,Products!$A$5:$A$304,0)),""))</f>
        <v>0</v>
      </c>
      <c r="X790" s="20">
        <f>IF(C790="","",IFERROR(INDEX(Products!$AG$5:$AG$304,MATCH(C790,Products!$A$5:$A$304,0)),""))</f>
        <v>0</v>
      </c>
      <c r="Y790" s="20">
        <f>IF(B790="","",ROUND(IF(D790="",0,D790)*MAX(0,IF(W790="",0,W790)-IF(X790="",0,X790)),2))</f>
        <v>0</v>
      </c>
      <c r="Z790" s="20">
        <f>IF(B790="","",ROUND(MAX(0,IF(J790="",0,J790)-IF(I790="",0,I790)),2))</f>
        <v>0</v>
      </c>
      <c r="AA790" s="33">
        <f>IF(B790="","",IFERROR(INDEX(Channels!$S$5:$S$18,MATCH(IF(E790="",DefaultChannel,E790),Channels!$A$5:$A$18,0)),0))</f>
        <v>0</v>
      </c>
      <c r="AB790" s="20">
        <f>IF(B790="","",IFERROR(INDEX(Channels!$T$5:$T$18,MATCH(IF(E790="",DefaultChannel,E790),Channels!$A$5:$A$18,0)),0))</f>
        <v>0</v>
      </c>
      <c r="AC790" s="42">
        <f>IF(B790="","",IFERROR(INDEX(Channels!$O$5:$O$18,MATCH(IF(E790="",DefaultChannel,E790),Channels!$A$5:$A$18,0)),"No"))</f>
        <v>0</v>
      </c>
      <c r="AD790" s="20">
        <f>IF(B790="","",ROUND((V790+IF(AC790="Yes",IF(I790="",0,I790),0))*AA790+AB790,2))</f>
        <v>0</v>
      </c>
      <c r="AE790" s="20">
        <f>IF(B790="","",IF(K790&lt;&gt;"",K790,AD790))</f>
        <v>0</v>
      </c>
      <c r="AF790" s="20">
        <f>IF(B790="","",IF(K790="","",ROUND(K790-AD790,2)))</f>
        <v>0</v>
      </c>
      <c r="AG790" s="20">
        <f>IF(B790="","",ROUND(V790-Y790-AE790-Z790,2))</f>
        <v>0</v>
      </c>
      <c r="AH790" s="33">
        <f>IF(B790="","",IF(OR(V790="",V790=0),"",AG790/V790))</f>
        <v>0</v>
      </c>
      <c r="AI790" s="33">
        <f>IF(C790="","",IFERROR(INDEX(Products!$AW$5:$AW$304,MATCH(C790,Products!$A$5:$A$304,0)),""))</f>
        <v>0</v>
      </c>
      <c r="AJ790" s="33">
        <f>IF(B790="","",IF(OR(AH790="",AI790=""),"",AH790-AI790))</f>
        <v>0</v>
      </c>
      <c r="AK790" s="41">
        <f>IF(B790="","",IFERROR(ROUND(IF(D790="",0,D790)*INDEX(Products!$X$5:$X$304,MATCH(C790,Products!$A$5:$A$304,0))/60,2),""))</f>
        <v>0</v>
      </c>
      <c r="AL790" s="20">
        <f>IF(B790="","",IF(OR(AK790="",AK790=0),"",ROUND(AG790/AK790,2)))</f>
        <v>0</v>
      </c>
      <c r="AM790" s="43">
        <f>IF(B790="","",IF(C790="","Add - which product?",IF(AG790&lt;0,"Loss - this order cost you money",IF(M790="Refunded","Refunded - check why",IF(AND(AF790&lt;&gt;"",AF790&gt;0.25),"Check - fees higher than your settings",IF(Z790&gt;1,"Check - postage is eating the margin",IF(AND(AH790&lt;&gt;"",AH790&lt;MarginWarning),"Low margin on this order","OK")))))) )</f>
        <v>0</v>
      </c>
    </row>
    <row r="791" spans="1:39">
      <c r="A791" s="38">
        <f>IF(B791="","",SalePrefix&amp;TEXT(ROW()-4,"0000"))</f>
        <v>0</v>
      </c>
      <c r="Q791" s="13">
        <f>IF(C791="","",IFERROR(INDEX(Products!$B$5:$B$304,MATCH(C791,Products!$A$5:$A$304,0)),"Bundle or deleted"))</f>
        <v>0</v>
      </c>
      <c r="R791" s="13">
        <f>IF(B791="","",TEXT(B791,"yyyy-mm"))</f>
        <v>0</v>
      </c>
      <c r="S791" s="20">
        <f>IF(C791="","",IFERROR(INDEX(Products!$AR$5:$AR$304,MATCH(C791,Products!$A$5:$A$304,0)),""))</f>
        <v>0</v>
      </c>
      <c r="T791" s="20">
        <f>IF(B791="","",IF(F791&lt;&gt;"",F791,IF(S791="",0,S791)))</f>
        <v>0</v>
      </c>
      <c r="U791" s="20">
        <f>IF(B791="","",ROUND(IF(D791="",0,D791)*T791,2))</f>
        <v>0</v>
      </c>
      <c r="V791" s="20">
        <f>IF(B791="","",ROUND(U791-IF(G791="",0,G791)-IF(L791="",0,L791),2))</f>
        <v>0</v>
      </c>
      <c r="W791" s="20">
        <f>IF(C791="","",IFERROR(INDEX(Products!$AT$5:$AT$304,MATCH(C791,Products!$A$5:$A$304,0)),""))</f>
        <v>0</v>
      </c>
      <c r="X791" s="20">
        <f>IF(C791="","",IFERROR(INDEX(Products!$AG$5:$AG$304,MATCH(C791,Products!$A$5:$A$304,0)),""))</f>
        <v>0</v>
      </c>
      <c r="Y791" s="20">
        <f>IF(B791="","",ROUND(IF(D791="",0,D791)*MAX(0,IF(W791="",0,W791)-IF(X791="",0,X791)),2))</f>
        <v>0</v>
      </c>
      <c r="Z791" s="20">
        <f>IF(B791="","",ROUND(MAX(0,IF(J791="",0,J791)-IF(I791="",0,I791)),2))</f>
        <v>0</v>
      </c>
      <c r="AA791" s="33">
        <f>IF(B791="","",IFERROR(INDEX(Channels!$S$5:$S$18,MATCH(IF(E791="",DefaultChannel,E791),Channels!$A$5:$A$18,0)),0))</f>
        <v>0</v>
      </c>
      <c r="AB791" s="20">
        <f>IF(B791="","",IFERROR(INDEX(Channels!$T$5:$T$18,MATCH(IF(E791="",DefaultChannel,E791),Channels!$A$5:$A$18,0)),0))</f>
        <v>0</v>
      </c>
      <c r="AC791" s="42">
        <f>IF(B791="","",IFERROR(INDEX(Channels!$O$5:$O$18,MATCH(IF(E791="",DefaultChannel,E791),Channels!$A$5:$A$18,0)),"No"))</f>
        <v>0</v>
      </c>
      <c r="AD791" s="20">
        <f>IF(B791="","",ROUND((V791+IF(AC791="Yes",IF(I791="",0,I791),0))*AA791+AB791,2))</f>
        <v>0</v>
      </c>
      <c r="AE791" s="20">
        <f>IF(B791="","",IF(K791&lt;&gt;"",K791,AD791))</f>
        <v>0</v>
      </c>
      <c r="AF791" s="20">
        <f>IF(B791="","",IF(K791="","",ROUND(K791-AD791,2)))</f>
        <v>0</v>
      </c>
      <c r="AG791" s="20">
        <f>IF(B791="","",ROUND(V791-Y791-AE791-Z791,2))</f>
        <v>0</v>
      </c>
      <c r="AH791" s="33">
        <f>IF(B791="","",IF(OR(V791="",V791=0),"",AG791/V791))</f>
        <v>0</v>
      </c>
      <c r="AI791" s="33">
        <f>IF(C791="","",IFERROR(INDEX(Products!$AW$5:$AW$304,MATCH(C791,Products!$A$5:$A$304,0)),""))</f>
        <v>0</v>
      </c>
      <c r="AJ791" s="33">
        <f>IF(B791="","",IF(OR(AH791="",AI791=""),"",AH791-AI791))</f>
        <v>0</v>
      </c>
      <c r="AK791" s="41">
        <f>IF(B791="","",IFERROR(ROUND(IF(D791="",0,D791)*INDEX(Products!$X$5:$X$304,MATCH(C791,Products!$A$5:$A$304,0))/60,2),""))</f>
        <v>0</v>
      </c>
      <c r="AL791" s="20">
        <f>IF(B791="","",IF(OR(AK791="",AK791=0),"",ROUND(AG791/AK791,2)))</f>
        <v>0</v>
      </c>
      <c r="AM791" s="43">
        <f>IF(B791="","",IF(C791="","Add - which product?",IF(AG791&lt;0,"Loss - this order cost you money",IF(M791="Refunded","Refunded - check why",IF(AND(AF791&lt;&gt;"",AF791&gt;0.25),"Check - fees higher than your settings",IF(Z791&gt;1,"Check - postage is eating the margin",IF(AND(AH791&lt;&gt;"",AH791&lt;MarginWarning),"Low margin on this order","OK")))))) )</f>
        <v>0</v>
      </c>
    </row>
    <row r="792" spans="1:39">
      <c r="A792" s="38">
        <f>IF(B792="","",SalePrefix&amp;TEXT(ROW()-4,"0000"))</f>
        <v>0</v>
      </c>
      <c r="Q792" s="13">
        <f>IF(C792="","",IFERROR(INDEX(Products!$B$5:$B$304,MATCH(C792,Products!$A$5:$A$304,0)),"Bundle or deleted"))</f>
        <v>0</v>
      </c>
      <c r="R792" s="13">
        <f>IF(B792="","",TEXT(B792,"yyyy-mm"))</f>
        <v>0</v>
      </c>
      <c r="S792" s="20">
        <f>IF(C792="","",IFERROR(INDEX(Products!$AR$5:$AR$304,MATCH(C792,Products!$A$5:$A$304,0)),""))</f>
        <v>0</v>
      </c>
      <c r="T792" s="20">
        <f>IF(B792="","",IF(F792&lt;&gt;"",F792,IF(S792="",0,S792)))</f>
        <v>0</v>
      </c>
      <c r="U792" s="20">
        <f>IF(B792="","",ROUND(IF(D792="",0,D792)*T792,2))</f>
        <v>0</v>
      </c>
      <c r="V792" s="20">
        <f>IF(B792="","",ROUND(U792-IF(G792="",0,G792)-IF(L792="",0,L792),2))</f>
        <v>0</v>
      </c>
      <c r="W792" s="20">
        <f>IF(C792="","",IFERROR(INDEX(Products!$AT$5:$AT$304,MATCH(C792,Products!$A$5:$A$304,0)),""))</f>
        <v>0</v>
      </c>
      <c r="X792" s="20">
        <f>IF(C792="","",IFERROR(INDEX(Products!$AG$5:$AG$304,MATCH(C792,Products!$A$5:$A$304,0)),""))</f>
        <v>0</v>
      </c>
      <c r="Y792" s="20">
        <f>IF(B792="","",ROUND(IF(D792="",0,D792)*MAX(0,IF(W792="",0,W792)-IF(X792="",0,X792)),2))</f>
        <v>0</v>
      </c>
      <c r="Z792" s="20">
        <f>IF(B792="","",ROUND(MAX(0,IF(J792="",0,J792)-IF(I792="",0,I792)),2))</f>
        <v>0</v>
      </c>
      <c r="AA792" s="33">
        <f>IF(B792="","",IFERROR(INDEX(Channels!$S$5:$S$18,MATCH(IF(E792="",DefaultChannel,E792),Channels!$A$5:$A$18,0)),0))</f>
        <v>0</v>
      </c>
      <c r="AB792" s="20">
        <f>IF(B792="","",IFERROR(INDEX(Channels!$T$5:$T$18,MATCH(IF(E792="",DefaultChannel,E792),Channels!$A$5:$A$18,0)),0))</f>
        <v>0</v>
      </c>
      <c r="AC792" s="42">
        <f>IF(B792="","",IFERROR(INDEX(Channels!$O$5:$O$18,MATCH(IF(E792="",DefaultChannel,E792),Channels!$A$5:$A$18,0)),"No"))</f>
        <v>0</v>
      </c>
      <c r="AD792" s="20">
        <f>IF(B792="","",ROUND((V792+IF(AC792="Yes",IF(I792="",0,I792),0))*AA792+AB792,2))</f>
        <v>0</v>
      </c>
      <c r="AE792" s="20">
        <f>IF(B792="","",IF(K792&lt;&gt;"",K792,AD792))</f>
        <v>0</v>
      </c>
      <c r="AF792" s="20">
        <f>IF(B792="","",IF(K792="","",ROUND(K792-AD792,2)))</f>
        <v>0</v>
      </c>
      <c r="AG792" s="20">
        <f>IF(B792="","",ROUND(V792-Y792-AE792-Z792,2))</f>
        <v>0</v>
      </c>
      <c r="AH792" s="33">
        <f>IF(B792="","",IF(OR(V792="",V792=0),"",AG792/V792))</f>
        <v>0</v>
      </c>
      <c r="AI792" s="33">
        <f>IF(C792="","",IFERROR(INDEX(Products!$AW$5:$AW$304,MATCH(C792,Products!$A$5:$A$304,0)),""))</f>
        <v>0</v>
      </c>
      <c r="AJ792" s="33">
        <f>IF(B792="","",IF(OR(AH792="",AI792=""),"",AH792-AI792))</f>
        <v>0</v>
      </c>
      <c r="AK792" s="41">
        <f>IF(B792="","",IFERROR(ROUND(IF(D792="",0,D792)*INDEX(Products!$X$5:$X$304,MATCH(C792,Products!$A$5:$A$304,0))/60,2),""))</f>
        <v>0</v>
      </c>
      <c r="AL792" s="20">
        <f>IF(B792="","",IF(OR(AK792="",AK792=0),"",ROUND(AG792/AK792,2)))</f>
        <v>0</v>
      </c>
      <c r="AM792" s="43">
        <f>IF(B792="","",IF(C792="","Add - which product?",IF(AG792&lt;0,"Loss - this order cost you money",IF(M792="Refunded","Refunded - check why",IF(AND(AF792&lt;&gt;"",AF792&gt;0.25),"Check - fees higher than your settings",IF(Z792&gt;1,"Check - postage is eating the margin",IF(AND(AH792&lt;&gt;"",AH792&lt;MarginWarning),"Low margin on this order","OK")))))) )</f>
        <v>0</v>
      </c>
    </row>
    <row r="793" spans="1:39">
      <c r="A793" s="38">
        <f>IF(B793="","",SalePrefix&amp;TEXT(ROW()-4,"0000"))</f>
        <v>0</v>
      </c>
      <c r="Q793" s="13">
        <f>IF(C793="","",IFERROR(INDEX(Products!$B$5:$B$304,MATCH(C793,Products!$A$5:$A$304,0)),"Bundle or deleted"))</f>
        <v>0</v>
      </c>
      <c r="R793" s="13">
        <f>IF(B793="","",TEXT(B793,"yyyy-mm"))</f>
        <v>0</v>
      </c>
      <c r="S793" s="20">
        <f>IF(C793="","",IFERROR(INDEX(Products!$AR$5:$AR$304,MATCH(C793,Products!$A$5:$A$304,0)),""))</f>
        <v>0</v>
      </c>
      <c r="T793" s="20">
        <f>IF(B793="","",IF(F793&lt;&gt;"",F793,IF(S793="",0,S793)))</f>
        <v>0</v>
      </c>
      <c r="U793" s="20">
        <f>IF(B793="","",ROUND(IF(D793="",0,D793)*T793,2))</f>
        <v>0</v>
      </c>
      <c r="V793" s="20">
        <f>IF(B793="","",ROUND(U793-IF(G793="",0,G793)-IF(L793="",0,L793),2))</f>
        <v>0</v>
      </c>
      <c r="W793" s="20">
        <f>IF(C793="","",IFERROR(INDEX(Products!$AT$5:$AT$304,MATCH(C793,Products!$A$5:$A$304,0)),""))</f>
        <v>0</v>
      </c>
      <c r="X793" s="20">
        <f>IF(C793="","",IFERROR(INDEX(Products!$AG$5:$AG$304,MATCH(C793,Products!$A$5:$A$304,0)),""))</f>
        <v>0</v>
      </c>
      <c r="Y793" s="20">
        <f>IF(B793="","",ROUND(IF(D793="",0,D793)*MAX(0,IF(W793="",0,W793)-IF(X793="",0,X793)),2))</f>
        <v>0</v>
      </c>
      <c r="Z793" s="20">
        <f>IF(B793="","",ROUND(MAX(0,IF(J793="",0,J793)-IF(I793="",0,I793)),2))</f>
        <v>0</v>
      </c>
      <c r="AA793" s="33">
        <f>IF(B793="","",IFERROR(INDEX(Channels!$S$5:$S$18,MATCH(IF(E793="",DefaultChannel,E793),Channels!$A$5:$A$18,0)),0))</f>
        <v>0</v>
      </c>
      <c r="AB793" s="20">
        <f>IF(B793="","",IFERROR(INDEX(Channels!$T$5:$T$18,MATCH(IF(E793="",DefaultChannel,E793),Channels!$A$5:$A$18,0)),0))</f>
        <v>0</v>
      </c>
      <c r="AC793" s="42">
        <f>IF(B793="","",IFERROR(INDEX(Channels!$O$5:$O$18,MATCH(IF(E793="",DefaultChannel,E793),Channels!$A$5:$A$18,0)),"No"))</f>
        <v>0</v>
      </c>
      <c r="AD793" s="20">
        <f>IF(B793="","",ROUND((V793+IF(AC793="Yes",IF(I793="",0,I793),0))*AA793+AB793,2))</f>
        <v>0</v>
      </c>
      <c r="AE793" s="20">
        <f>IF(B793="","",IF(K793&lt;&gt;"",K793,AD793))</f>
        <v>0</v>
      </c>
      <c r="AF793" s="20">
        <f>IF(B793="","",IF(K793="","",ROUND(K793-AD793,2)))</f>
        <v>0</v>
      </c>
      <c r="AG793" s="20">
        <f>IF(B793="","",ROUND(V793-Y793-AE793-Z793,2))</f>
        <v>0</v>
      </c>
      <c r="AH793" s="33">
        <f>IF(B793="","",IF(OR(V793="",V793=0),"",AG793/V793))</f>
        <v>0</v>
      </c>
      <c r="AI793" s="33">
        <f>IF(C793="","",IFERROR(INDEX(Products!$AW$5:$AW$304,MATCH(C793,Products!$A$5:$A$304,0)),""))</f>
        <v>0</v>
      </c>
      <c r="AJ793" s="33">
        <f>IF(B793="","",IF(OR(AH793="",AI793=""),"",AH793-AI793))</f>
        <v>0</v>
      </c>
      <c r="AK793" s="41">
        <f>IF(B793="","",IFERROR(ROUND(IF(D793="",0,D793)*INDEX(Products!$X$5:$X$304,MATCH(C793,Products!$A$5:$A$304,0))/60,2),""))</f>
        <v>0</v>
      </c>
      <c r="AL793" s="20">
        <f>IF(B793="","",IF(OR(AK793="",AK793=0),"",ROUND(AG793/AK793,2)))</f>
        <v>0</v>
      </c>
      <c r="AM793" s="43">
        <f>IF(B793="","",IF(C793="","Add - which product?",IF(AG793&lt;0,"Loss - this order cost you money",IF(M793="Refunded","Refunded - check why",IF(AND(AF793&lt;&gt;"",AF793&gt;0.25),"Check - fees higher than your settings",IF(Z793&gt;1,"Check - postage is eating the margin",IF(AND(AH793&lt;&gt;"",AH793&lt;MarginWarning),"Low margin on this order","OK")))))) )</f>
        <v>0</v>
      </c>
    </row>
    <row r="794" spans="1:39">
      <c r="A794" s="38">
        <f>IF(B794="","",SalePrefix&amp;TEXT(ROW()-4,"0000"))</f>
        <v>0</v>
      </c>
      <c r="Q794" s="13">
        <f>IF(C794="","",IFERROR(INDEX(Products!$B$5:$B$304,MATCH(C794,Products!$A$5:$A$304,0)),"Bundle or deleted"))</f>
        <v>0</v>
      </c>
      <c r="R794" s="13">
        <f>IF(B794="","",TEXT(B794,"yyyy-mm"))</f>
        <v>0</v>
      </c>
      <c r="S794" s="20">
        <f>IF(C794="","",IFERROR(INDEX(Products!$AR$5:$AR$304,MATCH(C794,Products!$A$5:$A$304,0)),""))</f>
        <v>0</v>
      </c>
      <c r="T794" s="20">
        <f>IF(B794="","",IF(F794&lt;&gt;"",F794,IF(S794="",0,S794)))</f>
        <v>0</v>
      </c>
      <c r="U794" s="20">
        <f>IF(B794="","",ROUND(IF(D794="",0,D794)*T794,2))</f>
        <v>0</v>
      </c>
      <c r="V794" s="20">
        <f>IF(B794="","",ROUND(U794-IF(G794="",0,G794)-IF(L794="",0,L794),2))</f>
        <v>0</v>
      </c>
      <c r="W794" s="20">
        <f>IF(C794="","",IFERROR(INDEX(Products!$AT$5:$AT$304,MATCH(C794,Products!$A$5:$A$304,0)),""))</f>
        <v>0</v>
      </c>
      <c r="X794" s="20">
        <f>IF(C794="","",IFERROR(INDEX(Products!$AG$5:$AG$304,MATCH(C794,Products!$A$5:$A$304,0)),""))</f>
        <v>0</v>
      </c>
      <c r="Y794" s="20">
        <f>IF(B794="","",ROUND(IF(D794="",0,D794)*MAX(0,IF(W794="",0,W794)-IF(X794="",0,X794)),2))</f>
        <v>0</v>
      </c>
      <c r="Z794" s="20">
        <f>IF(B794="","",ROUND(MAX(0,IF(J794="",0,J794)-IF(I794="",0,I794)),2))</f>
        <v>0</v>
      </c>
      <c r="AA794" s="33">
        <f>IF(B794="","",IFERROR(INDEX(Channels!$S$5:$S$18,MATCH(IF(E794="",DefaultChannel,E794),Channels!$A$5:$A$18,0)),0))</f>
        <v>0</v>
      </c>
      <c r="AB794" s="20">
        <f>IF(B794="","",IFERROR(INDEX(Channels!$T$5:$T$18,MATCH(IF(E794="",DefaultChannel,E794),Channels!$A$5:$A$18,0)),0))</f>
        <v>0</v>
      </c>
      <c r="AC794" s="42">
        <f>IF(B794="","",IFERROR(INDEX(Channels!$O$5:$O$18,MATCH(IF(E794="",DefaultChannel,E794),Channels!$A$5:$A$18,0)),"No"))</f>
        <v>0</v>
      </c>
      <c r="AD794" s="20">
        <f>IF(B794="","",ROUND((V794+IF(AC794="Yes",IF(I794="",0,I794),0))*AA794+AB794,2))</f>
        <v>0</v>
      </c>
      <c r="AE794" s="20">
        <f>IF(B794="","",IF(K794&lt;&gt;"",K794,AD794))</f>
        <v>0</v>
      </c>
      <c r="AF794" s="20">
        <f>IF(B794="","",IF(K794="","",ROUND(K794-AD794,2)))</f>
        <v>0</v>
      </c>
      <c r="AG794" s="20">
        <f>IF(B794="","",ROUND(V794-Y794-AE794-Z794,2))</f>
        <v>0</v>
      </c>
      <c r="AH794" s="33">
        <f>IF(B794="","",IF(OR(V794="",V794=0),"",AG794/V794))</f>
        <v>0</v>
      </c>
      <c r="AI794" s="33">
        <f>IF(C794="","",IFERROR(INDEX(Products!$AW$5:$AW$304,MATCH(C794,Products!$A$5:$A$304,0)),""))</f>
        <v>0</v>
      </c>
      <c r="AJ794" s="33">
        <f>IF(B794="","",IF(OR(AH794="",AI794=""),"",AH794-AI794))</f>
        <v>0</v>
      </c>
      <c r="AK794" s="41">
        <f>IF(B794="","",IFERROR(ROUND(IF(D794="",0,D794)*INDEX(Products!$X$5:$X$304,MATCH(C794,Products!$A$5:$A$304,0))/60,2),""))</f>
        <v>0</v>
      </c>
      <c r="AL794" s="20">
        <f>IF(B794="","",IF(OR(AK794="",AK794=0),"",ROUND(AG794/AK794,2)))</f>
        <v>0</v>
      </c>
      <c r="AM794" s="43">
        <f>IF(B794="","",IF(C794="","Add - which product?",IF(AG794&lt;0,"Loss - this order cost you money",IF(M794="Refunded","Refunded - check why",IF(AND(AF794&lt;&gt;"",AF794&gt;0.25),"Check - fees higher than your settings",IF(Z794&gt;1,"Check - postage is eating the margin",IF(AND(AH794&lt;&gt;"",AH794&lt;MarginWarning),"Low margin on this order","OK")))))) )</f>
        <v>0</v>
      </c>
    </row>
    <row r="795" spans="1:39">
      <c r="A795" s="38">
        <f>IF(B795="","",SalePrefix&amp;TEXT(ROW()-4,"0000"))</f>
        <v>0</v>
      </c>
      <c r="Q795" s="13">
        <f>IF(C795="","",IFERROR(INDEX(Products!$B$5:$B$304,MATCH(C795,Products!$A$5:$A$304,0)),"Bundle or deleted"))</f>
        <v>0</v>
      </c>
      <c r="R795" s="13">
        <f>IF(B795="","",TEXT(B795,"yyyy-mm"))</f>
        <v>0</v>
      </c>
      <c r="S795" s="20">
        <f>IF(C795="","",IFERROR(INDEX(Products!$AR$5:$AR$304,MATCH(C795,Products!$A$5:$A$304,0)),""))</f>
        <v>0</v>
      </c>
      <c r="T795" s="20">
        <f>IF(B795="","",IF(F795&lt;&gt;"",F795,IF(S795="",0,S795)))</f>
        <v>0</v>
      </c>
      <c r="U795" s="20">
        <f>IF(B795="","",ROUND(IF(D795="",0,D795)*T795,2))</f>
        <v>0</v>
      </c>
      <c r="V795" s="20">
        <f>IF(B795="","",ROUND(U795-IF(G795="",0,G795)-IF(L795="",0,L795),2))</f>
        <v>0</v>
      </c>
      <c r="W795" s="20">
        <f>IF(C795="","",IFERROR(INDEX(Products!$AT$5:$AT$304,MATCH(C795,Products!$A$5:$A$304,0)),""))</f>
        <v>0</v>
      </c>
      <c r="X795" s="20">
        <f>IF(C795="","",IFERROR(INDEX(Products!$AG$5:$AG$304,MATCH(C795,Products!$A$5:$A$304,0)),""))</f>
        <v>0</v>
      </c>
      <c r="Y795" s="20">
        <f>IF(B795="","",ROUND(IF(D795="",0,D795)*MAX(0,IF(W795="",0,W795)-IF(X795="",0,X795)),2))</f>
        <v>0</v>
      </c>
      <c r="Z795" s="20">
        <f>IF(B795="","",ROUND(MAX(0,IF(J795="",0,J795)-IF(I795="",0,I795)),2))</f>
        <v>0</v>
      </c>
      <c r="AA795" s="33">
        <f>IF(B795="","",IFERROR(INDEX(Channels!$S$5:$S$18,MATCH(IF(E795="",DefaultChannel,E795),Channels!$A$5:$A$18,0)),0))</f>
        <v>0</v>
      </c>
      <c r="AB795" s="20">
        <f>IF(B795="","",IFERROR(INDEX(Channels!$T$5:$T$18,MATCH(IF(E795="",DefaultChannel,E795),Channels!$A$5:$A$18,0)),0))</f>
        <v>0</v>
      </c>
      <c r="AC795" s="42">
        <f>IF(B795="","",IFERROR(INDEX(Channels!$O$5:$O$18,MATCH(IF(E795="",DefaultChannel,E795),Channels!$A$5:$A$18,0)),"No"))</f>
        <v>0</v>
      </c>
      <c r="AD795" s="20">
        <f>IF(B795="","",ROUND((V795+IF(AC795="Yes",IF(I795="",0,I795),0))*AA795+AB795,2))</f>
        <v>0</v>
      </c>
      <c r="AE795" s="20">
        <f>IF(B795="","",IF(K795&lt;&gt;"",K795,AD795))</f>
        <v>0</v>
      </c>
      <c r="AF795" s="20">
        <f>IF(B795="","",IF(K795="","",ROUND(K795-AD795,2)))</f>
        <v>0</v>
      </c>
      <c r="AG795" s="20">
        <f>IF(B795="","",ROUND(V795-Y795-AE795-Z795,2))</f>
        <v>0</v>
      </c>
      <c r="AH795" s="33">
        <f>IF(B795="","",IF(OR(V795="",V795=0),"",AG795/V795))</f>
        <v>0</v>
      </c>
      <c r="AI795" s="33">
        <f>IF(C795="","",IFERROR(INDEX(Products!$AW$5:$AW$304,MATCH(C795,Products!$A$5:$A$304,0)),""))</f>
        <v>0</v>
      </c>
      <c r="AJ795" s="33">
        <f>IF(B795="","",IF(OR(AH795="",AI795=""),"",AH795-AI795))</f>
        <v>0</v>
      </c>
      <c r="AK795" s="41">
        <f>IF(B795="","",IFERROR(ROUND(IF(D795="",0,D795)*INDEX(Products!$X$5:$X$304,MATCH(C795,Products!$A$5:$A$304,0))/60,2),""))</f>
        <v>0</v>
      </c>
      <c r="AL795" s="20">
        <f>IF(B795="","",IF(OR(AK795="",AK795=0),"",ROUND(AG795/AK795,2)))</f>
        <v>0</v>
      </c>
      <c r="AM795" s="43">
        <f>IF(B795="","",IF(C795="","Add - which product?",IF(AG795&lt;0,"Loss - this order cost you money",IF(M795="Refunded","Refunded - check why",IF(AND(AF795&lt;&gt;"",AF795&gt;0.25),"Check - fees higher than your settings",IF(Z795&gt;1,"Check - postage is eating the margin",IF(AND(AH795&lt;&gt;"",AH795&lt;MarginWarning),"Low margin on this order","OK")))))) )</f>
        <v>0</v>
      </c>
    </row>
    <row r="796" spans="1:39">
      <c r="A796" s="38">
        <f>IF(B796="","",SalePrefix&amp;TEXT(ROW()-4,"0000"))</f>
        <v>0</v>
      </c>
      <c r="Q796" s="13">
        <f>IF(C796="","",IFERROR(INDEX(Products!$B$5:$B$304,MATCH(C796,Products!$A$5:$A$304,0)),"Bundle or deleted"))</f>
        <v>0</v>
      </c>
      <c r="R796" s="13">
        <f>IF(B796="","",TEXT(B796,"yyyy-mm"))</f>
        <v>0</v>
      </c>
      <c r="S796" s="20">
        <f>IF(C796="","",IFERROR(INDEX(Products!$AR$5:$AR$304,MATCH(C796,Products!$A$5:$A$304,0)),""))</f>
        <v>0</v>
      </c>
      <c r="T796" s="20">
        <f>IF(B796="","",IF(F796&lt;&gt;"",F796,IF(S796="",0,S796)))</f>
        <v>0</v>
      </c>
      <c r="U796" s="20">
        <f>IF(B796="","",ROUND(IF(D796="",0,D796)*T796,2))</f>
        <v>0</v>
      </c>
      <c r="V796" s="20">
        <f>IF(B796="","",ROUND(U796-IF(G796="",0,G796)-IF(L796="",0,L796),2))</f>
        <v>0</v>
      </c>
      <c r="W796" s="20">
        <f>IF(C796="","",IFERROR(INDEX(Products!$AT$5:$AT$304,MATCH(C796,Products!$A$5:$A$304,0)),""))</f>
        <v>0</v>
      </c>
      <c r="X796" s="20">
        <f>IF(C796="","",IFERROR(INDEX(Products!$AG$5:$AG$304,MATCH(C796,Products!$A$5:$A$304,0)),""))</f>
        <v>0</v>
      </c>
      <c r="Y796" s="20">
        <f>IF(B796="","",ROUND(IF(D796="",0,D796)*MAX(0,IF(W796="",0,W796)-IF(X796="",0,X796)),2))</f>
        <v>0</v>
      </c>
      <c r="Z796" s="20">
        <f>IF(B796="","",ROUND(MAX(0,IF(J796="",0,J796)-IF(I796="",0,I796)),2))</f>
        <v>0</v>
      </c>
      <c r="AA796" s="33">
        <f>IF(B796="","",IFERROR(INDEX(Channels!$S$5:$S$18,MATCH(IF(E796="",DefaultChannel,E796),Channels!$A$5:$A$18,0)),0))</f>
        <v>0</v>
      </c>
      <c r="AB796" s="20">
        <f>IF(B796="","",IFERROR(INDEX(Channels!$T$5:$T$18,MATCH(IF(E796="",DefaultChannel,E796),Channels!$A$5:$A$18,0)),0))</f>
        <v>0</v>
      </c>
      <c r="AC796" s="42">
        <f>IF(B796="","",IFERROR(INDEX(Channels!$O$5:$O$18,MATCH(IF(E796="",DefaultChannel,E796),Channels!$A$5:$A$18,0)),"No"))</f>
        <v>0</v>
      </c>
      <c r="AD796" s="20">
        <f>IF(B796="","",ROUND((V796+IF(AC796="Yes",IF(I796="",0,I796),0))*AA796+AB796,2))</f>
        <v>0</v>
      </c>
      <c r="AE796" s="20">
        <f>IF(B796="","",IF(K796&lt;&gt;"",K796,AD796))</f>
        <v>0</v>
      </c>
      <c r="AF796" s="20">
        <f>IF(B796="","",IF(K796="","",ROUND(K796-AD796,2)))</f>
        <v>0</v>
      </c>
      <c r="AG796" s="20">
        <f>IF(B796="","",ROUND(V796-Y796-AE796-Z796,2))</f>
        <v>0</v>
      </c>
      <c r="AH796" s="33">
        <f>IF(B796="","",IF(OR(V796="",V796=0),"",AG796/V796))</f>
        <v>0</v>
      </c>
      <c r="AI796" s="33">
        <f>IF(C796="","",IFERROR(INDEX(Products!$AW$5:$AW$304,MATCH(C796,Products!$A$5:$A$304,0)),""))</f>
        <v>0</v>
      </c>
      <c r="AJ796" s="33">
        <f>IF(B796="","",IF(OR(AH796="",AI796=""),"",AH796-AI796))</f>
        <v>0</v>
      </c>
      <c r="AK796" s="41">
        <f>IF(B796="","",IFERROR(ROUND(IF(D796="",0,D796)*INDEX(Products!$X$5:$X$304,MATCH(C796,Products!$A$5:$A$304,0))/60,2),""))</f>
        <v>0</v>
      </c>
      <c r="AL796" s="20">
        <f>IF(B796="","",IF(OR(AK796="",AK796=0),"",ROUND(AG796/AK796,2)))</f>
        <v>0</v>
      </c>
      <c r="AM796" s="43">
        <f>IF(B796="","",IF(C796="","Add - which product?",IF(AG796&lt;0,"Loss - this order cost you money",IF(M796="Refunded","Refunded - check why",IF(AND(AF796&lt;&gt;"",AF796&gt;0.25),"Check - fees higher than your settings",IF(Z796&gt;1,"Check - postage is eating the margin",IF(AND(AH796&lt;&gt;"",AH796&lt;MarginWarning),"Low margin on this order","OK")))))) )</f>
        <v>0</v>
      </c>
    </row>
    <row r="797" spans="1:39">
      <c r="A797" s="38">
        <f>IF(B797="","",SalePrefix&amp;TEXT(ROW()-4,"0000"))</f>
        <v>0</v>
      </c>
      <c r="Q797" s="13">
        <f>IF(C797="","",IFERROR(INDEX(Products!$B$5:$B$304,MATCH(C797,Products!$A$5:$A$304,0)),"Bundle or deleted"))</f>
        <v>0</v>
      </c>
      <c r="R797" s="13">
        <f>IF(B797="","",TEXT(B797,"yyyy-mm"))</f>
        <v>0</v>
      </c>
      <c r="S797" s="20">
        <f>IF(C797="","",IFERROR(INDEX(Products!$AR$5:$AR$304,MATCH(C797,Products!$A$5:$A$304,0)),""))</f>
        <v>0</v>
      </c>
      <c r="T797" s="20">
        <f>IF(B797="","",IF(F797&lt;&gt;"",F797,IF(S797="",0,S797)))</f>
        <v>0</v>
      </c>
      <c r="U797" s="20">
        <f>IF(B797="","",ROUND(IF(D797="",0,D797)*T797,2))</f>
        <v>0</v>
      </c>
      <c r="V797" s="20">
        <f>IF(B797="","",ROUND(U797-IF(G797="",0,G797)-IF(L797="",0,L797),2))</f>
        <v>0</v>
      </c>
      <c r="W797" s="20">
        <f>IF(C797="","",IFERROR(INDEX(Products!$AT$5:$AT$304,MATCH(C797,Products!$A$5:$A$304,0)),""))</f>
        <v>0</v>
      </c>
      <c r="X797" s="20">
        <f>IF(C797="","",IFERROR(INDEX(Products!$AG$5:$AG$304,MATCH(C797,Products!$A$5:$A$304,0)),""))</f>
        <v>0</v>
      </c>
      <c r="Y797" s="20">
        <f>IF(B797="","",ROUND(IF(D797="",0,D797)*MAX(0,IF(W797="",0,W797)-IF(X797="",0,X797)),2))</f>
        <v>0</v>
      </c>
      <c r="Z797" s="20">
        <f>IF(B797="","",ROUND(MAX(0,IF(J797="",0,J797)-IF(I797="",0,I797)),2))</f>
        <v>0</v>
      </c>
      <c r="AA797" s="33">
        <f>IF(B797="","",IFERROR(INDEX(Channels!$S$5:$S$18,MATCH(IF(E797="",DefaultChannel,E797),Channels!$A$5:$A$18,0)),0))</f>
        <v>0</v>
      </c>
      <c r="AB797" s="20">
        <f>IF(B797="","",IFERROR(INDEX(Channels!$T$5:$T$18,MATCH(IF(E797="",DefaultChannel,E797),Channels!$A$5:$A$18,0)),0))</f>
        <v>0</v>
      </c>
      <c r="AC797" s="42">
        <f>IF(B797="","",IFERROR(INDEX(Channels!$O$5:$O$18,MATCH(IF(E797="",DefaultChannel,E797),Channels!$A$5:$A$18,0)),"No"))</f>
        <v>0</v>
      </c>
      <c r="AD797" s="20">
        <f>IF(B797="","",ROUND((V797+IF(AC797="Yes",IF(I797="",0,I797),0))*AA797+AB797,2))</f>
        <v>0</v>
      </c>
      <c r="AE797" s="20">
        <f>IF(B797="","",IF(K797&lt;&gt;"",K797,AD797))</f>
        <v>0</v>
      </c>
      <c r="AF797" s="20">
        <f>IF(B797="","",IF(K797="","",ROUND(K797-AD797,2)))</f>
        <v>0</v>
      </c>
      <c r="AG797" s="20">
        <f>IF(B797="","",ROUND(V797-Y797-AE797-Z797,2))</f>
        <v>0</v>
      </c>
      <c r="AH797" s="33">
        <f>IF(B797="","",IF(OR(V797="",V797=0),"",AG797/V797))</f>
        <v>0</v>
      </c>
      <c r="AI797" s="33">
        <f>IF(C797="","",IFERROR(INDEX(Products!$AW$5:$AW$304,MATCH(C797,Products!$A$5:$A$304,0)),""))</f>
        <v>0</v>
      </c>
      <c r="AJ797" s="33">
        <f>IF(B797="","",IF(OR(AH797="",AI797=""),"",AH797-AI797))</f>
        <v>0</v>
      </c>
      <c r="AK797" s="41">
        <f>IF(B797="","",IFERROR(ROUND(IF(D797="",0,D797)*INDEX(Products!$X$5:$X$304,MATCH(C797,Products!$A$5:$A$304,0))/60,2),""))</f>
        <v>0</v>
      </c>
      <c r="AL797" s="20">
        <f>IF(B797="","",IF(OR(AK797="",AK797=0),"",ROUND(AG797/AK797,2)))</f>
        <v>0</v>
      </c>
      <c r="AM797" s="43">
        <f>IF(B797="","",IF(C797="","Add - which product?",IF(AG797&lt;0,"Loss - this order cost you money",IF(M797="Refunded","Refunded - check why",IF(AND(AF797&lt;&gt;"",AF797&gt;0.25),"Check - fees higher than your settings",IF(Z797&gt;1,"Check - postage is eating the margin",IF(AND(AH797&lt;&gt;"",AH797&lt;MarginWarning),"Low margin on this order","OK")))))) )</f>
        <v>0</v>
      </c>
    </row>
    <row r="798" spans="1:39">
      <c r="A798" s="38">
        <f>IF(B798="","",SalePrefix&amp;TEXT(ROW()-4,"0000"))</f>
        <v>0</v>
      </c>
      <c r="Q798" s="13">
        <f>IF(C798="","",IFERROR(INDEX(Products!$B$5:$B$304,MATCH(C798,Products!$A$5:$A$304,0)),"Bundle or deleted"))</f>
        <v>0</v>
      </c>
      <c r="R798" s="13">
        <f>IF(B798="","",TEXT(B798,"yyyy-mm"))</f>
        <v>0</v>
      </c>
      <c r="S798" s="20">
        <f>IF(C798="","",IFERROR(INDEX(Products!$AR$5:$AR$304,MATCH(C798,Products!$A$5:$A$304,0)),""))</f>
        <v>0</v>
      </c>
      <c r="T798" s="20">
        <f>IF(B798="","",IF(F798&lt;&gt;"",F798,IF(S798="",0,S798)))</f>
        <v>0</v>
      </c>
      <c r="U798" s="20">
        <f>IF(B798="","",ROUND(IF(D798="",0,D798)*T798,2))</f>
        <v>0</v>
      </c>
      <c r="V798" s="20">
        <f>IF(B798="","",ROUND(U798-IF(G798="",0,G798)-IF(L798="",0,L798),2))</f>
        <v>0</v>
      </c>
      <c r="W798" s="20">
        <f>IF(C798="","",IFERROR(INDEX(Products!$AT$5:$AT$304,MATCH(C798,Products!$A$5:$A$304,0)),""))</f>
        <v>0</v>
      </c>
      <c r="X798" s="20">
        <f>IF(C798="","",IFERROR(INDEX(Products!$AG$5:$AG$304,MATCH(C798,Products!$A$5:$A$304,0)),""))</f>
        <v>0</v>
      </c>
      <c r="Y798" s="20">
        <f>IF(B798="","",ROUND(IF(D798="",0,D798)*MAX(0,IF(W798="",0,W798)-IF(X798="",0,X798)),2))</f>
        <v>0</v>
      </c>
      <c r="Z798" s="20">
        <f>IF(B798="","",ROUND(MAX(0,IF(J798="",0,J798)-IF(I798="",0,I798)),2))</f>
        <v>0</v>
      </c>
      <c r="AA798" s="33">
        <f>IF(B798="","",IFERROR(INDEX(Channels!$S$5:$S$18,MATCH(IF(E798="",DefaultChannel,E798),Channels!$A$5:$A$18,0)),0))</f>
        <v>0</v>
      </c>
      <c r="AB798" s="20">
        <f>IF(B798="","",IFERROR(INDEX(Channels!$T$5:$T$18,MATCH(IF(E798="",DefaultChannel,E798),Channels!$A$5:$A$18,0)),0))</f>
        <v>0</v>
      </c>
      <c r="AC798" s="42">
        <f>IF(B798="","",IFERROR(INDEX(Channels!$O$5:$O$18,MATCH(IF(E798="",DefaultChannel,E798),Channels!$A$5:$A$18,0)),"No"))</f>
        <v>0</v>
      </c>
      <c r="AD798" s="20">
        <f>IF(B798="","",ROUND((V798+IF(AC798="Yes",IF(I798="",0,I798),0))*AA798+AB798,2))</f>
        <v>0</v>
      </c>
      <c r="AE798" s="20">
        <f>IF(B798="","",IF(K798&lt;&gt;"",K798,AD798))</f>
        <v>0</v>
      </c>
      <c r="AF798" s="20">
        <f>IF(B798="","",IF(K798="","",ROUND(K798-AD798,2)))</f>
        <v>0</v>
      </c>
      <c r="AG798" s="20">
        <f>IF(B798="","",ROUND(V798-Y798-AE798-Z798,2))</f>
        <v>0</v>
      </c>
      <c r="AH798" s="33">
        <f>IF(B798="","",IF(OR(V798="",V798=0),"",AG798/V798))</f>
        <v>0</v>
      </c>
      <c r="AI798" s="33">
        <f>IF(C798="","",IFERROR(INDEX(Products!$AW$5:$AW$304,MATCH(C798,Products!$A$5:$A$304,0)),""))</f>
        <v>0</v>
      </c>
      <c r="AJ798" s="33">
        <f>IF(B798="","",IF(OR(AH798="",AI798=""),"",AH798-AI798))</f>
        <v>0</v>
      </c>
      <c r="AK798" s="41">
        <f>IF(B798="","",IFERROR(ROUND(IF(D798="",0,D798)*INDEX(Products!$X$5:$X$304,MATCH(C798,Products!$A$5:$A$304,0))/60,2),""))</f>
        <v>0</v>
      </c>
      <c r="AL798" s="20">
        <f>IF(B798="","",IF(OR(AK798="",AK798=0),"",ROUND(AG798/AK798,2)))</f>
        <v>0</v>
      </c>
      <c r="AM798" s="43">
        <f>IF(B798="","",IF(C798="","Add - which product?",IF(AG798&lt;0,"Loss - this order cost you money",IF(M798="Refunded","Refunded - check why",IF(AND(AF798&lt;&gt;"",AF798&gt;0.25),"Check - fees higher than your settings",IF(Z798&gt;1,"Check - postage is eating the margin",IF(AND(AH798&lt;&gt;"",AH798&lt;MarginWarning),"Low margin on this order","OK")))))) )</f>
        <v>0</v>
      </c>
    </row>
    <row r="799" spans="1:39">
      <c r="A799" s="38">
        <f>IF(B799="","",SalePrefix&amp;TEXT(ROW()-4,"0000"))</f>
        <v>0</v>
      </c>
      <c r="Q799" s="13">
        <f>IF(C799="","",IFERROR(INDEX(Products!$B$5:$B$304,MATCH(C799,Products!$A$5:$A$304,0)),"Bundle or deleted"))</f>
        <v>0</v>
      </c>
      <c r="R799" s="13">
        <f>IF(B799="","",TEXT(B799,"yyyy-mm"))</f>
        <v>0</v>
      </c>
      <c r="S799" s="20">
        <f>IF(C799="","",IFERROR(INDEX(Products!$AR$5:$AR$304,MATCH(C799,Products!$A$5:$A$304,0)),""))</f>
        <v>0</v>
      </c>
      <c r="T799" s="20">
        <f>IF(B799="","",IF(F799&lt;&gt;"",F799,IF(S799="",0,S799)))</f>
        <v>0</v>
      </c>
      <c r="U799" s="20">
        <f>IF(B799="","",ROUND(IF(D799="",0,D799)*T799,2))</f>
        <v>0</v>
      </c>
      <c r="V799" s="20">
        <f>IF(B799="","",ROUND(U799-IF(G799="",0,G799)-IF(L799="",0,L799),2))</f>
        <v>0</v>
      </c>
      <c r="W799" s="20">
        <f>IF(C799="","",IFERROR(INDEX(Products!$AT$5:$AT$304,MATCH(C799,Products!$A$5:$A$304,0)),""))</f>
        <v>0</v>
      </c>
      <c r="X799" s="20">
        <f>IF(C799="","",IFERROR(INDEX(Products!$AG$5:$AG$304,MATCH(C799,Products!$A$5:$A$304,0)),""))</f>
        <v>0</v>
      </c>
      <c r="Y799" s="20">
        <f>IF(B799="","",ROUND(IF(D799="",0,D799)*MAX(0,IF(W799="",0,W799)-IF(X799="",0,X799)),2))</f>
        <v>0</v>
      </c>
      <c r="Z799" s="20">
        <f>IF(B799="","",ROUND(MAX(0,IF(J799="",0,J799)-IF(I799="",0,I799)),2))</f>
        <v>0</v>
      </c>
      <c r="AA799" s="33">
        <f>IF(B799="","",IFERROR(INDEX(Channels!$S$5:$S$18,MATCH(IF(E799="",DefaultChannel,E799),Channels!$A$5:$A$18,0)),0))</f>
        <v>0</v>
      </c>
      <c r="AB799" s="20">
        <f>IF(B799="","",IFERROR(INDEX(Channels!$T$5:$T$18,MATCH(IF(E799="",DefaultChannel,E799),Channels!$A$5:$A$18,0)),0))</f>
        <v>0</v>
      </c>
      <c r="AC799" s="42">
        <f>IF(B799="","",IFERROR(INDEX(Channels!$O$5:$O$18,MATCH(IF(E799="",DefaultChannel,E799),Channels!$A$5:$A$18,0)),"No"))</f>
        <v>0</v>
      </c>
      <c r="AD799" s="20">
        <f>IF(B799="","",ROUND((V799+IF(AC799="Yes",IF(I799="",0,I799),0))*AA799+AB799,2))</f>
        <v>0</v>
      </c>
      <c r="AE799" s="20">
        <f>IF(B799="","",IF(K799&lt;&gt;"",K799,AD799))</f>
        <v>0</v>
      </c>
      <c r="AF799" s="20">
        <f>IF(B799="","",IF(K799="","",ROUND(K799-AD799,2)))</f>
        <v>0</v>
      </c>
      <c r="AG799" s="20">
        <f>IF(B799="","",ROUND(V799-Y799-AE799-Z799,2))</f>
        <v>0</v>
      </c>
      <c r="AH799" s="33">
        <f>IF(B799="","",IF(OR(V799="",V799=0),"",AG799/V799))</f>
        <v>0</v>
      </c>
      <c r="AI799" s="33">
        <f>IF(C799="","",IFERROR(INDEX(Products!$AW$5:$AW$304,MATCH(C799,Products!$A$5:$A$304,0)),""))</f>
        <v>0</v>
      </c>
      <c r="AJ799" s="33">
        <f>IF(B799="","",IF(OR(AH799="",AI799=""),"",AH799-AI799))</f>
        <v>0</v>
      </c>
      <c r="AK799" s="41">
        <f>IF(B799="","",IFERROR(ROUND(IF(D799="",0,D799)*INDEX(Products!$X$5:$X$304,MATCH(C799,Products!$A$5:$A$304,0))/60,2),""))</f>
        <v>0</v>
      </c>
      <c r="AL799" s="20">
        <f>IF(B799="","",IF(OR(AK799="",AK799=0),"",ROUND(AG799/AK799,2)))</f>
        <v>0</v>
      </c>
      <c r="AM799" s="43">
        <f>IF(B799="","",IF(C799="","Add - which product?",IF(AG799&lt;0,"Loss - this order cost you money",IF(M799="Refunded","Refunded - check why",IF(AND(AF799&lt;&gt;"",AF799&gt;0.25),"Check - fees higher than your settings",IF(Z799&gt;1,"Check - postage is eating the margin",IF(AND(AH799&lt;&gt;"",AH799&lt;MarginWarning),"Low margin on this order","OK")))))) )</f>
        <v>0</v>
      </c>
    </row>
    <row r="800" spans="1:39">
      <c r="A800" s="38">
        <f>IF(B800="","",SalePrefix&amp;TEXT(ROW()-4,"0000"))</f>
        <v>0</v>
      </c>
      <c r="Q800" s="13">
        <f>IF(C800="","",IFERROR(INDEX(Products!$B$5:$B$304,MATCH(C800,Products!$A$5:$A$304,0)),"Bundle or deleted"))</f>
        <v>0</v>
      </c>
      <c r="R800" s="13">
        <f>IF(B800="","",TEXT(B800,"yyyy-mm"))</f>
        <v>0</v>
      </c>
      <c r="S800" s="20">
        <f>IF(C800="","",IFERROR(INDEX(Products!$AR$5:$AR$304,MATCH(C800,Products!$A$5:$A$304,0)),""))</f>
        <v>0</v>
      </c>
      <c r="T800" s="20">
        <f>IF(B800="","",IF(F800&lt;&gt;"",F800,IF(S800="",0,S800)))</f>
        <v>0</v>
      </c>
      <c r="U800" s="20">
        <f>IF(B800="","",ROUND(IF(D800="",0,D800)*T800,2))</f>
        <v>0</v>
      </c>
      <c r="V800" s="20">
        <f>IF(B800="","",ROUND(U800-IF(G800="",0,G800)-IF(L800="",0,L800),2))</f>
        <v>0</v>
      </c>
      <c r="W800" s="20">
        <f>IF(C800="","",IFERROR(INDEX(Products!$AT$5:$AT$304,MATCH(C800,Products!$A$5:$A$304,0)),""))</f>
        <v>0</v>
      </c>
      <c r="X800" s="20">
        <f>IF(C800="","",IFERROR(INDEX(Products!$AG$5:$AG$304,MATCH(C800,Products!$A$5:$A$304,0)),""))</f>
        <v>0</v>
      </c>
      <c r="Y800" s="20">
        <f>IF(B800="","",ROUND(IF(D800="",0,D800)*MAX(0,IF(W800="",0,W800)-IF(X800="",0,X800)),2))</f>
        <v>0</v>
      </c>
      <c r="Z800" s="20">
        <f>IF(B800="","",ROUND(MAX(0,IF(J800="",0,J800)-IF(I800="",0,I800)),2))</f>
        <v>0</v>
      </c>
      <c r="AA800" s="33">
        <f>IF(B800="","",IFERROR(INDEX(Channels!$S$5:$S$18,MATCH(IF(E800="",DefaultChannel,E800),Channels!$A$5:$A$18,0)),0))</f>
        <v>0</v>
      </c>
      <c r="AB800" s="20">
        <f>IF(B800="","",IFERROR(INDEX(Channels!$T$5:$T$18,MATCH(IF(E800="",DefaultChannel,E800),Channels!$A$5:$A$18,0)),0))</f>
        <v>0</v>
      </c>
      <c r="AC800" s="42">
        <f>IF(B800="","",IFERROR(INDEX(Channels!$O$5:$O$18,MATCH(IF(E800="",DefaultChannel,E800),Channels!$A$5:$A$18,0)),"No"))</f>
        <v>0</v>
      </c>
      <c r="AD800" s="20">
        <f>IF(B800="","",ROUND((V800+IF(AC800="Yes",IF(I800="",0,I800),0))*AA800+AB800,2))</f>
        <v>0</v>
      </c>
      <c r="AE800" s="20">
        <f>IF(B800="","",IF(K800&lt;&gt;"",K800,AD800))</f>
        <v>0</v>
      </c>
      <c r="AF800" s="20">
        <f>IF(B800="","",IF(K800="","",ROUND(K800-AD800,2)))</f>
        <v>0</v>
      </c>
      <c r="AG800" s="20">
        <f>IF(B800="","",ROUND(V800-Y800-AE800-Z800,2))</f>
        <v>0</v>
      </c>
      <c r="AH800" s="33">
        <f>IF(B800="","",IF(OR(V800="",V800=0),"",AG800/V800))</f>
        <v>0</v>
      </c>
      <c r="AI800" s="33">
        <f>IF(C800="","",IFERROR(INDEX(Products!$AW$5:$AW$304,MATCH(C800,Products!$A$5:$A$304,0)),""))</f>
        <v>0</v>
      </c>
      <c r="AJ800" s="33">
        <f>IF(B800="","",IF(OR(AH800="",AI800=""),"",AH800-AI800))</f>
        <v>0</v>
      </c>
      <c r="AK800" s="41">
        <f>IF(B800="","",IFERROR(ROUND(IF(D800="",0,D800)*INDEX(Products!$X$5:$X$304,MATCH(C800,Products!$A$5:$A$304,0))/60,2),""))</f>
        <v>0</v>
      </c>
      <c r="AL800" s="20">
        <f>IF(B800="","",IF(OR(AK800="",AK800=0),"",ROUND(AG800/AK800,2)))</f>
        <v>0</v>
      </c>
      <c r="AM800" s="43">
        <f>IF(B800="","",IF(C800="","Add - which product?",IF(AG800&lt;0,"Loss - this order cost you money",IF(M800="Refunded","Refunded - check why",IF(AND(AF800&lt;&gt;"",AF800&gt;0.25),"Check - fees higher than your settings",IF(Z800&gt;1,"Check - postage is eating the margin",IF(AND(AH800&lt;&gt;"",AH800&lt;MarginWarning),"Low margin on this order","OK")))))) )</f>
        <v>0</v>
      </c>
    </row>
    <row r="801" spans="1:39">
      <c r="A801" s="38">
        <f>IF(B801="","",SalePrefix&amp;TEXT(ROW()-4,"0000"))</f>
        <v>0</v>
      </c>
      <c r="Q801" s="13">
        <f>IF(C801="","",IFERROR(INDEX(Products!$B$5:$B$304,MATCH(C801,Products!$A$5:$A$304,0)),"Bundle or deleted"))</f>
        <v>0</v>
      </c>
      <c r="R801" s="13">
        <f>IF(B801="","",TEXT(B801,"yyyy-mm"))</f>
        <v>0</v>
      </c>
      <c r="S801" s="20">
        <f>IF(C801="","",IFERROR(INDEX(Products!$AR$5:$AR$304,MATCH(C801,Products!$A$5:$A$304,0)),""))</f>
        <v>0</v>
      </c>
      <c r="T801" s="20">
        <f>IF(B801="","",IF(F801&lt;&gt;"",F801,IF(S801="",0,S801)))</f>
        <v>0</v>
      </c>
      <c r="U801" s="20">
        <f>IF(B801="","",ROUND(IF(D801="",0,D801)*T801,2))</f>
        <v>0</v>
      </c>
      <c r="V801" s="20">
        <f>IF(B801="","",ROUND(U801-IF(G801="",0,G801)-IF(L801="",0,L801),2))</f>
        <v>0</v>
      </c>
      <c r="W801" s="20">
        <f>IF(C801="","",IFERROR(INDEX(Products!$AT$5:$AT$304,MATCH(C801,Products!$A$5:$A$304,0)),""))</f>
        <v>0</v>
      </c>
      <c r="X801" s="20">
        <f>IF(C801="","",IFERROR(INDEX(Products!$AG$5:$AG$304,MATCH(C801,Products!$A$5:$A$304,0)),""))</f>
        <v>0</v>
      </c>
      <c r="Y801" s="20">
        <f>IF(B801="","",ROUND(IF(D801="",0,D801)*MAX(0,IF(W801="",0,W801)-IF(X801="",0,X801)),2))</f>
        <v>0</v>
      </c>
      <c r="Z801" s="20">
        <f>IF(B801="","",ROUND(MAX(0,IF(J801="",0,J801)-IF(I801="",0,I801)),2))</f>
        <v>0</v>
      </c>
      <c r="AA801" s="33">
        <f>IF(B801="","",IFERROR(INDEX(Channels!$S$5:$S$18,MATCH(IF(E801="",DefaultChannel,E801),Channels!$A$5:$A$18,0)),0))</f>
        <v>0</v>
      </c>
      <c r="AB801" s="20">
        <f>IF(B801="","",IFERROR(INDEX(Channels!$T$5:$T$18,MATCH(IF(E801="",DefaultChannel,E801),Channels!$A$5:$A$18,0)),0))</f>
        <v>0</v>
      </c>
      <c r="AC801" s="42">
        <f>IF(B801="","",IFERROR(INDEX(Channels!$O$5:$O$18,MATCH(IF(E801="",DefaultChannel,E801),Channels!$A$5:$A$18,0)),"No"))</f>
        <v>0</v>
      </c>
      <c r="AD801" s="20">
        <f>IF(B801="","",ROUND((V801+IF(AC801="Yes",IF(I801="",0,I801),0))*AA801+AB801,2))</f>
        <v>0</v>
      </c>
      <c r="AE801" s="20">
        <f>IF(B801="","",IF(K801&lt;&gt;"",K801,AD801))</f>
        <v>0</v>
      </c>
      <c r="AF801" s="20">
        <f>IF(B801="","",IF(K801="","",ROUND(K801-AD801,2)))</f>
        <v>0</v>
      </c>
      <c r="AG801" s="20">
        <f>IF(B801="","",ROUND(V801-Y801-AE801-Z801,2))</f>
        <v>0</v>
      </c>
      <c r="AH801" s="33">
        <f>IF(B801="","",IF(OR(V801="",V801=0),"",AG801/V801))</f>
        <v>0</v>
      </c>
      <c r="AI801" s="33">
        <f>IF(C801="","",IFERROR(INDEX(Products!$AW$5:$AW$304,MATCH(C801,Products!$A$5:$A$304,0)),""))</f>
        <v>0</v>
      </c>
      <c r="AJ801" s="33">
        <f>IF(B801="","",IF(OR(AH801="",AI801=""),"",AH801-AI801))</f>
        <v>0</v>
      </c>
      <c r="AK801" s="41">
        <f>IF(B801="","",IFERROR(ROUND(IF(D801="",0,D801)*INDEX(Products!$X$5:$X$304,MATCH(C801,Products!$A$5:$A$304,0))/60,2),""))</f>
        <v>0</v>
      </c>
      <c r="AL801" s="20">
        <f>IF(B801="","",IF(OR(AK801="",AK801=0),"",ROUND(AG801/AK801,2)))</f>
        <v>0</v>
      </c>
      <c r="AM801" s="43">
        <f>IF(B801="","",IF(C801="","Add - which product?",IF(AG801&lt;0,"Loss - this order cost you money",IF(M801="Refunded","Refunded - check why",IF(AND(AF801&lt;&gt;"",AF801&gt;0.25),"Check - fees higher than your settings",IF(Z801&gt;1,"Check - postage is eating the margin",IF(AND(AH801&lt;&gt;"",AH801&lt;MarginWarning),"Low margin on this order","OK")))))) )</f>
        <v>0</v>
      </c>
    </row>
    <row r="802" spans="1:39">
      <c r="A802" s="38">
        <f>IF(B802="","",SalePrefix&amp;TEXT(ROW()-4,"0000"))</f>
        <v>0</v>
      </c>
      <c r="Q802" s="13">
        <f>IF(C802="","",IFERROR(INDEX(Products!$B$5:$B$304,MATCH(C802,Products!$A$5:$A$304,0)),"Bundle or deleted"))</f>
        <v>0</v>
      </c>
      <c r="R802" s="13">
        <f>IF(B802="","",TEXT(B802,"yyyy-mm"))</f>
        <v>0</v>
      </c>
      <c r="S802" s="20">
        <f>IF(C802="","",IFERROR(INDEX(Products!$AR$5:$AR$304,MATCH(C802,Products!$A$5:$A$304,0)),""))</f>
        <v>0</v>
      </c>
      <c r="T802" s="20">
        <f>IF(B802="","",IF(F802&lt;&gt;"",F802,IF(S802="",0,S802)))</f>
        <v>0</v>
      </c>
      <c r="U802" s="20">
        <f>IF(B802="","",ROUND(IF(D802="",0,D802)*T802,2))</f>
        <v>0</v>
      </c>
      <c r="V802" s="20">
        <f>IF(B802="","",ROUND(U802-IF(G802="",0,G802)-IF(L802="",0,L802),2))</f>
        <v>0</v>
      </c>
      <c r="W802" s="20">
        <f>IF(C802="","",IFERROR(INDEX(Products!$AT$5:$AT$304,MATCH(C802,Products!$A$5:$A$304,0)),""))</f>
        <v>0</v>
      </c>
      <c r="X802" s="20">
        <f>IF(C802="","",IFERROR(INDEX(Products!$AG$5:$AG$304,MATCH(C802,Products!$A$5:$A$304,0)),""))</f>
        <v>0</v>
      </c>
      <c r="Y802" s="20">
        <f>IF(B802="","",ROUND(IF(D802="",0,D802)*MAX(0,IF(W802="",0,W802)-IF(X802="",0,X802)),2))</f>
        <v>0</v>
      </c>
      <c r="Z802" s="20">
        <f>IF(B802="","",ROUND(MAX(0,IF(J802="",0,J802)-IF(I802="",0,I802)),2))</f>
        <v>0</v>
      </c>
      <c r="AA802" s="33">
        <f>IF(B802="","",IFERROR(INDEX(Channels!$S$5:$S$18,MATCH(IF(E802="",DefaultChannel,E802),Channels!$A$5:$A$18,0)),0))</f>
        <v>0</v>
      </c>
      <c r="AB802" s="20">
        <f>IF(B802="","",IFERROR(INDEX(Channels!$T$5:$T$18,MATCH(IF(E802="",DefaultChannel,E802),Channels!$A$5:$A$18,0)),0))</f>
        <v>0</v>
      </c>
      <c r="AC802" s="42">
        <f>IF(B802="","",IFERROR(INDEX(Channels!$O$5:$O$18,MATCH(IF(E802="",DefaultChannel,E802),Channels!$A$5:$A$18,0)),"No"))</f>
        <v>0</v>
      </c>
      <c r="AD802" s="20">
        <f>IF(B802="","",ROUND((V802+IF(AC802="Yes",IF(I802="",0,I802),0))*AA802+AB802,2))</f>
        <v>0</v>
      </c>
      <c r="AE802" s="20">
        <f>IF(B802="","",IF(K802&lt;&gt;"",K802,AD802))</f>
        <v>0</v>
      </c>
      <c r="AF802" s="20">
        <f>IF(B802="","",IF(K802="","",ROUND(K802-AD802,2)))</f>
        <v>0</v>
      </c>
      <c r="AG802" s="20">
        <f>IF(B802="","",ROUND(V802-Y802-AE802-Z802,2))</f>
        <v>0</v>
      </c>
      <c r="AH802" s="33">
        <f>IF(B802="","",IF(OR(V802="",V802=0),"",AG802/V802))</f>
        <v>0</v>
      </c>
      <c r="AI802" s="33">
        <f>IF(C802="","",IFERROR(INDEX(Products!$AW$5:$AW$304,MATCH(C802,Products!$A$5:$A$304,0)),""))</f>
        <v>0</v>
      </c>
      <c r="AJ802" s="33">
        <f>IF(B802="","",IF(OR(AH802="",AI802=""),"",AH802-AI802))</f>
        <v>0</v>
      </c>
      <c r="AK802" s="41">
        <f>IF(B802="","",IFERROR(ROUND(IF(D802="",0,D802)*INDEX(Products!$X$5:$X$304,MATCH(C802,Products!$A$5:$A$304,0))/60,2),""))</f>
        <v>0</v>
      </c>
      <c r="AL802" s="20">
        <f>IF(B802="","",IF(OR(AK802="",AK802=0),"",ROUND(AG802/AK802,2)))</f>
        <v>0</v>
      </c>
      <c r="AM802" s="43">
        <f>IF(B802="","",IF(C802="","Add - which product?",IF(AG802&lt;0,"Loss - this order cost you money",IF(M802="Refunded","Refunded - check why",IF(AND(AF802&lt;&gt;"",AF802&gt;0.25),"Check - fees higher than your settings",IF(Z802&gt;1,"Check - postage is eating the margin",IF(AND(AH802&lt;&gt;"",AH802&lt;MarginWarning),"Low margin on this order","OK")))))) )</f>
        <v>0</v>
      </c>
    </row>
    <row r="803" spans="1:39">
      <c r="A803" s="38">
        <f>IF(B803="","",SalePrefix&amp;TEXT(ROW()-4,"0000"))</f>
        <v>0</v>
      </c>
      <c r="Q803" s="13">
        <f>IF(C803="","",IFERROR(INDEX(Products!$B$5:$B$304,MATCH(C803,Products!$A$5:$A$304,0)),"Bundle or deleted"))</f>
        <v>0</v>
      </c>
      <c r="R803" s="13">
        <f>IF(B803="","",TEXT(B803,"yyyy-mm"))</f>
        <v>0</v>
      </c>
      <c r="S803" s="20">
        <f>IF(C803="","",IFERROR(INDEX(Products!$AR$5:$AR$304,MATCH(C803,Products!$A$5:$A$304,0)),""))</f>
        <v>0</v>
      </c>
      <c r="T803" s="20">
        <f>IF(B803="","",IF(F803&lt;&gt;"",F803,IF(S803="",0,S803)))</f>
        <v>0</v>
      </c>
      <c r="U803" s="20">
        <f>IF(B803="","",ROUND(IF(D803="",0,D803)*T803,2))</f>
        <v>0</v>
      </c>
      <c r="V803" s="20">
        <f>IF(B803="","",ROUND(U803-IF(G803="",0,G803)-IF(L803="",0,L803),2))</f>
        <v>0</v>
      </c>
      <c r="W803" s="20">
        <f>IF(C803="","",IFERROR(INDEX(Products!$AT$5:$AT$304,MATCH(C803,Products!$A$5:$A$304,0)),""))</f>
        <v>0</v>
      </c>
      <c r="X803" s="20">
        <f>IF(C803="","",IFERROR(INDEX(Products!$AG$5:$AG$304,MATCH(C803,Products!$A$5:$A$304,0)),""))</f>
        <v>0</v>
      </c>
      <c r="Y803" s="20">
        <f>IF(B803="","",ROUND(IF(D803="",0,D803)*MAX(0,IF(W803="",0,W803)-IF(X803="",0,X803)),2))</f>
        <v>0</v>
      </c>
      <c r="Z803" s="20">
        <f>IF(B803="","",ROUND(MAX(0,IF(J803="",0,J803)-IF(I803="",0,I803)),2))</f>
        <v>0</v>
      </c>
      <c r="AA803" s="33">
        <f>IF(B803="","",IFERROR(INDEX(Channels!$S$5:$S$18,MATCH(IF(E803="",DefaultChannel,E803),Channels!$A$5:$A$18,0)),0))</f>
        <v>0</v>
      </c>
      <c r="AB803" s="20">
        <f>IF(B803="","",IFERROR(INDEX(Channels!$T$5:$T$18,MATCH(IF(E803="",DefaultChannel,E803),Channels!$A$5:$A$18,0)),0))</f>
        <v>0</v>
      </c>
      <c r="AC803" s="42">
        <f>IF(B803="","",IFERROR(INDEX(Channels!$O$5:$O$18,MATCH(IF(E803="",DefaultChannel,E803),Channels!$A$5:$A$18,0)),"No"))</f>
        <v>0</v>
      </c>
      <c r="AD803" s="20">
        <f>IF(B803="","",ROUND((V803+IF(AC803="Yes",IF(I803="",0,I803),0))*AA803+AB803,2))</f>
        <v>0</v>
      </c>
      <c r="AE803" s="20">
        <f>IF(B803="","",IF(K803&lt;&gt;"",K803,AD803))</f>
        <v>0</v>
      </c>
      <c r="AF803" s="20">
        <f>IF(B803="","",IF(K803="","",ROUND(K803-AD803,2)))</f>
        <v>0</v>
      </c>
      <c r="AG803" s="20">
        <f>IF(B803="","",ROUND(V803-Y803-AE803-Z803,2))</f>
        <v>0</v>
      </c>
      <c r="AH803" s="33">
        <f>IF(B803="","",IF(OR(V803="",V803=0),"",AG803/V803))</f>
        <v>0</v>
      </c>
      <c r="AI803" s="33">
        <f>IF(C803="","",IFERROR(INDEX(Products!$AW$5:$AW$304,MATCH(C803,Products!$A$5:$A$304,0)),""))</f>
        <v>0</v>
      </c>
      <c r="AJ803" s="33">
        <f>IF(B803="","",IF(OR(AH803="",AI803=""),"",AH803-AI803))</f>
        <v>0</v>
      </c>
      <c r="AK803" s="41">
        <f>IF(B803="","",IFERROR(ROUND(IF(D803="",0,D803)*INDEX(Products!$X$5:$X$304,MATCH(C803,Products!$A$5:$A$304,0))/60,2),""))</f>
        <v>0</v>
      </c>
      <c r="AL803" s="20">
        <f>IF(B803="","",IF(OR(AK803="",AK803=0),"",ROUND(AG803/AK803,2)))</f>
        <v>0</v>
      </c>
      <c r="AM803" s="43">
        <f>IF(B803="","",IF(C803="","Add - which product?",IF(AG803&lt;0,"Loss - this order cost you money",IF(M803="Refunded","Refunded - check why",IF(AND(AF803&lt;&gt;"",AF803&gt;0.25),"Check - fees higher than your settings",IF(Z803&gt;1,"Check - postage is eating the margin",IF(AND(AH803&lt;&gt;"",AH803&lt;MarginWarning),"Low margin on this order","OK")))))) )</f>
        <v>0</v>
      </c>
    </row>
    <row r="804" spans="1:39">
      <c r="A804" s="38">
        <f>IF(B804="","",SalePrefix&amp;TEXT(ROW()-4,"0000"))</f>
        <v>0</v>
      </c>
      <c r="Q804" s="13">
        <f>IF(C804="","",IFERROR(INDEX(Products!$B$5:$B$304,MATCH(C804,Products!$A$5:$A$304,0)),"Bundle or deleted"))</f>
        <v>0</v>
      </c>
      <c r="R804" s="13">
        <f>IF(B804="","",TEXT(B804,"yyyy-mm"))</f>
        <v>0</v>
      </c>
      <c r="S804" s="20">
        <f>IF(C804="","",IFERROR(INDEX(Products!$AR$5:$AR$304,MATCH(C804,Products!$A$5:$A$304,0)),""))</f>
        <v>0</v>
      </c>
      <c r="T804" s="20">
        <f>IF(B804="","",IF(F804&lt;&gt;"",F804,IF(S804="",0,S804)))</f>
        <v>0</v>
      </c>
      <c r="U804" s="20">
        <f>IF(B804="","",ROUND(IF(D804="",0,D804)*T804,2))</f>
        <v>0</v>
      </c>
      <c r="V804" s="20">
        <f>IF(B804="","",ROUND(U804-IF(G804="",0,G804)-IF(L804="",0,L804),2))</f>
        <v>0</v>
      </c>
      <c r="W804" s="20">
        <f>IF(C804="","",IFERROR(INDEX(Products!$AT$5:$AT$304,MATCH(C804,Products!$A$5:$A$304,0)),""))</f>
        <v>0</v>
      </c>
      <c r="X804" s="20">
        <f>IF(C804="","",IFERROR(INDEX(Products!$AG$5:$AG$304,MATCH(C804,Products!$A$5:$A$304,0)),""))</f>
        <v>0</v>
      </c>
      <c r="Y804" s="20">
        <f>IF(B804="","",ROUND(IF(D804="",0,D804)*MAX(0,IF(W804="",0,W804)-IF(X804="",0,X804)),2))</f>
        <v>0</v>
      </c>
      <c r="Z804" s="20">
        <f>IF(B804="","",ROUND(MAX(0,IF(J804="",0,J804)-IF(I804="",0,I804)),2))</f>
        <v>0</v>
      </c>
      <c r="AA804" s="33">
        <f>IF(B804="","",IFERROR(INDEX(Channels!$S$5:$S$18,MATCH(IF(E804="",DefaultChannel,E804),Channels!$A$5:$A$18,0)),0))</f>
        <v>0</v>
      </c>
      <c r="AB804" s="20">
        <f>IF(B804="","",IFERROR(INDEX(Channels!$T$5:$T$18,MATCH(IF(E804="",DefaultChannel,E804),Channels!$A$5:$A$18,0)),0))</f>
        <v>0</v>
      </c>
      <c r="AC804" s="42">
        <f>IF(B804="","",IFERROR(INDEX(Channels!$O$5:$O$18,MATCH(IF(E804="",DefaultChannel,E804),Channels!$A$5:$A$18,0)),"No"))</f>
        <v>0</v>
      </c>
      <c r="AD804" s="20">
        <f>IF(B804="","",ROUND((V804+IF(AC804="Yes",IF(I804="",0,I804),0))*AA804+AB804,2))</f>
        <v>0</v>
      </c>
      <c r="AE804" s="20">
        <f>IF(B804="","",IF(K804&lt;&gt;"",K804,AD804))</f>
        <v>0</v>
      </c>
      <c r="AF804" s="20">
        <f>IF(B804="","",IF(K804="","",ROUND(K804-AD804,2)))</f>
        <v>0</v>
      </c>
      <c r="AG804" s="20">
        <f>IF(B804="","",ROUND(V804-Y804-AE804-Z804,2))</f>
        <v>0</v>
      </c>
      <c r="AH804" s="33">
        <f>IF(B804="","",IF(OR(V804="",V804=0),"",AG804/V804))</f>
        <v>0</v>
      </c>
      <c r="AI804" s="33">
        <f>IF(C804="","",IFERROR(INDEX(Products!$AW$5:$AW$304,MATCH(C804,Products!$A$5:$A$304,0)),""))</f>
        <v>0</v>
      </c>
      <c r="AJ804" s="33">
        <f>IF(B804="","",IF(OR(AH804="",AI804=""),"",AH804-AI804))</f>
        <v>0</v>
      </c>
      <c r="AK804" s="41">
        <f>IF(B804="","",IFERROR(ROUND(IF(D804="",0,D804)*INDEX(Products!$X$5:$X$304,MATCH(C804,Products!$A$5:$A$304,0))/60,2),""))</f>
        <v>0</v>
      </c>
      <c r="AL804" s="20">
        <f>IF(B804="","",IF(OR(AK804="",AK804=0),"",ROUND(AG804/AK804,2)))</f>
        <v>0</v>
      </c>
      <c r="AM804" s="43">
        <f>IF(B804="","",IF(C804="","Add - which product?",IF(AG804&lt;0,"Loss - this order cost you money",IF(M804="Refunded","Refunded - check why",IF(AND(AF804&lt;&gt;"",AF804&gt;0.25),"Check - fees higher than your settings",IF(Z804&gt;1,"Check - postage is eating the margin",IF(AND(AH804&lt;&gt;"",AH804&lt;MarginWarning),"Low margin on this order","OK")))))) )</f>
        <v>0</v>
      </c>
    </row>
    <row r="806" spans="1:39" ht="20" customHeight="1">
      <c r="A806" s="7" t="s">
        <v>1658</v>
      </c>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row>
    <row r="807" spans="1:39" ht="26" customHeight="1">
      <c r="A807" s="8" t="s">
        <v>442</v>
      </c>
      <c r="B807" s="9" t="s">
        <v>437</v>
      </c>
      <c r="C807" s="9" t="s">
        <v>432</v>
      </c>
      <c r="D807" s="9" t="s">
        <v>435</v>
      </c>
      <c r="E807" s="9" t="s">
        <v>436</v>
      </c>
      <c r="F807" s="9" t="s">
        <v>1659</v>
      </c>
      <c r="G807" s="9" t="s">
        <v>421</v>
      </c>
      <c r="H807" s="9" t="s">
        <v>42</v>
      </c>
      <c r="I807" s="9" t="s">
        <v>1660</v>
      </c>
    </row>
    <row r="808" spans="1:39">
      <c r="A808" s="32">
        <f>COUNTIF(Sales!$B$5:$B$804,"&lt;&gt;")</f>
        <v>0</v>
      </c>
      <c r="B808" s="32">
        <f>SUM(Sales!$D$5:$D$804)</f>
        <v>0</v>
      </c>
      <c r="C808" s="20">
        <f>ROUND(SUM(Sales!$V$5:$V$804),2)</f>
        <v>0</v>
      </c>
      <c r="D808" s="20">
        <f>ROUND(SUM(Sales!$Y$5:$Y$804),2)</f>
        <v>0</v>
      </c>
      <c r="E808" s="20">
        <f>ROUND(SUM(Sales!$AE$5:$AE$804),2)</f>
        <v>0</v>
      </c>
      <c r="F808" s="20">
        <f>ROUND(SUM(Sales!$Z$5:$Z$804),2)</f>
        <v>0</v>
      </c>
      <c r="G808" s="20">
        <f>ROUND(SUM(Sales!$AG$5:$AG$804),2)</f>
        <v>0</v>
      </c>
      <c r="H808" s="33">
        <f>IFERROR(ROUND(SUM(Sales!$AG$5:$AG$804)/SUM(Sales!$V$5:$V$804),4),"")</f>
        <v>0</v>
      </c>
      <c r="I808" s="32">
        <f>COUNTIFS(Sales!$AG$5:$AG$804,"&lt;0")</f>
        <v>0</v>
      </c>
    </row>
  </sheetData>
  <sheetProtection password="EC7C" sheet="1" objects="1" scenarios="1" formatCells="0" formatColumns="0" formatRows="0" insertRows="0" insertHyperlinks="0" deleteRows="0" autoFilter="0"/>
  <autoFilter ref="A4:AM804"/>
  <mergeCells count="14">
    <mergeCell ref="A1:AJ1"/>
    <mergeCell ref="AK1:AM1"/>
    <mergeCell ref="A2:AM2"/>
    <mergeCell ref="A3:B3"/>
    <mergeCell ref="C3:D3"/>
    <mergeCell ref="E3:F3"/>
    <mergeCell ref="G3:H3"/>
    <mergeCell ref="I3:J3"/>
    <mergeCell ref="K3:L3"/>
    <mergeCell ref="M3:N3"/>
    <mergeCell ref="O3:P3"/>
    <mergeCell ref="Q3:R3"/>
    <mergeCell ref="S3:AM3"/>
    <mergeCell ref="A806:AM806"/>
  </mergeCells>
  <conditionalFormatting sqref="AF5:AF804">
    <cfRule type="cellIs" dxfId="2" priority="48" operator="greaterThan">
      <formula>0.25</formula>
    </cfRule>
  </conditionalFormatting>
  <conditionalFormatting sqref="AG5:AG804">
    <cfRule type="cellIs" dxfId="5" priority="49" operator="lessThan">
      <formula>0</formula>
    </cfRule>
    <cfRule type="cellIs" dxfId="1" priority="50" operator="greaterThan">
      <formula>0</formula>
    </cfRule>
  </conditionalFormatting>
  <conditionalFormatting sqref="AH5:AH804">
    <cfRule type="cellIs" dxfId="2" priority="51" operator="lessThan">
      <formula>0</formula>
    </cfRule>
    <cfRule type="cellIs" dxfId="0" priority="52" operator="lessThan">
      <formula>MarginWarning</formula>
    </cfRule>
    <cfRule type="cellIs" dxfId="1" priority="53" operator="greaterThanOrEqual">
      <formula>MarginWarning</formula>
    </cfRule>
  </conditionalFormatting>
  <conditionalFormatting sqref="AM5:AM804">
    <cfRule type="beginsWith" dxfId="1" priority="54" operator="beginsWith" text="OK">
      <formula>LEFT(AM5,2)="OK"</formula>
    </cfRule>
    <cfRule type="containsText" dxfId="2" priority="55" operator="containsText" text="Overdue">
      <formula>NOT(ISERROR(SEARCH("Overdue",AM5)))</formula>
    </cfRule>
    <cfRule type="containsText" dxfId="2" priority="56" operator="containsText" text="Late">
      <formula>NOT(ISERROR(SEARCH("Late",AM5)))</formula>
    </cfRule>
    <cfRule type="containsText" dxfId="2" priority="57" operator="containsText" text="Missing">
      <formula>NOT(ISERROR(SEARCH("Missing",AM5)))</formula>
    </cfRule>
    <cfRule type="containsText" dxfId="2" priority="58" operator="containsText" text="Conflict">
      <formula>NOT(ISERROR(SEARCH("Conflict",AM5)))</formula>
    </cfRule>
    <cfRule type="containsText" dxfId="2" priority="59" operator="containsText" text="Clash">
      <formula>NOT(ISERROR(SEARCH("Clash",AM5)))</formula>
    </cfRule>
    <cfRule type="containsText" dxfId="2" priority="60" operator="containsText" text="Expired">
      <formula>NOT(ISERROR(SEARCH("Expired",AM5)))</formula>
    </cfRule>
    <cfRule type="containsText" dxfId="2" priority="61" operator="containsText" text="Duplicate">
      <formula>NOT(ISERROR(SEARCH("Duplicate",AM5)))</formula>
    </cfRule>
    <cfRule type="containsText" dxfId="2" priority="62" operator="containsText" text="Unpaid">
      <formula>NOT(ISERROR(SEARCH("Unpaid",AM5)))</formula>
    </cfRule>
    <cfRule type="containsText" dxfId="2" priority="63" operator="containsText" text="Loss">
      <formula>NOT(ISERROR(SEARCH("Loss",AM5)))</formula>
    </cfRule>
    <cfRule type="containsText" dxfId="2" priority="64" operator="containsText" text="Below">
      <formula>NOT(ISERROR(SEARCH("Below",AM5)))</formula>
    </cfRule>
    <cfRule type="containsText" dxfId="0" priority="65" operator="containsText" text="Action">
      <formula>NOT(ISERROR(SEARCH("Action",AM5)))</formula>
    </cfRule>
    <cfRule type="containsText" dxfId="0" priority="66" operator="containsText" text="Due">
      <formula>NOT(ISERROR(SEARCH("Due",AM5)))</formula>
    </cfRule>
    <cfRule type="containsText" dxfId="0" priority="67" operator="containsText" text="Check">
      <formula>NOT(ISERROR(SEARCH("Check",AM5)))</formula>
    </cfRule>
    <cfRule type="containsText" dxfId="0" priority="68" operator="containsText" text="Chase">
      <formula>NOT(ISERROR(SEARCH("Chase",AM5)))</formula>
    </cfRule>
    <cfRule type="containsText" dxfId="0" priority="69" operator="containsText" text="Assign">
      <formula>NOT(ISERROR(SEARCH("Assign",AM5)))</formula>
    </cfRule>
    <cfRule type="containsText" dxfId="0" priority="70" operator="containsText" text="Confirm">
      <formula>NOT(ISERROR(SEARCH("Confirm",AM5)))</formula>
    </cfRule>
    <cfRule type="containsText" dxfId="0" priority="71" operator="containsText" text="Order">
      <formula>NOT(ISERROR(SEARCH("Order",AM5)))</formula>
    </cfRule>
    <cfRule type="containsText" dxfId="3" priority="72" operator="containsText" text="Today">
      <formula>NOT(ISERROR(SEARCH("Today",AM5)))</formula>
    </cfRule>
    <cfRule type="containsText" dxfId="3" priority="73" operator="containsText" text="Upcoming">
      <formula>NOT(ISERROR(SEARCH("Upcoming",AM5)))</formula>
    </cfRule>
    <cfRule type="containsText" dxfId="3" priority="74" operator="containsText" text="Tomorrow">
      <formula>NOT(ISERROR(SEARCH("Tomorrow",AM5)))</formula>
    </cfRule>
  </conditionalFormatting>
  <conditionalFormatting sqref="M5:M804">
    <cfRule type="containsText" dxfId="1" priority="1" operator="containsText" text="Completed">
      <formula>NOT(ISERROR(SEARCH("Completed",M5)))</formula>
    </cfRule>
    <cfRule type="containsText" dxfId="1" priority="2" operator="containsText" text="Complete">
      <formula>NOT(ISERROR(SEARCH("Complete",M5)))</formula>
    </cfRule>
    <cfRule type="containsText" dxfId="1" priority="3" operator="containsText" text="Done">
      <formula>NOT(ISERROR(SEARCH("Done",M5)))</formula>
    </cfRule>
    <cfRule type="containsText" dxfId="1" priority="4" operator="containsText" text="Paid">
      <formula>NOT(ISERROR(SEARCH("Paid",M5)))</formula>
    </cfRule>
    <cfRule type="containsText" dxfId="1" priority="5" operator="containsText" text="Accepted">
      <formula>NOT(ISERROR(SEARCH("Accepted",M5)))</formula>
    </cfRule>
    <cfRule type="containsText" dxfId="1" priority="6" operator="containsText" text="Won">
      <formula>NOT(ISERROR(SEARCH("Won",M5)))</formula>
    </cfRule>
    <cfRule type="containsText" dxfId="1" priority="7" operator="containsText" text="Active">
      <formula>NOT(ISERROR(SEARCH("Active",M5)))</formula>
    </cfRule>
    <cfRule type="containsText" dxfId="1" priority="8" operator="containsText" text="In stock">
      <formula>NOT(ISERROR(SEARCH("In stock",M5)))</formula>
    </cfRule>
    <cfRule type="containsText" dxfId="1" priority="9" operator="containsText" text="Resolved">
      <formula>NOT(ISERROR(SEARCH("Resolved",M5)))</formula>
    </cfRule>
    <cfRule type="containsText" dxfId="1" priority="10" operator="containsText" text="Signed">
      <formula>NOT(ISERROR(SEARCH("Signed",M5)))</formula>
    </cfRule>
    <cfRule type="containsText" dxfId="1" priority="11" operator="containsText" text="Yes">
      <formula>NOT(ISERROR(SEARCH("Yes",M5)))</formula>
    </cfRule>
    <cfRule type="containsText" dxfId="3" priority="12" operator="containsText" text="Booked">
      <formula>NOT(ISERROR(SEARCH("Booked",M5)))</formula>
    </cfRule>
    <cfRule type="containsText" dxfId="3" priority="13" operator="containsText" text="Confirmed">
      <formula>NOT(ISERROR(SEARCH("Confirmed",M5)))</formula>
    </cfRule>
    <cfRule type="containsText" dxfId="3" priority="14" operator="containsText" text="Scheduled">
      <formula>NOT(ISERROR(SEARCH("Scheduled",M5)))</formula>
    </cfRule>
    <cfRule type="containsText" dxfId="3" priority="15" operator="containsText" text="In progress">
      <formula>NOT(ISERROR(SEARCH("In progress",M5)))</formula>
    </cfRule>
    <cfRule type="containsText" dxfId="3" priority="16" operator="containsText" text="Sent">
      <formula>NOT(ISERROR(SEARCH("Sent",M5)))</formula>
    </cfRule>
    <cfRule type="containsText" dxfId="3" priority="17" operator="containsText" text="Invoiced">
      <formula>NOT(ISERROR(SEARCH("Invoiced",M5)))</formula>
    </cfRule>
    <cfRule type="containsText" dxfId="3" priority="18" operator="containsText" text="Quoted">
      <formula>NOT(ISERROR(SEARCH("Quoted",M5)))</formula>
    </cfRule>
    <cfRule type="containsText" dxfId="3" priority="19" operator="containsText" text="Prospect">
      <formula>NOT(ISERROR(SEARCH("Prospect",M5)))</formula>
    </cfRule>
    <cfRule type="containsText" dxfId="0" priority="20" operator="containsText" text="Draft">
      <formula>NOT(ISERROR(SEARCH("Draft",M5)))</formula>
    </cfRule>
    <cfRule type="containsText" dxfId="0" priority="21" operator="containsText" text="Enquiry">
      <formula>NOT(ISERROR(SEARCH("Enquiry",M5)))</formula>
    </cfRule>
    <cfRule type="containsText" dxfId="0" priority="22" operator="containsText" text="Pending">
      <formula>NOT(ISERROR(SEARCH("Pending",M5)))</formula>
    </cfRule>
    <cfRule type="containsText" dxfId="0" priority="23" operator="containsText" text="Part paid">
      <formula>NOT(ISERROR(SEARCH("Part paid",M5)))</formula>
    </cfRule>
    <cfRule type="containsText" dxfId="0" priority="24" operator="containsText" text="Followed up">
      <formula>NOT(ISERROR(SEARCH("Followed up",M5)))</formula>
    </cfRule>
    <cfRule type="containsText" dxfId="0" priority="25" operator="containsText" text="Low stock">
      <formula>NOT(ISERROR(SEARCH("Low stock",M5)))</formula>
    </cfRule>
    <cfRule type="containsText" dxfId="0" priority="26" operator="containsText" text="Due soon">
      <formula>NOT(ISERROR(SEARCH("Due soon",M5)))</formula>
    </cfRule>
    <cfRule type="containsText" dxfId="0" priority="27" operator="containsText" text="On hold">
      <formula>NOT(ISERROR(SEARCH("On hold",M5)))</formula>
    </cfRule>
    <cfRule type="containsText" dxfId="0" priority="28" operator="containsText" text="Unassigned">
      <formula>NOT(ISERROR(SEARCH("Unassigned",M5)))</formula>
    </cfRule>
    <cfRule type="containsText" dxfId="2" priority="29" operator="containsText" text="Overdue">
      <formula>NOT(ISERROR(SEARCH("Overdue",M5)))</formula>
    </cfRule>
    <cfRule type="containsText" dxfId="2" priority="30" operator="containsText" text="Cancelled">
      <formula>NOT(ISERROR(SEARCH("Cancelled",M5)))</formula>
    </cfRule>
    <cfRule type="containsText" dxfId="2" priority="31" operator="containsText" text="Declined">
      <formula>NOT(ISERROR(SEARCH("Declined",M5)))</formula>
    </cfRule>
    <cfRule type="containsText" dxfId="2" priority="32" operator="containsText" text="Lost">
      <formula>NOT(ISERROR(SEARCH("Lost",M5)))</formula>
    </cfRule>
    <cfRule type="containsText" dxfId="2" priority="33" operator="containsText" text="No access">
      <formula>NOT(ISERROR(SEARCH("No access",M5)))</formula>
    </cfRule>
    <cfRule type="containsText" dxfId="2" priority="34" operator="containsText" text="Out of stock">
      <formula>NOT(ISERROR(SEARCH("Out of stock",M5)))</formula>
    </cfRule>
    <cfRule type="containsText" dxfId="2" priority="35" operator="containsText" text="Written off">
      <formula>NOT(ISERROR(SEARCH("Written off",M5)))</formula>
    </cfRule>
    <cfRule type="containsText" dxfId="2" priority="36" operator="containsText" text="Expired">
      <formula>NOT(ISERROR(SEARCH("Expired",M5)))</formula>
    </cfRule>
    <cfRule type="containsText" dxfId="4" priority="37" operator="containsText" text="Discontinued">
      <formula>NOT(ISERROR(SEARCH("Discontinued",M5)))</formula>
    </cfRule>
    <cfRule type="containsText" dxfId="4" priority="38" operator="containsText" text="Idea">
      <formula>NOT(ISERROR(SEARCH("Idea",M5)))</formula>
    </cfRule>
    <cfRule type="containsText" dxfId="0" priority="39" operator="containsText" text="Prototype">
      <formula>NOT(ISERROR(SEARCH("Prototype",M5)))</formula>
    </cfRule>
    <cfRule type="containsText" dxfId="3" priority="40" operator="containsText" text="Made to order">
      <formula>NOT(ISERROR(SEARCH("Made to order",M5)))</formula>
    </cfRule>
    <cfRule type="containsText" dxfId="3" priority="41" operator="containsText" text="Seasonal">
      <formula>NOT(ISERROR(SEARCH("Seasonal",M5)))</formula>
    </cfRule>
    <cfRule type="containsText" dxfId="0" priority="42" operator="containsText" text="Review">
      <formula>NOT(ISERROR(SEARCH("Review",M5)))</formula>
    </cfRule>
    <cfRule type="containsText" dxfId="0" priority="43" operator="containsText" text="Raise price">
      <formula>NOT(ISERROR(SEARCH("Raise price",M5)))</formula>
    </cfRule>
    <cfRule type="containsText" dxfId="4" priority="44" operator="containsText" text="Inactive">
      <formula>NOT(ISERROR(SEARCH("Inactive",M5)))</formula>
    </cfRule>
    <cfRule type="containsText" dxfId="4" priority="45" operator="containsText" text="Archived">
      <formula>NOT(ISERROR(SEARCH("Archived",M5)))</formula>
    </cfRule>
    <cfRule type="containsText" dxfId="4" priority="46" operator="containsText" text="Not needed">
      <formula>NOT(ISERROR(SEARCH("Not needed",M5)))</formula>
    </cfRule>
  </conditionalFormatting>
  <conditionalFormatting sqref="Z5:Z804">
    <cfRule type="cellIs" dxfId="0" priority="47" operator="greaterThan">
      <formula>0</formula>
    </cfRule>
  </conditionalFormatting>
  <dataValidations count="13">
    <dataValidation type="date" allowBlank="1" showInputMessage="1" showErrorMessage="1" errorTitle="Check the date" error="Enter a real date between 2000 and 2100." sqref="B5:B804">
      <formula1>36526</formula1>
      <formula2>73415</formula2>
    </dataValidation>
    <dataValidation type="list" allowBlank="1" showInputMessage="1" showErrorMessage="1" promptTitle="Product" prompt="A product ID, or a bundle ID - both work, the costs come from whichever tab the ID lives on." sqref="C5:C804">
      <formula1>ProductIDs</formula1>
    </dataValidation>
    <dataValidation type="whole" allowBlank="1" showInputMessage="1" showErrorMessage="1" errorTitle="Check the value" error="Enter a number between 1 and 10000." sqref="D5:D804">
      <formula1>1</formula1>
      <formula2>10000</formula2>
    </dataValidation>
    <dataValidation type="list" allowBlank="1" showInputMessage="1" showErrorMessage="1" sqref="E5:E804">
      <formula1>ChannelList</formula1>
    </dataValidation>
    <dataValidation type="decimal" allowBlank="1" showInputMessage="1" showErrorMessage="1" errorTitle="Check the value" error="Enter a number between 0 and 1000000." promptTitle="Price each" prompt="What you actually charged, before any discount. Blank uses the catalog price." sqref="F5:F804">
      <formula1>0</formula1>
      <formula2>1000000</formula2>
    </dataValidation>
    <dataValidation type="decimal" allowBlank="1" showInputMessage="1" showErrorMessage="1" errorTitle="Check the value" error="Enter a number between 0 and 1000000." promptTitle="Discount given" prompt="In money, for the whole order. A 15% code on a $28 order is 4.20." sqref="G5:G804">
      <formula1>0</formula1>
      <formula2>1000000</formula2>
    </dataValidation>
    <dataValidation type="list" allowBlank="1" showInputMessage="1" showErrorMessage="1" sqref="H5:H804">
      <formula1>PromoCodes</formula1>
    </dataValidation>
    <dataValidation type="decimal" allowBlank="1" showInputMessage="1" showErrorMessage="1" errorTitle="Check the value" error="Enter a number between 0 and 10000." sqref="I5:I804">
      <formula1>0</formula1>
      <formula2>10000</formula2>
    </dataValidation>
    <dataValidation type="decimal" allowBlank="1" showInputMessage="1" showErrorMessage="1" errorTitle="Check the value" error="Enter a number between 0 and 10000." promptTitle="Postage paid" prompt="What the label actually cost. The difference is yours either way." sqref="J5:J804">
      <formula1>0</formula1>
      <formula2>10000</formula2>
    </dataValidation>
    <dataValidation type="decimal" allowBlank="1" showInputMessage="1" showErrorMessage="1" errorTitle="Check the value" error="Enter a number between 0 and 1000000." promptTitle="Fees actually taken" prompt="From the marketplace statement. Leave blank and the workbook estimates it from the Channels tab." sqref="K5:K804">
      <formula1>0</formula1>
      <formula2>1000000</formula2>
    </dataValidation>
    <dataValidation type="decimal" allowBlank="1" showInputMessage="1" showErrorMessage="1" errorTitle="Check the value" error="Enter a number between 0 and 1000000." sqref="L5:L804">
      <formula1>0</formula1>
      <formula2>1000000</formula2>
    </dataValidation>
    <dataValidation type="list" allowBlank="1" showInputMessage="1" showErrorMessage="1" sqref="M5:M804">
      <formula1>SaleStatusList</formula1>
    </dataValidation>
    <dataValidation type="list" allowBlank="1" showInputMessage="1" showErrorMessage="1" promptTitle="Event" prompt="For craft fair sales - ties the order to the event so you can see if the stall paid." sqref="O5:O804">
      <formula1>EventNames</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&amp;L&amp;"Calibri,Bold"&amp;12&amp;C&amp;"Calibri,Bold"&amp;11Sales&amp;R&amp;"Calibri,Italic"&amp;9Handmade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6.xml><?xml version="1.0" encoding="utf-8"?>
<worksheet xmlns="http://schemas.openxmlformats.org/spreadsheetml/2006/main" xmlns:r="http://schemas.openxmlformats.org/officeDocument/2006/relationships">
  <sheetPr>
    <tabColor rgb="FFB5704F"/>
    <pageSetUpPr fitToPage="1"/>
  </sheetPr>
  <dimension ref="A1:X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4.7109375" style="46" customWidth="1"/>
    <col min="2" max="2" width="26.7109375" style="15" customWidth="1"/>
    <col min="3" max="3" width="18.7109375" style="15" customWidth="1"/>
    <col min="4" max="4" width="10.7109375" style="52" customWidth="1"/>
    <col min="5" max="5" width="18.7109375" style="15" customWidth="1"/>
    <col min="6" max="6" width="11.7109375" style="22" customWidth="1"/>
    <col min="7" max="7" width="11.7109375" style="22" customWidth="1"/>
    <col min="8" max="8" width="12.7109375" style="18" customWidth="1"/>
    <col min="9" max="9" width="10.7109375" style="16" customWidth="1"/>
    <col min="10" max="10" width="12.7109375" style="19" customWidth="1"/>
    <col min="11" max="11" width="26.7109375" style="40" customWidth="1"/>
    <col min="12" max="12" width="11.7109375" style="33" hidden="1" customWidth="1"/>
    <col min="13" max="13" width="10.7109375" style="33" hidden="1" customWidth="1"/>
    <col min="14" max="14" width="12.7109375" style="33" customWidth="1"/>
    <col min="15" max="15" width="12.7109375" style="33" customWidth="1"/>
    <col min="16" max="16" width="14.7109375" style="33" customWidth="1"/>
    <col min="17" max="17" width="9.7109375" style="32" customWidth="1"/>
    <col min="18" max="18" width="11.7109375" style="20" customWidth="1"/>
    <col min="19" max="19" width="12.7109375" style="20" customWidth="1"/>
    <col min="20" max="20" width="11.7109375" style="20" customWidth="1"/>
    <col min="21" max="21" width="11.7109375" style="33" customWidth="1"/>
    <col min="22" max="22" width="11.7109375" style="20" hidden="1" customWidth="1"/>
    <col min="23" max="23" width="13.7109375" style="43" customWidth="1"/>
    <col min="24" max="24" width="30.7109375" style="43" customWidth="1"/>
  </cols>
  <sheetData>
    <row r="1" spans="1:24" ht="34" customHeight="1">
      <c r="A1" s="2" t="s">
        <v>1661</v>
      </c>
      <c r="B1" s="2"/>
      <c r="C1" s="2"/>
      <c r="D1" s="2"/>
      <c r="E1" s="2"/>
      <c r="F1" s="2"/>
      <c r="G1" s="2"/>
      <c r="H1" s="2"/>
      <c r="I1" s="2"/>
      <c r="J1" s="2"/>
      <c r="K1" s="2"/>
      <c r="L1" s="2"/>
      <c r="M1" s="2"/>
      <c r="N1" s="2"/>
      <c r="O1" s="2"/>
      <c r="P1" s="2"/>
      <c r="Q1" s="2"/>
      <c r="R1" s="2"/>
      <c r="S1" s="2"/>
      <c r="T1" s="2"/>
      <c r="U1" s="2"/>
      <c r="V1" s="3" t="s">
        <v>1</v>
      </c>
      <c r="W1" s="3"/>
      <c r="X1" s="3"/>
    </row>
    <row r="2" spans="1:24" ht="18" customHeight="1">
      <c r="A2" s="4" t="s">
        <v>1662</v>
      </c>
      <c r="B2" s="4"/>
      <c r="C2" s="4"/>
      <c r="D2" s="4"/>
      <c r="E2" s="4"/>
      <c r="F2" s="4"/>
      <c r="G2" s="4"/>
      <c r="H2" s="4"/>
      <c r="I2" s="4"/>
      <c r="J2" s="4"/>
      <c r="K2" s="4"/>
      <c r="L2" s="4"/>
      <c r="M2" s="4"/>
      <c r="N2" s="4"/>
      <c r="O2" s="4"/>
      <c r="P2" s="4"/>
      <c r="Q2" s="4"/>
      <c r="R2" s="4"/>
      <c r="S2" s="4"/>
      <c r="T2" s="4"/>
      <c r="U2" s="4"/>
      <c r="V2" s="4"/>
      <c r="W2" s="4"/>
      <c r="X2" s="4"/>
    </row>
    <row r="3" spans="1:24"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1663</v>
      </c>
      <c r="T3" s="44"/>
      <c r="U3" s="44"/>
      <c r="V3" s="44"/>
      <c r="W3" s="44"/>
      <c r="X3" s="44"/>
    </row>
    <row r="4" spans="1:24" ht="30" customHeight="1">
      <c r="A4" s="8" t="s">
        <v>1664</v>
      </c>
      <c r="B4" s="8" t="s">
        <v>1665</v>
      </c>
      <c r="C4" s="9" t="s">
        <v>569</v>
      </c>
      <c r="D4" s="9" t="s">
        <v>1072</v>
      </c>
      <c r="E4" s="9" t="s">
        <v>1666</v>
      </c>
      <c r="F4" s="9" t="s">
        <v>1667</v>
      </c>
      <c r="G4" s="9" t="s">
        <v>915</v>
      </c>
      <c r="H4" s="9" t="s">
        <v>1668</v>
      </c>
      <c r="I4" s="9" t="s">
        <v>1669</v>
      </c>
      <c r="J4" s="9" t="s">
        <v>1670</v>
      </c>
      <c r="K4" s="9" t="s">
        <v>466</v>
      </c>
      <c r="L4" s="9" t="s">
        <v>1671</v>
      </c>
      <c r="M4" s="9" t="s">
        <v>1151</v>
      </c>
      <c r="N4" s="9" t="s">
        <v>1672</v>
      </c>
      <c r="O4" s="9" t="s">
        <v>1673</v>
      </c>
      <c r="P4" s="9" t="s">
        <v>1674</v>
      </c>
      <c r="Q4" s="9" t="s">
        <v>442</v>
      </c>
      <c r="R4" s="9" t="s">
        <v>432</v>
      </c>
      <c r="S4" s="9" t="s">
        <v>1568</v>
      </c>
      <c r="T4" s="9" t="s">
        <v>1675</v>
      </c>
      <c r="U4" s="9" t="s">
        <v>502</v>
      </c>
      <c r="V4" s="9" t="s">
        <v>1676</v>
      </c>
      <c r="W4" s="9" t="s">
        <v>453</v>
      </c>
      <c r="X4" s="9" t="s">
        <v>510</v>
      </c>
    </row>
    <row r="5" spans="1:24">
      <c r="A5" s="46" t="s">
        <v>1597</v>
      </c>
      <c r="B5" s="15" t="s">
        <v>1677</v>
      </c>
      <c r="C5" s="15" t="s">
        <v>1678</v>
      </c>
      <c r="D5" s="52">
        <v>0.1</v>
      </c>
      <c r="E5" s="15" t="s">
        <v>1679</v>
      </c>
      <c r="F5" s="22">
        <v>46117</v>
      </c>
      <c r="H5" s="18">
        <v>0</v>
      </c>
      <c r="J5" s="19">
        <v>0.3</v>
      </c>
      <c r="K5" s="40" t="s">
        <v>1680</v>
      </c>
      <c r="L5" s="33">
        <f>IF(A5="","",IF(J5&lt;&gt;"",J5,TargetRetailMargin))</f>
        <v>0</v>
      </c>
      <c r="M5" s="33">
        <f>IF(A5="","",IF(C5="Percent off",D5,IF(C5="Free shipping","",IF(OR(H5="",H5=0),"",D5/H5))))</f>
        <v>0</v>
      </c>
      <c r="N5" s="33">
        <f>IF(A5="","",IF(M5="","",(L5-M5)/(1-M5)))</f>
        <v>0</v>
      </c>
      <c r="O5" s="33">
        <f>IF(A5="","",IF(OR(M5="",L5=0),"",M5/L5))</f>
        <v>0</v>
      </c>
      <c r="P5" s="33">
        <f>IF(A5="","",IF(M5="","Never - it loses money",IF(L5-M5&lt;=0,"Never - it loses money",M5/(L5-M5))))</f>
        <v>0</v>
      </c>
      <c r="Q5" s="32">
        <f>IF(A5="","",COUNTIFS(Sales!$H$5:$H$804,A5))</f>
        <v>0</v>
      </c>
      <c r="R5" s="20">
        <f>IF(A5="","",ROUND(SUMIFS(Sales!$V$5:$V$804,Sales!$H$5:$H$804,A5),2))</f>
        <v>0</v>
      </c>
      <c r="S5" s="20">
        <f>IF(A5="","",ROUND(SUMIFS(Sales!$G$5:$G$804,Sales!$H$5:$H$804,A5),2))</f>
        <v>0</v>
      </c>
      <c r="T5" s="20">
        <f>IF(A5="","",ROUND(SUMIFS(Sales!$AG$5:$AG$804,Sales!$H$5:$H$804,A5),2))</f>
        <v>0</v>
      </c>
      <c r="U5" s="33">
        <f>IF(A5="","",IF(OR(R5="",R5=0),"",T5/R5))</f>
        <v>0</v>
      </c>
      <c r="V5" s="20">
        <f>IF(A5="","",IF(Q5=0,"",ROUND(R5/Q5,2)))</f>
        <v>0</v>
      </c>
      <c r="W5" s="43">
        <f>IF(A5="","",IF(AND(F5&lt;&gt;"",F5&gt;TodayDate),"Scheduled",IF(AND(G5&lt;&gt;"",G5&lt;TodayDate),"Expired",IF(AND(I5&lt;&gt;"",Q5&gt;=I5),"Used up","Active"))))</f>
        <v>0</v>
      </c>
      <c r="X5" s="43">
        <f>IF(A5="","",IF(D5="","Add - how much off?",IF(AND(N5&lt;&gt;"",N5&lt;0),"Loss - this discount sells below cost",IF(AND(O5&lt;&gt;"",O5&gt;0.5),"Check - over half the profit given away",IF(W5="Expired","Ended - review what it did",IF(AND(Q5=0,W5="Active"),"Waiting - no orders yet","OK"))))))</f>
        <v>0</v>
      </c>
    </row>
    <row r="6" spans="1:24">
      <c r="A6" s="46" t="s">
        <v>1645</v>
      </c>
      <c r="B6" s="15" t="s">
        <v>1681</v>
      </c>
      <c r="C6" s="15" t="s">
        <v>1678</v>
      </c>
      <c r="D6" s="52">
        <v>0.2</v>
      </c>
      <c r="E6" s="15" t="s">
        <v>1679</v>
      </c>
      <c r="F6" s="22">
        <v>46222</v>
      </c>
      <c r="G6" s="22">
        <v>46237</v>
      </c>
      <c r="H6" s="18">
        <v>0</v>
      </c>
      <c r="J6" s="19">
        <v>0.3</v>
      </c>
      <c r="K6" s="40" t="s">
        <v>1682</v>
      </c>
      <c r="L6" s="33">
        <f>IF(A6="","",IF(J6&lt;&gt;"",J6,TargetRetailMargin))</f>
        <v>0</v>
      </c>
      <c r="M6" s="33">
        <f>IF(A6="","",IF(C6="Percent off",D6,IF(C6="Free shipping","",IF(OR(H6="",H6=0),"",D6/H6))))</f>
        <v>0</v>
      </c>
      <c r="N6" s="33">
        <f>IF(A6="","",IF(M6="","",(L6-M6)/(1-M6)))</f>
        <v>0</v>
      </c>
      <c r="O6" s="33">
        <f>IF(A6="","",IF(OR(M6="",L6=0),"",M6/L6))</f>
        <v>0</v>
      </c>
      <c r="P6" s="33">
        <f>IF(A6="","",IF(M6="","Never - it loses money",IF(L6-M6&lt;=0,"Never - it loses money",M6/(L6-M6))))</f>
        <v>0</v>
      </c>
      <c r="Q6" s="32">
        <f>IF(A6="","",COUNTIFS(Sales!$H$5:$H$804,A6))</f>
        <v>0</v>
      </c>
      <c r="R6" s="20">
        <f>IF(A6="","",ROUND(SUMIFS(Sales!$V$5:$V$804,Sales!$H$5:$H$804,A6),2))</f>
        <v>0</v>
      </c>
      <c r="S6" s="20">
        <f>IF(A6="","",ROUND(SUMIFS(Sales!$G$5:$G$804,Sales!$H$5:$H$804,A6),2))</f>
        <v>0</v>
      </c>
      <c r="T6" s="20">
        <f>IF(A6="","",ROUND(SUMIFS(Sales!$AG$5:$AG$804,Sales!$H$5:$H$804,A6),2))</f>
        <v>0</v>
      </c>
      <c r="U6" s="33">
        <f>IF(A6="","",IF(OR(R6="",R6=0),"",T6/R6))</f>
        <v>0</v>
      </c>
      <c r="V6" s="20">
        <f>IF(A6="","",IF(Q6=0,"",ROUND(R6/Q6,2)))</f>
        <v>0</v>
      </c>
      <c r="W6" s="43">
        <f>IF(A6="","",IF(AND(F6&lt;&gt;"",F6&gt;TodayDate),"Scheduled",IF(AND(G6&lt;&gt;"",G6&lt;TodayDate),"Expired",IF(AND(I6&lt;&gt;"",Q6&gt;=I6),"Used up","Active"))))</f>
        <v>0</v>
      </c>
      <c r="X6" s="43">
        <f>IF(A6="","",IF(D6="","Add - how much off?",IF(AND(N6&lt;&gt;"",N6&lt;0),"Loss - this discount sells below cost",IF(AND(O6&lt;&gt;"",O6&gt;0.5),"Check - over half the profit given away",IF(W6="Expired","Ended - review what it did",IF(AND(Q6=0,W6="Active"),"Waiting - no orders yet","OK"))))))</f>
        <v>0</v>
      </c>
    </row>
    <row r="7" spans="1:24">
      <c r="A7" s="46" t="s">
        <v>1683</v>
      </c>
      <c r="B7" s="15" t="s">
        <v>1684</v>
      </c>
      <c r="C7" s="15" t="s">
        <v>1685</v>
      </c>
      <c r="D7" s="52">
        <v>7.1</v>
      </c>
      <c r="E7" s="15" t="s">
        <v>1686</v>
      </c>
      <c r="F7" s="22">
        <v>46197</v>
      </c>
      <c r="H7" s="18">
        <v>50</v>
      </c>
      <c r="J7" s="19">
        <v>0.3</v>
      </c>
      <c r="K7" s="40" t="s">
        <v>1687</v>
      </c>
      <c r="L7" s="33">
        <f>IF(A7="","",IF(J7&lt;&gt;"",J7,TargetRetailMargin))</f>
        <v>0</v>
      </c>
      <c r="M7" s="33">
        <f>IF(A7="","",IF(C7="Percent off",D7,IF(C7="Free shipping","",IF(OR(H7="",H7=0),"",D7/H7))))</f>
        <v>0</v>
      </c>
      <c r="N7" s="33">
        <f>IF(A7="","",IF(M7="","",(L7-M7)/(1-M7)))</f>
        <v>0</v>
      </c>
      <c r="O7" s="33">
        <f>IF(A7="","",IF(OR(M7="",L7=0),"",M7/L7))</f>
        <v>0</v>
      </c>
      <c r="P7" s="33">
        <f>IF(A7="","",IF(M7="","Never - it loses money",IF(L7-M7&lt;=0,"Never - it loses money",M7/(L7-M7))))</f>
        <v>0</v>
      </c>
      <c r="Q7" s="32">
        <f>IF(A7="","",COUNTIFS(Sales!$H$5:$H$804,A7))</f>
        <v>0</v>
      </c>
      <c r="R7" s="20">
        <f>IF(A7="","",ROUND(SUMIFS(Sales!$V$5:$V$804,Sales!$H$5:$H$804,A7),2))</f>
        <v>0</v>
      </c>
      <c r="S7" s="20">
        <f>IF(A7="","",ROUND(SUMIFS(Sales!$G$5:$G$804,Sales!$H$5:$H$804,A7),2))</f>
        <v>0</v>
      </c>
      <c r="T7" s="20">
        <f>IF(A7="","",ROUND(SUMIFS(Sales!$AG$5:$AG$804,Sales!$H$5:$H$804,A7),2))</f>
        <v>0</v>
      </c>
      <c r="U7" s="33">
        <f>IF(A7="","",IF(OR(R7="",R7=0),"",T7/R7))</f>
        <v>0</v>
      </c>
      <c r="V7" s="20">
        <f>IF(A7="","",IF(Q7=0,"",ROUND(R7/Q7,2)))</f>
        <v>0</v>
      </c>
      <c r="W7" s="43">
        <f>IF(A7="","",IF(AND(F7&lt;&gt;"",F7&gt;TodayDate),"Scheduled",IF(AND(G7&lt;&gt;"",G7&lt;TodayDate),"Expired",IF(AND(I7&lt;&gt;"",Q7&gt;=I7),"Used up","Active"))))</f>
        <v>0</v>
      </c>
      <c r="X7" s="43">
        <f>IF(A7="","",IF(D7="","Add - how much off?",IF(AND(N7&lt;&gt;"",N7&lt;0),"Loss - this discount sells below cost",IF(AND(O7&lt;&gt;"",O7&gt;0.5),"Check - over half the profit given away",IF(W7="Expired","Ended - review what it did",IF(AND(Q7=0,W7="Active"),"Waiting - no orders yet","OK"))))))</f>
        <v>0</v>
      </c>
    </row>
    <row r="8" spans="1:24">
      <c r="A8" s="46" t="s">
        <v>1688</v>
      </c>
      <c r="B8" s="15" t="s">
        <v>1689</v>
      </c>
      <c r="C8" s="15" t="s">
        <v>1690</v>
      </c>
      <c r="D8" s="52">
        <v>5</v>
      </c>
      <c r="E8" s="15" t="s">
        <v>1691</v>
      </c>
      <c r="F8" s="22">
        <v>46257</v>
      </c>
      <c r="H8" s="18">
        <v>60</v>
      </c>
      <c r="I8" s="16">
        <v>100</v>
      </c>
      <c r="J8" s="19">
        <v>0.26</v>
      </c>
      <c r="L8" s="33">
        <f>IF(A8="","",IF(J8&lt;&gt;"",J8,TargetRetailMargin))</f>
        <v>0</v>
      </c>
      <c r="M8" s="33">
        <f>IF(A8="","",IF(C8="Percent off",D8,IF(C8="Free shipping","",IF(OR(H8="",H8=0),"",D8/H8))))</f>
        <v>0</v>
      </c>
      <c r="N8" s="33">
        <f>IF(A8="","",IF(M8="","",(L8-M8)/(1-M8)))</f>
        <v>0</v>
      </c>
      <c r="O8" s="33">
        <f>IF(A8="","",IF(OR(M8="",L8=0),"",M8/L8))</f>
        <v>0</v>
      </c>
      <c r="P8" s="33">
        <f>IF(A8="","",IF(M8="","Never - it loses money",IF(L8-M8&lt;=0,"Never - it loses money",M8/(L8-M8))))</f>
        <v>0</v>
      </c>
      <c r="Q8" s="32">
        <f>IF(A8="","",COUNTIFS(Sales!$H$5:$H$804,A8))</f>
        <v>0</v>
      </c>
      <c r="R8" s="20">
        <f>IF(A8="","",ROUND(SUMIFS(Sales!$V$5:$V$804,Sales!$H$5:$H$804,A8),2))</f>
        <v>0</v>
      </c>
      <c r="S8" s="20">
        <f>IF(A8="","",ROUND(SUMIFS(Sales!$G$5:$G$804,Sales!$H$5:$H$804,A8),2))</f>
        <v>0</v>
      </c>
      <c r="T8" s="20">
        <f>IF(A8="","",ROUND(SUMIFS(Sales!$AG$5:$AG$804,Sales!$H$5:$H$804,A8),2))</f>
        <v>0</v>
      </c>
      <c r="U8" s="33">
        <f>IF(A8="","",IF(OR(R8="",R8=0),"",T8/R8))</f>
        <v>0</v>
      </c>
      <c r="V8" s="20">
        <f>IF(A8="","",IF(Q8=0,"",ROUND(R8/Q8,2)))</f>
        <v>0</v>
      </c>
      <c r="W8" s="43">
        <f>IF(A8="","",IF(AND(F8&lt;&gt;"",F8&gt;TodayDate),"Scheduled",IF(AND(G8&lt;&gt;"",G8&lt;TodayDate),"Expired",IF(AND(I8&lt;&gt;"",Q8&gt;=I8),"Used up","Active"))))</f>
        <v>0</v>
      </c>
      <c r="X8" s="43">
        <f>IF(A8="","",IF(D8="","Add - how much off?",IF(AND(N8&lt;&gt;"",N8&lt;0),"Loss - this discount sells below cost",IF(AND(O8&lt;&gt;"",O8&gt;0.5),"Check - over half the profit given away",IF(W8="Expired","Ended - review what it did",IF(AND(Q8=0,W8="Active"),"Waiting - no orders yet","OK"))))))</f>
        <v>0</v>
      </c>
    </row>
    <row r="9" spans="1:24">
      <c r="L9" s="33">
        <f>IF(A9="","",IF(J9&lt;&gt;"",J9,TargetRetailMargin))</f>
        <v>0</v>
      </c>
      <c r="M9" s="33">
        <f>IF(A9="","",IF(C9="Percent off",D9,IF(C9="Free shipping","",IF(OR(H9="",H9=0),"",D9/H9))))</f>
        <v>0</v>
      </c>
      <c r="N9" s="33">
        <f>IF(A9="","",IF(M9="","",(L9-M9)/(1-M9)))</f>
        <v>0</v>
      </c>
      <c r="O9" s="33">
        <f>IF(A9="","",IF(OR(M9="",L9=0),"",M9/L9))</f>
        <v>0</v>
      </c>
      <c r="P9" s="33">
        <f>IF(A9="","",IF(M9="","Never - it loses money",IF(L9-M9&lt;=0,"Never - it loses money",M9/(L9-M9))))</f>
        <v>0</v>
      </c>
      <c r="Q9" s="32">
        <f>IF(A9="","",COUNTIFS(Sales!$H$5:$H$804,A9))</f>
        <v>0</v>
      </c>
      <c r="R9" s="20">
        <f>IF(A9="","",ROUND(SUMIFS(Sales!$V$5:$V$804,Sales!$H$5:$H$804,A9),2))</f>
        <v>0</v>
      </c>
      <c r="S9" s="20">
        <f>IF(A9="","",ROUND(SUMIFS(Sales!$G$5:$G$804,Sales!$H$5:$H$804,A9),2))</f>
        <v>0</v>
      </c>
      <c r="T9" s="20">
        <f>IF(A9="","",ROUND(SUMIFS(Sales!$AG$5:$AG$804,Sales!$H$5:$H$804,A9),2))</f>
        <v>0</v>
      </c>
      <c r="U9" s="33">
        <f>IF(A9="","",IF(OR(R9="",R9=0),"",T9/R9))</f>
        <v>0</v>
      </c>
      <c r="V9" s="20">
        <f>IF(A9="","",IF(Q9=0,"",ROUND(R9/Q9,2)))</f>
        <v>0</v>
      </c>
      <c r="W9" s="43">
        <f>IF(A9="","",IF(AND(F9&lt;&gt;"",F9&gt;TodayDate),"Scheduled",IF(AND(G9&lt;&gt;"",G9&lt;TodayDate),"Expired",IF(AND(I9&lt;&gt;"",Q9&gt;=I9),"Used up","Active"))))</f>
        <v>0</v>
      </c>
      <c r="X9" s="43">
        <f>IF(A9="","",IF(D9="","Add - how much off?",IF(AND(N9&lt;&gt;"",N9&lt;0),"Loss - this discount sells below cost",IF(AND(O9&lt;&gt;"",O9&gt;0.5),"Check - over half the profit given away",IF(W9="Expired","Ended - review what it did",IF(AND(Q9=0,W9="Active"),"Waiting - no orders yet","OK"))))))</f>
        <v>0</v>
      </c>
    </row>
    <row r="10" spans="1:24">
      <c r="L10" s="33">
        <f>IF(A10="","",IF(J10&lt;&gt;"",J10,TargetRetailMargin))</f>
        <v>0</v>
      </c>
      <c r="M10" s="33">
        <f>IF(A10="","",IF(C10="Percent off",D10,IF(C10="Free shipping","",IF(OR(H10="",H10=0),"",D10/H10))))</f>
        <v>0</v>
      </c>
      <c r="N10" s="33">
        <f>IF(A10="","",IF(M10="","",(L10-M10)/(1-M10)))</f>
        <v>0</v>
      </c>
      <c r="O10" s="33">
        <f>IF(A10="","",IF(OR(M10="",L10=0),"",M10/L10))</f>
        <v>0</v>
      </c>
      <c r="P10" s="33">
        <f>IF(A10="","",IF(M10="","Never - it loses money",IF(L10-M10&lt;=0,"Never - it loses money",M10/(L10-M10))))</f>
        <v>0</v>
      </c>
      <c r="Q10" s="32">
        <f>IF(A10="","",COUNTIFS(Sales!$H$5:$H$804,A10))</f>
        <v>0</v>
      </c>
      <c r="R10" s="20">
        <f>IF(A10="","",ROUND(SUMIFS(Sales!$V$5:$V$804,Sales!$H$5:$H$804,A10),2))</f>
        <v>0</v>
      </c>
      <c r="S10" s="20">
        <f>IF(A10="","",ROUND(SUMIFS(Sales!$G$5:$G$804,Sales!$H$5:$H$804,A10),2))</f>
        <v>0</v>
      </c>
      <c r="T10" s="20">
        <f>IF(A10="","",ROUND(SUMIFS(Sales!$AG$5:$AG$804,Sales!$H$5:$H$804,A10),2))</f>
        <v>0</v>
      </c>
      <c r="U10" s="33">
        <f>IF(A10="","",IF(OR(R10="",R10=0),"",T10/R10))</f>
        <v>0</v>
      </c>
      <c r="V10" s="20">
        <f>IF(A10="","",IF(Q10=0,"",ROUND(R10/Q10,2)))</f>
        <v>0</v>
      </c>
      <c r="W10" s="43">
        <f>IF(A10="","",IF(AND(F10&lt;&gt;"",F10&gt;TodayDate),"Scheduled",IF(AND(G10&lt;&gt;"",G10&lt;TodayDate),"Expired",IF(AND(I10&lt;&gt;"",Q10&gt;=I10),"Used up","Active"))))</f>
        <v>0</v>
      </c>
      <c r="X10" s="43">
        <f>IF(A10="","",IF(D10="","Add - how much off?",IF(AND(N10&lt;&gt;"",N10&lt;0),"Loss - this discount sells below cost",IF(AND(O10&lt;&gt;"",O10&gt;0.5),"Check - over half the profit given away",IF(W10="Expired","Ended - review what it did",IF(AND(Q10=0,W10="Active"),"Waiting - no orders yet","OK"))))))</f>
        <v>0</v>
      </c>
    </row>
    <row r="11" spans="1:24">
      <c r="L11" s="33">
        <f>IF(A11="","",IF(J11&lt;&gt;"",J11,TargetRetailMargin))</f>
        <v>0</v>
      </c>
      <c r="M11" s="33">
        <f>IF(A11="","",IF(C11="Percent off",D11,IF(C11="Free shipping","",IF(OR(H11="",H11=0),"",D11/H11))))</f>
        <v>0</v>
      </c>
      <c r="N11" s="33">
        <f>IF(A11="","",IF(M11="","",(L11-M11)/(1-M11)))</f>
        <v>0</v>
      </c>
      <c r="O11" s="33">
        <f>IF(A11="","",IF(OR(M11="",L11=0),"",M11/L11))</f>
        <v>0</v>
      </c>
      <c r="P11" s="33">
        <f>IF(A11="","",IF(M11="","Never - it loses money",IF(L11-M11&lt;=0,"Never - it loses money",M11/(L11-M11))))</f>
        <v>0</v>
      </c>
      <c r="Q11" s="32">
        <f>IF(A11="","",COUNTIFS(Sales!$H$5:$H$804,A11))</f>
        <v>0</v>
      </c>
      <c r="R11" s="20">
        <f>IF(A11="","",ROUND(SUMIFS(Sales!$V$5:$V$804,Sales!$H$5:$H$804,A11),2))</f>
        <v>0</v>
      </c>
      <c r="S11" s="20">
        <f>IF(A11="","",ROUND(SUMIFS(Sales!$G$5:$G$804,Sales!$H$5:$H$804,A11),2))</f>
        <v>0</v>
      </c>
      <c r="T11" s="20">
        <f>IF(A11="","",ROUND(SUMIFS(Sales!$AG$5:$AG$804,Sales!$H$5:$H$804,A11),2))</f>
        <v>0</v>
      </c>
      <c r="U11" s="33">
        <f>IF(A11="","",IF(OR(R11="",R11=0),"",T11/R11))</f>
        <v>0</v>
      </c>
      <c r="V11" s="20">
        <f>IF(A11="","",IF(Q11=0,"",ROUND(R11/Q11,2)))</f>
        <v>0</v>
      </c>
      <c r="W11" s="43">
        <f>IF(A11="","",IF(AND(F11&lt;&gt;"",F11&gt;TodayDate),"Scheduled",IF(AND(G11&lt;&gt;"",G11&lt;TodayDate),"Expired",IF(AND(I11&lt;&gt;"",Q11&gt;=I11),"Used up","Active"))))</f>
        <v>0</v>
      </c>
      <c r="X11" s="43">
        <f>IF(A11="","",IF(D11="","Add - how much off?",IF(AND(N11&lt;&gt;"",N11&lt;0),"Loss - this discount sells below cost",IF(AND(O11&lt;&gt;"",O11&gt;0.5),"Check - over half the profit given away",IF(W11="Expired","Ended - review what it did",IF(AND(Q11=0,W11="Active"),"Waiting - no orders yet","OK"))))))</f>
        <v>0</v>
      </c>
    </row>
    <row r="12" spans="1:24">
      <c r="L12" s="33">
        <f>IF(A12="","",IF(J12&lt;&gt;"",J12,TargetRetailMargin))</f>
        <v>0</v>
      </c>
      <c r="M12" s="33">
        <f>IF(A12="","",IF(C12="Percent off",D12,IF(C12="Free shipping","",IF(OR(H12="",H12=0),"",D12/H12))))</f>
        <v>0</v>
      </c>
      <c r="N12" s="33">
        <f>IF(A12="","",IF(M12="","",(L12-M12)/(1-M12)))</f>
        <v>0</v>
      </c>
      <c r="O12" s="33">
        <f>IF(A12="","",IF(OR(M12="",L12=0),"",M12/L12))</f>
        <v>0</v>
      </c>
      <c r="P12" s="33">
        <f>IF(A12="","",IF(M12="","Never - it loses money",IF(L12-M12&lt;=0,"Never - it loses money",M12/(L12-M12))))</f>
        <v>0</v>
      </c>
      <c r="Q12" s="32">
        <f>IF(A12="","",COUNTIFS(Sales!$H$5:$H$804,A12))</f>
        <v>0</v>
      </c>
      <c r="R12" s="20">
        <f>IF(A12="","",ROUND(SUMIFS(Sales!$V$5:$V$804,Sales!$H$5:$H$804,A12),2))</f>
        <v>0</v>
      </c>
      <c r="S12" s="20">
        <f>IF(A12="","",ROUND(SUMIFS(Sales!$G$5:$G$804,Sales!$H$5:$H$804,A12),2))</f>
        <v>0</v>
      </c>
      <c r="T12" s="20">
        <f>IF(A12="","",ROUND(SUMIFS(Sales!$AG$5:$AG$804,Sales!$H$5:$H$804,A12),2))</f>
        <v>0</v>
      </c>
      <c r="U12" s="33">
        <f>IF(A12="","",IF(OR(R12="",R12=0),"",T12/R12))</f>
        <v>0</v>
      </c>
      <c r="V12" s="20">
        <f>IF(A12="","",IF(Q12=0,"",ROUND(R12/Q12,2)))</f>
        <v>0</v>
      </c>
      <c r="W12" s="43">
        <f>IF(A12="","",IF(AND(F12&lt;&gt;"",F12&gt;TodayDate),"Scheduled",IF(AND(G12&lt;&gt;"",G12&lt;TodayDate),"Expired",IF(AND(I12&lt;&gt;"",Q12&gt;=I12),"Used up","Active"))))</f>
        <v>0</v>
      </c>
      <c r="X12" s="43">
        <f>IF(A12="","",IF(D12="","Add - how much off?",IF(AND(N12&lt;&gt;"",N12&lt;0),"Loss - this discount sells below cost",IF(AND(O12&lt;&gt;"",O12&gt;0.5),"Check - over half the profit given away",IF(W12="Expired","Ended - review what it did",IF(AND(Q12=0,W12="Active"),"Waiting - no orders yet","OK"))))))</f>
        <v>0</v>
      </c>
    </row>
    <row r="13" spans="1:24">
      <c r="L13" s="33">
        <f>IF(A13="","",IF(J13&lt;&gt;"",J13,TargetRetailMargin))</f>
        <v>0</v>
      </c>
      <c r="M13" s="33">
        <f>IF(A13="","",IF(C13="Percent off",D13,IF(C13="Free shipping","",IF(OR(H13="",H13=0),"",D13/H13))))</f>
        <v>0</v>
      </c>
      <c r="N13" s="33">
        <f>IF(A13="","",IF(M13="","",(L13-M13)/(1-M13)))</f>
        <v>0</v>
      </c>
      <c r="O13" s="33">
        <f>IF(A13="","",IF(OR(M13="",L13=0),"",M13/L13))</f>
        <v>0</v>
      </c>
      <c r="P13" s="33">
        <f>IF(A13="","",IF(M13="","Never - it loses money",IF(L13-M13&lt;=0,"Never - it loses money",M13/(L13-M13))))</f>
        <v>0</v>
      </c>
      <c r="Q13" s="32">
        <f>IF(A13="","",COUNTIFS(Sales!$H$5:$H$804,A13))</f>
        <v>0</v>
      </c>
      <c r="R13" s="20">
        <f>IF(A13="","",ROUND(SUMIFS(Sales!$V$5:$V$804,Sales!$H$5:$H$804,A13),2))</f>
        <v>0</v>
      </c>
      <c r="S13" s="20">
        <f>IF(A13="","",ROUND(SUMIFS(Sales!$G$5:$G$804,Sales!$H$5:$H$804,A13),2))</f>
        <v>0</v>
      </c>
      <c r="T13" s="20">
        <f>IF(A13="","",ROUND(SUMIFS(Sales!$AG$5:$AG$804,Sales!$H$5:$H$804,A13),2))</f>
        <v>0</v>
      </c>
      <c r="U13" s="33">
        <f>IF(A13="","",IF(OR(R13="",R13=0),"",T13/R13))</f>
        <v>0</v>
      </c>
      <c r="V13" s="20">
        <f>IF(A13="","",IF(Q13=0,"",ROUND(R13/Q13,2)))</f>
        <v>0</v>
      </c>
      <c r="W13" s="43">
        <f>IF(A13="","",IF(AND(F13&lt;&gt;"",F13&gt;TodayDate),"Scheduled",IF(AND(G13&lt;&gt;"",G13&lt;TodayDate),"Expired",IF(AND(I13&lt;&gt;"",Q13&gt;=I13),"Used up","Active"))))</f>
        <v>0</v>
      </c>
      <c r="X13" s="43">
        <f>IF(A13="","",IF(D13="","Add - how much off?",IF(AND(N13&lt;&gt;"",N13&lt;0),"Loss - this discount sells below cost",IF(AND(O13&lt;&gt;"",O13&gt;0.5),"Check - over half the profit given away",IF(W13="Expired","Ended - review what it did",IF(AND(Q13=0,W13="Active"),"Waiting - no orders yet","OK"))))))</f>
        <v>0</v>
      </c>
    </row>
    <row r="14" spans="1:24">
      <c r="L14" s="33">
        <f>IF(A14="","",IF(J14&lt;&gt;"",J14,TargetRetailMargin))</f>
        <v>0</v>
      </c>
      <c r="M14" s="33">
        <f>IF(A14="","",IF(C14="Percent off",D14,IF(C14="Free shipping","",IF(OR(H14="",H14=0),"",D14/H14))))</f>
        <v>0</v>
      </c>
      <c r="N14" s="33">
        <f>IF(A14="","",IF(M14="","",(L14-M14)/(1-M14)))</f>
        <v>0</v>
      </c>
      <c r="O14" s="33">
        <f>IF(A14="","",IF(OR(M14="",L14=0),"",M14/L14))</f>
        <v>0</v>
      </c>
      <c r="P14" s="33">
        <f>IF(A14="","",IF(M14="","Never - it loses money",IF(L14-M14&lt;=0,"Never - it loses money",M14/(L14-M14))))</f>
        <v>0</v>
      </c>
      <c r="Q14" s="32">
        <f>IF(A14="","",COUNTIFS(Sales!$H$5:$H$804,A14))</f>
        <v>0</v>
      </c>
      <c r="R14" s="20">
        <f>IF(A14="","",ROUND(SUMIFS(Sales!$V$5:$V$804,Sales!$H$5:$H$804,A14),2))</f>
        <v>0</v>
      </c>
      <c r="S14" s="20">
        <f>IF(A14="","",ROUND(SUMIFS(Sales!$G$5:$G$804,Sales!$H$5:$H$804,A14),2))</f>
        <v>0</v>
      </c>
      <c r="T14" s="20">
        <f>IF(A14="","",ROUND(SUMIFS(Sales!$AG$5:$AG$804,Sales!$H$5:$H$804,A14),2))</f>
        <v>0</v>
      </c>
      <c r="U14" s="33">
        <f>IF(A14="","",IF(OR(R14="",R14=0),"",T14/R14))</f>
        <v>0</v>
      </c>
      <c r="V14" s="20">
        <f>IF(A14="","",IF(Q14=0,"",ROUND(R14/Q14,2)))</f>
        <v>0</v>
      </c>
      <c r="W14" s="43">
        <f>IF(A14="","",IF(AND(F14&lt;&gt;"",F14&gt;TodayDate),"Scheduled",IF(AND(G14&lt;&gt;"",G14&lt;TodayDate),"Expired",IF(AND(I14&lt;&gt;"",Q14&gt;=I14),"Used up","Active"))))</f>
        <v>0</v>
      </c>
      <c r="X14" s="43">
        <f>IF(A14="","",IF(D14="","Add - how much off?",IF(AND(N14&lt;&gt;"",N14&lt;0),"Loss - this discount sells below cost",IF(AND(O14&lt;&gt;"",O14&gt;0.5),"Check - over half the profit given away",IF(W14="Expired","Ended - review what it did",IF(AND(Q14=0,W14="Active"),"Waiting - no orders yet","OK"))))))</f>
        <v>0</v>
      </c>
    </row>
    <row r="15" spans="1:24">
      <c r="L15" s="33">
        <f>IF(A15="","",IF(J15&lt;&gt;"",J15,TargetRetailMargin))</f>
        <v>0</v>
      </c>
      <c r="M15" s="33">
        <f>IF(A15="","",IF(C15="Percent off",D15,IF(C15="Free shipping","",IF(OR(H15="",H15=0),"",D15/H15))))</f>
        <v>0</v>
      </c>
      <c r="N15" s="33">
        <f>IF(A15="","",IF(M15="","",(L15-M15)/(1-M15)))</f>
        <v>0</v>
      </c>
      <c r="O15" s="33">
        <f>IF(A15="","",IF(OR(M15="",L15=0),"",M15/L15))</f>
        <v>0</v>
      </c>
      <c r="P15" s="33">
        <f>IF(A15="","",IF(M15="","Never - it loses money",IF(L15-M15&lt;=0,"Never - it loses money",M15/(L15-M15))))</f>
        <v>0</v>
      </c>
      <c r="Q15" s="32">
        <f>IF(A15="","",COUNTIFS(Sales!$H$5:$H$804,A15))</f>
        <v>0</v>
      </c>
      <c r="R15" s="20">
        <f>IF(A15="","",ROUND(SUMIFS(Sales!$V$5:$V$804,Sales!$H$5:$H$804,A15),2))</f>
        <v>0</v>
      </c>
      <c r="S15" s="20">
        <f>IF(A15="","",ROUND(SUMIFS(Sales!$G$5:$G$804,Sales!$H$5:$H$804,A15),2))</f>
        <v>0</v>
      </c>
      <c r="T15" s="20">
        <f>IF(A15="","",ROUND(SUMIFS(Sales!$AG$5:$AG$804,Sales!$H$5:$H$804,A15),2))</f>
        <v>0</v>
      </c>
      <c r="U15" s="33">
        <f>IF(A15="","",IF(OR(R15="",R15=0),"",T15/R15))</f>
        <v>0</v>
      </c>
      <c r="V15" s="20">
        <f>IF(A15="","",IF(Q15=0,"",ROUND(R15/Q15,2)))</f>
        <v>0</v>
      </c>
      <c r="W15" s="43">
        <f>IF(A15="","",IF(AND(F15&lt;&gt;"",F15&gt;TodayDate),"Scheduled",IF(AND(G15&lt;&gt;"",G15&lt;TodayDate),"Expired",IF(AND(I15&lt;&gt;"",Q15&gt;=I15),"Used up","Active"))))</f>
        <v>0</v>
      </c>
      <c r="X15" s="43">
        <f>IF(A15="","",IF(D15="","Add - how much off?",IF(AND(N15&lt;&gt;"",N15&lt;0),"Loss - this discount sells below cost",IF(AND(O15&lt;&gt;"",O15&gt;0.5),"Check - over half the profit given away",IF(W15="Expired","Ended - review what it did",IF(AND(Q15=0,W15="Active"),"Waiting - no orders yet","OK"))))))</f>
        <v>0</v>
      </c>
    </row>
    <row r="16" spans="1:24">
      <c r="L16" s="33">
        <f>IF(A16="","",IF(J16&lt;&gt;"",J16,TargetRetailMargin))</f>
        <v>0</v>
      </c>
      <c r="M16" s="33">
        <f>IF(A16="","",IF(C16="Percent off",D16,IF(C16="Free shipping","",IF(OR(H16="",H16=0),"",D16/H16))))</f>
        <v>0</v>
      </c>
      <c r="N16" s="33">
        <f>IF(A16="","",IF(M16="","",(L16-M16)/(1-M16)))</f>
        <v>0</v>
      </c>
      <c r="O16" s="33">
        <f>IF(A16="","",IF(OR(M16="",L16=0),"",M16/L16))</f>
        <v>0</v>
      </c>
      <c r="P16" s="33">
        <f>IF(A16="","",IF(M16="","Never - it loses money",IF(L16-M16&lt;=0,"Never - it loses money",M16/(L16-M16))))</f>
        <v>0</v>
      </c>
      <c r="Q16" s="32">
        <f>IF(A16="","",COUNTIFS(Sales!$H$5:$H$804,A16))</f>
        <v>0</v>
      </c>
      <c r="R16" s="20">
        <f>IF(A16="","",ROUND(SUMIFS(Sales!$V$5:$V$804,Sales!$H$5:$H$804,A16),2))</f>
        <v>0</v>
      </c>
      <c r="S16" s="20">
        <f>IF(A16="","",ROUND(SUMIFS(Sales!$G$5:$G$804,Sales!$H$5:$H$804,A16),2))</f>
        <v>0</v>
      </c>
      <c r="T16" s="20">
        <f>IF(A16="","",ROUND(SUMIFS(Sales!$AG$5:$AG$804,Sales!$H$5:$H$804,A16),2))</f>
        <v>0</v>
      </c>
      <c r="U16" s="33">
        <f>IF(A16="","",IF(OR(R16="",R16=0),"",T16/R16))</f>
        <v>0</v>
      </c>
      <c r="V16" s="20">
        <f>IF(A16="","",IF(Q16=0,"",ROUND(R16/Q16,2)))</f>
        <v>0</v>
      </c>
      <c r="W16" s="43">
        <f>IF(A16="","",IF(AND(F16&lt;&gt;"",F16&gt;TodayDate),"Scheduled",IF(AND(G16&lt;&gt;"",G16&lt;TodayDate),"Expired",IF(AND(I16&lt;&gt;"",Q16&gt;=I16),"Used up","Active"))))</f>
        <v>0</v>
      </c>
      <c r="X16" s="43">
        <f>IF(A16="","",IF(D16="","Add - how much off?",IF(AND(N16&lt;&gt;"",N16&lt;0),"Loss - this discount sells below cost",IF(AND(O16&lt;&gt;"",O16&gt;0.5),"Check - over half the profit given away",IF(W16="Expired","Ended - review what it did",IF(AND(Q16=0,W16="Active"),"Waiting - no orders yet","OK"))))))</f>
        <v>0</v>
      </c>
    </row>
    <row r="17" spans="12:24">
      <c r="L17" s="33">
        <f>IF(A17="","",IF(J17&lt;&gt;"",J17,TargetRetailMargin))</f>
        <v>0</v>
      </c>
      <c r="M17" s="33">
        <f>IF(A17="","",IF(C17="Percent off",D17,IF(C17="Free shipping","",IF(OR(H17="",H17=0),"",D17/H17))))</f>
        <v>0</v>
      </c>
      <c r="N17" s="33">
        <f>IF(A17="","",IF(M17="","",(L17-M17)/(1-M17)))</f>
        <v>0</v>
      </c>
      <c r="O17" s="33">
        <f>IF(A17="","",IF(OR(M17="",L17=0),"",M17/L17))</f>
        <v>0</v>
      </c>
      <c r="P17" s="33">
        <f>IF(A17="","",IF(M17="","Never - it loses money",IF(L17-M17&lt;=0,"Never - it loses money",M17/(L17-M17))))</f>
        <v>0</v>
      </c>
      <c r="Q17" s="32">
        <f>IF(A17="","",COUNTIFS(Sales!$H$5:$H$804,A17))</f>
        <v>0</v>
      </c>
      <c r="R17" s="20">
        <f>IF(A17="","",ROUND(SUMIFS(Sales!$V$5:$V$804,Sales!$H$5:$H$804,A17),2))</f>
        <v>0</v>
      </c>
      <c r="S17" s="20">
        <f>IF(A17="","",ROUND(SUMIFS(Sales!$G$5:$G$804,Sales!$H$5:$H$804,A17),2))</f>
        <v>0</v>
      </c>
      <c r="T17" s="20">
        <f>IF(A17="","",ROUND(SUMIFS(Sales!$AG$5:$AG$804,Sales!$H$5:$H$804,A17),2))</f>
        <v>0</v>
      </c>
      <c r="U17" s="33">
        <f>IF(A17="","",IF(OR(R17="",R17=0),"",T17/R17))</f>
        <v>0</v>
      </c>
      <c r="V17" s="20">
        <f>IF(A17="","",IF(Q17=0,"",ROUND(R17/Q17,2)))</f>
        <v>0</v>
      </c>
      <c r="W17" s="43">
        <f>IF(A17="","",IF(AND(F17&lt;&gt;"",F17&gt;TodayDate),"Scheduled",IF(AND(G17&lt;&gt;"",G17&lt;TodayDate),"Expired",IF(AND(I17&lt;&gt;"",Q17&gt;=I17),"Used up","Active"))))</f>
        <v>0</v>
      </c>
      <c r="X17" s="43">
        <f>IF(A17="","",IF(D17="","Add - how much off?",IF(AND(N17&lt;&gt;"",N17&lt;0),"Loss - this discount sells below cost",IF(AND(O17&lt;&gt;"",O17&gt;0.5),"Check - over half the profit given away",IF(W17="Expired","Ended - review what it did",IF(AND(Q17=0,W17="Active"),"Waiting - no orders yet","OK"))))))</f>
        <v>0</v>
      </c>
    </row>
    <row r="18" spans="12:24">
      <c r="L18" s="33">
        <f>IF(A18="","",IF(J18&lt;&gt;"",J18,TargetRetailMargin))</f>
        <v>0</v>
      </c>
      <c r="M18" s="33">
        <f>IF(A18="","",IF(C18="Percent off",D18,IF(C18="Free shipping","",IF(OR(H18="",H18=0),"",D18/H18))))</f>
        <v>0</v>
      </c>
      <c r="N18" s="33">
        <f>IF(A18="","",IF(M18="","",(L18-M18)/(1-M18)))</f>
        <v>0</v>
      </c>
      <c r="O18" s="33">
        <f>IF(A18="","",IF(OR(M18="",L18=0),"",M18/L18))</f>
        <v>0</v>
      </c>
      <c r="P18" s="33">
        <f>IF(A18="","",IF(M18="","Never - it loses money",IF(L18-M18&lt;=0,"Never - it loses money",M18/(L18-M18))))</f>
        <v>0</v>
      </c>
      <c r="Q18" s="32">
        <f>IF(A18="","",COUNTIFS(Sales!$H$5:$H$804,A18))</f>
        <v>0</v>
      </c>
      <c r="R18" s="20">
        <f>IF(A18="","",ROUND(SUMIFS(Sales!$V$5:$V$804,Sales!$H$5:$H$804,A18),2))</f>
        <v>0</v>
      </c>
      <c r="S18" s="20">
        <f>IF(A18="","",ROUND(SUMIFS(Sales!$G$5:$G$804,Sales!$H$5:$H$804,A18),2))</f>
        <v>0</v>
      </c>
      <c r="T18" s="20">
        <f>IF(A18="","",ROUND(SUMIFS(Sales!$AG$5:$AG$804,Sales!$H$5:$H$804,A18),2))</f>
        <v>0</v>
      </c>
      <c r="U18" s="33">
        <f>IF(A18="","",IF(OR(R18="",R18=0),"",T18/R18))</f>
        <v>0</v>
      </c>
      <c r="V18" s="20">
        <f>IF(A18="","",IF(Q18=0,"",ROUND(R18/Q18,2)))</f>
        <v>0</v>
      </c>
      <c r="W18" s="43">
        <f>IF(A18="","",IF(AND(F18&lt;&gt;"",F18&gt;TodayDate),"Scheduled",IF(AND(G18&lt;&gt;"",G18&lt;TodayDate),"Expired",IF(AND(I18&lt;&gt;"",Q18&gt;=I18),"Used up","Active"))))</f>
        <v>0</v>
      </c>
      <c r="X18" s="43">
        <f>IF(A18="","",IF(D18="","Add - how much off?",IF(AND(N18&lt;&gt;"",N18&lt;0),"Loss - this discount sells below cost",IF(AND(O18&lt;&gt;"",O18&gt;0.5),"Check - over half the profit given away",IF(W18="Expired","Ended - review what it did",IF(AND(Q18=0,W18="Active"),"Waiting - no orders yet","OK"))))))</f>
        <v>0</v>
      </c>
    </row>
    <row r="19" spans="12:24">
      <c r="L19" s="33">
        <f>IF(A19="","",IF(J19&lt;&gt;"",J19,TargetRetailMargin))</f>
        <v>0</v>
      </c>
      <c r="M19" s="33">
        <f>IF(A19="","",IF(C19="Percent off",D19,IF(C19="Free shipping","",IF(OR(H19="",H19=0),"",D19/H19))))</f>
        <v>0</v>
      </c>
      <c r="N19" s="33">
        <f>IF(A19="","",IF(M19="","",(L19-M19)/(1-M19)))</f>
        <v>0</v>
      </c>
      <c r="O19" s="33">
        <f>IF(A19="","",IF(OR(M19="",L19=0),"",M19/L19))</f>
        <v>0</v>
      </c>
      <c r="P19" s="33">
        <f>IF(A19="","",IF(M19="","Never - it loses money",IF(L19-M19&lt;=0,"Never - it loses money",M19/(L19-M19))))</f>
        <v>0</v>
      </c>
      <c r="Q19" s="32">
        <f>IF(A19="","",COUNTIFS(Sales!$H$5:$H$804,A19))</f>
        <v>0</v>
      </c>
      <c r="R19" s="20">
        <f>IF(A19="","",ROUND(SUMIFS(Sales!$V$5:$V$804,Sales!$H$5:$H$804,A19),2))</f>
        <v>0</v>
      </c>
      <c r="S19" s="20">
        <f>IF(A19="","",ROUND(SUMIFS(Sales!$G$5:$G$804,Sales!$H$5:$H$804,A19),2))</f>
        <v>0</v>
      </c>
      <c r="T19" s="20">
        <f>IF(A19="","",ROUND(SUMIFS(Sales!$AG$5:$AG$804,Sales!$H$5:$H$804,A19),2))</f>
        <v>0</v>
      </c>
      <c r="U19" s="33">
        <f>IF(A19="","",IF(OR(R19="",R19=0),"",T19/R19))</f>
        <v>0</v>
      </c>
      <c r="V19" s="20">
        <f>IF(A19="","",IF(Q19=0,"",ROUND(R19/Q19,2)))</f>
        <v>0</v>
      </c>
      <c r="W19" s="43">
        <f>IF(A19="","",IF(AND(F19&lt;&gt;"",F19&gt;TodayDate),"Scheduled",IF(AND(G19&lt;&gt;"",G19&lt;TodayDate),"Expired",IF(AND(I19&lt;&gt;"",Q19&gt;=I19),"Used up","Active"))))</f>
        <v>0</v>
      </c>
      <c r="X19" s="43">
        <f>IF(A19="","",IF(D19="","Add - how much off?",IF(AND(N19&lt;&gt;"",N19&lt;0),"Loss - this discount sells below cost",IF(AND(O19&lt;&gt;"",O19&gt;0.5),"Check - over half the profit given away",IF(W19="Expired","Ended - review what it did",IF(AND(Q19=0,W19="Active"),"Waiting - no orders yet","OK"))))))</f>
        <v>0</v>
      </c>
    </row>
    <row r="20" spans="12:24">
      <c r="L20" s="33">
        <f>IF(A20="","",IF(J20&lt;&gt;"",J20,TargetRetailMargin))</f>
        <v>0</v>
      </c>
      <c r="M20" s="33">
        <f>IF(A20="","",IF(C20="Percent off",D20,IF(C20="Free shipping","",IF(OR(H20="",H20=0),"",D20/H20))))</f>
        <v>0</v>
      </c>
      <c r="N20" s="33">
        <f>IF(A20="","",IF(M20="","",(L20-M20)/(1-M20)))</f>
        <v>0</v>
      </c>
      <c r="O20" s="33">
        <f>IF(A20="","",IF(OR(M20="",L20=0),"",M20/L20))</f>
        <v>0</v>
      </c>
      <c r="P20" s="33">
        <f>IF(A20="","",IF(M20="","Never - it loses money",IF(L20-M20&lt;=0,"Never - it loses money",M20/(L20-M20))))</f>
        <v>0</v>
      </c>
      <c r="Q20" s="32">
        <f>IF(A20="","",COUNTIFS(Sales!$H$5:$H$804,A20))</f>
        <v>0</v>
      </c>
      <c r="R20" s="20">
        <f>IF(A20="","",ROUND(SUMIFS(Sales!$V$5:$V$804,Sales!$H$5:$H$804,A20),2))</f>
        <v>0</v>
      </c>
      <c r="S20" s="20">
        <f>IF(A20="","",ROUND(SUMIFS(Sales!$G$5:$G$804,Sales!$H$5:$H$804,A20),2))</f>
        <v>0</v>
      </c>
      <c r="T20" s="20">
        <f>IF(A20="","",ROUND(SUMIFS(Sales!$AG$5:$AG$804,Sales!$H$5:$H$804,A20),2))</f>
        <v>0</v>
      </c>
      <c r="U20" s="33">
        <f>IF(A20="","",IF(OR(R20="",R20=0),"",T20/R20))</f>
        <v>0</v>
      </c>
      <c r="V20" s="20">
        <f>IF(A20="","",IF(Q20=0,"",ROUND(R20/Q20,2)))</f>
        <v>0</v>
      </c>
      <c r="W20" s="43">
        <f>IF(A20="","",IF(AND(F20&lt;&gt;"",F20&gt;TodayDate),"Scheduled",IF(AND(G20&lt;&gt;"",G20&lt;TodayDate),"Expired",IF(AND(I20&lt;&gt;"",Q20&gt;=I20),"Used up","Active"))))</f>
        <v>0</v>
      </c>
      <c r="X20" s="43">
        <f>IF(A20="","",IF(D20="","Add - how much off?",IF(AND(N20&lt;&gt;"",N20&lt;0),"Loss - this discount sells below cost",IF(AND(O20&lt;&gt;"",O20&gt;0.5),"Check - over half the profit given away",IF(W20="Expired","Ended - review what it did",IF(AND(Q20=0,W20="Active"),"Waiting - no orders yet","OK"))))))</f>
        <v>0</v>
      </c>
    </row>
    <row r="21" spans="12:24">
      <c r="L21" s="33">
        <f>IF(A21="","",IF(J21&lt;&gt;"",J21,TargetRetailMargin))</f>
        <v>0</v>
      </c>
      <c r="M21" s="33">
        <f>IF(A21="","",IF(C21="Percent off",D21,IF(C21="Free shipping","",IF(OR(H21="",H21=0),"",D21/H21))))</f>
        <v>0</v>
      </c>
      <c r="N21" s="33">
        <f>IF(A21="","",IF(M21="","",(L21-M21)/(1-M21)))</f>
        <v>0</v>
      </c>
      <c r="O21" s="33">
        <f>IF(A21="","",IF(OR(M21="",L21=0),"",M21/L21))</f>
        <v>0</v>
      </c>
      <c r="P21" s="33">
        <f>IF(A21="","",IF(M21="","Never - it loses money",IF(L21-M21&lt;=0,"Never - it loses money",M21/(L21-M21))))</f>
        <v>0</v>
      </c>
      <c r="Q21" s="32">
        <f>IF(A21="","",COUNTIFS(Sales!$H$5:$H$804,A21))</f>
        <v>0</v>
      </c>
      <c r="R21" s="20">
        <f>IF(A21="","",ROUND(SUMIFS(Sales!$V$5:$V$804,Sales!$H$5:$H$804,A21),2))</f>
        <v>0</v>
      </c>
      <c r="S21" s="20">
        <f>IF(A21="","",ROUND(SUMIFS(Sales!$G$5:$G$804,Sales!$H$5:$H$804,A21),2))</f>
        <v>0</v>
      </c>
      <c r="T21" s="20">
        <f>IF(A21="","",ROUND(SUMIFS(Sales!$AG$5:$AG$804,Sales!$H$5:$H$804,A21),2))</f>
        <v>0</v>
      </c>
      <c r="U21" s="33">
        <f>IF(A21="","",IF(OR(R21="",R21=0),"",T21/R21))</f>
        <v>0</v>
      </c>
      <c r="V21" s="20">
        <f>IF(A21="","",IF(Q21=0,"",ROUND(R21/Q21,2)))</f>
        <v>0</v>
      </c>
      <c r="W21" s="43">
        <f>IF(A21="","",IF(AND(F21&lt;&gt;"",F21&gt;TodayDate),"Scheduled",IF(AND(G21&lt;&gt;"",G21&lt;TodayDate),"Expired",IF(AND(I21&lt;&gt;"",Q21&gt;=I21),"Used up","Active"))))</f>
        <v>0</v>
      </c>
      <c r="X21" s="43">
        <f>IF(A21="","",IF(D21="","Add - how much off?",IF(AND(N21&lt;&gt;"",N21&lt;0),"Loss - this discount sells below cost",IF(AND(O21&lt;&gt;"",O21&gt;0.5),"Check - over half the profit given away",IF(W21="Expired","Ended - review what it did",IF(AND(Q21=0,W21="Active"),"Waiting - no orders yet","OK"))))))</f>
        <v>0</v>
      </c>
    </row>
    <row r="22" spans="12:24">
      <c r="L22" s="33">
        <f>IF(A22="","",IF(J22&lt;&gt;"",J22,TargetRetailMargin))</f>
        <v>0</v>
      </c>
      <c r="M22" s="33">
        <f>IF(A22="","",IF(C22="Percent off",D22,IF(C22="Free shipping","",IF(OR(H22="",H22=0),"",D22/H22))))</f>
        <v>0</v>
      </c>
      <c r="N22" s="33">
        <f>IF(A22="","",IF(M22="","",(L22-M22)/(1-M22)))</f>
        <v>0</v>
      </c>
      <c r="O22" s="33">
        <f>IF(A22="","",IF(OR(M22="",L22=0),"",M22/L22))</f>
        <v>0</v>
      </c>
      <c r="P22" s="33">
        <f>IF(A22="","",IF(M22="","Never - it loses money",IF(L22-M22&lt;=0,"Never - it loses money",M22/(L22-M22))))</f>
        <v>0</v>
      </c>
      <c r="Q22" s="32">
        <f>IF(A22="","",COUNTIFS(Sales!$H$5:$H$804,A22))</f>
        <v>0</v>
      </c>
      <c r="R22" s="20">
        <f>IF(A22="","",ROUND(SUMIFS(Sales!$V$5:$V$804,Sales!$H$5:$H$804,A22),2))</f>
        <v>0</v>
      </c>
      <c r="S22" s="20">
        <f>IF(A22="","",ROUND(SUMIFS(Sales!$G$5:$G$804,Sales!$H$5:$H$804,A22),2))</f>
        <v>0</v>
      </c>
      <c r="T22" s="20">
        <f>IF(A22="","",ROUND(SUMIFS(Sales!$AG$5:$AG$804,Sales!$H$5:$H$804,A22),2))</f>
        <v>0</v>
      </c>
      <c r="U22" s="33">
        <f>IF(A22="","",IF(OR(R22="",R22=0),"",T22/R22))</f>
        <v>0</v>
      </c>
      <c r="V22" s="20">
        <f>IF(A22="","",IF(Q22=0,"",ROUND(R22/Q22,2)))</f>
        <v>0</v>
      </c>
      <c r="W22" s="43">
        <f>IF(A22="","",IF(AND(F22&lt;&gt;"",F22&gt;TodayDate),"Scheduled",IF(AND(G22&lt;&gt;"",G22&lt;TodayDate),"Expired",IF(AND(I22&lt;&gt;"",Q22&gt;=I22),"Used up","Active"))))</f>
        <v>0</v>
      </c>
      <c r="X22" s="43">
        <f>IF(A22="","",IF(D22="","Add - how much off?",IF(AND(N22&lt;&gt;"",N22&lt;0),"Loss - this discount sells below cost",IF(AND(O22&lt;&gt;"",O22&gt;0.5),"Check - over half the profit given away",IF(W22="Expired","Ended - review what it did",IF(AND(Q22=0,W22="Active"),"Waiting - no orders yet","OK"))))))</f>
        <v>0</v>
      </c>
    </row>
    <row r="23" spans="12:24">
      <c r="L23" s="33">
        <f>IF(A23="","",IF(J23&lt;&gt;"",J23,TargetRetailMargin))</f>
        <v>0</v>
      </c>
      <c r="M23" s="33">
        <f>IF(A23="","",IF(C23="Percent off",D23,IF(C23="Free shipping","",IF(OR(H23="",H23=0),"",D23/H23))))</f>
        <v>0</v>
      </c>
      <c r="N23" s="33">
        <f>IF(A23="","",IF(M23="","",(L23-M23)/(1-M23)))</f>
        <v>0</v>
      </c>
      <c r="O23" s="33">
        <f>IF(A23="","",IF(OR(M23="",L23=0),"",M23/L23))</f>
        <v>0</v>
      </c>
      <c r="P23" s="33">
        <f>IF(A23="","",IF(M23="","Never - it loses money",IF(L23-M23&lt;=0,"Never - it loses money",M23/(L23-M23))))</f>
        <v>0</v>
      </c>
      <c r="Q23" s="32">
        <f>IF(A23="","",COUNTIFS(Sales!$H$5:$H$804,A23))</f>
        <v>0</v>
      </c>
      <c r="R23" s="20">
        <f>IF(A23="","",ROUND(SUMIFS(Sales!$V$5:$V$804,Sales!$H$5:$H$804,A23),2))</f>
        <v>0</v>
      </c>
      <c r="S23" s="20">
        <f>IF(A23="","",ROUND(SUMIFS(Sales!$G$5:$G$804,Sales!$H$5:$H$804,A23),2))</f>
        <v>0</v>
      </c>
      <c r="T23" s="20">
        <f>IF(A23="","",ROUND(SUMIFS(Sales!$AG$5:$AG$804,Sales!$H$5:$H$804,A23),2))</f>
        <v>0</v>
      </c>
      <c r="U23" s="33">
        <f>IF(A23="","",IF(OR(R23="",R23=0),"",T23/R23))</f>
        <v>0</v>
      </c>
      <c r="V23" s="20">
        <f>IF(A23="","",IF(Q23=0,"",ROUND(R23/Q23,2)))</f>
        <v>0</v>
      </c>
      <c r="W23" s="43">
        <f>IF(A23="","",IF(AND(F23&lt;&gt;"",F23&gt;TodayDate),"Scheduled",IF(AND(G23&lt;&gt;"",G23&lt;TodayDate),"Expired",IF(AND(I23&lt;&gt;"",Q23&gt;=I23),"Used up","Active"))))</f>
        <v>0</v>
      </c>
      <c r="X23" s="43">
        <f>IF(A23="","",IF(D23="","Add - how much off?",IF(AND(N23&lt;&gt;"",N23&lt;0),"Loss - this discount sells below cost",IF(AND(O23&lt;&gt;"",O23&gt;0.5),"Check - over half the profit given away",IF(W23="Expired","Ended - review what it did",IF(AND(Q23=0,W23="Active"),"Waiting - no orders yet","OK"))))))</f>
        <v>0</v>
      </c>
    </row>
    <row r="24" spans="12:24">
      <c r="L24" s="33">
        <f>IF(A24="","",IF(J24&lt;&gt;"",J24,TargetRetailMargin))</f>
        <v>0</v>
      </c>
      <c r="M24" s="33">
        <f>IF(A24="","",IF(C24="Percent off",D24,IF(C24="Free shipping","",IF(OR(H24="",H24=0),"",D24/H24))))</f>
        <v>0</v>
      </c>
      <c r="N24" s="33">
        <f>IF(A24="","",IF(M24="","",(L24-M24)/(1-M24)))</f>
        <v>0</v>
      </c>
      <c r="O24" s="33">
        <f>IF(A24="","",IF(OR(M24="",L24=0),"",M24/L24))</f>
        <v>0</v>
      </c>
      <c r="P24" s="33">
        <f>IF(A24="","",IF(M24="","Never - it loses money",IF(L24-M24&lt;=0,"Never - it loses money",M24/(L24-M24))))</f>
        <v>0</v>
      </c>
      <c r="Q24" s="32">
        <f>IF(A24="","",COUNTIFS(Sales!$H$5:$H$804,A24))</f>
        <v>0</v>
      </c>
      <c r="R24" s="20">
        <f>IF(A24="","",ROUND(SUMIFS(Sales!$V$5:$V$804,Sales!$H$5:$H$804,A24),2))</f>
        <v>0</v>
      </c>
      <c r="S24" s="20">
        <f>IF(A24="","",ROUND(SUMIFS(Sales!$G$5:$G$804,Sales!$H$5:$H$804,A24),2))</f>
        <v>0</v>
      </c>
      <c r="T24" s="20">
        <f>IF(A24="","",ROUND(SUMIFS(Sales!$AG$5:$AG$804,Sales!$H$5:$H$804,A24),2))</f>
        <v>0</v>
      </c>
      <c r="U24" s="33">
        <f>IF(A24="","",IF(OR(R24="",R24=0),"",T24/R24))</f>
        <v>0</v>
      </c>
      <c r="V24" s="20">
        <f>IF(A24="","",IF(Q24=0,"",ROUND(R24/Q24,2)))</f>
        <v>0</v>
      </c>
      <c r="W24" s="43">
        <f>IF(A24="","",IF(AND(F24&lt;&gt;"",F24&gt;TodayDate),"Scheduled",IF(AND(G24&lt;&gt;"",G24&lt;TodayDate),"Expired",IF(AND(I24&lt;&gt;"",Q24&gt;=I24),"Used up","Active"))))</f>
        <v>0</v>
      </c>
      <c r="X24" s="43">
        <f>IF(A24="","",IF(D24="","Add - how much off?",IF(AND(N24&lt;&gt;"",N24&lt;0),"Loss - this discount sells below cost",IF(AND(O24&lt;&gt;"",O24&gt;0.5),"Check - over half the profit given away",IF(W24="Expired","Ended - review what it did",IF(AND(Q24=0,W24="Active"),"Waiting - no orders yet","OK"))))))</f>
        <v>0</v>
      </c>
    </row>
    <row r="25" spans="12:24">
      <c r="L25" s="33">
        <f>IF(A25="","",IF(J25&lt;&gt;"",J25,TargetRetailMargin))</f>
        <v>0</v>
      </c>
      <c r="M25" s="33">
        <f>IF(A25="","",IF(C25="Percent off",D25,IF(C25="Free shipping","",IF(OR(H25="",H25=0),"",D25/H25))))</f>
        <v>0</v>
      </c>
      <c r="N25" s="33">
        <f>IF(A25="","",IF(M25="","",(L25-M25)/(1-M25)))</f>
        <v>0</v>
      </c>
      <c r="O25" s="33">
        <f>IF(A25="","",IF(OR(M25="",L25=0),"",M25/L25))</f>
        <v>0</v>
      </c>
      <c r="P25" s="33">
        <f>IF(A25="","",IF(M25="","Never - it loses money",IF(L25-M25&lt;=0,"Never - it loses money",M25/(L25-M25))))</f>
        <v>0</v>
      </c>
      <c r="Q25" s="32">
        <f>IF(A25="","",COUNTIFS(Sales!$H$5:$H$804,A25))</f>
        <v>0</v>
      </c>
      <c r="R25" s="20">
        <f>IF(A25="","",ROUND(SUMIFS(Sales!$V$5:$V$804,Sales!$H$5:$H$804,A25),2))</f>
        <v>0</v>
      </c>
      <c r="S25" s="20">
        <f>IF(A25="","",ROUND(SUMIFS(Sales!$G$5:$G$804,Sales!$H$5:$H$804,A25),2))</f>
        <v>0</v>
      </c>
      <c r="T25" s="20">
        <f>IF(A25="","",ROUND(SUMIFS(Sales!$AG$5:$AG$804,Sales!$H$5:$H$804,A25),2))</f>
        <v>0</v>
      </c>
      <c r="U25" s="33">
        <f>IF(A25="","",IF(OR(R25="",R25=0),"",T25/R25))</f>
        <v>0</v>
      </c>
      <c r="V25" s="20">
        <f>IF(A25="","",IF(Q25=0,"",ROUND(R25/Q25,2)))</f>
        <v>0</v>
      </c>
      <c r="W25" s="43">
        <f>IF(A25="","",IF(AND(F25&lt;&gt;"",F25&gt;TodayDate),"Scheduled",IF(AND(G25&lt;&gt;"",G25&lt;TodayDate),"Expired",IF(AND(I25&lt;&gt;"",Q25&gt;=I25),"Used up","Active"))))</f>
        <v>0</v>
      </c>
      <c r="X25" s="43">
        <f>IF(A25="","",IF(D25="","Add - how much off?",IF(AND(N25&lt;&gt;"",N25&lt;0),"Loss - this discount sells below cost",IF(AND(O25&lt;&gt;"",O25&gt;0.5),"Check - over half the profit given away",IF(W25="Expired","Ended - review what it did",IF(AND(Q25=0,W25="Active"),"Waiting - no orders yet","OK"))))))</f>
        <v>0</v>
      </c>
    </row>
    <row r="26" spans="12:24">
      <c r="L26" s="33">
        <f>IF(A26="","",IF(J26&lt;&gt;"",J26,TargetRetailMargin))</f>
        <v>0</v>
      </c>
      <c r="M26" s="33">
        <f>IF(A26="","",IF(C26="Percent off",D26,IF(C26="Free shipping","",IF(OR(H26="",H26=0),"",D26/H26))))</f>
        <v>0</v>
      </c>
      <c r="N26" s="33">
        <f>IF(A26="","",IF(M26="","",(L26-M26)/(1-M26)))</f>
        <v>0</v>
      </c>
      <c r="O26" s="33">
        <f>IF(A26="","",IF(OR(M26="",L26=0),"",M26/L26))</f>
        <v>0</v>
      </c>
      <c r="P26" s="33">
        <f>IF(A26="","",IF(M26="","Never - it loses money",IF(L26-M26&lt;=0,"Never - it loses money",M26/(L26-M26))))</f>
        <v>0</v>
      </c>
      <c r="Q26" s="32">
        <f>IF(A26="","",COUNTIFS(Sales!$H$5:$H$804,A26))</f>
        <v>0</v>
      </c>
      <c r="R26" s="20">
        <f>IF(A26="","",ROUND(SUMIFS(Sales!$V$5:$V$804,Sales!$H$5:$H$804,A26),2))</f>
        <v>0</v>
      </c>
      <c r="S26" s="20">
        <f>IF(A26="","",ROUND(SUMIFS(Sales!$G$5:$G$804,Sales!$H$5:$H$804,A26),2))</f>
        <v>0</v>
      </c>
      <c r="T26" s="20">
        <f>IF(A26="","",ROUND(SUMIFS(Sales!$AG$5:$AG$804,Sales!$H$5:$H$804,A26),2))</f>
        <v>0</v>
      </c>
      <c r="U26" s="33">
        <f>IF(A26="","",IF(OR(R26="",R26=0),"",T26/R26))</f>
        <v>0</v>
      </c>
      <c r="V26" s="20">
        <f>IF(A26="","",IF(Q26=0,"",ROUND(R26/Q26,2)))</f>
        <v>0</v>
      </c>
      <c r="W26" s="43">
        <f>IF(A26="","",IF(AND(F26&lt;&gt;"",F26&gt;TodayDate),"Scheduled",IF(AND(G26&lt;&gt;"",G26&lt;TodayDate),"Expired",IF(AND(I26&lt;&gt;"",Q26&gt;=I26),"Used up","Active"))))</f>
        <v>0</v>
      </c>
      <c r="X26" s="43">
        <f>IF(A26="","",IF(D26="","Add - how much off?",IF(AND(N26&lt;&gt;"",N26&lt;0),"Loss - this discount sells below cost",IF(AND(O26&lt;&gt;"",O26&gt;0.5),"Check - over half the profit given away",IF(W26="Expired","Ended - review what it did",IF(AND(Q26=0,W26="Active"),"Waiting - no orders yet","OK"))))))</f>
        <v>0</v>
      </c>
    </row>
    <row r="27" spans="12:24">
      <c r="L27" s="33">
        <f>IF(A27="","",IF(J27&lt;&gt;"",J27,TargetRetailMargin))</f>
        <v>0</v>
      </c>
      <c r="M27" s="33">
        <f>IF(A27="","",IF(C27="Percent off",D27,IF(C27="Free shipping","",IF(OR(H27="",H27=0),"",D27/H27))))</f>
        <v>0</v>
      </c>
      <c r="N27" s="33">
        <f>IF(A27="","",IF(M27="","",(L27-M27)/(1-M27)))</f>
        <v>0</v>
      </c>
      <c r="O27" s="33">
        <f>IF(A27="","",IF(OR(M27="",L27=0),"",M27/L27))</f>
        <v>0</v>
      </c>
      <c r="P27" s="33">
        <f>IF(A27="","",IF(M27="","Never - it loses money",IF(L27-M27&lt;=0,"Never - it loses money",M27/(L27-M27))))</f>
        <v>0</v>
      </c>
      <c r="Q27" s="32">
        <f>IF(A27="","",COUNTIFS(Sales!$H$5:$H$804,A27))</f>
        <v>0</v>
      </c>
      <c r="R27" s="20">
        <f>IF(A27="","",ROUND(SUMIFS(Sales!$V$5:$V$804,Sales!$H$5:$H$804,A27),2))</f>
        <v>0</v>
      </c>
      <c r="S27" s="20">
        <f>IF(A27="","",ROUND(SUMIFS(Sales!$G$5:$G$804,Sales!$H$5:$H$804,A27),2))</f>
        <v>0</v>
      </c>
      <c r="T27" s="20">
        <f>IF(A27="","",ROUND(SUMIFS(Sales!$AG$5:$AG$804,Sales!$H$5:$H$804,A27),2))</f>
        <v>0</v>
      </c>
      <c r="U27" s="33">
        <f>IF(A27="","",IF(OR(R27="",R27=0),"",T27/R27))</f>
        <v>0</v>
      </c>
      <c r="V27" s="20">
        <f>IF(A27="","",IF(Q27=0,"",ROUND(R27/Q27,2)))</f>
        <v>0</v>
      </c>
      <c r="W27" s="43">
        <f>IF(A27="","",IF(AND(F27&lt;&gt;"",F27&gt;TodayDate),"Scheduled",IF(AND(G27&lt;&gt;"",G27&lt;TodayDate),"Expired",IF(AND(I27&lt;&gt;"",Q27&gt;=I27),"Used up","Active"))))</f>
        <v>0</v>
      </c>
      <c r="X27" s="43">
        <f>IF(A27="","",IF(D27="","Add - how much off?",IF(AND(N27&lt;&gt;"",N27&lt;0),"Loss - this discount sells below cost",IF(AND(O27&lt;&gt;"",O27&gt;0.5),"Check - over half the profit given away",IF(W27="Expired","Ended - review what it did",IF(AND(Q27=0,W27="Active"),"Waiting - no orders yet","OK"))))))</f>
        <v>0</v>
      </c>
    </row>
    <row r="28" spans="12:24">
      <c r="L28" s="33">
        <f>IF(A28="","",IF(J28&lt;&gt;"",J28,TargetRetailMargin))</f>
        <v>0</v>
      </c>
      <c r="M28" s="33">
        <f>IF(A28="","",IF(C28="Percent off",D28,IF(C28="Free shipping","",IF(OR(H28="",H28=0),"",D28/H28))))</f>
        <v>0</v>
      </c>
      <c r="N28" s="33">
        <f>IF(A28="","",IF(M28="","",(L28-M28)/(1-M28)))</f>
        <v>0</v>
      </c>
      <c r="O28" s="33">
        <f>IF(A28="","",IF(OR(M28="",L28=0),"",M28/L28))</f>
        <v>0</v>
      </c>
      <c r="P28" s="33">
        <f>IF(A28="","",IF(M28="","Never - it loses money",IF(L28-M28&lt;=0,"Never - it loses money",M28/(L28-M28))))</f>
        <v>0</v>
      </c>
      <c r="Q28" s="32">
        <f>IF(A28="","",COUNTIFS(Sales!$H$5:$H$804,A28))</f>
        <v>0</v>
      </c>
      <c r="R28" s="20">
        <f>IF(A28="","",ROUND(SUMIFS(Sales!$V$5:$V$804,Sales!$H$5:$H$804,A28),2))</f>
        <v>0</v>
      </c>
      <c r="S28" s="20">
        <f>IF(A28="","",ROUND(SUMIFS(Sales!$G$5:$G$804,Sales!$H$5:$H$804,A28),2))</f>
        <v>0</v>
      </c>
      <c r="T28" s="20">
        <f>IF(A28="","",ROUND(SUMIFS(Sales!$AG$5:$AG$804,Sales!$H$5:$H$804,A28),2))</f>
        <v>0</v>
      </c>
      <c r="U28" s="33">
        <f>IF(A28="","",IF(OR(R28="",R28=0),"",T28/R28))</f>
        <v>0</v>
      </c>
      <c r="V28" s="20">
        <f>IF(A28="","",IF(Q28=0,"",ROUND(R28/Q28,2)))</f>
        <v>0</v>
      </c>
      <c r="W28" s="43">
        <f>IF(A28="","",IF(AND(F28&lt;&gt;"",F28&gt;TodayDate),"Scheduled",IF(AND(G28&lt;&gt;"",G28&lt;TodayDate),"Expired",IF(AND(I28&lt;&gt;"",Q28&gt;=I28),"Used up","Active"))))</f>
        <v>0</v>
      </c>
      <c r="X28" s="43">
        <f>IF(A28="","",IF(D28="","Add - how much off?",IF(AND(N28&lt;&gt;"",N28&lt;0),"Loss - this discount sells below cost",IF(AND(O28&lt;&gt;"",O28&gt;0.5),"Check - over half the profit given away",IF(W28="Expired","Ended - review what it did",IF(AND(Q28=0,W28="Active"),"Waiting - no orders yet","OK"))))))</f>
        <v>0</v>
      </c>
    </row>
    <row r="29" spans="12:24">
      <c r="L29" s="33">
        <f>IF(A29="","",IF(J29&lt;&gt;"",J29,TargetRetailMargin))</f>
        <v>0</v>
      </c>
      <c r="M29" s="33">
        <f>IF(A29="","",IF(C29="Percent off",D29,IF(C29="Free shipping","",IF(OR(H29="",H29=0),"",D29/H29))))</f>
        <v>0</v>
      </c>
      <c r="N29" s="33">
        <f>IF(A29="","",IF(M29="","",(L29-M29)/(1-M29)))</f>
        <v>0</v>
      </c>
      <c r="O29" s="33">
        <f>IF(A29="","",IF(OR(M29="",L29=0),"",M29/L29))</f>
        <v>0</v>
      </c>
      <c r="P29" s="33">
        <f>IF(A29="","",IF(M29="","Never - it loses money",IF(L29-M29&lt;=0,"Never - it loses money",M29/(L29-M29))))</f>
        <v>0</v>
      </c>
      <c r="Q29" s="32">
        <f>IF(A29="","",COUNTIFS(Sales!$H$5:$H$804,A29))</f>
        <v>0</v>
      </c>
      <c r="R29" s="20">
        <f>IF(A29="","",ROUND(SUMIFS(Sales!$V$5:$V$804,Sales!$H$5:$H$804,A29),2))</f>
        <v>0</v>
      </c>
      <c r="S29" s="20">
        <f>IF(A29="","",ROUND(SUMIFS(Sales!$G$5:$G$804,Sales!$H$5:$H$804,A29),2))</f>
        <v>0</v>
      </c>
      <c r="T29" s="20">
        <f>IF(A29="","",ROUND(SUMIFS(Sales!$AG$5:$AG$804,Sales!$H$5:$H$804,A29),2))</f>
        <v>0</v>
      </c>
      <c r="U29" s="33">
        <f>IF(A29="","",IF(OR(R29="",R29=0),"",T29/R29))</f>
        <v>0</v>
      </c>
      <c r="V29" s="20">
        <f>IF(A29="","",IF(Q29=0,"",ROUND(R29/Q29,2)))</f>
        <v>0</v>
      </c>
      <c r="W29" s="43">
        <f>IF(A29="","",IF(AND(F29&lt;&gt;"",F29&gt;TodayDate),"Scheduled",IF(AND(G29&lt;&gt;"",G29&lt;TodayDate),"Expired",IF(AND(I29&lt;&gt;"",Q29&gt;=I29),"Used up","Active"))))</f>
        <v>0</v>
      </c>
      <c r="X29" s="43">
        <f>IF(A29="","",IF(D29="","Add - how much off?",IF(AND(N29&lt;&gt;"",N29&lt;0),"Loss - this discount sells below cost",IF(AND(O29&lt;&gt;"",O29&gt;0.5),"Check - over half the profit given away",IF(W29="Expired","Ended - review what it did",IF(AND(Q29=0,W29="Active"),"Waiting - no orders yet","OK"))))))</f>
        <v>0</v>
      </c>
    </row>
    <row r="30" spans="12:24">
      <c r="L30" s="33">
        <f>IF(A30="","",IF(J30&lt;&gt;"",J30,TargetRetailMargin))</f>
        <v>0</v>
      </c>
      <c r="M30" s="33">
        <f>IF(A30="","",IF(C30="Percent off",D30,IF(C30="Free shipping","",IF(OR(H30="",H30=0),"",D30/H30))))</f>
        <v>0</v>
      </c>
      <c r="N30" s="33">
        <f>IF(A30="","",IF(M30="","",(L30-M30)/(1-M30)))</f>
        <v>0</v>
      </c>
      <c r="O30" s="33">
        <f>IF(A30="","",IF(OR(M30="",L30=0),"",M30/L30))</f>
        <v>0</v>
      </c>
      <c r="P30" s="33">
        <f>IF(A30="","",IF(M30="","Never - it loses money",IF(L30-M30&lt;=0,"Never - it loses money",M30/(L30-M30))))</f>
        <v>0</v>
      </c>
      <c r="Q30" s="32">
        <f>IF(A30="","",COUNTIFS(Sales!$H$5:$H$804,A30))</f>
        <v>0</v>
      </c>
      <c r="R30" s="20">
        <f>IF(A30="","",ROUND(SUMIFS(Sales!$V$5:$V$804,Sales!$H$5:$H$804,A30),2))</f>
        <v>0</v>
      </c>
      <c r="S30" s="20">
        <f>IF(A30="","",ROUND(SUMIFS(Sales!$G$5:$G$804,Sales!$H$5:$H$804,A30),2))</f>
        <v>0</v>
      </c>
      <c r="T30" s="20">
        <f>IF(A30="","",ROUND(SUMIFS(Sales!$AG$5:$AG$804,Sales!$H$5:$H$804,A30),2))</f>
        <v>0</v>
      </c>
      <c r="U30" s="33">
        <f>IF(A30="","",IF(OR(R30="",R30=0),"",T30/R30))</f>
        <v>0</v>
      </c>
      <c r="V30" s="20">
        <f>IF(A30="","",IF(Q30=0,"",ROUND(R30/Q30,2)))</f>
        <v>0</v>
      </c>
      <c r="W30" s="43">
        <f>IF(A30="","",IF(AND(F30&lt;&gt;"",F30&gt;TodayDate),"Scheduled",IF(AND(G30&lt;&gt;"",G30&lt;TodayDate),"Expired",IF(AND(I30&lt;&gt;"",Q30&gt;=I30),"Used up","Active"))))</f>
        <v>0</v>
      </c>
      <c r="X30" s="43">
        <f>IF(A30="","",IF(D30="","Add - how much off?",IF(AND(N30&lt;&gt;"",N30&lt;0),"Loss - this discount sells below cost",IF(AND(O30&lt;&gt;"",O30&gt;0.5),"Check - over half the profit given away",IF(W30="Expired","Ended - review what it did",IF(AND(Q30=0,W30="Active"),"Waiting - no orders yet","OK"))))))</f>
        <v>0</v>
      </c>
    </row>
    <row r="31" spans="12:24">
      <c r="L31" s="33">
        <f>IF(A31="","",IF(J31&lt;&gt;"",J31,TargetRetailMargin))</f>
        <v>0</v>
      </c>
      <c r="M31" s="33">
        <f>IF(A31="","",IF(C31="Percent off",D31,IF(C31="Free shipping","",IF(OR(H31="",H31=0),"",D31/H31))))</f>
        <v>0</v>
      </c>
      <c r="N31" s="33">
        <f>IF(A31="","",IF(M31="","",(L31-M31)/(1-M31)))</f>
        <v>0</v>
      </c>
      <c r="O31" s="33">
        <f>IF(A31="","",IF(OR(M31="",L31=0),"",M31/L31))</f>
        <v>0</v>
      </c>
      <c r="P31" s="33">
        <f>IF(A31="","",IF(M31="","Never - it loses money",IF(L31-M31&lt;=0,"Never - it loses money",M31/(L31-M31))))</f>
        <v>0</v>
      </c>
      <c r="Q31" s="32">
        <f>IF(A31="","",COUNTIFS(Sales!$H$5:$H$804,A31))</f>
        <v>0</v>
      </c>
      <c r="R31" s="20">
        <f>IF(A31="","",ROUND(SUMIFS(Sales!$V$5:$V$804,Sales!$H$5:$H$804,A31),2))</f>
        <v>0</v>
      </c>
      <c r="S31" s="20">
        <f>IF(A31="","",ROUND(SUMIFS(Sales!$G$5:$G$804,Sales!$H$5:$H$804,A31),2))</f>
        <v>0</v>
      </c>
      <c r="T31" s="20">
        <f>IF(A31="","",ROUND(SUMIFS(Sales!$AG$5:$AG$804,Sales!$H$5:$H$804,A31),2))</f>
        <v>0</v>
      </c>
      <c r="U31" s="33">
        <f>IF(A31="","",IF(OR(R31="",R31=0),"",T31/R31))</f>
        <v>0</v>
      </c>
      <c r="V31" s="20">
        <f>IF(A31="","",IF(Q31=0,"",ROUND(R31/Q31,2)))</f>
        <v>0</v>
      </c>
      <c r="W31" s="43">
        <f>IF(A31="","",IF(AND(F31&lt;&gt;"",F31&gt;TodayDate),"Scheduled",IF(AND(G31&lt;&gt;"",G31&lt;TodayDate),"Expired",IF(AND(I31&lt;&gt;"",Q31&gt;=I31),"Used up","Active"))))</f>
        <v>0</v>
      </c>
      <c r="X31" s="43">
        <f>IF(A31="","",IF(D31="","Add - how much off?",IF(AND(N31&lt;&gt;"",N31&lt;0),"Loss - this discount sells below cost",IF(AND(O31&lt;&gt;"",O31&gt;0.5),"Check - over half the profit given away",IF(W31="Expired","Ended - review what it did",IF(AND(Q31=0,W31="Active"),"Waiting - no orders yet","OK"))))))</f>
        <v>0</v>
      </c>
    </row>
    <row r="32" spans="12:24">
      <c r="L32" s="33">
        <f>IF(A32="","",IF(J32&lt;&gt;"",J32,TargetRetailMargin))</f>
        <v>0</v>
      </c>
      <c r="M32" s="33">
        <f>IF(A32="","",IF(C32="Percent off",D32,IF(C32="Free shipping","",IF(OR(H32="",H32=0),"",D32/H32))))</f>
        <v>0</v>
      </c>
      <c r="N32" s="33">
        <f>IF(A32="","",IF(M32="","",(L32-M32)/(1-M32)))</f>
        <v>0</v>
      </c>
      <c r="O32" s="33">
        <f>IF(A32="","",IF(OR(M32="",L32=0),"",M32/L32))</f>
        <v>0</v>
      </c>
      <c r="P32" s="33">
        <f>IF(A32="","",IF(M32="","Never - it loses money",IF(L32-M32&lt;=0,"Never - it loses money",M32/(L32-M32))))</f>
        <v>0</v>
      </c>
      <c r="Q32" s="32">
        <f>IF(A32="","",COUNTIFS(Sales!$H$5:$H$804,A32))</f>
        <v>0</v>
      </c>
      <c r="R32" s="20">
        <f>IF(A32="","",ROUND(SUMIFS(Sales!$V$5:$V$804,Sales!$H$5:$H$804,A32),2))</f>
        <v>0</v>
      </c>
      <c r="S32" s="20">
        <f>IF(A32="","",ROUND(SUMIFS(Sales!$G$5:$G$804,Sales!$H$5:$H$804,A32),2))</f>
        <v>0</v>
      </c>
      <c r="T32" s="20">
        <f>IF(A32="","",ROUND(SUMIFS(Sales!$AG$5:$AG$804,Sales!$H$5:$H$804,A32),2))</f>
        <v>0</v>
      </c>
      <c r="U32" s="33">
        <f>IF(A32="","",IF(OR(R32="",R32=0),"",T32/R32))</f>
        <v>0</v>
      </c>
      <c r="V32" s="20">
        <f>IF(A32="","",IF(Q32=0,"",ROUND(R32/Q32,2)))</f>
        <v>0</v>
      </c>
      <c r="W32" s="43">
        <f>IF(A32="","",IF(AND(F32&lt;&gt;"",F32&gt;TodayDate),"Scheduled",IF(AND(G32&lt;&gt;"",G32&lt;TodayDate),"Expired",IF(AND(I32&lt;&gt;"",Q32&gt;=I32),"Used up","Active"))))</f>
        <v>0</v>
      </c>
      <c r="X32" s="43">
        <f>IF(A32="","",IF(D32="","Add - how much off?",IF(AND(N32&lt;&gt;"",N32&lt;0),"Loss - this discount sells below cost",IF(AND(O32&lt;&gt;"",O32&gt;0.5),"Check - over half the profit given away",IF(W32="Expired","Ended - review what it did",IF(AND(Q32=0,W32="Active"),"Waiting - no orders yet","OK"))))))</f>
        <v>0</v>
      </c>
    </row>
    <row r="33" spans="12:24">
      <c r="L33" s="33">
        <f>IF(A33="","",IF(J33&lt;&gt;"",J33,TargetRetailMargin))</f>
        <v>0</v>
      </c>
      <c r="M33" s="33">
        <f>IF(A33="","",IF(C33="Percent off",D33,IF(C33="Free shipping","",IF(OR(H33="",H33=0),"",D33/H33))))</f>
        <v>0</v>
      </c>
      <c r="N33" s="33">
        <f>IF(A33="","",IF(M33="","",(L33-M33)/(1-M33)))</f>
        <v>0</v>
      </c>
      <c r="O33" s="33">
        <f>IF(A33="","",IF(OR(M33="",L33=0),"",M33/L33))</f>
        <v>0</v>
      </c>
      <c r="P33" s="33">
        <f>IF(A33="","",IF(M33="","Never - it loses money",IF(L33-M33&lt;=0,"Never - it loses money",M33/(L33-M33))))</f>
        <v>0</v>
      </c>
      <c r="Q33" s="32">
        <f>IF(A33="","",COUNTIFS(Sales!$H$5:$H$804,A33))</f>
        <v>0</v>
      </c>
      <c r="R33" s="20">
        <f>IF(A33="","",ROUND(SUMIFS(Sales!$V$5:$V$804,Sales!$H$5:$H$804,A33),2))</f>
        <v>0</v>
      </c>
      <c r="S33" s="20">
        <f>IF(A33="","",ROUND(SUMIFS(Sales!$G$5:$G$804,Sales!$H$5:$H$804,A33),2))</f>
        <v>0</v>
      </c>
      <c r="T33" s="20">
        <f>IF(A33="","",ROUND(SUMIFS(Sales!$AG$5:$AG$804,Sales!$H$5:$H$804,A33),2))</f>
        <v>0</v>
      </c>
      <c r="U33" s="33">
        <f>IF(A33="","",IF(OR(R33="",R33=0),"",T33/R33))</f>
        <v>0</v>
      </c>
      <c r="V33" s="20">
        <f>IF(A33="","",IF(Q33=0,"",ROUND(R33/Q33,2)))</f>
        <v>0</v>
      </c>
      <c r="W33" s="43">
        <f>IF(A33="","",IF(AND(F33&lt;&gt;"",F33&gt;TodayDate),"Scheduled",IF(AND(G33&lt;&gt;"",G33&lt;TodayDate),"Expired",IF(AND(I33&lt;&gt;"",Q33&gt;=I33),"Used up","Active"))))</f>
        <v>0</v>
      </c>
      <c r="X33" s="43">
        <f>IF(A33="","",IF(D33="","Add - how much off?",IF(AND(N33&lt;&gt;"",N33&lt;0),"Loss - this discount sells below cost",IF(AND(O33&lt;&gt;"",O33&gt;0.5),"Check - over half the profit given away",IF(W33="Expired","Ended - review what it did",IF(AND(Q33=0,W33="Active"),"Waiting - no orders yet","OK"))))))</f>
        <v>0</v>
      </c>
    </row>
    <row r="34" spans="12:24">
      <c r="L34" s="33">
        <f>IF(A34="","",IF(J34&lt;&gt;"",J34,TargetRetailMargin))</f>
        <v>0</v>
      </c>
      <c r="M34" s="33">
        <f>IF(A34="","",IF(C34="Percent off",D34,IF(C34="Free shipping","",IF(OR(H34="",H34=0),"",D34/H34))))</f>
        <v>0</v>
      </c>
      <c r="N34" s="33">
        <f>IF(A34="","",IF(M34="","",(L34-M34)/(1-M34)))</f>
        <v>0</v>
      </c>
      <c r="O34" s="33">
        <f>IF(A34="","",IF(OR(M34="",L34=0),"",M34/L34))</f>
        <v>0</v>
      </c>
      <c r="P34" s="33">
        <f>IF(A34="","",IF(M34="","Never - it loses money",IF(L34-M34&lt;=0,"Never - it loses money",M34/(L34-M34))))</f>
        <v>0</v>
      </c>
      <c r="Q34" s="32">
        <f>IF(A34="","",COUNTIFS(Sales!$H$5:$H$804,A34))</f>
        <v>0</v>
      </c>
      <c r="R34" s="20">
        <f>IF(A34="","",ROUND(SUMIFS(Sales!$V$5:$V$804,Sales!$H$5:$H$804,A34),2))</f>
        <v>0</v>
      </c>
      <c r="S34" s="20">
        <f>IF(A34="","",ROUND(SUMIFS(Sales!$G$5:$G$804,Sales!$H$5:$H$804,A34),2))</f>
        <v>0</v>
      </c>
      <c r="T34" s="20">
        <f>IF(A34="","",ROUND(SUMIFS(Sales!$AG$5:$AG$804,Sales!$H$5:$H$804,A34),2))</f>
        <v>0</v>
      </c>
      <c r="U34" s="33">
        <f>IF(A34="","",IF(OR(R34="",R34=0),"",T34/R34))</f>
        <v>0</v>
      </c>
      <c r="V34" s="20">
        <f>IF(A34="","",IF(Q34=0,"",ROUND(R34/Q34,2)))</f>
        <v>0</v>
      </c>
      <c r="W34" s="43">
        <f>IF(A34="","",IF(AND(F34&lt;&gt;"",F34&gt;TodayDate),"Scheduled",IF(AND(G34&lt;&gt;"",G34&lt;TodayDate),"Expired",IF(AND(I34&lt;&gt;"",Q34&gt;=I34),"Used up","Active"))))</f>
        <v>0</v>
      </c>
      <c r="X34" s="43">
        <f>IF(A34="","",IF(D34="","Add - how much off?",IF(AND(N34&lt;&gt;"",N34&lt;0),"Loss - this discount sells below cost",IF(AND(O34&lt;&gt;"",O34&gt;0.5),"Check - over half the profit given away",IF(W34="Expired","Ended - review what it did",IF(AND(Q34=0,W34="Active"),"Waiting - no orders yet","OK"))))))</f>
        <v>0</v>
      </c>
    </row>
    <row r="35" spans="12:24">
      <c r="L35" s="33">
        <f>IF(A35="","",IF(J35&lt;&gt;"",J35,TargetRetailMargin))</f>
        <v>0</v>
      </c>
      <c r="M35" s="33">
        <f>IF(A35="","",IF(C35="Percent off",D35,IF(C35="Free shipping","",IF(OR(H35="",H35=0),"",D35/H35))))</f>
        <v>0</v>
      </c>
      <c r="N35" s="33">
        <f>IF(A35="","",IF(M35="","",(L35-M35)/(1-M35)))</f>
        <v>0</v>
      </c>
      <c r="O35" s="33">
        <f>IF(A35="","",IF(OR(M35="",L35=0),"",M35/L35))</f>
        <v>0</v>
      </c>
      <c r="P35" s="33">
        <f>IF(A35="","",IF(M35="","Never - it loses money",IF(L35-M35&lt;=0,"Never - it loses money",M35/(L35-M35))))</f>
        <v>0</v>
      </c>
      <c r="Q35" s="32">
        <f>IF(A35="","",COUNTIFS(Sales!$H$5:$H$804,A35))</f>
        <v>0</v>
      </c>
      <c r="R35" s="20">
        <f>IF(A35="","",ROUND(SUMIFS(Sales!$V$5:$V$804,Sales!$H$5:$H$804,A35),2))</f>
        <v>0</v>
      </c>
      <c r="S35" s="20">
        <f>IF(A35="","",ROUND(SUMIFS(Sales!$G$5:$G$804,Sales!$H$5:$H$804,A35),2))</f>
        <v>0</v>
      </c>
      <c r="T35" s="20">
        <f>IF(A35="","",ROUND(SUMIFS(Sales!$AG$5:$AG$804,Sales!$H$5:$H$804,A35),2))</f>
        <v>0</v>
      </c>
      <c r="U35" s="33">
        <f>IF(A35="","",IF(OR(R35="",R35=0),"",T35/R35))</f>
        <v>0</v>
      </c>
      <c r="V35" s="20">
        <f>IF(A35="","",IF(Q35=0,"",ROUND(R35/Q35,2)))</f>
        <v>0</v>
      </c>
      <c r="W35" s="43">
        <f>IF(A35="","",IF(AND(F35&lt;&gt;"",F35&gt;TodayDate),"Scheduled",IF(AND(G35&lt;&gt;"",G35&lt;TodayDate),"Expired",IF(AND(I35&lt;&gt;"",Q35&gt;=I35),"Used up","Active"))))</f>
        <v>0</v>
      </c>
      <c r="X35" s="43">
        <f>IF(A35="","",IF(D35="","Add - how much off?",IF(AND(N35&lt;&gt;"",N35&lt;0),"Loss - this discount sells below cost",IF(AND(O35&lt;&gt;"",O35&gt;0.5),"Check - over half the profit given away",IF(W35="Expired","Ended - review what it did",IF(AND(Q35=0,W35="Active"),"Waiting - no orders yet","OK"))))))</f>
        <v>0</v>
      </c>
    </row>
    <row r="36" spans="12:24">
      <c r="L36" s="33">
        <f>IF(A36="","",IF(J36&lt;&gt;"",J36,TargetRetailMargin))</f>
        <v>0</v>
      </c>
      <c r="M36" s="33">
        <f>IF(A36="","",IF(C36="Percent off",D36,IF(C36="Free shipping","",IF(OR(H36="",H36=0),"",D36/H36))))</f>
        <v>0</v>
      </c>
      <c r="N36" s="33">
        <f>IF(A36="","",IF(M36="","",(L36-M36)/(1-M36)))</f>
        <v>0</v>
      </c>
      <c r="O36" s="33">
        <f>IF(A36="","",IF(OR(M36="",L36=0),"",M36/L36))</f>
        <v>0</v>
      </c>
      <c r="P36" s="33">
        <f>IF(A36="","",IF(M36="","Never - it loses money",IF(L36-M36&lt;=0,"Never - it loses money",M36/(L36-M36))))</f>
        <v>0</v>
      </c>
      <c r="Q36" s="32">
        <f>IF(A36="","",COUNTIFS(Sales!$H$5:$H$804,A36))</f>
        <v>0</v>
      </c>
      <c r="R36" s="20">
        <f>IF(A36="","",ROUND(SUMIFS(Sales!$V$5:$V$804,Sales!$H$5:$H$804,A36),2))</f>
        <v>0</v>
      </c>
      <c r="S36" s="20">
        <f>IF(A36="","",ROUND(SUMIFS(Sales!$G$5:$G$804,Sales!$H$5:$H$804,A36),2))</f>
        <v>0</v>
      </c>
      <c r="T36" s="20">
        <f>IF(A36="","",ROUND(SUMIFS(Sales!$AG$5:$AG$804,Sales!$H$5:$H$804,A36),2))</f>
        <v>0</v>
      </c>
      <c r="U36" s="33">
        <f>IF(A36="","",IF(OR(R36="",R36=0),"",T36/R36))</f>
        <v>0</v>
      </c>
      <c r="V36" s="20">
        <f>IF(A36="","",IF(Q36=0,"",ROUND(R36/Q36,2)))</f>
        <v>0</v>
      </c>
      <c r="W36" s="43">
        <f>IF(A36="","",IF(AND(F36&lt;&gt;"",F36&gt;TodayDate),"Scheduled",IF(AND(G36&lt;&gt;"",G36&lt;TodayDate),"Expired",IF(AND(I36&lt;&gt;"",Q36&gt;=I36),"Used up","Active"))))</f>
        <v>0</v>
      </c>
      <c r="X36" s="43">
        <f>IF(A36="","",IF(D36="","Add - how much off?",IF(AND(N36&lt;&gt;"",N36&lt;0),"Loss - this discount sells below cost",IF(AND(O36&lt;&gt;"",O36&gt;0.5),"Check - over half the profit given away",IF(W36="Expired","Ended - review what it did",IF(AND(Q36=0,W36="Active"),"Waiting - no orders yet","OK"))))))</f>
        <v>0</v>
      </c>
    </row>
    <row r="37" spans="12:24">
      <c r="L37" s="33">
        <f>IF(A37="","",IF(J37&lt;&gt;"",J37,TargetRetailMargin))</f>
        <v>0</v>
      </c>
      <c r="M37" s="33">
        <f>IF(A37="","",IF(C37="Percent off",D37,IF(C37="Free shipping","",IF(OR(H37="",H37=0),"",D37/H37))))</f>
        <v>0</v>
      </c>
      <c r="N37" s="33">
        <f>IF(A37="","",IF(M37="","",(L37-M37)/(1-M37)))</f>
        <v>0</v>
      </c>
      <c r="O37" s="33">
        <f>IF(A37="","",IF(OR(M37="",L37=0),"",M37/L37))</f>
        <v>0</v>
      </c>
      <c r="P37" s="33">
        <f>IF(A37="","",IF(M37="","Never - it loses money",IF(L37-M37&lt;=0,"Never - it loses money",M37/(L37-M37))))</f>
        <v>0</v>
      </c>
      <c r="Q37" s="32">
        <f>IF(A37="","",COUNTIFS(Sales!$H$5:$H$804,A37))</f>
        <v>0</v>
      </c>
      <c r="R37" s="20">
        <f>IF(A37="","",ROUND(SUMIFS(Sales!$V$5:$V$804,Sales!$H$5:$H$804,A37),2))</f>
        <v>0</v>
      </c>
      <c r="S37" s="20">
        <f>IF(A37="","",ROUND(SUMIFS(Sales!$G$5:$G$804,Sales!$H$5:$H$804,A37),2))</f>
        <v>0</v>
      </c>
      <c r="T37" s="20">
        <f>IF(A37="","",ROUND(SUMIFS(Sales!$AG$5:$AG$804,Sales!$H$5:$H$804,A37),2))</f>
        <v>0</v>
      </c>
      <c r="U37" s="33">
        <f>IF(A37="","",IF(OR(R37="",R37=0),"",T37/R37))</f>
        <v>0</v>
      </c>
      <c r="V37" s="20">
        <f>IF(A37="","",IF(Q37=0,"",ROUND(R37/Q37,2)))</f>
        <v>0</v>
      </c>
      <c r="W37" s="43">
        <f>IF(A37="","",IF(AND(F37&lt;&gt;"",F37&gt;TodayDate),"Scheduled",IF(AND(G37&lt;&gt;"",G37&lt;TodayDate),"Expired",IF(AND(I37&lt;&gt;"",Q37&gt;=I37),"Used up","Active"))))</f>
        <v>0</v>
      </c>
      <c r="X37" s="43">
        <f>IF(A37="","",IF(D37="","Add - how much off?",IF(AND(N37&lt;&gt;"",N37&lt;0),"Loss - this discount sells below cost",IF(AND(O37&lt;&gt;"",O37&gt;0.5),"Check - over half the profit given away",IF(W37="Expired","Ended - review what it did",IF(AND(Q37=0,W37="Active"),"Waiting - no orders yet","OK"))))))</f>
        <v>0</v>
      </c>
    </row>
    <row r="38" spans="12:24">
      <c r="L38" s="33">
        <f>IF(A38="","",IF(J38&lt;&gt;"",J38,TargetRetailMargin))</f>
        <v>0</v>
      </c>
      <c r="M38" s="33">
        <f>IF(A38="","",IF(C38="Percent off",D38,IF(C38="Free shipping","",IF(OR(H38="",H38=0),"",D38/H38))))</f>
        <v>0</v>
      </c>
      <c r="N38" s="33">
        <f>IF(A38="","",IF(M38="","",(L38-M38)/(1-M38)))</f>
        <v>0</v>
      </c>
      <c r="O38" s="33">
        <f>IF(A38="","",IF(OR(M38="",L38=0),"",M38/L38))</f>
        <v>0</v>
      </c>
      <c r="P38" s="33">
        <f>IF(A38="","",IF(M38="","Never - it loses money",IF(L38-M38&lt;=0,"Never - it loses money",M38/(L38-M38))))</f>
        <v>0</v>
      </c>
      <c r="Q38" s="32">
        <f>IF(A38="","",COUNTIFS(Sales!$H$5:$H$804,A38))</f>
        <v>0</v>
      </c>
      <c r="R38" s="20">
        <f>IF(A38="","",ROUND(SUMIFS(Sales!$V$5:$V$804,Sales!$H$5:$H$804,A38),2))</f>
        <v>0</v>
      </c>
      <c r="S38" s="20">
        <f>IF(A38="","",ROUND(SUMIFS(Sales!$G$5:$G$804,Sales!$H$5:$H$804,A38),2))</f>
        <v>0</v>
      </c>
      <c r="T38" s="20">
        <f>IF(A38="","",ROUND(SUMIFS(Sales!$AG$5:$AG$804,Sales!$H$5:$H$804,A38),2))</f>
        <v>0</v>
      </c>
      <c r="U38" s="33">
        <f>IF(A38="","",IF(OR(R38="",R38=0),"",T38/R38))</f>
        <v>0</v>
      </c>
      <c r="V38" s="20">
        <f>IF(A38="","",IF(Q38=0,"",ROUND(R38/Q38,2)))</f>
        <v>0</v>
      </c>
      <c r="W38" s="43">
        <f>IF(A38="","",IF(AND(F38&lt;&gt;"",F38&gt;TodayDate),"Scheduled",IF(AND(G38&lt;&gt;"",G38&lt;TodayDate),"Expired",IF(AND(I38&lt;&gt;"",Q38&gt;=I38),"Used up","Active"))))</f>
        <v>0</v>
      </c>
      <c r="X38" s="43">
        <f>IF(A38="","",IF(D38="","Add - how much off?",IF(AND(N38&lt;&gt;"",N38&lt;0),"Loss - this discount sells below cost",IF(AND(O38&lt;&gt;"",O38&gt;0.5),"Check - over half the profit given away",IF(W38="Expired","Ended - review what it did",IF(AND(Q38=0,W38="Active"),"Waiting - no orders yet","OK"))))))</f>
        <v>0</v>
      </c>
    </row>
    <row r="39" spans="12:24">
      <c r="L39" s="33">
        <f>IF(A39="","",IF(J39&lt;&gt;"",J39,TargetRetailMargin))</f>
        <v>0</v>
      </c>
      <c r="M39" s="33">
        <f>IF(A39="","",IF(C39="Percent off",D39,IF(C39="Free shipping","",IF(OR(H39="",H39=0),"",D39/H39))))</f>
        <v>0</v>
      </c>
      <c r="N39" s="33">
        <f>IF(A39="","",IF(M39="","",(L39-M39)/(1-M39)))</f>
        <v>0</v>
      </c>
      <c r="O39" s="33">
        <f>IF(A39="","",IF(OR(M39="",L39=0),"",M39/L39))</f>
        <v>0</v>
      </c>
      <c r="P39" s="33">
        <f>IF(A39="","",IF(M39="","Never - it loses money",IF(L39-M39&lt;=0,"Never - it loses money",M39/(L39-M39))))</f>
        <v>0</v>
      </c>
      <c r="Q39" s="32">
        <f>IF(A39="","",COUNTIFS(Sales!$H$5:$H$804,A39))</f>
        <v>0</v>
      </c>
      <c r="R39" s="20">
        <f>IF(A39="","",ROUND(SUMIFS(Sales!$V$5:$V$804,Sales!$H$5:$H$804,A39),2))</f>
        <v>0</v>
      </c>
      <c r="S39" s="20">
        <f>IF(A39="","",ROUND(SUMIFS(Sales!$G$5:$G$804,Sales!$H$5:$H$804,A39),2))</f>
        <v>0</v>
      </c>
      <c r="T39" s="20">
        <f>IF(A39="","",ROUND(SUMIFS(Sales!$AG$5:$AG$804,Sales!$H$5:$H$804,A39),2))</f>
        <v>0</v>
      </c>
      <c r="U39" s="33">
        <f>IF(A39="","",IF(OR(R39="",R39=0),"",T39/R39))</f>
        <v>0</v>
      </c>
      <c r="V39" s="20">
        <f>IF(A39="","",IF(Q39=0,"",ROUND(R39/Q39,2)))</f>
        <v>0</v>
      </c>
      <c r="W39" s="43">
        <f>IF(A39="","",IF(AND(F39&lt;&gt;"",F39&gt;TodayDate),"Scheduled",IF(AND(G39&lt;&gt;"",G39&lt;TodayDate),"Expired",IF(AND(I39&lt;&gt;"",Q39&gt;=I39),"Used up","Active"))))</f>
        <v>0</v>
      </c>
      <c r="X39" s="43">
        <f>IF(A39="","",IF(D39="","Add - how much off?",IF(AND(N39&lt;&gt;"",N39&lt;0),"Loss - this discount sells below cost",IF(AND(O39&lt;&gt;"",O39&gt;0.5),"Check - over half the profit given away",IF(W39="Expired","Ended - review what it did",IF(AND(Q39=0,W39="Active"),"Waiting - no orders yet","OK"))))))</f>
        <v>0</v>
      </c>
    </row>
    <row r="40" spans="12:24">
      <c r="L40" s="33">
        <f>IF(A40="","",IF(J40&lt;&gt;"",J40,TargetRetailMargin))</f>
        <v>0</v>
      </c>
      <c r="M40" s="33">
        <f>IF(A40="","",IF(C40="Percent off",D40,IF(C40="Free shipping","",IF(OR(H40="",H40=0),"",D40/H40))))</f>
        <v>0</v>
      </c>
      <c r="N40" s="33">
        <f>IF(A40="","",IF(M40="","",(L40-M40)/(1-M40)))</f>
        <v>0</v>
      </c>
      <c r="O40" s="33">
        <f>IF(A40="","",IF(OR(M40="",L40=0),"",M40/L40))</f>
        <v>0</v>
      </c>
      <c r="P40" s="33">
        <f>IF(A40="","",IF(M40="","Never - it loses money",IF(L40-M40&lt;=0,"Never - it loses money",M40/(L40-M40))))</f>
        <v>0</v>
      </c>
      <c r="Q40" s="32">
        <f>IF(A40="","",COUNTIFS(Sales!$H$5:$H$804,A40))</f>
        <v>0</v>
      </c>
      <c r="R40" s="20">
        <f>IF(A40="","",ROUND(SUMIFS(Sales!$V$5:$V$804,Sales!$H$5:$H$804,A40),2))</f>
        <v>0</v>
      </c>
      <c r="S40" s="20">
        <f>IF(A40="","",ROUND(SUMIFS(Sales!$G$5:$G$804,Sales!$H$5:$H$804,A40),2))</f>
        <v>0</v>
      </c>
      <c r="T40" s="20">
        <f>IF(A40="","",ROUND(SUMIFS(Sales!$AG$5:$AG$804,Sales!$H$5:$H$804,A40),2))</f>
        <v>0</v>
      </c>
      <c r="U40" s="33">
        <f>IF(A40="","",IF(OR(R40="",R40=0),"",T40/R40))</f>
        <v>0</v>
      </c>
      <c r="V40" s="20">
        <f>IF(A40="","",IF(Q40=0,"",ROUND(R40/Q40,2)))</f>
        <v>0</v>
      </c>
      <c r="W40" s="43">
        <f>IF(A40="","",IF(AND(F40&lt;&gt;"",F40&gt;TodayDate),"Scheduled",IF(AND(G40&lt;&gt;"",G40&lt;TodayDate),"Expired",IF(AND(I40&lt;&gt;"",Q40&gt;=I40),"Used up","Active"))))</f>
        <v>0</v>
      </c>
      <c r="X40" s="43">
        <f>IF(A40="","",IF(D40="","Add - how much off?",IF(AND(N40&lt;&gt;"",N40&lt;0),"Loss - this discount sells below cost",IF(AND(O40&lt;&gt;"",O40&gt;0.5),"Check - over half the profit given away",IF(W40="Expired","Ended - review what it did",IF(AND(Q40=0,W40="Active"),"Waiting - no orders yet","OK"))))))</f>
        <v>0</v>
      </c>
    </row>
    <row r="41" spans="12:24">
      <c r="L41" s="33">
        <f>IF(A41="","",IF(J41&lt;&gt;"",J41,TargetRetailMargin))</f>
        <v>0</v>
      </c>
      <c r="M41" s="33">
        <f>IF(A41="","",IF(C41="Percent off",D41,IF(C41="Free shipping","",IF(OR(H41="",H41=0),"",D41/H41))))</f>
        <v>0</v>
      </c>
      <c r="N41" s="33">
        <f>IF(A41="","",IF(M41="","",(L41-M41)/(1-M41)))</f>
        <v>0</v>
      </c>
      <c r="O41" s="33">
        <f>IF(A41="","",IF(OR(M41="",L41=0),"",M41/L41))</f>
        <v>0</v>
      </c>
      <c r="P41" s="33">
        <f>IF(A41="","",IF(M41="","Never - it loses money",IF(L41-M41&lt;=0,"Never - it loses money",M41/(L41-M41))))</f>
        <v>0</v>
      </c>
      <c r="Q41" s="32">
        <f>IF(A41="","",COUNTIFS(Sales!$H$5:$H$804,A41))</f>
        <v>0</v>
      </c>
      <c r="R41" s="20">
        <f>IF(A41="","",ROUND(SUMIFS(Sales!$V$5:$V$804,Sales!$H$5:$H$804,A41),2))</f>
        <v>0</v>
      </c>
      <c r="S41" s="20">
        <f>IF(A41="","",ROUND(SUMIFS(Sales!$G$5:$G$804,Sales!$H$5:$H$804,A41),2))</f>
        <v>0</v>
      </c>
      <c r="T41" s="20">
        <f>IF(A41="","",ROUND(SUMIFS(Sales!$AG$5:$AG$804,Sales!$H$5:$H$804,A41),2))</f>
        <v>0</v>
      </c>
      <c r="U41" s="33">
        <f>IF(A41="","",IF(OR(R41="",R41=0),"",T41/R41))</f>
        <v>0</v>
      </c>
      <c r="V41" s="20">
        <f>IF(A41="","",IF(Q41=0,"",ROUND(R41/Q41,2)))</f>
        <v>0</v>
      </c>
      <c r="W41" s="43">
        <f>IF(A41="","",IF(AND(F41&lt;&gt;"",F41&gt;TodayDate),"Scheduled",IF(AND(G41&lt;&gt;"",G41&lt;TodayDate),"Expired",IF(AND(I41&lt;&gt;"",Q41&gt;=I41),"Used up","Active"))))</f>
        <v>0</v>
      </c>
      <c r="X41" s="43">
        <f>IF(A41="","",IF(D41="","Add - how much off?",IF(AND(N41&lt;&gt;"",N41&lt;0),"Loss - this discount sells below cost",IF(AND(O41&lt;&gt;"",O41&gt;0.5),"Check - over half the profit given away",IF(W41="Expired","Ended - review what it did",IF(AND(Q41=0,W41="Active"),"Waiting - no orders yet","OK"))))))</f>
        <v>0</v>
      </c>
    </row>
    <row r="42" spans="12:24">
      <c r="L42" s="33">
        <f>IF(A42="","",IF(J42&lt;&gt;"",J42,TargetRetailMargin))</f>
        <v>0</v>
      </c>
      <c r="M42" s="33">
        <f>IF(A42="","",IF(C42="Percent off",D42,IF(C42="Free shipping","",IF(OR(H42="",H42=0),"",D42/H42))))</f>
        <v>0</v>
      </c>
      <c r="N42" s="33">
        <f>IF(A42="","",IF(M42="","",(L42-M42)/(1-M42)))</f>
        <v>0</v>
      </c>
      <c r="O42" s="33">
        <f>IF(A42="","",IF(OR(M42="",L42=0),"",M42/L42))</f>
        <v>0</v>
      </c>
      <c r="P42" s="33">
        <f>IF(A42="","",IF(M42="","Never - it loses money",IF(L42-M42&lt;=0,"Never - it loses money",M42/(L42-M42))))</f>
        <v>0</v>
      </c>
      <c r="Q42" s="32">
        <f>IF(A42="","",COUNTIFS(Sales!$H$5:$H$804,A42))</f>
        <v>0</v>
      </c>
      <c r="R42" s="20">
        <f>IF(A42="","",ROUND(SUMIFS(Sales!$V$5:$V$804,Sales!$H$5:$H$804,A42),2))</f>
        <v>0</v>
      </c>
      <c r="S42" s="20">
        <f>IF(A42="","",ROUND(SUMIFS(Sales!$G$5:$G$804,Sales!$H$5:$H$804,A42),2))</f>
        <v>0</v>
      </c>
      <c r="T42" s="20">
        <f>IF(A42="","",ROUND(SUMIFS(Sales!$AG$5:$AG$804,Sales!$H$5:$H$804,A42),2))</f>
        <v>0</v>
      </c>
      <c r="U42" s="33">
        <f>IF(A42="","",IF(OR(R42="",R42=0),"",T42/R42))</f>
        <v>0</v>
      </c>
      <c r="V42" s="20">
        <f>IF(A42="","",IF(Q42=0,"",ROUND(R42/Q42,2)))</f>
        <v>0</v>
      </c>
      <c r="W42" s="43">
        <f>IF(A42="","",IF(AND(F42&lt;&gt;"",F42&gt;TodayDate),"Scheduled",IF(AND(G42&lt;&gt;"",G42&lt;TodayDate),"Expired",IF(AND(I42&lt;&gt;"",Q42&gt;=I42),"Used up","Active"))))</f>
        <v>0</v>
      </c>
      <c r="X42" s="43">
        <f>IF(A42="","",IF(D42="","Add - how much off?",IF(AND(N42&lt;&gt;"",N42&lt;0),"Loss - this discount sells below cost",IF(AND(O42&lt;&gt;"",O42&gt;0.5),"Check - over half the profit given away",IF(W42="Expired","Ended - review what it did",IF(AND(Q42=0,W42="Active"),"Waiting - no orders yet","OK"))))))</f>
        <v>0</v>
      </c>
    </row>
    <row r="43" spans="12:24">
      <c r="L43" s="33">
        <f>IF(A43="","",IF(J43&lt;&gt;"",J43,TargetRetailMargin))</f>
        <v>0</v>
      </c>
      <c r="M43" s="33">
        <f>IF(A43="","",IF(C43="Percent off",D43,IF(C43="Free shipping","",IF(OR(H43="",H43=0),"",D43/H43))))</f>
        <v>0</v>
      </c>
      <c r="N43" s="33">
        <f>IF(A43="","",IF(M43="","",(L43-M43)/(1-M43)))</f>
        <v>0</v>
      </c>
      <c r="O43" s="33">
        <f>IF(A43="","",IF(OR(M43="",L43=0),"",M43/L43))</f>
        <v>0</v>
      </c>
      <c r="P43" s="33">
        <f>IF(A43="","",IF(M43="","Never - it loses money",IF(L43-M43&lt;=0,"Never - it loses money",M43/(L43-M43))))</f>
        <v>0</v>
      </c>
      <c r="Q43" s="32">
        <f>IF(A43="","",COUNTIFS(Sales!$H$5:$H$804,A43))</f>
        <v>0</v>
      </c>
      <c r="R43" s="20">
        <f>IF(A43="","",ROUND(SUMIFS(Sales!$V$5:$V$804,Sales!$H$5:$H$804,A43),2))</f>
        <v>0</v>
      </c>
      <c r="S43" s="20">
        <f>IF(A43="","",ROUND(SUMIFS(Sales!$G$5:$G$804,Sales!$H$5:$H$804,A43),2))</f>
        <v>0</v>
      </c>
      <c r="T43" s="20">
        <f>IF(A43="","",ROUND(SUMIFS(Sales!$AG$5:$AG$804,Sales!$H$5:$H$804,A43),2))</f>
        <v>0</v>
      </c>
      <c r="U43" s="33">
        <f>IF(A43="","",IF(OR(R43="",R43=0),"",T43/R43))</f>
        <v>0</v>
      </c>
      <c r="V43" s="20">
        <f>IF(A43="","",IF(Q43=0,"",ROUND(R43/Q43,2)))</f>
        <v>0</v>
      </c>
      <c r="W43" s="43">
        <f>IF(A43="","",IF(AND(F43&lt;&gt;"",F43&gt;TodayDate),"Scheduled",IF(AND(G43&lt;&gt;"",G43&lt;TodayDate),"Expired",IF(AND(I43&lt;&gt;"",Q43&gt;=I43),"Used up","Active"))))</f>
        <v>0</v>
      </c>
      <c r="X43" s="43">
        <f>IF(A43="","",IF(D43="","Add - how much off?",IF(AND(N43&lt;&gt;"",N43&lt;0),"Loss - this discount sells below cost",IF(AND(O43&lt;&gt;"",O43&gt;0.5),"Check - over half the profit given away",IF(W43="Expired","Ended - review what it did",IF(AND(Q43=0,W43="Active"),"Waiting - no orders yet","OK"))))))</f>
        <v>0</v>
      </c>
    </row>
    <row r="44" spans="12:24">
      <c r="L44" s="33">
        <f>IF(A44="","",IF(J44&lt;&gt;"",J44,TargetRetailMargin))</f>
        <v>0</v>
      </c>
      <c r="M44" s="33">
        <f>IF(A44="","",IF(C44="Percent off",D44,IF(C44="Free shipping","",IF(OR(H44="",H44=0),"",D44/H44))))</f>
        <v>0</v>
      </c>
      <c r="N44" s="33">
        <f>IF(A44="","",IF(M44="","",(L44-M44)/(1-M44)))</f>
        <v>0</v>
      </c>
      <c r="O44" s="33">
        <f>IF(A44="","",IF(OR(M44="",L44=0),"",M44/L44))</f>
        <v>0</v>
      </c>
      <c r="P44" s="33">
        <f>IF(A44="","",IF(M44="","Never - it loses money",IF(L44-M44&lt;=0,"Never - it loses money",M44/(L44-M44))))</f>
        <v>0</v>
      </c>
      <c r="Q44" s="32">
        <f>IF(A44="","",COUNTIFS(Sales!$H$5:$H$804,A44))</f>
        <v>0</v>
      </c>
      <c r="R44" s="20">
        <f>IF(A44="","",ROUND(SUMIFS(Sales!$V$5:$V$804,Sales!$H$5:$H$804,A44),2))</f>
        <v>0</v>
      </c>
      <c r="S44" s="20">
        <f>IF(A44="","",ROUND(SUMIFS(Sales!$G$5:$G$804,Sales!$H$5:$H$804,A44),2))</f>
        <v>0</v>
      </c>
      <c r="T44" s="20">
        <f>IF(A44="","",ROUND(SUMIFS(Sales!$AG$5:$AG$804,Sales!$H$5:$H$804,A44),2))</f>
        <v>0</v>
      </c>
      <c r="U44" s="33">
        <f>IF(A44="","",IF(OR(R44="",R44=0),"",T44/R44))</f>
        <v>0</v>
      </c>
      <c r="V44" s="20">
        <f>IF(A44="","",IF(Q44=0,"",ROUND(R44/Q44,2)))</f>
        <v>0</v>
      </c>
      <c r="W44" s="43">
        <f>IF(A44="","",IF(AND(F44&lt;&gt;"",F44&gt;TodayDate),"Scheduled",IF(AND(G44&lt;&gt;"",G44&lt;TodayDate),"Expired",IF(AND(I44&lt;&gt;"",Q44&gt;=I44),"Used up","Active"))))</f>
        <v>0</v>
      </c>
      <c r="X44" s="43">
        <f>IF(A44="","",IF(D44="","Add - how much off?",IF(AND(N44&lt;&gt;"",N44&lt;0),"Loss - this discount sells below cost",IF(AND(O44&lt;&gt;"",O44&gt;0.5),"Check - over half the profit given away",IF(W44="Expired","Ended - review what it did",IF(AND(Q44=0,W44="Active"),"Waiting - no orders yet","OK"))))))</f>
        <v>0</v>
      </c>
    </row>
  </sheetData>
  <sheetProtection password="EC7C" sheet="1" objects="1" scenarios="1" formatCells="0" formatColumns="0" formatRows="0" insertRows="0" insertHyperlinks="0" deleteRows="0" autoFilter="0"/>
  <autoFilter ref="A4:X4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N5:N44">
    <cfRule type="cellIs" dxfId="2" priority="1" operator="lessThan">
      <formula>0</formula>
    </cfRule>
    <cfRule type="cellIs" dxfId="0" priority="2" operator="lessThan">
      <formula>MarginWarning</formula>
    </cfRule>
    <cfRule type="cellIs" dxfId="1" priority="3" operator="greaterThanOrEqual">
      <formula>MarginWarning</formula>
    </cfRule>
  </conditionalFormatting>
  <conditionalFormatting sqref="O5:O44">
    <cfRule type="cellIs" dxfId="2" priority="4" operator="greaterThan">
      <formula>0.5</formula>
    </cfRule>
    <cfRule type="cellIs" dxfId="0" priority="5" operator="greaterThan">
      <formula>0.3</formula>
    </cfRule>
  </conditionalFormatting>
  <conditionalFormatting sqref="T5:T44">
    <cfRule type="cellIs" dxfId="5" priority="6" operator="lessThan">
      <formula>0</formula>
    </cfRule>
    <cfRule type="cellIs" dxfId="1" priority="7" operator="greaterThan">
      <formula>0</formula>
    </cfRule>
  </conditionalFormatting>
  <conditionalFormatting sqref="W5:W44">
    <cfRule type="containsText" dxfId="1" priority="8" operator="containsText" text="Completed">
      <formula>NOT(ISERROR(SEARCH("Completed",W5)))</formula>
    </cfRule>
    <cfRule type="containsText" dxfId="1" priority="9" operator="containsText" text="Complete">
      <formula>NOT(ISERROR(SEARCH("Complete",W5)))</formula>
    </cfRule>
    <cfRule type="containsText" dxfId="1" priority="10" operator="containsText" text="Done">
      <formula>NOT(ISERROR(SEARCH("Done",W5)))</formula>
    </cfRule>
    <cfRule type="containsText" dxfId="1" priority="11" operator="containsText" text="Paid">
      <formula>NOT(ISERROR(SEARCH("Paid",W5)))</formula>
    </cfRule>
    <cfRule type="containsText" dxfId="1" priority="12" operator="containsText" text="Accepted">
      <formula>NOT(ISERROR(SEARCH("Accepted",W5)))</formula>
    </cfRule>
    <cfRule type="containsText" dxfId="1" priority="13" operator="containsText" text="Won">
      <formula>NOT(ISERROR(SEARCH("Won",W5)))</formula>
    </cfRule>
    <cfRule type="containsText" dxfId="1" priority="14" operator="containsText" text="Active">
      <formula>NOT(ISERROR(SEARCH("Active",W5)))</formula>
    </cfRule>
    <cfRule type="containsText" dxfId="1" priority="15" operator="containsText" text="In stock">
      <formula>NOT(ISERROR(SEARCH("In stock",W5)))</formula>
    </cfRule>
    <cfRule type="containsText" dxfId="1" priority="16" operator="containsText" text="Resolved">
      <formula>NOT(ISERROR(SEARCH("Resolved",W5)))</formula>
    </cfRule>
    <cfRule type="containsText" dxfId="1" priority="17" operator="containsText" text="Signed">
      <formula>NOT(ISERROR(SEARCH("Signed",W5)))</formula>
    </cfRule>
    <cfRule type="containsText" dxfId="1" priority="18" operator="containsText" text="Yes">
      <formula>NOT(ISERROR(SEARCH("Yes",W5)))</formula>
    </cfRule>
    <cfRule type="containsText" dxfId="3" priority="19" operator="containsText" text="Booked">
      <formula>NOT(ISERROR(SEARCH("Booked",W5)))</formula>
    </cfRule>
    <cfRule type="containsText" dxfId="3" priority="20" operator="containsText" text="Confirmed">
      <formula>NOT(ISERROR(SEARCH("Confirmed",W5)))</formula>
    </cfRule>
    <cfRule type="containsText" dxfId="3" priority="21" operator="containsText" text="Scheduled">
      <formula>NOT(ISERROR(SEARCH("Scheduled",W5)))</formula>
    </cfRule>
    <cfRule type="containsText" dxfId="3" priority="22" operator="containsText" text="In progress">
      <formula>NOT(ISERROR(SEARCH("In progress",W5)))</formula>
    </cfRule>
    <cfRule type="containsText" dxfId="3" priority="23" operator="containsText" text="Sent">
      <formula>NOT(ISERROR(SEARCH("Sent",W5)))</formula>
    </cfRule>
    <cfRule type="containsText" dxfId="3" priority="24" operator="containsText" text="Invoiced">
      <formula>NOT(ISERROR(SEARCH("Invoiced",W5)))</formula>
    </cfRule>
    <cfRule type="containsText" dxfId="3" priority="25" operator="containsText" text="Quoted">
      <formula>NOT(ISERROR(SEARCH("Quoted",W5)))</formula>
    </cfRule>
    <cfRule type="containsText" dxfId="3" priority="26" operator="containsText" text="Prospect">
      <formula>NOT(ISERROR(SEARCH("Prospect",W5)))</formula>
    </cfRule>
    <cfRule type="containsText" dxfId="0" priority="27" operator="containsText" text="Draft">
      <formula>NOT(ISERROR(SEARCH("Draft",W5)))</formula>
    </cfRule>
    <cfRule type="containsText" dxfId="0" priority="28" operator="containsText" text="Enquiry">
      <formula>NOT(ISERROR(SEARCH("Enquiry",W5)))</formula>
    </cfRule>
    <cfRule type="containsText" dxfId="0" priority="29" operator="containsText" text="Pending">
      <formula>NOT(ISERROR(SEARCH("Pending",W5)))</formula>
    </cfRule>
    <cfRule type="containsText" dxfId="0" priority="30" operator="containsText" text="Part paid">
      <formula>NOT(ISERROR(SEARCH("Part paid",W5)))</formula>
    </cfRule>
    <cfRule type="containsText" dxfId="0" priority="31" operator="containsText" text="Followed up">
      <formula>NOT(ISERROR(SEARCH("Followed up",W5)))</formula>
    </cfRule>
    <cfRule type="containsText" dxfId="0" priority="32" operator="containsText" text="Low stock">
      <formula>NOT(ISERROR(SEARCH("Low stock",W5)))</formula>
    </cfRule>
    <cfRule type="containsText" dxfId="0" priority="33" operator="containsText" text="Due soon">
      <formula>NOT(ISERROR(SEARCH("Due soon",W5)))</formula>
    </cfRule>
    <cfRule type="containsText" dxfId="0" priority="34" operator="containsText" text="On hold">
      <formula>NOT(ISERROR(SEARCH("On hold",W5)))</formula>
    </cfRule>
    <cfRule type="containsText" dxfId="0" priority="35" operator="containsText" text="Unassigned">
      <formula>NOT(ISERROR(SEARCH("Unassigned",W5)))</formula>
    </cfRule>
    <cfRule type="containsText" dxfId="2" priority="36" operator="containsText" text="Overdue">
      <formula>NOT(ISERROR(SEARCH("Overdue",W5)))</formula>
    </cfRule>
    <cfRule type="containsText" dxfId="2" priority="37" operator="containsText" text="Cancelled">
      <formula>NOT(ISERROR(SEARCH("Cancelled",W5)))</formula>
    </cfRule>
    <cfRule type="containsText" dxfId="2" priority="38" operator="containsText" text="Declined">
      <formula>NOT(ISERROR(SEARCH("Declined",W5)))</formula>
    </cfRule>
    <cfRule type="containsText" dxfId="2" priority="39" operator="containsText" text="Lost">
      <formula>NOT(ISERROR(SEARCH("Lost",W5)))</formula>
    </cfRule>
    <cfRule type="containsText" dxfId="2" priority="40" operator="containsText" text="No access">
      <formula>NOT(ISERROR(SEARCH("No access",W5)))</formula>
    </cfRule>
    <cfRule type="containsText" dxfId="2" priority="41" operator="containsText" text="Out of stock">
      <formula>NOT(ISERROR(SEARCH("Out of stock",W5)))</formula>
    </cfRule>
    <cfRule type="containsText" dxfId="2" priority="42" operator="containsText" text="Written off">
      <formula>NOT(ISERROR(SEARCH("Written off",W5)))</formula>
    </cfRule>
    <cfRule type="containsText" dxfId="2" priority="43" operator="containsText" text="Expired">
      <formula>NOT(ISERROR(SEARCH("Expired",W5)))</formula>
    </cfRule>
    <cfRule type="containsText" dxfId="4" priority="44" operator="containsText" text="Discontinued">
      <formula>NOT(ISERROR(SEARCH("Discontinued",W5)))</formula>
    </cfRule>
    <cfRule type="containsText" dxfId="4" priority="45" operator="containsText" text="Idea">
      <formula>NOT(ISERROR(SEARCH("Idea",W5)))</formula>
    </cfRule>
    <cfRule type="containsText" dxfId="0" priority="46" operator="containsText" text="Prototype">
      <formula>NOT(ISERROR(SEARCH("Prototype",W5)))</formula>
    </cfRule>
    <cfRule type="containsText" dxfId="3" priority="47" operator="containsText" text="Made to order">
      <formula>NOT(ISERROR(SEARCH("Made to order",W5)))</formula>
    </cfRule>
    <cfRule type="containsText" dxfId="3" priority="48" operator="containsText" text="Seasonal">
      <formula>NOT(ISERROR(SEARCH("Seasonal",W5)))</formula>
    </cfRule>
    <cfRule type="containsText" dxfId="0" priority="49" operator="containsText" text="Review">
      <formula>NOT(ISERROR(SEARCH("Review",W5)))</formula>
    </cfRule>
    <cfRule type="containsText" dxfId="0" priority="50" operator="containsText" text="Raise price">
      <formula>NOT(ISERROR(SEARCH("Raise price",W5)))</formula>
    </cfRule>
    <cfRule type="containsText" dxfId="4" priority="51" operator="containsText" text="Inactive">
      <formula>NOT(ISERROR(SEARCH("Inactive",W5)))</formula>
    </cfRule>
    <cfRule type="containsText" dxfId="4" priority="52" operator="containsText" text="Archived">
      <formula>NOT(ISERROR(SEARCH("Archived",W5)))</formula>
    </cfRule>
    <cfRule type="containsText" dxfId="4" priority="53" operator="containsText" text="Not needed">
      <formula>NOT(ISERROR(SEARCH("Not needed",W5)))</formula>
    </cfRule>
  </conditionalFormatting>
  <conditionalFormatting sqref="X5:X44">
    <cfRule type="beginsWith" dxfId="1" priority="54" operator="beginsWith" text="OK">
      <formula>LEFT(X5,2)="OK"</formula>
    </cfRule>
    <cfRule type="containsText" dxfId="2" priority="55" operator="containsText" text="Overdue">
      <formula>NOT(ISERROR(SEARCH("Overdue",X5)))</formula>
    </cfRule>
    <cfRule type="containsText" dxfId="2" priority="56" operator="containsText" text="Late">
      <formula>NOT(ISERROR(SEARCH("Late",X5)))</formula>
    </cfRule>
    <cfRule type="containsText" dxfId="2" priority="57" operator="containsText" text="Missing">
      <formula>NOT(ISERROR(SEARCH("Missing",X5)))</formula>
    </cfRule>
    <cfRule type="containsText" dxfId="2" priority="58" operator="containsText" text="Conflict">
      <formula>NOT(ISERROR(SEARCH("Conflict",X5)))</formula>
    </cfRule>
    <cfRule type="containsText" dxfId="2" priority="59" operator="containsText" text="Clash">
      <formula>NOT(ISERROR(SEARCH("Clash",X5)))</formula>
    </cfRule>
    <cfRule type="containsText" dxfId="2" priority="60" operator="containsText" text="Expired">
      <formula>NOT(ISERROR(SEARCH("Expired",X5)))</formula>
    </cfRule>
    <cfRule type="containsText" dxfId="2" priority="61" operator="containsText" text="Duplicate">
      <formula>NOT(ISERROR(SEARCH("Duplicate",X5)))</formula>
    </cfRule>
    <cfRule type="containsText" dxfId="2" priority="62" operator="containsText" text="Unpaid">
      <formula>NOT(ISERROR(SEARCH("Unpaid",X5)))</formula>
    </cfRule>
    <cfRule type="containsText" dxfId="2" priority="63" operator="containsText" text="Loss">
      <formula>NOT(ISERROR(SEARCH("Loss",X5)))</formula>
    </cfRule>
    <cfRule type="containsText" dxfId="2" priority="64" operator="containsText" text="Below">
      <formula>NOT(ISERROR(SEARCH("Below",X5)))</formula>
    </cfRule>
    <cfRule type="containsText" dxfId="0" priority="65" operator="containsText" text="Action">
      <formula>NOT(ISERROR(SEARCH("Action",X5)))</formula>
    </cfRule>
    <cfRule type="containsText" dxfId="0" priority="66" operator="containsText" text="Due">
      <formula>NOT(ISERROR(SEARCH("Due",X5)))</formula>
    </cfRule>
    <cfRule type="containsText" dxfId="0" priority="67" operator="containsText" text="Check">
      <formula>NOT(ISERROR(SEARCH("Check",X5)))</formula>
    </cfRule>
    <cfRule type="containsText" dxfId="0" priority="68" operator="containsText" text="Chase">
      <formula>NOT(ISERROR(SEARCH("Chase",X5)))</formula>
    </cfRule>
    <cfRule type="containsText" dxfId="0" priority="69" operator="containsText" text="Assign">
      <formula>NOT(ISERROR(SEARCH("Assign",X5)))</formula>
    </cfRule>
    <cfRule type="containsText" dxfId="0" priority="70" operator="containsText" text="Confirm">
      <formula>NOT(ISERROR(SEARCH("Confirm",X5)))</formula>
    </cfRule>
    <cfRule type="containsText" dxfId="0" priority="71" operator="containsText" text="Order">
      <formula>NOT(ISERROR(SEARCH("Order",X5)))</formula>
    </cfRule>
    <cfRule type="containsText" dxfId="3" priority="72" operator="containsText" text="Today">
      <formula>NOT(ISERROR(SEARCH("Today",X5)))</formula>
    </cfRule>
    <cfRule type="containsText" dxfId="3" priority="73" operator="containsText" text="Upcoming">
      <formula>NOT(ISERROR(SEARCH("Upcoming",X5)))</formula>
    </cfRule>
    <cfRule type="containsText" dxfId="3" priority="74" operator="containsText" text="Tomorrow">
      <formula>NOT(ISERROR(SEARCH("Tomorrow",X5)))</formula>
    </cfRule>
  </conditionalFormatting>
  <dataValidations count="7">
    <dataValidation type="list" allowBlank="1" showInputMessage="1" showErrorMessage="1" sqref="C5:C44">
      <formula1>PromoTypeList</formula1>
    </dataValidation>
    <dataValidation type="decimal" allowBlank="1" showInputMessage="1" showErrorMessage="1" errorTitle="Check the value" error="Enter a number between 0 and 100000." promptTitle="Value" prompt="A percentage as a decimal (0.15 for 15% off), or an amount for 'Amount off'." sqref="D5:D44">
      <formula1>0</formula1>
      <formula2>100000</formula2>
    </dataValidation>
    <dataValidation type="date" allowBlank="1" showInputMessage="1" showErrorMessage="1" errorTitle="Check the date" error="Enter a real date between 2000 and 2100." sqref="F5:F44">
      <formula1>36526</formula1>
      <formula2>73415</formula2>
    </dataValidation>
    <dataValidation type="date" allowBlank="1" showInputMessage="1" showErrorMessage="1" errorTitle="Check the date" error="Enter a real date between 2000 and 2100." sqref="G5:G44">
      <formula1>36526</formula1>
      <formula2>73415</formula2>
    </dataValidation>
    <dataValidation type="decimal" allowBlank="1" showInputMessage="1" showErrorMessage="1" errorTitle="Check the value" error="Enter a number between 0 and 100000." sqref="H5:H44">
      <formula1>0</formula1>
      <formula2>100000</formula2>
    </dataValidation>
    <dataValidation type="whole" allowBlank="1" showInputMessage="1" showErrorMessage="1" errorTitle="Check the value" error="Enter a number between 0 and 1000000." sqref="I5:I44">
      <formula1>0</formula1>
      <formula2>1000000</formula2>
    </dataValidation>
    <dataValidation type="decimal" allowBlank="1" showInputMessage="1" showErrorMessage="1" errorTitle="Check the value" error="Enter a number between 0 and 0.95." promptTitle="Normal margin" prompt="The margin these products normally make. Blank uses the target margin on Settings." sqref="J5:J44">
      <formula1>0</formula1>
      <formula2>0.95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&amp;L&amp;"Calibri,Bold"&amp;12&amp;C&amp;"Calibri,Bold"&amp;11Promotions&amp;R&amp;"Calibri,Italic"&amp;9Handmade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7.xml><?xml version="1.0" encoding="utf-8"?>
<worksheet xmlns="http://schemas.openxmlformats.org/spreadsheetml/2006/main" xmlns:r="http://schemas.openxmlformats.org/officeDocument/2006/relationships">
  <sheetPr>
    <tabColor rgb="FFB5704F"/>
    <pageSetUpPr fitToPage="1"/>
  </sheetPr>
  <dimension ref="A1:W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2" customWidth="1"/>
    <col min="2" max="2" width="12.7109375" style="46" customWidth="1"/>
    <col min="3" max="3" width="24.7109375" style="13" customWidth="1"/>
    <col min="4" max="4" width="11.7109375" style="18" customWidth="1"/>
    <col min="5" max="5" width="11.7109375" style="18" customWidth="1"/>
    <col min="6" max="6" width="13.7109375" style="18" customWidth="1"/>
    <col min="7" max="7" width="22.7109375" style="15" customWidth="1"/>
    <col min="8" max="8" width="15.7109375" style="15" customWidth="1"/>
    <col min="9" max="9" width="16.7109375" style="16" customWidth="1"/>
    <col min="10" max="10" width="16.7109375" style="16" customWidth="1"/>
    <col min="11" max="11" width="28.7109375" style="40" customWidth="1"/>
    <col min="12" max="12" width="10.7109375" style="13" customWidth="1"/>
    <col min="13" max="13" width="10.7109375" style="20" customWidth="1"/>
    <col min="14" max="14" width="9.7109375" style="33" customWidth="1"/>
    <col min="15" max="15" width="11.7109375" style="20" hidden="1" customWidth="1"/>
    <col min="16" max="16" width="12.7109375" style="33" customWidth="1"/>
    <col min="17" max="17" width="12.7109375" style="33" customWidth="1"/>
    <col min="18" max="18" width="11.7109375" style="33" hidden="1" customWidth="1"/>
    <col min="19" max="19" width="10.7109375" style="33" customWidth="1"/>
    <col min="20" max="20" width="12.7109375" style="33" customWidth="1"/>
    <col min="21" max="21" width="9.7109375" style="32" hidden="1" customWidth="1"/>
    <col min="22" max="22" width="10.7109375" style="32" hidden="1" customWidth="1"/>
    <col min="23" max="23" width="26.7109375" style="43" customWidth="1"/>
  </cols>
  <sheetData>
    <row r="1" spans="1:23" ht="34" customHeight="1">
      <c r="A1" s="2" t="s">
        <v>409</v>
      </c>
      <c r="B1" s="2"/>
      <c r="C1" s="2"/>
      <c r="D1" s="2"/>
      <c r="E1" s="2"/>
      <c r="F1" s="2"/>
      <c r="G1" s="2"/>
      <c r="H1" s="2"/>
      <c r="I1" s="2"/>
      <c r="J1" s="2"/>
      <c r="K1" s="2"/>
      <c r="L1" s="2"/>
      <c r="M1" s="2"/>
      <c r="N1" s="2"/>
      <c r="O1" s="2"/>
      <c r="P1" s="2"/>
      <c r="Q1" s="2"/>
      <c r="R1" s="2"/>
      <c r="S1" s="2"/>
      <c r="T1" s="2"/>
      <c r="U1" s="3" t="s">
        <v>1</v>
      </c>
      <c r="V1" s="3"/>
      <c r="W1" s="3"/>
    </row>
    <row r="2" spans="1:23" ht="18" customHeight="1">
      <c r="A2" s="4" t="s">
        <v>1692</v>
      </c>
      <c r="B2" s="4"/>
      <c r="C2" s="4"/>
      <c r="D2" s="4"/>
      <c r="E2" s="4"/>
      <c r="F2" s="4"/>
      <c r="G2" s="4"/>
      <c r="H2" s="4"/>
      <c r="I2" s="4"/>
      <c r="J2" s="4"/>
      <c r="K2" s="4"/>
      <c r="L2" s="4"/>
      <c r="M2" s="4"/>
      <c r="N2" s="4"/>
      <c r="O2" s="4"/>
      <c r="P2" s="4"/>
      <c r="Q2" s="4"/>
      <c r="R2" s="4"/>
      <c r="S2" s="4"/>
      <c r="T2" s="4"/>
      <c r="U2" s="4"/>
      <c r="V2" s="4"/>
      <c r="W2" s="4"/>
    </row>
    <row r="3" spans="1:23"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1693</v>
      </c>
      <c r="T3" s="44"/>
      <c r="U3" s="44"/>
      <c r="V3" s="44"/>
      <c r="W3" s="44"/>
    </row>
    <row r="4" spans="1:23" ht="30" customHeight="1">
      <c r="A4" s="8" t="s">
        <v>1565</v>
      </c>
      <c r="B4" s="8" t="s">
        <v>354</v>
      </c>
      <c r="C4" s="9" t="s">
        <v>719</v>
      </c>
      <c r="D4" s="9" t="s">
        <v>1694</v>
      </c>
      <c r="E4" s="9" t="s">
        <v>1695</v>
      </c>
      <c r="F4" s="9" t="s">
        <v>1696</v>
      </c>
      <c r="G4" s="9" t="s">
        <v>1697</v>
      </c>
      <c r="H4" s="9" t="s">
        <v>441</v>
      </c>
      <c r="I4" s="9" t="s">
        <v>1698</v>
      </c>
      <c r="J4" s="9" t="s">
        <v>1699</v>
      </c>
      <c r="K4" s="9" t="s">
        <v>466</v>
      </c>
      <c r="L4" s="9" t="s">
        <v>370</v>
      </c>
      <c r="M4" s="9" t="s">
        <v>1205</v>
      </c>
      <c r="N4" s="9" t="s">
        <v>1205</v>
      </c>
      <c r="O4" s="9" t="s">
        <v>1700</v>
      </c>
      <c r="P4" s="9" t="s">
        <v>1701</v>
      </c>
      <c r="Q4" s="9" t="s">
        <v>1702</v>
      </c>
      <c r="R4" s="9" t="s">
        <v>1703</v>
      </c>
      <c r="S4" s="9" t="s">
        <v>1704</v>
      </c>
      <c r="T4" s="9" t="s">
        <v>1705</v>
      </c>
      <c r="U4" s="9" t="s">
        <v>1706</v>
      </c>
      <c r="V4" s="9" t="s">
        <v>1707</v>
      </c>
      <c r="W4" s="9" t="s">
        <v>1096</v>
      </c>
    </row>
    <row r="5" spans="1:23">
      <c r="A5" s="22">
        <v>45917</v>
      </c>
      <c r="B5" s="46" t="s">
        <v>1256</v>
      </c>
      <c r="C5" s="13">
        <f>IF(B5="","",IFERROR(INDEX(Products!$B$5:$B$304,MATCH(B5,Products!$A$5:$A$304,0)),"Not found"))</f>
        <v>0</v>
      </c>
      <c r="D5" s="18">
        <v>48</v>
      </c>
      <c r="E5" s="18">
        <v>65</v>
      </c>
      <c r="F5" s="18">
        <v>52</v>
      </c>
      <c r="G5" s="15" t="s">
        <v>1708</v>
      </c>
      <c r="H5" s="15" t="s">
        <v>287</v>
      </c>
      <c r="I5" s="16">
        <v>0</v>
      </c>
      <c r="J5" s="16">
        <v>18</v>
      </c>
      <c r="K5" s="40" t="s">
        <v>1709</v>
      </c>
      <c r="L5" s="13">
        <f>IF(A5="","",TEXT(A5,"yyyy-mm"))</f>
        <v>0</v>
      </c>
      <c r="M5" s="20">
        <f>IF(A5="","",IF(OR(D5="",E5=""),"",ROUND(E5-D5,2)))</f>
        <v>0</v>
      </c>
      <c r="N5" s="33">
        <f>IF(A5="","",IF(OR(D5="",D5=0,E5=""),"",E5/D5-1))</f>
        <v>0</v>
      </c>
      <c r="O5" s="20">
        <f>IF(A5="","",IF(F5&lt;&gt;"",F5,IFERROR(INDEX(Products!$AT$5:$AT$304,MATCH(B5,Products!$A$5:$A$304,0)),"")))</f>
        <v>0</v>
      </c>
      <c r="P5" s="33">
        <f>IF(A5="","",IF(OR(D5="",D5=0,O5=""),"",(D5-O5)/D5))</f>
        <v>0</v>
      </c>
      <c r="Q5" s="33">
        <f>IF(A5="","",IF(OR(E5="",E5=0,O5=""),"",(E5-O5)/E5))</f>
        <v>0</v>
      </c>
      <c r="R5" s="33">
        <f>IF(A5="","",IF(OR(P5="",Q5=""),"",Q5-P5))</f>
        <v>0</v>
      </c>
      <c r="S5" s="33">
        <f>IF(A5="","",IF(OR(I5="",I5=0,J5=""),"",J5/I5-1))</f>
        <v>0</v>
      </c>
      <c r="T5" s="33">
        <f>IF(A5="","",IF(OR(S5="",N5=""),"",(1+N5)*(1+S5)-1))</f>
        <v>0</v>
      </c>
      <c r="U5" s="32">
        <f>IF(B5="","",COUNTIFS($B$5:B5,B5))</f>
        <v>0</v>
      </c>
      <c r="V5" s="32">
        <f>IF(A5="","",TodayDate-A5)</f>
        <v>0</v>
      </c>
      <c r="W5" s="43">
        <f>IF(A5="","",IF(M5="","Add - old and new price",IF(Q5&lt;0,"Loss - priced below cost",IF(T5="","Watch - no volume data yet",IF(T5&gt;0.02,"Worked - revenue up",IF(T5&lt;-0.02,"Hurt - revenue down","Neutral - no real change"))))))</f>
        <v>0</v>
      </c>
    </row>
    <row r="6" spans="1:23">
      <c r="A6" s="22">
        <v>46291</v>
      </c>
      <c r="B6" s="46" t="s">
        <v>1256</v>
      </c>
      <c r="C6" s="13">
        <f>IF(B6="","",IFERROR(INDEX(Products!$B$5:$B$304,MATCH(B6,Products!$A$5:$A$304,0)),"Not found"))</f>
        <v>0</v>
      </c>
      <c r="D6" s="18">
        <v>65</v>
      </c>
      <c r="E6" s="18">
        <v>78</v>
      </c>
      <c r="F6" s="18">
        <v>59.4</v>
      </c>
      <c r="G6" s="15" t="s">
        <v>1710</v>
      </c>
      <c r="H6" s="15" t="s">
        <v>287</v>
      </c>
      <c r="I6" s="16">
        <v>11</v>
      </c>
      <c r="J6" s="16">
        <v>9</v>
      </c>
      <c r="K6" s="40" t="s">
        <v>1711</v>
      </c>
      <c r="L6" s="13">
        <f>IF(A6="","",TEXT(A6,"yyyy-mm"))</f>
        <v>0</v>
      </c>
      <c r="M6" s="20">
        <f>IF(A6="","",IF(OR(D6="",E6=""),"",ROUND(E6-D6,2)))</f>
        <v>0</v>
      </c>
      <c r="N6" s="33">
        <f>IF(A6="","",IF(OR(D6="",D6=0,E6=""),"",E6/D6-1))</f>
        <v>0</v>
      </c>
      <c r="O6" s="20">
        <f>IF(A6="","",IF(F6&lt;&gt;"",F6,IFERROR(INDEX(Products!$AT$5:$AT$304,MATCH(B6,Products!$A$5:$A$304,0)),"")))</f>
        <v>0</v>
      </c>
      <c r="P6" s="33">
        <f>IF(A6="","",IF(OR(D6="",D6=0,O6=""),"",(D6-O6)/D6))</f>
        <v>0</v>
      </c>
      <c r="Q6" s="33">
        <f>IF(A6="","",IF(OR(E6="",E6=0,O6=""),"",(E6-O6)/E6))</f>
        <v>0</v>
      </c>
      <c r="R6" s="33">
        <f>IF(A6="","",IF(OR(P6="",Q6=""),"",Q6-P6))</f>
        <v>0</v>
      </c>
      <c r="S6" s="33">
        <f>IF(A6="","",IF(OR(I6="",I6=0,J6=""),"",J6/I6-1))</f>
        <v>0</v>
      </c>
      <c r="T6" s="33">
        <f>IF(A6="","",IF(OR(S6="",N6=""),"",(1+N6)*(1+S6)-1))</f>
        <v>0</v>
      </c>
      <c r="U6" s="32">
        <f>IF(B6="","",COUNTIFS($B$5:B6,B6))</f>
        <v>0</v>
      </c>
      <c r="V6" s="32">
        <f>IF(A6="","",TodayDate-A6)</f>
        <v>0</v>
      </c>
      <c r="W6" s="43">
        <f>IF(A6="","",IF(M6="","Add - old and new price",IF(Q6&lt;0,"Loss - priced below cost",IF(T6="","Watch - no volume data yet",IF(T6&gt;0.02,"Worked - revenue up",IF(T6&lt;-0.02,"Hurt - revenue down","Neutral - no real change"))))))</f>
        <v>0</v>
      </c>
    </row>
    <row r="7" spans="1:23">
      <c r="A7" s="22">
        <v>46117</v>
      </c>
      <c r="B7" s="46" t="s">
        <v>730</v>
      </c>
      <c r="C7" s="13">
        <f>IF(B7="","",IFERROR(INDEX(Products!$B$5:$B$304,MATCH(B7,Products!$A$5:$A$304,0)),"Not found"))</f>
        <v>0</v>
      </c>
      <c r="D7" s="18">
        <v>62</v>
      </c>
      <c r="E7" s="18">
        <v>75</v>
      </c>
      <c r="F7" s="18">
        <v>68</v>
      </c>
      <c r="G7" s="15" t="s">
        <v>1712</v>
      </c>
      <c r="H7" s="15" t="s">
        <v>287</v>
      </c>
      <c r="I7" s="16">
        <v>14</v>
      </c>
      <c r="J7" s="16">
        <v>16</v>
      </c>
      <c r="K7" s="40" t="s">
        <v>1713</v>
      </c>
      <c r="L7" s="13">
        <f>IF(A7="","",TEXT(A7,"yyyy-mm"))</f>
        <v>0</v>
      </c>
      <c r="M7" s="20">
        <f>IF(A7="","",IF(OR(D7="",E7=""),"",ROUND(E7-D7,2)))</f>
        <v>0</v>
      </c>
      <c r="N7" s="33">
        <f>IF(A7="","",IF(OR(D7="",D7=0,E7=""),"",E7/D7-1))</f>
        <v>0</v>
      </c>
      <c r="O7" s="20">
        <f>IF(A7="","",IF(F7&lt;&gt;"",F7,IFERROR(INDEX(Products!$AT$5:$AT$304,MATCH(B7,Products!$A$5:$A$304,0)),"")))</f>
        <v>0</v>
      </c>
      <c r="P7" s="33">
        <f>IF(A7="","",IF(OR(D7="",D7=0,O7=""),"",(D7-O7)/D7))</f>
        <v>0</v>
      </c>
      <c r="Q7" s="33">
        <f>IF(A7="","",IF(OR(E7="",E7=0,O7=""),"",(E7-O7)/E7))</f>
        <v>0</v>
      </c>
      <c r="R7" s="33">
        <f>IF(A7="","",IF(OR(P7="",Q7=""),"",Q7-P7))</f>
        <v>0</v>
      </c>
      <c r="S7" s="33">
        <f>IF(A7="","",IF(OR(I7="",I7=0,J7=""),"",J7/I7-1))</f>
        <v>0</v>
      </c>
      <c r="T7" s="33">
        <f>IF(A7="","",IF(OR(S7="",N7=""),"",(1+N7)*(1+S7)-1))</f>
        <v>0</v>
      </c>
      <c r="U7" s="32">
        <f>IF(B7="","",COUNTIFS($B$5:B7,B7))</f>
        <v>0</v>
      </c>
      <c r="V7" s="32">
        <f>IF(A7="","",TodayDate-A7)</f>
        <v>0</v>
      </c>
      <c r="W7" s="43">
        <f>IF(A7="","",IF(M7="","Add - old and new price",IF(Q7&lt;0,"Loss - priced below cost",IF(T7="","Watch - no volume data yet",IF(T7&gt;0.02,"Worked - revenue up",IF(T7&lt;-0.02,"Hurt - revenue down","Neutral - no real change"))))))</f>
        <v>0</v>
      </c>
    </row>
    <row r="8" spans="1:23">
      <c r="A8" s="22">
        <v>46287</v>
      </c>
      <c r="B8" s="46" t="s">
        <v>735</v>
      </c>
      <c r="C8" s="13">
        <f>IF(B8="","",IFERROR(INDEX(Products!$B$5:$B$304,MATCH(B8,Products!$A$5:$A$304,0)),"Not found"))</f>
        <v>0</v>
      </c>
      <c r="D8" s="18">
        <v>62</v>
      </c>
      <c r="E8" s="18">
        <v>78</v>
      </c>
      <c r="F8" s="18">
        <v>88</v>
      </c>
      <c r="G8" s="15" t="s">
        <v>1714</v>
      </c>
      <c r="H8" s="15" t="s">
        <v>287</v>
      </c>
      <c r="I8" s="16">
        <v>6</v>
      </c>
      <c r="J8" s="16">
        <v>3</v>
      </c>
      <c r="K8" s="40" t="s">
        <v>1715</v>
      </c>
      <c r="L8" s="13">
        <f>IF(A8="","",TEXT(A8,"yyyy-mm"))</f>
        <v>0</v>
      </c>
      <c r="M8" s="20">
        <f>IF(A8="","",IF(OR(D8="",E8=""),"",ROUND(E8-D8,2)))</f>
        <v>0</v>
      </c>
      <c r="N8" s="33">
        <f>IF(A8="","",IF(OR(D8="",D8=0,E8=""),"",E8/D8-1))</f>
        <v>0</v>
      </c>
      <c r="O8" s="20">
        <f>IF(A8="","",IF(F8&lt;&gt;"",F8,IFERROR(INDEX(Products!$AT$5:$AT$304,MATCH(B8,Products!$A$5:$A$304,0)),"")))</f>
        <v>0</v>
      </c>
      <c r="P8" s="33">
        <f>IF(A8="","",IF(OR(D8="",D8=0,O8=""),"",(D8-O8)/D8))</f>
        <v>0</v>
      </c>
      <c r="Q8" s="33">
        <f>IF(A8="","",IF(OR(E8="",E8=0,O8=""),"",(E8-O8)/E8))</f>
        <v>0</v>
      </c>
      <c r="R8" s="33">
        <f>IF(A8="","",IF(OR(P8="",Q8=""),"",Q8-P8))</f>
        <v>0</v>
      </c>
      <c r="S8" s="33">
        <f>IF(A8="","",IF(OR(I8="",I8=0,J8=""),"",J8/I8-1))</f>
        <v>0</v>
      </c>
      <c r="T8" s="33">
        <f>IF(A8="","",IF(OR(S8="",N8=""),"",(1+N8)*(1+S8)-1))</f>
        <v>0</v>
      </c>
      <c r="U8" s="32">
        <f>IF(B8="","",COUNTIFS($B$5:B8,B8))</f>
        <v>0</v>
      </c>
      <c r="V8" s="32">
        <f>IF(A8="","",TodayDate-A8)</f>
        <v>0</v>
      </c>
      <c r="W8" s="43">
        <f>IF(A8="","",IF(M8="","Add - old and new price",IF(Q8&lt;0,"Loss - priced below cost",IF(T8="","Watch - no volume data yet",IF(T8&gt;0.02,"Worked - revenue up",IF(T8&lt;-0.02,"Hurt - revenue down","Neutral - no real change"))))))</f>
        <v>0</v>
      </c>
    </row>
    <row r="9" spans="1:23">
      <c r="A9" s="22">
        <v>46299</v>
      </c>
      <c r="B9" s="46" t="s">
        <v>1304</v>
      </c>
      <c r="C9" s="13">
        <f>IF(B9="","",IFERROR(INDEX(Products!$B$5:$B$304,MATCH(B9,Products!$A$5:$A$304,0)),"Not found"))</f>
        <v>0</v>
      </c>
      <c r="D9" s="18">
        <v>52</v>
      </c>
      <c r="E9" s="18">
        <v>58</v>
      </c>
      <c r="F9" s="18">
        <v>33.9</v>
      </c>
      <c r="G9" s="15" t="s">
        <v>1710</v>
      </c>
      <c r="H9" s="15" t="s">
        <v>287</v>
      </c>
      <c r="I9" s="16">
        <v>7</v>
      </c>
      <c r="J9" s="16">
        <v>6</v>
      </c>
      <c r="K9" s="40" t="s">
        <v>1716</v>
      </c>
      <c r="L9" s="13">
        <f>IF(A9="","",TEXT(A9,"yyyy-mm"))</f>
        <v>0</v>
      </c>
      <c r="M9" s="20">
        <f>IF(A9="","",IF(OR(D9="",E9=""),"",ROUND(E9-D9,2)))</f>
        <v>0</v>
      </c>
      <c r="N9" s="33">
        <f>IF(A9="","",IF(OR(D9="",D9=0,E9=""),"",E9/D9-1))</f>
        <v>0</v>
      </c>
      <c r="O9" s="20">
        <f>IF(A9="","",IF(F9&lt;&gt;"",F9,IFERROR(INDEX(Products!$AT$5:$AT$304,MATCH(B9,Products!$A$5:$A$304,0)),"")))</f>
        <v>0</v>
      </c>
      <c r="P9" s="33">
        <f>IF(A9="","",IF(OR(D9="",D9=0,O9=""),"",(D9-O9)/D9))</f>
        <v>0</v>
      </c>
      <c r="Q9" s="33">
        <f>IF(A9="","",IF(OR(E9="",E9=0,O9=""),"",(E9-O9)/E9))</f>
        <v>0</v>
      </c>
      <c r="R9" s="33">
        <f>IF(A9="","",IF(OR(P9="",Q9=""),"",Q9-P9))</f>
        <v>0</v>
      </c>
      <c r="S9" s="33">
        <f>IF(A9="","",IF(OR(I9="",I9=0,J9=""),"",J9/I9-1))</f>
        <v>0</v>
      </c>
      <c r="T9" s="33">
        <f>IF(A9="","",IF(OR(S9="",N9=""),"",(1+N9)*(1+S9)-1))</f>
        <v>0</v>
      </c>
      <c r="U9" s="32">
        <f>IF(B9="","",COUNTIFS($B$5:B9,B9))</f>
        <v>0</v>
      </c>
      <c r="V9" s="32">
        <f>IF(A9="","",TodayDate-A9)</f>
        <v>0</v>
      </c>
      <c r="W9" s="43">
        <f>IF(A9="","",IF(M9="","Add - old and new price",IF(Q9&lt;0,"Loss - priced below cost",IF(T9="","Watch - no volume data yet",IF(T9&gt;0.02,"Worked - revenue up",IF(T9&lt;-0.02,"Hurt - revenue down","Neutral - no real change"))))))</f>
        <v>0</v>
      </c>
    </row>
    <row r="10" spans="1:23">
      <c r="A10" s="22">
        <v>46272</v>
      </c>
      <c r="B10" s="46" t="s">
        <v>1308</v>
      </c>
      <c r="C10" s="13">
        <f>IF(B10="","",IFERROR(INDEX(Products!$B$5:$B$304,MATCH(B10,Products!$A$5:$A$304,0)),"Not found"))</f>
        <v>0</v>
      </c>
      <c r="D10" s="18">
        <v>44</v>
      </c>
      <c r="E10" s="18">
        <v>52</v>
      </c>
      <c r="F10" s="18">
        <v>31.4</v>
      </c>
      <c r="G10" s="15" t="s">
        <v>1714</v>
      </c>
      <c r="H10" s="15" t="s">
        <v>287</v>
      </c>
      <c r="I10" s="16">
        <v>9</v>
      </c>
      <c r="J10" s="16">
        <v>7</v>
      </c>
      <c r="K10" s="40" t="s">
        <v>1717</v>
      </c>
      <c r="L10" s="13">
        <f>IF(A10="","",TEXT(A10,"yyyy-mm"))</f>
        <v>0</v>
      </c>
      <c r="M10" s="20">
        <f>IF(A10="","",IF(OR(D10="",E10=""),"",ROUND(E10-D10,2)))</f>
        <v>0</v>
      </c>
      <c r="N10" s="33">
        <f>IF(A10="","",IF(OR(D10="",D10=0,E10=""),"",E10/D10-1))</f>
        <v>0</v>
      </c>
      <c r="O10" s="20">
        <f>IF(A10="","",IF(F10&lt;&gt;"",F10,IFERROR(INDEX(Products!$AT$5:$AT$304,MATCH(B10,Products!$A$5:$A$304,0)),"")))</f>
        <v>0</v>
      </c>
      <c r="P10" s="33">
        <f>IF(A10="","",IF(OR(D10="",D10=0,O10=""),"",(D10-O10)/D10))</f>
        <v>0</v>
      </c>
      <c r="Q10" s="33">
        <f>IF(A10="","",IF(OR(E10="",E10=0,O10=""),"",(E10-O10)/E10))</f>
        <v>0</v>
      </c>
      <c r="R10" s="33">
        <f>IF(A10="","",IF(OR(P10="",Q10=""),"",Q10-P10))</f>
        <v>0</v>
      </c>
      <c r="S10" s="33">
        <f>IF(A10="","",IF(OR(I10="",I10=0,J10=""),"",J10/I10-1))</f>
        <v>0</v>
      </c>
      <c r="T10" s="33">
        <f>IF(A10="","",IF(OR(S10="",N10=""),"",(1+N10)*(1+S10)-1))</f>
        <v>0</v>
      </c>
      <c r="U10" s="32">
        <f>IF(B10="","",COUNTIFS($B$5:B10,B10))</f>
        <v>0</v>
      </c>
      <c r="V10" s="32">
        <f>IF(A10="","",TodayDate-A10)</f>
        <v>0</v>
      </c>
      <c r="W10" s="43">
        <f>IF(A10="","",IF(M10="","Add - old and new price",IF(Q10&lt;0,"Loss - priced below cost",IF(T10="","Watch - no volume data yet",IF(T10&gt;0.02,"Worked - revenue up",IF(T10&lt;-0.02,"Hurt - revenue down","Neutral - no real change"))))))</f>
        <v>0</v>
      </c>
    </row>
    <row r="11" spans="1:23">
      <c r="A11" s="22">
        <v>46197</v>
      </c>
      <c r="B11" s="46" t="s">
        <v>1344</v>
      </c>
      <c r="C11" s="13">
        <f>IF(B11="","",IFERROR(INDEX(Products!$B$5:$B$304,MATCH(B11,Products!$A$5:$A$304,0)),"Not found"))</f>
        <v>0</v>
      </c>
      <c r="D11" s="18">
        <v>28</v>
      </c>
      <c r="E11" s="18">
        <v>32</v>
      </c>
      <c r="F11" s="18">
        <v>12.8</v>
      </c>
      <c r="G11" s="15" t="s">
        <v>1718</v>
      </c>
      <c r="H11" s="15" t="s">
        <v>287</v>
      </c>
      <c r="I11" s="16">
        <v>22</v>
      </c>
      <c r="J11" s="16">
        <v>26</v>
      </c>
      <c r="K11" s="40" t="s">
        <v>1719</v>
      </c>
      <c r="L11" s="13">
        <f>IF(A11="","",TEXT(A11,"yyyy-mm"))</f>
        <v>0</v>
      </c>
      <c r="M11" s="20">
        <f>IF(A11="","",IF(OR(D11="",E11=""),"",ROUND(E11-D11,2)))</f>
        <v>0</v>
      </c>
      <c r="N11" s="33">
        <f>IF(A11="","",IF(OR(D11="",D11=0,E11=""),"",E11/D11-1))</f>
        <v>0</v>
      </c>
      <c r="O11" s="20">
        <f>IF(A11="","",IF(F11&lt;&gt;"",F11,IFERROR(INDEX(Products!$AT$5:$AT$304,MATCH(B11,Products!$A$5:$A$304,0)),"")))</f>
        <v>0</v>
      </c>
      <c r="P11" s="33">
        <f>IF(A11="","",IF(OR(D11="",D11=0,O11=""),"",(D11-O11)/D11))</f>
        <v>0</v>
      </c>
      <c r="Q11" s="33">
        <f>IF(A11="","",IF(OR(E11="",E11=0,O11=""),"",(E11-O11)/E11))</f>
        <v>0</v>
      </c>
      <c r="R11" s="33">
        <f>IF(A11="","",IF(OR(P11="",Q11=""),"",Q11-P11))</f>
        <v>0</v>
      </c>
      <c r="S11" s="33">
        <f>IF(A11="","",IF(OR(I11="",I11=0,J11=""),"",J11/I11-1))</f>
        <v>0</v>
      </c>
      <c r="T11" s="33">
        <f>IF(A11="","",IF(OR(S11="",N11=""),"",(1+N11)*(1+S11)-1))</f>
        <v>0</v>
      </c>
      <c r="U11" s="32">
        <f>IF(B11="","",COUNTIFS($B$5:B11,B11))</f>
        <v>0</v>
      </c>
      <c r="V11" s="32">
        <f>IF(A11="","",TodayDate-A11)</f>
        <v>0</v>
      </c>
      <c r="W11" s="43">
        <f>IF(A11="","",IF(M11="","Add - old and new price",IF(Q11&lt;0,"Loss - priced below cost",IF(T11="","Watch - no volume data yet",IF(T11&gt;0.02,"Worked - revenue up",IF(T11&lt;-0.02,"Hurt - revenue down","Neutral - no real change"))))))</f>
        <v>0</v>
      </c>
    </row>
    <row r="12" spans="1:23">
      <c r="A12" s="22">
        <v>46197</v>
      </c>
      <c r="B12" s="46" t="s">
        <v>1351</v>
      </c>
      <c r="C12" s="13">
        <f>IF(B12="","",IFERROR(INDEX(Products!$B$5:$B$304,MATCH(B12,Products!$A$5:$A$304,0)),"Not found"))</f>
        <v>0</v>
      </c>
      <c r="D12" s="18">
        <v>17</v>
      </c>
      <c r="E12" s="18">
        <v>19</v>
      </c>
      <c r="F12" s="18">
        <v>6.8</v>
      </c>
      <c r="G12" s="15" t="s">
        <v>1720</v>
      </c>
      <c r="H12" s="15" t="s">
        <v>287</v>
      </c>
      <c r="I12" s="16">
        <v>30</v>
      </c>
      <c r="J12" s="16">
        <v>28</v>
      </c>
      <c r="L12" s="13">
        <f>IF(A12="","",TEXT(A12,"yyyy-mm"))</f>
        <v>0</v>
      </c>
      <c r="M12" s="20">
        <f>IF(A12="","",IF(OR(D12="",E12=""),"",ROUND(E12-D12,2)))</f>
        <v>0</v>
      </c>
      <c r="N12" s="33">
        <f>IF(A12="","",IF(OR(D12="",D12=0,E12=""),"",E12/D12-1))</f>
        <v>0</v>
      </c>
      <c r="O12" s="20">
        <f>IF(A12="","",IF(F12&lt;&gt;"",F12,IFERROR(INDEX(Products!$AT$5:$AT$304,MATCH(B12,Products!$A$5:$A$304,0)),"")))</f>
        <v>0</v>
      </c>
      <c r="P12" s="33">
        <f>IF(A12="","",IF(OR(D12="",D12=0,O12=""),"",(D12-O12)/D12))</f>
        <v>0</v>
      </c>
      <c r="Q12" s="33">
        <f>IF(A12="","",IF(OR(E12="",E12=0,O12=""),"",(E12-O12)/E12))</f>
        <v>0</v>
      </c>
      <c r="R12" s="33">
        <f>IF(A12="","",IF(OR(P12="",Q12=""),"",Q12-P12))</f>
        <v>0</v>
      </c>
      <c r="S12" s="33">
        <f>IF(A12="","",IF(OR(I12="",I12=0,J12=""),"",J12/I12-1))</f>
        <v>0</v>
      </c>
      <c r="T12" s="33">
        <f>IF(A12="","",IF(OR(S12="",N12=""),"",(1+N12)*(1+S12)-1))</f>
        <v>0</v>
      </c>
      <c r="U12" s="32">
        <f>IF(B12="","",COUNTIFS($B$5:B12,B12))</f>
        <v>0</v>
      </c>
      <c r="V12" s="32">
        <f>IF(A12="","",TodayDate-A12)</f>
        <v>0</v>
      </c>
      <c r="W12" s="43">
        <f>IF(A12="","",IF(M12="","Add - old and new price",IF(Q12&lt;0,"Loss - priced below cost",IF(T12="","Watch - no volume data yet",IF(T12&gt;0.02,"Worked - revenue up",IF(T12&lt;-0.02,"Hurt - revenue down","Neutral - no real change"))))))</f>
        <v>0</v>
      </c>
    </row>
    <row r="13" spans="1:23">
      <c r="A13" s="22">
        <v>46137</v>
      </c>
      <c r="B13" s="46" t="s">
        <v>741</v>
      </c>
      <c r="C13" s="13">
        <f>IF(B13="","",IFERROR(INDEX(Products!$B$5:$B$304,MATCH(B13,Products!$A$5:$A$304,0)),"Not found"))</f>
        <v>0</v>
      </c>
      <c r="D13" s="18">
        <v>165</v>
      </c>
      <c r="E13" s="18">
        <v>195</v>
      </c>
      <c r="F13" s="18">
        <v>128</v>
      </c>
      <c r="G13" s="15" t="s">
        <v>1721</v>
      </c>
      <c r="H13" s="15" t="s">
        <v>287</v>
      </c>
      <c r="I13" s="16">
        <v>5</v>
      </c>
      <c r="J13" s="16">
        <v>4</v>
      </c>
      <c r="K13" s="40" t="s">
        <v>1722</v>
      </c>
      <c r="L13" s="13">
        <f>IF(A13="","",TEXT(A13,"yyyy-mm"))</f>
        <v>0</v>
      </c>
      <c r="M13" s="20">
        <f>IF(A13="","",IF(OR(D13="",E13=""),"",ROUND(E13-D13,2)))</f>
        <v>0</v>
      </c>
      <c r="N13" s="33">
        <f>IF(A13="","",IF(OR(D13="",D13=0,E13=""),"",E13/D13-1))</f>
        <v>0</v>
      </c>
      <c r="O13" s="20">
        <f>IF(A13="","",IF(F13&lt;&gt;"",F13,IFERROR(INDEX(Products!$AT$5:$AT$304,MATCH(B13,Products!$A$5:$A$304,0)),"")))</f>
        <v>0</v>
      </c>
      <c r="P13" s="33">
        <f>IF(A13="","",IF(OR(D13="",D13=0,O13=""),"",(D13-O13)/D13))</f>
        <v>0</v>
      </c>
      <c r="Q13" s="33">
        <f>IF(A13="","",IF(OR(E13="",E13=0,O13=""),"",(E13-O13)/E13))</f>
        <v>0</v>
      </c>
      <c r="R13" s="33">
        <f>IF(A13="","",IF(OR(P13="",Q13=""),"",Q13-P13))</f>
        <v>0</v>
      </c>
      <c r="S13" s="33">
        <f>IF(A13="","",IF(OR(I13="",I13=0,J13=""),"",J13/I13-1))</f>
        <v>0</v>
      </c>
      <c r="T13" s="33">
        <f>IF(A13="","",IF(OR(S13="",N13=""),"",(1+N13)*(1+S13)-1))</f>
        <v>0</v>
      </c>
      <c r="U13" s="32">
        <f>IF(B13="","",COUNTIFS($B$5:B13,B13))</f>
        <v>0</v>
      </c>
      <c r="V13" s="32">
        <f>IF(A13="","",TodayDate-A13)</f>
        <v>0</v>
      </c>
      <c r="W13" s="43">
        <f>IF(A13="","",IF(M13="","Add - old and new price",IF(Q13&lt;0,"Loss - priced below cost",IF(T13="","Watch - no volume data yet",IF(T13&gt;0.02,"Worked - revenue up",IF(T13&lt;-0.02,"Hurt - revenue down","Neutral - no real change"))))))</f>
        <v>0</v>
      </c>
    </row>
    <row r="14" spans="1:23">
      <c r="A14" s="22">
        <v>46257</v>
      </c>
      <c r="B14" s="46" t="s">
        <v>1380</v>
      </c>
      <c r="C14" s="13">
        <f>IF(B14="","",IFERROR(INDEX(Products!$B$5:$B$304,MATCH(B14,Products!$A$5:$A$304,0)),"Not found"))</f>
        <v>0</v>
      </c>
      <c r="D14" s="18">
        <v>128</v>
      </c>
      <c r="E14" s="18">
        <v>148</v>
      </c>
      <c r="F14" s="18">
        <v>114</v>
      </c>
      <c r="G14" s="15" t="s">
        <v>1714</v>
      </c>
      <c r="H14" s="15" t="s">
        <v>545</v>
      </c>
      <c r="I14" s="16">
        <v>4</v>
      </c>
      <c r="J14" s="16">
        <v>3</v>
      </c>
      <c r="K14" s="40" t="s">
        <v>1723</v>
      </c>
      <c r="L14" s="13">
        <f>IF(A14="","",TEXT(A14,"yyyy-mm"))</f>
        <v>0</v>
      </c>
      <c r="M14" s="20">
        <f>IF(A14="","",IF(OR(D14="",E14=""),"",ROUND(E14-D14,2)))</f>
        <v>0</v>
      </c>
      <c r="N14" s="33">
        <f>IF(A14="","",IF(OR(D14="",D14=0,E14=""),"",E14/D14-1))</f>
        <v>0</v>
      </c>
      <c r="O14" s="20">
        <f>IF(A14="","",IF(F14&lt;&gt;"",F14,IFERROR(INDEX(Products!$AT$5:$AT$304,MATCH(B14,Products!$A$5:$A$304,0)),"")))</f>
        <v>0</v>
      </c>
      <c r="P14" s="33">
        <f>IF(A14="","",IF(OR(D14="",D14=0,O14=""),"",(D14-O14)/D14))</f>
        <v>0</v>
      </c>
      <c r="Q14" s="33">
        <f>IF(A14="","",IF(OR(E14="",E14=0,O14=""),"",(E14-O14)/E14))</f>
        <v>0</v>
      </c>
      <c r="R14" s="33">
        <f>IF(A14="","",IF(OR(P14="",Q14=""),"",Q14-P14))</f>
        <v>0</v>
      </c>
      <c r="S14" s="33">
        <f>IF(A14="","",IF(OR(I14="",I14=0,J14=""),"",J14/I14-1))</f>
        <v>0</v>
      </c>
      <c r="T14" s="33">
        <f>IF(A14="","",IF(OR(S14="",N14=""),"",(1+N14)*(1+S14)-1))</f>
        <v>0</v>
      </c>
      <c r="U14" s="32">
        <f>IF(B14="","",COUNTIFS($B$5:B14,B14))</f>
        <v>0</v>
      </c>
      <c r="V14" s="32">
        <f>IF(A14="","",TodayDate-A14)</f>
        <v>0</v>
      </c>
      <c r="W14" s="43">
        <f>IF(A14="","",IF(M14="","Add - old and new price",IF(Q14&lt;0,"Loss - priced below cost",IF(T14="","Watch - no volume data yet",IF(T14&gt;0.02,"Worked - revenue up",IF(T14&lt;-0.02,"Hurt - revenue down","Neutral - no real change"))))))</f>
        <v>0</v>
      </c>
    </row>
    <row r="15" spans="1:23">
      <c r="A15" s="22">
        <v>46247</v>
      </c>
      <c r="B15" s="46" t="s">
        <v>748</v>
      </c>
      <c r="C15" s="13">
        <f>IF(B15="","",IFERROR(INDEX(Products!$B$5:$B$304,MATCH(B15,Products!$A$5:$A$304,0)),"Not found"))</f>
        <v>0</v>
      </c>
      <c r="D15" s="18">
        <v>118</v>
      </c>
      <c r="E15" s="18">
        <v>135</v>
      </c>
      <c r="F15" s="18">
        <v>98</v>
      </c>
      <c r="G15" s="15" t="s">
        <v>1710</v>
      </c>
      <c r="H15" s="15" t="s">
        <v>545</v>
      </c>
      <c r="I15" s="16">
        <v>6</v>
      </c>
      <c r="J15" s="16">
        <v>5</v>
      </c>
      <c r="K15" s="40" t="s">
        <v>1724</v>
      </c>
      <c r="L15" s="13">
        <f>IF(A15="","",TEXT(A15,"yyyy-mm"))</f>
        <v>0</v>
      </c>
      <c r="M15" s="20">
        <f>IF(A15="","",IF(OR(D15="",E15=""),"",ROUND(E15-D15,2)))</f>
        <v>0</v>
      </c>
      <c r="N15" s="33">
        <f>IF(A15="","",IF(OR(D15="",D15=0,E15=""),"",E15/D15-1))</f>
        <v>0</v>
      </c>
      <c r="O15" s="20">
        <f>IF(A15="","",IF(F15&lt;&gt;"",F15,IFERROR(INDEX(Products!$AT$5:$AT$304,MATCH(B15,Products!$A$5:$A$304,0)),"")))</f>
        <v>0</v>
      </c>
      <c r="P15" s="33">
        <f>IF(A15="","",IF(OR(D15="",D15=0,O15=""),"",(D15-O15)/D15))</f>
        <v>0</v>
      </c>
      <c r="Q15" s="33">
        <f>IF(A15="","",IF(OR(E15="",E15=0,O15=""),"",(E15-O15)/E15))</f>
        <v>0</v>
      </c>
      <c r="R15" s="33">
        <f>IF(A15="","",IF(OR(P15="",Q15=""),"",Q15-P15))</f>
        <v>0</v>
      </c>
      <c r="S15" s="33">
        <f>IF(A15="","",IF(OR(I15="",I15=0,J15=""),"",J15/I15-1))</f>
        <v>0</v>
      </c>
      <c r="T15" s="33">
        <f>IF(A15="","",IF(OR(S15="",N15=""),"",(1+N15)*(1+S15)-1))</f>
        <v>0</v>
      </c>
      <c r="U15" s="32">
        <f>IF(B15="","",COUNTIFS($B$5:B15,B15))</f>
        <v>0</v>
      </c>
      <c r="V15" s="32">
        <f>IF(A15="","",TodayDate-A15)</f>
        <v>0</v>
      </c>
      <c r="W15" s="43">
        <f>IF(A15="","",IF(M15="","Add - old and new price",IF(Q15&lt;0,"Loss - priced below cost",IF(T15="","Watch - no volume data yet",IF(T15&gt;0.02,"Worked - revenue up",IF(T15&lt;-0.02,"Hurt - revenue down","Neutral - no real change"))))))</f>
        <v>0</v>
      </c>
    </row>
    <row r="16" spans="1:23">
      <c r="A16" s="22">
        <v>46227</v>
      </c>
      <c r="B16" s="46" t="s">
        <v>1447</v>
      </c>
      <c r="C16" s="13">
        <f>IF(B16="","",IFERROR(INDEX(Products!$B$5:$B$304,MATCH(B16,Products!$A$5:$A$304,0)),"Not found"))</f>
        <v>0</v>
      </c>
      <c r="D16" s="18">
        <v>7.5</v>
      </c>
      <c r="E16" s="18">
        <v>8.5</v>
      </c>
      <c r="F16" s="18">
        <v>5</v>
      </c>
      <c r="G16" s="15" t="s">
        <v>1725</v>
      </c>
      <c r="H16" s="15" t="s">
        <v>287</v>
      </c>
      <c r="I16" s="16">
        <v>18</v>
      </c>
      <c r="J16" s="16">
        <v>17</v>
      </c>
      <c r="K16" s="40" t="s">
        <v>1726</v>
      </c>
      <c r="L16" s="13">
        <f>IF(A16="","",TEXT(A16,"yyyy-mm"))</f>
        <v>0</v>
      </c>
      <c r="M16" s="20">
        <f>IF(A16="","",IF(OR(D16="",E16=""),"",ROUND(E16-D16,2)))</f>
        <v>0</v>
      </c>
      <c r="N16" s="33">
        <f>IF(A16="","",IF(OR(D16="",D16=0,E16=""),"",E16/D16-1))</f>
        <v>0</v>
      </c>
      <c r="O16" s="20">
        <f>IF(A16="","",IF(F16&lt;&gt;"",F16,IFERROR(INDEX(Products!$AT$5:$AT$304,MATCH(B16,Products!$A$5:$A$304,0)),"")))</f>
        <v>0</v>
      </c>
      <c r="P16" s="33">
        <f>IF(A16="","",IF(OR(D16="",D16=0,O16=""),"",(D16-O16)/D16))</f>
        <v>0</v>
      </c>
      <c r="Q16" s="33">
        <f>IF(A16="","",IF(OR(E16="",E16=0,O16=""),"",(E16-O16)/E16))</f>
        <v>0</v>
      </c>
      <c r="R16" s="33">
        <f>IF(A16="","",IF(OR(P16="",Q16=""),"",Q16-P16))</f>
        <v>0</v>
      </c>
      <c r="S16" s="33">
        <f>IF(A16="","",IF(OR(I16="",I16=0,J16=""),"",J16/I16-1))</f>
        <v>0</v>
      </c>
      <c r="T16" s="33">
        <f>IF(A16="","",IF(OR(S16="",N16=""),"",(1+N16)*(1+S16)-1))</f>
        <v>0</v>
      </c>
      <c r="U16" s="32">
        <f>IF(B16="","",COUNTIFS($B$5:B16,B16))</f>
        <v>0</v>
      </c>
      <c r="V16" s="32">
        <f>IF(A16="","",TodayDate-A16)</f>
        <v>0</v>
      </c>
      <c r="W16" s="43">
        <f>IF(A16="","",IF(M16="","Add - old and new price",IF(Q16&lt;0,"Loss - priced below cost",IF(T16="","Watch - no volume data yet",IF(T16&gt;0.02,"Worked - revenue up",IF(T16&lt;-0.02,"Hurt - revenue down","Neutral - no real change"))))))</f>
        <v>0</v>
      </c>
    </row>
    <row r="17" spans="1:23">
      <c r="A17" s="22">
        <v>46267</v>
      </c>
      <c r="B17" s="46" t="s">
        <v>1452</v>
      </c>
      <c r="C17" s="13">
        <f>IF(B17="","",IFERROR(INDEX(Products!$B$5:$B$304,MATCH(B17,Products!$A$5:$A$304,0)),"Not found"))</f>
        <v>0</v>
      </c>
      <c r="D17" s="18">
        <v>6.5</v>
      </c>
      <c r="E17" s="18">
        <v>9.5</v>
      </c>
      <c r="F17" s="18">
        <v>6.2</v>
      </c>
      <c r="G17" s="15" t="s">
        <v>1714</v>
      </c>
      <c r="H17" s="15" t="s">
        <v>287</v>
      </c>
      <c r="I17" s="16">
        <v>12</v>
      </c>
      <c r="J17" s="16">
        <v>9</v>
      </c>
      <c r="K17" s="40" t="s">
        <v>1727</v>
      </c>
      <c r="L17" s="13">
        <f>IF(A17="","",TEXT(A17,"yyyy-mm"))</f>
        <v>0</v>
      </c>
      <c r="M17" s="20">
        <f>IF(A17="","",IF(OR(D17="",E17=""),"",ROUND(E17-D17,2)))</f>
        <v>0</v>
      </c>
      <c r="N17" s="33">
        <f>IF(A17="","",IF(OR(D17="",D17=0,E17=""),"",E17/D17-1))</f>
        <v>0</v>
      </c>
      <c r="O17" s="20">
        <f>IF(A17="","",IF(F17&lt;&gt;"",F17,IFERROR(INDEX(Products!$AT$5:$AT$304,MATCH(B17,Products!$A$5:$A$304,0)),"")))</f>
        <v>0</v>
      </c>
      <c r="P17" s="33">
        <f>IF(A17="","",IF(OR(D17="",D17=0,O17=""),"",(D17-O17)/D17))</f>
        <v>0</v>
      </c>
      <c r="Q17" s="33">
        <f>IF(A17="","",IF(OR(E17="",E17=0,O17=""),"",(E17-O17)/E17))</f>
        <v>0</v>
      </c>
      <c r="R17" s="33">
        <f>IF(A17="","",IF(OR(P17="",Q17=""),"",Q17-P17))</f>
        <v>0</v>
      </c>
      <c r="S17" s="33">
        <f>IF(A17="","",IF(OR(I17="",I17=0,J17=""),"",J17/I17-1))</f>
        <v>0</v>
      </c>
      <c r="T17" s="33">
        <f>IF(A17="","",IF(OR(S17="",N17=""),"",(1+N17)*(1+S17)-1))</f>
        <v>0</v>
      </c>
      <c r="U17" s="32">
        <f>IF(B17="","",COUNTIFS($B$5:B17,B17))</f>
        <v>0</v>
      </c>
      <c r="V17" s="32">
        <f>IF(A17="","",TodayDate-A17)</f>
        <v>0</v>
      </c>
      <c r="W17" s="43">
        <f>IF(A17="","",IF(M17="","Add - old and new price",IF(Q17&lt;0,"Loss - priced below cost",IF(T17="","Watch - no volume data yet",IF(T17&gt;0.02,"Worked - revenue up",IF(T17&lt;-0.02,"Hurt - revenue down","Neutral - no real change"))))))</f>
        <v>0</v>
      </c>
    </row>
    <row r="18" spans="1:23">
      <c r="C18" s="13">
        <f>IF(B18="","",IFERROR(INDEX(Products!$B$5:$B$304,MATCH(B18,Products!$A$5:$A$304,0)),"Not found"))</f>
        <v>0</v>
      </c>
      <c r="L18" s="13">
        <f>IF(A18="","",TEXT(A18,"yyyy-mm"))</f>
        <v>0</v>
      </c>
      <c r="M18" s="20">
        <f>IF(A18="","",IF(OR(D18="",E18=""),"",ROUND(E18-D18,2)))</f>
        <v>0</v>
      </c>
      <c r="N18" s="33">
        <f>IF(A18="","",IF(OR(D18="",D18=0,E18=""),"",E18/D18-1))</f>
        <v>0</v>
      </c>
      <c r="O18" s="20">
        <f>IF(A18="","",IF(F18&lt;&gt;"",F18,IFERROR(INDEX(Products!$AT$5:$AT$304,MATCH(B18,Products!$A$5:$A$304,0)),"")))</f>
        <v>0</v>
      </c>
      <c r="P18" s="33">
        <f>IF(A18="","",IF(OR(D18="",D18=0,O18=""),"",(D18-O18)/D18))</f>
        <v>0</v>
      </c>
      <c r="Q18" s="33">
        <f>IF(A18="","",IF(OR(E18="",E18=0,O18=""),"",(E18-O18)/E18))</f>
        <v>0</v>
      </c>
      <c r="R18" s="33">
        <f>IF(A18="","",IF(OR(P18="",Q18=""),"",Q18-P18))</f>
        <v>0</v>
      </c>
      <c r="S18" s="33">
        <f>IF(A18="","",IF(OR(I18="",I18=0,J18=""),"",J18/I18-1))</f>
        <v>0</v>
      </c>
      <c r="T18" s="33">
        <f>IF(A18="","",IF(OR(S18="",N18=""),"",(1+N18)*(1+S18)-1))</f>
        <v>0</v>
      </c>
      <c r="U18" s="32">
        <f>IF(B18="","",COUNTIFS($B$5:B18,B18))</f>
        <v>0</v>
      </c>
      <c r="V18" s="32">
        <f>IF(A18="","",TodayDate-A18)</f>
        <v>0</v>
      </c>
      <c r="W18" s="43">
        <f>IF(A18="","",IF(M18="","Add - old and new price",IF(Q18&lt;0,"Loss - priced below cost",IF(T18="","Watch - no volume data yet",IF(T18&gt;0.02,"Worked - revenue up",IF(T18&lt;-0.02,"Hurt - revenue down","Neutral - no real change"))))))</f>
        <v>0</v>
      </c>
    </row>
    <row r="19" spans="1:23">
      <c r="C19" s="13">
        <f>IF(B19="","",IFERROR(INDEX(Products!$B$5:$B$304,MATCH(B19,Products!$A$5:$A$304,0)),"Not found"))</f>
        <v>0</v>
      </c>
      <c r="L19" s="13">
        <f>IF(A19="","",TEXT(A19,"yyyy-mm"))</f>
        <v>0</v>
      </c>
      <c r="M19" s="20">
        <f>IF(A19="","",IF(OR(D19="",E19=""),"",ROUND(E19-D19,2)))</f>
        <v>0</v>
      </c>
      <c r="N19" s="33">
        <f>IF(A19="","",IF(OR(D19="",D19=0,E19=""),"",E19/D19-1))</f>
        <v>0</v>
      </c>
      <c r="O19" s="20">
        <f>IF(A19="","",IF(F19&lt;&gt;"",F19,IFERROR(INDEX(Products!$AT$5:$AT$304,MATCH(B19,Products!$A$5:$A$304,0)),"")))</f>
        <v>0</v>
      </c>
      <c r="P19" s="33">
        <f>IF(A19="","",IF(OR(D19="",D19=0,O19=""),"",(D19-O19)/D19))</f>
        <v>0</v>
      </c>
      <c r="Q19" s="33">
        <f>IF(A19="","",IF(OR(E19="",E19=0,O19=""),"",(E19-O19)/E19))</f>
        <v>0</v>
      </c>
      <c r="R19" s="33">
        <f>IF(A19="","",IF(OR(P19="",Q19=""),"",Q19-P19))</f>
        <v>0</v>
      </c>
      <c r="S19" s="33">
        <f>IF(A19="","",IF(OR(I19="",I19=0,J19=""),"",J19/I19-1))</f>
        <v>0</v>
      </c>
      <c r="T19" s="33">
        <f>IF(A19="","",IF(OR(S19="",N19=""),"",(1+N19)*(1+S19)-1))</f>
        <v>0</v>
      </c>
      <c r="U19" s="32">
        <f>IF(B19="","",COUNTIFS($B$5:B19,B19))</f>
        <v>0</v>
      </c>
      <c r="V19" s="32">
        <f>IF(A19="","",TodayDate-A19)</f>
        <v>0</v>
      </c>
      <c r="W19" s="43">
        <f>IF(A19="","",IF(M19="","Add - old and new price",IF(Q19&lt;0,"Loss - priced below cost",IF(T19="","Watch - no volume data yet",IF(T19&gt;0.02,"Worked - revenue up",IF(T19&lt;-0.02,"Hurt - revenue down","Neutral - no real change"))))))</f>
        <v>0</v>
      </c>
    </row>
    <row r="20" spans="1:23">
      <c r="C20" s="13">
        <f>IF(B20="","",IFERROR(INDEX(Products!$B$5:$B$304,MATCH(B20,Products!$A$5:$A$304,0)),"Not found"))</f>
        <v>0</v>
      </c>
      <c r="L20" s="13">
        <f>IF(A20="","",TEXT(A20,"yyyy-mm"))</f>
        <v>0</v>
      </c>
      <c r="M20" s="20">
        <f>IF(A20="","",IF(OR(D20="",E20=""),"",ROUND(E20-D20,2)))</f>
        <v>0</v>
      </c>
      <c r="N20" s="33">
        <f>IF(A20="","",IF(OR(D20="",D20=0,E20=""),"",E20/D20-1))</f>
        <v>0</v>
      </c>
      <c r="O20" s="20">
        <f>IF(A20="","",IF(F20&lt;&gt;"",F20,IFERROR(INDEX(Products!$AT$5:$AT$304,MATCH(B20,Products!$A$5:$A$304,0)),"")))</f>
        <v>0</v>
      </c>
      <c r="P20" s="33">
        <f>IF(A20="","",IF(OR(D20="",D20=0,O20=""),"",(D20-O20)/D20))</f>
        <v>0</v>
      </c>
      <c r="Q20" s="33">
        <f>IF(A20="","",IF(OR(E20="",E20=0,O20=""),"",(E20-O20)/E20))</f>
        <v>0</v>
      </c>
      <c r="R20" s="33">
        <f>IF(A20="","",IF(OR(P20="",Q20=""),"",Q20-P20))</f>
        <v>0</v>
      </c>
      <c r="S20" s="33">
        <f>IF(A20="","",IF(OR(I20="",I20=0,J20=""),"",J20/I20-1))</f>
        <v>0</v>
      </c>
      <c r="T20" s="33">
        <f>IF(A20="","",IF(OR(S20="",N20=""),"",(1+N20)*(1+S20)-1))</f>
        <v>0</v>
      </c>
      <c r="U20" s="32">
        <f>IF(B20="","",COUNTIFS($B$5:B20,B20))</f>
        <v>0</v>
      </c>
      <c r="V20" s="32">
        <f>IF(A20="","",TodayDate-A20)</f>
        <v>0</v>
      </c>
      <c r="W20" s="43">
        <f>IF(A20="","",IF(M20="","Add - old and new price",IF(Q20&lt;0,"Loss - priced below cost",IF(T20="","Watch - no volume data yet",IF(T20&gt;0.02,"Worked - revenue up",IF(T20&lt;-0.02,"Hurt - revenue down","Neutral - no real change"))))))</f>
        <v>0</v>
      </c>
    </row>
    <row r="21" spans="1:23">
      <c r="C21" s="13">
        <f>IF(B21="","",IFERROR(INDEX(Products!$B$5:$B$304,MATCH(B21,Products!$A$5:$A$304,0)),"Not found"))</f>
        <v>0</v>
      </c>
      <c r="L21" s="13">
        <f>IF(A21="","",TEXT(A21,"yyyy-mm"))</f>
        <v>0</v>
      </c>
      <c r="M21" s="20">
        <f>IF(A21="","",IF(OR(D21="",E21=""),"",ROUND(E21-D21,2)))</f>
        <v>0</v>
      </c>
      <c r="N21" s="33">
        <f>IF(A21="","",IF(OR(D21="",D21=0,E21=""),"",E21/D21-1))</f>
        <v>0</v>
      </c>
      <c r="O21" s="20">
        <f>IF(A21="","",IF(F21&lt;&gt;"",F21,IFERROR(INDEX(Products!$AT$5:$AT$304,MATCH(B21,Products!$A$5:$A$304,0)),"")))</f>
        <v>0</v>
      </c>
      <c r="P21" s="33">
        <f>IF(A21="","",IF(OR(D21="",D21=0,O21=""),"",(D21-O21)/D21))</f>
        <v>0</v>
      </c>
      <c r="Q21" s="33">
        <f>IF(A21="","",IF(OR(E21="",E21=0,O21=""),"",(E21-O21)/E21))</f>
        <v>0</v>
      </c>
      <c r="R21" s="33">
        <f>IF(A21="","",IF(OR(P21="",Q21=""),"",Q21-P21))</f>
        <v>0</v>
      </c>
      <c r="S21" s="33">
        <f>IF(A21="","",IF(OR(I21="",I21=0,J21=""),"",J21/I21-1))</f>
        <v>0</v>
      </c>
      <c r="T21" s="33">
        <f>IF(A21="","",IF(OR(S21="",N21=""),"",(1+N21)*(1+S21)-1))</f>
        <v>0</v>
      </c>
      <c r="U21" s="32">
        <f>IF(B21="","",COUNTIFS($B$5:B21,B21))</f>
        <v>0</v>
      </c>
      <c r="V21" s="32">
        <f>IF(A21="","",TodayDate-A21)</f>
        <v>0</v>
      </c>
      <c r="W21" s="43">
        <f>IF(A21="","",IF(M21="","Add - old and new price",IF(Q21&lt;0,"Loss - priced below cost",IF(T21="","Watch - no volume data yet",IF(T21&gt;0.02,"Worked - revenue up",IF(T21&lt;-0.02,"Hurt - revenue down","Neutral - no real change"))))))</f>
        <v>0</v>
      </c>
    </row>
    <row r="22" spans="1:23">
      <c r="C22" s="13">
        <f>IF(B22="","",IFERROR(INDEX(Products!$B$5:$B$304,MATCH(B22,Products!$A$5:$A$304,0)),"Not found"))</f>
        <v>0</v>
      </c>
      <c r="L22" s="13">
        <f>IF(A22="","",TEXT(A22,"yyyy-mm"))</f>
        <v>0</v>
      </c>
      <c r="M22" s="20">
        <f>IF(A22="","",IF(OR(D22="",E22=""),"",ROUND(E22-D22,2)))</f>
        <v>0</v>
      </c>
      <c r="N22" s="33">
        <f>IF(A22="","",IF(OR(D22="",D22=0,E22=""),"",E22/D22-1))</f>
        <v>0</v>
      </c>
      <c r="O22" s="20">
        <f>IF(A22="","",IF(F22&lt;&gt;"",F22,IFERROR(INDEX(Products!$AT$5:$AT$304,MATCH(B22,Products!$A$5:$A$304,0)),"")))</f>
        <v>0</v>
      </c>
      <c r="P22" s="33">
        <f>IF(A22="","",IF(OR(D22="",D22=0,O22=""),"",(D22-O22)/D22))</f>
        <v>0</v>
      </c>
      <c r="Q22" s="33">
        <f>IF(A22="","",IF(OR(E22="",E22=0,O22=""),"",(E22-O22)/E22))</f>
        <v>0</v>
      </c>
      <c r="R22" s="33">
        <f>IF(A22="","",IF(OR(P22="",Q22=""),"",Q22-P22))</f>
        <v>0</v>
      </c>
      <c r="S22" s="33">
        <f>IF(A22="","",IF(OR(I22="",I22=0,J22=""),"",J22/I22-1))</f>
        <v>0</v>
      </c>
      <c r="T22" s="33">
        <f>IF(A22="","",IF(OR(S22="",N22=""),"",(1+N22)*(1+S22)-1))</f>
        <v>0</v>
      </c>
      <c r="U22" s="32">
        <f>IF(B22="","",COUNTIFS($B$5:B22,B22))</f>
        <v>0</v>
      </c>
      <c r="V22" s="32">
        <f>IF(A22="","",TodayDate-A22)</f>
        <v>0</v>
      </c>
      <c r="W22" s="43">
        <f>IF(A22="","",IF(M22="","Add - old and new price",IF(Q22&lt;0,"Loss - priced below cost",IF(T22="","Watch - no volume data yet",IF(T22&gt;0.02,"Worked - revenue up",IF(T22&lt;-0.02,"Hurt - revenue down","Neutral - no real change"))))))</f>
        <v>0</v>
      </c>
    </row>
    <row r="23" spans="1:23">
      <c r="C23" s="13">
        <f>IF(B23="","",IFERROR(INDEX(Products!$B$5:$B$304,MATCH(B23,Products!$A$5:$A$304,0)),"Not found"))</f>
        <v>0</v>
      </c>
      <c r="L23" s="13">
        <f>IF(A23="","",TEXT(A23,"yyyy-mm"))</f>
        <v>0</v>
      </c>
      <c r="M23" s="20">
        <f>IF(A23="","",IF(OR(D23="",E23=""),"",ROUND(E23-D23,2)))</f>
        <v>0</v>
      </c>
      <c r="N23" s="33">
        <f>IF(A23="","",IF(OR(D23="",D23=0,E23=""),"",E23/D23-1))</f>
        <v>0</v>
      </c>
      <c r="O23" s="20">
        <f>IF(A23="","",IF(F23&lt;&gt;"",F23,IFERROR(INDEX(Products!$AT$5:$AT$304,MATCH(B23,Products!$A$5:$A$304,0)),"")))</f>
        <v>0</v>
      </c>
      <c r="P23" s="33">
        <f>IF(A23="","",IF(OR(D23="",D23=0,O23=""),"",(D23-O23)/D23))</f>
        <v>0</v>
      </c>
      <c r="Q23" s="33">
        <f>IF(A23="","",IF(OR(E23="",E23=0,O23=""),"",(E23-O23)/E23))</f>
        <v>0</v>
      </c>
      <c r="R23" s="33">
        <f>IF(A23="","",IF(OR(P23="",Q23=""),"",Q23-P23))</f>
        <v>0</v>
      </c>
      <c r="S23" s="33">
        <f>IF(A23="","",IF(OR(I23="",I23=0,J23=""),"",J23/I23-1))</f>
        <v>0</v>
      </c>
      <c r="T23" s="33">
        <f>IF(A23="","",IF(OR(S23="",N23=""),"",(1+N23)*(1+S23)-1))</f>
        <v>0</v>
      </c>
      <c r="U23" s="32">
        <f>IF(B23="","",COUNTIFS($B$5:B23,B23))</f>
        <v>0</v>
      </c>
      <c r="V23" s="32">
        <f>IF(A23="","",TodayDate-A23)</f>
        <v>0</v>
      </c>
      <c r="W23" s="43">
        <f>IF(A23="","",IF(M23="","Add - old and new price",IF(Q23&lt;0,"Loss - priced below cost",IF(T23="","Watch - no volume data yet",IF(T23&gt;0.02,"Worked - revenue up",IF(T23&lt;-0.02,"Hurt - revenue down","Neutral - no real change"))))))</f>
        <v>0</v>
      </c>
    </row>
    <row r="24" spans="1:23">
      <c r="C24" s="13">
        <f>IF(B24="","",IFERROR(INDEX(Products!$B$5:$B$304,MATCH(B24,Products!$A$5:$A$304,0)),"Not found"))</f>
        <v>0</v>
      </c>
      <c r="L24" s="13">
        <f>IF(A24="","",TEXT(A24,"yyyy-mm"))</f>
        <v>0</v>
      </c>
      <c r="M24" s="20">
        <f>IF(A24="","",IF(OR(D24="",E24=""),"",ROUND(E24-D24,2)))</f>
        <v>0</v>
      </c>
      <c r="N24" s="33">
        <f>IF(A24="","",IF(OR(D24="",D24=0,E24=""),"",E24/D24-1))</f>
        <v>0</v>
      </c>
      <c r="O24" s="20">
        <f>IF(A24="","",IF(F24&lt;&gt;"",F24,IFERROR(INDEX(Products!$AT$5:$AT$304,MATCH(B24,Products!$A$5:$A$304,0)),"")))</f>
        <v>0</v>
      </c>
      <c r="P24" s="33">
        <f>IF(A24="","",IF(OR(D24="",D24=0,O24=""),"",(D24-O24)/D24))</f>
        <v>0</v>
      </c>
      <c r="Q24" s="33">
        <f>IF(A24="","",IF(OR(E24="",E24=0,O24=""),"",(E24-O24)/E24))</f>
        <v>0</v>
      </c>
      <c r="R24" s="33">
        <f>IF(A24="","",IF(OR(P24="",Q24=""),"",Q24-P24))</f>
        <v>0</v>
      </c>
      <c r="S24" s="33">
        <f>IF(A24="","",IF(OR(I24="",I24=0,J24=""),"",J24/I24-1))</f>
        <v>0</v>
      </c>
      <c r="T24" s="33">
        <f>IF(A24="","",IF(OR(S24="",N24=""),"",(1+N24)*(1+S24)-1))</f>
        <v>0</v>
      </c>
      <c r="U24" s="32">
        <f>IF(B24="","",COUNTIFS($B$5:B24,B24))</f>
        <v>0</v>
      </c>
      <c r="V24" s="32">
        <f>IF(A24="","",TodayDate-A24)</f>
        <v>0</v>
      </c>
      <c r="W24" s="43">
        <f>IF(A24="","",IF(M24="","Add - old and new price",IF(Q24&lt;0,"Loss - priced below cost",IF(T24="","Watch - no volume data yet",IF(T24&gt;0.02,"Worked - revenue up",IF(T24&lt;-0.02,"Hurt - revenue down","Neutral - no real change"))))))</f>
        <v>0</v>
      </c>
    </row>
    <row r="25" spans="1:23">
      <c r="C25" s="13">
        <f>IF(B25="","",IFERROR(INDEX(Products!$B$5:$B$304,MATCH(B25,Products!$A$5:$A$304,0)),"Not found"))</f>
        <v>0</v>
      </c>
      <c r="L25" s="13">
        <f>IF(A25="","",TEXT(A25,"yyyy-mm"))</f>
        <v>0</v>
      </c>
      <c r="M25" s="20">
        <f>IF(A25="","",IF(OR(D25="",E25=""),"",ROUND(E25-D25,2)))</f>
        <v>0</v>
      </c>
      <c r="N25" s="33">
        <f>IF(A25="","",IF(OR(D25="",D25=0,E25=""),"",E25/D25-1))</f>
        <v>0</v>
      </c>
      <c r="O25" s="20">
        <f>IF(A25="","",IF(F25&lt;&gt;"",F25,IFERROR(INDEX(Products!$AT$5:$AT$304,MATCH(B25,Products!$A$5:$A$304,0)),"")))</f>
        <v>0</v>
      </c>
      <c r="P25" s="33">
        <f>IF(A25="","",IF(OR(D25="",D25=0,O25=""),"",(D25-O25)/D25))</f>
        <v>0</v>
      </c>
      <c r="Q25" s="33">
        <f>IF(A25="","",IF(OR(E25="",E25=0,O25=""),"",(E25-O25)/E25))</f>
        <v>0</v>
      </c>
      <c r="R25" s="33">
        <f>IF(A25="","",IF(OR(P25="",Q25=""),"",Q25-P25))</f>
        <v>0</v>
      </c>
      <c r="S25" s="33">
        <f>IF(A25="","",IF(OR(I25="",I25=0,J25=""),"",J25/I25-1))</f>
        <v>0</v>
      </c>
      <c r="T25" s="33">
        <f>IF(A25="","",IF(OR(S25="",N25=""),"",(1+N25)*(1+S25)-1))</f>
        <v>0</v>
      </c>
      <c r="U25" s="32">
        <f>IF(B25="","",COUNTIFS($B$5:B25,B25))</f>
        <v>0</v>
      </c>
      <c r="V25" s="32">
        <f>IF(A25="","",TodayDate-A25)</f>
        <v>0</v>
      </c>
      <c r="W25" s="43">
        <f>IF(A25="","",IF(M25="","Add - old and new price",IF(Q25&lt;0,"Loss - priced below cost",IF(T25="","Watch - no volume data yet",IF(T25&gt;0.02,"Worked - revenue up",IF(T25&lt;-0.02,"Hurt - revenue down","Neutral - no real change"))))))</f>
        <v>0</v>
      </c>
    </row>
    <row r="26" spans="1:23">
      <c r="C26" s="13">
        <f>IF(B26="","",IFERROR(INDEX(Products!$B$5:$B$304,MATCH(B26,Products!$A$5:$A$304,0)),"Not found"))</f>
        <v>0</v>
      </c>
      <c r="L26" s="13">
        <f>IF(A26="","",TEXT(A26,"yyyy-mm"))</f>
        <v>0</v>
      </c>
      <c r="M26" s="20">
        <f>IF(A26="","",IF(OR(D26="",E26=""),"",ROUND(E26-D26,2)))</f>
        <v>0</v>
      </c>
      <c r="N26" s="33">
        <f>IF(A26="","",IF(OR(D26="",D26=0,E26=""),"",E26/D26-1))</f>
        <v>0</v>
      </c>
      <c r="O26" s="20">
        <f>IF(A26="","",IF(F26&lt;&gt;"",F26,IFERROR(INDEX(Products!$AT$5:$AT$304,MATCH(B26,Products!$A$5:$A$304,0)),"")))</f>
        <v>0</v>
      </c>
      <c r="P26" s="33">
        <f>IF(A26="","",IF(OR(D26="",D26=0,O26=""),"",(D26-O26)/D26))</f>
        <v>0</v>
      </c>
      <c r="Q26" s="33">
        <f>IF(A26="","",IF(OR(E26="",E26=0,O26=""),"",(E26-O26)/E26))</f>
        <v>0</v>
      </c>
      <c r="R26" s="33">
        <f>IF(A26="","",IF(OR(P26="",Q26=""),"",Q26-P26))</f>
        <v>0</v>
      </c>
      <c r="S26" s="33">
        <f>IF(A26="","",IF(OR(I26="",I26=0,J26=""),"",J26/I26-1))</f>
        <v>0</v>
      </c>
      <c r="T26" s="33">
        <f>IF(A26="","",IF(OR(S26="",N26=""),"",(1+N26)*(1+S26)-1))</f>
        <v>0</v>
      </c>
      <c r="U26" s="32">
        <f>IF(B26="","",COUNTIFS($B$5:B26,B26))</f>
        <v>0</v>
      </c>
      <c r="V26" s="32">
        <f>IF(A26="","",TodayDate-A26)</f>
        <v>0</v>
      </c>
      <c r="W26" s="43">
        <f>IF(A26="","",IF(M26="","Add - old and new price",IF(Q26&lt;0,"Loss - priced below cost",IF(T26="","Watch - no volume data yet",IF(T26&gt;0.02,"Worked - revenue up",IF(T26&lt;-0.02,"Hurt - revenue down","Neutral - no real change"))))))</f>
        <v>0</v>
      </c>
    </row>
    <row r="27" spans="1:23">
      <c r="C27" s="13">
        <f>IF(B27="","",IFERROR(INDEX(Products!$B$5:$B$304,MATCH(B27,Products!$A$5:$A$304,0)),"Not found"))</f>
        <v>0</v>
      </c>
      <c r="L27" s="13">
        <f>IF(A27="","",TEXT(A27,"yyyy-mm"))</f>
        <v>0</v>
      </c>
      <c r="M27" s="20">
        <f>IF(A27="","",IF(OR(D27="",E27=""),"",ROUND(E27-D27,2)))</f>
        <v>0</v>
      </c>
      <c r="N27" s="33">
        <f>IF(A27="","",IF(OR(D27="",D27=0,E27=""),"",E27/D27-1))</f>
        <v>0</v>
      </c>
      <c r="O27" s="20">
        <f>IF(A27="","",IF(F27&lt;&gt;"",F27,IFERROR(INDEX(Products!$AT$5:$AT$304,MATCH(B27,Products!$A$5:$A$304,0)),"")))</f>
        <v>0</v>
      </c>
      <c r="P27" s="33">
        <f>IF(A27="","",IF(OR(D27="",D27=0,O27=""),"",(D27-O27)/D27))</f>
        <v>0</v>
      </c>
      <c r="Q27" s="33">
        <f>IF(A27="","",IF(OR(E27="",E27=0,O27=""),"",(E27-O27)/E27))</f>
        <v>0</v>
      </c>
      <c r="R27" s="33">
        <f>IF(A27="","",IF(OR(P27="",Q27=""),"",Q27-P27))</f>
        <v>0</v>
      </c>
      <c r="S27" s="33">
        <f>IF(A27="","",IF(OR(I27="",I27=0,J27=""),"",J27/I27-1))</f>
        <v>0</v>
      </c>
      <c r="T27" s="33">
        <f>IF(A27="","",IF(OR(S27="",N27=""),"",(1+N27)*(1+S27)-1))</f>
        <v>0</v>
      </c>
      <c r="U27" s="32">
        <f>IF(B27="","",COUNTIFS($B$5:B27,B27))</f>
        <v>0</v>
      </c>
      <c r="V27" s="32">
        <f>IF(A27="","",TodayDate-A27)</f>
        <v>0</v>
      </c>
      <c r="W27" s="43">
        <f>IF(A27="","",IF(M27="","Add - old and new price",IF(Q27&lt;0,"Loss - priced below cost",IF(T27="","Watch - no volume data yet",IF(T27&gt;0.02,"Worked - revenue up",IF(T27&lt;-0.02,"Hurt - revenue down","Neutral - no real change"))))))</f>
        <v>0</v>
      </c>
    </row>
    <row r="28" spans="1:23">
      <c r="C28" s="13">
        <f>IF(B28="","",IFERROR(INDEX(Products!$B$5:$B$304,MATCH(B28,Products!$A$5:$A$304,0)),"Not found"))</f>
        <v>0</v>
      </c>
      <c r="L28" s="13">
        <f>IF(A28="","",TEXT(A28,"yyyy-mm"))</f>
        <v>0</v>
      </c>
      <c r="M28" s="20">
        <f>IF(A28="","",IF(OR(D28="",E28=""),"",ROUND(E28-D28,2)))</f>
        <v>0</v>
      </c>
      <c r="N28" s="33">
        <f>IF(A28="","",IF(OR(D28="",D28=0,E28=""),"",E28/D28-1))</f>
        <v>0</v>
      </c>
      <c r="O28" s="20">
        <f>IF(A28="","",IF(F28&lt;&gt;"",F28,IFERROR(INDEX(Products!$AT$5:$AT$304,MATCH(B28,Products!$A$5:$A$304,0)),"")))</f>
        <v>0</v>
      </c>
      <c r="P28" s="33">
        <f>IF(A28="","",IF(OR(D28="",D28=0,O28=""),"",(D28-O28)/D28))</f>
        <v>0</v>
      </c>
      <c r="Q28" s="33">
        <f>IF(A28="","",IF(OR(E28="",E28=0,O28=""),"",(E28-O28)/E28))</f>
        <v>0</v>
      </c>
      <c r="R28" s="33">
        <f>IF(A28="","",IF(OR(P28="",Q28=""),"",Q28-P28))</f>
        <v>0</v>
      </c>
      <c r="S28" s="33">
        <f>IF(A28="","",IF(OR(I28="",I28=0,J28=""),"",J28/I28-1))</f>
        <v>0</v>
      </c>
      <c r="T28" s="33">
        <f>IF(A28="","",IF(OR(S28="",N28=""),"",(1+N28)*(1+S28)-1))</f>
        <v>0</v>
      </c>
      <c r="U28" s="32">
        <f>IF(B28="","",COUNTIFS($B$5:B28,B28))</f>
        <v>0</v>
      </c>
      <c r="V28" s="32">
        <f>IF(A28="","",TodayDate-A28)</f>
        <v>0</v>
      </c>
      <c r="W28" s="43">
        <f>IF(A28="","",IF(M28="","Add - old and new price",IF(Q28&lt;0,"Loss - priced below cost",IF(T28="","Watch - no volume data yet",IF(T28&gt;0.02,"Worked - revenue up",IF(T28&lt;-0.02,"Hurt - revenue down","Neutral - no real change"))))))</f>
        <v>0</v>
      </c>
    </row>
    <row r="29" spans="1:23">
      <c r="C29" s="13">
        <f>IF(B29="","",IFERROR(INDEX(Products!$B$5:$B$304,MATCH(B29,Products!$A$5:$A$304,0)),"Not found"))</f>
        <v>0</v>
      </c>
      <c r="L29" s="13">
        <f>IF(A29="","",TEXT(A29,"yyyy-mm"))</f>
        <v>0</v>
      </c>
      <c r="M29" s="20">
        <f>IF(A29="","",IF(OR(D29="",E29=""),"",ROUND(E29-D29,2)))</f>
        <v>0</v>
      </c>
      <c r="N29" s="33">
        <f>IF(A29="","",IF(OR(D29="",D29=0,E29=""),"",E29/D29-1))</f>
        <v>0</v>
      </c>
      <c r="O29" s="20">
        <f>IF(A29="","",IF(F29&lt;&gt;"",F29,IFERROR(INDEX(Products!$AT$5:$AT$304,MATCH(B29,Products!$A$5:$A$304,0)),"")))</f>
        <v>0</v>
      </c>
      <c r="P29" s="33">
        <f>IF(A29="","",IF(OR(D29="",D29=0,O29=""),"",(D29-O29)/D29))</f>
        <v>0</v>
      </c>
      <c r="Q29" s="33">
        <f>IF(A29="","",IF(OR(E29="",E29=0,O29=""),"",(E29-O29)/E29))</f>
        <v>0</v>
      </c>
      <c r="R29" s="33">
        <f>IF(A29="","",IF(OR(P29="",Q29=""),"",Q29-P29))</f>
        <v>0</v>
      </c>
      <c r="S29" s="33">
        <f>IF(A29="","",IF(OR(I29="",I29=0,J29=""),"",J29/I29-1))</f>
        <v>0</v>
      </c>
      <c r="T29" s="33">
        <f>IF(A29="","",IF(OR(S29="",N29=""),"",(1+N29)*(1+S29)-1))</f>
        <v>0</v>
      </c>
      <c r="U29" s="32">
        <f>IF(B29="","",COUNTIFS($B$5:B29,B29))</f>
        <v>0</v>
      </c>
      <c r="V29" s="32">
        <f>IF(A29="","",TodayDate-A29)</f>
        <v>0</v>
      </c>
      <c r="W29" s="43">
        <f>IF(A29="","",IF(M29="","Add - old and new price",IF(Q29&lt;0,"Loss - priced below cost",IF(T29="","Watch - no volume data yet",IF(T29&gt;0.02,"Worked - revenue up",IF(T29&lt;-0.02,"Hurt - revenue down","Neutral - no real change"))))))</f>
        <v>0</v>
      </c>
    </row>
    <row r="30" spans="1:23">
      <c r="C30" s="13">
        <f>IF(B30="","",IFERROR(INDEX(Products!$B$5:$B$304,MATCH(B30,Products!$A$5:$A$304,0)),"Not found"))</f>
        <v>0</v>
      </c>
      <c r="L30" s="13">
        <f>IF(A30="","",TEXT(A30,"yyyy-mm"))</f>
        <v>0</v>
      </c>
      <c r="M30" s="20">
        <f>IF(A30="","",IF(OR(D30="",E30=""),"",ROUND(E30-D30,2)))</f>
        <v>0</v>
      </c>
      <c r="N30" s="33">
        <f>IF(A30="","",IF(OR(D30="",D30=0,E30=""),"",E30/D30-1))</f>
        <v>0</v>
      </c>
      <c r="O30" s="20">
        <f>IF(A30="","",IF(F30&lt;&gt;"",F30,IFERROR(INDEX(Products!$AT$5:$AT$304,MATCH(B30,Products!$A$5:$A$304,0)),"")))</f>
        <v>0</v>
      </c>
      <c r="P30" s="33">
        <f>IF(A30="","",IF(OR(D30="",D30=0,O30=""),"",(D30-O30)/D30))</f>
        <v>0</v>
      </c>
      <c r="Q30" s="33">
        <f>IF(A30="","",IF(OR(E30="",E30=0,O30=""),"",(E30-O30)/E30))</f>
        <v>0</v>
      </c>
      <c r="R30" s="33">
        <f>IF(A30="","",IF(OR(P30="",Q30=""),"",Q30-P30))</f>
        <v>0</v>
      </c>
      <c r="S30" s="33">
        <f>IF(A30="","",IF(OR(I30="",I30=0,J30=""),"",J30/I30-1))</f>
        <v>0</v>
      </c>
      <c r="T30" s="33">
        <f>IF(A30="","",IF(OR(S30="",N30=""),"",(1+N30)*(1+S30)-1))</f>
        <v>0</v>
      </c>
      <c r="U30" s="32">
        <f>IF(B30="","",COUNTIFS($B$5:B30,B30))</f>
        <v>0</v>
      </c>
      <c r="V30" s="32">
        <f>IF(A30="","",TodayDate-A30)</f>
        <v>0</v>
      </c>
      <c r="W30" s="43">
        <f>IF(A30="","",IF(M30="","Add - old and new price",IF(Q30&lt;0,"Loss - priced below cost",IF(T30="","Watch - no volume data yet",IF(T30&gt;0.02,"Worked - revenue up",IF(T30&lt;-0.02,"Hurt - revenue down","Neutral - no real change"))))))</f>
        <v>0</v>
      </c>
    </row>
    <row r="31" spans="1:23">
      <c r="C31" s="13">
        <f>IF(B31="","",IFERROR(INDEX(Products!$B$5:$B$304,MATCH(B31,Products!$A$5:$A$304,0)),"Not found"))</f>
        <v>0</v>
      </c>
      <c r="L31" s="13">
        <f>IF(A31="","",TEXT(A31,"yyyy-mm"))</f>
        <v>0</v>
      </c>
      <c r="M31" s="20">
        <f>IF(A31="","",IF(OR(D31="",E31=""),"",ROUND(E31-D31,2)))</f>
        <v>0</v>
      </c>
      <c r="N31" s="33">
        <f>IF(A31="","",IF(OR(D31="",D31=0,E31=""),"",E31/D31-1))</f>
        <v>0</v>
      </c>
      <c r="O31" s="20">
        <f>IF(A31="","",IF(F31&lt;&gt;"",F31,IFERROR(INDEX(Products!$AT$5:$AT$304,MATCH(B31,Products!$A$5:$A$304,0)),"")))</f>
        <v>0</v>
      </c>
      <c r="P31" s="33">
        <f>IF(A31="","",IF(OR(D31="",D31=0,O31=""),"",(D31-O31)/D31))</f>
        <v>0</v>
      </c>
      <c r="Q31" s="33">
        <f>IF(A31="","",IF(OR(E31="",E31=0,O31=""),"",(E31-O31)/E31))</f>
        <v>0</v>
      </c>
      <c r="R31" s="33">
        <f>IF(A31="","",IF(OR(P31="",Q31=""),"",Q31-P31))</f>
        <v>0</v>
      </c>
      <c r="S31" s="33">
        <f>IF(A31="","",IF(OR(I31="",I31=0,J31=""),"",J31/I31-1))</f>
        <v>0</v>
      </c>
      <c r="T31" s="33">
        <f>IF(A31="","",IF(OR(S31="",N31=""),"",(1+N31)*(1+S31)-1))</f>
        <v>0</v>
      </c>
      <c r="U31" s="32">
        <f>IF(B31="","",COUNTIFS($B$5:B31,B31))</f>
        <v>0</v>
      </c>
      <c r="V31" s="32">
        <f>IF(A31="","",TodayDate-A31)</f>
        <v>0</v>
      </c>
      <c r="W31" s="43">
        <f>IF(A31="","",IF(M31="","Add - old and new price",IF(Q31&lt;0,"Loss - priced below cost",IF(T31="","Watch - no volume data yet",IF(T31&gt;0.02,"Worked - revenue up",IF(T31&lt;-0.02,"Hurt - revenue down","Neutral - no real change"))))))</f>
        <v>0</v>
      </c>
    </row>
    <row r="32" spans="1:23">
      <c r="C32" s="13">
        <f>IF(B32="","",IFERROR(INDEX(Products!$B$5:$B$304,MATCH(B32,Products!$A$5:$A$304,0)),"Not found"))</f>
        <v>0</v>
      </c>
      <c r="L32" s="13">
        <f>IF(A32="","",TEXT(A32,"yyyy-mm"))</f>
        <v>0</v>
      </c>
      <c r="M32" s="20">
        <f>IF(A32="","",IF(OR(D32="",E32=""),"",ROUND(E32-D32,2)))</f>
        <v>0</v>
      </c>
      <c r="N32" s="33">
        <f>IF(A32="","",IF(OR(D32="",D32=0,E32=""),"",E32/D32-1))</f>
        <v>0</v>
      </c>
      <c r="O32" s="20">
        <f>IF(A32="","",IF(F32&lt;&gt;"",F32,IFERROR(INDEX(Products!$AT$5:$AT$304,MATCH(B32,Products!$A$5:$A$304,0)),"")))</f>
        <v>0</v>
      </c>
      <c r="P32" s="33">
        <f>IF(A32="","",IF(OR(D32="",D32=0,O32=""),"",(D32-O32)/D32))</f>
        <v>0</v>
      </c>
      <c r="Q32" s="33">
        <f>IF(A32="","",IF(OR(E32="",E32=0,O32=""),"",(E32-O32)/E32))</f>
        <v>0</v>
      </c>
      <c r="R32" s="33">
        <f>IF(A32="","",IF(OR(P32="",Q32=""),"",Q32-P32))</f>
        <v>0</v>
      </c>
      <c r="S32" s="33">
        <f>IF(A32="","",IF(OR(I32="",I32=0,J32=""),"",J32/I32-1))</f>
        <v>0</v>
      </c>
      <c r="T32" s="33">
        <f>IF(A32="","",IF(OR(S32="",N32=""),"",(1+N32)*(1+S32)-1))</f>
        <v>0</v>
      </c>
      <c r="U32" s="32">
        <f>IF(B32="","",COUNTIFS($B$5:B32,B32))</f>
        <v>0</v>
      </c>
      <c r="V32" s="32">
        <f>IF(A32="","",TodayDate-A32)</f>
        <v>0</v>
      </c>
      <c r="W32" s="43">
        <f>IF(A32="","",IF(M32="","Add - old and new price",IF(Q32&lt;0,"Loss - priced below cost",IF(T32="","Watch - no volume data yet",IF(T32&gt;0.02,"Worked - revenue up",IF(T32&lt;-0.02,"Hurt - revenue down","Neutral - no real change"))))))</f>
        <v>0</v>
      </c>
    </row>
    <row r="33" spans="3:23">
      <c r="C33" s="13">
        <f>IF(B33="","",IFERROR(INDEX(Products!$B$5:$B$304,MATCH(B33,Products!$A$5:$A$304,0)),"Not found"))</f>
        <v>0</v>
      </c>
      <c r="L33" s="13">
        <f>IF(A33="","",TEXT(A33,"yyyy-mm"))</f>
        <v>0</v>
      </c>
      <c r="M33" s="20">
        <f>IF(A33="","",IF(OR(D33="",E33=""),"",ROUND(E33-D33,2)))</f>
        <v>0</v>
      </c>
      <c r="N33" s="33">
        <f>IF(A33="","",IF(OR(D33="",D33=0,E33=""),"",E33/D33-1))</f>
        <v>0</v>
      </c>
      <c r="O33" s="20">
        <f>IF(A33="","",IF(F33&lt;&gt;"",F33,IFERROR(INDEX(Products!$AT$5:$AT$304,MATCH(B33,Products!$A$5:$A$304,0)),"")))</f>
        <v>0</v>
      </c>
      <c r="P33" s="33">
        <f>IF(A33="","",IF(OR(D33="",D33=0,O33=""),"",(D33-O33)/D33))</f>
        <v>0</v>
      </c>
      <c r="Q33" s="33">
        <f>IF(A33="","",IF(OR(E33="",E33=0,O33=""),"",(E33-O33)/E33))</f>
        <v>0</v>
      </c>
      <c r="R33" s="33">
        <f>IF(A33="","",IF(OR(P33="",Q33=""),"",Q33-P33))</f>
        <v>0</v>
      </c>
      <c r="S33" s="33">
        <f>IF(A33="","",IF(OR(I33="",I33=0,J33=""),"",J33/I33-1))</f>
        <v>0</v>
      </c>
      <c r="T33" s="33">
        <f>IF(A33="","",IF(OR(S33="",N33=""),"",(1+N33)*(1+S33)-1))</f>
        <v>0</v>
      </c>
      <c r="U33" s="32">
        <f>IF(B33="","",COUNTIFS($B$5:B33,B33))</f>
        <v>0</v>
      </c>
      <c r="V33" s="32">
        <f>IF(A33="","",TodayDate-A33)</f>
        <v>0</v>
      </c>
      <c r="W33" s="43">
        <f>IF(A33="","",IF(M33="","Add - old and new price",IF(Q33&lt;0,"Loss - priced below cost",IF(T33="","Watch - no volume data yet",IF(T33&gt;0.02,"Worked - revenue up",IF(T33&lt;-0.02,"Hurt - revenue down","Neutral - no real change"))))))</f>
        <v>0</v>
      </c>
    </row>
    <row r="34" spans="3:23">
      <c r="C34" s="13">
        <f>IF(B34="","",IFERROR(INDEX(Products!$B$5:$B$304,MATCH(B34,Products!$A$5:$A$304,0)),"Not found"))</f>
        <v>0</v>
      </c>
      <c r="L34" s="13">
        <f>IF(A34="","",TEXT(A34,"yyyy-mm"))</f>
        <v>0</v>
      </c>
      <c r="M34" s="20">
        <f>IF(A34="","",IF(OR(D34="",E34=""),"",ROUND(E34-D34,2)))</f>
        <v>0</v>
      </c>
      <c r="N34" s="33">
        <f>IF(A34="","",IF(OR(D34="",D34=0,E34=""),"",E34/D34-1))</f>
        <v>0</v>
      </c>
      <c r="O34" s="20">
        <f>IF(A34="","",IF(F34&lt;&gt;"",F34,IFERROR(INDEX(Products!$AT$5:$AT$304,MATCH(B34,Products!$A$5:$A$304,0)),"")))</f>
        <v>0</v>
      </c>
      <c r="P34" s="33">
        <f>IF(A34="","",IF(OR(D34="",D34=0,O34=""),"",(D34-O34)/D34))</f>
        <v>0</v>
      </c>
      <c r="Q34" s="33">
        <f>IF(A34="","",IF(OR(E34="",E34=0,O34=""),"",(E34-O34)/E34))</f>
        <v>0</v>
      </c>
      <c r="R34" s="33">
        <f>IF(A34="","",IF(OR(P34="",Q34=""),"",Q34-P34))</f>
        <v>0</v>
      </c>
      <c r="S34" s="33">
        <f>IF(A34="","",IF(OR(I34="",I34=0,J34=""),"",J34/I34-1))</f>
        <v>0</v>
      </c>
      <c r="T34" s="33">
        <f>IF(A34="","",IF(OR(S34="",N34=""),"",(1+N34)*(1+S34)-1))</f>
        <v>0</v>
      </c>
      <c r="U34" s="32">
        <f>IF(B34="","",COUNTIFS($B$5:B34,B34))</f>
        <v>0</v>
      </c>
      <c r="V34" s="32">
        <f>IF(A34="","",TodayDate-A34)</f>
        <v>0</v>
      </c>
      <c r="W34" s="43">
        <f>IF(A34="","",IF(M34="","Add - old and new price",IF(Q34&lt;0,"Loss - priced below cost",IF(T34="","Watch - no volume data yet",IF(T34&gt;0.02,"Worked - revenue up",IF(T34&lt;-0.02,"Hurt - revenue down","Neutral - no real change"))))))</f>
        <v>0</v>
      </c>
    </row>
    <row r="35" spans="3:23">
      <c r="C35" s="13">
        <f>IF(B35="","",IFERROR(INDEX(Products!$B$5:$B$304,MATCH(B35,Products!$A$5:$A$304,0)),"Not found"))</f>
        <v>0</v>
      </c>
      <c r="L35" s="13">
        <f>IF(A35="","",TEXT(A35,"yyyy-mm"))</f>
        <v>0</v>
      </c>
      <c r="M35" s="20">
        <f>IF(A35="","",IF(OR(D35="",E35=""),"",ROUND(E35-D35,2)))</f>
        <v>0</v>
      </c>
      <c r="N35" s="33">
        <f>IF(A35="","",IF(OR(D35="",D35=0,E35=""),"",E35/D35-1))</f>
        <v>0</v>
      </c>
      <c r="O35" s="20">
        <f>IF(A35="","",IF(F35&lt;&gt;"",F35,IFERROR(INDEX(Products!$AT$5:$AT$304,MATCH(B35,Products!$A$5:$A$304,0)),"")))</f>
        <v>0</v>
      </c>
      <c r="P35" s="33">
        <f>IF(A35="","",IF(OR(D35="",D35=0,O35=""),"",(D35-O35)/D35))</f>
        <v>0</v>
      </c>
      <c r="Q35" s="33">
        <f>IF(A35="","",IF(OR(E35="",E35=0,O35=""),"",(E35-O35)/E35))</f>
        <v>0</v>
      </c>
      <c r="R35" s="33">
        <f>IF(A35="","",IF(OR(P35="",Q35=""),"",Q35-P35))</f>
        <v>0</v>
      </c>
      <c r="S35" s="33">
        <f>IF(A35="","",IF(OR(I35="",I35=0,J35=""),"",J35/I35-1))</f>
        <v>0</v>
      </c>
      <c r="T35" s="33">
        <f>IF(A35="","",IF(OR(S35="",N35=""),"",(1+N35)*(1+S35)-1))</f>
        <v>0</v>
      </c>
      <c r="U35" s="32">
        <f>IF(B35="","",COUNTIFS($B$5:B35,B35))</f>
        <v>0</v>
      </c>
      <c r="V35" s="32">
        <f>IF(A35="","",TodayDate-A35)</f>
        <v>0</v>
      </c>
      <c r="W35" s="43">
        <f>IF(A35="","",IF(M35="","Add - old and new price",IF(Q35&lt;0,"Loss - priced below cost",IF(T35="","Watch - no volume data yet",IF(T35&gt;0.02,"Worked - revenue up",IF(T35&lt;-0.02,"Hurt - revenue down","Neutral - no real change"))))))</f>
        <v>0</v>
      </c>
    </row>
    <row r="36" spans="3:23">
      <c r="C36" s="13">
        <f>IF(B36="","",IFERROR(INDEX(Products!$B$5:$B$304,MATCH(B36,Products!$A$5:$A$304,0)),"Not found"))</f>
        <v>0</v>
      </c>
      <c r="L36" s="13">
        <f>IF(A36="","",TEXT(A36,"yyyy-mm"))</f>
        <v>0</v>
      </c>
      <c r="M36" s="20">
        <f>IF(A36="","",IF(OR(D36="",E36=""),"",ROUND(E36-D36,2)))</f>
        <v>0</v>
      </c>
      <c r="N36" s="33">
        <f>IF(A36="","",IF(OR(D36="",D36=0,E36=""),"",E36/D36-1))</f>
        <v>0</v>
      </c>
      <c r="O36" s="20">
        <f>IF(A36="","",IF(F36&lt;&gt;"",F36,IFERROR(INDEX(Products!$AT$5:$AT$304,MATCH(B36,Products!$A$5:$A$304,0)),"")))</f>
        <v>0</v>
      </c>
      <c r="P36" s="33">
        <f>IF(A36="","",IF(OR(D36="",D36=0,O36=""),"",(D36-O36)/D36))</f>
        <v>0</v>
      </c>
      <c r="Q36" s="33">
        <f>IF(A36="","",IF(OR(E36="",E36=0,O36=""),"",(E36-O36)/E36))</f>
        <v>0</v>
      </c>
      <c r="R36" s="33">
        <f>IF(A36="","",IF(OR(P36="",Q36=""),"",Q36-P36))</f>
        <v>0</v>
      </c>
      <c r="S36" s="33">
        <f>IF(A36="","",IF(OR(I36="",I36=0,J36=""),"",J36/I36-1))</f>
        <v>0</v>
      </c>
      <c r="T36" s="33">
        <f>IF(A36="","",IF(OR(S36="",N36=""),"",(1+N36)*(1+S36)-1))</f>
        <v>0</v>
      </c>
      <c r="U36" s="32">
        <f>IF(B36="","",COUNTIFS($B$5:B36,B36))</f>
        <v>0</v>
      </c>
      <c r="V36" s="32">
        <f>IF(A36="","",TodayDate-A36)</f>
        <v>0</v>
      </c>
      <c r="W36" s="43">
        <f>IF(A36="","",IF(M36="","Add - old and new price",IF(Q36&lt;0,"Loss - priced below cost",IF(T36="","Watch - no volume data yet",IF(T36&gt;0.02,"Worked - revenue up",IF(T36&lt;-0.02,"Hurt - revenue down","Neutral - no real change"))))))</f>
        <v>0</v>
      </c>
    </row>
    <row r="37" spans="3:23">
      <c r="C37" s="13">
        <f>IF(B37="","",IFERROR(INDEX(Products!$B$5:$B$304,MATCH(B37,Products!$A$5:$A$304,0)),"Not found"))</f>
        <v>0</v>
      </c>
      <c r="L37" s="13">
        <f>IF(A37="","",TEXT(A37,"yyyy-mm"))</f>
        <v>0</v>
      </c>
      <c r="M37" s="20">
        <f>IF(A37="","",IF(OR(D37="",E37=""),"",ROUND(E37-D37,2)))</f>
        <v>0</v>
      </c>
      <c r="N37" s="33">
        <f>IF(A37="","",IF(OR(D37="",D37=0,E37=""),"",E37/D37-1))</f>
        <v>0</v>
      </c>
      <c r="O37" s="20">
        <f>IF(A37="","",IF(F37&lt;&gt;"",F37,IFERROR(INDEX(Products!$AT$5:$AT$304,MATCH(B37,Products!$A$5:$A$304,0)),"")))</f>
        <v>0</v>
      </c>
      <c r="P37" s="33">
        <f>IF(A37="","",IF(OR(D37="",D37=0,O37=""),"",(D37-O37)/D37))</f>
        <v>0</v>
      </c>
      <c r="Q37" s="33">
        <f>IF(A37="","",IF(OR(E37="",E37=0,O37=""),"",(E37-O37)/E37))</f>
        <v>0</v>
      </c>
      <c r="R37" s="33">
        <f>IF(A37="","",IF(OR(P37="",Q37=""),"",Q37-P37))</f>
        <v>0</v>
      </c>
      <c r="S37" s="33">
        <f>IF(A37="","",IF(OR(I37="",I37=0,J37=""),"",J37/I37-1))</f>
        <v>0</v>
      </c>
      <c r="T37" s="33">
        <f>IF(A37="","",IF(OR(S37="",N37=""),"",(1+N37)*(1+S37)-1))</f>
        <v>0</v>
      </c>
      <c r="U37" s="32">
        <f>IF(B37="","",COUNTIFS($B$5:B37,B37))</f>
        <v>0</v>
      </c>
      <c r="V37" s="32">
        <f>IF(A37="","",TodayDate-A37)</f>
        <v>0</v>
      </c>
      <c r="W37" s="43">
        <f>IF(A37="","",IF(M37="","Add - old and new price",IF(Q37&lt;0,"Loss - priced below cost",IF(T37="","Watch - no volume data yet",IF(T37&gt;0.02,"Worked - revenue up",IF(T37&lt;-0.02,"Hurt - revenue down","Neutral - no real change"))))))</f>
        <v>0</v>
      </c>
    </row>
    <row r="38" spans="3:23">
      <c r="C38" s="13">
        <f>IF(B38="","",IFERROR(INDEX(Products!$B$5:$B$304,MATCH(B38,Products!$A$5:$A$304,0)),"Not found"))</f>
        <v>0</v>
      </c>
      <c r="L38" s="13">
        <f>IF(A38="","",TEXT(A38,"yyyy-mm"))</f>
        <v>0</v>
      </c>
      <c r="M38" s="20">
        <f>IF(A38="","",IF(OR(D38="",E38=""),"",ROUND(E38-D38,2)))</f>
        <v>0</v>
      </c>
      <c r="N38" s="33">
        <f>IF(A38="","",IF(OR(D38="",D38=0,E38=""),"",E38/D38-1))</f>
        <v>0</v>
      </c>
      <c r="O38" s="20">
        <f>IF(A38="","",IF(F38&lt;&gt;"",F38,IFERROR(INDEX(Products!$AT$5:$AT$304,MATCH(B38,Products!$A$5:$A$304,0)),"")))</f>
        <v>0</v>
      </c>
      <c r="P38" s="33">
        <f>IF(A38="","",IF(OR(D38="",D38=0,O38=""),"",(D38-O38)/D38))</f>
        <v>0</v>
      </c>
      <c r="Q38" s="33">
        <f>IF(A38="","",IF(OR(E38="",E38=0,O38=""),"",(E38-O38)/E38))</f>
        <v>0</v>
      </c>
      <c r="R38" s="33">
        <f>IF(A38="","",IF(OR(P38="",Q38=""),"",Q38-P38))</f>
        <v>0</v>
      </c>
      <c r="S38" s="33">
        <f>IF(A38="","",IF(OR(I38="",I38=0,J38=""),"",J38/I38-1))</f>
        <v>0</v>
      </c>
      <c r="T38" s="33">
        <f>IF(A38="","",IF(OR(S38="",N38=""),"",(1+N38)*(1+S38)-1))</f>
        <v>0</v>
      </c>
      <c r="U38" s="32">
        <f>IF(B38="","",COUNTIFS($B$5:B38,B38))</f>
        <v>0</v>
      </c>
      <c r="V38" s="32">
        <f>IF(A38="","",TodayDate-A38)</f>
        <v>0</v>
      </c>
      <c r="W38" s="43">
        <f>IF(A38="","",IF(M38="","Add - old and new price",IF(Q38&lt;0,"Loss - priced below cost",IF(T38="","Watch - no volume data yet",IF(T38&gt;0.02,"Worked - revenue up",IF(T38&lt;-0.02,"Hurt - revenue down","Neutral - no real change"))))))</f>
        <v>0</v>
      </c>
    </row>
    <row r="39" spans="3:23">
      <c r="C39" s="13">
        <f>IF(B39="","",IFERROR(INDEX(Products!$B$5:$B$304,MATCH(B39,Products!$A$5:$A$304,0)),"Not found"))</f>
        <v>0</v>
      </c>
      <c r="L39" s="13">
        <f>IF(A39="","",TEXT(A39,"yyyy-mm"))</f>
        <v>0</v>
      </c>
      <c r="M39" s="20">
        <f>IF(A39="","",IF(OR(D39="",E39=""),"",ROUND(E39-D39,2)))</f>
        <v>0</v>
      </c>
      <c r="N39" s="33">
        <f>IF(A39="","",IF(OR(D39="",D39=0,E39=""),"",E39/D39-1))</f>
        <v>0</v>
      </c>
      <c r="O39" s="20">
        <f>IF(A39="","",IF(F39&lt;&gt;"",F39,IFERROR(INDEX(Products!$AT$5:$AT$304,MATCH(B39,Products!$A$5:$A$304,0)),"")))</f>
        <v>0</v>
      </c>
      <c r="P39" s="33">
        <f>IF(A39="","",IF(OR(D39="",D39=0,O39=""),"",(D39-O39)/D39))</f>
        <v>0</v>
      </c>
      <c r="Q39" s="33">
        <f>IF(A39="","",IF(OR(E39="",E39=0,O39=""),"",(E39-O39)/E39))</f>
        <v>0</v>
      </c>
      <c r="R39" s="33">
        <f>IF(A39="","",IF(OR(P39="",Q39=""),"",Q39-P39))</f>
        <v>0</v>
      </c>
      <c r="S39" s="33">
        <f>IF(A39="","",IF(OR(I39="",I39=0,J39=""),"",J39/I39-1))</f>
        <v>0</v>
      </c>
      <c r="T39" s="33">
        <f>IF(A39="","",IF(OR(S39="",N39=""),"",(1+N39)*(1+S39)-1))</f>
        <v>0</v>
      </c>
      <c r="U39" s="32">
        <f>IF(B39="","",COUNTIFS($B$5:B39,B39))</f>
        <v>0</v>
      </c>
      <c r="V39" s="32">
        <f>IF(A39="","",TodayDate-A39)</f>
        <v>0</v>
      </c>
      <c r="W39" s="43">
        <f>IF(A39="","",IF(M39="","Add - old and new price",IF(Q39&lt;0,"Loss - priced below cost",IF(T39="","Watch - no volume data yet",IF(T39&gt;0.02,"Worked - revenue up",IF(T39&lt;-0.02,"Hurt - revenue down","Neutral - no real change"))))))</f>
        <v>0</v>
      </c>
    </row>
    <row r="40" spans="3:23">
      <c r="C40" s="13">
        <f>IF(B40="","",IFERROR(INDEX(Products!$B$5:$B$304,MATCH(B40,Products!$A$5:$A$304,0)),"Not found"))</f>
        <v>0</v>
      </c>
      <c r="L40" s="13">
        <f>IF(A40="","",TEXT(A40,"yyyy-mm"))</f>
        <v>0</v>
      </c>
      <c r="M40" s="20">
        <f>IF(A40="","",IF(OR(D40="",E40=""),"",ROUND(E40-D40,2)))</f>
        <v>0</v>
      </c>
      <c r="N40" s="33">
        <f>IF(A40="","",IF(OR(D40="",D40=0,E40=""),"",E40/D40-1))</f>
        <v>0</v>
      </c>
      <c r="O40" s="20">
        <f>IF(A40="","",IF(F40&lt;&gt;"",F40,IFERROR(INDEX(Products!$AT$5:$AT$304,MATCH(B40,Products!$A$5:$A$304,0)),"")))</f>
        <v>0</v>
      </c>
      <c r="P40" s="33">
        <f>IF(A40="","",IF(OR(D40="",D40=0,O40=""),"",(D40-O40)/D40))</f>
        <v>0</v>
      </c>
      <c r="Q40" s="33">
        <f>IF(A40="","",IF(OR(E40="",E40=0,O40=""),"",(E40-O40)/E40))</f>
        <v>0</v>
      </c>
      <c r="R40" s="33">
        <f>IF(A40="","",IF(OR(P40="",Q40=""),"",Q40-P40))</f>
        <v>0</v>
      </c>
      <c r="S40" s="33">
        <f>IF(A40="","",IF(OR(I40="",I40=0,J40=""),"",J40/I40-1))</f>
        <v>0</v>
      </c>
      <c r="T40" s="33">
        <f>IF(A40="","",IF(OR(S40="",N40=""),"",(1+N40)*(1+S40)-1))</f>
        <v>0</v>
      </c>
      <c r="U40" s="32">
        <f>IF(B40="","",COUNTIFS($B$5:B40,B40))</f>
        <v>0</v>
      </c>
      <c r="V40" s="32">
        <f>IF(A40="","",TodayDate-A40)</f>
        <v>0</v>
      </c>
      <c r="W40" s="43">
        <f>IF(A40="","",IF(M40="","Add - old and new price",IF(Q40&lt;0,"Loss - priced below cost",IF(T40="","Watch - no volume data yet",IF(T40&gt;0.02,"Worked - revenue up",IF(T40&lt;-0.02,"Hurt - revenue down","Neutral - no real change"))))))</f>
        <v>0</v>
      </c>
    </row>
    <row r="41" spans="3:23">
      <c r="C41" s="13">
        <f>IF(B41="","",IFERROR(INDEX(Products!$B$5:$B$304,MATCH(B41,Products!$A$5:$A$304,0)),"Not found"))</f>
        <v>0</v>
      </c>
      <c r="L41" s="13">
        <f>IF(A41="","",TEXT(A41,"yyyy-mm"))</f>
        <v>0</v>
      </c>
      <c r="M41" s="20">
        <f>IF(A41="","",IF(OR(D41="",E41=""),"",ROUND(E41-D41,2)))</f>
        <v>0</v>
      </c>
      <c r="N41" s="33">
        <f>IF(A41="","",IF(OR(D41="",D41=0,E41=""),"",E41/D41-1))</f>
        <v>0</v>
      </c>
      <c r="O41" s="20">
        <f>IF(A41="","",IF(F41&lt;&gt;"",F41,IFERROR(INDEX(Products!$AT$5:$AT$304,MATCH(B41,Products!$A$5:$A$304,0)),"")))</f>
        <v>0</v>
      </c>
      <c r="P41" s="33">
        <f>IF(A41="","",IF(OR(D41="",D41=0,O41=""),"",(D41-O41)/D41))</f>
        <v>0</v>
      </c>
      <c r="Q41" s="33">
        <f>IF(A41="","",IF(OR(E41="",E41=0,O41=""),"",(E41-O41)/E41))</f>
        <v>0</v>
      </c>
      <c r="R41" s="33">
        <f>IF(A41="","",IF(OR(P41="",Q41=""),"",Q41-P41))</f>
        <v>0</v>
      </c>
      <c r="S41" s="33">
        <f>IF(A41="","",IF(OR(I41="",I41=0,J41=""),"",J41/I41-1))</f>
        <v>0</v>
      </c>
      <c r="T41" s="33">
        <f>IF(A41="","",IF(OR(S41="",N41=""),"",(1+N41)*(1+S41)-1))</f>
        <v>0</v>
      </c>
      <c r="U41" s="32">
        <f>IF(B41="","",COUNTIFS($B$5:B41,B41))</f>
        <v>0</v>
      </c>
      <c r="V41" s="32">
        <f>IF(A41="","",TodayDate-A41)</f>
        <v>0</v>
      </c>
      <c r="W41" s="43">
        <f>IF(A41="","",IF(M41="","Add - old and new price",IF(Q41&lt;0,"Loss - priced below cost",IF(T41="","Watch - no volume data yet",IF(T41&gt;0.02,"Worked - revenue up",IF(T41&lt;-0.02,"Hurt - revenue down","Neutral - no real change"))))))</f>
        <v>0</v>
      </c>
    </row>
    <row r="42" spans="3:23">
      <c r="C42" s="13">
        <f>IF(B42="","",IFERROR(INDEX(Products!$B$5:$B$304,MATCH(B42,Products!$A$5:$A$304,0)),"Not found"))</f>
        <v>0</v>
      </c>
      <c r="L42" s="13">
        <f>IF(A42="","",TEXT(A42,"yyyy-mm"))</f>
        <v>0</v>
      </c>
      <c r="M42" s="20">
        <f>IF(A42="","",IF(OR(D42="",E42=""),"",ROUND(E42-D42,2)))</f>
        <v>0</v>
      </c>
      <c r="N42" s="33">
        <f>IF(A42="","",IF(OR(D42="",D42=0,E42=""),"",E42/D42-1))</f>
        <v>0</v>
      </c>
      <c r="O42" s="20">
        <f>IF(A42="","",IF(F42&lt;&gt;"",F42,IFERROR(INDEX(Products!$AT$5:$AT$304,MATCH(B42,Products!$A$5:$A$304,0)),"")))</f>
        <v>0</v>
      </c>
      <c r="P42" s="33">
        <f>IF(A42="","",IF(OR(D42="",D42=0,O42=""),"",(D42-O42)/D42))</f>
        <v>0</v>
      </c>
      <c r="Q42" s="33">
        <f>IF(A42="","",IF(OR(E42="",E42=0,O42=""),"",(E42-O42)/E42))</f>
        <v>0</v>
      </c>
      <c r="R42" s="33">
        <f>IF(A42="","",IF(OR(P42="",Q42=""),"",Q42-P42))</f>
        <v>0</v>
      </c>
      <c r="S42" s="33">
        <f>IF(A42="","",IF(OR(I42="",I42=0,J42=""),"",J42/I42-1))</f>
        <v>0</v>
      </c>
      <c r="T42" s="33">
        <f>IF(A42="","",IF(OR(S42="",N42=""),"",(1+N42)*(1+S42)-1))</f>
        <v>0</v>
      </c>
      <c r="U42" s="32">
        <f>IF(B42="","",COUNTIFS($B$5:B42,B42))</f>
        <v>0</v>
      </c>
      <c r="V42" s="32">
        <f>IF(A42="","",TodayDate-A42)</f>
        <v>0</v>
      </c>
      <c r="W42" s="43">
        <f>IF(A42="","",IF(M42="","Add - old and new price",IF(Q42&lt;0,"Loss - priced below cost",IF(T42="","Watch - no volume data yet",IF(T42&gt;0.02,"Worked - revenue up",IF(T42&lt;-0.02,"Hurt - revenue down","Neutral - no real change"))))))</f>
        <v>0</v>
      </c>
    </row>
    <row r="43" spans="3:23">
      <c r="C43" s="13">
        <f>IF(B43="","",IFERROR(INDEX(Products!$B$5:$B$304,MATCH(B43,Products!$A$5:$A$304,0)),"Not found"))</f>
        <v>0</v>
      </c>
      <c r="L43" s="13">
        <f>IF(A43="","",TEXT(A43,"yyyy-mm"))</f>
        <v>0</v>
      </c>
      <c r="M43" s="20">
        <f>IF(A43="","",IF(OR(D43="",E43=""),"",ROUND(E43-D43,2)))</f>
        <v>0</v>
      </c>
      <c r="N43" s="33">
        <f>IF(A43="","",IF(OR(D43="",D43=0,E43=""),"",E43/D43-1))</f>
        <v>0</v>
      </c>
      <c r="O43" s="20">
        <f>IF(A43="","",IF(F43&lt;&gt;"",F43,IFERROR(INDEX(Products!$AT$5:$AT$304,MATCH(B43,Products!$A$5:$A$304,0)),"")))</f>
        <v>0</v>
      </c>
      <c r="P43" s="33">
        <f>IF(A43="","",IF(OR(D43="",D43=0,O43=""),"",(D43-O43)/D43))</f>
        <v>0</v>
      </c>
      <c r="Q43" s="33">
        <f>IF(A43="","",IF(OR(E43="",E43=0,O43=""),"",(E43-O43)/E43))</f>
        <v>0</v>
      </c>
      <c r="R43" s="33">
        <f>IF(A43="","",IF(OR(P43="",Q43=""),"",Q43-P43))</f>
        <v>0</v>
      </c>
      <c r="S43" s="33">
        <f>IF(A43="","",IF(OR(I43="",I43=0,J43=""),"",J43/I43-1))</f>
        <v>0</v>
      </c>
      <c r="T43" s="33">
        <f>IF(A43="","",IF(OR(S43="",N43=""),"",(1+N43)*(1+S43)-1))</f>
        <v>0</v>
      </c>
      <c r="U43" s="32">
        <f>IF(B43="","",COUNTIFS($B$5:B43,B43))</f>
        <v>0</v>
      </c>
      <c r="V43" s="32">
        <f>IF(A43="","",TodayDate-A43)</f>
        <v>0</v>
      </c>
      <c r="W43" s="43">
        <f>IF(A43="","",IF(M43="","Add - old and new price",IF(Q43&lt;0,"Loss - priced below cost",IF(T43="","Watch - no volume data yet",IF(T43&gt;0.02,"Worked - revenue up",IF(T43&lt;-0.02,"Hurt - revenue down","Neutral - no real change"))))))</f>
        <v>0</v>
      </c>
    </row>
    <row r="44" spans="3:23">
      <c r="C44" s="13">
        <f>IF(B44="","",IFERROR(INDEX(Products!$B$5:$B$304,MATCH(B44,Products!$A$5:$A$304,0)),"Not found"))</f>
        <v>0</v>
      </c>
      <c r="L44" s="13">
        <f>IF(A44="","",TEXT(A44,"yyyy-mm"))</f>
        <v>0</v>
      </c>
      <c r="M44" s="20">
        <f>IF(A44="","",IF(OR(D44="",E44=""),"",ROUND(E44-D44,2)))</f>
        <v>0</v>
      </c>
      <c r="N44" s="33">
        <f>IF(A44="","",IF(OR(D44="",D44=0,E44=""),"",E44/D44-1))</f>
        <v>0</v>
      </c>
      <c r="O44" s="20">
        <f>IF(A44="","",IF(F44&lt;&gt;"",F44,IFERROR(INDEX(Products!$AT$5:$AT$304,MATCH(B44,Products!$A$5:$A$304,0)),"")))</f>
        <v>0</v>
      </c>
      <c r="P44" s="33">
        <f>IF(A44="","",IF(OR(D44="",D44=0,O44=""),"",(D44-O44)/D44))</f>
        <v>0</v>
      </c>
      <c r="Q44" s="33">
        <f>IF(A44="","",IF(OR(E44="",E44=0,O44=""),"",(E44-O44)/E44))</f>
        <v>0</v>
      </c>
      <c r="R44" s="33">
        <f>IF(A44="","",IF(OR(P44="",Q44=""),"",Q44-P44))</f>
        <v>0</v>
      </c>
      <c r="S44" s="33">
        <f>IF(A44="","",IF(OR(I44="",I44=0,J44=""),"",J44/I44-1))</f>
        <v>0</v>
      </c>
      <c r="T44" s="33">
        <f>IF(A44="","",IF(OR(S44="",N44=""),"",(1+N44)*(1+S44)-1))</f>
        <v>0</v>
      </c>
      <c r="U44" s="32">
        <f>IF(B44="","",COUNTIFS($B$5:B44,B44))</f>
        <v>0</v>
      </c>
      <c r="V44" s="32">
        <f>IF(A44="","",TodayDate-A44)</f>
        <v>0</v>
      </c>
      <c r="W44" s="43">
        <f>IF(A44="","",IF(M44="","Add - old and new price",IF(Q44&lt;0,"Loss - priced below cost",IF(T44="","Watch - no volume data yet",IF(T44&gt;0.02,"Worked - revenue up",IF(T44&lt;-0.02,"Hurt - revenue down","Neutral - no real change"))))))</f>
        <v>0</v>
      </c>
    </row>
    <row r="45" spans="3:23">
      <c r="C45" s="13">
        <f>IF(B45="","",IFERROR(INDEX(Products!$B$5:$B$304,MATCH(B45,Products!$A$5:$A$304,0)),"Not found"))</f>
        <v>0</v>
      </c>
      <c r="L45" s="13">
        <f>IF(A45="","",TEXT(A45,"yyyy-mm"))</f>
        <v>0</v>
      </c>
      <c r="M45" s="20">
        <f>IF(A45="","",IF(OR(D45="",E45=""),"",ROUND(E45-D45,2)))</f>
        <v>0</v>
      </c>
      <c r="N45" s="33">
        <f>IF(A45="","",IF(OR(D45="",D45=0,E45=""),"",E45/D45-1))</f>
        <v>0</v>
      </c>
      <c r="O45" s="20">
        <f>IF(A45="","",IF(F45&lt;&gt;"",F45,IFERROR(INDEX(Products!$AT$5:$AT$304,MATCH(B45,Products!$A$5:$A$304,0)),"")))</f>
        <v>0</v>
      </c>
      <c r="P45" s="33">
        <f>IF(A45="","",IF(OR(D45="",D45=0,O45=""),"",(D45-O45)/D45))</f>
        <v>0</v>
      </c>
      <c r="Q45" s="33">
        <f>IF(A45="","",IF(OR(E45="",E45=0,O45=""),"",(E45-O45)/E45))</f>
        <v>0</v>
      </c>
      <c r="R45" s="33">
        <f>IF(A45="","",IF(OR(P45="",Q45=""),"",Q45-P45))</f>
        <v>0</v>
      </c>
      <c r="S45" s="33">
        <f>IF(A45="","",IF(OR(I45="",I45=0,J45=""),"",J45/I45-1))</f>
        <v>0</v>
      </c>
      <c r="T45" s="33">
        <f>IF(A45="","",IF(OR(S45="",N45=""),"",(1+N45)*(1+S45)-1))</f>
        <v>0</v>
      </c>
      <c r="U45" s="32">
        <f>IF(B45="","",COUNTIFS($B$5:B45,B45))</f>
        <v>0</v>
      </c>
      <c r="V45" s="32">
        <f>IF(A45="","",TodayDate-A45)</f>
        <v>0</v>
      </c>
      <c r="W45" s="43">
        <f>IF(A45="","",IF(M45="","Add - old and new price",IF(Q45&lt;0,"Loss - priced below cost",IF(T45="","Watch - no volume data yet",IF(T45&gt;0.02,"Worked - revenue up",IF(T45&lt;-0.02,"Hurt - revenue down","Neutral - no real change"))))))</f>
        <v>0</v>
      </c>
    </row>
    <row r="46" spans="3:23">
      <c r="C46" s="13">
        <f>IF(B46="","",IFERROR(INDEX(Products!$B$5:$B$304,MATCH(B46,Products!$A$5:$A$304,0)),"Not found"))</f>
        <v>0</v>
      </c>
      <c r="L46" s="13">
        <f>IF(A46="","",TEXT(A46,"yyyy-mm"))</f>
        <v>0</v>
      </c>
      <c r="M46" s="20">
        <f>IF(A46="","",IF(OR(D46="",E46=""),"",ROUND(E46-D46,2)))</f>
        <v>0</v>
      </c>
      <c r="N46" s="33">
        <f>IF(A46="","",IF(OR(D46="",D46=0,E46=""),"",E46/D46-1))</f>
        <v>0</v>
      </c>
      <c r="O46" s="20">
        <f>IF(A46="","",IF(F46&lt;&gt;"",F46,IFERROR(INDEX(Products!$AT$5:$AT$304,MATCH(B46,Products!$A$5:$A$304,0)),"")))</f>
        <v>0</v>
      </c>
      <c r="P46" s="33">
        <f>IF(A46="","",IF(OR(D46="",D46=0,O46=""),"",(D46-O46)/D46))</f>
        <v>0</v>
      </c>
      <c r="Q46" s="33">
        <f>IF(A46="","",IF(OR(E46="",E46=0,O46=""),"",(E46-O46)/E46))</f>
        <v>0</v>
      </c>
      <c r="R46" s="33">
        <f>IF(A46="","",IF(OR(P46="",Q46=""),"",Q46-P46))</f>
        <v>0</v>
      </c>
      <c r="S46" s="33">
        <f>IF(A46="","",IF(OR(I46="",I46=0,J46=""),"",J46/I46-1))</f>
        <v>0</v>
      </c>
      <c r="T46" s="33">
        <f>IF(A46="","",IF(OR(S46="",N46=""),"",(1+N46)*(1+S46)-1))</f>
        <v>0</v>
      </c>
      <c r="U46" s="32">
        <f>IF(B46="","",COUNTIFS($B$5:B46,B46))</f>
        <v>0</v>
      </c>
      <c r="V46" s="32">
        <f>IF(A46="","",TodayDate-A46)</f>
        <v>0</v>
      </c>
      <c r="W46" s="43">
        <f>IF(A46="","",IF(M46="","Add - old and new price",IF(Q46&lt;0,"Loss - priced below cost",IF(T46="","Watch - no volume data yet",IF(T46&gt;0.02,"Worked - revenue up",IF(T46&lt;-0.02,"Hurt - revenue down","Neutral - no real change"))))))</f>
        <v>0</v>
      </c>
    </row>
    <row r="47" spans="3:23">
      <c r="C47" s="13">
        <f>IF(B47="","",IFERROR(INDEX(Products!$B$5:$B$304,MATCH(B47,Products!$A$5:$A$304,0)),"Not found"))</f>
        <v>0</v>
      </c>
      <c r="L47" s="13">
        <f>IF(A47="","",TEXT(A47,"yyyy-mm"))</f>
        <v>0</v>
      </c>
      <c r="M47" s="20">
        <f>IF(A47="","",IF(OR(D47="",E47=""),"",ROUND(E47-D47,2)))</f>
        <v>0</v>
      </c>
      <c r="N47" s="33">
        <f>IF(A47="","",IF(OR(D47="",D47=0,E47=""),"",E47/D47-1))</f>
        <v>0</v>
      </c>
      <c r="O47" s="20">
        <f>IF(A47="","",IF(F47&lt;&gt;"",F47,IFERROR(INDEX(Products!$AT$5:$AT$304,MATCH(B47,Products!$A$5:$A$304,0)),"")))</f>
        <v>0</v>
      </c>
      <c r="P47" s="33">
        <f>IF(A47="","",IF(OR(D47="",D47=0,O47=""),"",(D47-O47)/D47))</f>
        <v>0</v>
      </c>
      <c r="Q47" s="33">
        <f>IF(A47="","",IF(OR(E47="",E47=0,O47=""),"",(E47-O47)/E47))</f>
        <v>0</v>
      </c>
      <c r="R47" s="33">
        <f>IF(A47="","",IF(OR(P47="",Q47=""),"",Q47-P47))</f>
        <v>0</v>
      </c>
      <c r="S47" s="33">
        <f>IF(A47="","",IF(OR(I47="",I47=0,J47=""),"",J47/I47-1))</f>
        <v>0</v>
      </c>
      <c r="T47" s="33">
        <f>IF(A47="","",IF(OR(S47="",N47=""),"",(1+N47)*(1+S47)-1))</f>
        <v>0</v>
      </c>
      <c r="U47" s="32">
        <f>IF(B47="","",COUNTIFS($B$5:B47,B47))</f>
        <v>0</v>
      </c>
      <c r="V47" s="32">
        <f>IF(A47="","",TodayDate-A47)</f>
        <v>0</v>
      </c>
      <c r="W47" s="43">
        <f>IF(A47="","",IF(M47="","Add - old and new price",IF(Q47&lt;0,"Loss - priced below cost",IF(T47="","Watch - no volume data yet",IF(T47&gt;0.02,"Worked - revenue up",IF(T47&lt;-0.02,"Hurt - revenue down","Neutral - no real change"))))))</f>
        <v>0</v>
      </c>
    </row>
    <row r="48" spans="3:23">
      <c r="C48" s="13">
        <f>IF(B48="","",IFERROR(INDEX(Products!$B$5:$B$304,MATCH(B48,Products!$A$5:$A$304,0)),"Not found"))</f>
        <v>0</v>
      </c>
      <c r="L48" s="13">
        <f>IF(A48="","",TEXT(A48,"yyyy-mm"))</f>
        <v>0</v>
      </c>
      <c r="M48" s="20">
        <f>IF(A48="","",IF(OR(D48="",E48=""),"",ROUND(E48-D48,2)))</f>
        <v>0</v>
      </c>
      <c r="N48" s="33">
        <f>IF(A48="","",IF(OR(D48="",D48=0,E48=""),"",E48/D48-1))</f>
        <v>0</v>
      </c>
      <c r="O48" s="20">
        <f>IF(A48="","",IF(F48&lt;&gt;"",F48,IFERROR(INDEX(Products!$AT$5:$AT$304,MATCH(B48,Products!$A$5:$A$304,0)),"")))</f>
        <v>0</v>
      </c>
      <c r="P48" s="33">
        <f>IF(A48="","",IF(OR(D48="",D48=0,O48=""),"",(D48-O48)/D48))</f>
        <v>0</v>
      </c>
      <c r="Q48" s="33">
        <f>IF(A48="","",IF(OR(E48="",E48=0,O48=""),"",(E48-O48)/E48))</f>
        <v>0</v>
      </c>
      <c r="R48" s="33">
        <f>IF(A48="","",IF(OR(P48="",Q48=""),"",Q48-P48))</f>
        <v>0</v>
      </c>
      <c r="S48" s="33">
        <f>IF(A48="","",IF(OR(I48="",I48=0,J48=""),"",J48/I48-1))</f>
        <v>0</v>
      </c>
      <c r="T48" s="33">
        <f>IF(A48="","",IF(OR(S48="",N48=""),"",(1+N48)*(1+S48)-1))</f>
        <v>0</v>
      </c>
      <c r="U48" s="32">
        <f>IF(B48="","",COUNTIFS($B$5:B48,B48))</f>
        <v>0</v>
      </c>
      <c r="V48" s="32">
        <f>IF(A48="","",TodayDate-A48)</f>
        <v>0</v>
      </c>
      <c r="W48" s="43">
        <f>IF(A48="","",IF(M48="","Add - old and new price",IF(Q48&lt;0,"Loss - priced below cost",IF(T48="","Watch - no volume data yet",IF(T48&gt;0.02,"Worked - revenue up",IF(T48&lt;-0.02,"Hurt - revenue down","Neutral - no real change"))))))</f>
        <v>0</v>
      </c>
    </row>
    <row r="49" spans="3:23">
      <c r="C49" s="13">
        <f>IF(B49="","",IFERROR(INDEX(Products!$B$5:$B$304,MATCH(B49,Products!$A$5:$A$304,0)),"Not found"))</f>
        <v>0</v>
      </c>
      <c r="L49" s="13">
        <f>IF(A49="","",TEXT(A49,"yyyy-mm"))</f>
        <v>0</v>
      </c>
      <c r="M49" s="20">
        <f>IF(A49="","",IF(OR(D49="",E49=""),"",ROUND(E49-D49,2)))</f>
        <v>0</v>
      </c>
      <c r="N49" s="33">
        <f>IF(A49="","",IF(OR(D49="",D49=0,E49=""),"",E49/D49-1))</f>
        <v>0</v>
      </c>
      <c r="O49" s="20">
        <f>IF(A49="","",IF(F49&lt;&gt;"",F49,IFERROR(INDEX(Products!$AT$5:$AT$304,MATCH(B49,Products!$A$5:$A$304,0)),"")))</f>
        <v>0</v>
      </c>
      <c r="P49" s="33">
        <f>IF(A49="","",IF(OR(D49="",D49=0,O49=""),"",(D49-O49)/D49))</f>
        <v>0</v>
      </c>
      <c r="Q49" s="33">
        <f>IF(A49="","",IF(OR(E49="",E49=0,O49=""),"",(E49-O49)/E49))</f>
        <v>0</v>
      </c>
      <c r="R49" s="33">
        <f>IF(A49="","",IF(OR(P49="",Q49=""),"",Q49-P49))</f>
        <v>0</v>
      </c>
      <c r="S49" s="33">
        <f>IF(A49="","",IF(OR(I49="",I49=0,J49=""),"",J49/I49-1))</f>
        <v>0</v>
      </c>
      <c r="T49" s="33">
        <f>IF(A49="","",IF(OR(S49="",N49=""),"",(1+N49)*(1+S49)-1))</f>
        <v>0</v>
      </c>
      <c r="U49" s="32">
        <f>IF(B49="","",COUNTIFS($B$5:B49,B49))</f>
        <v>0</v>
      </c>
      <c r="V49" s="32">
        <f>IF(A49="","",TodayDate-A49)</f>
        <v>0</v>
      </c>
      <c r="W49" s="43">
        <f>IF(A49="","",IF(M49="","Add - old and new price",IF(Q49&lt;0,"Loss - priced below cost",IF(T49="","Watch - no volume data yet",IF(T49&gt;0.02,"Worked - revenue up",IF(T49&lt;-0.02,"Hurt - revenue down","Neutral - no real change"))))))</f>
        <v>0</v>
      </c>
    </row>
    <row r="50" spans="3:23">
      <c r="C50" s="13">
        <f>IF(B50="","",IFERROR(INDEX(Products!$B$5:$B$304,MATCH(B50,Products!$A$5:$A$304,0)),"Not found"))</f>
        <v>0</v>
      </c>
      <c r="L50" s="13">
        <f>IF(A50="","",TEXT(A50,"yyyy-mm"))</f>
        <v>0</v>
      </c>
      <c r="M50" s="20">
        <f>IF(A50="","",IF(OR(D50="",E50=""),"",ROUND(E50-D50,2)))</f>
        <v>0</v>
      </c>
      <c r="N50" s="33">
        <f>IF(A50="","",IF(OR(D50="",D50=0,E50=""),"",E50/D50-1))</f>
        <v>0</v>
      </c>
      <c r="O50" s="20">
        <f>IF(A50="","",IF(F50&lt;&gt;"",F50,IFERROR(INDEX(Products!$AT$5:$AT$304,MATCH(B50,Products!$A$5:$A$304,0)),"")))</f>
        <v>0</v>
      </c>
      <c r="P50" s="33">
        <f>IF(A50="","",IF(OR(D50="",D50=0,O50=""),"",(D50-O50)/D50))</f>
        <v>0</v>
      </c>
      <c r="Q50" s="33">
        <f>IF(A50="","",IF(OR(E50="",E50=0,O50=""),"",(E50-O50)/E50))</f>
        <v>0</v>
      </c>
      <c r="R50" s="33">
        <f>IF(A50="","",IF(OR(P50="",Q50=""),"",Q50-P50))</f>
        <v>0</v>
      </c>
      <c r="S50" s="33">
        <f>IF(A50="","",IF(OR(I50="",I50=0,J50=""),"",J50/I50-1))</f>
        <v>0</v>
      </c>
      <c r="T50" s="33">
        <f>IF(A50="","",IF(OR(S50="",N50=""),"",(1+N50)*(1+S50)-1))</f>
        <v>0</v>
      </c>
      <c r="U50" s="32">
        <f>IF(B50="","",COUNTIFS($B$5:B50,B50))</f>
        <v>0</v>
      </c>
      <c r="V50" s="32">
        <f>IF(A50="","",TodayDate-A50)</f>
        <v>0</v>
      </c>
      <c r="W50" s="43">
        <f>IF(A50="","",IF(M50="","Add - old and new price",IF(Q50&lt;0,"Loss - priced below cost",IF(T50="","Watch - no volume data yet",IF(T50&gt;0.02,"Worked - revenue up",IF(T50&lt;-0.02,"Hurt - revenue down","Neutral - no real change"))))))</f>
        <v>0</v>
      </c>
    </row>
    <row r="51" spans="3:23">
      <c r="C51" s="13">
        <f>IF(B51="","",IFERROR(INDEX(Products!$B$5:$B$304,MATCH(B51,Products!$A$5:$A$304,0)),"Not found"))</f>
        <v>0</v>
      </c>
      <c r="L51" s="13">
        <f>IF(A51="","",TEXT(A51,"yyyy-mm"))</f>
        <v>0</v>
      </c>
      <c r="M51" s="20">
        <f>IF(A51="","",IF(OR(D51="",E51=""),"",ROUND(E51-D51,2)))</f>
        <v>0</v>
      </c>
      <c r="N51" s="33">
        <f>IF(A51="","",IF(OR(D51="",D51=0,E51=""),"",E51/D51-1))</f>
        <v>0</v>
      </c>
      <c r="O51" s="20">
        <f>IF(A51="","",IF(F51&lt;&gt;"",F51,IFERROR(INDEX(Products!$AT$5:$AT$304,MATCH(B51,Products!$A$5:$A$304,0)),"")))</f>
        <v>0</v>
      </c>
      <c r="P51" s="33">
        <f>IF(A51="","",IF(OR(D51="",D51=0,O51=""),"",(D51-O51)/D51))</f>
        <v>0</v>
      </c>
      <c r="Q51" s="33">
        <f>IF(A51="","",IF(OR(E51="",E51=0,O51=""),"",(E51-O51)/E51))</f>
        <v>0</v>
      </c>
      <c r="R51" s="33">
        <f>IF(A51="","",IF(OR(P51="",Q51=""),"",Q51-P51))</f>
        <v>0</v>
      </c>
      <c r="S51" s="33">
        <f>IF(A51="","",IF(OR(I51="",I51=0,J51=""),"",J51/I51-1))</f>
        <v>0</v>
      </c>
      <c r="T51" s="33">
        <f>IF(A51="","",IF(OR(S51="",N51=""),"",(1+N51)*(1+S51)-1))</f>
        <v>0</v>
      </c>
      <c r="U51" s="32">
        <f>IF(B51="","",COUNTIFS($B$5:B51,B51))</f>
        <v>0</v>
      </c>
      <c r="V51" s="32">
        <f>IF(A51="","",TodayDate-A51)</f>
        <v>0</v>
      </c>
      <c r="W51" s="43">
        <f>IF(A51="","",IF(M51="","Add - old and new price",IF(Q51&lt;0,"Loss - priced below cost",IF(T51="","Watch - no volume data yet",IF(T51&gt;0.02,"Worked - revenue up",IF(T51&lt;-0.02,"Hurt - revenue down","Neutral - no real change"))))))</f>
        <v>0</v>
      </c>
    </row>
    <row r="52" spans="3:23">
      <c r="C52" s="13">
        <f>IF(B52="","",IFERROR(INDEX(Products!$B$5:$B$304,MATCH(B52,Products!$A$5:$A$304,0)),"Not found"))</f>
        <v>0</v>
      </c>
      <c r="L52" s="13">
        <f>IF(A52="","",TEXT(A52,"yyyy-mm"))</f>
        <v>0</v>
      </c>
      <c r="M52" s="20">
        <f>IF(A52="","",IF(OR(D52="",E52=""),"",ROUND(E52-D52,2)))</f>
        <v>0</v>
      </c>
      <c r="N52" s="33">
        <f>IF(A52="","",IF(OR(D52="",D52=0,E52=""),"",E52/D52-1))</f>
        <v>0</v>
      </c>
      <c r="O52" s="20">
        <f>IF(A52="","",IF(F52&lt;&gt;"",F52,IFERROR(INDEX(Products!$AT$5:$AT$304,MATCH(B52,Products!$A$5:$A$304,0)),"")))</f>
        <v>0</v>
      </c>
      <c r="P52" s="33">
        <f>IF(A52="","",IF(OR(D52="",D52=0,O52=""),"",(D52-O52)/D52))</f>
        <v>0</v>
      </c>
      <c r="Q52" s="33">
        <f>IF(A52="","",IF(OR(E52="",E52=0,O52=""),"",(E52-O52)/E52))</f>
        <v>0</v>
      </c>
      <c r="R52" s="33">
        <f>IF(A52="","",IF(OR(P52="",Q52=""),"",Q52-P52))</f>
        <v>0</v>
      </c>
      <c r="S52" s="33">
        <f>IF(A52="","",IF(OR(I52="",I52=0,J52=""),"",J52/I52-1))</f>
        <v>0</v>
      </c>
      <c r="T52" s="33">
        <f>IF(A52="","",IF(OR(S52="",N52=""),"",(1+N52)*(1+S52)-1))</f>
        <v>0</v>
      </c>
      <c r="U52" s="32">
        <f>IF(B52="","",COUNTIFS($B$5:B52,B52))</f>
        <v>0</v>
      </c>
      <c r="V52" s="32">
        <f>IF(A52="","",TodayDate-A52)</f>
        <v>0</v>
      </c>
      <c r="W52" s="43">
        <f>IF(A52="","",IF(M52="","Add - old and new price",IF(Q52&lt;0,"Loss - priced below cost",IF(T52="","Watch - no volume data yet",IF(T52&gt;0.02,"Worked - revenue up",IF(T52&lt;-0.02,"Hurt - revenue down","Neutral - no real change"))))))</f>
        <v>0</v>
      </c>
    </row>
    <row r="53" spans="3:23">
      <c r="C53" s="13">
        <f>IF(B53="","",IFERROR(INDEX(Products!$B$5:$B$304,MATCH(B53,Products!$A$5:$A$304,0)),"Not found"))</f>
        <v>0</v>
      </c>
      <c r="L53" s="13">
        <f>IF(A53="","",TEXT(A53,"yyyy-mm"))</f>
        <v>0</v>
      </c>
      <c r="M53" s="20">
        <f>IF(A53="","",IF(OR(D53="",E53=""),"",ROUND(E53-D53,2)))</f>
        <v>0</v>
      </c>
      <c r="N53" s="33">
        <f>IF(A53="","",IF(OR(D53="",D53=0,E53=""),"",E53/D53-1))</f>
        <v>0</v>
      </c>
      <c r="O53" s="20">
        <f>IF(A53="","",IF(F53&lt;&gt;"",F53,IFERROR(INDEX(Products!$AT$5:$AT$304,MATCH(B53,Products!$A$5:$A$304,0)),"")))</f>
        <v>0</v>
      </c>
      <c r="P53" s="33">
        <f>IF(A53="","",IF(OR(D53="",D53=0,O53=""),"",(D53-O53)/D53))</f>
        <v>0</v>
      </c>
      <c r="Q53" s="33">
        <f>IF(A53="","",IF(OR(E53="",E53=0,O53=""),"",(E53-O53)/E53))</f>
        <v>0</v>
      </c>
      <c r="R53" s="33">
        <f>IF(A53="","",IF(OR(P53="",Q53=""),"",Q53-P53))</f>
        <v>0</v>
      </c>
      <c r="S53" s="33">
        <f>IF(A53="","",IF(OR(I53="",I53=0,J53=""),"",J53/I53-1))</f>
        <v>0</v>
      </c>
      <c r="T53" s="33">
        <f>IF(A53="","",IF(OR(S53="",N53=""),"",(1+N53)*(1+S53)-1))</f>
        <v>0</v>
      </c>
      <c r="U53" s="32">
        <f>IF(B53="","",COUNTIFS($B$5:B53,B53))</f>
        <v>0</v>
      </c>
      <c r="V53" s="32">
        <f>IF(A53="","",TodayDate-A53)</f>
        <v>0</v>
      </c>
      <c r="W53" s="43">
        <f>IF(A53="","",IF(M53="","Add - old and new price",IF(Q53&lt;0,"Loss - priced below cost",IF(T53="","Watch - no volume data yet",IF(T53&gt;0.02,"Worked - revenue up",IF(T53&lt;-0.02,"Hurt - revenue down","Neutral - no real change"))))))</f>
        <v>0</v>
      </c>
    </row>
    <row r="54" spans="3:23">
      <c r="C54" s="13">
        <f>IF(B54="","",IFERROR(INDEX(Products!$B$5:$B$304,MATCH(B54,Products!$A$5:$A$304,0)),"Not found"))</f>
        <v>0</v>
      </c>
      <c r="L54" s="13">
        <f>IF(A54="","",TEXT(A54,"yyyy-mm"))</f>
        <v>0</v>
      </c>
      <c r="M54" s="20">
        <f>IF(A54="","",IF(OR(D54="",E54=""),"",ROUND(E54-D54,2)))</f>
        <v>0</v>
      </c>
      <c r="N54" s="33">
        <f>IF(A54="","",IF(OR(D54="",D54=0,E54=""),"",E54/D54-1))</f>
        <v>0</v>
      </c>
      <c r="O54" s="20">
        <f>IF(A54="","",IF(F54&lt;&gt;"",F54,IFERROR(INDEX(Products!$AT$5:$AT$304,MATCH(B54,Products!$A$5:$A$304,0)),"")))</f>
        <v>0</v>
      </c>
      <c r="P54" s="33">
        <f>IF(A54="","",IF(OR(D54="",D54=0,O54=""),"",(D54-O54)/D54))</f>
        <v>0</v>
      </c>
      <c r="Q54" s="33">
        <f>IF(A54="","",IF(OR(E54="",E54=0,O54=""),"",(E54-O54)/E54))</f>
        <v>0</v>
      </c>
      <c r="R54" s="33">
        <f>IF(A54="","",IF(OR(P54="",Q54=""),"",Q54-P54))</f>
        <v>0</v>
      </c>
      <c r="S54" s="33">
        <f>IF(A54="","",IF(OR(I54="",I54=0,J54=""),"",J54/I54-1))</f>
        <v>0</v>
      </c>
      <c r="T54" s="33">
        <f>IF(A54="","",IF(OR(S54="",N54=""),"",(1+N54)*(1+S54)-1))</f>
        <v>0</v>
      </c>
      <c r="U54" s="32">
        <f>IF(B54="","",COUNTIFS($B$5:B54,B54))</f>
        <v>0</v>
      </c>
      <c r="V54" s="32">
        <f>IF(A54="","",TodayDate-A54)</f>
        <v>0</v>
      </c>
      <c r="W54" s="43">
        <f>IF(A54="","",IF(M54="","Add - old and new price",IF(Q54&lt;0,"Loss - priced below cost",IF(T54="","Watch - no volume data yet",IF(T54&gt;0.02,"Worked - revenue up",IF(T54&lt;-0.02,"Hurt - revenue down","Neutral - no real change"))))))</f>
        <v>0</v>
      </c>
    </row>
    <row r="55" spans="3:23">
      <c r="C55" s="13">
        <f>IF(B55="","",IFERROR(INDEX(Products!$B$5:$B$304,MATCH(B55,Products!$A$5:$A$304,0)),"Not found"))</f>
        <v>0</v>
      </c>
      <c r="L55" s="13">
        <f>IF(A55="","",TEXT(A55,"yyyy-mm"))</f>
        <v>0</v>
      </c>
      <c r="M55" s="20">
        <f>IF(A55="","",IF(OR(D55="",E55=""),"",ROUND(E55-D55,2)))</f>
        <v>0</v>
      </c>
      <c r="N55" s="33">
        <f>IF(A55="","",IF(OR(D55="",D55=0,E55=""),"",E55/D55-1))</f>
        <v>0</v>
      </c>
      <c r="O55" s="20">
        <f>IF(A55="","",IF(F55&lt;&gt;"",F55,IFERROR(INDEX(Products!$AT$5:$AT$304,MATCH(B55,Products!$A$5:$A$304,0)),"")))</f>
        <v>0</v>
      </c>
      <c r="P55" s="33">
        <f>IF(A55="","",IF(OR(D55="",D55=0,O55=""),"",(D55-O55)/D55))</f>
        <v>0</v>
      </c>
      <c r="Q55" s="33">
        <f>IF(A55="","",IF(OR(E55="",E55=0,O55=""),"",(E55-O55)/E55))</f>
        <v>0</v>
      </c>
      <c r="R55" s="33">
        <f>IF(A55="","",IF(OR(P55="",Q55=""),"",Q55-P55))</f>
        <v>0</v>
      </c>
      <c r="S55" s="33">
        <f>IF(A55="","",IF(OR(I55="",I55=0,J55=""),"",J55/I55-1))</f>
        <v>0</v>
      </c>
      <c r="T55" s="33">
        <f>IF(A55="","",IF(OR(S55="",N55=""),"",(1+N55)*(1+S55)-1))</f>
        <v>0</v>
      </c>
      <c r="U55" s="32">
        <f>IF(B55="","",COUNTIFS($B$5:B55,B55))</f>
        <v>0</v>
      </c>
      <c r="V55" s="32">
        <f>IF(A55="","",TodayDate-A55)</f>
        <v>0</v>
      </c>
      <c r="W55" s="43">
        <f>IF(A55="","",IF(M55="","Add - old and new price",IF(Q55&lt;0,"Loss - priced below cost",IF(T55="","Watch - no volume data yet",IF(T55&gt;0.02,"Worked - revenue up",IF(T55&lt;-0.02,"Hurt - revenue down","Neutral - no real change"))))))</f>
        <v>0</v>
      </c>
    </row>
    <row r="56" spans="3:23">
      <c r="C56" s="13">
        <f>IF(B56="","",IFERROR(INDEX(Products!$B$5:$B$304,MATCH(B56,Products!$A$5:$A$304,0)),"Not found"))</f>
        <v>0</v>
      </c>
      <c r="L56" s="13">
        <f>IF(A56="","",TEXT(A56,"yyyy-mm"))</f>
        <v>0</v>
      </c>
      <c r="M56" s="20">
        <f>IF(A56="","",IF(OR(D56="",E56=""),"",ROUND(E56-D56,2)))</f>
        <v>0</v>
      </c>
      <c r="N56" s="33">
        <f>IF(A56="","",IF(OR(D56="",D56=0,E56=""),"",E56/D56-1))</f>
        <v>0</v>
      </c>
      <c r="O56" s="20">
        <f>IF(A56="","",IF(F56&lt;&gt;"",F56,IFERROR(INDEX(Products!$AT$5:$AT$304,MATCH(B56,Products!$A$5:$A$304,0)),"")))</f>
        <v>0</v>
      </c>
      <c r="P56" s="33">
        <f>IF(A56="","",IF(OR(D56="",D56=0,O56=""),"",(D56-O56)/D56))</f>
        <v>0</v>
      </c>
      <c r="Q56" s="33">
        <f>IF(A56="","",IF(OR(E56="",E56=0,O56=""),"",(E56-O56)/E56))</f>
        <v>0</v>
      </c>
      <c r="R56" s="33">
        <f>IF(A56="","",IF(OR(P56="",Q56=""),"",Q56-P56))</f>
        <v>0</v>
      </c>
      <c r="S56" s="33">
        <f>IF(A56="","",IF(OR(I56="",I56=0,J56=""),"",J56/I56-1))</f>
        <v>0</v>
      </c>
      <c r="T56" s="33">
        <f>IF(A56="","",IF(OR(S56="",N56=""),"",(1+N56)*(1+S56)-1))</f>
        <v>0</v>
      </c>
      <c r="U56" s="32">
        <f>IF(B56="","",COUNTIFS($B$5:B56,B56))</f>
        <v>0</v>
      </c>
      <c r="V56" s="32">
        <f>IF(A56="","",TodayDate-A56)</f>
        <v>0</v>
      </c>
      <c r="W56" s="43">
        <f>IF(A56="","",IF(M56="","Add - old and new price",IF(Q56&lt;0,"Loss - priced below cost",IF(T56="","Watch - no volume data yet",IF(T56&gt;0.02,"Worked - revenue up",IF(T56&lt;-0.02,"Hurt - revenue down","Neutral - no real change"))))))</f>
        <v>0</v>
      </c>
    </row>
    <row r="57" spans="3:23">
      <c r="C57" s="13">
        <f>IF(B57="","",IFERROR(INDEX(Products!$B$5:$B$304,MATCH(B57,Products!$A$5:$A$304,0)),"Not found"))</f>
        <v>0</v>
      </c>
      <c r="L57" s="13">
        <f>IF(A57="","",TEXT(A57,"yyyy-mm"))</f>
        <v>0</v>
      </c>
      <c r="M57" s="20">
        <f>IF(A57="","",IF(OR(D57="",E57=""),"",ROUND(E57-D57,2)))</f>
        <v>0</v>
      </c>
      <c r="N57" s="33">
        <f>IF(A57="","",IF(OR(D57="",D57=0,E57=""),"",E57/D57-1))</f>
        <v>0</v>
      </c>
      <c r="O57" s="20">
        <f>IF(A57="","",IF(F57&lt;&gt;"",F57,IFERROR(INDEX(Products!$AT$5:$AT$304,MATCH(B57,Products!$A$5:$A$304,0)),"")))</f>
        <v>0</v>
      </c>
      <c r="P57" s="33">
        <f>IF(A57="","",IF(OR(D57="",D57=0,O57=""),"",(D57-O57)/D57))</f>
        <v>0</v>
      </c>
      <c r="Q57" s="33">
        <f>IF(A57="","",IF(OR(E57="",E57=0,O57=""),"",(E57-O57)/E57))</f>
        <v>0</v>
      </c>
      <c r="R57" s="33">
        <f>IF(A57="","",IF(OR(P57="",Q57=""),"",Q57-P57))</f>
        <v>0</v>
      </c>
      <c r="S57" s="33">
        <f>IF(A57="","",IF(OR(I57="",I57=0,J57=""),"",J57/I57-1))</f>
        <v>0</v>
      </c>
      <c r="T57" s="33">
        <f>IF(A57="","",IF(OR(S57="",N57=""),"",(1+N57)*(1+S57)-1))</f>
        <v>0</v>
      </c>
      <c r="U57" s="32">
        <f>IF(B57="","",COUNTIFS($B$5:B57,B57))</f>
        <v>0</v>
      </c>
      <c r="V57" s="32">
        <f>IF(A57="","",TodayDate-A57)</f>
        <v>0</v>
      </c>
      <c r="W57" s="43">
        <f>IF(A57="","",IF(M57="","Add - old and new price",IF(Q57&lt;0,"Loss - priced below cost",IF(T57="","Watch - no volume data yet",IF(T57&gt;0.02,"Worked - revenue up",IF(T57&lt;-0.02,"Hurt - revenue down","Neutral - no real change"))))))</f>
        <v>0</v>
      </c>
    </row>
    <row r="58" spans="3:23">
      <c r="C58" s="13">
        <f>IF(B58="","",IFERROR(INDEX(Products!$B$5:$B$304,MATCH(B58,Products!$A$5:$A$304,0)),"Not found"))</f>
        <v>0</v>
      </c>
      <c r="L58" s="13">
        <f>IF(A58="","",TEXT(A58,"yyyy-mm"))</f>
        <v>0</v>
      </c>
      <c r="M58" s="20">
        <f>IF(A58="","",IF(OR(D58="",E58=""),"",ROUND(E58-D58,2)))</f>
        <v>0</v>
      </c>
      <c r="N58" s="33">
        <f>IF(A58="","",IF(OR(D58="",D58=0,E58=""),"",E58/D58-1))</f>
        <v>0</v>
      </c>
      <c r="O58" s="20">
        <f>IF(A58="","",IF(F58&lt;&gt;"",F58,IFERROR(INDEX(Products!$AT$5:$AT$304,MATCH(B58,Products!$A$5:$A$304,0)),"")))</f>
        <v>0</v>
      </c>
      <c r="P58" s="33">
        <f>IF(A58="","",IF(OR(D58="",D58=0,O58=""),"",(D58-O58)/D58))</f>
        <v>0</v>
      </c>
      <c r="Q58" s="33">
        <f>IF(A58="","",IF(OR(E58="",E58=0,O58=""),"",(E58-O58)/E58))</f>
        <v>0</v>
      </c>
      <c r="R58" s="33">
        <f>IF(A58="","",IF(OR(P58="",Q58=""),"",Q58-P58))</f>
        <v>0</v>
      </c>
      <c r="S58" s="33">
        <f>IF(A58="","",IF(OR(I58="",I58=0,J58=""),"",J58/I58-1))</f>
        <v>0</v>
      </c>
      <c r="T58" s="33">
        <f>IF(A58="","",IF(OR(S58="",N58=""),"",(1+N58)*(1+S58)-1))</f>
        <v>0</v>
      </c>
      <c r="U58" s="32">
        <f>IF(B58="","",COUNTIFS($B$5:B58,B58))</f>
        <v>0</v>
      </c>
      <c r="V58" s="32">
        <f>IF(A58="","",TodayDate-A58)</f>
        <v>0</v>
      </c>
      <c r="W58" s="43">
        <f>IF(A58="","",IF(M58="","Add - old and new price",IF(Q58&lt;0,"Loss - priced below cost",IF(T58="","Watch - no volume data yet",IF(T58&gt;0.02,"Worked - revenue up",IF(T58&lt;-0.02,"Hurt - revenue down","Neutral - no real change"))))))</f>
        <v>0</v>
      </c>
    </row>
    <row r="59" spans="3:23">
      <c r="C59" s="13">
        <f>IF(B59="","",IFERROR(INDEX(Products!$B$5:$B$304,MATCH(B59,Products!$A$5:$A$304,0)),"Not found"))</f>
        <v>0</v>
      </c>
      <c r="L59" s="13">
        <f>IF(A59="","",TEXT(A59,"yyyy-mm"))</f>
        <v>0</v>
      </c>
      <c r="M59" s="20">
        <f>IF(A59="","",IF(OR(D59="",E59=""),"",ROUND(E59-D59,2)))</f>
        <v>0</v>
      </c>
      <c r="N59" s="33">
        <f>IF(A59="","",IF(OR(D59="",D59=0,E59=""),"",E59/D59-1))</f>
        <v>0</v>
      </c>
      <c r="O59" s="20">
        <f>IF(A59="","",IF(F59&lt;&gt;"",F59,IFERROR(INDEX(Products!$AT$5:$AT$304,MATCH(B59,Products!$A$5:$A$304,0)),"")))</f>
        <v>0</v>
      </c>
      <c r="P59" s="33">
        <f>IF(A59="","",IF(OR(D59="",D59=0,O59=""),"",(D59-O59)/D59))</f>
        <v>0</v>
      </c>
      <c r="Q59" s="33">
        <f>IF(A59="","",IF(OR(E59="",E59=0,O59=""),"",(E59-O59)/E59))</f>
        <v>0</v>
      </c>
      <c r="R59" s="33">
        <f>IF(A59="","",IF(OR(P59="",Q59=""),"",Q59-P59))</f>
        <v>0</v>
      </c>
      <c r="S59" s="33">
        <f>IF(A59="","",IF(OR(I59="",I59=0,J59=""),"",J59/I59-1))</f>
        <v>0</v>
      </c>
      <c r="T59" s="33">
        <f>IF(A59="","",IF(OR(S59="",N59=""),"",(1+N59)*(1+S59)-1))</f>
        <v>0</v>
      </c>
      <c r="U59" s="32">
        <f>IF(B59="","",COUNTIFS($B$5:B59,B59))</f>
        <v>0</v>
      </c>
      <c r="V59" s="32">
        <f>IF(A59="","",TodayDate-A59)</f>
        <v>0</v>
      </c>
      <c r="W59" s="43">
        <f>IF(A59="","",IF(M59="","Add - old and new price",IF(Q59&lt;0,"Loss - priced below cost",IF(T59="","Watch - no volume data yet",IF(T59&gt;0.02,"Worked - revenue up",IF(T59&lt;-0.02,"Hurt - revenue down","Neutral - no real change"))))))</f>
        <v>0</v>
      </c>
    </row>
    <row r="60" spans="3:23">
      <c r="C60" s="13">
        <f>IF(B60="","",IFERROR(INDEX(Products!$B$5:$B$304,MATCH(B60,Products!$A$5:$A$304,0)),"Not found"))</f>
        <v>0</v>
      </c>
      <c r="L60" s="13">
        <f>IF(A60="","",TEXT(A60,"yyyy-mm"))</f>
        <v>0</v>
      </c>
      <c r="M60" s="20">
        <f>IF(A60="","",IF(OR(D60="",E60=""),"",ROUND(E60-D60,2)))</f>
        <v>0</v>
      </c>
      <c r="N60" s="33">
        <f>IF(A60="","",IF(OR(D60="",D60=0,E60=""),"",E60/D60-1))</f>
        <v>0</v>
      </c>
      <c r="O60" s="20">
        <f>IF(A60="","",IF(F60&lt;&gt;"",F60,IFERROR(INDEX(Products!$AT$5:$AT$304,MATCH(B60,Products!$A$5:$A$304,0)),"")))</f>
        <v>0</v>
      </c>
      <c r="P60" s="33">
        <f>IF(A60="","",IF(OR(D60="",D60=0,O60=""),"",(D60-O60)/D60))</f>
        <v>0</v>
      </c>
      <c r="Q60" s="33">
        <f>IF(A60="","",IF(OR(E60="",E60=0,O60=""),"",(E60-O60)/E60))</f>
        <v>0</v>
      </c>
      <c r="R60" s="33">
        <f>IF(A60="","",IF(OR(P60="",Q60=""),"",Q60-P60))</f>
        <v>0</v>
      </c>
      <c r="S60" s="33">
        <f>IF(A60="","",IF(OR(I60="",I60=0,J60=""),"",J60/I60-1))</f>
        <v>0</v>
      </c>
      <c r="T60" s="33">
        <f>IF(A60="","",IF(OR(S60="",N60=""),"",(1+N60)*(1+S60)-1))</f>
        <v>0</v>
      </c>
      <c r="U60" s="32">
        <f>IF(B60="","",COUNTIFS($B$5:B60,B60))</f>
        <v>0</v>
      </c>
      <c r="V60" s="32">
        <f>IF(A60="","",TodayDate-A60)</f>
        <v>0</v>
      </c>
      <c r="W60" s="43">
        <f>IF(A60="","",IF(M60="","Add - old and new price",IF(Q60&lt;0,"Loss - priced below cost",IF(T60="","Watch - no volume data yet",IF(T60&gt;0.02,"Worked - revenue up",IF(T60&lt;-0.02,"Hurt - revenue down","Neutral - no real change"))))))</f>
        <v>0</v>
      </c>
    </row>
    <row r="61" spans="3:23">
      <c r="C61" s="13">
        <f>IF(B61="","",IFERROR(INDEX(Products!$B$5:$B$304,MATCH(B61,Products!$A$5:$A$304,0)),"Not found"))</f>
        <v>0</v>
      </c>
      <c r="L61" s="13">
        <f>IF(A61="","",TEXT(A61,"yyyy-mm"))</f>
        <v>0</v>
      </c>
      <c r="M61" s="20">
        <f>IF(A61="","",IF(OR(D61="",E61=""),"",ROUND(E61-D61,2)))</f>
        <v>0</v>
      </c>
      <c r="N61" s="33">
        <f>IF(A61="","",IF(OR(D61="",D61=0,E61=""),"",E61/D61-1))</f>
        <v>0</v>
      </c>
      <c r="O61" s="20">
        <f>IF(A61="","",IF(F61&lt;&gt;"",F61,IFERROR(INDEX(Products!$AT$5:$AT$304,MATCH(B61,Products!$A$5:$A$304,0)),"")))</f>
        <v>0</v>
      </c>
      <c r="P61" s="33">
        <f>IF(A61="","",IF(OR(D61="",D61=0,O61=""),"",(D61-O61)/D61))</f>
        <v>0</v>
      </c>
      <c r="Q61" s="33">
        <f>IF(A61="","",IF(OR(E61="",E61=0,O61=""),"",(E61-O61)/E61))</f>
        <v>0</v>
      </c>
      <c r="R61" s="33">
        <f>IF(A61="","",IF(OR(P61="",Q61=""),"",Q61-P61))</f>
        <v>0</v>
      </c>
      <c r="S61" s="33">
        <f>IF(A61="","",IF(OR(I61="",I61=0,J61=""),"",J61/I61-1))</f>
        <v>0</v>
      </c>
      <c r="T61" s="33">
        <f>IF(A61="","",IF(OR(S61="",N61=""),"",(1+N61)*(1+S61)-1))</f>
        <v>0</v>
      </c>
      <c r="U61" s="32">
        <f>IF(B61="","",COUNTIFS($B$5:B61,B61))</f>
        <v>0</v>
      </c>
      <c r="V61" s="32">
        <f>IF(A61="","",TodayDate-A61)</f>
        <v>0</v>
      </c>
      <c r="W61" s="43">
        <f>IF(A61="","",IF(M61="","Add - old and new price",IF(Q61&lt;0,"Loss - priced below cost",IF(T61="","Watch - no volume data yet",IF(T61&gt;0.02,"Worked - revenue up",IF(T61&lt;-0.02,"Hurt - revenue down","Neutral - no real change"))))))</f>
        <v>0</v>
      </c>
    </row>
    <row r="62" spans="3:23">
      <c r="C62" s="13">
        <f>IF(B62="","",IFERROR(INDEX(Products!$B$5:$B$304,MATCH(B62,Products!$A$5:$A$304,0)),"Not found"))</f>
        <v>0</v>
      </c>
      <c r="L62" s="13">
        <f>IF(A62="","",TEXT(A62,"yyyy-mm"))</f>
        <v>0</v>
      </c>
      <c r="M62" s="20">
        <f>IF(A62="","",IF(OR(D62="",E62=""),"",ROUND(E62-D62,2)))</f>
        <v>0</v>
      </c>
      <c r="N62" s="33">
        <f>IF(A62="","",IF(OR(D62="",D62=0,E62=""),"",E62/D62-1))</f>
        <v>0</v>
      </c>
      <c r="O62" s="20">
        <f>IF(A62="","",IF(F62&lt;&gt;"",F62,IFERROR(INDEX(Products!$AT$5:$AT$304,MATCH(B62,Products!$A$5:$A$304,0)),"")))</f>
        <v>0</v>
      </c>
      <c r="P62" s="33">
        <f>IF(A62="","",IF(OR(D62="",D62=0,O62=""),"",(D62-O62)/D62))</f>
        <v>0</v>
      </c>
      <c r="Q62" s="33">
        <f>IF(A62="","",IF(OR(E62="",E62=0,O62=""),"",(E62-O62)/E62))</f>
        <v>0</v>
      </c>
      <c r="R62" s="33">
        <f>IF(A62="","",IF(OR(P62="",Q62=""),"",Q62-P62))</f>
        <v>0</v>
      </c>
      <c r="S62" s="33">
        <f>IF(A62="","",IF(OR(I62="",I62=0,J62=""),"",J62/I62-1))</f>
        <v>0</v>
      </c>
      <c r="T62" s="33">
        <f>IF(A62="","",IF(OR(S62="",N62=""),"",(1+N62)*(1+S62)-1))</f>
        <v>0</v>
      </c>
      <c r="U62" s="32">
        <f>IF(B62="","",COUNTIFS($B$5:B62,B62))</f>
        <v>0</v>
      </c>
      <c r="V62" s="32">
        <f>IF(A62="","",TodayDate-A62)</f>
        <v>0</v>
      </c>
      <c r="W62" s="43">
        <f>IF(A62="","",IF(M62="","Add - old and new price",IF(Q62&lt;0,"Loss - priced below cost",IF(T62="","Watch - no volume data yet",IF(T62&gt;0.02,"Worked - revenue up",IF(T62&lt;-0.02,"Hurt - revenue down","Neutral - no real change"))))))</f>
        <v>0</v>
      </c>
    </row>
    <row r="63" spans="3:23">
      <c r="C63" s="13">
        <f>IF(B63="","",IFERROR(INDEX(Products!$B$5:$B$304,MATCH(B63,Products!$A$5:$A$304,0)),"Not found"))</f>
        <v>0</v>
      </c>
      <c r="L63" s="13">
        <f>IF(A63="","",TEXT(A63,"yyyy-mm"))</f>
        <v>0</v>
      </c>
      <c r="M63" s="20">
        <f>IF(A63="","",IF(OR(D63="",E63=""),"",ROUND(E63-D63,2)))</f>
        <v>0</v>
      </c>
      <c r="N63" s="33">
        <f>IF(A63="","",IF(OR(D63="",D63=0,E63=""),"",E63/D63-1))</f>
        <v>0</v>
      </c>
      <c r="O63" s="20">
        <f>IF(A63="","",IF(F63&lt;&gt;"",F63,IFERROR(INDEX(Products!$AT$5:$AT$304,MATCH(B63,Products!$A$5:$A$304,0)),"")))</f>
        <v>0</v>
      </c>
      <c r="P63" s="33">
        <f>IF(A63="","",IF(OR(D63="",D63=0,O63=""),"",(D63-O63)/D63))</f>
        <v>0</v>
      </c>
      <c r="Q63" s="33">
        <f>IF(A63="","",IF(OR(E63="",E63=0,O63=""),"",(E63-O63)/E63))</f>
        <v>0</v>
      </c>
      <c r="R63" s="33">
        <f>IF(A63="","",IF(OR(P63="",Q63=""),"",Q63-P63))</f>
        <v>0</v>
      </c>
      <c r="S63" s="33">
        <f>IF(A63="","",IF(OR(I63="",I63=0,J63=""),"",J63/I63-1))</f>
        <v>0</v>
      </c>
      <c r="T63" s="33">
        <f>IF(A63="","",IF(OR(S63="",N63=""),"",(1+N63)*(1+S63)-1))</f>
        <v>0</v>
      </c>
      <c r="U63" s="32">
        <f>IF(B63="","",COUNTIFS($B$5:B63,B63))</f>
        <v>0</v>
      </c>
      <c r="V63" s="32">
        <f>IF(A63="","",TodayDate-A63)</f>
        <v>0</v>
      </c>
      <c r="W63" s="43">
        <f>IF(A63="","",IF(M63="","Add - old and new price",IF(Q63&lt;0,"Loss - priced below cost",IF(T63="","Watch - no volume data yet",IF(T63&gt;0.02,"Worked - revenue up",IF(T63&lt;-0.02,"Hurt - revenue down","Neutral - no real change"))))))</f>
        <v>0</v>
      </c>
    </row>
    <row r="64" spans="3:23">
      <c r="C64" s="13">
        <f>IF(B64="","",IFERROR(INDEX(Products!$B$5:$B$304,MATCH(B64,Products!$A$5:$A$304,0)),"Not found"))</f>
        <v>0</v>
      </c>
      <c r="L64" s="13">
        <f>IF(A64="","",TEXT(A64,"yyyy-mm"))</f>
        <v>0</v>
      </c>
      <c r="M64" s="20">
        <f>IF(A64="","",IF(OR(D64="",E64=""),"",ROUND(E64-D64,2)))</f>
        <v>0</v>
      </c>
      <c r="N64" s="33">
        <f>IF(A64="","",IF(OR(D64="",D64=0,E64=""),"",E64/D64-1))</f>
        <v>0</v>
      </c>
      <c r="O64" s="20">
        <f>IF(A64="","",IF(F64&lt;&gt;"",F64,IFERROR(INDEX(Products!$AT$5:$AT$304,MATCH(B64,Products!$A$5:$A$304,0)),"")))</f>
        <v>0</v>
      </c>
      <c r="P64" s="33">
        <f>IF(A64="","",IF(OR(D64="",D64=0,O64=""),"",(D64-O64)/D64))</f>
        <v>0</v>
      </c>
      <c r="Q64" s="33">
        <f>IF(A64="","",IF(OR(E64="",E64=0,O64=""),"",(E64-O64)/E64))</f>
        <v>0</v>
      </c>
      <c r="R64" s="33">
        <f>IF(A64="","",IF(OR(P64="",Q64=""),"",Q64-P64))</f>
        <v>0</v>
      </c>
      <c r="S64" s="33">
        <f>IF(A64="","",IF(OR(I64="",I64=0,J64=""),"",J64/I64-1))</f>
        <v>0</v>
      </c>
      <c r="T64" s="33">
        <f>IF(A64="","",IF(OR(S64="",N64=""),"",(1+N64)*(1+S64)-1))</f>
        <v>0</v>
      </c>
      <c r="U64" s="32">
        <f>IF(B64="","",COUNTIFS($B$5:B64,B64))</f>
        <v>0</v>
      </c>
      <c r="V64" s="32">
        <f>IF(A64="","",TodayDate-A64)</f>
        <v>0</v>
      </c>
      <c r="W64" s="43">
        <f>IF(A64="","",IF(M64="","Add - old and new price",IF(Q64&lt;0,"Loss - priced below cost",IF(T64="","Watch - no volume data yet",IF(T64&gt;0.02,"Worked - revenue up",IF(T64&lt;-0.02,"Hurt - revenue down","Neutral - no real change"))))))</f>
        <v>0</v>
      </c>
    </row>
    <row r="65" spans="3:23">
      <c r="C65" s="13">
        <f>IF(B65="","",IFERROR(INDEX(Products!$B$5:$B$304,MATCH(B65,Products!$A$5:$A$304,0)),"Not found"))</f>
        <v>0</v>
      </c>
      <c r="L65" s="13">
        <f>IF(A65="","",TEXT(A65,"yyyy-mm"))</f>
        <v>0</v>
      </c>
      <c r="M65" s="20">
        <f>IF(A65="","",IF(OR(D65="",E65=""),"",ROUND(E65-D65,2)))</f>
        <v>0</v>
      </c>
      <c r="N65" s="33">
        <f>IF(A65="","",IF(OR(D65="",D65=0,E65=""),"",E65/D65-1))</f>
        <v>0</v>
      </c>
      <c r="O65" s="20">
        <f>IF(A65="","",IF(F65&lt;&gt;"",F65,IFERROR(INDEX(Products!$AT$5:$AT$304,MATCH(B65,Products!$A$5:$A$304,0)),"")))</f>
        <v>0</v>
      </c>
      <c r="P65" s="33">
        <f>IF(A65="","",IF(OR(D65="",D65=0,O65=""),"",(D65-O65)/D65))</f>
        <v>0</v>
      </c>
      <c r="Q65" s="33">
        <f>IF(A65="","",IF(OR(E65="",E65=0,O65=""),"",(E65-O65)/E65))</f>
        <v>0</v>
      </c>
      <c r="R65" s="33">
        <f>IF(A65="","",IF(OR(P65="",Q65=""),"",Q65-P65))</f>
        <v>0</v>
      </c>
      <c r="S65" s="33">
        <f>IF(A65="","",IF(OR(I65="",I65=0,J65=""),"",J65/I65-1))</f>
        <v>0</v>
      </c>
      <c r="T65" s="33">
        <f>IF(A65="","",IF(OR(S65="",N65=""),"",(1+N65)*(1+S65)-1))</f>
        <v>0</v>
      </c>
      <c r="U65" s="32">
        <f>IF(B65="","",COUNTIFS($B$5:B65,B65))</f>
        <v>0</v>
      </c>
      <c r="V65" s="32">
        <f>IF(A65="","",TodayDate-A65)</f>
        <v>0</v>
      </c>
      <c r="W65" s="43">
        <f>IF(A65="","",IF(M65="","Add - old and new price",IF(Q65&lt;0,"Loss - priced below cost",IF(T65="","Watch - no volume data yet",IF(T65&gt;0.02,"Worked - revenue up",IF(T65&lt;-0.02,"Hurt - revenue down","Neutral - no real change"))))))</f>
        <v>0</v>
      </c>
    </row>
    <row r="66" spans="3:23">
      <c r="C66" s="13">
        <f>IF(B66="","",IFERROR(INDEX(Products!$B$5:$B$304,MATCH(B66,Products!$A$5:$A$304,0)),"Not found"))</f>
        <v>0</v>
      </c>
      <c r="L66" s="13">
        <f>IF(A66="","",TEXT(A66,"yyyy-mm"))</f>
        <v>0</v>
      </c>
      <c r="M66" s="20">
        <f>IF(A66="","",IF(OR(D66="",E66=""),"",ROUND(E66-D66,2)))</f>
        <v>0</v>
      </c>
      <c r="N66" s="33">
        <f>IF(A66="","",IF(OR(D66="",D66=0,E66=""),"",E66/D66-1))</f>
        <v>0</v>
      </c>
      <c r="O66" s="20">
        <f>IF(A66="","",IF(F66&lt;&gt;"",F66,IFERROR(INDEX(Products!$AT$5:$AT$304,MATCH(B66,Products!$A$5:$A$304,0)),"")))</f>
        <v>0</v>
      </c>
      <c r="P66" s="33">
        <f>IF(A66="","",IF(OR(D66="",D66=0,O66=""),"",(D66-O66)/D66))</f>
        <v>0</v>
      </c>
      <c r="Q66" s="33">
        <f>IF(A66="","",IF(OR(E66="",E66=0,O66=""),"",(E66-O66)/E66))</f>
        <v>0</v>
      </c>
      <c r="R66" s="33">
        <f>IF(A66="","",IF(OR(P66="",Q66=""),"",Q66-P66))</f>
        <v>0</v>
      </c>
      <c r="S66" s="33">
        <f>IF(A66="","",IF(OR(I66="",I66=0,J66=""),"",J66/I66-1))</f>
        <v>0</v>
      </c>
      <c r="T66" s="33">
        <f>IF(A66="","",IF(OR(S66="",N66=""),"",(1+N66)*(1+S66)-1))</f>
        <v>0</v>
      </c>
      <c r="U66" s="32">
        <f>IF(B66="","",COUNTIFS($B$5:B66,B66))</f>
        <v>0</v>
      </c>
      <c r="V66" s="32">
        <f>IF(A66="","",TodayDate-A66)</f>
        <v>0</v>
      </c>
      <c r="W66" s="43">
        <f>IF(A66="","",IF(M66="","Add - old and new price",IF(Q66&lt;0,"Loss - priced below cost",IF(T66="","Watch - no volume data yet",IF(T66&gt;0.02,"Worked - revenue up",IF(T66&lt;-0.02,"Hurt - revenue down","Neutral - no real change"))))))</f>
        <v>0</v>
      </c>
    </row>
    <row r="67" spans="3:23">
      <c r="C67" s="13">
        <f>IF(B67="","",IFERROR(INDEX(Products!$B$5:$B$304,MATCH(B67,Products!$A$5:$A$304,0)),"Not found"))</f>
        <v>0</v>
      </c>
      <c r="L67" s="13">
        <f>IF(A67="","",TEXT(A67,"yyyy-mm"))</f>
        <v>0</v>
      </c>
      <c r="M67" s="20">
        <f>IF(A67="","",IF(OR(D67="",E67=""),"",ROUND(E67-D67,2)))</f>
        <v>0</v>
      </c>
      <c r="N67" s="33">
        <f>IF(A67="","",IF(OR(D67="",D67=0,E67=""),"",E67/D67-1))</f>
        <v>0</v>
      </c>
      <c r="O67" s="20">
        <f>IF(A67="","",IF(F67&lt;&gt;"",F67,IFERROR(INDEX(Products!$AT$5:$AT$304,MATCH(B67,Products!$A$5:$A$304,0)),"")))</f>
        <v>0</v>
      </c>
      <c r="P67" s="33">
        <f>IF(A67="","",IF(OR(D67="",D67=0,O67=""),"",(D67-O67)/D67))</f>
        <v>0</v>
      </c>
      <c r="Q67" s="33">
        <f>IF(A67="","",IF(OR(E67="",E67=0,O67=""),"",(E67-O67)/E67))</f>
        <v>0</v>
      </c>
      <c r="R67" s="33">
        <f>IF(A67="","",IF(OR(P67="",Q67=""),"",Q67-P67))</f>
        <v>0</v>
      </c>
      <c r="S67" s="33">
        <f>IF(A67="","",IF(OR(I67="",I67=0,J67=""),"",J67/I67-1))</f>
        <v>0</v>
      </c>
      <c r="T67" s="33">
        <f>IF(A67="","",IF(OR(S67="",N67=""),"",(1+N67)*(1+S67)-1))</f>
        <v>0</v>
      </c>
      <c r="U67" s="32">
        <f>IF(B67="","",COUNTIFS($B$5:B67,B67))</f>
        <v>0</v>
      </c>
      <c r="V67" s="32">
        <f>IF(A67="","",TodayDate-A67)</f>
        <v>0</v>
      </c>
      <c r="W67" s="43">
        <f>IF(A67="","",IF(M67="","Add - old and new price",IF(Q67&lt;0,"Loss - priced below cost",IF(T67="","Watch - no volume data yet",IF(T67&gt;0.02,"Worked - revenue up",IF(T67&lt;-0.02,"Hurt - revenue down","Neutral - no real change"))))))</f>
        <v>0</v>
      </c>
    </row>
    <row r="68" spans="3:23">
      <c r="C68" s="13">
        <f>IF(B68="","",IFERROR(INDEX(Products!$B$5:$B$304,MATCH(B68,Products!$A$5:$A$304,0)),"Not found"))</f>
        <v>0</v>
      </c>
      <c r="L68" s="13">
        <f>IF(A68="","",TEXT(A68,"yyyy-mm"))</f>
        <v>0</v>
      </c>
      <c r="M68" s="20">
        <f>IF(A68="","",IF(OR(D68="",E68=""),"",ROUND(E68-D68,2)))</f>
        <v>0</v>
      </c>
      <c r="N68" s="33">
        <f>IF(A68="","",IF(OR(D68="",D68=0,E68=""),"",E68/D68-1))</f>
        <v>0</v>
      </c>
      <c r="O68" s="20">
        <f>IF(A68="","",IF(F68&lt;&gt;"",F68,IFERROR(INDEX(Products!$AT$5:$AT$304,MATCH(B68,Products!$A$5:$A$304,0)),"")))</f>
        <v>0</v>
      </c>
      <c r="P68" s="33">
        <f>IF(A68="","",IF(OR(D68="",D68=0,O68=""),"",(D68-O68)/D68))</f>
        <v>0</v>
      </c>
      <c r="Q68" s="33">
        <f>IF(A68="","",IF(OR(E68="",E68=0,O68=""),"",(E68-O68)/E68))</f>
        <v>0</v>
      </c>
      <c r="R68" s="33">
        <f>IF(A68="","",IF(OR(P68="",Q68=""),"",Q68-P68))</f>
        <v>0</v>
      </c>
      <c r="S68" s="33">
        <f>IF(A68="","",IF(OR(I68="",I68=0,J68=""),"",J68/I68-1))</f>
        <v>0</v>
      </c>
      <c r="T68" s="33">
        <f>IF(A68="","",IF(OR(S68="",N68=""),"",(1+N68)*(1+S68)-1))</f>
        <v>0</v>
      </c>
      <c r="U68" s="32">
        <f>IF(B68="","",COUNTIFS($B$5:B68,B68))</f>
        <v>0</v>
      </c>
      <c r="V68" s="32">
        <f>IF(A68="","",TodayDate-A68)</f>
        <v>0</v>
      </c>
      <c r="W68" s="43">
        <f>IF(A68="","",IF(M68="","Add - old and new price",IF(Q68&lt;0,"Loss - priced below cost",IF(T68="","Watch - no volume data yet",IF(T68&gt;0.02,"Worked - revenue up",IF(T68&lt;-0.02,"Hurt - revenue down","Neutral - no real change"))))))</f>
        <v>0</v>
      </c>
    </row>
    <row r="69" spans="3:23">
      <c r="C69" s="13">
        <f>IF(B69="","",IFERROR(INDEX(Products!$B$5:$B$304,MATCH(B69,Products!$A$5:$A$304,0)),"Not found"))</f>
        <v>0</v>
      </c>
      <c r="L69" s="13">
        <f>IF(A69="","",TEXT(A69,"yyyy-mm"))</f>
        <v>0</v>
      </c>
      <c r="M69" s="20">
        <f>IF(A69="","",IF(OR(D69="",E69=""),"",ROUND(E69-D69,2)))</f>
        <v>0</v>
      </c>
      <c r="N69" s="33">
        <f>IF(A69="","",IF(OR(D69="",D69=0,E69=""),"",E69/D69-1))</f>
        <v>0</v>
      </c>
      <c r="O69" s="20">
        <f>IF(A69="","",IF(F69&lt;&gt;"",F69,IFERROR(INDEX(Products!$AT$5:$AT$304,MATCH(B69,Products!$A$5:$A$304,0)),"")))</f>
        <v>0</v>
      </c>
      <c r="P69" s="33">
        <f>IF(A69="","",IF(OR(D69="",D69=0,O69=""),"",(D69-O69)/D69))</f>
        <v>0</v>
      </c>
      <c r="Q69" s="33">
        <f>IF(A69="","",IF(OR(E69="",E69=0,O69=""),"",(E69-O69)/E69))</f>
        <v>0</v>
      </c>
      <c r="R69" s="33">
        <f>IF(A69="","",IF(OR(P69="",Q69=""),"",Q69-P69))</f>
        <v>0</v>
      </c>
      <c r="S69" s="33">
        <f>IF(A69="","",IF(OR(I69="",I69=0,J69=""),"",J69/I69-1))</f>
        <v>0</v>
      </c>
      <c r="T69" s="33">
        <f>IF(A69="","",IF(OR(S69="",N69=""),"",(1+N69)*(1+S69)-1))</f>
        <v>0</v>
      </c>
      <c r="U69" s="32">
        <f>IF(B69="","",COUNTIFS($B$5:B69,B69))</f>
        <v>0</v>
      </c>
      <c r="V69" s="32">
        <f>IF(A69="","",TodayDate-A69)</f>
        <v>0</v>
      </c>
      <c r="W69" s="43">
        <f>IF(A69="","",IF(M69="","Add - old and new price",IF(Q69&lt;0,"Loss - priced below cost",IF(T69="","Watch - no volume data yet",IF(T69&gt;0.02,"Worked - revenue up",IF(T69&lt;-0.02,"Hurt - revenue down","Neutral - no real change"))))))</f>
        <v>0</v>
      </c>
    </row>
    <row r="70" spans="3:23">
      <c r="C70" s="13">
        <f>IF(B70="","",IFERROR(INDEX(Products!$B$5:$B$304,MATCH(B70,Products!$A$5:$A$304,0)),"Not found"))</f>
        <v>0</v>
      </c>
      <c r="L70" s="13">
        <f>IF(A70="","",TEXT(A70,"yyyy-mm"))</f>
        <v>0</v>
      </c>
      <c r="M70" s="20">
        <f>IF(A70="","",IF(OR(D70="",E70=""),"",ROUND(E70-D70,2)))</f>
        <v>0</v>
      </c>
      <c r="N70" s="33">
        <f>IF(A70="","",IF(OR(D70="",D70=0,E70=""),"",E70/D70-1))</f>
        <v>0</v>
      </c>
      <c r="O70" s="20">
        <f>IF(A70="","",IF(F70&lt;&gt;"",F70,IFERROR(INDEX(Products!$AT$5:$AT$304,MATCH(B70,Products!$A$5:$A$304,0)),"")))</f>
        <v>0</v>
      </c>
      <c r="P70" s="33">
        <f>IF(A70="","",IF(OR(D70="",D70=0,O70=""),"",(D70-O70)/D70))</f>
        <v>0</v>
      </c>
      <c r="Q70" s="33">
        <f>IF(A70="","",IF(OR(E70="",E70=0,O70=""),"",(E70-O70)/E70))</f>
        <v>0</v>
      </c>
      <c r="R70" s="33">
        <f>IF(A70="","",IF(OR(P70="",Q70=""),"",Q70-P70))</f>
        <v>0</v>
      </c>
      <c r="S70" s="33">
        <f>IF(A70="","",IF(OR(I70="",I70=0,J70=""),"",J70/I70-1))</f>
        <v>0</v>
      </c>
      <c r="T70" s="33">
        <f>IF(A70="","",IF(OR(S70="",N70=""),"",(1+N70)*(1+S70)-1))</f>
        <v>0</v>
      </c>
      <c r="U70" s="32">
        <f>IF(B70="","",COUNTIFS($B$5:B70,B70))</f>
        <v>0</v>
      </c>
      <c r="V70" s="32">
        <f>IF(A70="","",TodayDate-A70)</f>
        <v>0</v>
      </c>
      <c r="W70" s="43">
        <f>IF(A70="","",IF(M70="","Add - old and new price",IF(Q70&lt;0,"Loss - priced below cost",IF(T70="","Watch - no volume data yet",IF(T70&gt;0.02,"Worked - revenue up",IF(T70&lt;-0.02,"Hurt - revenue down","Neutral - no real change"))))))</f>
        <v>0</v>
      </c>
    </row>
    <row r="71" spans="3:23">
      <c r="C71" s="13">
        <f>IF(B71="","",IFERROR(INDEX(Products!$B$5:$B$304,MATCH(B71,Products!$A$5:$A$304,0)),"Not found"))</f>
        <v>0</v>
      </c>
      <c r="L71" s="13">
        <f>IF(A71="","",TEXT(A71,"yyyy-mm"))</f>
        <v>0</v>
      </c>
      <c r="M71" s="20">
        <f>IF(A71="","",IF(OR(D71="",E71=""),"",ROUND(E71-D71,2)))</f>
        <v>0</v>
      </c>
      <c r="N71" s="33">
        <f>IF(A71="","",IF(OR(D71="",D71=0,E71=""),"",E71/D71-1))</f>
        <v>0</v>
      </c>
      <c r="O71" s="20">
        <f>IF(A71="","",IF(F71&lt;&gt;"",F71,IFERROR(INDEX(Products!$AT$5:$AT$304,MATCH(B71,Products!$A$5:$A$304,0)),"")))</f>
        <v>0</v>
      </c>
      <c r="P71" s="33">
        <f>IF(A71="","",IF(OR(D71="",D71=0,O71=""),"",(D71-O71)/D71))</f>
        <v>0</v>
      </c>
      <c r="Q71" s="33">
        <f>IF(A71="","",IF(OR(E71="",E71=0,O71=""),"",(E71-O71)/E71))</f>
        <v>0</v>
      </c>
      <c r="R71" s="33">
        <f>IF(A71="","",IF(OR(P71="",Q71=""),"",Q71-P71))</f>
        <v>0</v>
      </c>
      <c r="S71" s="33">
        <f>IF(A71="","",IF(OR(I71="",I71=0,J71=""),"",J71/I71-1))</f>
        <v>0</v>
      </c>
      <c r="T71" s="33">
        <f>IF(A71="","",IF(OR(S71="",N71=""),"",(1+N71)*(1+S71)-1))</f>
        <v>0</v>
      </c>
      <c r="U71" s="32">
        <f>IF(B71="","",COUNTIFS($B$5:B71,B71))</f>
        <v>0</v>
      </c>
      <c r="V71" s="32">
        <f>IF(A71="","",TodayDate-A71)</f>
        <v>0</v>
      </c>
      <c r="W71" s="43">
        <f>IF(A71="","",IF(M71="","Add - old and new price",IF(Q71&lt;0,"Loss - priced below cost",IF(T71="","Watch - no volume data yet",IF(T71&gt;0.02,"Worked - revenue up",IF(T71&lt;-0.02,"Hurt - revenue down","Neutral - no real change"))))))</f>
        <v>0</v>
      </c>
    </row>
    <row r="72" spans="3:23">
      <c r="C72" s="13">
        <f>IF(B72="","",IFERROR(INDEX(Products!$B$5:$B$304,MATCH(B72,Products!$A$5:$A$304,0)),"Not found"))</f>
        <v>0</v>
      </c>
      <c r="L72" s="13">
        <f>IF(A72="","",TEXT(A72,"yyyy-mm"))</f>
        <v>0</v>
      </c>
      <c r="M72" s="20">
        <f>IF(A72="","",IF(OR(D72="",E72=""),"",ROUND(E72-D72,2)))</f>
        <v>0</v>
      </c>
      <c r="N72" s="33">
        <f>IF(A72="","",IF(OR(D72="",D72=0,E72=""),"",E72/D72-1))</f>
        <v>0</v>
      </c>
      <c r="O72" s="20">
        <f>IF(A72="","",IF(F72&lt;&gt;"",F72,IFERROR(INDEX(Products!$AT$5:$AT$304,MATCH(B72,Products!$A$5:$A$304,0)),"")))</f>
        <v>0</v>
      </c>
      <c r="P72" s="33">
        <f>IF(A72="","",IF(OR(D72="",D72=0,O72=""),"",(D72-O72)/D72))</f>
        <v>0</v>
      </c>
      <c r="Q72" s="33">
        <f>IF(A72="","",IF(OR(E72="",E72=0,O72=""),"",(E72-O72)/E72))</f>
        <v>0</v>
      </c>
      <c r="R72" s="33">
        <f>IF(A72="","",IF(OR(P72="",Q72=""),"",Q72-P72))</f>
        <v>0</v>
      </c>
      <c r="S72" s="33">
        <f>IF(A72="","",IF(OR(I72="",I72=0,J72=""),"",J72/I72-1))</f>
        <v>0</v>
      </c>
      <c r="T72" s="33">
        <f>IF(A72="","",IF(OR(S72="",N72=""),"",(1+N72)*(1+S72)-1))</f>
        <v>0</v>
      </c>
      <c r="U72" s="32">
        <f>IF(B72="","",COUNTIFS($B$5:B72,B72))</f>
        <v>0</v>
      </c>
      <c r="V72" s="32">
        <f>IF(A72="","",TodayDate-A72)</f>
        <v>0</v>
      </c>
      <c r="W72" s="43">
        <f>IF(A72="","",IF(M72="","Add - old and new price",IF(Q72&lt;0,"Loss - priced below cost",IF(T72="","Watch - no volume data yet",IF(T72&gt;0.02,"Worked - revenue up",IF(T72&lt;-0.02,"Hurt - revenue down","Neutral - no real change"))))))</f>
        <v>0</v>
      </c>
    </row>
    <row r="73" spans="3:23">
      <c r="C73" s="13">
        <f>IF(B73="","",IFERROR(INDEX(Products!$B$5:$B$304,MATCH(B73,Products!$A$5:$A$304,0)),"Not found"))</f>
        <v>0</v>
      </c>
      <c r="L73" s="13">
        <f>IF(A73="","",TEXT(A73,"yyyy-mm"))</f>
        <v>0</v>
      </c>
      <c r="M73" s="20">
        <f>IF(A73="","",IF(OR(D73="",E73=""),"",ROUND(E73-D73,2)))</f>
        <v>0</v>
      </c>
      <c r="N73" s="33">
        <f>IF(A73="","",IF(OR(D73="",D73=0,E73=""),"",E73/D73-1))</f>
        <v>0</v>
      </c>
      <c r="O73" s="20">
        <f>IF(A73="","",IF(F73&lt;&gt;"",F73,IFERROR(INDEX(Products!$AT$5:$AT$304,MATCH(B73,Products!$A$5:$A$304,0)),"")))</f>
        <v>0</v>
      </c>
      <c r="P73" s="33">
        <f>IF(A73="","",IF(OR(D73="",D73=0,O73=""),"",(D73-O73)/D73))</f>
        <v>0</v>
      </c>
      <c r="Q73" s="33">
        <f>IF(A73="","",IF(OR(E73="",E73=0,O73=""),"",(E73-O73)/E73))</f>
        <v>0</v>
      </c>
      <c r="R73" s="33">
        <f>IF(A73="","",IF(OR(P73="",Q73=""),"",Q73-P73))</f>
        <v>0</v>
      </c>
      <c r="S73" s="33">
        <f>IF(A73="","",IF(OR(I73="",I73=0,J73=""),"",J73/I73-1))</f>
        <v>0</v>
      </c>
      <c r="T73" s="33">
        <f>IF(A73="","",IF(OR(S73="",N73=""),"",(1+N73)*(1+S73)-1))</f>
        <v>0</v>
      </c>
      <c r="U73" s="32">
        <f>IF(B73="","",COUNTIFS($B$5:B73,B73))</f>
        <v>0</v>
      </c>
      <c r="V73" s="32">
        <f>IF(A73="","",TodayDate-A73)</f>
        <v>0</v>
      </c>
      <c r="W73" s="43">
        <f>IF(A73="","",IF(M73="","Add - old and new price",IF(Q73&lt;0,"Loss - priced below cost",IF(T73="","Watch - no volume data yet",IF(T73&gt;0.02,"Worked - revenue up",IF(T73&lt;-0.02,"Hurt - revenue down","Neutral - no real change"))))))</f>
        <v>0</v>
      </c>
    </row>
    <row r="74" spans="3:23">
      <c r="C74" s="13">
        <f>IF(B74="","",IFERROR(INDEX(Products!$B$5:$B$304,MATCH(B74,Products!$A$5:$A$304,0)),"Not found"))</f>
        <v>0</v>
      </c>
      <c r="L74" s="13">
        <f>IF(A74="","",TEXT(A74,"yyyy-mm"))</f>
        <v>0</v>
      </c>
      <c r="M74" s="20">
        <f>IF(A74="","",IF(OR(D74="",E74=""),"",ROUND(E74-D74,2)))</f>
        <v>0</v>
      </c>
      <c r="N74" s="33">
        <f>IF(A74="","",IF(OR(D74="",D74=0,E74=""),"",E74/D74-1))</f>
        <v>0</v>
      </c>
      <c r="O74" s="20">
        <f>IF(A74="","",IF(F74&lt;&gt;"",F74,IFERROR(INDEX(Products!$AT$5:$AT$304,MATCH(B74,Products!$A$5:$A$304,0)),"")))</f>
        <v>0</v>
      </c>
      <c r="P74" s="33">
        <f>IF(A74="","",IF(OR(D74="",D74=0,O74=""),"",(D74-O74)/D74))</f>
        <v>0</v>
      </c>
      <c r="Q74" s="33">
        <f>IF(A74="","",IF(OR(E74="",E74=0,O74=""),"",(E74-O74)/E74))</f>
        <v>0</v>
      </c>
      <c r="R74" s="33">
        <f>IF(A74="","",IF(OR(P74="",Q74=""),"",Q74-P74))</f>
        <v>0</v>
      </c>
      <c r="S74" s="33">
        <f>IF(A74="","",IF(OR(I74="",I74=0,J74=""),"",J74/I74-1))</f>
        <v>0</v>
      </c>
      <c r="T74" s="33">
        <f>IF(A74="","",IF(OR(S74="",N74=""),"",(1+N74)*(1+S74)-1))</f>
        <v>0</v>
      </c>
      <c r="U74" s="32">
        <f>IF(B74="","",COUNTIFS($B$5:B74,B74))</f>
        <v>0</v>
      </c>
      <c r="V74" s="32">
        <f>IF(A74="","",TodayDate-A74)</f>
        <v>0</v>
      </c>
      <c r="W74" s="43">
        <f>IF(A74="","",IF(M74="","Add - old and new price",IF(Q74&lt;0,"Loss - priced below cost",IF(T74="","Watch - no volume data yet",IF(T74&gt;0.02,"Worked - revenue up",IF(T74&lt;-0.02,"Hurt - revenue down","Neutral - no real change"))))))</f>
        <v>0</v>
      </c>
    </row>
    <row r="75" spans="3:23">
      <c r="C75" s="13">
        <f>IF(B75="","",IFERROR(INDEX(Products!$B$5:$B$304,MATCH(B75,Products!$A$5:$A$304,0)),"Not found"))</f>
        <v>0</v>
      </c>
      <c r="L75" s="13">
        <f>IF(A75="","",TEXT(A75,"yyyy-mm"))</f>
        <v>0</v>
      </c>
      <c r="M75" s="20">
        <f>IF(A75="","",IF(OR(D75="",E75=""),"",ROUND(E75-D75,2)))</f>
        <v>0</v>
      </c>
      <c r="N75" s="33">
        <f>IF(A75="","",IF(OR(D75="",D75=0,E75=""),"",E75/D75-1))</f>
        <v>0</v>
      </c>
      <c r="O75" s="20">
        <f>IF(A75="","",IF(F75&lt;&gt;"",F75,IFERROR(INDEX(Products!$AT$5:$AT$304,MATCH(B75,Products!$A$5:$A$304,0)),"")))</f>
        <v>0</v>
      </c>
      <c r="P75" s="33">
        <f>IF(A75="","",IF(OR(D75="",D75=0,O75=""),"",(D75-O75)/D75))</f>
        <v>0</v>
      </c>
      <c r="Q75" s="33">
        <f>IF(A75="","",IF(OR(E75="",E75=0,O75=""),"",(E75-O75)/E75))</f>
        <v>0</v>
      </c>
      <c r="R75" s="33">
        <f>IF(A75="","",IF(OR(P75="",Q75=""),"",Q75-P75))</f>
        <v>0</v>
      </c>
      <c r="S75" s="33">
        <f>IF(A75="","",IF(OR(I75="",I75=0,J75=""),"",J75/I75-1))</f>
        <v>0</v>
      </c>
      <c r="T75" s="33">
        <f>IF(A75="","",IF(OR(S75="",N75=""),"",(1+N75)*(1+S75)-1))</f>
        <v>0</v>
      </c>
      <c r="U75" s="32">
        <f>IF(B75="","",COUNTIFS($B$5:B75,B75))</f>
        <v>0</v>
      </c>
      <c r="V75" s="32">
        <f>IF(A75="","",TodayDate-A75)</f>
        <v>0</v>
      </c>
      <c r="W75" s="43">
        <f>IF(A75="","",IF(M75="","Add - old and new price",IF(Q75&lt;0,"Loss - priced below cost",IF(T75="","Watch - no volume data yet",IF(T75&gt;0.02,"Worked - revenue up",IF(T75&lt;-0.02,"Hurt - revenue down","Neutral - no real change"))))))</f>
        <v>0</v>
      </c>
    </row>
    <row r="76" spans="3:23">
      <c r="C76" s="13">
        <f>IF(B76="","",IFERROR(INDEX(Products!$B$5:$B$304,MATCH(B76,Products!$A$5:$A$304,0)),"Not found"))</f>
        <v>0</v>
      </c>
      <c r="L76" s="13">
        <f>IF(A76="","",TEXT(A76,"yyyy-mm"))</f>
        <v>0</v>
      </c>
      <c r="M76" s="20">
        <f>IF(A76="","",IF(OR(D76="",E76=""),"",ROUND(E76-D76,2)))</f>
        <v>0</v>
      </c>
      <c r="N76" s="33">
        <f>IF(A76="","",IF(OR(D76="",D76=0,E76=""),"",E76/D76-1))</f>
        <v>0</v>
      </c>
      <c r="O76" s="20">
        <f>IF(A76="","",IF(F76&lt;&gt;"",F76,IFERROR(INDEX(Products!$AT$5:$AT$304,MATCH(B76,Products!$A$5:$A$304,0)),"")))</f>
        <v>0</v>
      </c>
      <c r="P76" s="33">
        <f>IF(A76="","",IF(OR(D76="",D76=0,O76=""),"",(D76-O76)/D76))</f>
        <v>0</v>
      </c>
      <c r="Q76" s="33">
        <f>IF(A76="","",IF(OR(E76="",E76=0,O76=""),"",(E76-O76)/E76))</f>
        <v>0</v>
      </c>
      <c r="R76" s="33">
        <f>IF(A76="","",IF(OR(P76="",Q76=""),"",Q76-P76))</f>
        <v>0</v>
      </c>
      <c r="S76" s="33">
        <f>IF(A76="","",IF(OR(I76="",I76=0,J76=""),"",J76/I76-1))</f>
        <v>0</v>
      </c>
      <c r="T76" s="33">
        <f>IF(A76="","",IF(OR(S76="",N76=""),"",(1+N76)*(1+S76)-1))</f>
        <v>0</v>
      </c>
      <c r="U76" s="32">
        <f>IF(B76="","",COUNTIFS($B$5:B76,B76))</f>
        <v>0</v>
      </c>
      <c r="V76" s="32">
        <f>IF(A76="","",TodayDate-A76)</f>
        <v>0</v>
      </c>
      <c r="W76" s="43">
        <f>IF(A76="","",IF(M76="","Add - old and new price",IF(Q76&lt;0,"Loss - priced below cost",IF(T76="","Watch - no volume data yet",IF(T76&gt;0.02,"Worked - revenue up",IF(T76&lt;-0.02,"Hurt - revenue down","Neutral - no real change"))))))</f>
        <v>0</v>
      </c>
    </row>
    <row r="77" spans="3:23">
      <c r="C77" s="13">
        <f>IF(B77="","",IFERROR(INDEX(Products!$B$5:$B$304,MATCH(B77,Products!$A$5:$A$304,0)),"Not found"))</f>
        <v>0</v>
      </c>
      <c r="L77" s="13">
        <f>IF(A77="","",TEXT(A77,"yyyy-mm"))</f>
        <v>0</v>
      </c>
      <c r="M77" s="20">
        <f>IF(A77="","",IF(OR(D77="",E77=""),"",ROUND(E77-D77,2)))</f>
        <v>0</v>
      </c>
      <c r="N77" s="33">
        <f>IF(A77="","",IF(OR(D77="",D77=0,E77=""),"",E77/D77-1))</f>
        <v>0</v>
      </c>
      <c r="O77" s="20">
        <f>IF(A77="","",IF(F77&lt;&gt;"",F77,IFERROR(INDEX(Products!$AT$5:$AT$304,MATCH(B77,Products!$A$5:$A$304,0)),"")))</f>
        <v>0</v>
      </c>
      <c r="P77" s="33">
        <f>IF(A77="","",IF(OR(D77="",D77=0,O77=""),"",(D77-O77)/D77))</f>
        <v>0</v>
      </c>
      <c r="Q77" s="33">
        <f>IF(A77="","",IF(OR(E77="",E77=0,O77=""),"",(E77-O77)/E77))</f>
        <v>0</v>
      </c>
      <c r="R77" s="33">
        <f>IF(A77="","",IF(OR(P77="",Q77=""),"",Q77-P77))</f>
        <v>0</v>
      </c>
      <c r="S77" s="33">
        <f>IF(A77="","",IF(OR(I77="",I77=0,J77=""),"",J77/I77-1))</f>
        <v>0</v>
      </c>
      <c r="T77" s="33">
        <f>IF(A77="","",IF(OR(S77="",N77=""),"",(1+N77)*(1+S77)-1))</f>
        <v>0</v>
      </c>
      <c r="U77" s="32">
        <f>IF(B77="","",COUNTIFS($B$5:B77,B77))</f>
        <v>0</v>
      </c>
      <c r="V77" s="32">
        <f>IF(A77="","",TodayDate-A77)</f>
        <v>0</v>
      </c>
      <c r="W77" s="43">
        <f>IF(A77="","",IF(M77="","Add - old and new price",IF(Q77&lt;0,"Loss - priced below cost",IF(T77="","Watch - no volume data yet",IF(T77&gt;0.02,"Worked - revenue up",IF(T77&lt;-0.02,"Hurt - revenue down","Neutral - no real change"))))))</f>
        <v>0</v>
      </c>
    </row>
    <row r="78" spans="3:23">
      <c r="C78" s="13">
        <f>IF(B78="","",IFERROR(INDEX(Products!$B$5:$B$304,MATCH(B78,Products!$A$5:$A$304,0)),"Not found"))</f>
        <v>0</v>
      </c>
      <c r="L78" s="13">
        <f>IF(A78="","",TEXT(A78,"yyyy-mm"))</f>
        <v>0</v>
      </c>
      <c r="M78" s="20">
        <f>IF(A78="","",IF(OR(D78="",E78=""),"",ROUND(E78-D78,2)))</f>
        <v>0</v>
      </c>
      <c r="N78" s="33">
        <f>IF(A78="","",IF(OR(D78="",D78=0,E78=""),"",E78/D78-1))</f>
        <v>0</v>
      </c>
      <c r="O78" s="20">
        <f>IF(A78="","",IF(F78&lt;&gt;"",F78,IFERROR(INDEX(Products!$AT$5:$AT$304,MATCH(B78,Products!$A$5:$A$304,0)),"")))</f>
        <v>0</v>
      </c>
      <c r="P78" s="33">
        <f>IF(A78="","",IF(OR(D78="",D78=0,O78=""),"",(D78-O78)/D78))</f>
        <v>0</v>
      </c>
      <c r="Q78" s="33">
        <f>IF(A78="","",IF(OR(E78="",E78=0,O78=""),"",(E78-O78)/E78))</f>
        <v>0</v>
      </c>
      <c r="R78" s="33">
        <f>IF(A78="","",IF(OR(P78="",Q78=""),"",Q78-P78))</f>
        <v>0</v>
      </c>
      <c r="S78" s="33">
        <f>IF(A78="","",IF(OR(I78="",I78=0,J78=""),"",J78/I78-1))</f>
        <v>0</v>
      </c>
      <c r="T78" s="33">
        <f>IF(A78="","",IF(OR(S78="",N78=""),"",(1+N78)*(1+S78)-1))</f>
        <v>0</v>
      </c>
      <c r="U78" s="32">
        <f>IF(B78="","",COUNTIFS($B$5:B78,B78))</f>
        <v>0</v>
      </c>
      <c r="V78" s="32">
        <f>IF(A78="","",TodayDate-A78)</f>
        <v>0</v>
      </c>
      <c r="W78" s="43">
        <f>IF(A78="","",IF(M78="","Add - old and new price",IF(Q78&lt;0,"Loss - priced below cost",IF(T78="","Watch - no volume data yet",IF(T78&gt;0.02,"Worked - revenue up",IF(T78&lt;-0.02,"Hurt - revenue down","Neutral - no real change"))))))</f>
        <v>0</v>
      </c>
    </row>
    <row r="79" spans="3:23">
      <c r="C79" s="13">
        <f>IF(B79="","",IFERROR(INDEX(Products!$B$5:$B$304,MATCH(B79,Products!$A$5:$A$304,0)),"Not found"))</f>
        <v>0</v>
      </c>
      <c r="L79" s="13">
        <f>IF(A79="","",TEXT(A79,"yyyy-mm"))</f>
        <v>0</v>
      </c>
      <c r="M79" s="20">
        <f>IF(A79="","",IF(OR(D79="",E79=""),"",ROUND(E79-D79,2)))</f>
        <v>0</v>
      </c>
      <c r="N79" s="33">
        <f>IF(A79="","",IF(OR(D79="",D79=0,E79=""),"",E79/D79-1))</f>
        <v>0</v>
      </c>
      <c r="O79" s="20">
        <f>IF(A79="","",IF(F79&lt;&gt;"",F79,IFERROR(INDEX(Products!$AT$5:$AT$304,MATCH(B79,Products!$A$5:$A$304,0)),"")))</f>
        <v>0</v>
      </c>
      <c r="P79" s="33">
        <f>IF(A79="","",IF(OR(D79="",D79=0,O79=""),"",(D79-O79)/D79))</f>
        <v>0</v>
      </c>
      <c r="Q79" s="33">
        <f>IF(A79="","",IF(OR(E79="",E79=0,O79=""),"",(E79-O79)/E79))</f>
        <v>0</v>
      </c>
      <c r="R79" s="33">
        <f>IF(A79="","",IF(OR(P79="",Q79=""),"",Q79-P79))</f>
        <v>0</v>
      </c>
      <c r="S79" s="33">
        <f>IF(A79="","",IF(OR(I79="",I79=0,J79=""),"",J79/I79-1))</f>
        <v>0</v>
      </c>
      <c r="T79" s="33">
        <f>IF(A79="","",IF(OR(S79="",N79=""),"",(1+N79)*(1+S79)-1))</f>
        <v>0</v>
      </c>
      <c r="U79" s="32">
        <f>IF(B79="","",COUNTIFS($B$5:B79,B79))</f>
        <v>0</v>
      </c>
      <c r="V79" s="32">
        <f>IF(A79="","",TodayDate-A79)</f>
        <v>0</v>
      </c>
      <c r="W79" s="43">
        <f>IF(A79="","",IF(M79="","Add - old and new price",IF(Q79&lt;0,"Loss - priced below cost",IF(T79="","Watch - no volume data yet",IF(T79&gt;0.02,"Worked - revenue up",IF(T79&lt;-0.02,"Hurt - revenue down","Neutral - no real change"))))))</f>
        <v>0</v>
      </c>
    </row>
    <row r="80" spans="3:23">
      <c r="C80" s="13">
        <f>IF(B80="","",IFERROR(INDEX(Products!$B$5:$B$304,MATCH(B80,Products!$A$5:$A$304,0)),"Not found"))</f>
        <v>0</v>
      </c>
      <c r="L80" s="13">
        <f>IF(A80="","",TEXT(A80,"yyyy-mm"))</f>
        <v>0</v>
      </c>
      <c r="M80" s="20">
        <f>IF(A80="","",IF(OR(D80="",E80=""),"",ROUND(E80-D80,2)))</f>
        <v>0</v>
      </c>
      <c r="N80" s="33">
        <f>IF(A80="","",IF(OR(D80="",D80=0,E80=""),"",E80/D80-1))</f>
        <v>0</v>
      </c>
      <c r="O80" s="20">
        <f>IF(A80="","",IF(F80&lt;&gt;"",F80,IFERROR(INDEX(Products!$AT$5:$AT$304,MATCH(B80,Products!$A$5:$A$304,0)),"")))</f>
        <v>0</v>
      </c>
      <c r="P80" s="33">
        <f>IF(A80="","",IF(OR(D80="",D80=0,O80=""),"",(D80-O80)/D80))</f>
        <v>0</v>
      </c>
      <c r="Q80" s="33">
        <f>IF(A80="","",IF(OR(E80="",E80=0,O80=""),"",(E80-O80)/E80))</f>
        <v>0</v>
      </c>
      <c r="R80" s="33">
        <f>IF(A80="","",IF(OR(P80="",Q80=""),"",Q80-P80))</f>
        <v>0</v>
      </c>
      <c r="S80" s="33">
        <f>IF(A80="","",IF(OR(I80="",I80=0,J80=""),"",J80/I80-1))</f>
        <v>0</v>
      </c>
      <c r="T80" s="33">
        <f>IF(A80="","",IF(OR(S80="",N80=""),"",(1+N80)*(1+S80)-1))</f>
        <v>0</v>
      </c>
      <c r="U80" s="32">
        <f>IF(B80="","",COUNTIFS($B$5:B80,B80))</f>
        <v>0</v>
      </c>
      <c r="V80" s="32">
        <f>IF(A80="","",TodayDate-A80)</f>
        <v>0</v>
      </c>
      <c r="W80" s="43">
        <f>IF(A80="","",IF(M80="","Add - old and new price",IF(Q80&lt;0,"Loss - priced below cost",IF(T80="","Watch - no volume data yet",IF(T80&gt;0.02,"Worked - revenue up",IF(T80&lt;-0.02,"Hurt - revenue down","Neutral - no real change"))))))</f>
        <v>0</v>
      </c>
    </row>
    <row r="81" spans="3:23">
      <c r="C81" s="13">
        <f>IF(B81="","",IFERROR(INDEX(Products!$B$5:$B$304,MATCH(B81,Products!$A$5:$A$304,0)),"Not found"))</f>
        <v>0</v>
      </c>
      <c r="L81" s="13">
        <f>IF(A81="","",TEXT(A81,"yyyy-mm"))</f>
        <v>0</v>
      </c>
      <c r="M81" s="20">
        <f>IF(A81="","",IF(OR(D81="",E81=""),"",ROUND(E81-D81,2)))</f>
        <v>0</v>
      </c>
      <c r="N81" s="33">
        <f>IF(A81="","",IF(OR(D81="",D81=0,E81=""),"",E81/D81-1))</f>
        <v>0</v>
      </c>
      <c r="O81" s="20">
        <f>IF(A81="","",IF(F81&lt;&gt;"",F81,IFERROR(INDEX(Products!$AT$5:$AT$304,MATCH(B81,Products!$A$5:$A$304,0)),"")))</f>
        <v>0</v>
      </c>
      <c r="P81" s="33">
        <f>IF(A81="","",IF(OR(D81="",D81=0,O81=""),"",(D81-O81)/D81))</f>
        <v>0</v>
      </c>
      <c r="Q81" s="33">
        <f>IF(A81="","",IF(OR(E81="",E81=0,O81=""),"",(E81-O81)/E81))</f>
        <v>0</v>
      </c>
      <c r="R81" s="33">
        <f>IF(A81="","",IF(OR(P81="",Q81=""),"",Q81-P81))</f>
        <v>0</v>
      </c>
      <c r="S81" s="33">
        <f>IF(A81="","",IF(OR(I81="",I81=0,J81=""),"",J81/I81-1))</f>
        <v>0</v>
      </c>
      <c r="T81" s="33">
        <f>IF(A81="","",IF(OR(S81="",N81=""),"",(1+N81)*(1+S81)-1))</f>
        <v>0</v>
      </c>
      <c r="U81" s="32">
        <f>IF(B81="","",COUNTIFS($B$5:B81,B81))</f>
        <v>0</v>
      </c>
      <c r="V81" s="32">
        <f>IF(A81="","",TodayDate-A81)</f>
        <v>0</v>
      </c>
      <c r="W81" s="43">
        <f>IF(A81="","",IF(M81="","Add - old and new price",IF(Q81&lt;0,"Loss - priced below cost",IF(T81="","Watch - no volume data yet",IF(T81&gt;0.02,"Worked - revenue up",IF(T81&lt;-0.02,"Hurt - revenue down","Neutral - no real change"))))))</f>
        <v>0</v>
      </c>
    </row>
    <row r="82" spans="3:23">
      <c r="C82" s="13">
        <f>IF(B82="","",IFERROR(INDEX(Products!$B$5:$B$304,MATCH(B82,Products!$A$5:$A$304,0)),"Not found"))</f>
        <v>0</v>
      </c>
      <c r="L82" s="13">
        <f>IF(A82="","",TEXT(A82,"yyyy-mm"))</f>
        <v>0</v>
      </c>
      <c r="M82" s="20">
        <f>IF(A82="","",IF(OR(D82="",E82=""),"",ROUND(E82-D82,2)))</f>
        <v>0</v>
      </c>
      <c r="N82" s="33">
        <f>IF(A82="","",IF(OR(D82="",D82=0,E82=""),"",E82/D82-1))</f>
        <v>0</v>
      </c>
      <c r="O82" s="20">
        <f>IF(A82="","",IF(F82&lt;&gt;"",F82,IFERROR(INDEX(Products!$AT$5:$AT$304,MATCH(B82,Products!$A$5:$A$304,0)),"")))</f>
        <v>0</v>
      </c>
      <c r="P82" s="33">
        <f>IF(A82="","",IF(OR(D82="",D82=0,O82=""),"",(D82-O82)/D82))</f>
        <v>0</v>
      </c>
      <c r="Q82" s="33">
        <f>IF(A82="","",IF(OR(E82="",E82=0,O82=""),"",(E82-O82)/E82))</f>
        <v>0</v>
      </c>
      <c r="R82" s="33">
        <f>IF(A82="","",IF(OR(P82="",Q82=""),"",Q82-P82))</f>
        <v>0</v>
      </c>
      <c r="S82" s="33">
        <f>IF(A82="","",IF(OR(I82="",I82=0,J82=""),"",J82/I82-1))</f>
        <v>0</v>
      </c>
      <c r="T82" s="33">
        <f>IF(A82="","",IF(OR(S82="",N82=""),"",(1+N82)*(1+S82)-1))</f>
        <v>0</v>
      </c>
      <c r="U82" s="32">
        <f>IF(B82="","",COUNTIFS($B$5:B82,B82))</f>
        <v>0</v>
      </c>
      <c r="V82" s="32">
        <f>IF(A82="","",TodayDate-A82)</f>
        <v>0</v>
      </c>
      <c r="W82" s="43">
        <f>IF(A82="","",IF(M82="","Add - old and new price",IF(Q82&lt;0,"Loss - priced below cost",IF(T82="","Watch - no volume data yet",IF(T82&gt;0.02,"Worked - revenue up",IF(T82&lt;-0.02,"Hurt - revenue down","Neutral - no real change"))))))</f>
        <v>0</v>
      </c>
    </row>
    <row r="83" spans="3:23">
      <c r="C83" s="13">
        <f>IF(B83="","",IFERROR(INDEX(Products!$B$5:$B$304,MATCH(B83,Products!$A$5:$A$304,0)),"Not found"))</f>
        <v>0</v>
      </c>
      <c r="L83" s="13">
        <f>IF(A83="","",TEXT(A83,"yyyy-mm"))</f>
        <v>0</v>
      </c>
      <c r="M83" s="20">
        <f>IF(A83="","",IF(OR(D83="",E83=""),"",ROUND(E83-D83,2)))</f>
        <v>0</v>
      </c>
      <c r="N83" s="33">
        <f>IF(A83="","",IF(OR(D83="",D83=0,E83=""),"",E83/D83-1))</f>
        <v>0</v>
      </c>
      <c r="O83" s="20">
        <f>IF(A83="","",IF(F83&lt;&gt;"",F83,IFERROR(INDEX(Products!$AT$5:$AT$304,MATCH(B83,Products!$A$5:$A$304,0)),"")))</f>
        <v>0</v>
      </c>
      <c r="P83" s="33">
        <f>IF(A83="","",IF(OR(D83="",D83=0,O83=""),"",(D83-O83)/D83))</f>
        <v>0</v>
      </c>
      <c r="Q83" s="33">
        <f>IF(A83="","",IF(OR(E83="",E83=0,O83=""),"",(E83-O83)/E83))</f>
        <v>0</v>
      </c>
      <c r="R83" s="33">
        <f>IF(A83="","",IF(OR(P83="",Q83=""),"",Q83-P83))</f>
        <v>0</v>
      </c>
      <c r="S83" s="33">
        <f>IF(A83="","",IF(OR(I83="",I83=0,J83=""),"",J83/I83-1))</f>
        <v>0</v>
      </c>
      <c r="T83" s="33">
        <f>IF(A83="","",IF(OR(S83="",N83=""),"",(1+N83)*(1+S83)-1))</f>
        <v>0</v>
      </c>
      <c r="U83" s="32">
        <f>IF(B83="","",COUNTIFS($B$5:B83,B83))</f>
        <v>0</v>
      </c>
      <c r="V83" s="32">
        <f>IF(A83="","",TodayDate-A83)</f>
        <v>0</v>
      </c>
      <c r="W83" s="43">
        <f>IF(A83="","",IF(M83="","Add - old and new price",IF(Q83&lt;0,"Loss - priced below cost",IF(T83="","Watch - no volume data yet",IF(T83&gt;0.02,"Worked - revenue up",IF(T83&lt;-0.02,"Hurt - revenue down","Neutral - no real change"))))))</f>
        <v>0</v>
      </c>
    </row>
    <row r="84" spans="3:23">
      <c r="C84" s="13">
        <f>IF(B84="","",IFERROR(INDEX(Products!$B$5:$B$304,MATCH(B84,Products!$A$5:$A$304,0)),"Not found"))</f>
        <v>0</v>
      </c>
      <c r="L84" s="13">
        <f>IF(A84="","",TEXT(A84,"yyyy-mm"))</f>
        <v>0</v>
      </c>
      <c r="M84" s="20">
        <f>IF(A84="","",IF(OR(D84="",E84=""),"",ROUND(E84-D84,2)))</f>
        <v>0</v>
      </c>
      <c r="N84" s="33">
        <f>IF(A84="","",IF(OR(D84="",D84=0,E84=""),"",E84/D84-1))</f>
        <v>0</v>
      </c>
      <c r="O84" s="20">
        <f>IF(A84="","",IF(F84&lt;&gt;"",F84,IFERROR(INDEX(Products!$AT$5:$AT$304,MATCH(B84,Products!$A$5:$A$304,0)),"")))</f>
        <v>0</v>
      </c>
      <c r="P84" s="33">
        <f>IF(A84="","",IF(OR(D84="",D84=0,O84=""),"",(D84-O84)/D84))</f>
        <v>0</v>
      </c>
      <c r="Q84" s="33">
        <f>IF(A84="","",IF(OR(E84="",E84=0,O84=""),"",(E84-O84)/E84))</f>
        <v>0</v>
      </c>
      <c r="R84" s="33">
        <f>IF(A84="","",IF(OR(P84="",Q84=""),"",Q84-P84))</f>
        <v>0</v>
      </c>
      <c r="S84" s="33">
        <f>IF(A84="","",IF(OR(I84="",I84=0,J84=""),"",J84/I84-1))</f>
        <v>0</v>
      </c>
      <c r="T84" s="33">
        <f>IF(A84="","",IF(OR(S84="",N84=""),"",(1+N84)*(1+S84)-1))</f>
        <v>0</v>
      </c>
      <c r="U84" s="32">
        <f>IF(B84="","",COUNTIFS($B$5:B84,B84))</f>
        <v>0</v>
      </c>
      <c r="V84" s="32">
        <f>IF(A84="","",TodayDate-A84)</f>
        <v>0</v>
      </c>
      <c r="W84" s="43">
        <f>IF(A84="","",IF(M84="","Add - old and new price",IF(Q84&lt;0,"Loss - priced below cost",IF(T84="","Watch - no volume data yet",IF(T84&gt;0.02,"Worked - revenue up",IF(T84&lt;-0.02,"Hurt - revenue down","Neutral - no real change"))))))</f>
        <v>0</v>
      </c>
    </row>
    <row r="85" spans="3:23">
      <c r="C85" s="13">
        <f>IF(B85="","",IFERROR(INDEX(Products!$B$5:$B$304,MATCH(B85,Products!$A$5:$A$304,0)),"Not found"))</f>
        <v>0</v>
      </c>
      <c r="L85" s="13">
        <f>IF(A85="","",TEXT(A85,"yyyy-mm"))</f>
        <v>0</v>
      </c>
      <c r="M85" s="20">
        <f>IF(A85="","",IF(OR(D85="",E85=""),"",ROUND(E85-D85,2)))</f>
        <v>0</v>
      </c>
      <c r="N85" s="33">
        <f>IF(A85="","",IF(OR(D85="",D85=0,E85=""),"",E85/D85-1))</f>
        <v>0</v>
      </c>
      <c r="O85" s="20">
        <f>IF(A85="","",IF(F85&lt;&gt;"",F85,IFERROR(INDEX(Products!$AT$5:$AT$304,MATCH(B85,Products!$A$5:$A$304,0)),"")))</f>
        <v>0</v>
      </c>
      <c r="P85" s="33">
        <f>IF(A85="","",IF(OR(D85="",D85=0,O85=""),"",(D85-O85)/D85))</f>
        <v>0</v>
      </c>
      <c r="Q85" s="33">
        <f>IF(A85="","",IF(OR(E85="",E85=0,O85=""),"",(E85-O85)/E85))</f>
        <v>0</v>
      </c>
      <c r="R85" s="33">
        <f>IF(A85="","",IF(OR(P85="",Q85=""),"",Q85-P85))</f>
        <v>0</v>
      </c>
      <c r="S85" s="33">
        <f>IF(A85="","",IF(OR(I85="",I85=0,J85=""),"",J85/I85-1))</f>
        <v>0</v>
      </c>
      <c r="T85" s="33">
        <f>IF(A85="","",IF(OR(S85="",N85=""),"",(1+N85)*(1+S85)-1))</f>
        <v>0</v>
      </c>
      <c r="U85" s="32">
        <f>IF(B85="","",COUNTIFS($B$5:B85,B85))</f>
        <v>0</v>
      </c>
      <c r="V85" s="32">
        <f>IF(A85="","",TodayDate-A85)</f>
        <v>0</v>
      </c>
      <c r="W85" s="43">
        <f>IF(A85="","",IF(M85="","Add - old and new price",IF(Q85&lt;0,"Loss - priced below cost",IF(T85="","Watch - no volume data yet",IF(T85&gt;0.02,"Worked - revenue up",IF(T85&lt;-0.02,"Hurt - revenue down","Neutral - no real change"))))))</f>
        <v>0</v>
      </c>
    </row>
    <row r="86" spans="3:23">
      <c r="C86" s="13">
        <f>IF(B86="","",IFERROR(INDEX(Products!$B$5:$B$304,MATCH(B86,Products!$A$5:$A$304,0)),"Not found"))</f>
        <v>0</v>
      </c>
      <c r="L86" s="13">
        <f>IF(A86="","",TEXT(A86,"yyyy-mm"))</f>
        <v>0</v>
      </c>
      <c r="M86" s="20">
        <f>IF(A86="","",IF(OR(D86="",E86=""),"",ROUND(E86-D86,2)))</f>
        <v>0</v>
      </c>
      <c r="N86" s="33">
        <f>IF(A86="","",IF(OR(D86="",D86=0,E86=""),"",E86/D86-1))</f>
        <v>0</v>
      </c>
      <c r="O86" s="20">
        <f>IF(A86="","",IF(F86&lt;&gt;"",F86,IFERROR(INDEX(Products!$AT$5:$AT$304,MATCH(B86,Products!$A$5:$A$304,0)),"")))</f>
        <v>0</v>
      </c>
      <c r="P86" s="33">
        <f>IF(A86="","",IF(OR(D86="",D86=0,O86=""),"",(D86-O86)/D86))</f>
        <v>0</v>
      </c>
      <c r="Q86" s="33">
        <f>IF(A86="","",IF(OR(E86="",E86=0,O86=""),"",(E86-O86)/E86))</f>
        <v>0</v>
      </c>
      <c r="R86" s="33">
        <f>IF(A86="","",IF(OR(P86="",Q86=""),"",Q86-P86))</f>
        <v>0</v>
      </c>
      <c r="S86" s="33">
        <f>IF(A86="","",IF(OR(I86="",I86=0,J86=""),"",J86/I86-1))</f>
        <v>0</v>
      </c>
      <c r="T86" s="33">
        <f>IF(A86="","",IF(OR(S86="",N86=""),"",(1+N86)*(1+S86)-1))</f>
        <v>0</v>
      </c>
      <c r="U86" s="32">
        <f>IF(B86="","",COUNTIFS($B$5:B86,B86))</f>
        <v>0</v>
      </c>
      <c r="V86" s="32">
        <f>IF(A86="","",TodayDate-A86)</f>
        <v>0</v>
      </c>
      <c r="W86" s="43">
        <f>IF(A86="","",IF(M86="","Add - old and new price",IF(Q86&lt;0,"Loss - priced below cost",IF(T86="","Watch - no volume data yet",IF(T86&gt;0.02,"Worked - revenue up",IF(T86&lt;-0.02,"Hurt - revenue down","Neutral - no real change"))))))</f>
        <v>0</v>
      </c>
    </row>
    <row r="87" spans="3:23">
      <c r="C87" s="13">
        <f>IF(B87="","",IFERROR(INDEX(Products!$B$5:$B$304,MATCH(B87,Products!$A$5:$A$304,0)),"Not found"))</f>
        <v>0</v>
      </c>
      <c r="L87" s="13">
        <f>IF(A87="","",TEXT(A87,"yyyy-mm"))</f>
        <v>0</v>
      </c>
      <c r="M87" s="20">
        <f>IF(A87="","",IF(OR(D87="",E87=""),"",ROUND(E87-D87,2)))</f>
        <v>0</v>
      </c>
      <c r="N87" s="33">
        <f>IF(A87="","",IF(OR(D87="",D87=0,E87=""),"",E87/D87-1))</f>
        <v>0</v>
      </c>
      <c r="O87" s="20">
        <f>IF(A87="","",IF(F87&lt;&gt;"",F87,IFERROR(INDEX(Products!$AT$5:$AT$304,MATCH(B87,Products!$A$5:$A$304,0)),"")))</f>
        <v>0</v>
      </c>
      <c r="P87" s="33">
        <f>IF(A87="","",IF(OR(D87="",D87=0,O87=""),"",(D87-O87)/D87))</f>
        <v>0</v>
      </c>
      <c r="Q87" s="33">
        <f>IF(A87="","",IF(OR(E87="",E87=0,O87=""),"",(E87-O87)/E87))</f>
        <v>0</v>
      </c>
      <c r="R87" s="33">
        <f>IF(A87="","",IF(OR(P87="",Q87=""),"",Q87-P87))</f>
        <v>0</v>
      </c>
      <c r="S87" s="33">
        <f>IF(A87="","",IF(OR(I87="",I87=0,J87=""),"",J87/I87-1))</f>
        <v>0</v>
      </c>
      <c r="T87" s="33">
        <f>IF(A87="","",IF(OR(S87="",N87=""),"",(1+N87)*(1+S87)-1))</f>
        <v>0</v>
      </c>
      <c r="U87" s="32">
        <f>IF(B87="","",COUNTIFS($B$5:B87,B87))</f>
        <v>0</v>
      </c>
      <c r="V87" s="32">
        <f>IF(A87="","",TodayDate-A87)</f>
        <v>0</v>
      </c>
      <c r="W87" s="43">
        <f>IF(A87="","",IF(M87="","Add - old and new price",IF(Q87&lt;0,"Loss - priced below cost",IF(T87="","Watch - no volume data yet",IF(T87&gt;0.02,"Worked - revenue up",IF(T87&lt;-0.02,"Hurt - revenue down","Neutral - no real change"))))))</f>
        <v>0</v>
      </c>
    </row>
    <row r="88" spans="3:23">
      <c r="C88" s="13">
        <f>IF(B88="","",IFERROR(INDEX(Products!$B$5:$B$304,MATCH(B88,Products!$A$5:$A$304,0)),"Not found"))</f>
        <v>0</v>
      </c>
      <c r="L88" s="13">
        <f>IF(A88="","",TEXT(A88,"yyyy-mm"))</f>
        <v>0</v>
      </c>
      <c r="M88" s="20">
        <f>IF(A88="","",IF(OR(D88="",E88=""),"",ROUND(E88-D88,2)))</f>
        <v>0</v>
      </c>
      <c r="N88" s="33">
        <f>IF(A88="","",IF(OR(D88="",D88=0,E88=""),"",E88/D88-1))</f>
        <v>0</v>
      </c>
      <c r="O88" s="20">
        <f>IF(A88="","",IF(F88&lt;&gt;"",F88,IFERROR(INDEX(Products!$AT$5:$AT$304,MATCH(B88,Products!$A$5:$A$304,0)),"")))</f>
        <v>0</v>
      </c>
      <c r="P88" s="33">
        <f>IF(A88="","",IF(OR(D88="",D88=0,O88=""),"",(D88-O88)/D88))</f>
        <v>0</v>
      </c>
      <c r="Q88" s="33">
        <f>IF(A88="","",IF(OR(E88="",E88=0,O88=""),"",(E88-O88)/E88))</f>
        <v>0</v>
      </c>
      <c r="R88" s="33">
        <f>IF(A88="","",IF(OR(P88="",Q88=""),"",Q88-P88))</f>
        <v>0</v>
      </c>
      <c r="S88" s="33">
        <f>IF(A88="","",IF(OR(I88="",I88=0,J88=""),"",J88/I88-1))</f>
        <v>0</v>
      </c>
      <c r="T88" s="33">
        <f>IF(A88="","",IF(OR(S88="",N88=""),"",(1+N88)*(1+S88)-1))</f>
        <v>0</v>
      </c>
      <c r="U88" s="32">
        <f>IF(B88="","",COUNTIFS($B$5:B88,B88))</f>
        <v>0</v>
      </c>
      <c r="V88" s="32">
        <f>IF(A88="","",TodayDate-A88)</f>
        <v>0</v>
      </c>
      <c r="W88" s="43">
        <f>IF(A88="","",IF(M88="","Add - old and new price",IF(Q88&lt;0,"Loss - priced below cost",IF(T88="","Watch - no volume data yet",IF(T88&gt;0.02,"Worked - revenue up",IF(T88&lt;-0.02,"Hurt - revenue down","Neutral - no real change"))))))</f>
        <v>0</v>
      </c>
    </row>
    <row r="89" spans="3:23">
      <c r="C89" s="13">
        <f>IF(B89="","",IFERROR(INDEX(Products!$B$5:$B$304,MATCH(B89,Products!$A$5:$A$304,0)),"Not found"))</f>
        <v>0</v>
      </c>
      <c r="L89" s="13">
        <f>IF(A89="","",TEXT(A89,"yyyy-mm"))</f>
        <v>0</v>
      </c>
      <c r="M89" s="20">
        <f>IF(A89="","",IF(OR(D89="",E89=""),"",ROUND(E89-D89,2)))</f>
        <v>0</v>
      </c>
      <c r="N89" s="33">
        <f>IF(A89="","",IF(OR(D89="",D89=0,E89=""),"",E89/D89-1))</f>
        <v>0</v>
      </c>
      <c r="O89" s="20">
        <f>IF(A89="","",IF(F89&lt;&gt;"",F89,IFERROR(INDEX(Products!$AT$5:$AT$304,MATCH(B89,Products!$A$5:$A$304,0)),"")))</f>
        <v>0</v>
      </c>
      <c r="P89" s="33">
        <f>IF(A89="","",IF(OR(D89="",D89=0,O89=""),"",(D89-O89)/D89))</f>
        <v>0</v>
      </c>
      <c r="Q89" s="33">
        <f>IF(A89="","",IF(OR(E89="",E89=0,O89=""),"",(E89-O89)/E89))</f>
        <v>0</v>
      </c>
      <c r="R89" s="33">
        <f>IF(A89="","",IF(OR(P89="",Q89=""),"",Q89-P89))</f>
        <v>0</v>
      </c>
      <c r="S89" s="33">
        <f>IF(A89="","",IF(OR(I89="",I89=0,J89=""),"",J89/I89-1))</f>
        <v>0</v>
      </c>
      <c r="T89" s="33">
        <f>IF(A89="","",IF(OR(S89="",N89=""),"",(1+N89)*(1+S89)-1))</f>
        <v>0</v>
      </c>
      <c r="U89" s="32">
        <f>IF(B89="","",COUNTIFS($B$5:B89,B89))</f>
        <v>0</v>
      </c>
      <c r="V89" s="32">
        <f>IF(A89="","",TodayDate-A89)</f>
        <v>0</v>
      </c>
      <c r="W89" s="43">
        <f>IF(A89="","",IF(M89="","Add - old and new price",IF(Q89&lt;0,"Loss - priced below cost",IF(T89="","Watch - no volume data yet",IF(T89&gt;0.02,"Worked - revenue up",IF(T89&lt;-0.02,"Hurt - revenue down","Neutral - no real change"))))))</f>
        <v>0</v>
      </c>
    </row>
    <row r="90" spans="3:23">
      <c r="C90" s="13">
        <f>IF(B90="","",IFERROR(INDEX(Products!$B$5:$B$304,MATCH(B90,Products!$A$5:$A$304,0)),"Not found"))</f>
        <v>0</v>
      </c>
      <c r="L90" s="13">
        <f>IF(A90="","",TEXT(A90,"yyyy-mm"))</f>
        <v>0</v>
      </c>
      <c r="M90" s="20">
        <f>IF(A90="","",IF(OR(D90="",E90=""),"",ROUND(E90-D90,2)))</f>
        <v>0</v>
      </c>
      <c r="N90" s="33">
        <f>IF(A90="","",IF(OR(D90="",D90=0,E90=""),"",E90/D90-1))</f>
        <v>0</v>
      </c>
      <c r="O90" s="20">
        <f>IF(A90="","",IF(F90&lt;&gt;"",F90,IFERROR(INDEX(Products!$AT$5:$AT$304,MATCH(B90,Products!$A$5:$A$304,0)),"")))</f>
        <v>0</v>
      </c>
      <c r="P90" s="33">
        <f>IF(A90="","",IF(OR(D90="",D90=0,O90=""),"",(D90-O90)/D90))</f>
        <v>0</v>
      </c>
      <c r="Q90" s="33">
        <f>IF(A90="","",IF(OR(E90="",E90=0,O90=""),"",(E90-O90)/E90))</f>
        <v>0</v>
      </c>
      <c r="R90" s="33">
        <f>IF(A90="","",IF(OR(P90="",Q90=""),"",Q90-P90))</f>
        <v>0</v>
      </c>
      <c r="S90" s="33">
        <f>IF(A90="","",IF(OR(I90="",I90=0,J90=""),"",J90/I90-1))</f>
        <v>0</v>
      </c>
      <c r="T90" s="33">
        <f>IF(A90="","",IF(OR(S90="",N90=""),"",(1+N90)*(1+S90)-1))</f>
        <v>0</v>
      </c>
      <c r="U90" s="32">
        <f>IF(B90="","",COUNTIFS($B$5:B90,B90))</f>
        <v>0</v>
      </c>
      <c r="V90" s="32">
        <f>IF(A90="","",TodayDate-A90)</f>
        <v>0</v>
      </c>
      <c r="W90" s="43">
        <f>IF(A90="","",IF(M90="","Add - old and new price",IF(Q90&lt;0,"Loss - priced below cost",IF(T90="","Watch - no volume data yet",IF(T90&gt;0.02,"Worked - revenue up",IF(T90&lt;-0.02,"Hurt - revenue down","Neutral - no real change"))))))</f>
        <v>0</v>
      </c>
    </row>
    <row r="91" spans="3:23">
      <c r="C91" s="13">
        <f>IF(B91="","",IFERROR(INDEX(Products!$B$5:$B$304,MATCH(B91,Products!$A$5:$A$304,0)),"Not found"))</f>
        <v>0</v>
      </c>
      <c r="L91" s="13">
        <f>IF(A91="","",TEXT(A91,"yyyy-mm"))</f>
        <v>0</v>
      </c>
      <c r="M91" s="20">
        <f>IF(A91="","",IF(OR(D91="",E91=""),"",ROUND(E91-D91,2)))</f>
        <v>0</v>
      </c>
      <c r="N91" s="33">
        <f>IF(A91="","",IF(OR(D91="",D91=0,E91=""),"",E91/D91-1))</f>
        <v>0</v>
      </c>
      <c r="O91" s="20">
        <f>IF(A91="","",IF(F91&lt;&gt;"",F91,IFERROR(INDEX(Products!$AT$5:$AT$304,MATCH(B91,Products!$A$5:$A$304,0)),"")))</f>
        <v>0</v>
      </c>
      <c r="P91" s="33">
        <f>IF(A91="","",IF(OR(D91="",D91=0,O91=""),"",(D91-O91)/D91))</f>
        <v>0</v>
      </c>
      <c r="Q91" s="33">
        <f>IF(A91="","",IF(OR(E91="",E91=0,O91=""),"",(E91-O91)/E91))</f>
        <v>0</v>
      </c>
      <c r="R91" s="33">
        <f>IF(A91="","",IF(OR(P91="",Q91=""),"",Q91-P91))</f>
        <v>0</v>
      </c>
      <c r="S91" s="33">
        <f>IF(A91="","",IF(OR(I91="",I91=0,J91=""),"",J91/I91-1))</f>
        <v>0</v>
      </c>
      <c r="T91" s="33">
        <f>IF(A91="","",IF(OR(S91="",N91=""),"",(1+N91)*(1+S91)-1))</f>
        <v>0</v>
      </c>
      <c r="U91" s="32">
        <f>IF(B91="","",COUNTIFS($B$5:B91,B91))</f>
        <v>0</v>
      </c>
      <c r="V91" s="32">
        <f>IF(A91="","",TodayDate-A91)</f>
        <v>0</v>
      </c>
      <c r="W91" s="43">
        <f>IF(A91="","",IF(M91="","Add - old and new price",IF(Q91&lt;0,"Loss - priced below cost",IF(T91="","Watch - no volume data yet",IF(T91&gt;0.02,"Worked - revenue up",IF(T91&lt;-0.02,"Hurt - revenue down","Neutral - no real change"))))))</f>
        <v>0</v>
      </c>
    </row>
    <row r="92" spans="3:23">
      <c r="C92" s="13">
        <f>IF(B92="","",IFERROR(INDEX(Products!$B$5:$B$304,MATCH(B92,Products!$A$5:$A$304,0)),"Not found"))</f>
        <v>0</v>
      </c>
      <c r="L92" s="13">
        <f>IF(A92="","",TEXT(A92,"yyyy-mm"))</f>
        <v>0</v>
      </c>
      <c r="M92" s="20">
        <f>IF(A92="","",IF(OR(D92="",E92=""),"",ROUND(E92-D92,2)))</f>
        <v>0</v>
      </c>
      <c r="N92" s="33">
        <f>IF(A92="","",IF(OR(D92="",D92=0,E92=""),"",E92/D92-1))</f>
        <v>0</v>
      </c>
      <c r="O92" s="20">
        <f>IF(A92="","",IF(F92&lt;&gt;"",F92,IFERROR(INDEX(Products!$AT$5:$AT$304,MATCH(B92,Products!$A$5:$A$304,0)),"")))</f>
        <v>0</v>
      </c>
      <c r="P92" s="33">
        <f>IF(A92="","",IF(OR(D92="",D92=0,O92=""),"",(D92-O92)/D92))</f>
        <v>0</v>
      </c>
      <c r="Q92" s="33">
        <f>IF(A92="","",IF(OR(E92="",E92=0,O92=""),"",(E92-O92)/E92))</f>
        <v>0</v>
      </c>
      <c r="R92" s="33">
        <f>IF(A92="","",IF(OR(P92="",Q92=""),"",Q92-P92))</f>
        <v>0</v>
      </c>
      <c r="S92" s="33">
        <f>IF(A92="","",IF(OR(I92="",I92=0,J92=""),"",J92/I92-1))</f>
        <v>0</v>
      </c>
      <c r="T92" s="33">
        <f>IF(A92="","",IF(OR(S92="",N92=""),"",(1+N92)*(1+S92)-1))</f>
        <v>0</v>
      </c>
      <c r="U92" s="32">
        <f>IF(B92="","",COUNTIFS($B$5:B92,B92))</f>
        <v>0</v>
      </c>
      <c r="V92" s="32">
        <f>IF(A92="","",TodayDate-A92)</f>
        <v>0</v>
      </c>
      <c r="W92" s="43">
        <f>IF(A92="","",IF(M92="","Add - old and new price",IF(Q92&lt;0,"Loss - priced below cost",IF(T92="","Watch - no volume data yet",IF(T92&gt;0.02,"Worked - revenue up",IF(T92&lt;-0.02,"Hurt - revenue down","Neutral - no real change"))))))</f>
        <v>0</v>
      </c>
    </row>
    <row r="93" spans="3:23">
      <c r="C93" s="13">
        <f>IF(B93="","",IFERROR(INDEX(Products!$B$5:$B$304,MATCH(B93,Products!$A$5:$A$304,0)),"Not found"))</f>
        <v>0</v>
      </c>
      <c r="L93" s="13">
        <f>IF(A93="","",TEXT(A93,"yyyy-mm"))</f>
        <v>0</v>
      </c>
      <c r="M93" s="20">
        <f>IF(A93="","",IF(OR(D93="",E93=""),"",ROUND(E93-D93,2)))</f>
        <v>0</v>
      </c>
      <c r="N93" s="33">
        <f>IF(A93="","",IF(OR(D93="",D93=0,E93=""),"",E93/D93-1))</f>
        <v>0</v>
      </c>
      <c r="O93" s="20">
        <f>IF(A93="","",IF(F93&lt;&gt;"",F93,IFERROR(INDEX(Products!$AT$5:$AT$304,MATCH(B93,Products!$A$5:$A$304,0)),"")))</f>
        <v>0</v>
      </c>
      <c r="P93" s="33">
        <f>IF(A93="","",IF(OR(D93="",D93=0,O93=""),"",(D93-O93)/D93))</f>
        <v>0</v>
      </c>
      <c r="Q93" s="33">
        <f>IF(A93="","",IF(OR(E93="",E93=0,O93=""),"",(E93-O93)/E93))</f>
        <v>0</v>
      </c>
      <c r="R93" s="33">
        <f>IF(A93="","",IF(OR(P93="",Q93=""),"",Q93-P93))</f>
        <v>0</v>
      </c>
      <c r="S93" s="33">
        <f>IF(A93="","",IF(OR(I93="",I93=0,J93=""),"",J93/I93-1))</f>
        <v>0</v>
      </c>
      <c r="T93" s="33">
        <f>IF(A93="","",IF(OR(S93="",N93=""),"",(1+N93)*(1+S93)-1))</f>
        <v>0</v>
      </c>
      <c r="U93" s="32">
        <f>IF(B93="","",COUNTIFS($B$5:B93,B93))</f>
        <v>0</v>
      </c>
      <c r="V93" s="32">
        <f>IF(A93="","",TodayDate-A93)</f>
        <v>0</v>
      </c>
      <c r="W93" s="43">
        <f>IF(A93="","",IF(M93="","Add - old and new price",IF(Q93&lt;0,"Loss - priced below cost",IF(T93="","Watch - no volume data yet",IF(T93&gt;0.02,"Worked - revenue up",IF(T93&lt;-0.02,"Hurt - revenue down","Neutral - no real change"))))))</f>
        <v>0</v>
      </c>
    </row>
    <row r="94" spans="3:23">
      <c r="C94" s="13">
        <f>IF(B94="","",IFERROR(INDEX(Products!$B$5:$B$304,MATCH(B94,Products!$A$5:$A$304,0)),"Not found"))</f>
        <v>0</v>
      </c>
      <c r="L94" s="13">
        <f>IF(A94="","",TEXT(A94,"yyyy-mm"))</f>
        <v>0</v>
      </c>
      <c r="M94" s="20">
        <f>IF(A94="","",IF(OR(D94="",E94=""),"",ROUND(E94-D94,2)))</f>
        <v>0</v>
      </c>
      <c r="N94" s="33">
        <f>IF(A94="","",IF(OR(D94="",D94=0,E94=""),"",E94/D94-1))</f>
        <v>0</v>
      </c>
      <c r="O94" s="20">
        <f>IF(A94="","",IF(F94&lt;&gt;"",F94,IFERROR(INDEX(Products!$AT$5:$AT$304,MATCH(B94,Products!$A$5:$A$304,0)),"")))</f>
        <v>0</v>
      </c>
      <c r="P94" s="33">
        <f>IF(A94="","",IF(OR(D94="",D94=0,O94=""),"",(D94-O94)/D94))</f>
        <v>0</v>
      </c>
      <c r="Q94" s="33">
        <f>IF(A94="","",IF(OR(E94="",E94=0,O94=""),"",(E94-O94)/E94))</f>
        <v>0</v>
      </c>
      <c r="R94" s="33">
        <f>IF(A94="","",IF(OR(P94="",Q94=""),"",Q94-P94))</f>
        <v>0</v>
      </c>
      <c r="S94" s="33">
        <f>IF(A94="","",IF(OR(I94="",I94=0,J94=""),"",J94/I94-1))</f>
        <v>0</v>
      </c>
      <c r="T94" s="33">
        <f>IF(A94="","",IF(OR(S94="",N94=""),"",(1+N94)*(1+S94)-1))</f>
        <v>0</v>
      </c>
      <c r="U94" s="32">
        <f>IF(B94="","",COUNTIFS($B$5:B94,B94))</f>
        <v>0</v>
      </c>
      <c r="V94" s="32">
        <f>IF(A94="","",TodayDate-A94)</f>
        <v>0</v>
      </c>
      <c r="W94" s="43">
        <f>IF(A94="","",IF(M94="","Add - old and new price",IF(Q94&lt;0,"Loss - priced below cost",IF(T94="","Watch - no volume data yet",IF(T94&gt;0.02,"Worked - revenue up",IF(T94&lt;-0.02,"Hurt - revenue down","Neutral - no real change"))))))</f>
        <v>0</v>
      </c>
    </row>
    <row r="95" spans="3:23">
      <c r="C95" s="13">
        <f>IF(B95="","",IFERROR(INDEX(Products!$B$5:$B$304,MATCH(B95,Products!$A$5:$A$304,0)),"Not found"))</f>
        <v>0</v>
      </c>
      <c r="L95" s="13">
        <f>IF(A95="","",TEXT(A95,"yyyy-mm"))</f>
        <v>0</v>
      </c>
      <c r="M95" s="20">
        <f>IF(A95="","",IF(OR(D95="",E95=""),"",ROUND(E95-D95,2)))</f>
        <v>0</v>
      </c>
      <c r="N95" s="33">
        <f>IF(A95="","",IF(OR(D95="",D95=0,E95=""),"",E95/D95-1))</f>
        <v>0</v>
      </c>
      <c r="O95" s="20">
        <f>IF(A95="","",IF(F95&lt;&gt;"",F95,IFERROR(INDEX(Products!$AT$5:$AT$304,MATCH(B95,Products!$A$5:$A$304,0)),"")))</f>
        <v>0</v>
      </c>
      <c r="P95" s="33">
        <f>IF(A95="","",IF(OR(D95="",D95=0,O95=""),"",(D95-O95)/D95))</f>
        <v>0</v>
      </c>
      <c r="Q95" s="33">
        <f>IF(A95="","",IF(OR(E95="",E95=0,O95=""),"",(E95-O95)/E95))</f>
        <v>0</v>
      </c>
      <c r="R95" s="33">
        <f>IF(A95="","",IF(OR(P95="",Q95=""),"",Q95-P95))</f>
        <v>0</v>
      </c>
      <c r="S95" s="33">
        <f>IF(A95="","",IF(OR(I95="",I95=0,J95=""),"",J95/I95-1))</f>
        <v>0</v>
      </c>
      <c r="T95" s="33">
        <f>IF(A95="","",IF(OR(S95="",N95=""),"",(1+N95)*(1+S95)-1))</f>
        <v>0</v>
      </c>
      <c r="U95" s="32">
        <f>IF(B95="","",COUNTIFS($B$5:B95,B95))</f>
        <v>0</v>
      </c>
      <c r="V95" s="32">
        <f>IF(A95="","",TodayDate-A95)</f>
        <v>0</v>
      </c>
      <c r="W95" s="43">
        <f>IF(A95="","",IF(M95="","Add - old and new price",IF(Q95&lt;0,"Loss - priced below cost",IF(T95="","Watch - no volume data yet",IF(T95&gt;0.02,"Worked - revenue up",IF(T95&lt;-0.02,"Hurt - revenue down","Neutral - no real change"))))))</f>
        <v>0</v>
      </c>
    </row>
    <row r="96" spans="3:23">
      <c r="C96" s="13">
        <f>IF(B96="","",IFERROR(INDEX(Products!$B$5:$B$304,MATCH(B96,Products!$A$5:$A$304,0)),"Not found"))</f>
        <v>0</v>
      </c>
      <c r="L96" s="13">
        <f>IF(A96="","",TEXT(A96,"yyyy-mm"))</f>
        <v>0</v>
      </c>
      <c r="M96" s="20">
        <f>IF(A96="","",IF(OR(D96="",E96=""),"",ROUND(E96-D96,2)))</f>
        <v>0</v>
      </c>
      <c r="N96" s="33">
        <f>IF(A96="","",IF(OR(D96="",D96=0,E96=""),"",E96/D96-1))</f>
        <v>0</v>
      </c>
      <c r="O96" s="20">
        <f>IF(A96="","",IF(F96&lt;&gt;"",F96,IFERROR(INDEX(Products!$AT$5:$AT$304,MATCH(B96,Products!$A$5:$A$304,0)),"")))</f>
        <v>0</v>
      </c>
      <c r="P96" s="33">
        <f>IF(A96="","",IF(OR(D96="",D96=0,O96=""),"",(D96-O96)/D96))</f>
        <v>0</v>
      </c>
      <c r="Q96" s="33">
        <f>IF(A96="","",IF(OR(E96="",E96=0,O96=""),"",(E96-O96)/E96))</f>
        <v>0</v>
      </c>
      <c r="R96" s="33">
        <f>IF(A96="","",IF(OR(P96="",Q96=""),"",Q96-P96))</f>
        <v>0</v>
      </c>
      <c r="S96" s="33">
        <f>IF(A96="","",IF(OR(I96="",I96=0,J96=""),"",J96/I96-1))</f>
        <v>0</v>
      </c>
      <c r="T96" s="33">
        <f>IF(A96="","",IF(OR(S96="",N96=""),"",(1+N96)*(1+S96)-1))</f>
        <v>0</v>
      </c>
      <c r="U96" s="32">
        <f>IF(B96="","",COUNTIFS($B$5:B96,B96))</f>
        <v>0</v>
      </c>
      <c r="V96" s="32">
        <f>IF(A96="","",TodayDate-A96)</f>
        <v>0</v>
      </c>
      <c r="W96" s="43">
        <f>IF(A96="","",IF(M96="","Add - old and new price",IF(Q96&lt;0,"Loss - priced below cost",IF(T96="","Watch - no volume data yet",IF(T96&gt;0.02,"Worked - revenue up",IF(T96&lt;-0.02,"Hurt - revenue down","Neutral - no real change"))))))</f>
        <v>0</v>
      </c>
    </row>
    <row r="97" spans="3:23">
      <c r="C97" s="13">
        <f>IF(B97="","",IFERROR(INDEX(Products!$B$5:$B$304,MATCH(B97,Products!$A$5:$A$304,0)),"Not found"))</f>
        <v>0</v>
      </c>
      <c r="L97" s="13">
        <f>IF(A97="","",TEXT(A97,"yyyy-mm"))</f>
        <v>0</v>
      </c>
      <c r="M97" s="20">
        <f>IF(A97="","",IF(OR(D97="",E97=""),"",ROUND(E97-D97,2)))</f>
        <v>0</v>
      </c>
      <c r="N97" s="33">
        <f>IF(A97="","",IF(OR(D97="",D97=0,E97=""),"",E97/D97-1))</f>
        <v>0</v>
      </c>
      <c r="O97" s="20">
        <f>IF(A97="","",IF(F97&lt;&gt;"",F97,IFERROR(INDEX(Products!$AT$5:$AT$304,MATCH(B97,Products!$A$5:$A$304,0)),"")))</f>
        <v>0</v>
      </c>
      <c r="P97" s="33">
        <f>IF(A97="","",IF(OR(D97="",D97=0,O97=""),"",(D97-O97)/D97))</f>
        <v>0</v>
      </c>
      <c r="Q97" s="33">
        <f>IF(A97="","",IF(OR(E97="",E97=0,O97=""),"",(E97-O97)/E97))</f>
        <v>0</v>
      </c>
      <c r="R97" s="33">
        <f>IF(A97="","",IF(OR(P97="",Q97=""),"",Q97-P97))</f>
        <v>0</v>
      </c>
      <c r="S97" s="33">
        <f>IF(A97="","",IF(OR(I97="",I97=0,J97=""),"",J97/I97-1))</f>
        <v>0</v>
      </c>
      <c r="T97" s="33">
        <f>IF(A97="","",IF(OR(S97="",N97=""),"",(1+N97)*(1+S97)-1))</f>
        <v>0</v>
      </c>
      <c r="U97" s="32">
        <f>IF(B97="","",COUNTIFS($B$5:B97,B97))</f>
        <v>0</v>
      </c>
      <c r="V97" s="32">
        <f>IF(A97="","",TodayDate-A97)</f>
        <v>0</v>
      </c>
      <c r="W97" s="43">
        <f>IF(A97="","",IF(M97="","Add - old and new price",IF(Q97&lt;0,"Loss - priced below cost",IF(T97="","Watch - no volume data yet",IF(T97&gt;0.02,"Worked - revenue up",IF(T97&lt;-0.02,"Hurt - revenue down","Neutral - no real change"))))))</f>
        <v>0</v>
      </c>
    </row>
    <row r="98" spans="3:23">
      <c r="C98" s="13">
        <f>IF(B98="","",IFERROR(INDEX(Products!$B$5:$B$304,MATCH(B98,Products!$A$5:$A$304,0)),"Not found"))</f>
        <v>0</v>
      </c>
      <c r="L98" s="13">
        <f>IF(A98="","",TEXT(A98,"yyyy-mm"))</f>
        <v>0</v>
      </c>
      <c r="M98" s="20">
        <f>IF(A98="","",IF(OR(D98="",E98=""),"",ROUND(E98-D98,2)))</f>
        <v>0</v>
      </c>
      <c r="N98" s="33">
        <f>IF(A98="","",IF(OR(D98="",D98=0,E98=""),"",E98/D98-1))</f>
        <v>0</v>
      </c>
      <c r="O98" s="20">
        <f>IF(A98="","",IF(F98&lt;&gt;"",F98,IFERROR(INDEX(Products!$AT$5:$AT$304,MATCH(B98,Products!$A$5:$A$304,0)),"")))</f>
        <v>0</v>
      </c>
      <c r="P98" s="33">
        <f>IF(A98="","",IF(OR(D98="",D98=0,O98=""),"",(D98-O98)/D98))</f>
        <v>0</v>
      </c>
      <c r="Q98" s="33">
        <f>IF(A98="","",IF(OR(E98="",E98=0,O98=""),"",(E98-O98)/E98))</f>
        <v>0</v>
      </c>
      <c r="R98" s="33">
        <f>IF(A98="","",IF(OR(P98="",Q98=""),"",Q98-P98))</f>
        <v>0</v>
      </c>
      <c r="S98" s="33">
        <f>IF(A98="","",IF(OR(I98="",I98=0,J98=""),"",J98/I98-1))</f>
        <v>0</v>
      </c>
      <c r="T98" s="33">
        <f>IF(A98="","",IF(OR(S98="",N98=""),"",(1+N98)*(1+S98)-1))</f>
        <v>0</v>
      </c>
      <c r="U98" s="32">
        <f>IF(B98="","",COUNTIFS($B$5:B98,B98))</f>
        <v>0</v>
      </c>
      <c r="V98" s="32">
        <f>IF(A98="","",TodayDate-A98)</f>
        <v>0</v>
      </c>
      <c r="W98" s="43">
        <f>IF(A98="","",IF(M98="","Add - old and new price",IF(Q98&lt;0,"Loss - priced below cost",IF(T98="","Watch - no volume data yet",IF(T98&gt;0.02,"Worked - revenue up",IF(T98&lt;-0.02,"Hurt - revenue down","Neutral - no real change"))))))</f>
        <v>0</v>
      </c>
    </row>
    <row r="99" spans="3:23">
      <c r="C99" s="13">
        <f>IF(B99="","",IFERROR(INDEX(Products!$B$5:$B$304,MATCH(B99,Products!$A$5:$A$304,0)),"Not found"))</f>
        <v>0</v>
      </c>
      <c r="L99" s="13">
        <f>IF(A99="","",TEXT(A99,"yyyy-mm"))</f>
        <v>0</v>
      </c>
      <c r="M99" s="20">
        <f>IF(A99="","",IF(OR(D99="",E99=""),"",ROUND(E99-D99,2)))</f>
        <v>0</v>
      </c>
      <c r="N99" s="33">
        <f>IF(A99="","",IF(OR(D99="",D99=0,E99=""),"",E99/D99-1))</f>
        <v>0</v>
      </c>
      <c r="O99" s="20">
        <f>IF(A99="","",IF(F99&lt;&gt;"",F99,IFERROR(INDEX(Products!$AT$5:$AT$304,MATCH(B99,Products!$A$5:$A$304,0)),"")))</f>
        <v>0</v>
      </c>
      <c r="P99" s="33">
        <f>IF(A99="","",IF(OR(D99="",D99=0,O99=""),"",(D99-O99)/D99))</f>
        <v>0</v>
      </c>
      <c r="Q99" s="33">
        <f>IF(A99="","",IF(OR(E99="",E99=0,O99=""),"",(E99-O99)/E99))</f>
        <v>0</v>
      </c>
      <c r="R99" s="33">
        <f>IF(A99="","",IF(OR(P99="",Q99=""),"",Q99-P99))</f>
        <v>0</v>
      </c>
      <c r="S99" s="33">
        <f>IF(A99="","",IF(OR(I99="",I99=0,J99=""),"",J99/I99-1))</f>
        <v>0</v>
      </c>
      <c r="T99" s="33">
        <f>IF(A99="","",IF(OR(S99="",N99=""),"",(1+N99)*(1+S99)-1))</f>
        <v>0</v>
      </c>
      <c r="U99" s="32">
        <f>IF(B99="","",COUNTIFS($B$5:B99,B99))</f>
        <v>0</v>
      </c>
      <c r="V99" s="32">
        <f>IF(A99="","",TodayDate-A99)</f>
        <v>0</v>
      </c>
      <c r="W99" s="43">
        <f>IF(A99="","",IF(M99="","Add - old and new price",IF(Q99&lt;0,"Loss - priced below cost",IF(T99="","Watch - no volume data yet",IF(T99&gt;0.02,"Worked - revenue up",IF(T99&lt;-0.02,"Hurt - revenue down","Neutral - no real change"))))))</f>
        <v>0</v>
      </c>
    </row>
    <row r="100" spans="3:23">
      <c r="C100" s="13">
        <f>IF(B100="","",IFERROR(INDEX(Products!$B$5:$B$304,MATCH(B100,Products!$A$5:$A$304,0)),"Not found"))</f>
        <v>0</v>
      </c>
      <c r="L100" s="13">
        <f>IF(A100="","",TEXT(A100,"yyyy-mm"))</f>
        <v>0</v>
      </c>
      <c r="M100" s="20">
        <f>IF(A100="","",IF(OR(D100="",E100=""),"",ROUND(E100-D100,2)))</f>
        <v>0</v>
      </c>
      <c r="N100" s="33">
        <f>IF(A100="","",IF(OR(D100="",D100=0,E100=""),"",E100/D100-1))</f>
        <v>0</v>
      </c>
      <c r="O100" s="20">
        <f>IF(A100="","",IF(F100&lt;&gt;"",F100,IFERROR(INDEX(Products!$AT$5:$AT$304,MATCH(B100,Products!$A$5:$A$304,0)),"")))</f>
        <v>0</v>
      </c>
      <c r="P100" s="33">
        <f>IF(A100="","",IF(OR(D100="",D100=0,O100=""),"",(D100-O100)/D100))</f>
        <v>0</v>
      </c>
      <c r="Q100" s="33">
        <f>IF(A100="","",IF(OR(E100="",E100=0,O100=""),"",(E100-O100)/E100))</f>
        <v>0</v>
      </c>
      <c r="R100" s="33">
        <f>IF(A100="","",IF(OR(P100="",Q100=""),"",Q100-P100))</f>
        <v>0</v>
      </c>
      <c r="S100" s="33">
        <f>IF(A100="","",IF(OR(I100="",I100=0,J100=""),"",J100/I100-1))</f>
        <v>0</v>
      </c>
      <c r="T100" s="33">
        <f>IF(A100="","",IF(OR(S100="",N100=""),"",(1+N100)*(1+S100)-1))</f>
        <v>0</v>
      </c>
      <c r="U100" s="32">
        <f>IF(B100="","",COUNTIFS($B$5:B100,B100))</f>
        <v>0</v>
      </c>
      <c r="V100" s="32">
        <f>IF(A100="","",TodayDate-A100)</f>
        <v>0</v>
      </c>
      <c r="W100" s="43">
        <f>IF(A100="","",IF(M100="","Add - old and new price",IF(Q100&lt;0,"Loss - priced below cost",IF(T100="","Watch - no volume data yet",IF(T100&gt;0.02,"Worked - revenue up",IF(T100&lt;-0.02,"Hurt - revenue down","Neutral - no real change"))))))</f>
        <v>0</v>
      </c>
    </row>
    <row r="101" spans="3:23">
      <c r="C101" s="13">
        <f>IF(B101="","",IFERROR(INDEX(Products!$B$5:$B$304,MATCH(B101,Products!$A$5:$A$304,0)),"Not found"))</f>
        <v>0</v>
      </c>
      <c r="L101" s="13">
        <f>IF(A101="","",TEXT(A101,"yyyy-mm"))</f>
        <v>0</v>
      </c>
      <c r="M101" s="20">
        <f>IF(A101="","",IF(OR(D101="",E101=""),"",ROUND(E101-D101,2)))</f>
        <v>0</v>
      </c>
      <c r="N101" s="33">
        <f>IF(A101="","",IF(OR(D101="",D101=0,E101=""),"",E101/D101-1))</f>
        <v>0</v>
      </c>
      <c r="O101" s="20">
        <f>IF(A101="","",IF(F101&lt;&gt;"",F101,IFERROR(INDEX(Products!$AT$5:$AT$304,MATCH(B101,Products!$A$5:$A$304,0)),"")))</f>
        <v>0</v>
      </c>
      <c r="P101" s="33">
        <f>IF(A101="","",IF(OR(D101="",D101=0,O101=""),"",(D101-O101)/D101))</f>
        <v>0</v>
      </c>
      <c r="Q101" s="33">
        <f>IF(A101="","",IF(OR(E101="",E101=0,O101=""),"",(E101-O101)/E101))</f>
        <v>0</v>
      </c>
      <c r="R101" s="33">
        <f>IF(A101="","",IF(OR(P101="",Q101=""),"",Q101-P101))</f>
        <v>0</v>
      </c>
      <c r="S101" s="33">
        <f>IF(A101="","",IF(OR(I101="",I101=0,J101=""),"",J101/I101-1))</f>
        <v>0</v>
      </c>
      <c r="T101" s="33">
        <f>IF(A101="","",IF(OR(S101="",N101=""),"",(1+N101)*(1+S101)-1))</f>
        <v>0</v>
      </c>
      <c r="U101" s="32">
        <f>IF(B101="","",COUNTIFS($B$5:B101,B101))</f>
        <v>0</v>
      </c>
      <c r="V101" s="32">
        <f>IF(A101="","",TodayDate-A101)</f>
        <v>0</v>
      </c>
      <c r="W101" s="43">
        <f>IF(A101="","",IF(M101="","Add - old and new price",IF(Q101&lt;0,"Loss - priced below cost",IF(T101="","Watch - no volume data yet",IF(T101&gt;0.02,"Worked - revenue up",IF(T101&lt;-0.02,"Hurt - revenue down","Neutral - no real change"))))))</f>
        <v>0</v>
      </c>
    </row>
    <row r="102" spans="3:23">
      <c r="C102" s="13">
        <f>IF(B102="","",IFERROR(INDEX(Products!$B$5:$B$304,MATCH(B102,Products!$A$5:$A$304,0)),"Not found"))</f>
        <v>0</v>
      </c>
      <c r="L102" s="13">
        <f>IF(A102="","",TEXT(A102,"yyyy-mm"))</f>
        <v>0</v>
      </c>
      <c r="M102" s="20">
        <f>IF(A102="","",IF(OR(D102="",E102=""),"",ROUND(E102-D102,2)))</f>
        <v>0</v>
      </c>
      <c r="N102" s="33">
        <f>IF(A102="","",IF(OR(D102="",D102=0,E102=""),"",E102/D102-1))</f>
        <v>0</v>
      </c>
      <c r="O102" s="20">
        <f>IF(A102="","",IF(F102&lt;&gt;"",F102,IFERROR(INDEX(Products!$AT$5:$AT$304,MATCH(B102,Products!$A$5:$A$304,0)),"")))</f>
        <v>0</v>
      </c>
      <c r="P102" s="33">
        <f>IF(A102="","",IF(OR(D102="",D102=0,O102=""),"",(D102-O102)/D102))</f>
        <v>0</v>
      </c>
      <c r="Q102" s="33">
        <f>IF(A102="","",IF(OR(E102="",E102=0,O102=""),"",(E102-O102)/E102))</f>
        <v>0</v>
      </c>
      <c r="R102" s="33">
        <f>IF(A102="","",IF(OR(P102="",Q102=""),"",Q102-P102))</f>
        <v>0</v>
      </c>
      <c r="S102" s="33">
        <f>IF(A102="","",IF(OR(I102="",I102=0,J102=""),"",J102/I102-1))</f>
        <v>0</v>
      </c>
      <c r="T102" s="33">
        <f>IF(A102="","",IF(OR(S102="",N102=""),"",(1+N102)*(1+S102)-1))</f>
        <v>0</v>
      </c>
      <c r="U102" s="32">
        <f>IF(B102="","",COUNTIFS($B$5:B102,B102))</f>
        <v>0</v>
      </c>
      <c r="V102" s="32">
        <f>IF(A102="","",TodayDate-A102)</f>
        <v>0</v>
      </c>
      <c r="W102" s="43">
        <f>IF(A102="","",IF(M102="","Add - old and new price",IF(Q102&lt;0,"Loss - priced below cost",IF(T102="","Watch - no volume data yet",IF(T102&gt;0.02,"Worked - revenue up",IF(T102&lt;-0.02,"Hurt - revenue down","Neutral - no real change"))))))</f>
        <v>0</v>
      </c>
    </row>
    <row r="103" spans="3:23">
      <c r="C103" s="13">
        <f>IF(B103="","",IFERROR(INDEX(Products!$B$5:$B$304,MATCH(B103,Products!$A$5:$A$304,0)),"Not found"))</f>
        <v>0</v>
      </c>
      <c r="L103" s="13">
        <f>IF(A103="","",TEXT(A103,"yyyy-mm"))</f>
        <v>0</v>
      </c>
      <c r="M103" s="20">
        <f>IF(A103="","",IF(OR(D103="",E103=""),"",ROUND(E103-D103,2)))</f>
        <v>0</v>
      </c>
      <c r="N103" s="33">
        <f>IF(A103="","",IF(OR(D103="",D103=0,E103=""),"",E103/D103-1))</f>
        <v>0</v>
      </c>
      <c r="O103" s="20">
        <f>IF(A103="","",IF(F103&lt;&gt;"",F103,IFERROR(INDEX(Products!$AT$5:$AT$304,MATCH(B103,Products!$A$5:$A$304,0)),"")))</f>
        <v>0</v>
      </c>
      <c r="P103" s="33">
        <f>IF(A103="","",IF(OR(D103="",D103=0,O103=""),"",(D103-O103)/D103))</f>
        <v>0</v>
      </c>
      <c r="Q103" s="33">
        <f>IF(A103="","",IF(OR(E103="",E103=0,O103=""),"",(E103-O103)/E103))</f>
        <v>0</v>
      </c>
      <c r="R103" s="33">
        <f>IF(A103="","",IF(OR(P103="",Q103=""),"",Q103-P103))</f>
        <v>0</v>
      </c>
      <c r="S103" s="33">
        <f>IF(A103="","",IF(OR(I103="",I103=0,J103=""),"",J103/I103-1))</f>
        <v>0</v>
      </c>
      <c r="T103" s="33">
        <f>IF(A103="","",IF(OR(S103="",N103=""),"",(1+N103)*(1+S103)-1))</f>
        <v>0</v>
      </c>
      <c r="U103" s="32">
        <f>IF(B103="","",COUNTIFS($B$5:B103,B103))</f>
        <v>0</v>
      </c>
      <c r="V103" s="32">
        <f>IF(A103="","",TodayDate-A103)</f>
        <v>0</v>
      </c>
      <c r="W103" s="43">
        <f>IF(A103="","",IF(M103="","Add - old and new price",IF(Q103&lt;0,"Loss - priced below cost",IF(T103="","Watch - no volume data yet",IF(T103&gt;0.02,"Worked - revenue up",IF(T103&lt;-0.02,"Hurt - revenue down","Neutral - no real change"))))))</f>
        <v>0</v>
      </c>
    </row>
    <row r="104" spans="3:23">
      <c r="C104" s="13">
        <f>IF(B104="","",IFERROR(INDEX(Products!$B$5:$B$304,MATCH(B104,Products!$A$5:$A$304,0)),"Not found"))</f>
        <v>0</v>
      </c>
      <c r="L104" s="13">
        <f>IF(A104="","",TEXT(A104,"yyyy-mm"))</f>
        <v>0</v>
      </c>
      <c r="M104" s="20">
        <f>IF(A104="","",IF(OR(D104="",E104=""),"",ROUND(E104-D104,2)))</f>
        <v>0</v>
      </c>
      <c r="N104" s="33">
        <f>IF(A104="","",IF(OR(D104="",D104=0,E104=""),"",E104/D104-1))</f>
        <v>0</v>
      </c>
      <c r="O104" s="20">
        <f>IF(A104="","",IF(F104&lt;&gt;"",F104,IFERROR(INDEX(Products!$AT$5:$AT$304,MATCH(B104,Products!$A$5:$A$304,0)),"")))</f>
        <v>0</v>
      </c>
      <c r="P104" s="33">
        <f>IF(A104="","",IF(OR(D104="",D104=0,O104=""),"",(D104-O104)/D104))</f>
        <v>0</v>
      </c>
      <c r="Q104" s="33">
        <f>IF(A104="","",IF(OR(E104="",E104=0,O104=""),"",(E104-O104)/E104))</f>
        <v>0</v>
      </c>
      <c r="R104" s="33">
        <f>IF(A104="","",IF(OR(P104="",Q104=""),"",Q104-P104))</f>
        <v>0</v>
      </c>
      <c r="S104" s="33">
        <f>IF(A104="","",IF(OR(I104="",I104=0,J104=""),"",J104/I104-1))</f>
        <v>0</v>
      </c>
      <c r="T104" s="33">
        <f>IF(A104="","",IF(OR(S104="",N104=""),"",(1+N104)*(1+S104)-1))</f>
        <v>0</v>
      </c>
      <c r="U104" s="32">
        <f>IF(B104="","",COUNTIFS($B$5:B104,B104))</f>
        <v>0</v>
      </c>
      <c r="V104" s="32">
        <f>IF(A104="","",TodayDate-A104)</f>
        <v>0</v>
      </c>
      <c r="W104" s="43">
        <f>IF(A104="","",IF(M104="","Add - old and new price",IF(Q104&lt;0,"Loss - priced below cost",IF(T104="","Watch - no volume data yet",IF(T104&gt;0.02,"Worked - revenue up",IF(T104&lt;-0.02,"Hurt - revenue down","Neutral - no real change"))))))</f>
        <v>0</v>
      </c>
    </row>
    <row r="105" spans="3:23">
      <c r="C105" s="13">
        <f>IF(B105="","",IFERROR(INDEX(Products!$B$5:$B$304,MATCH(B105,Products!$A$5:$A$304,0)),"Not found"))</f>
        <v>0</v>
      </c>
      <c r="L105" s="13">
        <f>IF(A105="","",TEXT(A105,"yyyy-mm"))</f>
        <v>0</v>
      </c>
      <c r="M105" s="20">
        <f>IF(A105="","",IF(OR(D105="",E105=""),"",ROUND(E105-D105,2)))</f>
        <v>0</v>
      </c>
      <c r="N105" s="33">
        <f>IF(A105="","",IF(OR(D105="",D105=0,E105=""),"",E105/D105-1))</f>
        <v>0</v>
      </c>
      <c r="O105" s="20">
        <f>IF(A105="","",IF(F105&lt;&gt;"",F105,IFERROR(INDEX(Products!$AT$5:$AT$304,MATCH(B105,Products!$A$5:$A$304,0)),"")))</f>
        <v>0</v>
      </c>
      <c r="P105" s="33">
        <f>IF(A105="","",IF(OR(D105="",D105=0,O105=""),"",(D105-O105)/D105))</f>
        <v>0</v>
      </c>
      <c r="Q105" s="33">
        <f>IF(A105="","",IF(OR(E105="",E105=0,O105=""),"",(E105-O105)/E105))</f>
        <v>0</v>
      </c>
      <c r="R105" s="33">
        <f>IF(A105="","",IF(OR(P105="",Q105=""),"",Q105-P105))</f>
        <v>0</v>
      </c>
      <c r="S105" s="33">
        <f>IF(A105="","",IF(OR(I105="",I105=0,J105=""),"",J105/I105-1))</f>
        <v>0</v>
      </c>
      <c r="T105" s="33">
        <f>IF(A105="","",IF(OR(S105="",N105=""),"",(1+N105)*(1+S105)-1))</f>
        <v>0</v>
      </c>
      <c r="U105" s="32">
        <f>IF(B105="","",COUNTIFS($B$5:B105,B105))</f>
        <v>0</v>
      </c>
      <c r="V105" s="32">
        <f>IF(A105="","",TodayDate-A105)</f>
        <v>0</v>
      </c>
      <c r="W105" s="43">
        <f>IF(A105="","",IF(M105="","Add - old and new price",IF(Q105&lt;0,"Loss - priced below cost",IF(T105="","Watch - no volume data yet",IF(T105&gt;0.02,"Worked - revenue up",IF(T105&lt;-0.02,"Hurt - revenue down","Neutral - no real change"))))))</f>
        <v>0</v>
      </c>
    </row>
    <row r="106" spans="3:23">
      <c r="C106" s="13">
        <f>IF(B106="","",IFERROR(INDEX(Products!$B$5:$B$304,MATCH(B106,Products!$A$5:$A$304,0)),"Not found"))</f>
        <v>0</v>
      </c>
      <c r="L106" s="13">
        <f>IF(A106="","",TEXT(A106,"yyyy-mm"))</f>
        <v>0</v>
      </c>
      <c r="M106" s="20">
        <f>IF(A106="","",IF(OR(D106="",E106=""),"",ROUND(E106-D106,2)))</f>
        <v>0</v>
      </c>
      <c r="N106" s="33">
        <f>IF(A106="","",IF(OR(D106="",D106=0,E106=""),"",E106/D106-1))</f>
        <v>0</v>
      </c>
      <c r="O106" s="20">
        <f>IF(A106="","",IF(F106&lt;&gt;"",F106,IFERROR(INDEX(Products!$AT$5:$AT$304,MATCH(B106,Products!$A$5:$A$304,0)),"")))</f>
        <v>0</v>
      </c>
      <c r="P106" s="33">
        <f>IF(A106="","",IF(OR(D106="",D106=0,O106=""),"",(D106-O106)/D106))</f>
        <v>0</v>
      </c>
      <c r="Q106" s="33">
        <f>IF(A106="","",IF(OR(E106="",E106=0,O106=""),"",(E106-O106)/E106))</f>
        <v>0</v>
      </c>
      <c r="R106" s="33">
        <f>IF(A106="","",IF(OR(P106="",Q106=""),"",Q106-P106))</f>
        <v>0</v>
      </c>
      <c r="S106" s="33">
        <f>IF(A106="","",IF(OR(I106="",I106=0,J106=""),"",J106/I106-1))</f>
        <v>0</v>
      </c>
      <c r="T106" s="33">
        <f>IF(A106="","",IF(OR(S106="",N106=""),"",(1+N106)*(1+S106)-1))</f>
        <v>0</v>
      </c>
      <c r="U106" s="32">
        <f>IF(B106="","",COUNTIFS($B$5:B106,B106))</f>
        <v>0</v>
      </c>
      <c r="V106" s="32">
        <f>IF(A106="","",TodayDate-A106)</f>
        <v>0</v>
      </c>
      <c r="W106" s="43">
        <f>IF(A106="","",IF(M106="","Add - old and new price",IF(Q106&lt;0,"Loss - priced below cost",IF(T106="","Watch - no volume data yet",IF(T106&gt;0.02,"Worked - revenue up",IF(T106&lt;-0.02,"Hurt - revenue down","Neutral - no real change"))))))</f>
        <v>0</v>
      </c>
    </row>
    <row r="107" spans="3:23">
      <c r="C107" s="13">
        <f>IF(B107="","",IFERROR(INDEX(Products!$B$5:$B$304,MATCH(B107,Products!$A$5:$A$304,0)),"Not found"))</f>
        <v>0</v>
      </c>
      <c r="L107" s="13">
        <f>IF(A107="","",TEXT(A107,"yyyy-mm"))</f>
        <v>0</v>
      </c>
      <c r="M107" s="20">
        <f>IF(A107="","",IF(OR(D107="",E107=""),"",ROUND(E107-D107,2)))</f>
        <v>0</v>
      </c>
      <c r="N107" s="33">
        <f>IF(A107="","",IF(OR(D107="",D107=0,E107=""),"",E107/D107-1))</f>
        <v>0</v>
      </c>
      <c r="O107" s="20">
        <f>IF(A107="","",IF(F107&lt;&gt;"",F107,IFERROR(INDEX(Products!$AT$5:$AT$304,MATCH(B107,Products!$A$5:$A$304,0)),"")))</f>
        <v>0</v>
      </c>
      <c r="P107" s="33">
        <f>IF(A107="","",IF(OR(D107="",D107=0,O107=""),"",(D107-O107)/D107))</f>
        <v>0</v>
      </c>
      <c r="Q107" s="33">
        <f>IF(A107="","",IF(OR(E107="",E107=0,O107=""),"",(E107-O107)/E107))</f>
        <v>0</v>
      </c>
      <c r="R107" s="33">
        <f>IF(A107="","",IF(OR(P107="",Q107=""),"",Q107-P107))</f>
        <v>0</v>
      </c>
      <c r="S107" s="33">
        <f>IF(A107="","",IF(OR(I107="",I107=0,J107=""),"",J107/I107-1))</f>
        <v>0</v>
      </c>
      <c r="T107" s="33">
        <f>IF(A107="","",IF(OR(S107="",N107=""),"",(1+N107)*(1+S107)-1))</f>
        <v>0</v>
      </c>
      <c r="U107" s="32">
        <f>IF(B107="","",COUNTIFS($B$5:B107,B107))</f>
        <v>0</v>
      </c>
      <c r="V107" s="32">
        <f>IF(A107="","",TodayDate-A107)</f>
        <v>0</v>
      </c>
      <c r="W107" s="43">
        <f>IF(A107="","",IF(M107="","Add - old and new price",IF(Q107&lt;0,"Loss - priced below cost",IF(T107="","Watch - no volume data yet",IF(T107&gt;0.02,"Worked - revenue up",IF(T107&lt;-0.02,"Hurt - revenue down","Neutral - no real change"))))))</f>
        <v>0</v>
      </c>
    </row>
    <row r="108" spans="3:23">
      <c r="C108" s="13">
        <f>IF(B108="","",IFERROR(INDEX(Products!$B$5:$B$304,MATCH(B108,Products!$A$5:$A$304,0)),"Not found"))</f>
        <v>0</v>
      </c>
      <c r="L108" s="13">
        <f>IF(A108="","",TEXT(A108,"yyyy-mm"))</f>
        <v>0</v>
      </c>
      <c r="M108" s="20">
        <f>IF(A108="","",IF(OR(D108="",E108=""),"",ROUND(E108-D108,2)))</f>
        <v>0</v>
      </c>
      <c r="N108" s="33">
        <f>IF(A108="","",IF(OR(D108="",D108=0,E108=""),"",E108/D108-1))</f>
        <v>0</v>
      </c>
      <c r="O108" s="20">
        <f>IF(A108="","",IF(F108&lt;&gt;"",F108,IFERROR(INDEX(Products!$AT$5:$AT$304,MATCH(B108,Products!$A$5:$A$304,0)),"")))</f>
        <v>0</v>
      </c>
      <c r="P108" s="33">
        <f>IF(A108="","",IF(OR(D108="",D108=0,O108=""),"",(D108-O108)/D108))</f>
        <v>0</v>
      </c>
      <c r="Q108" s="33">
        <f>IF(A108="","",IF(OR(E108="",E108=0,O108=""),"",(E108-O108)/E108))</f>
        <v>0</v>
      </c>
      <c r="R108" s="33">
        <f>IF(A108="","",IF(OR(P108="",Q108=""),"",Q108-P108))</f>
        <v>0</v>
      </c>
      <c r="S108" s="33">
        <f>IF(A108="","",IF(OR(I108="",I108=0,J108=""),"",J108/I108-1))</f>
        <v>0</v>
      </c>
      <c r="T108" s="33">
        <f>IF(A108="","",IF(OR(S108="",N108=""),"",(1+N108)*(1+S108)-1))</f>
        <v>0</v>
      </c>
      <c r="U108" s="32">
        <f>IF(B108="","",COUNTIFS($B$5:B108,B108))</f>
        <v>0</v>
      </c>
      <c r="V108" s="32">
        <f>IF(A108="","",TodayDate-A108)</f>
        <v>0</v>
      </c>
      <c r="W108" s="43">
        <f>IF(A108="","",IF(M108="","Add - old and new price",IF(Q108&lt;0,"Loss - priced below cost",IF(T108="","Watch - no volume data yet",IF(T108&gt;0.02,"Worked - revenue up",IF(T108&lt;-0.02,"Hurt - revenue down","Neutral - no real change"))))))</f>
        <v>0</v>
      </c>
    </row>
    <row r="109" spans="3:23">
      <c r="C109" s="13">
        <f>IF(B109="","",IFERROR(INDEX(Products!$B$5:$B$304,MATCH(B109,Products!$A$5:$A$304,0)),"Not found"))</f>
        <v>0</v>
      </c>
      <c r="L109" s="13">
        <f>IF(A109="","",TEXT(A109,"yyyy-mm"))</f>
        <v>0</v>
      </c>
      <c r="M109" s="20">
        <f>IF(A109="","",IF(OR(D109="",E109=""),"",ROUND(E109-D109,2)))</f>
        <v>0</v>
      </c>
      <c r="N109" s="33">
        <f>IF(A109="","",IF(OR(D109="",D109=0,E109=""),"",E109/D109-1))</f>
        <v>0</v>
      </c>
      <c r="O109" s="20">
        <f>IF(A109="","",IF(F109&lt;&gt;"",F109,IFERROR(INDEX(Products!$AT$5:$AT$304,MATCH(B109,Products!$A$5:$A$304,0)),"")))</f>
        <v>0</v>
      </c>
      <c r="P109" s="33">
        <f>IF(A109="","",IF(OR(D109="",D109=0,O109=""),"",(D109-O109)/D109))</f>
        <v>0</v>
      </c>
      <c r="Q109" s="33">
        <f>IF(A109="","",IF(OR(E109="",E109=0,O109=""),"",(E109-O109)/E109))</f>
        <v>0</v>
      </c>
      <c r="R109" s="33">
        <f>IF(A109="","",IF(OR(P109="",Q109=""),"",Q109-P109))</f>
        <v>0</v>
      </c>
      <c r="S109" s="33">
        <f>IF(A109="","",IF(OR(I109="",I109=0,J109=""),"",J109/I109-1))</f>
        <v>0</v>
      </c>
      <c r="T109" s="33">
        <f>IF(A109="","",IF(OR(S109="",N109=""),"",(1+N109)*(1+S109)-1))</f>
        <v>0</v>
      </c>
      <c r="U109" s="32">
        <f>IF(B109="","",COUNTIFS($B$5:B109,B109))</f>
        <v>0</v>
      </c>
      <c r="V109" s="32">
        <f>IF(A109="","",TodayDate-A109)</f>
        <v>0</v>
      </c>
      <c r="W109" s="43">
        <f>IF(A109="","",IF(M109="","Add - old and new price",IF(Q109&lt;0,"Loss - priced below cost",IF(T109="","Watch - no volume data yet",IF(T109&gt;0.02,"Worked - revenue up",IF(T109&lt;-0.02,"Hurt - revenue down","Neutral - no real change"))))))</f>
        <v>0</v>
      </c>
    </row>
    <row r="110" spans="3:23">
      <c r="C110" s="13">
        <f>IF(B110="","",IFERROR(INDEX(Products!$B$5:$B$304,MATCH(B110,Products!$A$5:$A$304,0)),"Not found"))</f>
        <v>0</v>
      </c>
      <c r="L110" s="13">
        <f>IF(A110="","",TEXT(A110,"yyyy-mm"))</f>
        <v>0</v>
      </c>
      <c r="M110" s="20">
        <f>IF(A110="","",IF(OR(D110="",E110=""),"",ROUND(E110-D110,2)))</f>
        <v>0</v>
      </c>
      <c r="N110" s="33">
        <f>IF(A110="","",IF(OR(D110="",D110=0,E110=""),"",E110/D110-1))</f>
        <v>0</v>
      </c>
      <c r="O110" s="20">
        <f>IF(A110="","",IF(F110&lt;&gt;"",F110,IFERROR(INDEX(Products!$AT$5:$AT$304,MATCH(B110,Products!$A$5:$A$304,0)),"")))</f>
        <v>0</v>
      </c>
      <c r="P110" s="33">
        <f>IF(A110="","",IF(OR(D110="",D110=0,O110=""),"",(D110-O110)/D110))</f>
        <v>0</v>
      </c>
      <c r="Q110" s="33">
        <f>IF(A110="","",IF(OR(E110="",E110=0,O110=""),"",(E110-O110)/E110))</f>
        <v>0</v>
      </c>
      <c r="R110" s="33">
        <f>IF(A110="","",IF(OR(P110="",Q110=""),"",Q110-P110))</f>
        <v>0</v>
      </c>
      <c r="S110" s="33">
        <f>IF(A110="","",IF(OR(I110="",I110=0,J110=""),"",J110/I110-1))</f>
        <v>0</v>
      </c>
      <c r="T110" s="33">
        <f>IF(A110="","",IF(OR(S110="",N110=""),"",(1+N110)*(1+S110)-1))</f>
        <v>0</v>
      </c>
      <c r="U110" s="32">
        <f>IF(B110="","",COUNTIFS($B$5:B110,B110))</f>
        <v>0</v>
      </c>
      <c r="V110" s="32">
        <f>IF(A110="","",TodayDate-A110)</f>
        <v>0</v>
      </c>
      <c r="W110" s="43">
        <f>IF(A110="","",IF(M110="","Add - old and new price",IF(Q110&lt;0,"Loss - priced below cost",IF(T110="","Watch - no volume data yet",IF(T110&gt;0.02,"Worked - revenue up",IF(T110&lt;-0.02,"Hurt - revenue down","Neutral - no real change"))))))</f>
        <v>0</v>
      </c>
    </row>
    <row r="111" spans="3:23">
      <c r="C111" s="13">
        <f>IF(B111="","",IFERROR(INDEX(Products!$B$5:$B$304,MATCH(B111,Products!$A$5:$A$304,0)),"Not found"))</f>
        <v>0</v>
      </c>
      <c r="L111" s="13">
        <f>IF(A111="","",TEXT(A111,"yyyy-mm"))</f>
        <v>0</v>
      </c>
      <c r="M111" s="20">
        <f>IF(A111="","",IF(OR(D111="",E111=""),"",ROUND(E111-D111,2)))</f>
        <v>0</v>
      </c>
      <c r="N111" s="33">
        <f>IF(A111="","",IF(OR(D111="",D111=0,E111=""),"",E111/D111-1))</f>
        <v>0</v>
      </c>
      <c r="O111" s="20">
        <f>IF(A111="","",IF(F111&lt;&gt;"",F111,IFERROR(INDEX(Products!$AT$5:$AT$304,MATCH(B111,Products!$A$5:$A$304,0)),"")))</f>
        <v>0</v>
      </c>
      <c r="P111" s="33">
        <f>IF(A111="","",IF(OR(D111="",D111=0,O111=""),"",(D111-O111)/D111))</f>
        <v>0</v>
      </c>
      <c r="Q111" s="33">
        <f>IF(A111="","",IF(OR(E111="",E111=0,O111=""),"",(E111-O111)/E111))</f>
        <v>0</v>
      </c>
      <c r="R111" s="33">
        <f>IF(A111="","",IF(OR(P111="",Q111=""),"",Q111-P111))</f>
        <v>0</v>
      </c>
      <c r="S111" s="33">
        <f>IF(A111="","",IF(OR(I111="",I111=0,J111=""),"",J111/I111-1))</f>
        <v>0</v>
      </c>
      <c r="T111" s="33">
        <f>IF(A111="","",IF(OR(S111="",N111=""),"",(1+N111)*(1+S111)-1))</f>
        <v>0</v>
      </c>
      <c r="U111" s="32">
        <f>IF(B111="","",COUNTIFS($B$5:B111,B111))</f>
        <v>0</v>
      </c>
      <c r="V111" s="32">
        <f>IF(A111="","",TodayDate-A111)</f>
        <v>0</v>
      </c>
      <c r="W111" s="43">
        <f>IF(A111="","",IF(M111="","Add - old and new price",IF(Q111&lt;0,"Loss - priced below cost",IF(T111="","Watch - no volume data yet",IF(T111&gt;0.02,"Worked - revenue up",IF(T111&lt;-0.02,"Hurt - revenue down","Neutral - no real change"))))))</f>
        <v>0</v>
      </c>
    </row>
    <row r="112" spans="3:23">
      <c r="C112" s="13">
        <f>IF(B112="","",IFERROR(INDEX(Products!$B$5:$B$304,MATCH(B112,Products!$A$5:$A$304,0)),"Not found"))</f>
        <v>0</v>
      </c>
      <c r="L112" s="13">
        <f>IF(A112="","",TEXT(A112,"yyyy-mm"))</f>
        <v>0</v>
      </c>
      <c r="M112" s="20">
        <f>IF(A112="","",IF(OR(D112="",E112=""),"",ROUND(E112-D112,2)))</f>
        <v>0</v>
      </c>
      <c r="N112" s="33">
        <f>IF(A112="","",IF(OR(D112="",D112=0,E112=""),"",E112/D112-1))</f>
        <v>0</v>
      </c>
      <c r="O112" s="20">
        <f>IF(A112="","",IF(F112&lt;&gt;"",F112,IFERROR(INDEX(Products!$AT$5:$AT$304,MATCH(B112,Products!$A$5:$A$304,0)),"")))</f>
        <v>0</v>
      </c>
      <c r="P112" s="33">
        <f>IF(A112="","",IF(OR(D112="",D112=0,O112=""),"",(D112-O112)/D112))</f>
        <v>0</v>
      </c>
      <c r="Q112" s="33">
        <f>IF(A112="","",IF(OR(E112="",E112=0,O112=""),"",(E112-O112)/E112))</f>
        <v>0</v>
      </c>
      <c r="R112" s="33">
        <f>IF(A112="","",IF(OR(P112="",Q112=""),"",Q112-P112))</f>
        <v>0</v>
      </c>
      <c r="S112" s="33">
        <f>IF(A112="","",IF(OR(I112="",I112=0,J112=""),"",J112/I112-1))</f>
        <v>0</v>
      </c>
      <c r="T112" s="33">
        <f>IF(A112="","",IF(OR(S112="",N112=""),"",(1+N112)*(1+S112)-1))</f>
        <v>0</v>
      </c>
      <c r="U112" s="32">
        <f>IF(B112="","",COUNTIFS($B$5:B112,B112))</f>
        <v>0</v>
      </c>
      <c r="V112" s="32">
        <f>IF(A112="","",TodayDate-A112)</f>
        <v>0</v>
      </c>
      <c r="W112" s="43">
        <f>IF(A112="","",IF(M112="","Add - old and new price",IF(Q112&lt;0,"Loss - priced below cost",IF(T112="","Watch - no volume data yet",IF(T112&gt;0.02,"Worked - revenue up",IF(T112&lt;-0.02,"Hurt - revenue down","Neutral - no real change"))))))</f>
        <v>0</v>
      </c>
    </row>
    <row r="113" spans="3:23">
      <c r="C113" s="13">
        <f>IF(B113="","",IFERROR(INDEX(Products!$B$5:$B$304,MATCH(B113,Products!$A$5:$A$304,0)),"Not found"))</f>
        <v>0</v>
      </c>
      <c r="L113" s="13">
        <f>IF(A113="","",TEXT(A113,"yyyy-mm"))</f>
        <v>0</v>
      </c>
      <c r="M113" s="20">
        <f>IF(A113="","",IF(OR(D113="",E113=""),"",ROUND(E113-D113,2)))</f>
        <v>0</v>
      </c>
      <c r="N113" s="33">
        <f>IF(A113="","",IF(OR(D113="",D113=0,E113=""),"",E113/D113-1))</f>
        <v>0</v>
      </c>
      <c r="O113" s="20">
        <f>IF(A113="","",IF(F113&lt;&gt;"",F113,IFERROR(INDEX(Products!$AT$5:$AT$304,MATCH(B113,Products!$A$5:$A$304,0)),"")))</f>
        <v>0</v>
      </c>
      <c r="P113" s="33">
        <f>IF(A113="","",IF(OR(D113="",D113=0,O113=""),"",(D113-O113)/D113))</f>
        <v>0</v>
      </c>
      <c r="Q113" s="33">
        <f>IF(A113="","",IF(OR(E113="",E113=0,O113=""),"",(E113-O113)/E113))</f>
        <v>0</v>
      </c>
      <c r="R113" s="33">
        <f>IF(A113="","",IF(OR(P113="",Q113=""),"",Q113-P113))</f>
        <v>0</v>
      </c>
      <c r="S113" s="33">
        <f>IF(A113="","",IF(OR(I113="",I113=0,J113=""),"",J113/I113-1))</f>
        <v>0</v>
      </c>
      <c r="T113" s="33">
        <f>IF(A113="","",IF(OR(S113="",N113=""),"",(1+N113)*(1+S113)-1))</f>
        <v>0</v>
      </c>
      <c r="U113" s="32">
        <f>IF(B113="","",COUNTIFS($B$5:B113,B113))</f>
        <v>0</v>
      </c>
      <c r="V113" s="32">
        <f>IF(A113="","",TodayDate-A113)</f>
        <v>0</v>
      </c>
      <c r="W113" s="43">
        <f>IF(A113="","",IF(M113="","Add - old and new price",IF(Q113&lt;0,"Loss - priced below cost",IF(T113="","Watch - no volume data yet",IF(T113&gt;0.02,"Worked - revenue up",IF(T113&lt;-0.02,"Hurt - revenue down","Neutral - no real change"))))))</f>
        <v>0</v>
      </c>
    </row>
    <row r="114" spans="3:23">
      <c r="C114" s="13">
        <f>IF(B114="","",IFERROR(INDEX(Products!$B$5:$B$304,MATCH(B114,Products!$A$5:$A$304,0)),"Not found"))</f>
        <v>0</v>
      </c>
      <c r="L114" s="13">
        <f>IF(A114="","",TEXT(A114,"yyyy-mm"))</f>
        <v>0</v>
      </c>
      <c r="M114" s="20">
        <f>IF(A114="","",IF(OR(D114="",E114=""),"",ROUND(E114-D114,2)))</f>
        <v>0</v>
      </c>
      <c r="N114" s="33">
        <f>IF(A114="","",IF(OR(D114="",D114=0,E114=""),"",E114/D114-1))</f>
        <v>0</v>
      </c>
      <c r="O114" s="20">
        <f>IF(A114="","",IF(F114&lt;&gt;"",F114,IFERROR(INDEX(Products!$AT$5:$AT$304,MATCH(B114,Products!$A$5:$A$304,0)),"")))</f>
        <v>0</v>
      </c>
      <c r="P114" s="33">
        <f>IF(A114="","",IF(OR(D114="",D114=0,O114=""),"",(D114-O114)/D114))</f>
        <v>0</v>
      </c>
      <c r="Q114" s="33">
        <f>IF(A114="","",IF(OR(E114="",E114=0,O114=""),"",(E114-O114)/E114))</f>
        <v>0</v>
      </c>
      <c r="R114" s="33">
        <f>IF(A114="","",IF(OR(P114="",Q114=""),"",Q114-P114))</f>
        <v>0</v>
      </c>
      <c r="S114" s="33">
        <f>IF(A114="","",IF(OR(I114="",I114=0,J114=""),"",J114/I114-1))</f>
        <v>0</v>
      </c>
      <c r="T114" s="33">
        <f>IF(A114="","",IF(OR(S114="",N114=""),"",(1+N114)*(1+S114)-1))</f>
        <v>0</v>
      </c>
      <c r="U114" s="32">
        <f>IF(B114="","",COUNTIFS($B$5:B114,B114))</f>
        <v>0</v>
      </c>
      <c r="V114" s="32">
        <f>IF(A114="","",TodayDate-A114)</f>
        <v>0</v>
      </c>
      <c r="W114" s="43">
        <f>IF(A114="","",IF(M114="","Add - old and new price",IF(Q114&lt;0,"Loss - priced below cost",IF(T114="","Watch - no volume data yet",IF(T114&gt;0.02,"Worked - revenue up",IF(T114&lt;-0.02,"Hurt - revenue down","Neutral - no real change"))))))</f>
        <v>0</v>
      </c>
    </row>
    <row r="115" spans="3:23">
      <c r="C115" s="13">
        <f>IF(B115="","",IFERROR(INDEX(Products!$B$5:$B$304,MATCH(B115,Products!$A$5:$A$304,0)),"Not found"))</f>
        <v>0</v>
      </c>
      <c r="L115" s="13">
        <f>IF(A115="","",TEXT(A115,"yyyy-mm"))</f>
        <v>0</v>
      </c>
      <c r="M115" s="20">
        <f>IF(A115="","",IF(OR(D115="",E115=""),"",ROUND(E115-D115,2)))</f>
        <v>0</v>
      </c>
      <c r="N115" s="33">
        <f>IF(A115="","",IF(OR(D115="",D115=0,E115=""),"",E115/D115-1))</f>
        <v>0</v>
      </c>
      <c r="O115" s="20">
        <f>IF(A115="","",IF(F115&lt;&gt;"",F115,IFERROR(INDEX(Products!$AT$5:$AT$304,MATCH(B115,Products!$A$5:$A$304,0)),"")))</f>
        <v>0</v>
      </c>
      <c r="P115" s="33">
        <f>IF(A115="","",IF(OR(D115="",D115=0,O115=""),"",(D115-O115)/D115))</f>
        <v>0</v>
      </c>
      <c r="Q115" s="33">
        <f>IF(A115="","",IF(OR(E115="",E115=0,O115=""),"",(E115-O115)/E115))</f>
        <v>0</v>
      </c>
      <c r="R115" s="33">
        <f>IF(A115="","",IF(OR(P115="",Q115=""),"",Q115-P115))</f>
        <v>0</v>
      </c>
      <c r="S115" s="33">
        <f>IF(A115="","",IF(OR(I115="",I115=0,J115=""),"",J115/I115-1))</f>
        <v>0</v>
      </c>
      <c r="T115" s="33">
        <f>IF(A115="","",IF(OR(S115="",N115=""),"",(1+N115)*(1+S115)-1))</f>
        <v>0</v>
      </c>
      <c r="U115" s="32">
        <f>IF(B115="","",COUNTIFS($B$5:B115,B115))</f>
        <v>0</v>
      </c>
      <c r="V115" s="32">
        <f>IF(A115="","",TodayDate-A115)</f>
        <v>0</v>
      </c>
      <c r="W115" s="43">
        <f>IF(A115="","",IF(M115="","Add - old and new price",IF(Q115&lt;0,"Loss - priced below cost",IF(T115="","Watch - no volume data yet",IF(T115&gt;0.02,"Worked - revenue up",IF(T115&lt;-0.02,"Hurt - revenue down","Neutral - no real change"))))))</f>
        <v>0</v>
      </c>
    </row>
    <row r="116" spans="3:23">
      <c r="C116" s="13">
        <f>IF(B116="","",IFERROR(INDEX(Products!$B$5:$B$304,MATCH(B116,Products!$A$5:$A$304,0)),"Not found"))</f>
        <v>0</v>
      </c>
      <c r="L116" s="13">
        <f>IF(A116="","",TEXT(A116,"yyyy-mm"))</f>
        <v>0</v>
      </c>
      <c r="M116" s="20">
        <f>IF(A116="","",IF(OR(D116="",E116=""),"",ROUND(E116-D116,2)))</f>
        <v>0</v>
      </c>
      <c r="N116" s="33">
        <f>IF(A116="","",IF(OR(D116="",D116=0,E116=""),"",E116/D116-1))</f>
        <v>0</v>
      </c>
      <c r="O116" s="20">
        <f>IF(A116="","",IF(F116&lt;&gt;"",F116,IFERROR(INDEX(Products!$AT$5:$AT$304,MATCH(B116,Products!$A$5:$A$304,0)),"")))</f>
        <v>0</v>
      </c>
      <c r="P116" s="33">
        <f>IF(A116="","",IF(OR(D116="",D116=0,O116=""),"",(D116-O116)/D116))</f>
        <v>0</v>
      </c>
      <c r="Q116" s="33">
        <f>IF(A116="","",IF(OR(E116="",E116=0,O116=""),"",(E116-O116)/E116))</f>
        <v>0</v>
      </c>
      <c r="R116" s="33">
        <f>IF(A116="","",IF(OR(P116="",Q116=""),"",Q116-P116))</f>
        <v>0</v>
      </c>
      <c r="S116" s="33">
        <f>IF(A116="","",IF(OR(I116="",I116=0,J116=""),"",J116/I116-1))</f>
        <v>0</v>
      </c>
      <c r="T116" s="33">
        <f>IF(A116="","",IF(OR(S116="",N116=""),"",(1+N116)*(1+S116)-1))</f>
        <v>0</v>
      </c>
      <c r="U116" s="32">
        <f>IF(B116="","",COUNTIFS($B$5:B116,B116))</f>
        <v>0</v>
      </c>
      <c r="V116" s="32">
        <f>IF(A116="","",TodayDate-A116)</f>
        <v>0</v>
      </c>
      <c r="W116" s="43">
        <f>IF(A116="","",IF(M116="","Add - old and new price",IF(Q116&lt;0,"Loss - priced below cost",IF(T116="","Watch - no volume data yet",IF(T116&gt;0.02,"Worked - revenue up",IF(T116&lt;-0.02,"Hurt - revenue down","Neutral - no real change"))))))</f>
        <v>0</v>
      </c>
    </row>
    <row r="117" spans="3:23">
      <c r="C117" s="13">
        <f>IF(B117="","",IFERROR(INDEX(Products!$B$5:$B$304,MATCH(B117,Products!$A$5:$A$304,0)),"Not found"))</f>
        <v>0</v>
      </c>
      <c r="L117" s="13">
        <f>IF(A117="","",TEXT(A117,"yyyy-mm"))</f>
        <v>0</v>
      </c>
      <c r="M117" s="20">
        <f>IF(A117="","",IF(OR(D117="",E117=""),"",ROUND(E117-D117,2)))</f>
        <v>0</v>
      </c>
      <c r="N117" s="33">
        <f>IF(A117="","",IF(OR(D117="",D117=0,E117=""),"",E117/D117-1))</f>
        <v>0</v>
      </c>
      <c r="O117" s="20">
        <f>IF(A117="","",IF(F117&lt;&gt;"",F117,IFERROR(INDEX(Products!$AT$5:$AT$304,MATCH(B117,Products!$A$5:$A$304,0)),"")))</f>
        <v>0</v>
      </c>
      <c r="P117" s="33">
        <f>IF(A117="","",IF(OR(D117="",D117=0,O117=""),"",(D117-O117)/D117))</f>
        <v>0</v>
      </c>
      <c r="Q117" s="33">
        <f>IF(A117="","",IF(OR(E117="",E117=0,O117=""),"",(E117-O117)/E117))</f>
        <v>0</v>
      </c>
      <c r="R117" s="33">
        <f>IF(A117="","",IF(OR(P117="",Q117=""),"",Q117-P117))</f>
        <v>0</v>
      </c>
      <c r="S117" s="33">
        <f>IF(A117="","",IF(OR(I117="",I117=0,J117=""),"",J117/I117-1))</f>
        <v>0</v>
      </c>
      <c r="T117" s="33">
        <f>IF(A117="","",IF(OR(S117="",N117=""),"",(1+N117)*(1+S117)-1))</f>
        <v>0</v>
      </c>
      <c r="U117" s="32">
        <f>IF(B117="","",COUNTIFS($B$5:B117,B117))</f>
        <v>0</v>
      </c>
      <c r="V117" s="32">
        <f>IF(A117="","",TodayDate-A117)</f>
        <v>0</v>
      </c>
      <c r="W117" s="43">
        <f>IF(A117="","",IF(M117="","Add - old and new price",IF(Q117&lt;0,"Loss - priced below cost",IF(T117="","Watch - no volume data yet",IF(T117&gt;0.02,"Worked - revenue up",IF(T117&lt;-0.02,"Hurt - revenue down","Neutral - no real change"))))))</f>
        <v>0</v>
      </c>
    </row>
    <row r="118" spans="3:23">
      <c r="C118" s="13">
        <f>IF(B118="","",IFERROR(INDEX(Products!$B$5:$B$304,MATCH(B118,Products!$A$5:$A$304,0)),"Not found"))</f>
        <v>0</v>
      </c>
      <c r="L118" s="13">
        <f>IF(A118="","",TEXT(A118,"yyyy-mm"))</f>
        <v>0</v>
      </c>
      <c r="M118" s="20">
        <f>IF(A118="","",IF(OR(D118="",E118=""),"",ROUND(E118-D118,2)))</f>
        <v>0</v>
      </c>
      <c r="N118" s="33">
        <f>IF(A118="","",IF(OR(D118="",D118=0,E118=""),"",E118/D118-1))</f>
        <v>0</v>
      </c>
      <c r="O118" s="20">
        <f>IF(A118="","",IF(F118&lt;&gt;"",F118,IFERROR(INDEX(Products!$AT$5:$AT$304,MATCH(B118,Products!$A$5:$A$304,0)),"")))</f>
        <v>0</v>
      </c>
      <c r="P118" s="33">
        <f>IF(A118="","",IF(OR(D118="",D118=0,O118=""),"",(D118-O118)/D118))</f>
        <v>0</v>
      </c>
      <c r="Q118" s="33">
        <f>IF(A118="","",IF(OR(E118="",E118=0,O118=""),"",(E118-O118)/E118))</f>
        <v>0</v>
      </c>
      <c r="R118" s="33">
        <f>IF(A118="","",IF(OR(P118="",Q118=""),"",Q118-P118))</f>
        <v>0</v>
      </c>
      <c r="S118" s="33">
        <f>IF(A118="","",IF(OR(I118="",I118=0,J118=""),"",J118/I118-1))</f>
        <v>0</v>
      </c>
      <c r="T118" s="33">
        <f>IF(A118="","",IF(OR(S118="",N118=""),"",(1+N118)*(1+S118)-1))</f>
        <v>0</v>
      </c>
      <c r="U118" s="32">
        <f>IF(B118="","",COUNTIFS($B$5:B118,B118))</f>
        <v>0</v>
      </c>
      <c r="V118" s="32">
        <f>IF(A118="","",TodayDate-A118)</f>
        <v>0</v>
      </c>
      <c r="W118" s="43">
        <f>IF(A118="","",IF(M118="","Add - old and new price",IF(Q118&lt;0,"Loss - priced below cost",IF(T118="","Watch - no volume data yet",IF(T118&gt;0.02,"Worked - revenue up",IF(T118&lt;-0.02,"Hurt - revenue down","Neutral - no real change"))))))</f>
        <v>0</v>
      </c>
    </row>
    <row r="119" spans="3:23">
      <c r="C119" s="13">
        <f>IF(B119="","",IFERROR(INDEX(Products!$B$5:$B$304,MATCH(B119,Products!$A$5:$A$304,0)),"Not found"))</f>
        <v>0</v>
      </c>
      <c r="L119" s="13">
        <f>IF(A119="","",TEXT(A119,"yyyy-mm"))</f>
        <v>0</v>
      </c>
      <c r="M119" s="20">
        <f>IF(A119="","",IF(OR(D119="",E119=""),"",ROUND(E119-D119,2)))</f>
        <v>0</v>
      </c>
      <c r="N119" s="33">
        <f>IF(A119="","",IF(OR(D119="",D119=0,E119=""),"",E119/D119-1))</f>
        <v>0</v>
      </c>
      <c r="O119" s="20">
        <f>IF(A119="","",IF(F119&lt;&gt;"",F119,IFERROR(INDEX(Products!$AT$5:$AT$304,MATCH(B119,Products!$A$5:$A$304,0)),"")))</f>
        <v>0</v>
      </c>
      <c r="P119" s="33">
        <f>IF(A119="","",IF(OR(D119="",D119=0,O119=""),"",(D119-O119)/D119))</f>
        <v>0</v>
      </c>
      <c r="Q119" s="33">
        <f>IF(A119="","",IF(OR(E119="",E119=0,O119=""),"",(E119-O119)/E119))</f>
        <v>0</v>
      </c>
      <c r="R119" s="33">
        <f>IF(A119="","",IF(OR(P119="",Q119=""),"",Q119-P119))</f>
        <v>0</v>
      </c>
      <c r="S119" s="33">
        <f>IF(A119="","",IF(OR(I119="",I119=0,J119=""),"",J119/I119-1))</f>
        <v>0</v>
      </c>
      <c r="T119" s="33">
        <f>IF(A119="","",IF(OR(S119="",N119=""),"",(1+N119)*(1+S119)-1))</f>
        <v>0</v>
      </c>
      <c r="U119" s="32">
        <f>IF(B119="","",COUNTIFS($B$5:B119,B119))</f>
        <v>0</v>
      </c>
      <c r="V119" s="32">
        <f>IF(A119="","",TodayDate-A119)</f>
        <v>0</v>
      </c>
      <c r="W119" s="43">
        <f>IF(A119="","",IF(M119="","Add - old and new price",IF(Q119&lt;0,"Loss - priced below cost",IF(T119="","Watch - no volume data yet",IF(T119&gt;0.02,"Worked - revenue up",IF(T119&lt;-0.02,"Hurt - revenue down","Neutral - no real change"))))))</f>
        <v>0</v>
      </c>
    </row>
    <row r="120" spans="3:23">
      <c r="C120" s="13">
        <f>IF(B120="","",IFERROR(INDEX(Products!$B$5:$B$304,MATCH(B120,Products!$A$5:$A$304,0)),"Not found"))</f>
        <v>0</v>
      </c>
      <c r="L120" s="13">
        <f>IF(A120="","",TEXT(A120,"yyyy-mm"))</f>
        <v>0</v>
      </c>
      <c r="M120" s="20">
        <f>IF(A120="","",IF(OR(D120="",E120=""),"",ROUND(E120-D120,2)))</f>
        <v>0</v>
      </c>
      <c r="N120" s="33">
        <f>IF(A120="","",IF(OR(D120="",D120=0,E120=""),"",E120/D120-1))</f>
        <v>0</v>
      </c>
      <c r="O120" s="20">
        <f>IF(A120="","",IF(F120&lt;&gt;"",F120,IFERROR(INDEX(Products!$AT$5:$AT$304,MATCH(B120,Products!$A$5:$A$304,0)),"")))</f>
        <v>0</v>
      </c>
      <c r="P120" s="33">
        <f>IF(A120="","",IF(OR(D120="",D120=0,O120=""),"",(D120-O120)/D120))</f>
        <v>0</v>
      </c>
      <c r="Q120" s="33">
        <f>IF(A120="","",IF(OR(E120="",E120=0,O120=""),"",(E120-O120)/E120))</f>
        <v>0</v>
      </c>
      <c r="R120" s="33">
        <f>IF(A120="","",IF(OR(P120="",Q120=""),"",Q120-P120))</f>
        <v>0</v>
      </c>
      <c r="S120" s="33">
        <f>IF(A120="","",IF(OR(I120="",I120=0,J120=""),"",J120/I120-1))</f>
        <v>0</v>
      </c>
      <c r="T120" s="33">
        <f>IF(A120="","",IF(OR(S120="",N120=""),"",(1+N120)*(1+S120)-1))</f>
        <v>0</v>
      </c>
      <c r="U120" s="32">
        <f>IF(B120="","",COUNTIFS($B$5:B120,B120))</f>
        <v>0</v>
      </c>
      <c r="V120" s="32">
        <f>IF(A120="","",TodayDate-A120)</f>
        <v>0</v>
      </c>
      <c r="W120" s="43">
        <f>IF(A120="","",IF(M120="","Add - old and new price",IF(Q120&lt;0,"Loss - priced below cost",IF(T120="","Watch - no volume data yet",IF(T120&gt;0.02,"Worked - revenue up",IF(T120&lt;-0.02,"Hurt - revenue down","Neutral - no real change"))))))</f>
        <v>0</v>
      </c>
    </row>
    <row r="121" spans="3:23">
      <c r="C121" s="13">
        <f>IF(B121="","",IFERROR(INDEX(Products!$B$5:$B$304,MATCH(B121,Products!$A$5:$A$304,0)),"Not found"))</f>
        <v>0</v>
      </c>
      <c r="L121" s="13">
        <f>IF(A121="","",TEXT(A121,"yyyy-mm"))</f>
        <v>0</v>
      </c>
      <c r="M121" s="20">
        <f>IF(A121="","",IF(OR(D121="",E121=""),"",ROUND(E121-D121,2)))</f>
        <v>0</v>
      </c>
      <c r="N121" s="33">
        <f>IF(A121="","",IF(OR(D121="",D121=0,E121=""),"",E121/D121-1))</f>
        <v>0</v>
      </c>
      <c r="O121" s="20">
        <f>IF(A121="","",IF(F121&lt;&gt;"",F121,IFERROR(INDEX(Products!$AT$5:$AT$304,MATCH(B121,Products!$A$5:$A$304,0)),"")))</f>
        <v>0</v>
      </c>
      <c r="P121" s="33">
        <f>IF(A121="","",IF(OR(D121="",D121=0,O121=""),"",(D121-O121)/D121))</f>
        <v>0</v>
      </c>
      <c r="Q121" s="33">
        <f>IF(A121="","",IF(OR(E121="",E121=0,O121=""),"",(E121-O121)/E121))</f>
        <v>0</v>
      </c>
      <c r="R121" s="33">
        <f>IF(A121="","",IF(OR(P121="",Q121=""),"",Q121-P121))</f>
        <v>0</v>
      </c>
      <c r="S121" s="33">
        <f>IF(A121="","",IF(OR(I121="",I121=0,J121=""),"",J121/I121-1))</f>
        <v>0</v>
      </c>
      <c r="T121" s="33">
        <f>IF(A121="","",IF(OR(S121="",N121=""),"",(1+N121)*(1+S121)-1))</f>
        <v>0</v>
      </c>
      <c r="U121" s="32">
        <f>IF(B121="","",COUNTIFS($B$5:B121,B121))</f>
        <v>0</v>
      </c>
      <c r="V121" s="32">
        <f>IF(A121="","",TodayDate-A121)</f>
        <v>0</v>
      </c>
      <c r="W121" s="43">
        <f>IF(A121="","",IF(M121="","Add - old and new price",IF(Q121&lt;0,"Loss - priced below cost",IF(T121="","Watch - no volume data yet",IF(T121&gt;0.02,"Worked - revenue up",IF(T121&lt;-0.02,"Hurt - revenue down","Neutral - no real change"))))))</f>
        <v>0</v>
      </c>
    </row>
    <row r="122" spans="3:23">
      <c r="C122" s="13">
        <f>IF(B122="","",IFERROR(INDEX(Products!$B$5:$B$304,MATCH(B122,Products!$A$5:$A$304,0)),"Not found"))</f>
        <v>0</v>
      </c>
      <c r="L122" s="13">
        <f>IF(A122="","",TEXT(A122,"yyyy-mm"))</f>
        <v>0</v>
      </c>
      <c r="M122" s="20">
        <f>IF(A122="","",IF(OR(D122="",E122=""),"",ROUND(E122-D122,2)))</f>
        <v>0</v>
      </c>
      <c r="N122" s="33">
        <f>IF(A122="","",IF(OR(D122="",D122=0,E122=""),"",E122/D122-1))</f>
        <v>0</v>
      </c>
      <c r="O122" s="20">
        <f>IF(A122="","",IF(F122&lt;&gt;"",F122,IFERROR(INDEX(Products!$AT$5:$AT$304,MATCH(B122,Products!$A$5:$A$304,0)),"")))</f>
        <v>0</v>
      </c>
      <c r="P122" s="33">
        <f>IF(A122="","",IF(OR(D122="",D122=0,O122=""),"",(D122-O122)/D122))</f>
        <v>0</v>
      </c>
      <c r="Q122" s="33">
        <f>IF(A122="","",IF(OR(E122="",E122=0,O122=""),"",(E122-O122)/E122))</f>
        <v>0</v>
      </c>
      <c r="R122" s="33">
        <f>IF(A122="","",IF(OR(P122="",Q122=""),"",Q122-P122))</f>
        <v>0</v>
      </c>
      <c r="S122" s="33">
        <f>IF(A122="","",IF(OR(I122="",I122=0,J122=""),"",J122/I122-1))</f>
        <v>0</v>
      </c>
      <c r="T122" s="33">
        <f>IF(A122="","",IF(OR(S122="",N122=""),"",(1+N122)*(1+S122)-1))</f>
        <v>0</v>
      </c>
      <c r="U122" s="32">
        <f>IF(B122="","",COUNTIFS($B$5:B122,B122))</f>
        <v>0</v>
      </c>
      <c r="V122" s="32">
        <f>IF(A122="","",TodayDate-A122)</f>
        <v>0</v>
      </c>
      <c r="W122" s="43">
        <f>IF(A122="","",IF(M122="","Add - old and new price",IF(Q122&lt;0,"Loss - priced below cost",IF(T122="","Watch - no volume data yet",IF(T122&gt;0.02,"Worked - revenue up",IF(T122&lt;-0.02,"Hurt - revenue down","Neutral - no real change"))))))</f>
        <v>0</v>
      </c>
    </row>
    <row r="123" spans="3:23">
      <c r="C123" s="13">
        <f>IF(B123="","",IFERROR(INDEX(Products!$B$5:$B$304,MATCH(B123,Products!$A$5:$A$304,0)),"Not found"))</f>
        <v>0</v>
      </c>
      <c r="L123" s="13">
        <f>IF(A123="","",TEXT(A123,"yyyy-mm"))</f>
        <v>0</v>
      </c>
      <c r="M123" s="20">
        <f>IF(A123="","",IF(OR(D123="",E123=""),"",ROUND(E123-D123,2)))</f>
        <v>0</v>
      </c>
      <c r="N123" s="33">
        <f>IF(A123="","",IF(OR(D123="",D123=0,E123=""),"",E123/D123-1))</f>
        <v>0</v>
      </c>
      <c r="O123" s="20">
        <f>IF(A123="","",IF(F123&lt;&gt;"",F123,IFERROR(INDEX(Products!$AT$5:$AT$304,MATCH(B123,Products!$A$5:$A$304,0)),"")))</f>
        <v>0</v>
      </c>
      <c r="P123" s="33">
        <f>IF(A123="","",IF(OR(D123="",D123=0,O123=""),"",(D123-O123)/D123))</f>
        <v>0</v>
      </c>
      <c r="Q123" s="33">
        <f>IF(A123="","",IF(OR(E123="",E123=0,O123=""),"",(E123-O123)/E123))</f>
        <v>0</v>
      </c>
      <c r="R123" s="33">
        <f>IF(A123="","",IF(OR(P123="",Q123=""),"",Q123-P123))</f>
        <v>0</v>
      </c>
      <c r="S123" s="33">
        <f>IF(A123="","",IF(OR(I123="",I123=0,J123=""),"",J123/I123-1))</f>
        <v>0</v>
      </c>
      <c r="T123" s="33">
        <f>IF(A123="","",IF(OR(S123="",N123=""),"",(1+N123)*(1+S123)-1))</f>
        <v>0</v>
      </c>
      <c r="U123" s="32">
        <f>IF(B123="","",COUNTIFS($B$5:B123,B123))</f>
        <v>0</v>
      </c>
      <c r="V123" s="32">
        <f>IF(A123="","",TodayDate-A123)</f>
        <v>0</v>
      </c>
      <c r="W123" s="43">
        <f>IF(A123="","",IF(M123="","Add - old and new price",IF(Q123&lt;0,"Loss - priced below cost",IF(T123="","Watch - no volume data yet",IF(T123&gt;0.02,"Worked - revenue up",IF(T123&lt;-0.02,"Hurt - revenue down","Neutral - no real change"))))))</f>
        <v>0</v>
      </c>
    </row>
    <row r="124" spans="3:23">
      <c r="C124" s="13">
        <f>IF(B124="","",IFERROR(INDEX(Products!$B$5:$B$304,MATCH(B124,Products!$A$5:$A$304,0)),"Not found"))</f>
        <v>0</v>
      </c>
      <c r="L124" s="13">
        <f>IF(A124="","",TEXT(A124,"yyyy-mm"))</f>
        <v>0</v>
      </c>
      <c r="M124" s="20">
        <f>IF(A124="","",IF(OR(D124="",E124=""),"",ROUND(E124-D124,2)))</f>
        <v>0</v>
      </c>
      <c r="N124" s="33">
        <f>IF(A124="","",IF(OR(D124="",D124=0,E124=""),"",E124/D124-1))</f>
        <v>0</v>
      </c>
      <c r="O124" s="20">
        <f>IF(A124="","",IF(F124&lt;&gt;"",F124,IFERROR(INDEX(Products!$AT$5:$AT$304,MATCH(B124,Products!$A$5:$A$304,0)),"")))</f>
        <v>0</v>
      </c>
      <c r="P124" s="33">
        <f>IF(A124="","",IF(OR(D124="",D124=0,O124=""),"",(D124-O124)/D124))</f>
        <v>0</v>
      </c>
      <c r="Q124" s="33">
        <f>IF(A124="","",IF(OR(E124="",E124=0,O124=""),"",(E124-O124)/E124))</f>
        <v>0</v>
      </c>
      <c r="R124" s="33">
        <f>IF(A124="","",IF(OR(P124="",Q124=""),"",Q124-P124))</f>
        <v>0</v>
      </c>
      <c r="S124" s="33">
        <f>IF(A124="","",IF(OR(I124="",I124=0,J124=""),"",J124/I124-1))</f>
        <v>0</v>
      </c>
      <c r="T124" s="33">
        <f>IF(A124="","",IF(OR(S124="",N124=""),"",(1+N124)*(1+S124)-1))</f>
        <v>0</v>
      </c>
      <c r="U124" s="32">
        <f>IF(B124="","",COUNTIFS($B$5:B124,B124))</f>
        <v>0</v>
      </c>
      <c r="V124" s="32">
        <f>IF(A124="","",TodayDate-A124)</f>
        <v>0</v>
      </c>
      <c r="W124" s="43">
        <f>IF(A124="","",IF(M124="","Add - old and new price",IF(Q124&lt;0,"Loss - priced below cost",IF(T124="","Watch - no volume data yet",IF(T124&gt;0.02,"Worked - revenue up",IF(T124&lt;-0.02,"Hurt - revenue down","Neutral - no real change"))))))</f>
        <v>0</v>
      </c>
    </row>
    <row r="125" spans="3:23">
      <c r="C125" s="13">
        <f>IF(B125="","",IFERROR(INDEX(Products!$B$5:$B$304,MATCH(B125,Products!$A$5:$A$304,0)),"Not found"))</f>
        <v>0</v>
      </c>
      <c r="L125" s="13">
        <f>IF(A125="","",TEXT(A125,"yyyy-mm"))</f>
        <v>0</v>
      </c>
      <c r="M125" s="20">
        <f>IF(A125="","",IF(OR(D125="",E125=""),"",ROUND(E125-D125,2)))</f>
        <v>0</v>
      </c>
      <c r="N125" s="33">
        <f>IF(A125="","",IF(OR(D125="",D125=0,E125=""),"",E125/D125-1))</f>
        <v>0</v>
      </c>
      <c r="O125" s="20">
        <f>IF(A125="","",IF(F125&lt;&gt;"",F125,IFERROR(INDEX(Products!$AT$5:$AT$304,MATCH(B125,Products!$A$5:$A$304,0)),"")))</f>
        <v>0</v>
      </c>
      <c r="P125" s="33">
        <f>IF(A125="","",IF(OR(D125="",D125=0,O125=""),"",(D125-O125)/D125))</f>
        <v>0</v>
      </c>
      <c r="Q125" s="33">
        <f>IF(A125="","",IF(OR(E125="",E125=0,O125=""),"",(E125-O125)/E125))</f>
        <v>0</v>
      </c>
      <c r="R125" s="33">
        <f>IF(A125="","",IF(OR(P125="",Q125=""),"",Q125-P125))</f>
        <v>0</v>
      </c>
      <c r="S125" s="33">
        <f>IF(A125="","",IF(OR(I125="",I125=0,J125=""),"",J125/I125-1))</f>
        <v>0</v>
      </c>
      <c r="T125" s="33">
        <f>IF(A125="","",IF(OR(S125="",N125=""),"",(1+N125)*(1+S125)-1))</f>
        <v>0</v>
      </c>
      <c r="U125" s="32">
        <f>IF(B125="","",COUNTIFS($B$5:B125,B125))</f>
        <v>0</v>
      </c>
      <c r="V125" s="32">
        <f>IF(A125="","",TodayDate-A125)</f>
        <v>0</v>
      </c>
      <c r="W125" s="43">
        <f>IF(A125="","",IF(M125="","Add - old and new price",IF(Q125&lt;0,"Loss - priced below cost",IF(T125="","Watch - no volume data yet",IF(T125&gt;0.02,"Worked - revenue up",IF(T125&lt;-0.02,"Hurt - revenue down","Neutral - no real change"))))))</f>
        <v>0</v>
      </c>
    </row>
    <row r="126" spans="3:23">
      <c r="C126" s="13">
        <f>IF(B126="","",IFERROR(INDEX(Products!$B$5:$B$304,MATCH(B126,Products!$A$5:$A$304,0)),"Not found"))</f>
        <v>0</v>
      </c>
      <c r="L126" s="13">
        <f>IF(A126="","",TEXT(A126,"yyyy-mm"))</f>
        <v>0</v>
      </c>
      <c r="M126" s="20">
        <f>IF(A126="","",IF(OR(D126="",E126=""),"",ROUND(E126-D126,2)))</f>
        <v>0</v>
      </c>
      <c r="N126" s="33">
        <f>IF(A126="","",IF(OR(D126="",D126=0,E126=""),"",E126/D126-1))</f>
        <v>0</v>
      </c>
      <c r="O126" s="20">
        <f>IF(A126="","",IF(F126&lt;&gt;"",F126,IFERROR(INDEX(Products!$AT$5:$AT$304,MATCH(B126,Products!$A$5:$A$304,0)),"")))</f>
        <v>0</v>
      </c>
      <c r="P126" s="33">
        <f>IF(A126="","",IF(OR(D126="",D126=0,O126=""),"",(D126-O126)/D126))</f>
        <v>0</v>
      </c>
      <c r="Q126" s="33">
        <f>IF(A126="","",IF(OR(E126="",E126=0,O126=""),"",(E126-O126)/E126))</f>
        <v>0</v>
      </c>
      <c r="R126" s="33">
        <f>IF(A126="","",IF(OR(P126="",Q126=""),"",Q126-P126))</f>
        <v>0</v>
      </c>
      <c r="S126" s="33">
        <f>IF(A126="","",IF(OR(I126="",I126=0,J126=""),"",J126/I126-1))</f>
        <v>0</v>
      </c>
      <c r="T126" s="33">
        <f>IF(A126="","",IF(OR(S126="",N126=""),"",(1+N126)*(1+S126)-1))</f>
        <v>0</v>
      </c>
      <c r="U126" s="32">
        <f>IF(B126="","",COUNTIFS($B$5:B126,B126))</f>
        <v>0</v>
      </c>
      <c r="V126" s="32">
        <f>IF(A126="","",TodayDate-A126)</f>
        <v>0</v>
      </c>
      <c r="W126" s="43">
        <f>IF(A126="","",IF(M126="","Add - old and new price",IF(Q126&lt;0,"Loss - priced below cost",IF(T126="","Watch - no volume data yet",IF(T126&gt;0.02,"Worked - revenue up",IF(T126&lt;-0.02,"Hurt - revenue down","Neutral - no real change"))))))</f>
        <v>0</v>
      </c>
    </row>
    <row r="127" spans="3:23">
      <c r="C127" s="13">
        <f>IF(B127="","",IFERROR(INDEX(Products!$B$5:$B$304,MATCH(B127,Products!$A$5:$A$304,0)),"Not found"))</f>
        <v>0</v>
      </c>
      <c r="L127" s="13">
        <f>IF(A127="","",TEXT(A127,"yyyy-mm"))</f>
        <v>0</v>
      </c>
      <c r="M127" s="20">
        <f>IF(A127="","",IF(OR(D127="",E127=""),"",ROUND(E127-D127,2)))</f>
        <v>0</v>
      </c>
      <c r="N127" s="33">
        <f>IF(A127="","",IF(OR(D127="",D127=0,E127=""),"",E127/D127-1))</f>
        <v>0</v>
      </c>
      <c r="O127" s="20">
        <f>IF(A127="","",IF(F127&lt;&gt;"",F127,IFERROR(INDEX(Products!$AT$5:$AT$304,MATCH(B127,Products!$A$5:$A$304,0)),"")))</f>
        <v>0</v>
      </c>
      <c r="P127" s="33">
        <f>IF(A127="","",IF(OR(D127="",D127=0,O127=""),"",(D127-O127)/D127))</f>
        <v>0</v>
      </c>
      <c r="Q127" s="33">
        <f>IF(A127="","",IF(OR(E127="",E127=0,O127=""),"",(E127-O127)/E127))</f>
        <v>0</v>
      </c>
      <c r="R127" s="33">
        <f>IF(A127="","",IF(OR(P127="",Q127=""),"",Q127-P127))</f>
        <v>0</v>
      </c>
      <c r="S127" s="33">
        <f>IF(A127="","",IF(OR(I127="",I127=0,J127=""),"",J127/I127-1))</f>
        <v>0</v>
      </c>
      <c r="T127" s="33">
        <f>IF(A127="","",IF(OR(S127="",N127=""),"",(1+N127)*(1+S127)-1))</f>
        <v>0</v>
      </c>
      <c r="U127" s="32">
        <f>IF(B127="","",COUNTIFS($B$5:B127,B127))</f>
        <v>0</v>
      </c>
      <c r="V127" s="32">
        <f>IF(A127="","",TodayDate-A127)</f>
        <v>0</v>
      </c>
      <c r="W127" s="43">
        <f>IF(A127="","",IF(M127="","Add - old and new price",IF(Q127&lt;0,"Loss - priced below cost",IF(T127="","Watch - no volume data yet",IF(T127&gt;0.02,"Worked - revenue up",IF(T127&lt;-0.02,"Hurt - revenue down","Neutral - no real change"))))))</f>
        <v>0</v>
      </c>
    </row>
    <row r="128" spans="3:23">
      <c r="C128" s="13">
        <f>IF(B128="","",IFERROR(INDEX(Products!$B$5:$B$304,MATCH(B128,Products!$A$5:$A$304,0)),"Not found"))</f>
        <v>0</v>
      </c>
      <c r="L128" s="13">
        <f>IF(A128="","",TEXT(A128,"yyyy-mm"))</f>
        <v>0</v>
      </c>
      <c r="M128" s="20">
        <f>IF(A128="","",IF(OR(D128="",E128=""),"",ROUND(E128-D128,2)))</f>
        <v>0</v>
      </c>
      <c r="N128" s="33">
        <f>IF(A128="","",IF(OR(D128="",D128=0,E128=""),"",E128/D128-1))</f>
        <v>0</v>
      </c>
      <c r="O128" s="20">
        <f>IF(A128="","",IF(F128&lt;&gt;"",F128,IFERROR(INDEX(Products!$AT$5:$AT$304,MATCH(B128,Products!$A$5:$A$304,0)),"")))</f>
        <v>0</v>
      </c>
      <c r="P128" s="33">
        <f>IF(A128="","",IF(OR(D128="",D128=0,O128=""),"",(D128-O128)/D128))</f>
        <v>0</v>
      </c>
      <c r="Q128" s="33">
        <f>IF(A128="","",IF(OR(E128="",E128=0,O128=""),"",(E128-O128)/E128))</f>
        <v>0</v>
      </c>
      <c r="R128" s="33">
        <f>IF(A128="","",IF(OR(P128="",Q128=""),"",Q128-P128))</f>
        <v>0</v>
      </c>
      <c r="S128" s="33">
        <f>IF(A128="","",IF(OR(I128="",I128=0,J128=""),"",J128/I128-1))</f>
        <v>0</v>
      </c>
      <c r="T128" s="33">
        <f>IF(A128="","",IF(OR(S128="",N128=""),"",(1+N128)*(1+S128)-1))</f>
        <v>0</v>
      </c>
      <c r="U128" s="32">
        <f>IF(B128="","",COUNTIFS($B$5:B128,B128))</f>
        <v>0</v>
      </c>
      <c r="V128" s="32">
        <f>IF(A128="","",TodayDate-A128)</f>
        <v>0</v>
      </c>
      <c r="W128" s="43">
        <f>IF(A128="","",IF(M128="","Add - old and new price",IF(Q128&lt;0,"Loss - priced below cost",IF(T128="","Watch - no volume data yet",IF(T128&gt;0.02,"Worked - revenue up",IF(T128&lt;-0.02,"Hurt - revenue down","Neutral - no real change"))))))</f>
        <v>0</v>
      </c>
    </row>
    <row r="129" spans="3:23">
      <c r="C129" s="13">
        <f>IF(B129="","",IFERROR(INDEX(Products!$B$5:$B$304,MATCH(B129,Products!$A$5:$A$304,0)),"Not found"))</f>
        <v>0</v>
      </c>
      <c r="L129" s="13">
        <f>IF(A129="","",TEXT(A129,"yyyy-mm"))</f>
        <v>0</v>
      </c>
      <c r="M129" s="20">
        <f>IF(A129="","",IF(OR(D129="",E129=""),"",ROUND(E129-D129,2)))</f>
        <v>0</v>
      </c>
      <c r="N129" s="33">
        <f>IF(A129="","",IF(OR(D129="",D129=0,E129=""),"",E129/D129-1))</f>
        <v>0</v>
      </c>
      <c r="O129" s="20">
        <f>IF(A129="","",IF(F129&lt;&gt;"",F129,IFERROR(INDEX(Products!$AT$5:$AT$304,MATCH(B129,Products!$A$5:$A$304,0)),"")))</f>
        <v>0</v>
      </c>
      <c r="P129" s="33">
        <f>IF(A129="","",IF(OR(D129="",D129=0,O129=""),"",(D129-O129)/D129))</f>
        <v>0</v>
      </c>
      <c r="Q129" s="33">
        <f>IF(A129="","",IF(OR(E129="",E129=0,O129=""),"",(E129-O129)/E129))</f>
        <v>0</v>
      </c>
      <c r="R129" s="33">
        <f>IF(A129="","",IF(OR(P129="",Q129=""),"",Q129-P129))</f>
        <v>0</v>
      </c>
      <c r="S129" s="33">
        <f>IF(A129="","",IF(OR(I129="",I129=0,J129=""),"",J129/I129-1))</f>
        <v>0</v>
      </c>
      <c r="T129" s="33">
        <f>IF(A129="","",IF(OR(S129="",N129=""),"",(1+N129)*(1+S129)-1))</f>
        <v>0</v>
      </c>
      <c r="U129" s="32">
        <f>IF(B129="","",COUNTIFS($B$5:B129,B129))</f>
        <v>0</v>
      </c>
      <c r="V129" s="32">
        <f>IF(A129="","",TodayDate-A129)</f>
        <v>0</v>
      </c>
      <c r="W129" s="43">
        <f>IF(A129="","",IF(M129="","Add - old and new price",IF(Q129&lt;0,"Loss - priced below cost",IF(T129="","Watch - no volume data yet",IF(T129&gt;0.02,"Worked - revenue up",IF(T129&lt;-0.02,"Hurt - revenue down","Neutral - no real change"))))))</f>
        <v>0</v>
      </c>
    </row>
    <row r="130" spans="3:23">
      <c r="C130" s="13">
        <f>IF(B130="","",IFERROR(INDEX(Products!$B$5:$B$304,MATCH(B130,Products!$A$5:$A$304,0)),"Not found"))</f>
        <v>0</v>
      </c>
      <c r="L130" s="13">
        <f>IF(A130="","",TEXT(A130,"yyyy-mm"))</f>
        <v>0</v>
      </c>
      <c r="M130" s="20">
        <f>IF(A130="","",IF(OR(D130="",E130=""),"",ROUND(E130-D130,2)))</f>
        <v>0</v>
      </c>
      <c r="N130" s="33">
        <f>IF(A130="","",IF(OR(D130="",D130=0,E130=""),"",E130/D130-1))</f>
        <v>0</v>
      </c>
      <c r="O130" s="20">
        <f>IF(A130="","",IF(F130&lt;&gt;"",F130,IFERROR(INDEX(Products!$AT$5:$AT$304,MATCH(B130,Products!$A$5:$A$304,0)),"")))</f>
        <v>0</v>
      </c>
      <c r="P130" s="33">
        <f>IF(A130="","",IF(OR(D130="",D130=0,O130=""),"",(D130-O130)/D130))</f>
        <v>0</v>
      </c>
      <c r="Q130" s="33">
        <f>IF(A130="","",IF(OR(E130="",E130=0,O130=""),"",(E130-O130)/E130))</f>
        <v>0</v>
      </c>
      <c r="R130" s="33">
        <f>IF(A130="","",IF(OR(P130="",Q130=""),"",Q130-P130))</f>
        <v>0</v>
      </c>
      <c r="S130" s="33">
        <f>IF(A130="","",IF(OR(I130="",I130=0,J130=""),"",J130/I130-1))</f>
        <v>0</v>
      </c>
      <c r="T130" s="33">
        <f>IF(A130="","",IF(OR(S130="",N130=""),"",(1+N130)*(1+S130)-1))</f>
        <v>0</v>
      </c>
      <c r="U130" s="32">
        <f>IF(B130="","",COUNTIFS($B$5:B130,B130))</f>
        <v>0</v>
      </c>
      <c r="V130" s="32">
        <f>IF(A130="","",TodayDate-A130)</f>
        <v>0</v>
      </c>
      <c r="W130" s="43">
        <f>IF(A130="","",IF(M130="","Add - old and new price",IF(Q130&lt;0,"Loss - priced below cost",IF(T130="","Watch - no volume data yet",IF(T130&gt;0.02,"Worked - revenue up",IF(T130&lt;-0.02,"Hurt - revenue down","Neutral - no real change"))))))</f>
        <v>0</v>
      </c>
    </row>
    <row r="131" spans="3:23">
      <c r="C131" s="13">
        <f>IF(B131="","",IFERROR(INDEX(Products!$B$5:$B$304,MATCH(B131,Products!$A$5:$A$304,0)),"Not found"))</f>
        <v>0</v>
      </c>
      <c r="L131" s="13">
        <f>IF(A131="","",TEXT(A131,"yyyy-mm"))</f>
        <v>0</v>
      </c>
      <c r="M131" s="20">
        <f>IF(A131="","",IF(OR(D131="",E131=""),"",ROUND(E131-D131,2)))</f>
        <v>0</v>
      </c>
      <c r="N131" s="33">
        <f>IF(A131="","",IF(OR(D131="",D131=0,E131=""),"",E131/D131-1))</f>
        <v>0</v>
      </c>
      <c r="O131" s="20">
        <f>IF(A131="","",IF(F131&lt;&gt;"",F131,IFERROR(INDEX(Products!$AT$5:$AT$304,MATCH(B131,Products!$A$5:$A$304,0)),"")))</f>
        <v>0</v>
      </c>
      <c r="P131" s="33">
        <f>IF(A131="","",IF(OR(D131="",D131=0,O131=""),"",(D131-O131)/D131))</f>
        <v>0</v>
      </c>
      <c r="Q131" s="33">
        <f>IF(A131="","",IF(OR(E131="",E131=0,O131=""),"",(E131-O131)/E131))</f>
        <v>0</v>
      </c>
      <c r="R131" s="33">
        <f>IF(A131="","",IF(OR(P131="",Q131=""),"",Q131-P131))</f>
        <v>0</v>
      </c>
      <c r="S131" s="33">
        <f>IF(A131="","",IF(OR(I131="",I131=0,J131=""),"",J131/I131-1))</f>
        <v>0</v>
      </c>
      <c r="T131" s="33">
        <f>IF(A131="","",IF(OR(S131="",N131=""),"",(1+N131)*(1+S131)-1))</f>
        <v>0</v>
      </c>
      <c r="U131" s="32">
        <f>IF(B131="","",COUNTIFS($B$5:B131,B131))</f>
        <v>0</v>
      </c>
      <c r="V131" s="32">
        <f>IF(A131="","",TodayDate-A131)</f>
        <v>0</v>
      </c>
      <c r="W131" s="43">
        <f>IF(A131="","",IF(M131="","Add - old and new price",IF(Q131&lt;0,"Loss - priced below cost",IF(T131="","Watch - no volume data yet",IF(T131&gt;0.02,"Worked - revenue up",IF(T131&lt;-0.02,"Hurt - revenue down","Neutral - no real change"))))))</f>
        <v>0</v>
      </c>
    </row>
    <row r="132" spans="3:23">
      <c r="C132" s="13">
        <f>IF(B132="","",IFERROR(INDEX(Products!$B$5:$B$304,MATCH(B132,Products!$A$5:$A$304,0)),"Not found"))</f>
        <v>0</v>
      </c>
      <c r="L132" s="13">
        <f>IF(A132="","",TEXT(A132,"yyyy-mm"))</f>
        <v>0</v>
      </c>
      <c r="M132" s="20">
        <f>IF(A132="","",IF(OR(D132="",E132=""),"",ROUND(E132-D132,2)))</f>
        <v>0</v>
      </c>
      <c r="N132" s="33">
        <f>IF(A132="","",IF(OR(D132="",D132=0,E132=""),"",E132/D132-1))</f>
        <v>0</v>
      </c>
      <c r="O132" s="20">
        <f>IF(A132="","",IF(F132&lt;&gt;"",F132,IFERROR(INDEX(Products!$AT$5:$AT$304,MATCH(B132,Products!$A$5:$A$304,0)),"")))</f>
        <v>0</v>
      </c>
      <c r="P132" s="33">
        <f>IF(A132="","",IF(OR(D132="",D132=0,O132=""),"",(D132-O132)/D132))</f>
        <v>0</v>
      </c>
      <c r="Q132" s="33">
        <f>IF(A132="","",IF(OR(E132="",E132=0,O132=""),"",(E132-O132)/E132))</f>
        <v>0</v>
      </c>
      <c r="R132" s="33">
        <f>IF(A132="","",IF(OR(P132="",Q132=""),"",Q132-P132))</f>
        <v>0</v>
      </c>
      <c r="S132" s="33">
        <f>IF(A132="","",IF(OR(I132="",I132=0,J132=""),"",J132/I132-1))</f>
        <v>0</v>
      </c>
      <c r="T132" s="33">
        <f>IF(A132="","",IF(OR(S132="",N132=""),"",(1+N132)*(1+S132)-1))</f>
        <v>0</v>
      </c>
      <c r="U132" s="32">
        <f>IF(B132="","",COUNTIFS($B$5:B132,B132))</f>
        <v>0</v>
      </c>
      <c r="V132" s="32">
        <f>IF(A132="","",TodayDate-A132)</f>
        <v>0</v>
      </c>
      <c r="W132" s="43">
        <f>IF(A132="","",IF(M132="","Add - old and new price",IF(Q132&lt;0,"Loss - priced below cost",IF(T132="","Watch - no volume data yet",IF(T132&gt;0.02,"Worked - revenue up",IF(T132&lt;-0.02,"Hurt - revenue down","Neutral - no real change"))))))</f>
        <v>0</v>
      </c>
    </row>
    <row r="133" spans="3:23">
      <c r="C133" s="13">
        <f>IF(B133="","",IFERROR(INDEX(Products!$B$5:$B$304,MATCH(B133,Products!$A$5:$A$304,0)),"Not found"))</f>
        <v>0</v>
      </c>
      <c r="L133" s="13">
        <f>IF(A133="","",TEXT(A133,"yyyy-mm"))</f>
        <v>0</v>
      </c>
      <c r="M133" s="20">
        <f>IF(A133="","",IF(OR(D133="",E133=""),"",ROUND(E133-D133,2)))</f>
        <v>0</v>
      </c>
      <c r="N133" s="33">
        <f>IF(A133="","",IF(OR(D133="",D133=0,E133=""),"",E133/D133-1))</f>
        <v>0</v>
      </c>
      <c r="O133" s="20">
        <f>IF(A133="","",IF(F133&lt;&gt;"",F133,IFERROR(INDEX(Products!$AT$5:$AT$304,MATCH(B133,Products!$A$5:$A$304,0)),"")))</f>
        <v>0</v>
      </c>
      <c r="P133" s="33">
        <f>IF(A133="","",IF(OR(D133="",D133=0,O133=""),"",(D133-O133)/D133))</f>
        <v>0</v>
      </c>
      <c r="Q133" s="33">
        <f>IF(A133="","",IF(OR(E133="",E133=0,O133=""),"",(E133-O133)/E133))</f>
        <v>0</v>
      </c>
      <c r="R133" s="33">
        <f>IF(A133="","",IF(OR(P133="",Q133=""),"",Q133-P133))</f>
        <v>0</v>
      </c>
      <c r="S133" s="33">
        <f>IF(A133="","",IF(OR(I133="",I133=0,J133=""),"",J133/I133-1))</f>
        <v>0</v>
      </c>
      <c r="T133" s="33">
        <f>IF(A133="","",IF(OR(S133="",N133=""),"",(1+N133)*(1+S133)-1))</f>
        <v>0</v>
      </c>
      <c r="U133" s="32">
        <f>IF(B133="","",COUNTIFS($B$5:B133,B133))</f>
        <v>0</v>
      </c>
      <c r="V133" s="32">
        <f>IF(A133="","",TodayDate-A133)</f>
        <v>0</v>
      </c>
      <c r="W133" s="43">
        <f>IF(A133="","",IF(M133="","Add - old and new price",IF(Q133&lt;0,"Loss - priced below cost",IF(T133="","Watch - no volume data yet",IF(T133&gt;0.02,"Worked - revenue up",IF(T133&lt;-0.02,"Hurt - revenue down","Neutral - no real change"))))))</f>
        <v>0</v>
      </c>
    </row>
    <row r="134" spans="3:23">
      <c r="C134" s="13">
        <f>IF(B134="","",IFERROR(INDEX(Products!$B$5:$B$304,MATCH(B134,Products!$A$5:$A$304,0)),"Not found"))</f>
        <v>0</v>
      </c>
      <c r="L134" s="13">
        <f>IF(A134="","",TEXT(A134,"yyyy-mm"))</f>
        <v>0</v>
      </c>
      <c r="M134" s="20">
        <f>IF(A134="","",IF(OR(D134="",E134=""),"",ROUND(E134-D134,2)))</f>
        <v>0</v>
      </c>
      <c r="N134" s="33">
        <f>IF(A134="","",IF(OR(D134="",D134=0,E134=""),"",E134/D134-1))</f>
        <v>0</v>
      </c>
      <c r="O134" s="20">
        <f>IF(A134="","",IF(F134&lt;&gt;"",F134,IFERROR(INDEX(Products!$AT$5:$AT$304,MATCH(B134,Products!$A$5:$A$304,0)),"")))</f>
        <v>0</v>
      </c>
      <c r="P134" s="33">
        <f>IF(A134="","",IF(OR(D134="",D134=0,O134=""),"",(D134-O134)/D134))</f>
        <v>0</v>
      </c>
      <c r="Q134" s="33">
        <f>IF(A134="","",IF(OR(E134="",E134=0,O134=""),"",(E134-O134)/E134))</f>
        <v>0</v>
      </c>
      <c r="R134" s="33">
        <f>IF(A134="","",IF(OR(P134="",Q134=""),"",Q134-P134))</f>
        <v>0</v>
      </c>
      <c r="S134" s="33">
        <f>IF(A134="","",IF(OR(I134="",I134=0,J134=""),"",J134/I134-1))</f>
        <v>0</v>
      </c>
      <c r="T134" s="33">
        <f>IF(A134="","",IF(OR(S134="",N134=""),"",(1+N134)*(1+S134)-1))</f>
        <v>0</v>
      </c>
      <c r="U134" s="32">
        <f>IF(B134="","",COUNTIFS($B$5:B134,B134))</f>
        <v>0</v>
      </c>
      <c r="V134" s="32">
        <f>IF(A134="","",TodayDate-A134)</f>
        <v>0</v>
      </c>
      <c r="W134" s="43">
        <f>IF(A134="","",IF(M134="","Add - old and new price",IF(Q134&lt;0,"Loss - priced below cost",IF(T134="","Watch - no volume data yet",IF(T134&gt;0.02,"Worked - revenue up",IF(T134&lt;-0.02,"Hurt - revenue down","Neutral - no real change"))))))</f>
        <v>0</v>
      </c>
    </row>
    <row r="135" spans="3:23">
      <c r="C135" s="13">
        <f>IF(B135="","",IFERROR(INDEX(Products!$B$5:$B$304,MATCH(B135,Products!$A$5:$A$304,0)),"Not found"))</f>
        <v>0</v>
      </c>
      <c r="L135" s="13">
        <f>IF(A135="","",TEXT(A135,"yyyy-mm"))</f>
        <v>0</v>
      </c>
      <c r="M135" s="20">
        <f>IF(A135="","",IF(OR(D135="",E135=""),"",ROUND(E135-D135,2)))</f>
        <v>0</v>
      </c>
      <c r="N135" s="33">
        <f>IF(A135="","",IF(OR(D135="",D135=0,E135=""),"",E135/D135-1))</f>
        <v>0</v>
      </c>
      <c r="O135" s="20">
        <f>IF(A135="","",IF(F135&lt;&gt;"",F135,IFERROR(INDEX(Products!$AT$5:$AT$304,MATCH(B135,Products!$A$5:$A$304,0)),"")))</f>
        <v>0</v>
      </c>
      <c r="P135" s="33">
        <f>IF(A135="","",IF(OR(D135="",D135=0,O135=""),"",(D135-O135)/D135))</f>
        <v>0</v>
      </c>
      <c r="Q135" s="33">
        <f>IF(A135="","",IF(OR(E135="",E135=0,O135=""),"",(E135-O135)/E135))</f>
        <v>0</v>
      </c>
      <c r="R135" s="33">
        <f>IF(A135="","",IF(OR(P135="",Q135=""),"",Q135-P135))</f>
        <v>0</v>
      </c>
      <c r="S135" s="33">
        <f>IF(A135="","",IF(OR(I135="",I135=0,J135=""),"",J135/I135-1))</f>
        <v>0</v>
      </c>
      <c r="T135" s="33">
        <f>IF(A135="","",IF(OR(S135="",N135=""),"",(1+N135)*(1+S135)-1))</f>
        <v>0</v>
      </c>
      <c r="U135" s="32">
        <f>IF(B135="","",COUNTIFS($B$5:B135,B135))</f>
        <v>0</v>
      </c>
      <c r="V135" s="32">
        <f>IF(A135="","",TodayDate-A135)</f>
        <v>0</v>
      </c>
      <c r="W135" s="43">
        <f>IF(A135="","",IF(M135="","Add - old and new price",IF(Q135&lt;0,"Loss - priced below cost",IF(T135="","Watch - no volume data yet",IF(T135&gt;0.02,"Worked - revenue up",IF(T135&lt;-0.02,"Hurt - revenue down","Neutral - no real change"))))))</f>
        <v>0</v>
      </c>
    </row>
    <row r="136" spans="3:23">
      <c r="C136" s="13">
        <f>IF(B136="","",IFERROR(INDEX(Products!$B$5:$B$304,MATCH(B136,Products!$A$5:$A$304,0)),"Not found"))</f>
        <v>0</v>
      </c>
      <c r="L136" s="13">
        <f>IF(A136="","",TEXT(A136,"yyyy-mm"))</f>
        <v>0</v>
      </c>
      <c r="M136" s="20">
        <f>IF(A136="","",IF(OR(D136="",E136=""),"",ROUND(E136-D136,2)))</f>
        <v>0</v>
      </c>
      <c r="N136" s="33">
        <f>IF(A136="","",IF(OR(D136="",D136=0,E136=""),"",E136/D136-1))</f>
        <v>0</v>
      </c>
      <c r="O136" s="20">
        <f>IF(A136="","",IF(F136&lt;&gt;"",F136,IFERROR(INDEX(Products!$AT$5:$AT$304,MATCH(B136,Products!$A$5:$A$304,0)),"")))</f>
        <v>0</v>
      </c>
      <c r="P136" s="33">
        <f>IF(A136="","",IF(OR(D136="",D136=0,O136=""),"",(D136-O136)/D136))</f>
        <v>0</v>
      </c>
      <c r="Q136" s="33">
        <f>IF(A136="","",IF(OR(E136="",E136=0,O136=""),"",(E136-O136)/E136))</f>
        <v>0</v>
      </c>
      <c r="R136" s="33">
        <f>IF(A136="","",IF(OR(P136="",Q136=""),"",Q136-P136))</f>
        <v>0</v>
      </c>
      <c r="S136" s="33">
        <f>IF(A136="","",IF(OR(I136="",I136=0,J136=""),"",J136/I136-1))</f>
        <v>0</v>
      </c>
      <c r="T136" s="33">
        <f>IF(A136="","",IF(OR(S136="",N136=""),"",(1+N136)*(1+S136)-1))</f>
        <v>0</v>
      </c>
      <c r="U136" s="32">
        <f>IF(B136="","",COUNTIFS($B$5:B136,B136))</f>
        <v>0</v>
      </c>
      <c r="V136" s="32">
        <f>IF(A136="","",TodayDate-A136)</f>
        <v>0</v>
      </c>
      <c r="W136" s="43">
        <f>IF(A136="","",IF(M136="","Add - old and new price",IF(Q136&lt;0,"Loss - priced below cost",IF(T136="","Watch - no volume data yet",IF(T136&gt;0.02,"Worked - revenue up",IF(T136&lt;-0.02,"Hurt - revenue down","Neutral - no real change"))))))</f>
        <v>0</v>
      </c>
    </row>
    <row r="137" spans="3:23">
      <c r="C137" s="13">
        <f>IF(B137="","",IFERROR(INDEX(Products!$B$5:$B$304,MATCH(B137,Products!$A$5:$A$304,0)),"Not found"))</f>
        <v>0</v>
      </c>
      <c r="L137" s="13">
        <f>IF(A137="","",TEXT(A137,"yyyy-mm"))</f>
        <v>0</v>
      </c>
      <c r="M137" s="20">
        <f>IF(A137="","",IF(OR(D137="",E137=""),"",ROUND(E137-D137,2)))</f>
        <v>0</v>
      </c>
      <c r="N137" s="33">
        <f>IF(A137="","",IF(OR(D137="",D137=0,E137=""),"",E137/D137-1))</f>
        <v>0</v>
      </c>
      <c r="O137" s="20">
        <f>IF(A137="","",IF(F137&lt;&gt;"",F137,IFERROR(INDEX(Products!$AT$5:$AT$304,MATCH(B137,Products!$A$5:$A$304,0)),"")))</f>
        <v>0</v>
      </c>
      <c r="P137" s="33">
        <f>IF(A137="","",IF(OR(D137="",D137=0,O137=""),"",(D137-O137)/D137))</f>
        <v>0</v>
      </c>
      <c r="Q137" s="33">
        <f>IF(A137="","",IF(OR(E137="",E137=0,O137=""),"",(E137-O137)/E137))</f>
        <v>0</v>
      </c>
      <c r="R137" s="33">
        <f>IF(A137="","",IF(OR(P137="",Q137=""),"",Q137-P137))</f>
        <v>0</v>
      </c>
      <c r="S137" s="33">
        <f>IF(A137="","",IF(OR(I137="",I137=0,J137=""),"",J137/I137-1))</f>
        <v>0</v>
      </c>
      <c r="T137" s="33">
        <f>IF(A137="","",IF(OR(S137="",N137=""),"",(1+N137)*(1+S137)-1))</f>
        <v>0</v>
      </c>
      <c r="U137" s="32">
        <f>IF(B137="","",COUNTIFS($B$5:B137,B137))</f>
        <v>0</v>
      </c>
      <c r="V137" s="32">
        <f>IF(A137="","",TodayDate-A137)</f>
        <v>0</v>
      </c>
      <c r="W137" s="43">
        <f>IF(A137="","",IF(M137="","Add - old and new price",IF(Q137&lt;0,"Loss - priced below cost",IF(T137="","Watch - no volume data yet",IF(T137&gt;0.02,"Worked - revenue up",IF(T137&lt;-0.02,"Hurt - revenue down","Neutral - no real change"))))))</f>
        <v>0</v>
      </c>
    </row>
    <row r="138" spans="3:23">
      <c r="C138" s="13">
        <f>IF(B138="","",IFERROR(INDEX(Products!$B$5:$B$304,MATCH(B138,Products!$A$5:$A$304,0)),"Not found"))</f>
        <v>0</v>
      </c>
      <c r="L138" s="13">
        <f>IF(A138="","",TEXT(A138,"yyyy-mm"))</f>
        <v>0</v>
      </c>
      <c r="M138" s="20">
        <f>IF(A138="","",IF(OR(D138="",E138=""),"",ROUND(E138-D138,2)))</f>
        <v>0</v>
      </c>
      <c r="N138" s="33">
        <f>IF(A138="","",IF(OR(D138="",D138=0,E138=""),"",E138/D138-1))</f>
        <v>0</v>
      </c>
      <c r="O138" s="20">
        <f>IF(A138="","",IF(F138&lt;&gt;"",F138,IFERROR(INDEX(Products!$AT$5:$AT$304,MATCH(B138,Products!$A$5:$A$304,0)),"")))</f>
        <v>0</v>
      </c>
      <c r="P138" s="33">
        <f>IF(A138="","",IF(OR(D138="",D138=0,O138=""),"",(D138-O138)/D138))</f>
        <v>0</v>
      </c>
      <c r="Q138" s="33">
        <f>IF(A138="","",IF(OR(E138="",E138=0,O138=""),"",(E138-O138)/E138))</f>
        <v>0</v>
      </c>
      <c r="R138" s="33">
        <f>IF(A138="","",IF(OR(P138="",Q138=""),"",Q138-P138))</f>
        <v>0</v>
      </c>
      <c r="S138" s="33">
        <f>IF(A138="","",IF(OR(I138="",I138=0,J138=""),"",J138/I138-1))</f>
        <v>0</v>
      </c>
      <c r="T138" s="33">
        <f>IF(A138="","",IF(OR(S138="",N138=""),"",(1+N138)*(1+S138)-1))</f>
        <v>0</v>
      </c>
      <c r="U138" s="32">
        <f>IF(B138="","",COUNTIFS($B$5:B138,B138))</f>
        <v>0</v>
      </c>
      <c r="V138" s="32">
        <f>IF(A138="","",TodayDate-A138)</f>
        <v>0</v>
      </c>
      <c r="W138" s="43">
        <f>IF(A138="","",IF(M138="","Add - old and new price",IF(Q138&lt;0,"Loss - priced below cost",IF(T138="","Watch - no volume data yet",IF(T138&gt;0.02,"Worked - revenue up",IF(T138&lt;-0.02,"Hurt - revenue down","Neutral - no real change"))))))</f>
        <v>0</v>
      </c>
    </row>
    <row r="139" spans="3:23">
      <c r="C139" s="13">
        <f>IF(B139="","",IFERROR(INDEX(Products!$B$5:$B$304,MATCH(B139,Products!$A$5:$A$304,0)),"Not found"))</f>
        <v>0</v>
      </c>
      <c r="L139" s="13">
        <f>IF(A139="","",TEXT(A139,"yyyy-mm"))</f>
        <v>0</v>
      </c>
      <c r="M139" s="20">
        <f>IF(A139="","",IF(OR(D139="",E139=""),"",ROUND(E139-D139,2)))</f>
        <v>0</v>
      </c>
      <c r="N139" s="33">
        <f>IF(A139="","",IF(OR(D139="",D139=0,E139=""),"",E139/D139-1))</f>
        <v>0</v>
      </c>
      <c r="O139" s="20">
        <f>IF(A139="","",IF(F139&lt;&gt;"",F139,IFERROR(INDEX(Products!$AT$5:$AT$304,MATCH(B139,Products!$A$5:$A$304,0)),"")))</f>
        <v>0</v>
      </c>
      <c r="P139" s="33">
        <f>IF(A139="","",IF(OR(D139="",D139=0,O139=""),"",(D139-O139)/D139))</f>
        <v>0</v>
      </c>
      <c r="Q139" s="33">
        <f>IF(A139="","",IF(OR(E139="",E139=0,O139=""),"",(E139-O139)/E139))</f>
        <v>0</v>
      </c>
      <c r="R139" s="33">
        <f>IF(A139="","",IF(OR(P139="",Q139=""),"",Q139-P139))</f>
        <v>0</v>
      </c>
      <c r="S139" s="33">
        <f>IF(A139="","",IF(OR(I139="",I139=0,J139=""),"",J139/I139-1))</f>
        <v>0</v>
      </c>
      <c r="T139" s="33">
        <f>IF(A139="","",IF(OR(S139="",N139=""),"",(1+N139)*(1+S139)-1))</f>
        <v>0</v>
      </c>
      <c r="U139" s="32">
        <f>IF(B139="","",COUNTIFS($B$5:B139,B139))</f>
        <v>0</v>
      </c>
      <c r="V139" s="32">
        <f>IF(A139="","",TodayDate-A139)</f>
        <v>0</v>
      </c>
      <c r="W139" s="43">
        <f>IF(A139="","",IF(M139="","Add - old and new price",IF(Q139&lt;0,"Loss - priced below cost",IF(T139="","Watch - no volume data yet",IF(T139&gt;0.02,"Worked - revenue up",IF(T139&lt;-0.02,"Hurt - revenue down","Neutral - no real change"))))))</f>
        <v>0</v>
      </c>
    </row>
    <row r="140" spans="3:23">
      <c r="C140" s="13">
        <f>IF(B140="","",IFERROR(INDEX(Products!$B$5:$B$304,MATCH(B140,Products!$A$5:$A$304,0)),"Not found"))</f>
        <v>0</v>
      </c>
      <c r="L140" s="13">
        <f>IF(A140="","",TEXT(A140,"yyyy-mm"))</f>
        <v>0</v>
      </c>
      <c r="M140" s="20">
        <f>IF(A140="","",IF(OR(D140="",E140=""),"",ROUND(E140-D140,2)))</f>
        <v>0</v>
      </c>
      <c r="N140" s="33">
        <f>IF(A140="","",IF(OR(D140="",D140=0,E140=""),"",E140/D140-1))</f>
        <v>0</v>
      </c>
      <c r="O140" s="20">
        <f>IF(A140="","",IF(F140&lt;&gt;"",F140,IFERROR(INDEX(Products!$AT$5:$AT$304,MATCH(B140,Products!$A$5:$A$304,0)),"")))</f>
        <v>0</v>
      </c>
      <c r="P140" s="33">
        <f>IF(A140="","",IF(OR(D140="",D140=0,O140=""),"",(D140-O140)/D140))</f>
        <v>0</v>
      </c>
      <c r="Q140" s="33">
        <f>IF(A140="","",IF(OR(E140="",E140=0,O140=""),"",(E140-O140)/E140))</f>
        <v>0</v>
      </c>
      <c r="R140" s="33">
        <f>IF(A140="","",IF(OR(P140="",Q140=""),"",Q140-P140))</f>
        <v>0</v>
      </c>
      <c r="S140" s="33">
        <f>IF(A140="","",IF(OR(I140="",I140=0,J140=""),"",J140/I140-1))</f>
        <v>0</v>
      </c>
      <c r="T140" s="33">
        <f>IF(A140="","",IF(OR(S140="",N140=""),"",(1+N140)*(1+S140)-1))</f>
        <v>0</v>
      </c>
      <c r="U140" s="32">
        <f>IF(B140="","",COUNTIFS($B$5:B140,B140))</f>
        <v>0</v>
      </c>
      <c r="V140" s="32">
        <f>IF(A140="","",TodayDate-A140)</f>
        <v>0</v>
      </c>
      <c r="W140" s="43">
        <f>IF(A140="","",IF(M140="","Add - old and new price",IF(Q140&lt;0,"Loss - priced below cost",IF(T140="","Watch - no volume data yet",IF(T140&gt;0.02,"Worked - revenue up",IF(T140&lt;-0.02,"Hurt - revenue down","Neutral - no real change"))))))</f>
        <v>0</v>
      </c>
    </row>
    <row r="141" spans="3:23">
      <c r="C141" s="13">
        <f>IF(B141="","",IFERROR(INDEX(Products!$B$5:$B$304,MATCH(B141,Products!$A$5:$A$304,0)),"Not found"))</f>
        <v>0</v>
      </c>
      <c r="L141" s="13">
        <f>IF(A141="","",TEXT(A141,"yyyy-mm"))</f>
        <v>0</v>
      </c>
      <c r="M141" s="20">
        <f>IF(A141="","",IF(OR(D141="",E141=""),"",ROUND(E141-D141,2)))</f>
        <v>0</v>
      </c>
      <c r="N141" s="33">
        <f>IF(A141="","",IF(OR(D141="",D141=0,E141=""),"",E141/D141-1))</f>
        <v>0</v>
      </c>
      <c r="O141" s="20">
        <f>IF(A141="","",IF(F141&lt;&gt;"",F141,IFERROR(INDEX(Products!$AT$5:$AT$304,MATCH(B141,Products!$A$5:$A$304,0)),"")))</f>
        <v>0</v>
      </c>
      <c r="P141" s="33">
        <f>IF(A141="","",IF(OR(D141="",D141=0,O141=""),"",(D141-O141)/D141))</f>
        <v>0</v>
      </c>
      <c r="Q141" s="33">
        <f>IF(A141="","",IF(OR(E141="",E141=0,O141=""),"",(E141-O141)/E141))</f>
        <v>0</v>
      </c>
      <c r="R141" s="33">
        <f>IF(A141="","",IF(OR(P141="",Q141=""),"",Q141-P141))</f>
        <v>0</v>
      </c>
      <c r="S141" s="33">
        <f>IF(A141="","",IF(OR(I141="",I141=0,J141=""),"",J141/I141-1))</f>
        <v>0</v>
      </c>
      <c r="T141" s="33">
        <f>IF(A141="","",IF(OR(S141="",N141=""),"",(1+N141)*(1+S141)-1))</f>
        <v>0</v>
      </c>
      <c r="U141" s="32">
        <f>IF(B141="","",COUNTIFS($B$5:B141,B141))</f>
        <v>0</v>
      </c>
      <c r="V141" s="32">
        <f>IF(A141="","",TodayDate-A141)</f>
        <v>0</v>
      </c>
      <c r="W141" s="43">
        <f>IF(A141="","",IF(M141="","Add - old and new price",IF(Q141&lt;0,"Loss - priced below cost",IF(T141="","Watch - no volume data yet",IF(T141&gt;0.02,"Worked - revenue up",IF(T141&lt;-0.02,"Hurt - revenue down","Neutral - no real change"))))))</f>
        <v>0</v>
      </c>
    </row>
    <row r="142" spans="3:23">
      <c r="C142" s="13">
        <f>IF(B142="","",IFERROR(INDEX(Products!$B$5:$B$304,MATCH(B142,Products!$A$5:$A$304,0)),"Not found"))</f>
        <v>0</v>
      </c>
      <c r="L142" s="13">
        <f>IF(A142="","",TEXT(A142,"yyyy-mm"))</f>
        <v>0</v>
      </c>
      <c r="M142" s="20">
        <f>IF(A142="","",IF(OR(D142="",E142=""),"",ROUND(E142-D142,2)))</f>
        <v>0</v>
      </c>
      <c r="N142" s="33">
        <f>IF(A142="","",IF(OR(D142="",D142=0,E142=""),"",E142/D142-1))</f>
        <v>0</v>
      </c>
      <c r="O142" s="20">
        <f>IF(A142="","",IF(F142&lt;&gt;"",F142,IFERROR(INDEX(Products!$AT$5:$AT$304,MATCH(B142,Products!$A$5:$A$304,0)),"")))</f>
        <v>0</v>
      </c>
      <c r="P142" s="33">
        <f>IF(A142="","",IF(OR(D142="",D142=0,O142=""),"",(D142-O142)/D142))</f>
        <v>0</v>
      </c>
      <c r="Q142" s="33">
        <f>IF(A142="","",IF(OR(E142="",E142=0,O142=""),"",(E142-O142)/E142))</f>
        <v>0</v>
      </c>
      <c r="R142" s="33">
        <f>IF(A142="","",IF(OR(P142="",Q142=""),"",Q142-P142))</f>
        <v>0</v>
      </c>
      <c r="S142" s="33">
        <f>IF(A142="","",IF(OR(I142="",I142=0,J142=""),"",J142/I142-1))</f>
        <v>0</v>
      </c>
      <c r="T142" s="33">
        <f>IF(A142="","",IF(OR(S142="",N142=""),"",(1+N142)*(1+S142)-1))</f>
        <v>0</v>
      </c>
      <c r="U142" s="32">
        <f>IF(B142="","",COUNTIFS($B$5:B142,B142))</f>
        <v>0</v>
      </c>
      <c r="V142" s="32">
        <f>IF(A142="","",TodayDate-A142)</f>
        <v>0</v>
      </c>
      <c r="W142" s="43">
        <f>IF(A142="","",IF(M142="","Add - old and new price",IF(Q142&lt;0,"Loss - priced below cost",IF(T142="","Watch - no volume data yet",IF(T142&gt;0.02,"Worked - revenue up",IF(T142&lt;-0.02,"Hurt - revenue down","Neutral - no real change"))))))</f>
        <v>0</v>
      </c>
    </row>
    <row r="143" spans="3:23">
      <c r="C143" s="13">
        <f>IF(B143="","",IFERROR(INDEX(Products!$B$5:$B$304,MATCH(B143,Products!$A$5:$A$304,0)),"Not found"))</f>
        <v>0</v>
      </c>
      <c r="L143" s="13">
        <f>IF(A143="","",TEXT(A143,"yyyy-mm"))</f>
        <v>0</v>
      </c>
      <c r="M143" s="20">
        <f>IF(A143="","",IF(OR(D143="",E143=""),"",ROUND(E143-D143,2)))</f>
        <v>0</v>
      </c>
      <c r="N143" s="33">
        <f>IF(A143="","",IF(OR(D143="",D143=0,E143=""),"",E143/D143-1))</f>
        <v>0</v>
      </c>
      <c r="O143" s="20">
        <f>IF(A143="","",IF(F143&lt;&gt;"",F143,IFERROR(INDEX(Products!$AT$5:$AT$304,MATCH(B143,Products!$A$5:$A$304,0)),"")))</f>
        <v>0</v>
      </c>
      <c r="P143" s="33">
        <f>IF(A143="","",IF(OR(D143="",D143=0,O143=""),"",(D143-O143)/D143))</f>
        <v>0</v>
      </c>
      <c r="Q143" s="33">
        <f>IF(A143="","",IF(OR(E143="",E143=0,O143=""),"",(E143-O143)/E143))</f>
        <v>0</v>
      </c>
      <c r="R143" s="33">
        <f>IF(A143="","",IF(OR(P143="",Q143=""),"",Q143-P143))</f>
        <v>0</v>
      </c>
      <c r="S143" s="33">
        <f>IF(A143="","",IF(OR(I143="",I143=0,J143=""),"",J143/I143-1))</f>
        <v>0</v>
      </c>
      <c r="T143" s="33">
        <f>IF(A143="","",IF(OR(S143="",N143=""),"",(1+N143)*(1+S143)-1))</f>
        <v>0</v>
      </c>
      <c r="U143" s="32">
        <f>IF(B143="","",COUNTIFS($B$5:B143,B143))</f>
        <v>0</v>
      </c>
      <c r="V143" s="32">
        <f>IF(A143="","",TodayDate-A143)</f>
        <v>0</v>
      </c>
      <c r="W143" s="43">
        <f>IF(A143="","",IF(M143="","Add - old and new price",IF(Q143&lt;0,"Loss - priced below cost",IF(T143="","Watch - no volume data yet",IF(T143&gt;0.02,"Worked - revenue up",IF(T143&lt;-0.02,"Hurt - revenue down","Neutral - no real change"))))))</f>
        <v>0</v>
      </c>
    </row>
    <row r="144" spans="3:23">
      <c r="C144" s="13">
        <f>IF(B144="","",IFERROR(INDEX(Products!$B$5:$B$304,MATCH(B144,Products!$A$5:$A$304,0)),"Not found"))</f>
        <v>0</v>
      </c>
      <c r="L144" s="13">
        <f>IF(A144="","",TEXT(A144,"yyyy-mm"))</f>
        <v>0</v>
      </c>
      <c r="M144" s="20">
        <f>IF(A144="","",IF(OR(D144="",E144=""),"",ROUND(E144-D144,2)))</f>
        <v>0</v>
      </c>
      <c r="N144" s="33">
        <f>IF(A144="","",IF(OR(D144="",D144=0,E144=""),"",E144/D144-1))</f>
        <v>0</v>
      </c>
      <c r="O144" s="20">
        <f>IF(A144="","",IF(F144&lt;&gt;"",F144,IFERROR(INDEX(Products!$AT$5:$AT$304,MATCH(B144,Products!$A$5:$A$304,0)),"")))</f>
        <v>0</v>
      </c>
      <c r="P144" s="33">
        <f>IF(A144="","",IF(OR(D144="",D144=0,O144=""),"",(D144-O144)/D144))</f>
        <v>0</v>
      </c>
      <c r="Q144" s="33">
        <f>IF(A144="","",IF(OR(E144="",E144=0,O144=""),"",(E144-O144)/E144))</f>
        <v>0</v>
      </c>
      <c r="R144" s="33">
        <f>IF(A144="","",IF(OR(P144="",Q144=""),"",Q144-P144))</f>
        <v>0</v>
      </c>
      <c r="S144" s="33">
        <f>IF(A144="","",IF(OR(I144="",I144=0,J144=""),"",J144/I144-1))</f>
        <v>0</v>
      </c>
      <c r="T144" s="33">
        <f>IF(A144="","",IF(OR(S144="",N144=""),"",(1+N144)*(1+S144)-1))</f>
        <v>0</v>
      </c>
      <c r="U144" s="32">
        <f>IF(B144="","",COUNTIFS($B$5:B144,B144))</f>
        <v>0</v>
      </c>
      <c r="V144" s="32">
        <f>IF(A144="","",TodayDate-A144)</f>
        <v>0</v>
      </c>
      <c r="W144" s="43">
        <f>IF(A144="","",IF(M144="","Add - old and new price",IF(Q144&lt;0,"Loss - priced below cost",IF(T144="","Watch - no volume data yet",IF(T144&gt;0.02,"Worked - revenue up",IF(T144&lt;-0.02,"Hurt - revenue down","Neutral - no real change"))))))</f>
        <v>0</v>
      </c>
    </row>
    <row r="145" spans="3:23">
      <c r="C145" s="13">
        <f>IF(B145="","",IFERROR(INDEX(Products!$B$5:$B$304,MATCH(B145,Products!$A$5:$A$304,0)),"Not found"))</f>
        <v>0</v>
      </c>
      <c r="L145" s="13">
        <f>IF(A145="","",TEXT(A145,"yyyy-mm"))</f>
        <v>0</v>
      </c>
      <c r="M145" s="20">
        <f>IF(A145="","",IF(OR(D145="",E145=""),"",ROUND(E145-D145,2)))</f>
        <v>0</v>
      </c>
      <c r="N145" s="33">
        <f>IF(A145="","",IF(OR(D145="",D145=0,E145=""),"",E145/D145-1))</f>
        <v>0</v>
      </c>
      <c r="O145" s="20">
        <f>IF(A145="","",IF(F145&lt;&gt;"",F145,IFERROR(INDEX(Products!$AT$5:$AT$304,MATCH(B145,Products!$A$5:$A$304,0)),"")))</f>
        <v>0</v>
      </c>
      <c r="P145" s="33">
        <f>IF(A145="","",IF(OR(D145="",D145=0,O145=""),"",(D145-O145)/D145))</f>
        <v>0</v>
      </c>
      <c r="Q145" s="33">
        <f>IF(A145="","",IF(OR(E145="",E145=0,O145=""),"",(E145-O145)/E145))</f>
        <v>0</v>
      </c>
      <c r="R145" s="33">
        <f>IF(A145="","",IF(OR(P145="",Q145=""),"",Q145-P145))</f>
        <v>0</v>
      </c>
      <c r="S145" s="33">
        <f>IF(A145="","",IF(OR(I145="",I145=0,J145=""),"",J145/I145-1))</f>
        <v>0</v>
      </c>
      <c r="T145" s="33">
        <f>IF(A145="","",IF(OR(S145="",N145=""),"",(1+N145)*(1+S145)-1))</f>
        <v>0</v>
      </c>
      <c r="U145" s="32">
        <f>IF(B145="","",COUNTIFS($B$5:B145,B145))</f>
        <v>0</v>
      </c>
      <c r="V145" s="32">
        <f>IF(A145="","",TodayDate-A145)</f>
        <v>0</v>
      </c>
      <c r="W145" s="43">
        <f>IF(A145="","",IF(M145="","Add - old and new price",IF(Q145&lt;0,"Loss - priced below cost",IF(T145="","Watch - no volume data yet",IF(T145&gt;0.02,"Worked - revenue up",IF(T145&lt;-0.02,"Hurt - revenue down","Neutral - no real change"))))))</f>
        <v>0</v>
      </c>
    </row>
    <row r="146" spans="3:23">
      <c r="C146" s="13">
        <f>IF(B146="","",IFERROR(INDEX(Products!$B$5:$B$304,MATCH(B146,Products!$A$5:$A$304,0)),"Not found"))</f>
        <v>0</v>
      </c>
      <c r="L146" s="13">
        <f>IF(A146="","",TEXT(A146,"yyyy-mm"))</f>
        <v>0</v>
      </c>
      <c r="M146" s="20">
        <f>IF(A146="","",IF(OR(D146="",E146=""),"",ROUND(E146-D146,2)))</f>
        <v>0</v>
      </c>
      <c r="N146" s="33">
        <f>IF(A146="","",IF(OR(D146="",D146=0,E146=""),"",E146/D146-1))</f>
        <v>0</v>
      </c>
      <c r="O146" s="20">
        <f>IF(A146="","",IF(F146&lt;&gt;"",F146,IFERROR(INDEX(Products!$AT$5:$AT$304,MATCH(B146,Products!$A$5:$A$304,0)),"")))</f>
        <v>0</v>
      </c>
      <c r="P146" s="33">
        <f>IF(A146="","",IF(OR(D146="",D146=0,O146=""),"",(D146-O146)/D146))</f>
        <v>0</v>
      </c>
      <c r="Q146" s="33">
        <f>IF(A146="","",IF(OR(E146="",E146=0,O146=""),"",(E146-O146)/E146))</f>
        <v>0</v>
      </c>
      <c r="R146" s="33">
        <f>IF(A146="","",IF(OR(P146="",Q146=""),"",Q146-P146))</f>
        <v>0</v>
      </c>
      <c r="S146" s="33">
        <f>IF(A146="","",IF(OR(I146="",I146=0,J146=""),"",J146/I146-1))</f>
        <v>0</v>
      </c>
      <c r="T146" s="33">
        <f>IF(A146="","",IF(OR(S146="",N146=""),"",(1+N146)*(1+S146)-1))</f>
        <v>0</v>
      </c>
      <c r="U146" s="32">
        <f>IF(B146="","",COUNTIFS($B$5:B146,B146))</f>
        <v>0</v>
      </c>
      <c r="V146" s="32">
        <f>IF(A146="","",TodayDate-A146)</f>
        <v>0</v>
      </c>
      <c r="W146" s="43">
        <f>IF(A146="","",IF(M146="","Add - old and new price",IF(Q146&lt;0,"Loss - priced below cost",IF(T146="","Watch - no volume data yet",IF(T146&gt;0.02,"Worked - revenue up",IF(T146&lt;-0.02,"Hurt - revenue down","Neutral - no real change"))))))</f>
        <v>0</v>
      </c>
    </row>
    <row r="147" spans="3:23">
      <c r="C147" s="13">
        <f>IF(B147="","",IFERROR(INDEX(Products!$B$5:$B$304,MATCH(B147,Products!$A$5:$A$304,0)),"Not found"))</f>
        <v>0</v>
      </c>
      <c r="L147" s="13">
        <f>IF(A147="","",TEXT(A147,"yyyy-mm"))</f>
        <v>0</v>
      </c>
      <c r="M147" s="20">
        <f>IF(A147="","",IF(OR(D147="",E147=""),"",ROUND(E147-D147,2)))</f>
        <v>0</v>
      </c>
      <c r="N147" s="33">
        <f>IF(A147="","",IF(OR(D147="",D147=0,E147=""),"",E147/D147-1))</f>
        <v>0</v>
      </c>
      <c r="O147" s="20">
        <f>IF(A147="","",IF(F147&lt;&gt;"",F147,IFERROR(INDEX(Products!$AT$5:$AT$304,MATCH(B147,Products!$A$5:$A$304,0)),"")))</f>
        <v>0</v>
      </c>
      <c r="P147" s="33">
        <f>IF(A147="","",IF(OR(D147="",D147=0,O147=""),"",(D147-O147)/D147))</f>
        <v>0</v>
      </c>
      <c r="Q147" s="33">
        <f>IF(A147="","",IF(OR(E147="",E147=0,O147=""),"",(E147-O147)/E147))</f>
        <v>0</v>
      </c>
      <c r="R147" s="33">
        <f>IF(A147="","",IF(OR(P147="",Q147=""),"",Q147-P147))</f>
        <v>0</v>
      </c>
      <c r="S147" s="33">
        <f>IF(A147="","",IF(OR(I147="",I147=0,J147=""),"",J147/I147-1))</f>
        <v>0</v>
      </c>
      <c r="T147" s="33">
        <f>IF(A147="","",IF(OR(S147="",N147=""),"",(1+N147)*(1+S147)-1))</f>
        <v>0</v>
      </c>
      <c r="U147" s="32">
        <f>IF(B147="","",COUNTIFS($B$5:B147,B147))</f>
        <v>0</v>
      </c>
      <c r="V147" s="32">
        <f>IF(A147="","",TodayDate-A147)</f>
        <v>0</v>
      </c>
      <c r="W147" s="43">
        <f>IF(A147="","",IF(M147="","Add - old and new price",IF(Q147&lt;0,"Loss - priced below cost",IF(T147="","Watch - no volume data yet",IF(T147&gt;0.02,"Worked - revenue up",IF(T147&lt;-0.02,"Hurt - revenue down","Neutral - no real change"))))))</f>
        <v>0</v>
      </c>
    </row>
    <row r="148" spans="3:23">
      <c r="C148" s="13">
        <f>IF(B148="","",IFERROR(INDEX(Products!$B$5:$B$304,MATCH(B148,Products!$A$5:$A$304,0)),"Not found"))</f>
        <v>0</v>
      </c>
      <c r="L148" s="13">
        <f>IF(A148="","",TEXT(A148,"yyyy-mm"))</f>
        <v>0</v>
      </c>
      <c r="M148" s="20">
        <f>IF(A148="","",IF(OR(D148="",E148=""),"",ROUND(E148-D148,2)))</f>
        <v>0</v>
      </c>
      <c r="N148" s="33">
        <f>IF(A148="","",IF(OR(D148="",D148=0,E148=""),"",E148/D148-1))</f>
        <v>0</v>
      </c>
      <c r="O148" s="20">
        <f>IF(A148="","",IF(F148&lt;&gt;"",F148,IFERROR(INDEX(Products!$AT$5:$AT$304,MATCH(B148,Products!$A$5:$A$304,0)),"")))</f>
        <v>0</v>
      </c>
      <c r="P148" s="33">
        <f>IF(A148="","",IF(OR(D148="",D148=0,O148=""),"",(D148-O148)/D148))</f>
        <v>0</v>
      </c>
      <c r="Q148" s="33">
        <f>IF(A148="","",IF(OR(E148="",E148=0,O148=""),"",(E148-O148)/E148))</f>
        <v>0</v>
      </c>
      <c r="R148" s="33">
        <f>IF(A148="","",IF(OR(P148="",Q148=""),"",Q148-P148))</f>
        <v>0</v>
      </c>
      <c r="S148" s="33">
        <f>IF(A148="","",IF(OR(I148="",I148=0,J148=""),"",J148/I148-1))</f>
        <v>0</v>
      </c>
      <c r="T148" s="33">
        <f>IF(A148="","",IF(OR(S148="",N148=""),"",(1+N148)*(1+S148)-1))</f>
        <v>0</v>
      </c>
      <c r="U148" s="32">
        <f>IF(B148="","",COUNTIFS($B$5:B148,B148))</f>
        <v>0</v>
      </c>
      <c r="V148" s="32">
        <f>IF(A148="","",TodayDate-A148)</f>
        <v>0</v>
      </c>
      <c r="W148" s="43">
        <f>IF(A148="","",IF(M148="","Add - old and new price",IF(Q148&lt;0,"Loss - priced below cost",IF(T148="","Watch - no volume data yet",IF(T148&gt;0.02,"Worked - revenue up",IF(T148&lt;-0.02,"Hurt - revenue down","Neutral - no real change"))))))</f>
        <v>0</v>
      </c>
    </row>
    <row r="149" spans="3:23">
      <c r="C149" s="13">
        <f>IF(B149="","",IFERROR(INDEX(Products!$B$5:$B$304,MATCH(B149,Products!$A$5:$A$304,0)),"Not found"))</f>
        <v>0</v>
      </c>
      <c r="L149" s="13">
        <f>IF(A149="","",TEXT(A149,"yyyy-mm"))</f>
        <v>0</v>
      </c>
      <c r="M149" s="20">
        <f>IF(A149="","",IF(OR(D149="",E149=""),"",ROUND(E149-D149,2)))</f>
        <v>0</v>
      </c>
      <c r="N149" s="33">
        <f>IF(A149="","",IF(OR(D149="",D149=0,E149=""),"",E149/D149-1))</f>
        <v>0</v>
      </c>
      <c r="O149" s="20">
        <f>IF(A149="","",IF(F149&lt;&gt;"",F149,IFERROR(INDEX(Products!$AT$5:$AT$304,MATCH(B149,Products!$A$5:$A$304,0)),"")))</f>
        <v>0</v>
      </c>
      <c r="P149" s="33">
        <f>IF(A149="","",IF(OR(D149="",D149=0,O149=""),"",(D149-O149)/D149))</f>
        <v>0</v>
      </c>
      <c r="Q149" s="33">
        <f>IF(A149="","",IF(OR(E149="",E149=0,O149=""),"",(E149-O149)/E149))</f>
        <v>0</v>
      </c>
      <c r="R149" s="33">
        <f>IF(A149="","",IF(OR(P149="",Q149=""),"",Q149-P149))</f>
        <v>0</v>
      </c>
      <c r="S149" s="33">
        <f>IF(A149="","",IF(OR(I149="",I149=0,J149=""),"",J149/I149-1))</f>
        <v>0</v>
      </c>
      <c r="T149" s="33">
        <f>IF(A149="","",IF(OR(S149="",N149=""),"",(1+N149)*(1+S149)-1))</f>
        <v>0</v>
      </c>
      <c r="U149" s="32">
        <f>IF(B149="","",COUNTIFS($B$5:B149,B149))</f>
        <v>0</v>
      </c>
      <c r="V149" s="32">
        <f>IF(A149="","",TodayDate-A149)</f>
        <v>0</v>
      </c>
      <c r="W149" s="43">
        <f>IF(A149="","",IF(M149="","Add - old and new price",IF(Q149&lt;0,"Loss - priced below cost",IF(T149="","Watch - no volume data yet",IF(T149&gt;0.02,"Worked - revenue up",IF(T149&lt;-0.02,"Hurt - revenue down","Neutral - no real change"))))))</f>
        <v>0</v>
      </c>
    </row>
    <row r="150" spans="3:23">
      <c r="C150" s="13">
        <f>IF(B150="","",IFERROR(INDEX(Products!$B$5:$B$304,MATCH(B150,Products!$A$5:$A$304,0)),"Not found"))</f>
        <v>0</v>
      </c>
      <c r="L150" s="13">
        <f>IF(A150="","",TEXT(A150,"yyyy-mm"))</f>
        <v>0</v>
      </c>
      <c r="M150" s="20">
        <f>IF(A150="","",IF(OR(D150="",E150=""),"",ROUND(E150-D150,2)))</f>
        <v>0</v>
      </c>
      <c r="N150" s="33">
        <f>IF(A150="","",IF(OR(D150="",D150=0,E150=""),"",E150/D150-1))</f>
        <v>0</v>
      </c>
      <c r="O150" s="20">
        <f>IF(A150="","",IF(F150&lt;&gt;"",F150,IFERROR(INDEX(Products!$AT$5:$AT$304,MATCH(B150,Products!$A$5:$A$304,0)),"")))</f>
        <v>0</v>
      </c>
      <c r="P150" s="33">
        <f>IF(A150="","",IF(OR(D150="",D150=0,O150=""),"",(D150-O150)/D150))</f>
        <v>0</v>
      </c>
      <c r="Q150" s="33">
        <f>IF(A150="","",IF(OR(E150="",E150=0,O150=""),"",(E150-O150)/E150))</f>
        <v>0</v>
      </c>
      <c r="R150" s="33">
        <f>IF(A150="","",IF(OR(P150="",Q150=""),"",Q150-P150))</f>
        <v>0</v>
      </c>
      <c r="S150" s="33">
        <f>IF(A150="","",IF(OR(I150="",I150=0,J150=""),"",J150/I150-1))</f>
        <v>0</v>
      </c>
      <c r="T150" s="33">
        <f>IF(A150="","",IF(OR(S150="",N150=""),"",(1+N150)*(1+S150)-1))</f>
        <v>0</v>
      </c>
      <c r="U150" s="32">
        <f>IF(B150="","",COUNTIFS($B$5:B150,B150))</f>
        <v>0</v>
      </c>
      <c r="V150" s="32">
        <f>IF(A150="","",TodayDate-A150)</f>
        <v>0</v>
      </c>
      <c r="W150" s="43">
        <f>IF(A150="","",IF(M150="","Add - old and new price",IF(Q150&lt;0,"Loss - priced below cost",IF(T150="","Watch - no volume data yet",IF(T150&gt;0.02,"Worked - revenue up",IF(T150&lt;-0.02,"Hurt - revenue down","Neutral - no real change"))))))</f>
        <v>0</v>
      </c>
    </row>
    <row r="151" spans="3:23">
      <c r="C151" s="13">
        <f>IF(B151="","",IFERROR(INDEX(Products!$B$5:$B$304,MATCH(B151,Products!$A$5:$A$304,0)),"Not found"))</f>
        <v>0</v>
      </c>
      <c r="L151" s="13">
        <f>IF(A151="","",TEXT(A151,"yyyy-mm"))</f>
        <v>0</v>
      </c>
      <c r="M151" s="20">
        <f>IF(A151="","",IF(OR(D151="",E151=""),"",ROUND(E151-D151,2)))</f>
        <v>0</v>
      </c>
      <c r="N151" s="33">
        <f>IF(A151="","",IF(OR(D151="",D151=0,E151=""),"",E151/D151-1))</f>
        <v>0</v>
      </c>
      <c r="O151" s="20">
        <f>IF(A151="","",IF(F151&lt;&gt;"",F151,IFERROR(INDEX(Products!$AT$5:$AT$304,MATCH(B151,Products!$A$5:$A$304,0)),"")))</f>
        <v>0</v>
      </c>
      <c r="P151" s="33">
        <f>IF(A151="","",IF(OR(D151="",D151=0,O151=""),"",(D151-O151)/D151))</f>
        <v>0</v>
      </c>
      <c r="Q151" s="33">
        <f>IF(A151="","",IF(OR(E151="",E151=0,O151=""),"",(E151-O151)/E151))</f>
        <v>0</v>
      </c>
      <c r="R151" s="33">
        <f>IF(A151="","",IF(OR(P151="",Q151=""),"",Q151-P151))</f>
        <v>0</v>
      </c>
      <c r="S151" s="33">
        <f>IF(A151="","",IF(OR(I151="",I151=0,J151=""),"",J151/I151-1))</f>
        <v>0</v>
      </c>
      <c r="T151" s="33">
        <f>IF(A151="","",IF(OR(S151="",N151=""),"",(1+N151)*(1+S151)-1))</f>
        <v>0</v>
      </c>
      <c r="U151" s="32">
        <f>IF(B151="","",COUNTIFS($B$5:B151,B151))</f>
        <v>0</v>
      </c>
      <c r="V151" s="32">
        <f>IF(A151="","",TodayDate-A151)</f>
        <v>0</v>
      </c>
      <c r="W151" s="43">
        <f>IF(A151="","",IF(M151="","Add - old and new price",IF(Q151&lt;0,"Loss - priced below cost",IF(T151="","Watch - no volume data yet",IF(T151&gt;0.02,"Worked - revenue up",IF(T151&lt;-0.02,"Hurt - revenue down","Neutral - no real change"))))))</f>
        <v>0</v>
      </c>
    </row>
    <row r="152" spans="3:23">
      <c r="C152" s="13">
        <f>IF(B152="","",IFERROR(INDEX(Products!$B$5:$B$304,MATCH(B152,Products!$A$5:$A$304,0)),"Not found"))</f>
        <v>0</v>
      </c>
      <c r="L152" s="13">
        <f>IF(A152="","",TEXT(A152,"yyyy-mm"))</f>
        <v>0</v>
      </c>
      <c r="M152" s="20">
        <f>IF(A152="","",IF(OR(D152="",E152=""),"",ROUND(E152-D152,2)))</f>
        <v>0</v>
      </c>
      <c r="N152" s="33">
        <f>IF(A152="","",IF(OR(D152="",D152=0,E152=""),"",E152/D152-1))</f>
        <v>0</v>
      </c>
      <c r="O152" s="20">
        <f>IF(A152="","",IF(F152&lt;&gt;"",F152,IFERROR(INDEX(Products!$AT$5:$AT$304,MATCH(B152,Products!$A$5:$A$304,0)),"")))</f>
        <v>0</v>
      </c>
      <c r="P152" s="33">
        <f>IF(A152="","",IF(OR(D152="",D152=0,O152=""),"",(D152-O152)/D152))</f>
        <v>0</v>
      </c>
      <c r="Q152" s="33">
        <f>IF(A152="","",IF(OR(E152="",E152=0,O152=""),"",(E152-O152)/E152))</f>
        <v>0</v>
      </c>
      <c r="R152" s="33">
        <f>IF(A152="","",IF(OR(P152="",Q152=""),"",Q152-P152))</f>
        <v>0</v>
      </c>
      <c r="S152" s="33">
        <f>IF(A152="","",IF(OR(I152="",I152=0,J152=""),"",J152/I152-1))</f>
        <v>0</v>
      </c>
      <c r="T152" s="33">
        <f>IF(A152="","",IF(OR(S152="",N152=""),"",(1+N152)*(1+S152)-1))</f>
        <v>0</v>
      </c>
      <c r="U152" s="32">
        <f>IF(B152="","",COUNTIFS($B$5:B152,B152))</f>
        <v>0</v>
      </c>
      <c r="V152" s="32">
        <f>IF(A152="","",TodayDate-A152)</f>
        <v>0</v>
      </c>
      <c r="W152" s="43">
        <f>IF(A152="","",IF(M152="","Add - old and new price",IF(Q152&lt;0,"Loss - priced below cost",IF(T152="","Watch - no volume data yet",IF(T152&gt;0.02,"Worked - revenue up",IF(T152&lt;-0.02,"Hurt - revenue down","Neutral - no real change"))))))</f>
        <v>0</v>
      </c>
    </row>
    <row r="153" spans="3:23">
      <c r="C153" s="13">
        <f>IF(B153="","",IFERROR(INDEX(Products!$B$5:$B$304,MATCH(B153,Products!$A$5:$A$304,0)),"Not found"))</f>
        <v>0</v>
      </c>
      <c r="L153" s="13">
        <f>IF(A153="","",TEXT(A153,"yyyy-mm"))</f>
        <v>0</v>
      </c>
      <c r="M153" s="20">
        <f>IF(A153="","",IF(OR(D153="",E153=""),"",ROUND(E153-D153,2)))</f>
        <v>0</v>
      </c>
      <c r="N153" s="33">
        <f>IF(A153="","",IF(OR(D153="",D153=0,E153=""),"",E153/D153-1))</f>
        <v>0</v>
      </c>
      <c r="O153" s="20">
        <f>IF(A153="","",IF(F153&lt;&gt;"",F153,IFERROR(INDEX(Products!$AT$5:$AT$304,MATCH(B153,Products!$A$5:$A$304,0)),"")))</f>
        <v>0</v>
      </c>
      <c r="P153" s="33">
        <f>IF(A153="","",IF(OR(D153="",D153=0,O153=""),"",(D153-O153)/D153))</f>
        <v>0</v>
      </c>
      <c r="Q153" s="33">
        <f>IF(A153="","",IF(OR(E153="",E153=0,O153=""),"",(E153-O153)/E153))</f>
        <v>0</v>
      </c>
      <c r="R153" s="33">
        <f>IF(A153="","",IF(OR(P153="",Q153=""),"",Q153-P153))</f>
        <v>0</v>
      </c>
      <c r="S153" s="33">
        <f>IF(A153="","",IF(OR(I153="",I153=0,J153=""),"",J153/I153-1))</f>
        <v>0</v>
      </c>
      <c r="T153" s="33">
        <f>IF(A153="","",IF(OR(S153="",N153=""),"",(1+N153)*(1+S153)-1))</f>
        <v>0</v>
      </c>
      <c r="U153" s="32">
        <f>IF(B153="","",COUNTIFS($B$5:B153,B153))</f>
        <v>0</v>
      </c>
      <c r="V153" s="32">
        <f>IF(A153="","",TodayDate-A153)</f>
        <v>0</v>
      </c>
      <c r="W153" s="43">
        <f>IF(A153="","",IF(M153="","Add - old and new price",IF(Q153&lt;0,"Loss - priced below cost",IF(T153="","Watch - no volume data yet",IF(T153&gt;0.02,"Worked - revenue up",IF(T153&lt;-0.02,"Hurt - revenue down","Neutral - no real change"))))))</f>
        <v>0</v>
      </c>
    </row>
    <row r="154" spans="3:23">
      <c r="C154" s="13">
        <f>IF(B154="","",IFERROR(INDEX(Products!$B$5:$B$304,MATCH(B154,Products!$A$5:$A$304,0)),"Not found"))</f>
        <v>0</v>
      </c>
      <c r="L154" s="13">
        <f>IF(A154="","",TEXT(A154,"yyyy-mm"))</f>
        <v>0</v>
      </c>
      <c r="M154" s="20">
        <f>IF(A154="","",IF(OR(D154="",E154=""),"",ROUND(E154-D154,2)))</f>
        <v>0</v>
      </c>
      <c r="N154" s="33">
        <f>IF(A154="","",IF(OR(D154="",D154=0,E154=""),"",E154/D154-1))</f>
        <v>0</v>
      </c>
      <c r="O154" s="20">
        <f>IF(A154="","",IF(F154&lt;&gt;"",F154,IFERROR(INDEX(Products!$AT$5:$AT$304,MATCH(B154,Products!$A$5:$A$304,0)),"")))</f>
        <v>0</v>
      </c>
      <c r="P154" s="33">
        <f>IF(A154="","",IF(OR(D154="",D154=0,O154=""),"",(D154-O154)/D154))</f>
        <v>0</v>
      </c>
      <c r="Q154" s="33">
        <f>IF(A154="","",IF(OR(E154="",E154=0,O154=""),"",(E154-O154)/E154))</f>
        <v>0</v>
      </c>
      <c r="R154" s="33">
        <f>IF(A154="","",IF(OR(P154="",Q154=""),"",Q154-P154))</f>
        <v>0</v>
      </c>
      <c r="S154" s="33">
        <f>IF(A154="","",IF(OR(I154="",I154=0,J154=""),"",J154/I154-1))</f>
        <v>0</v>
      </c>
      <c r="T154" s="33">
        <f>IF(A154="","",IF(OR(S154="",N154=""),"",(1+N154)*(1+S154)-1))</f>
        <v>0</v>
      </c>
      <c r="U154" s="32">
        <f>IF(B154="","",COUNTIFS($B$5:B154,B154))</f>
        <v>0</v>
      </c>
      <c r="V154" s="32">
        <f>IF(A154="","",TodayDate-A154)</f>
        <v>0</v>
      </c>
      <c r="W154" s="43">
        <f>IF(A154="","",IF(M154="","Add - old and new price",IF(Q154&lt;0,"Loss - priced below cost",IF(T154="","Watch - no volume data yet",IF(T154&gt;0.02,"Worked - revenue up",IF(T154&lt;-0.02,"Hurt - revenue down","Neutral - no real change"))))))</f>
        <v>0</v>
      </c>
    </row>
    <row r="155" spans="3:23">
      <c r="C155" s="13">
        <f>IF(B155="","",IFERROR(INDEX(Products!$B$5:$B$304,MATCH(B155,Products!$A$5:$A$304,0)),"Not found"))</f>
        <v>0</v>
      </c>
      <c r="L155" s="13">
        <f>IF(A155="","",TEXT(A155,"yyyy-mm"))</f>
        <v>0</v>
      </c>
      <c r="M155" s="20">
        <f>IF(A155="","",IF(OR(D155="",E155=""),"",ROUND(E155-D155,2)))</f>
        <v>0</v>
      </c>
      <c r="N155" s="33">
        <f>IF(A155="","",IF(OR(D155="",D155=0,E155=""),"",E155/D155-1))</f>
        <v>0</v>
      </c>
      <c r="O155" s="20">
        <f>IF(A155="","",IF(F155&lt;&gt;"",F155,IFERROR(INDEX(Products!$AT$5:$AT$304,MATCH(B155,Products!$A$5:$A$304,0)),"")))</f>
        <v>0</v>
      </c>
      <c r="P155" s="33">
        <f>IF(A155="","",IF(OR(D155="",D155=0,O155=""),"",(D155-O155)/D155))</f>
        <v>0</v>
      </c>
      <c r="Q155" s="33">
        <f>IF(A155="","",IF(OR(E155="",E155=0,O155=""),"",(E155-O155)/E155))</f>
        <v>0</v>
      </c>
      <c r="R155" s="33">
        <f>IF(A155="","",IF(OR(P155="",Q155=""),"",Q155-P155))</f>
        <v>0</v>
      </c>
      <c r="S155" s="33">
        <f>IF(A155="","",IF(OR(I155="",I155=0,J155=""),"",J155/I155-1))</f>
        <v>0</v>
      </c>
      <c r="T155" s="33">
        <f>IF(A155="","",IF(OR(S155="",N155=""),"",(1+N155)*(1+S155)-1))</f>
        <v>0</v>
      </c>
      <c r="U155" s="32">
        <f>IF(B155="","",COUNTIFS($B$5:B155,B155))</f>
        <v>0</v>
      </c>
      <c r="V155" s="32">
        <f>IF(A155="","",TodayDate-A155)</f>
        <v>0</v>
      </c>
      <c r="W155" s="43">
        <f>IF(A155="","",IF(M155="","Add - old and new price",IF(Q155&lt;0,"Loss - priced below cost",IF(T155="","Watch - no volume data yet",IF(T155&gt;0.02,"Worked - revenue up",IF(T155&lt;-0.02,"Hurt - revenue down","Neutral - no real change"))))))</f>
        <v>0</v>
      </c>
    </row>
    <row r="156" spans="3:23">
      <c r="C156" s="13">
        <f>IF(B156="","",IFERROR(INDEX(Products!$B$5:$B$304,MATCH(B156,Products!$A$5:$A$304,0)),"Not found"))</f>
        <v>0</v>
      </c>
      <c r="L156" s="13">
        <f>IF(A156="","",TEXT(A156,"yyyy-mm"))</f>
        <v>0</v>
      </c>
      <c r="M156" s="20">
        <f>IF(A156="","",IF(OR(D156="",E156=""),"",ROUND(E156-D156,2)))</f>
        <v>0</v>
      </c>
      <c r="N156" s="33">
        <f>IF(A156="","",IF(OR(D156="",D156=0,E156=""),"",E156/D156-1))</f>
        <v>0</v>
      </c>
      <c r="O156" s="20">
        <f>IF(A156="","",IF(F156&lt;&gt;"",F156,IFERROR(INDEX(Products!$AT$5:$AT$304,MATCH(B156,Products!$A$5:$A$304,0)),"")))</f>
        <v>0</v>
      </c>
      <c r="P156" s="33">
        <f>IF(A156="","",IF(OR(D156="",D156=0,O156=""),"",(D156-O156)/D156))</f>
        <v>0</v>
      </c>
      <c r="Q156" s="33">
        <f>IF(A156="","",IF(OR(E156="",E156=0,O156=""),"",(E156-O156)/E156))</f>
        <v>0</v>
      </c>
      <c r="R156" s="33">
        <f>IF(A156="","",IF(OR(P156="",Q156=""),"",Q156-P156))</f>
        <v>0</v>
      </c>
      <c r="S156" s="33">
        <f>IF(A156="","",IF(OR(I156="",I156=0,J156=""),"",J156/I156-1))</f>
        <v>0</v>
      </c>
      <c r="T156" s="33">
        <f>IF(A156="","",IF(OR(S156="",N156=""),"",(1+N156)*(1+S156)-1))</f>
        <v>0</v>
      </c>
      <c r="U156" s="32">
        <f>IF(B156="","",COUNTIFS($B$5:B156,B156))</f>
        <v>0</v>
      </c>
      <c r="V156" s="32">
        <f>IF(A156="","",TodayDate-A156)</f>
        <v>0</v>
      </c>
      <c r="W156" s="43">
        <f>IF(A156="","",IF(M156="","Add - old and new price",IF(Q156&lt;0,"Loss - priced below cost",IF(T156="","Watch - no volume data yet",IF(T156&gt;0.02,"Worked - revenue up",IF(T156&lt;-0.02,"Hurt - revenue down","Neutral - no real change"))))))</f>
        <v>0</v>
      </c>
    </row>
    <row r="157" spans="3:23">
      <c r="C157" s="13">
        <f>IF(B157="","",IFERROR(INDEX(Products!$B$5:$B$304,MATCH(B157,Products!$A$5:$A$304,0)),"Not found"))</f>
        <v>0</v>
      </c>
      <c r="L157" s="13">
        <f>IF(A157="","",TEXT(A157,"yyyy-mm"))</f>
        <v>0</v>
      </c>
      <c r="M157" s="20">
        <f>IF(A157="","",IF(OR(D157="",E157=""),"",ROUND(E157-D157,2)))</f>
        <v>0</v>
      </c>
      <c r="N157" s="33">
        <f>IF(A157="","",IF(OR(D157="",D157=0,E157=""),"",E157/D157-1))</f>
        <v>0</v>
      </c>
      <c r="O157" s="20">
        <f>IF(A157="","",IF(F157&lt;&gt;"",F157,IFERROR(INDEX(Products!$AT$5:$AT$304,MATCH(B157,Products!$A$5:$A$304,0)),"")))</f>
        <v>0</v>
      </c>
      <c r="P157" s="33">
        <f>IF(A157="","",IF(OR(D157="",D157=0,O157=""),"",(D157-O157)/D157))</f>
        <v>0</v>
      </c>
      <c r="Q157" s="33">
        <f>IF(A157="","",IF(OR(E157="",E157=0,O157=""),"",(E157-O157)/E157))</f>
        <v>0</v>
      </c>
      <c r="R157" s="33">
        <f>IF(A157="","",IF(OR(P157="",Q157=""),"",Q157-P157))</f>
        <v>0</v>
      </c>
      <c r="S157" s="33">
        <f>IF(A157="","",IF(OR(I157="",I157=0,J157=""),"",J157/I157-1))</f>
        <v>0</v>
      </c>
      <c r="T157" s="33">
        <f>IF(A157="","",IF(OR(S157="",N157=""),"",(1+N157)*(1+S157)-1))</f>
        <v>0</v>
      </c>
      <c r="U157" s="32">
        <f>IF(B157="","",COUNTIFS($B$5:B157,B157))</f>
        <v>0</v>
      </c>
      <c r="V157" s="32">
        <f>IF(A157="","",TodayDate-A157)</f>
        <v>0</v>
      </c>
      <c r="W157" s="43">
        <f>IF(A157="","",IF(M157="","Add - old and new price",IF(Q157&lt;0,"Loss - priced below cost",IF(T157="","Watch - no volume data yet",IF(T157&gt;0.02,"Worked - revenue up",IF(T157&lt;-0.02,"Hurt - revenue down","Neutral - no real change"))))))</f>
        <v>0</v>
      </c>
    </row>
    <row r="158" spans="3:23">
      <c r="C158" s="13">
        <f>IF(B158="","",IFERROR(INDEX(Products!$B$5:$B$304,MATCH(B158,Products!$A$5:$A$304,0)),"Not found"))</f>
        <v>0</v>
      </c>
      <c r="L158" s="13">
        <f>IF(A158="","",TEXT(A158,"yyyy-mm"))</f>
        <v>0</v>
      </c>
      <c r="M158" s="20">
        <f>IF(A158="","",IF(OR(D158="",E158=""),"",ROUND(E158-D158,2)))</f>
        <v>0</v>
      </c>
      <c r="N158" s="33">
        <f>IF(A158="","",IF(OR(D158="",D158=0,E158=""),"",E158/D158-1))</f>
        <v>0</v>
      </c>
      <c r="O158" s="20">
        <f>IF(A158="","",IF(F158&lt;&gt;"",F158,IFERROR(INDEX(Products!$AT$5:$AT$304,MATCH(B158,Products!$A$5:$A$304,0)),"")))</f>
        <v>0</v>
      </c>
      <c r="P158" s="33">
        <f>IF(A158="","",IF(OR(D158="",D158=0,O158=""),"",(D158-O158)/D158))</f>
        <v>0</v>
      </c>
      <c r="Q158" s="33">
        <f>IF(A158="","",IF(OR(E158="",E158=0,O158=""),"",(E158-O158)/E158))</f>
        <v>0</v>
      </c>
      <c r="R158" s="33">
        <f>IF(A158="","",IF(OR(P158="",Q158=""),"",Q158-P158))</f>
        <v>0</v>
      </c>
      <c r="S158" s="33">
        <f>IF(A158="","",IF(OR(I158="",I158=0,J158=""),"",J158/I158-1))</f>
        <v>0</v>
      </c>
      <c r="T158" s="33">
        <f>IF(A158="","",IF(OR(S158="",N158=""),"",(1+N158)*(1+S158)-1))</f>
        <v>0</v>
      </c>
      <c r="U158" s="32">
        <f>IF(B158="","",COUNTIFS($B$5:B158,B158))</f>
        <v>0</v>
      </c>
      <c r="V158" s="32">
        <f>IF(A158="","",TodayDate-A158)</f>
        <v>0</v>
      </c>
      <c r="W158" s="43">
        <f>IF(A158="","",IF(M158="","Add - old and new price",IF(Q158&lt;0,"Loss - priced below cost",IF(T158="","Watch - no volume data yet",IF(T158&gt;0.02,"Worked - revenue up",IF(T158&lt;-0.02,"Hurt - revenue down","Neutral - no real change"))))))</f>
        <v>0</v>
      </c>
    </row>
    <row r="159" spans="3:23">
      <c r="C159" s="13">
        <f>IF(B159="","",IFERROR(INDEX(Products!$B$5:$B$304,MATCH(B159,Products!$A$5:$A$304,0)),"Not found"))</f>
        <v>0</v>
      </c>
      <c r="L159" s="13">
        <f>IF(A159="","",TEXT(A159,"yyyy-mm"))</f>
        <v>0</v>
      </c>
      <c r="M159" s="20">
        <f>IF(A159="","",IF(OR(D159="",E159=""),"",ROUND(E159-D159,2)))</f>
        <v>0</v>
      </c>
      <c r="N159" s="33">
        <f>IF(A159="","",IF(OR(D159="",D159=0,E159=""),"",E159/D159-1))</f>
        <v>0</v>
      </c>
      <c r="O159" s="20">
        <f>IF(A159="","",IF(F159&lt;&gt;"",F159,IFERROR(INDEX(Products!$AT$5:$AT$304,MATCH(B159,Products!$A$5:$A$304,0)),"")))</f>
        <v>0</v>
      </c>
      <c r="P159" s="33">
        <f>IF(A159="","",IF(OR(D159="",D159=0,O159=""),"",(D159-O159)/D159))</f>
        <v>0</v>
      </c>
      <c r="Q159" s="33">
        <f>IF(A159="","",IF(OR(E159="",E159=0,O159=""),"",(E159-O159)/E159))</f>
        <v>0</v>
      </c>
      <c r="R159" s="33">
        <f>IF(A159="","",IF(OR(P159="",Q159=""),"",Q159-P159))</f>
        <v>0</v>
      </c>
      <c r="S159" s="33">
        <f>IF(A159="","",IF(OR(I159="",I159=0,J159=""),"",J159/I159-1))</f>
        <v>0</v>
      </c>
      <c r="T159" s="33">
        <f>IF(A159="","",IF(OR(S159="",N159=""),"",(1+N159)*(1+S159)-1))</f>
        <v>0</v>
      </c>
      <c r="U159" s="32">
        <f>IF(B159="","",COUNTIFS($B$5:B159,B159))</f>
        <v>0</v>
      </c>
      <c r="V159" s="32">
        <f>IF(A159="","",TodayDate-A159)</f>
        <v>0</v>
      </c>
      <c r="W159" s="43">
        <f>IF(A159="","",IF(M159="","Add - old and new price",IF(Q159&lt;0,"Loss - priced below cost",IF(T159="","Watch - no volume data yet",IF(T159&gt;0.02,"Worked - revenue up",IF(T159&lt;-0.02,"Hurt - revenue down","Neutral - no real change"))))))</f>
        <v>0</v>
      </c>
    </row>
    <row r="160" spans="3:23">
      <c r="C160" s="13">
        <f>IF(B160="","",IFERROR(INDEX(Products!$B$5:$B$304,MATCH(B160,Products!$A$5:$A$304,0)),"Not found"))</f>
        <v>0</v>
      </c>
      <c r="L160" s="13">
        <f>IF(A160="","",TEXT(A160,"yyyy-mm"))</f>
        <v>0</v>
      </c>
      <c r="M160" s="20">
        <f>IF(A160="","",IF(OR(D160="",E160=""),"",ROUND(E160-D160,2)))</f>
        <v>0</v>
      </c>
      <c r="N160" s="33">
        <f>IF(A160="","",IF(OR(D160="",D160=0,E160=""),"",E160/D160-1))</f>
        <v>0</v>
      </c>
      <c r="O160" s="20">
        <f>IF(A160="","",IF(F160&lt;&gt;"",F160,IFERROR(INDEX(Products!$AT$5:$AT$304,MATCH(B160,Products!$A$5:$A$304,0)),"")))</f>
        <v>0</v>
      </c>
      <c r="P160" s="33">
        <f>IF(A160="","",IF(OR(D160="",D160=0,O160=""),"",(D160-O160)/D160))</f>
        <v>0</v>
      </c>
      <c r="Q160" s="33">
        <f>IF(A160="","",IF(OR(E160="",E160=0,O160=""),"",(E160-O160)/E160))</f>
        <v>0</v>
      </c>
      <c r="R160" s="33">
        <f>IF(A160="","",IF(OR(P160="",Q160=""),"",Q160-P160))</f>
        <v>0</v>
      </c>
      <c r="S160" s="33">
        <f>IF(A160="","",IF(OR(I160="",I160=0,J160=""),"",J160/I160-1))</f>
        <v>0</v>
      </c>
      <c r="T160" s="33">
        <f>IF(A160="","",IF(OR(S160="",N160=""),"",(1+N160)*(1+S160)-1))</f>
        <v>0</v>
      </c>
      <c r="U160" s="32">
        <f>IF(B160="","",COUNTIFS($B$5:B160,B160))</f>
        <v>0</v>
      </c>
      <c r="V160" s="32">
        <f>IF(A160="","",TodayDate-A160)</f>
        <v>0</v>
      </c>
      <c r="W160" s="43">
        <f>IF(A160="","",IF(M160="","Add - old and new price",IF(Q160&lt;0,"Loss - priced below cost",IF(T160="","Watch - no volume data yet",IF(T160&gt;0.02,"Worked - revenue up",IF(T160&lt;-0.02,"Hurt - revenue down","Neutral - no real change"))))))</f>
        <v>0</v>
      </c>
    </row>
    <row r="161" spans="3:23">
      <c r="C161" s="13">
        <f>IF(B161="","",IFERROR(INDEX(Products!$B$5:$B$304,MATCH(B161,Products!$A$5:$A$304,0)),"Not found"))</f>
        <v>0</v>
      </c>
      <c r="L161" s="13">
        <f>IF(A161="","",TEXT(A161,"yyyy-mm"))</f>
        <v>0</v>
      </c>
      <c r="M161" s="20">
        <f>IF(A161="","",IF(OR(D161="",E161=""),"",ROUND(E161-D161,2)))</f>
        <v>0</v>
      </c>
      <c r="N161" s="33">
        <f>IF(A161="","",IF(OR(D161="",D161=0,E161=""),"",E161/D161-1))</f>
        <v>0</v>
      </c>
      <c r="O161" s="20">
        <f>IF(A161="","",IF(F161&lt;&gt;"",F161,IFERROR(INDEX(Products!$AT$5:$AT$304,MATCH(B161,Products!$A$5:$A$304,0)),"")))</f>
        <v>0</v>
      </c>
      <c r="P161" s="33">
        <f>IF(A161="","",IF(OR(D161="",D161=0,O161=""),"",(D161-O161)/D161))</f>
        <v>0</v>
      </c>
      <c r="Q161" s="33">
        <f>IF(A161="","",IF(OR(E161="",E161=0,O161=""),"",(E161-O161)/E161))</f>
        <v>0</v>
      </c>
      <c r="R161" s="33">
        <f>IF(A161="","",IF(OR(P161="",Q161=""),"",Q161-P161))</f>
        <v>0</v>
      </c>
      <c r="S161" s="33">
        <f>IF(A161="","",IF(OR(I161="",I161=0,J161=""),"",J161/I161-1))</f>
        <v>0</v>
      </c>
      <c r="T161" s="33">
        <f>IF(A161="","",IF(OR(S161="",N161=""),"",(1+N161)*(1+S161)-1))</f>
        <v>0</v>
      </c>
      <c r="U161" s="32">
        <f>IF(B161="","",COUNTIFS($B$5:B161,B161))</f>
        <v>0</v>
      </c>
      <c r="V161" s="32">
        <f>IF(A161="","",TodayDate-A161)</f>
        <v>0</v>
      </c>
      <c r="W161" s="43">
        <f>IF(A161="","",IF(M161="","Add - old and new price",IF(Q161&lt;0,"Loss - priced below cost",IF(T161="","Watch - no volume data yet",IF(T161&gt;0.02,"Worked - revenue up",IF(T161&lt;-0.02,"Hurt - revenue down","Neutral - no real change"))))))</f>
        <v>0</v>
      </c>
    </row>
    <row r="162" spans="3:23">
      <c r="C162" s="13">
        <f>IF(B162="","",IFERROR(INDEX(Products!$B$5:$B$304,MATCH(B162,Products!$A$5:$A$304,0)),"Not found"))</f>
        <v>0</v>
      </c>
      <c r="L162" s="13">
        <f>IF(A162="","",TEXT(A162,"yyyy-mm"))</f>
        <v>0</v>
      </c>
      <c r="M162" s="20">
        <f>IF(A162="","",IF(OR(D162="",E162=""),"",ROUND(E162-D162,2)))</f>
        <v>0</v>
      </c>
      <c r="N162" s="33">
        <f>IF(A162="","",IF(OR(D162="",D162=0,E162=""),"",E162/D162-1))</f>
        <v>0</v>
      </c>
      <c r="O162" s="20">
        <f>IF(A162="","",IF(F162&lt;&gt;"",F162,IFERROR(INDEX(Products!$AT$5:$AT$304,MATCH(B162,Products!$A$5:$A$304,0)),"")))</f>
        <v>0</v>
      </c>
      <c r="P162" s="33">
        <f>IF(A162="","",IF(OR(D162="",D162=0,O162=""),"",(D162-O162)/D162))</f>
        <v>0</v>
      </c>
      <c r="Q162" s="33">
        <f>IF(A162="","",IF(OR(E162="",E162=0,O162=""),"",(E162-O162)/E162))</f>
        <v>0</v>
      </c>
      <c r="R162" s="33">
        <f>IF(A162="","",IF(OR(P162="",Q162=""),"",Q162-P162))</f>
        <v>0</v>
      </c>
      <c r="S162" s="33">
        <f>IF(A162="","",IF(OR(I162="",I162=0,J162=""),"",J162/I162-1))</f>
        <v>0</v>
      </c>
      <c r="T162" s="33">
        <f>IF(A162="","",IF(OR(S162="",N162=""),"",(1+N162)*(1+S162)-1))</f>
        <v>0</v>
      </c>
      <c r="U162" s="32">
        <f>IF(B162="","",COUNTIFS($B$5:B162,B162))</f>
        <v>0</v>
      </c>
      <c r="V162" s="32">
        <f>IF(A162="","",TodayDate-A162)</f>
        <v>0</v>
      </c>
      <c r="W162" s="43">
        <f>IF(A162="","",IF(M162="","Add - old and new price",IF(Q162&lt;0,"Loss - priced below cost",IF(T162="","Watch - no volume data yet",IF(T162&gt;0.02,"Worked - revenue up",IF(T162&lt;-0.02,"Hurt - revenue down","Neutral - no real change"))))))</f>
        <v>0</v>
      </c>
    </row>
    <row r="163" spans="3:23">
      <c r="C163" s="13">
        <f>IF(B163="","",IFERROR(INDEX(Products!$B$5:$B$304,MATCH(B163,Products!$A$5:$A$304,0)),"Not found"))</f>
        <v>0</v>
      </c>
      <c r="L163" s="13">
        <f>IF(A163="","",TEXT(A163,"yyyy-mm"))</f>
        <v>0</v>
      </c>
      <c r="M163" s="20">
        <f>IF(A163="","",IF(OR(D163="",E163=""),"",ROUND(E163-D163,2)))</f>
        <v>0</v>
      </c>
      <c r="N163" s="33">
        <f>IF(A163="","",IF(OR(D163="",D163=0,E163=""),"",E163/D163-1))</f>
        <v>0</v>
      </c>
      <c r="O163" s="20">
        <f>IF(A163="","",IF(F163&lt;&gt;"",F163,IFERROR(INDEX(Products!$AT$5:$AT$304,MATCH(B163,Products!$A$5:$A$304,0)),"")))</f>
        <v>0</v>
      </c>
      <c r="P163" s="33">
        <f>IF(A163="","",IF(OR(D163="",D163=0,O163=""),"",(D163-O163)/D163))</f>
        <v>0</v>
      </c>
      <c r="Q163" s="33">
        <f>IF(A163="","",IF(OR(E163="",E163=0,O163=""),"",(E163-O163)/E163))</f>
        <v>0</v>
      </c>
      <c r="R163" s="33">
        <f>IF(A163="","",IF(OR(P163="",Q163=""),"",Q163-P163))</f>
        <v>0</v>
      </c>
      <c r="S163" s="33">
        <f>IF(A163="","",IF(OR(I163="",I163=0,J163=""),"",J163/I163-1))</f>
        <v>0</v>
      </c>
      <c r="T163" s="33">
        <f>IF(A163="","",IF(OR(S163="",N163=""),"",(1+N163)*(1+S163)-1))</f>
        <v>0</v>
      </c>
      <c r="U163" s="32">
        <f>IF(B163="","",COUNTIFS($B$5:B163,B163))</f>
        <v>0</v>
      </c>
      <c r="V163" s="32">
        <f>IF(A163="","",TodayDate-A163)</f>
        <v>0</v>
      </c>
      <c r="W163" s="43">
        <f>IF(A163="","",IF(M163="","Add - old and new price",IF(Q163&lt;0,"Loss - priced below cost",IF(T163="","Watch - no volume data yet",IF(T163&gt;0.02,"Worked - revenue up",IF(T163&lt;-0.02,"Hurt - revenue down","Neutral - no real change"))))))</f>
        <v>0</v>
      </c>
    </row>
    <row r="164" spans="3:23">
      <c r="C164" s="13">
        <f>IF(B164="","",IFERROR(INDEX(Products!$B$5:$B$304,MATCH(B164,Products!$A$5:$A$304,0)),"Not found"))</f>
        <v>0</v>
      </c>
      <c r="L164" s="13">
        <f>IF(A164="","",TEXT(A164,"yyyy-mm"))</f>
        <v>0</v>
      </c>
      <c r="M164" s="20">
        <f>IF(A164="","",IF(OR(D164="",E164=""),"",ROUND(E164-D164,2)))</f>
        <v>0</v>
      </c>
      <c r="N164" s="33">
        <f>IF(A164="","",IF(OR(D164="",D164=0,E164=""),"",E164/D164-1))</f>
        <v>0</v>
      </c>
      <c r="O164" s="20">
        <f>IF(A164="","",IF(F164&lt;&gt;"",F164,IFERROR(INDEX(Products!$AT$5:$AT$304,MATCH(B164,Products!$A$5:$A$304,0)),"")))</f>
        <v>0</v>
      </c>
      <c r="P164" s="33">
        <f>IF(A164="","",IF(OR(D164="",D164=0,O164=""),"",(D164-O164)/D164))</f>
        <v>0</v>
      </c>
      <c r="Q164" s="33">
        <f>IF(A164="","",IF(OR(E164="",E164=0,O164=""),"",(E164-O164)/E164))</f>
        <v>0</v>
      </c>
      <c r="R164" s="33">
        <f>IF(A164="","",IF(OR(P164="",Q164=""),"",Q164-P164))</f>
        <v>0</v>
      </c>
      <c r="S164" s="33">
        <f>IF(A164="","",IF(OR(I164="",I164=0,J164=""),"",J164/I164-1))</f>
        <v>0</v>
      </c>
      <c r="T164" s="33">
        <f>IF(A164="","",IF(OR(S164="",N164=""),"",(1+N164)*(1+S164)-1))</f>
        <v>0</v>
      </c>
      <c r="U164" s="32">
        <f>IF(B164="","",COUNTIFS($B$5:B164,B164))</f>
        <v>0</v>
      </c>
      <c r="V164" s="32">
        <f>IF(A164="","",TodayDate-A164)</f>
        <v>0</v>
      </c>
      <c r="W164" s="43">
        <f>IF(A164="","",IF(M164="","Add - old and new price",IF(Q164&lt;0,"Loss - priced below cost",IF(T164="","Watch - no volume data yet",IF(T164&gt;0.02,"Worked - revenue up",IF(T164&lt;-0.02,"Hurt - revenue down","Neutral - no real change"))))))</f>
        <v>0</v>
      </c>
    </row>
    <row r="165" spans="3:23">
      <c r="C165" s="13">
        <f>IF(B165="","",IFERROR(INDEX(Products!$B$5:$B$304,MATCH(B165,Products!$A$5:$A$304,0)),"Not found"))</f>
        <v>0</v>
      </c>
      <c r="L165" s="13">
        <f>IF(A165="","",TEXT(A165,"yyyy-mm"))</f>
        <v>0</v>
      </c>
      <c r="M165" s="20">
        <f>IF(A165="","",IF(OR(D165="",E165=""),"",ROUND(E165-D165,2)))</f>
        <v>0</v>
      </c>
      <c r="N165" s="33">
        <f>IF(A165="","",IF(OR(D165="",D165=0,E165=""),"",E165/D165-1))</f>
        <v>0</v>
      </c>
      <c r="O165" s="20">
        <f>IF(A165="","",IF(F165&lt;&gt;"",F165,IFERROR(INDEX(Products!$AT$5:$AT$304,MATCH(B165,Products!$A$5:$A$304,0)),"")))</f>
        <v>0</v>
      </c>
      <c r="P165" s="33">
        <f>IF(A165="","",IF(OR(D165="",D165=0,O165=""),"",(D165-O165)/D165))</f>
        <v>0</v>
      </c>
      <c r="Q165" s="33">
        <f>IF(A165="","",IF(OR(E165="",E165=0,O165=""),"",(E165-O165)/E165))</f>
        <v>0</v>
      </c>
      <c r="R165" s="33">
        <f>IF(A165="","",IF(OR(P165="",Q165=""),"",Q165-P165))</f>
        <v>0</v>
      </c>
      <c r="S165" s="33">
        <f>IF(A165="","",IF(OR(I165="",I165=0,J165=""),"",J165/I165-1))</f>
        <v>0</v>
      </c>
      <c r="T165" s="33">
        <f>IF(A165="","",IF(OR(S165="",N165=""),"",(1+N165)*(1+S165)-1))</f>
        <v>0</v>
      </c>
      <c r="U165" s="32">
        <f>IF(B165="","",COUNTIFS($B$5:B165,B165))</f>
        <v>0</v>
      </c>
      <c r="V165" s="32">
        <f>IF(A165="","",TodayDate-A165)</f>
        <v>0</v>
      </c>
      <c r="W165" s="43">
        <f>IF(A165="","",IF(M165="","Add - old and new price",IF(Q165&lt;0,"Loss - priced below cost",IF(T165="","Watch - no volume data yet",IF(T165&gt;0.02,"Worked - revenue up",IF(T165&lt;-0.02,"Hurt - revenue down","Neutral - no real change"))))))</f>
        <v>0</v>
      </c>
    </row>
    <row r="166" spans="3:23">
      <c r="C166" s="13">
        <f>IF(B166="","",IFERROR(INDEX(Products!$B$5:$B$304,MATCH(B166,Products!$A$5:$A$304,0)),"Not found"))</f>
        <v>0</v>
      </c>
      <c r="L166" s="13">
        <f>IF(A166="","",TEXT(A166,"yyyy-mm"))</f>
        <v>0</v>
      </c>
      <c r="M166" s="20">
        <f>IF(A166="","",IF(OR(D166="",E166=""),"",ROUND(E166-D166,2)))</f>
        <v>0</v>
      </c>
      <c r="N166" s="33">
        <f>IF(A166="","",IF(OR(D166="",D166=0,E166=""),"",E166/D166-1))</f>
        <v>0</v>
      </c>
      <c r="O166" s="20">
        <f>IF(A166="","",IF(F166&lt;&gt;"",F166,IFERROR(INDEX(Products!$AT$5:$AT$304,MATCH(B166,Products!$A$5:$A$304,0)),"")))</f>
        <v>0</v>
      </c>
      <c r="P166" s="33">
        <f>IF(A166="","",IF(OR(D166="",D166=0,O166=""),"",(D166-O166)/D166))</f>
        <v>0</v>
      </c>
      <c r="Q166" s="33">
        <f>IF(A166="","",IF(OR(E166="",E166=0,O166=""),"",(E166-O166)/E166))</f>
        <v>0</v>
      </c>
      <c r="R166" s="33">
        <f>IF(A166="","",IF(OR(P166="",Q166=""),"",Q166-P166))</f>
        <v>0</v>
      </c>
      <c r="S166" s="33">
        <f>IF(A166="","",IF(OR(I166="",I166=0,J166=""),"",J166/I166-1))</f>
        <v>0</v>
      </c>
      <c r="T166" s="33">
        <f>IF(A166="","",IF(OR(S166="",N166=""),"",(1+N166)*(1+S166)-1))</f>
        <v>0</v>
      </c>
      <c r="U166" s="32">
        <f>IF(B166="","",COUNTIFS($B$5:B166,B166))</f>
        <v>0</v>
      </c>
      <c r="V166" s="32">
        <f>IF(A166="","",TodayDate-A166)</f>
        <v>0</v>
      </c>
      <c r="W166" s="43">
        <f>IF(A166="","",IF(M166="","Add - old and new price",IF(Q166&lt;0,"Loss - priced below cost",IF(T166="","Watch - no volume data yet",IF(T166&gt;0.02,"Worked - revenue up",IF(T166&lt;-0.02,"Hurt - revenue down","Neutral - no real change"))))))</f>
        <v>0</v>
      </c>
    </row>
    <row r="167" spans="3:23">
      <c r="C167" s="13">
        <f>IF(B167="","",IFERROR(INDEX(Products!$B$5:$B$304,MATCH(B167,Products!$A$5:$A$304,0)),"Not found"))</f>
        <v>0</v>
      </c>
      <c r="L167" s="13">
        <f>IF(A167="","",TEXT(A167,"yyyy-mm"))</f>
        <v>0</v>
      </c>
      <c r="M167" s="20">
        <f>IF(A167="","",IF(OR(D167="",E167=""),"",ROUND(E167-D167,2)))</f>
        <v>0</v>
      </c>
      <c r="N167" s="33">
        <f>IF(A167="","",IF(OR(D167="",D167=0,E167=""),"",E167/D167-1))</f>
        <v>0</v>
      </c>
      <c r="O167" s="20">
        <f>IF(A167="","",IF(F167&lt;&gt;"",F167,IFERROR(INDEX(Products!$AT$5:$AT$304,MATCH(B167,Products!$A$5:$A$304,0)),"")))</f>
        <v>0</v>
      </c>
      <c r="P167" s="33">
        <f>IF(A167="","",IF(OR(D167="",D167=0,O167=""),"",(D167-O167)/D167))</f>
        <v>0</v>
      </c>
      <c r="Q167" s="33">
        <f>IF(A167="","",IF(OR(E167="",E167=0,O167=""),"",(E167-O167)/E167))</f>
        <v>0</v>
      </c>
      <c r="R167" s="33">
        <f>IF(A167="","",IF(OR(P167="",Q167=""),"",Q167-P167))</f>
        <v>0</v>
      </c>
      <c r="S167" s="33">
        <f>IF(A167="","",IF(OR(I167="",I167=0,J167=""),"",J167/I167-1))</f>
        <v>0</v>
      </c>
      <c r="T167" s="33">
        <f>IF(A167="","",IF(OR(S167="",N167=""),"",(1+N167)*(1+S167)-1))</f>
        <v>0</v>
      </c>
      <c r="U167" s="32">
        <f>IF(B167="","",COUNTIFS($B$5:B167,B167))</f>
        <v>0</v>
      </c>
      <c r="V167" s="32">
        <f>IF(A167="","",TodayDate-A167)</f>
        <v>0</v>
      </c>
      <c r="W167" s="43">
        <f>IF(A167="","",IF(M167="","Add - old and new price",IF(Q167&lt;0,"Loss - priced below cost",IF(T167="","Watch - no volume data yet",IF(T167&gt;0.02,"Worked - revenue up",IF(T167&lt;-0.02,"Hurt - revenue down","Neutral - no real change"))))))</f>
        <v>0</v>
      </c>
    </row>
    <row r="168" spans="3:23">
      <c r="C168" s="13">
        <f>IF(B168="","",IFERROR(INDEX(Products!$B$5:$B$304,MATCH(B168,Products!$A$5:$A$304,0)),"Not found"))</f>
        <v>0</v>
      </c>
      <c r="L168" s="13">
        <f>IF(A168="","",TEXT(A168,"yyyy-mm"))</f>
        <v>0</v>
      </c>
      <c r="M168" s="20">
        <f>IF(A168="","",IF(OR(D168="",E168=""),"",ROUND(E168-D168,2)))</f>
        <v>0</v>
      </c>
      <c r="N168" s="33">
        <f>IF(A168="","",IF(OR(D168="",D168=0,E168=""),"",E168/D168-1))</f>
        <v>0</v>
      </c>
      <c r="O168" s="20">
        <f>IF(A168="","",IF(F168&lt;&gt;"",F168,IFERROR(INDEX(Products!$AT$5:$AT$304,MATCH(B168,Products!$A$5:$A$304,0)),"")))</f>
        <v>0</v>
      </c>
      <c r="P168" s="33">
        <f>IF(A168="","",IF(OR(D168="",D168=0,O168=""),"",(D168-O168)/D168))</f>
        <v>0</v>
      </c>
      <c r="Q168" s="33">
        <f>IF(A168="","",IF(OR(E168="",E168=0,O168=""),"",(E168-O168)/E168))</f>
        <v>0</v>
      </c>
      <c r="R168" s="33">
        <f>IF(A168="","",IF(OR(P168="",Q168=""),"",Q168-P168))</f>
        <v>0</v>
      </c>
      <c r="S168" s="33">
        <f>IF(A168="","",IF(OR(I168="",I168=0,J168=""),"",J168/I168-1))</f>
        <v>0</v>
      </c>
      <c r="T168" s="33">
        <f>IF(A168="","",IF(OR(S168="",N168=""),"",(1+N168)*(1+S168)-1))</f>
        <v>0</v>
      </c>
      <c r="U168" s="32">
        <f>IF(B168="","",COUNTIFS($B$5:B168,B168))</f>
        <v>0</v>
      </c>
      <c r="V168" s="32">
        <f>IF(A168="","",TodayDate-A168)</f>
        <v>0</v>
      </c>
      <c r="W168" s="43">
        <f>IF(A168="","",IF(M168="","Add - old and new price",IF(Q168&lt;0,"Loss - priced below cost",IF(T168="","Watch - no volume data yet",IF(T168&gt;0.02,"Worked - revenue up",IF(T168&lt;-0.02,"Hurt - revenue down","Neutral - no real change"))))))</f>
        <v>0</v>
      </c>
    </row>
    <row r="169" spans="3:23">
      <c r="C169" s="13">
        <f>IF(B169="","",IFERROR(INDEX(Products!$B$5:$B$304,MATCH(B169,Products!$A$5:$A$304,0)),"Not found"))</f>
        <v>0</v>
      </c>
      <c r="L169" s="13">
        <f>IF(A169="","",TEXT(A169,"yyyy-mm"))</f>
        <v>0</v>
      </c>
      <c r="M169" s="20">
        <f>IF(A169="","",IF(OR(D169="",E169=""),"",ROUND(E169-D169,2)))</f>
        <v>0</v>
      </c>
      <c r="N169" s="33">
        <f>IF(A169="","",IF(OR(D169="",D169=0,E169=""),"",E169/D169-1))</f>
        <v>0</v>
      </c>
      <c r="O169" s="20">
        <f>IF(A169="","",IF(F169&lt;&gt;"",F169,IFERROR(INDEX(Products!$AT$5:$AT$304,MATCH(B169,Products!$A$5:$A$304,0)),"")))</f>
        <v>0</v>
      </c>
      <c r="P169" s="33">
        <f>IF(A169="","",IF(OR(D169="",D169=0,O169=""),"",(D169-O169)/D169))</f>
        <v>0</v>
      </c>
      <c r="Q169" s="33">
        <f>IF(A169="","",IF(OR(E169="",E169=0,O169=""),"",(E169-O169)/E169))</f>
        <v>0</v>
      </c>
      <c r="R169" s="33">
        <f>IF(A169="","",IF(OR(P169="",Q169=""),"",Q169-P169))</f>
        <v>0</v>
      </c>
      <c r="S169" s="33">
        <f>IF(A169="","",IF(OR(I169="",I169=0,J169=""),"",J169/I169-1))</f>
        <v>0</v>
      </c>
      <c r="T169" s="33">
        <f>IF(A169="","",IF(OR(S169="",N169=""),"",(1+N169)*(1+S169)-1))</f>
        <v>0</v>
      </c>
      <c r="U169" s="32">
        <f>IF(B169="","",COUNTIFS($B$5:B169,B169))</f>
        <v>0</v>
      </c>
      <c r="V169" s="32">
        <f>IF(A169="","",TodayDate-A169)</f>
        <v>0</v>
      </c>
      <c r="W169" s="43">
        <f>IF(A169="","",IF(M169="","Add - old and new price",IF(Q169&lt;0,"Loss - priced below cost",IF(T169="","Watch - no volume data yet",IF(T169&gt;0.02,"Worked - revenue up",IF(T169&lt;-0.02,"Hurt - revenue down","Neutral - no real change"))))))</f>
        <v>0</v>
      </c>
    </row>
    <row r="170" spans="3:23">
      <c r="C170" s="13">
        <f>IF(B170="","",IFERROR(INDEX(Products!$B$5:$B$304,MATCH(B170,Products!$A$5:$A$304,0)),"Not found"))</f>
        <v>0</v>
      </c>
      <c r="L170" s="13">
        <f>IF(A170="","",TEXT(A170,"yyyy-mm"))</f>
        <v>0</v>
      </c>
      <c r="M170" s="20">
        <f>IF(A170="","",IF(OR(D170="",E170=""),"",ROUND(E170-D170,2)))</f>
        <v>0</v>
      </c>
      <c r="N170" s="33">
        <f>IF(A170="","",IF(OR(D170="",D170=0,E170=""),"",E170/D170-1))</f>
        <v>0</v>
      </c>
      <c r="O170" s="20">
        <f>IF(A170="","",IF(F170&lt;&gt;"",F170,IFERROR(INDEX(Products!$AT$5:$AT$304,MATCH(B170,Products!$A$5:$A$304,0)),"")))</f>
        <v>0</v>
      </c>
      <c r="P170" s="33">
        <f>IF(A170="","",IF(OR(D170="",D170=0,O170=""),"",(D170-O170)/D170))</f>
        <v>0</v>
      </c>
      <c r="Q170" s="33">
        <f>IF(A170="","",IF(OR(E170="",E170=0,O170=""),"",(E170-O170)/E170))</f>
        <v>0</v>
      </c>
      <c r="R170" s="33">
        <f>IF(A170="","",IF(OR(P170="",Q170=""),"",Q170-P170))</f>
        <v>0</v>
      </c>
      <c r="S170" s="33">
        <f>IF(A170="","",IF(OR(I170="",I170=0,J170=""),"",J170/I170-1))</f>
        <v>0</v>
      </c>
      <c r="T170" s="33">
        <f>IF(A170="","",IF(OR(S170="",N170=""),"",(1+N170)*(1+S170)-1))</f>
        <v>0</v>
      </c>
      <c r="U170" s="32">
        <f>IF(B170="","",COUNTIFS($B$5:B170,B170))</f>
        <v>0</v>
      </c>
      <c r="V170" s="32">
        <f>IF(A170="","",TodayDate-A170)</f>
        <v>0</v>
      </c>
      <c r="W170" s="43">
        <f>IF(A170="","",IF(M170="","Add - old and new price",IF(Q170&lt;0,"Loss - priced below cost",IF(T170="","Watch - no volume data yet",IF(T170&gt;0.02,"Worked - revenue up",IF(T170&lt;-0.02,"Hurt - revenue down","Neutral - no real change"))))))</f>
        <v>0</v>
      </c>
    </row>
    <row r="171" spans="3:23">
      <c r="C171" s="13">
        <f>IF(B171="","",IFERROR(INDEX(Products!$B$5:$B$304,MATCH(B171,Products!$A$5:$A$304,0)),"Not found"))</f>
        <v>0</v>
      </c>
      <c r="L171" s="13">
        <f>IF(A171="","",TEXT(A171,"yyyy-mm"))</f>
        <v>0</v>
      </c>
      <c r="M171" s="20">
        <f>IF(A171="","",IF(OR(D171="",E171=""),"",ROUND(E171-D171,2)))</f>
        <v>0</v>
      </c>
      <c r="N171" s="33">
        <f>IF(A171="","",IF(OR(D171="",D171=0,E171=""),"",E171/D171-1))</f>
        <v>0</v>
      </c>
      <c r="O171" s="20">
        <f>IF(A171="","",IF(F171&lt;&gt;"",F171,IFERROR(INDEX(Products!$AT$5:$AT$304,MATCH(B171,Products!$A$5:$A$304,0)),"")))</f>
        <v>0</v>
      </c>
      <c r="P171" s="33">
        <f>IF(A171="","",IF(OR(D171="",D171=0,O171=""),"",(D171-O171)/D171))</f>
        <v>0</v>
      </c>
      <c r="Q171" s="33">
        <f>IF(A171="","",IF(OR(E171="",E171=0,O171=""),"",(E171-O171)/E171))</f>
        <v>0</v>
      </c>
      <c r="R171" s="33">
        <f>IF(A171="","",IF(OR(P171="",Q171=""),"",Q171-P171))</f>
        <v>0</v>
      </c>
      <c r="S171" s="33">
        <f>IF(A171="","",IF(OR(I171="",I171=0,J171=""),"",J171/I171-1))</f>
        <v>0</v>
      </c>
      <c r="T171" s="33">
        <f>IF(A171="","",IF(OR(S171="",N171=""),"",(1+N171)*(1+S171)-1))</f>
        <v>0</v>
      </c>
      <c r="U171" s="32">
        <f>IF(B171="","",COUNTIFS($B$5:B171,B171))</f>
        <v>0</v>
      </c>
      <c r="V171" s="32">
        <f>IF(A171="","",TodayDate-A171)</f>
        <v>0</v>
      </c>
      <c r="W171" s="43">
        <f>IF(A171="","",IF(M171="","Add - old and new price",IF(Q171&lt;0,"Loss - priced below cost",IF(T171="","Watch - no volume data yet",IF(T171&gt;0.02,"Worked - revenue up",IF(T171&lt;-0.02,"Hurt - revenue down","Neutral - no real change"))))))</f>
        <v>0</v>
      </c>
    </row>
    <row r="172" spans="3:23">
      <c r="C172" s="13">
        <f>IF(B172="","",IFERROR(INDEX(Products!$B$5:$B$304,MATCH(B172,Products!$A$5:$A$304,0)),"Not found"))</f>
        <v>0</v>
      </c>
      <c r="L172" s="13">
        <f>IF(A172="","",TEXT(A172,"yyyy-mm"))</f>
        <v>0</v>
      </c>
      <c r="M172" s="20">
        <f>IF(A172="","",IF(OR(D172="",E172=""),"",ROUND(E172-D172,2)))</f>
        <v>0</v>
      </c>
      <c r="N172" s="33">
        <f>IF(A172="","",IF(OR(D172="",D172=0,E172=""),"",E172/D172-1))</f>
        <v>0</v>
      </c>
      <c r="O172" s="20">
        <f>IF(A172="","",IF(F172&lt;&gt;"",F172,IFERROR(INDEX(Products!$AT$5:$AT$304,MATCH(B172,Products!$A$5:$A$304,0)),"")))</f>
        <v>0</v>
      </c>
      <c r="P172" s="33">
        <f>IF(A172="","",IF(OR(D172="",D172=0,O172=""),"",(D172-O172)/D172))</f>
        <v>0</v>
      </c>
      <c r="Q172" s="33">
        <f>IF(A172="","",IF(OR(E172="",E172=0,O172=""),"",(E172-O172)/E172))</f>
        <v>0</v>
      </c>
      <c r="R172" s="33">
        <f>IF(A172="","",IF(OR(P172="",Q172=""),"",Q172-P172))</f>
        <v>0</v>
      </c>
      <c r="S172" s="33">
        <f>IF(A172="","",IF(OR(I172="",I172=0,J172=""),"",J172/I172-1))</f>
        <v>0</v>
      </c>
      <c r="T172" s="33">
        <f>IF(A172="","",IF(OR(S172="",N172=""),"",(1+N172)*(1+S172)-1))</f>
        <v>0</v>
      </c>
      <c r="U172" s="32">
        <f>IF(B172="","",COUNTIFS($B$5:B172,B172))</f>
        <v>0</v>
      </c>
      <c r="V172" s="32">
        <f>IF(A172="","",TodayDate-A172)</f>
        <v>0</v>
      </c>
      <c r="W172" s="43">
        <f>IF(A172="","",IF(M172="","Add - old and new price",IF(Q172&lt;0,"Loss - priced below cost",IF(T172="","Watch - no volume data yet",IF(T172&gt;0.02,"Worked - revenue up",IF(T172&lt;-0.02,"Hurt - revenue down","Neutral - no real change"))))))</f>
        <v>0</v>
      </c>
    </row>
    <row r="173" spans="3:23">
      <c r="C173" s="13">
        <f>IF(B173="","",IFERROR(INDEX(Products!$B$5:$B$304,MATCH(B173,Products!$A$5:$A$304,0)),"Not found"))</f>
        <v>0</v>
      </c>
      <c r="L173" s="13">
        <f>IF(A173="","",TEXT(A173,"yyyy-mm"))</f>
        <v>0</v>
      </c>
      <c r="M173" s="20">
        <f>IF(A173="","",IF(OR(D173="",E173=""),"",ROUND(E173-D173,2)))</f>
        <v>0</v>
      </c>
      <c r="N173" s="33">
        <f>IF(A173="","",IF(OR(D173="",D173=0,E173=""),"",E173/D173-1))</f>
        <v>0</v>
      </c>
      <c r="O173" s="20">
        <f>IF(A173="","",IF(F173&lt;&gt;"",F173,IFERROR(INDEX(Products!$AT$5:$AT$304,MATCH(B173,Products!$A$5:$A$304,0)),"")))</f>
        <v>0</v>
      </c>
      <c r="P173" s="33">
        <f>IF(A173="","",IF(OR(D173="",D173=0,O173=""),"",(D173-O173)/D173))</f>
        <v>0</v>
      </c>
      <c r="Q173" s="33">
        <f>IF(A173="","",IF(OR(E173="",E173=0,O173=""),"",(E173-O173)/E173))</f>
        <v>0</v>
      </c>
      <c r="R173" s="33">
        <f>IF(A173="","",IF(OR(P173="",Q173=""),"",Q173-P173))</f>
        <v>0</v>
      </c>
      <c r="S173" s="33">
        <f>IF(A173="","",IF(OR(I173="",I173=0,J173=""),"",J173/I173-1))</f>
        <v>0</v>
      </c>
      <c r="T173" s="33">
        <f>IF(A173="","",IF(OR(S173="",N173=""),"",(1+N173)*(1+S173)-1))</f>
        <v>0</v>
      </c>
      <c r="U173" s="32">
        <f>IF(B173="","",COUNTIFS($B$5:B173,B173))</f>
        <v>0</v>
      </c>
      <c r="V173" s="32">
        <f>IF(A173="","",TodayDate-A173)</f>
        <v>0</v>
      </c>
      <c r="W173" s="43">
        <f>IF(A173="","",IF(M173="","Add - old and new price",IF(Q173&lt;0,"Loss - priced below cost",IF(T173="","Watch - no volume data yet",IF(T173&gt;0.02,"Worked - revenue up",IF(T173&lt;-0.02,"Hurt - revenue down","Neutral - no real change"))))))</f>
        <v>0</v>
      </c>
    </row>
    <row r="174" spans="3:23">
      <c r="C174" s="13">
        <f>IF(B174="","",IFERROR(INDEX(Products!$B$5:$B$304,MATCH(B174,Products!$A$5:$A$304,0)),"Not found"))</f>
        <v>0</v>
      </c>
      <c r="L174" s="13">
        <f>IF(A174="","",TEXT(A174,"yyyy-mm"))</f>
        <v>0</v>
      </c>
      <c r="M174" s="20">
        <f>IF(A174="","",IF(OR(D174="",E174=""),"",ROUND(E174-D174,2)))</f>
        <v>0</v>
      </c>
      <c r="N174" s="33">
        <f>IF(A174="","",IF(OR(D174="",D174=0,E174=""),"",E174/D174-1))</f>
        <v>0</v>
      </c>
      <c r="O174" s="20">
        <f>IF(A174="","",IF(F174&lt;&gt;"",F174,IFERROR(INDEX(Products!$AT$5:$AT$304,MATCH(B174,Products!$A$5:$A$304,0)),"")))</f>
        <v>0</v>
      </c>
      <c r="P174" s="33">
        <f>IF(A174="","",IF(OR(D174="",D174=0,O174=""),"",(D174-O174)/D174))</f>
        <v>0</v>
      </c>
      <c r="Q174" s="33">
        <f>IF(A174="","",IF(OR(E174="",E174=0,O174=""),"",(E174-O174)/E174))</f>
        <v>0</v>
      </c>
      <c r="R174" s="33">
        <f>IF(A174="","",IF(OR(P174="",Q174=""),"",Q174-P174))</f>
        <v>0</v>
      </c>
      <c r="S174" s="33">
        <f>IF(A174="","",IF(OR(I174="",I174=0,J174=""),"",J174/I174-1))</f>
        <v>0</v>
      </c>
      <c r="T174" s="33">
        <f>IF(A174="","",IF(OR(S174="",N174=""),"",(1+N174)*(1+S174)-1))</f>
        <v>0</v>
      </c>
      <c r="U174" s="32">
        <f>IF(B174="","",COUNTIFS($B$5:B174,B174))</f>
        <v>0</v>
      </c>
      <c r="V174" s="32">
        <f>IF(A174="","",TodayDate-A174)</f>
        <v>0</v>
      </c>
      <c r="W174" s="43">
        <f>IF(A174="","",IF(M174="","Add - old and new price",IF(Q174&lt;0,"Loss - priced below cost",IF(T174="","Watch - no volume data yet",IF(T174&gt;0.02,"Worked - revenue up",IF(T174&lt;-0.02,"Hurt - revenue down","Neutral - no real change"))))))</f>
        <v>0</v>
      </c>
    </row>
    <row r="175" spans="3:23">
      <c r="C175" s="13">
        <f>IF(B175="","",IFERROR(INDEX(Products!$B$5:$B$304,MATCH(B175,Products!$A$5:$A$304,0)),"Not found"))</f>
        <v>0</v>
      </c>
      <c r="L175" s="13">
        <f>IF(A175="","",TEXT(A175,"yyyy-mm"))</f>
        <v>0</v>
      </c>
      <c r="M175" s="20">
        <f>IF(A175="","",IF(OR(D175="",E175=""),"",ROUND(E175-D175,2)))</f>
        <v>0</v>
      </c>
      <c r="N175" s="33">
        <f>IF(A175="","",IF(OR(D175="",D175=0,E175=""),"",E175/D175-1))</f>
        <v>0</v>
      </c>
      <c r="O175" s="20">
        <f>IF(A175="","",IF(F175&lt;&gt;"",F175,IFERROR(INDEX(Products!$AT$5:$AT$304,MATCH(B175,Products!$A$5:$A$304,0)),"")))</f>
        <v>0</v>
      </c>
      <c r="P175" s="33">
        <f>IF(A175="","",IF(OR(D175="",D175=0,O175=""),"",(D175-O175)/D175))</f>
        <v>0</v>
      </c>
      <c r="Q175" s="33">
        <f>IF(A175="","",IF(OR(E175="",E175=0,O175=""),"",(E175-O175)/E175))</f>
        <v>0</v>
      </c>
      <c r="R175" s="33">
        <f>IF(A175="","",IF(OR(P175="",Q175=""),"",Q175-P175))</f>
        <v>0</v>
      </c>
      <c r="S175" s="33">
        <f>IF(A175="","",IF(OR(I175="",I175=0,J175=""),"",J175/I175-1))</f>
        <v>0</v>
      </c>
      <c r="T175" s="33">
        <f>IF(A175="","",IF(OR(S175="",N175=""),"",(1+N175)*(1+S175)-1))</f>
        <v>0</v>
      </c>
      <c r="U175" s="32">
        <f>IF(B175="","",COUNTIFS($B$5:B175,B175))</f>
        <v>0</v>
      </c>
      <c r="V175" s="32">
        <f>IF(A175="","",TodayDate-A175)</f>
        <v>0</v>
      </c>
      <c r="W175" s="43">
        <f>IF(A175="","",IF(M175="","Add - old and new price",IF(Q175&lt;0,"Loss - priced below cost",IF(T175="","Watch - no volume data yet",IF(T175&gt;0.02,"Worked - revenue up",IF(T175&lt;-0.02,"Hurt - revenue down","Neutral - no real change"))))))</f>
        <v>0</v>
      </c>
    </row>
    <row r="176" spans="3:23">
      <c r="C176" s="13">
        <f>IF(B176="","",IFERROR(INDEX(Products!$B$5:$B$304,MATCH(B176,Products!$A$5:$A$304,0)),"Not found"))</f>
        <v>0</v>
      </c>
      <c r="L176" s="13">
        <f>IF(A176="","",TEXT(A176,"yyyy-mm"))</f>
        <v>0</v>
      </c>
      <c r="M176" s="20">
        <f>IF(A176="","",IF(OR(D176="",E176=""),"",ROUND(E176-D176,2)))</f>
        <v>0</v>
      </c>
      <c r="N176" s="33">
        <f>IF(A176="","",IF(OR(D176="",D176=0,E176=""),"",E176/D176-1))</f>
        <v>0</v>
      </c>
      <c r="O176" s="20">
        <f>IF(A176="","",IF(F176&lt;&gt;"",F176,IFERROR(INDEX(Products!$AT$5:$AT$304,MATCH(B176,Products!$A$5:$A$304,0)),"")))</f>
        <v>0</v>
      </c>
      <c r="P176" s="33">
        <f>IF(A176="","",IF(OR(D176="",D176=0,O176=""),"",(D176-O176)/D176))</f>
        <v>0</v>
      </c>
      <c r="Q176" s="33">
        <f>IF(A176="","",IF(OR(E176="",E176=0,O176=""),"",(E176-O176)/E176))</f>
        <v>0</v>
      </c>
      <c r="R176" s="33">
        <f>IF(A176="","",IF(OR(P176="",Q176=""),"",Q176-P176))</f>
        <v>0</v>
      </c>
      <c r="S176" s="33">
        <f>IF(A176="","",IF(OR(I176="",I176=0,J176=""),"",J176/I176-1))</f>
        <v>0</v>
      </c>
      <c r="T176" s="33">
        <f>IF(A176="","",IF(OR(S176="",N176=""),"",(1+N176)*(1+S176)-1))</f>
        <v>0</v>
      </c>
      <c r="U176" s="32">
        <f>IF(B176="","",COUNTIFS($B$5:B176,B176))</f>
        <v>0</v>
      </c>
      <c r="V176" s="32">
        <f>IF(A176="","",TodayDate-A176)</f>
        <v>0</v>
      </c>
      <c r="W176" s="43">
        <f>IF(A176="","",IF(M176="","Add - old and new price",IF(Q176&lt;0,"Loss - priced below cost",IF(T176="","Watch - no volume data yet",IF(T176&gt;0.02,"Worked - revenue up",IF(T176&lt;-0.02,"Hurt - revenue down","Neutral - no real change"))))))</f>
        <v>0</v>
      </c>
    </row>
    <row r="177" spans="3:23">
      <c r="C177" s="13">
        <f>IF(B177="","",IFERROR(INDEX(Products!$B$5:$B$304,MATCH(B177,Products!$A$5:$A$304,0)),"Not found"))</f>
        <v>0</v>
      </c>
      <c r="L177" s="13">
        <f>IF(A177="","",TEXT(A177,"yyyy-mm"))</f>
        <v>0</v>
      </c>
      <c r="M177" s="20">
        <f>IF(A177="","",IF(OR(D177="",E177=""),"",ROUND(E177-D177,2)))</f>
        <v>0</v>
      </c>
      <c r="N177" s="33">
        <f>IF(A177="","",IF(OR(D177="",D177=0,E177=""),"",E177/D177-1))</f>
        <v>0</v>
      </c>
      <c r="O177" s="20">
        <f>IF(A177="","",IF(F177&lt;&gt;"",F177,IFERROR(INDEX(Products!$AT$5:$AT$304,MATCH(B177,Products!$A$5:$A$304,0)),"")))</f>
        <v>0</v>
      </c>
      <c r="P177" s="33">
        <f>IF(A177="","",IF(OR(D177="",D177=0,O177=""),"",(D177-O177)/D177))</f>
        <v>0</v>
      </c>
      <c r="Q177" s="33">
        <f>IF(A177="","",IF(OR(E177="",E177=0,O177=""),"",(E177-O177)/E177))</f>
        <v>0</v>
      </c>
      <c r="R177" s="33">
        <f>IF(A177="","",IF(OR(P177="",Q177=""),"",Q177-P177))</f>
        <v>0</v>
      </c>
      <c r="S177" s="33">
        <f>IF(A177="","",IF(OR(I177="",I177=0,J177=""),"",J177/I177-1))</f>
        <v>0</v>
      </c>
      <c r="T177" s="33">
        <f>IF(A177="","",IF(OR(S177="",N177=""),"",(1+N177)*(1+S177)-1))</f>
        <v>0</v>
      </c>
      <c r="U177" s="32">
        <f>IF(B177="","",COUNTIFS($B$5:B177,B177))</f>
        <v>0</v>
      </c>
      <c r="V177" s="32">
        <f>IF(A177="","",TodayDate-A177)</f>
        <v>0</v>
      </c>
      <c r="W177" s="43">
        <f>IF(A177="","",IF(M177="","Add - old and new price",IF(Q177&lt;0,"Loss - priced below cost",IF(T177="","Watch - no volume data yet",IF(T177&gt;0.02,"Worked - revenue up",IF(T177&lt;-0.02,"Hurt - revenue down","Neutral - no real change"))))))</f>
        <v>0</v>
      </c>
    </row>
    <row r="178" spans="3:23">
      <c r="C178" s="13">
        <f>IF(B178="","",IFERROR(INDEX(Products!$B$5:$B$304,MATCH(B178,Products!$A$5:$A$304,0)),"Not found"))</f>
        <v>0</v>
      </c>
      <c r="L178" s="13">
        <f>IF(A178="","",TEXT(A178,"yyyy-mm"))</f>
        <v>0</v>
      </c>
      <c r="M178" s="20">
        <f>IF(A178="","",IF(OR(D178="",E178=""),"",ROUND(E178-D178,2)))</f>
        <v>0</v>
      </c>
      <c r="N178" s="33">
        <f>IF(A178="","",IF(OR(D178="",D178=0,E178=""),"",E178/D178-1))</f>
        <v>0</v>
      </c>
      <c r="O178" s="20">
        <f>IF(A178="","",IF(F178&lt;&gt;"",F178,IFERROR(INDEX(Products!$AT$5:$AT$304,MATCH(B178,Products!$A$5:$A$304,0)),"")))</f>
        <v>0</v>
      </c>
      <c r="P178" s="33">
        <f>IF(A178="","",IF(OR(D178="",D178=0,O178=""),"",(D178-O178)/D178))</f>
        <v>0</v>
      </c>
      <c r="Q178" s="33">
        <f>IF(A178="","",IF(OR(E178="",E178=0,O178=""),"",(E178-O178)/E178))</f>
        <v>0</v>
      </c>
      <c r="R178" s="33">
        <f>IF(A178="","",IF(OR(P178="",Q178=""),"",Q178-P178))</f>
        <v>0</v>
      </c>
      <c r="S178" s="33">
        <f>IF(A178="","",IF(OR(I178="",I178=0,J178=""),"",J178/I178-1))</f>
        <v>0</v>
      </c>
      <c r="T178" s="33">
        <f>IF(A178="","",IF(OR(S178="",N178=""),"",(1+N178)*(1+S178)-1))</f>
        <v>0</v>
      </c>
      <c r="U178" s="32">
        <f>IF(B178="","",COUNTIFS($B$5:B178,B178))</f>
        <v>0</v>
      </c>
      <c r="V178" s="32">
        <f>IF(A178="","",TodayDate-A178)</f>
        <v>0</v>
      </c>
      <c r="W178" s="43">
        <f>IF(A178="","",IF(M178="","Add - old and new price",IF(Q178&lt;0,"Loss - priced below cost",IF(T178="","Watch - no volume data yet",IF(T178&gt;0.02,"Worked - revenue up",IF(T178&lt;-0.02,"Hurt - revenue down","Neutral - no real change"))))))</f>
        <v>0</v>
      </c>
    </row>
    <row r="179" spans="3:23">
      <c r="C179" s="13">
        <f>IF(B179="","",IFERROR(INDEX(Products!$B$5:$B$304,MATCH(B179,Products!$A$5:$A$304,0)),"Not found"))</f>
        <v>0</v>
      </c>
      <c r="L179" s="13">
        <f>IF(A179="","",TEXT(A179,"yyyy-mm"))</f>
        <v>0</v>
      </c>
      <c r="M179" s="20">
        <f>IF(A179="","",IF(OR(D179="",E179=""),"",ROUND(E179-D179,2)))</f>
        <v>0</v>
      </c>
      <c r="N179" s="33">
        <f>IF(A179="","",IF(OR(D179="",D179=0,E179=""),"",E179/D179-1))</f>
        <v>0</v>
      </c>
      <c r="O179" s="20">
        <f>IF(A179="","",IF(F179&lt;&gt;"",F179,IFERROR(INDEX(Products!$AT$5:$AT$304,MATCH(B179,Products!$A$5:$A$304,0)),"")))</f>
        <v>0</v>
      </c>
      <c r="P179" s="33">
        <f>IF(A179="","",IF(OR(D179="",D179=0,O179=""),"",(D179-O179)/D179))</f>
        <v>0</v>
      </c>
      <c r="Q179" s="33">
        <f>IF(A179="","",IF(OR(E179="",E179=0,O179=""),"",(E179-O179)/E179))</f>
        <v>0</v>
      </c>
      <c r="R179" s="33">
        <f>IF(A179="","",IF(OR(P179="",Q179=""),"",Q179-P179))</f>
        <v>0</v>
      </c>
      <c r="S179" s="33">
        <f>IF(A179="","",IF(OR(I179="",I179=0,J179=""),"",J179/I179-1))</f>
        <v>0</v>
      </c>
      <c r="T179" s="33">
        <f>IF(A179="","",IF(OR(S179="",N179=""),"",(1+N179)*(1+S179)-1))</f>
        <v>0</v>
      </c>
      <c r="U179" s="32">
        <f>IF(B179="","",COUNTIFS($B$5:B179,B179))</f>
        <v>0</v>
      </c>
      <c r="V179" s="32">
        <f>IF(A179="","",TodayDate-A179)</f>
        <v>0</v>
      </c>
      <c r="W179" s="43">
        <f>IF(A179="","",IF(M179="","Add - old and new price",IF(Q179&lt;0,"Loss - priced below cost",IF(T179="","Watch - no volume data yet",IF(T179&gt;0.02,"Worked - revenue up",IF(T179&lt;-0.02,"Hurt - revenue down","Neutral - no real change"))))))</f>
        <v>0</v>
      </c>
    </row>
    <row r="180" spans="3:23">
      <c r="C180" s="13">
        <f>IF(B180="","",IFERROR(INDEX(Products!$B$5:$B$304,MATCH(B180,Products!$A$5:$A$304,0)),"Not found"))</f>
        <v>0</v>
      </c>
      <c r="L180" s="13">
        <f>IF(A180="","",TEXT(A180,"yyyy-mm"))</f>
        <v>0</v>
      </c>
      <c r="M180" s="20">
        <f>IF(A180="","",IF(OR(D180="",E180=""),"",ROUND(E180-D180,2)))</f>
        <v>0</v>
      </c>
      <c r="N180" s="33">
        <f>IF(A180="","",IF(OR(D180="",D180=0,E180=""),"",E180/D180-1))</f>
        <v>0</v>
      </c>
      <c r="O180" s="20">
        <f>IF(A180="","",IF(F180&lt;&gt;"",F180,IFERROR(INDEX(Products!$AT$5:$AT$304,MATCH(B180,Products!$A$5:$A$304,0)),"")))</f>
        <v>0</v>
      </c>
      <c r="P180" s="33">
        <f>IF(A180="","",IF(OR(D180="",D180=0,O180=""),"",(D180-O180)/D180))</f>
        <v>0</v>
      </c>
      <c r="Q180" s="33">
        <f>IF(A180="","",IF(OR(E180="",E180=0,O180=""),"",(E180-O180)/E180))</f>
        <v>0</v>
      </c>
      <c r="R180" s="33">
        <f>IF(A180="","",IF(OR(P180="",Q180=""),"",Q180-P180))</f>
        <v>0</v>
      </c>
      <c r="S180" s="33">
        <f>IF(A180="","",IF(OR(I180="",I180=0,J180=""),"",J180/I180-1))</f>
        <v>0</v>
      </c>
      <c r="T180" s="33">
        <f>IF(A180="","",IF(OR(S180="",N180=""),"",(1+N180)*(1+S180)-1))</f>
        <v>0</v>
      </c>
      <c r="U180" s="32">
        <f>IF(B180="","",COUNTIFS($B$5:B180,B180))</f>
        <v>0</v>
      </c>
      <c r="V180" s="32">
        <f>IF(A180="","",TodayDate-A180)</f>
        <v>0</v>
      </c>
      <c r="W180" s="43">
        <f>IF(A180="","",IF(M180="","Add - old and new price",IF(Q180&lt;0,"Loss - priced below cost",IF(T180="","Watch - no volume data yet",IF(T180&gt;0.02,"Worked - revenue up",IF(T180&lt;-0.02,"Hurt - revenue down","Neutral - no real change"))))))</f>
        <v>0</v>
      </c>
    </row>
    <row r="181" spans="3:23">
      <c r="C181" s="13">
        <f>IF(B181="","",IFERROR(INDEX(Products!$B$5:$B$304,MATCH(B181,Products!$A$5:$A$304,0)),"Not found"))</f>
        <v>0</v>
      </c>
      <c r="L181" s="13">
        <f>IF(A181="","",TEXT(A181,"yyyy-mm"))</f>
        <v>0</v>
      </c>
      <c r="M181" s="20">
        <f>IF(A181="","",IF(OR(D181="",E181=""),"",ROUND(E181-D181,2)))</f>
        <v>0</v>
      </c>
      <c r="N181" s="33">
        <f>IF(A181="","",IF(OR(D181="",D181=0,E181=""),"",E181/D181-1))</f>
        <v>0</v>
      </c>
      <c r="O181" s="20">
        <f>IF(A181="","",IF(F181&lt;&gt;"",F181,IFERROR(INDEX(Products!$AT$5:$AT$304,MATCH(B181,Products!$A$5:$A$304,0)),"")))</f>
        <v>0</v>
      </c>
      <c r="P181" s="33">
        <f>IF(A181="","",IF(OR(D181="",D181=0,O181=""),"",(D181-O181)/D181))</f>
        <v>0</v>
      </c>
      <c r="Q181" s="33">
        <f>IF(A181="","",IF(OR(E181="",E181=0,O181=""),"",(E181-O181)/E181))</f>
        <v>0</v>
      </c>
      <c r="R181" s="33">
        <f>IF(A181="","",IF(OR(P181="",Q181=""),"",Q181-P181))</f>
        <v>0</v>
      </c>
      <c r="S181" s="33">
        <f>IF(A181="","",IF(OR(I181="",I181=0,J181=""),"",J181/I181-1))</f>
        <v>0</v>
      </c>
      <c r="T181" s="33">
        <f>IF(A181="","",IF(OR(S181="",N181=""),"",(1+N181)*(1+S181)-1))</f>
        <v>0</v>
      </c>
      <c r="U181" s="32">
        <f>IF(B181="","",COUNTIFS($B$5:B181,B181))</f>
        <v>0</v>
      </c>
      <c r="V181" s="32">
        <f>IF(A181="","",TodayDate-A181)</f>
        <v>0</v>
      </c>
      <c r="W181" s="43">
        <f>IF(A181="","",IF(M181="","Add - old and new price",IF(Q181&lt;0,"Loss - priced below cost",IF(T181="","Watch - no volume data yet",IF(T181&gt;0.02,"Worked - revenue up",IF(T181&lt;-0.02,"Hurt - revenue down","Neutral - no real change"))))))</f>
        <v>0</v>
      </c>
    </row>
    <row r="182" spans="3:23">
      <c r="C182" s="13">
        <f>IF(B182="","",IFERROR(INDEX(Products!$B$5:$B$304,MATCH(B182,Products!$A$5:$A$304,0)),"Not found"))</f>
        <v>0</v>
      </c>
      <c r="L182" s="13">
        <f>IF(A182="","",TEXT(A182,"yyyy-mm"))</f>
        <v>0</v>
      </c>
      <c r="M182" s="20">
        <f>IF(A182="","",IF(OR(D182="",E182=""),"",ROUND(E182-D182,2)))</f>
        <v>0</v>
      </c>
      <c r="N182" s="33">
        <f>IF(A182="","",IF(OR(D182="",D182=0,E182=""),"",E182/D182-1))</f>
        <v>0</v>
      </c>
      <c r="O182" s="20">
        <f>IF(A182="","",IF(F182&lt;&gt;"",F182,IFERROR(INDEX(Products!$AT$5:$AT$304,MATCH(B182,Products!$A$5:$A$304,0)),"")))</f>
        <v>0</v>
      </c>
      <c r="P182" s="33">
        <f>IF(A182="","",IF(OR(D182="",D182=0,O182=""),"",(D182-O182)/D182))</f>
        <v>0</v>
      </c>
      <c r="Q182" s="33">
        <f>IF(A182="","",IF(OR(E182="",E182=0,O182=""),"",(E182-O182)/E182))</f>
        <v>0</v>
      </c>
      <c r="R182" s="33">
        <f>IF(A182="","",IF(OR(P182="",Q182=""),"",Q182-P182))</f>
        <v>0</v>
      </c>
      <c r="S182" s="33">
        <f>IF(A182="","",IF(OR(I182="",I182=0,J182=""),"",J182/I182-1))</f>
        <v>0</v>
      </c>
      <c r="T182" s="33">
        <f>IF(A182="","",IF(OR(S182="",N182=""),"",(1+N182)*(1+S182)-1))</f>
        <v>0</v>
      </c>
      <c r="U182" s="32">
        <f>IF(B182="","",COUNTIFS($B$5:B182,B182))</f>
        <v>0</v>
      </c>
      <c r="V182" s="32">
        <f>IF(A182="","",TodayDate-A182)</f>
        <v>0</v>
      </c>
      <c r="W182" s="43">
        <f>IF(A182="","",IF(M182="","Add - old and new price",IF(Q182&lt;0,"Loss - priced below cost",IF(T182="","Watch - no volume data yet",IF(T182&gt;0.02,"Worked - revenue up",IF(T182&lt;-0.02,"Hurt - revenue down","Neutral - no real change"))))))</f>
        <v>0</v>
      </c>
    </row>
    <row r="183" spans="3:23">
      <c r="C183" s="13">
        <f>IF(B183="","",IFERROR(INDEX(Products!$B$5:$B$304,MATCH(B183,Products!$A$5:$A$304,0)),"Not found"))</f>
        <v>0</v>
      </c>
      <c r="L183" s="13">
        <f>IF(A183="","",TEXT(A183,"yyyy-mm"))</f>
        <v>0</v>
      </c>
      <c r="M183" s="20">
        <f>IF(A183="","",IF(OR(D183="",E183=""),"",ROUND(E183-D183,2)))</f>
        <v>0</v>
      </c>
      <c r="N183" s="33">
        <f>IF(A183="","",IF(OR(D183="",D183=0,E183=""),"",E183/D183-1))</f>
        <v>0</v>
      </c>
      <c r="O183" s="20">
        <f>IF(A183="","",IF(F183&lt;&gt;"",F183,IFERROR(INDEX(Products!$AT$5:$AT$304,MATCH(B183,Products!$A$5:$A$304,0)),"")))</f>
        <v>0</v>
      </c>
      <c r="P183" s="33">
        <f>IF(A183="","",IF(OR(D183="",D183=0,O183=""),"",(D183-O183)/D183))</f>
        <v>0</v>
      </c>
      <c r="Q183" s="33">
        <f>IF(A183="","",IF(OR(E183="",E183=0,O183=""),"",(E183-O183)/E183))</f>
        <v>0</v>
      </c>
      <c r="R183" s="33">
        <f>IF(A183="","",IF(OR(P183="",Q183=""),"",Q183-P183))</f>
        <v>0</v>
      </c>
      <c r="S183" s="33">
        <f>IF(A183="","",IF(OR(I183="",I183=0,J183=""),"",J183/I183-1))</f>
        <v>0</v>
      </c>
      <c r="T183" s="33">
        <f>IF(A183="","",IF(OR(S183="",N183=""),"",(1+N183)*(1+S183)-1))</f>
        <v>0</v>
      </c>
      <c r="U183" s="32">
        <f>IF(B183="","",COUNTIFS($B$5:B183,B183))</f>
        <v>0</v>
      </c>
      <c r="V183" s="32">
        <f>IF(A183="","",TodayDate-A183)</f>
        <v>0</v>
      </c>
      <c r="W183" s="43">
        <f>IF(A183="","",IF(M183="","Add - old and new price",IF(Q183&lt;0,"Loss - priced below cost",IF(T183="","Watch - no volume data yet",IF(T183&gt;0.02,"Worked - revenue up",IF(T183&lt;-0.02,"Hurt - revenue down","Neutral - no real change"))))))</f>
        <v>0</v>
      </c>
    </row>
    <row r="184" spans="3:23">
      <c r="C184" s="13">
        <f>IF(B184="","",IFERROR(INDEX(Products!$B$5:$B$304,MATCH(B184,Products!$A$5:$A$304,0)),"Not found"))</f>
        <v>0</v>
      </c>
      <c r="L184" s="13">
        <f>IF(A184="","",TEXT(A184,"yyyy-mm"))</f>
        <v>0</v>
      </c>
      <c r="M184" s="20">
        <f>IF(A184="","",IF(OR(D184="",E184=""),"",ROUND(E184-D184,2)))</f>
        <v>0</v>
      </c>
      <c r="N184" s="33">
        <f>IF(A184="","",IF(OR(D184="",D184=0,E184=""),"",E184/D184-1))</f>
        <v>0</v>
      </c>
      <c r="O184" s="20">
        <f>IF(A184="","",IF(F184&lt;&gt;"",F184,IFERROR(INDEX(Products!$AT$5:$AT$304,MATCH(B184,Products!$A$5:$A$304,0)),"")))</f>
        <v>0</v>
      </c>
      <c r="P184" s="33">
        <f>IF(A184="","",IF(OR(D184="",D184=0,O184=""),"",(D184-O184)/D184))</f>
        <v>0</v>
      </c>
      <c r="Q184" s="33">
        <f>IF(A184="","",IF(OR(E184="",E184=0,O184=""),"",(E184-O184)/E184))</f>
        <v>0</v>
      </c>
      <c r="R184" s="33">
        <f>IF(A184="","",IF(OR(P184="",Q184=""),"",Q184-P184))</f>
        <v>0</v>
      </c>
      <c r="S184" s="33">
        <f>IF(A184="","",IF(OR(I184="",I184=0,J184=""),"",J184/I184-1))</f>
        <v>0</v>
      </c>
      <c r="T184" s="33">
        <f>IF(A184="","",IF(OR(S184="",N184=""),"",(1+N184)*(1+S184)-1))</f>
        <v>0</v>
      </c>
      <c r="U184" s="32">
        <f>IF(B184="","",COUNTIFS($B$5:B184,B184))</f>
        <v>0</v>
      </c>
      <c r="V184" s="32">
        <f>IF(A184="","",TodayDate-A184)</f>
        <v>0</v>
      </c>
      <c r="W184" s="43">
        <f>IF(A184="","",IF(M184="","Add - old and new price",IF(Q184&lt;0,"Loss - priced below cost",IF(T184="","Watch - no volume data yet",IF(T184&gt;0.02,"Worked - revenue up",IF(T184&lt;-0.02,"Hurt - revenue down","Neutral - no real change"))))))</f>
        <v>0</v>
      </c>
    </row>
    <row r="185" spans="3:23">
      <c r="C185" s="13">
        <f>IF(B185="","",IFERROR(INDEX(Products!$B$5:$B$304,MATCH(B185,Products!$A$5:$A$304,0)),"Not found"))</f>
        <v>0</v>
      </c>
      <c r="L185" s="13">
        <f>IF(A185="","",TEXT(A185,"yyyy-mm"))</f>
        <v>0</v>
      </c>
      <c r="M185" s="20">
        <f>IF(A185="","",IF(OR(D185="",E185=""),"",ROUND(E185-D185,2)))</f>
        <v>0</v>
      </c>
      <c r="N185" s="33">
        <f>IF(A185="","",IF(OR(D185="",D185=0,E185=""),"",E185/D185-1))</f>
        <v>0</v>
      </c>
      <c r="O185" s="20">
        <f>IF(A185="","",IF(F185&lt;&gt;"",F185,IFERROR(INDEX(Products!$AT$5:$AT$304,MATCH(B185,Products!$A$5:$A$304,0)),"")))</f>
        <v>0</v>
      </c>
      <c r="P185" s="33">
        <f>IF(A185="","",IF(OR(D185="",D185=0,O185=""),"",(D185-O185)/D185))</f>
        <v>0</v>
      </c>
      <c r="Q185" s="33">
        <f>IF(A185="","",IF(OR(E185="",E185=0,O185=""),"",(E185-O185)/E185))</f>
        <v>0</v>
      </c>
      <c r="R185" s="33">
        <f>IF(A185="","",IF(OR(P185="",Q185=""),"",Q185-P185))</f>
        <v>0</v>
      </c>
      <c r="S185" s="33">
        <f>IF(A185="","",IF(OR(I185="",I185=0,J185=""),"",J185/I185-1))</f>
        <v>0</v>
      </c>
      <c r="T185" s="33">
        <f>IF(A185="","",IF(OR(S185="",N185=""),"",(1+N185)*(1+S185)-1))</f>
        <v>0</v>
      </c>
      <c r="U185" s="32">
        <f>IF(B185="","",COUNTIFS($B$5:B185,B185))</f>
        <v>0</v>
      </c>
      <c r="V185" s="32">
        <f>IF(A185="","",TodayDate-A185)</f>
        <v>0</v>
      </c>
      <c r="W185" s="43">
        <f>IF(A185="","",IF(M185="","Add - old and new price",IF(Q185&lt;0,"Loss - priced below cost",IF(T185="","Watch - no volume data yet",IF(T185&gt;0.02,"Worked - revenue up",IF(T185&lt;-0.02,"Hurt - revenue down","Neutral - no real change"))))))</f>
        <v>0</v>
      </c>
    </row>
    <row r="186" spans="3:23">
      <c r="C186" s="13">
        <f>IF(B186="","",IFERROR(INDEX(Products!$B$5:$B$304,MATCH(B186,Products!$A$5:$A$304,0)),"Not found"))</f>
        <v>0</v>
      </c>
      <c r="L186" s="13">
        <f>IF(A186="","",TEXT(A186,"yyyy-mm"))</f>
        <v>0</v>
      </c>
      <c r="M186" s="20">
        <f>IF(A186="","",IF(OR(D186="",E186=""),"",ROUND(E186-D186,2)))</f>
        <v>0</v>
      </c>
      <c r="N186" s="33">
        <f>IF(A186="","",IF(OR(D186="",D186=0,E186=""),"",E186/D186-1))</f>
        <v>0</v>
      </c>
      <c r="O186" s="20">
        <f>IF(A186="","",IF(F186&lt;&gt;"",F186,IFERROR(INDEX(Products!$AT$5:$AT$304,MATCH(B186,Products!$A$5:$A$304,0)),"")))</f>
        <v>0</v>
      </c>
      <c r="P186" s="33">
        <f>IF(A186="","",IF(OR(D186="",D186=0,O186=""),"",(D186-O186)/D186))</f>
        <v>0</v>
      </c>
      <c r="Q186" s="33">
        <f>IF(A186="","",IF(OR(E186="",E186=0,O186=""),"",(E186-O186)/E186))</f>
        <v>0</v>
      </c>
      <c r="R186" s="33">
        <f>IF(A186="","",IF(OR(P186="",Q186=""),"",Q186-P186))</f>
        <v>0</v>
      </c>
      <c r="S186" s="33">
        <f>IF(A186="","",IF(OR(I186="",I186=0,J186=""),"",J186/I186-1))</f>
        <v>0</v>
      </c>
      <c r="T186" s="33">
        <f>IF(A186="","",IF(OR(S186="",N186=""),"",(1+N186)*(1+S186)-1))</f>
        <v>0</v>
      </c>
      <c r="U186" s="32">
        <f>IF(B186="","",COUNTIFS($B$5:B186,B186))</f>
        <v>0</v>
      </c>
      <c r="V186" s="32">
        <f>IF(A186="","",TodayDate-A186)</f>
        <v>0</v>
      </c>
      <c r="W186" s="43">
        <f>IF(A186="","",IF(M186="","Add - old and new price",IF(Q186&lt;0,"Loss - priced below cost",IF(T186="","Watch - no volume data yet",IF(T186&gt;0.02,"Worked - revenue up",IF(T186&lt;-0.02,"Hurt - revenue down","Neutral - no real change"))))))</f>
        <v>0</v>
      </c>
    </row>
    <row r="187" spans="3:23">
      <c r="C187" s="13">
        <f>IF(B187="","",IFERROR(INDEX(Products!$B$5:$B$304,MATCH(B187,Products!$A$5:$A$304,0)),"Not found"))</f>
        <v>0</v>
      </c>
      <c r="L187" s="13">
        <f>IF(A187="","",TEXT(A187,"yyyy-mm"))</f>
        <v>0</v>
      </c>
      <c r="M187" s="20">
        <f>IF(A187="","",IF(OR(D187="",E187=""),"",ROUND(E187-D187,2)))</f>
        <v>0</v>
      </c>
      <c r="N187" s="33">
        <f>IF(A187="","",IF(OR(D187="",D187=0,E187=""),"",E187/D187-1))</f>
        <v>0</v>
      </c>
      <c r="O187" s="20">
        <f>IF(A187="","",IF(F187&lt;&gt;"",F187,IFERROR(INDEX(Products!$AT$5:$AT$304,MATCH(B187,Products!$A$5:$A$304,0)),"")))</f>
        <v>0</v>
      </c>
      <c r="P187" s="33">
        <f>IF(A187="","",IF(OR(D187="",D187=0,O187=""),"",(D187-O187)/D187))</f>
        <v>0</v>
      </c>
      <c r="Q187" s="33">
        <f>IF(A187="","",IF(OR(E187="",E187=0,O187=""),"",(E187-O187)/E187))</f>
        <v>0</v>
      </c>
      <c r="R187" s="33">
        <f>IF(A187="","",IF(OR(P187="",Q187=""),"",Q187-P187))</f>
        <v>0</v>
      </c>
      <c r="S187" s="33">
        <f>IF(A187="","",IF(OR(I187="",I187=0,J187=""),"",J187/I187-1))</f>
        <v>0</v>
      </c>
      <c r="T187" s="33">
        <f>IF(A187="","",IF(OR(S187="",N187=""),"",(1+N187)*(1+S187)-1))</f>
        <v>0</v>
      </c>
      <c r="U187" s="32">
        <f>IF(B187="","",COUNTIFS($B$5:B187,B187))</f>
        <v>0</v>
      </c>
      <c r="V187" s="32">
        <f>IF(A187="","",TodayDate-A187)</f>
        <v>0</v>
      </c>
      <c r="W187" s="43">
        <f>IF(A187="","",IF(M187="","Add - old and new price",IF(Q187&lt;0,"Loss - priced below cost",IF(T187="","Watch - no volume data yet",IF(T187&gt;0.02,"Worked - revenue up",IF(T187&lt;-0.02,"Hurt - revenue down","Neutral - no real change"))))))</f>
        <v>0</v>
      </c>
    </row>
    <row r="188" spans="3:23">
      <c r="C188" s="13">
        <f>IF(B188="","",IFERROR(INDEX(Products!$B$5:$B$304,MATCH(B188,Products!$A$5:$A$304,0)),"Not found"))</f>
        <v>0</v>
      </c>
      <c r="L188" s="13">
        <f>IF(A188="","",TEXT(A188,"yyyy-mm"))</f>
        <v>0</v>
      </c>
      <c r="M188" s="20">
        <f>IF(A188="","",IF(OR(D188="",E188=""),"",ROUND(E188-D188,2)))</f>
        <v>0</v>
      </c>
      <c r="N188" s="33">
        <f>IF(A188="","",IF(OR(D188="",D188=0,E188=""),"",E188/D188-1))</f>
        <v>0</v>
      </c>
      <c r="O188" s="20">
        <f>IF(A188="","",IF(F188&lt;&gt;"",F188,IFERROR(INDEX(Products!$AT$5:$AT$304,MATCH(B188,Products!$A$5:$A$304,0)),"")))</f>
        <v>0</v>
      </c>
      <c r="P188" s="33">
        <f>IF(A188="","",IF(OR(D188="",D188=0,O188=""),"",(D188-O188)/D188))</f>
        <v>0</v>
      </c>
      <c r="Q188" s="33">
        <f>IF(A188="","",IF(OR(E188="",E188=0,O188=""),"",(E188-O188)/E188))</f>
        <v>0</v>
      </c>
      <c r="R188" s="33">
        <f>IF(A188="","",IF(OR(P188="",Q188=""),"",Q188-P188))</f>
        <v>0</v>
      </c>
      <c r="S188" s="33">
        <f>IF(A188="","",IF(OR(I188="",I188=0,J188=""),"",J188/I188-1))</f>
        <v>0</v>
      </c>
      <c r="T188" s="33">
        <f>IF(A188="","",IF(OR(S188="",N188=""),"",(1+N188)*(1+S188)-1))</f>
        <v>0</v>
      </c>
      <c r="U188" s="32">
        <f>IF(B188="","",COUNTIFS($B$5:B188,B188))</f>
        <v>0</v>
      </c>
      <c r="V188" s="32">
        <f>IF(A188="","",TodayDate-A188)</f>
        <v>0</v>
      </c>
      <c r="W188" s="43">
        <f>IF(A188="","",IF(M188="","Add - old and new price",IF(Q188&lt;0,"Loss - priced below cost",IF(T188="","Watch - no volume data yet",IF(T188&gt;0.02,"Worked - revenue up",IF(T188&lt;-0.02,"Hurt - revenue down","Neutral - no real change"))))))</f>
        <v>0</v>
      </c>
    </row>
    <row r="189" spans="3:23">
      <c r="C189" s="13">
        <f>IF(B189="","",IFERROR(INDEX(Products!$B$5:$B$304,MATCH(B189,Products!$A$5:$A$304,0)),"Not found"))</f>
        <v>0</v>
      </c>
      <c r="L189" s="13">
        <f>IF(A189="","",TEXT(A189,"yyyy-mm"))</f>
        <v>0</v>
      </c>
      <c r="M189" s="20">
        <f>IF(A189="","",IF(OR(D189="",E189=""),"",ROUND(E189-D189,2)))</f>
        <v>0</v>
      </c>
      <c r="N189" s="33">
        <f>IF(A189="","",IF(OR(D189="",D189=0,E189=""),"",E189/D189-1))</f>
        <v>0</v>
      </c>
      <c r="O189" s="20">
        <f>IF(A189="","",IF(F189&lt;&gt;"",F189,IFERROR(INDEX(Products!$AT$5:$AT$304,MATCH(B189,Products!$A$5:$A$304,0)),"")))</f>
        <v>0</v>
      </c>
      <c r="P189" s="33">
        <f>IF(A189="","",IF(OR(D189="",D189=0,O189=""),"",(D189-O189)/D189))</f>
        <v>0</v>
      </c>
      <c r="Q189" s="33">
        <f>IF(A189="","",IF(OR(E189="",E189=0,O189=""),"",(E189-O189)/E189))</f>
        <v>0</v>
      </c>
      <c r="R189" s="33">
        <f>IF(A189="","",IF(OR(P189="",Q189=""),"",Q189-P189))</f>
        <v>0</v>
      </c>
      <c r="S189" s="33">
        <f>IF(A189="","",IF(OR(I189="",I189=0,J189=""),"",J189/I189-1))</f>
        <v>0</v>
      </c>
      <c r="T189" s="33">
        <f>IF(A189="","",IF(OR(S189="",N189=""),"",(1+N189)*(1+S189)-1))</f>
        <v>0</v>
      </c>
      <c r="U189" s="32">
        <f>IF(B189="","",COUNTIFS($B$5:B189,B189))</f>
        <v>0</v>
      </c>
      <c r="V189" s="32">
        <f>IF(A189="","",TodayDate-A189)</f>
        <v>0</v>
      </c>
      <c r="W189" s="43">
        <f>IF(A189="","",IF(M189="","Add - old and new price",IF(Q189&lt;0,"Loss - priced below cost",IF(T189="","Watch - no volume data yet",IF(T189&gt;0.02,"Worked - revenue up",IF(T189&lt;-0.02,"Hurt - revenue down","Neutral - no real change"))))))</f>
        <v>0</v>
      </c>
    </row>
    <row r="190" spans="3:23">
      <c r="C190" s="13">
        <f>IF(B190="","",IFERROR(INDEX(Products!$B$5:$B$304,MATCH(B190,Products!$A$5:$A$304,0)),"Not found"))</f>
        <v>0</v>
      </c>
      <c r="L190" s="13">
        <f>IF(A190="","",TEXT(A190,"yyyy-mm"))</f>
        <v>0</v>
      </c>
      <c r="M190" s="20">
        <f>IF(A190="","",IF(OR(D190="",E190=""),"",ROUND(E190-D190,2)))</f>
        <v>0</v>
      </c>
      <c r="N190" s="33">
        <f>IF(A190="","",IF(OR(D190="",D190=0,E190=""),"",E190/D190-1))</f>
        <v>0</v>
      </c>
      <c r="O190" s="20">
        <f>IF(A190="","",IF(F190&lt;&gt;"",F190,IFERROR(INDEX(Products!$AT$5:$AT$304,MATCH(B190,Products!$A$5:$A$304,0)),"")))</f>
        <v>0</v>
      </c>
      <c r="P190" s="33">
        <f>IF(A190="","",IF(OR(D190="",D190=0,O190=""),"",(D190-O190)/D190))</f>
        <v>0</v>
      </c>
      <c r="Q190" s="33">
        <f>IF(A190="","",IF(OR(E190="",E190=0,O190=""),"",(E190-O190)/E190))</f>
        <v>0</v>
      </c>
      <c r="R190" s="33">
        <f>IF(A190="","",IF(OR(P190="",Q190=""),"",Q190-P190))</f>
        <v>0</v>
      </c>
      <c r="S190" s="33">
        <f>IF(A190="","",IF(OR(I190="",I190=0,J190=""),"",J190/I190-1))</f>
        <v>0</v>
      </c>
      <c r="T190" s="33">
        <f>IF(A190="","",IF(OR(S190="",N190=""),"",(1+N190)*(1+S190)-1))</f>
        <v>0</v>
      </c>
      <c r="U190" s="32">
        <f>IF(B190="","",COUNTIFS($B$5:B190,B190))</f>
        <v>0</v>
      </c>
      <c r="V190" s="32">
        <f>IF(A190="","",TodayDate-A190)</f>
        <v>0</v>
      </c>
      <c r="W190" s="43">
        <f>IF(A190="","",IF(M190="","Add - old and new price",IF(Q190&lt;0,"Loss - priced below cost",IF(T190="","Watch - no volume data yet",IF(T190&gt;0.02,"Worked - revenue up",IF(T190&lt;-0.02,"Hurt - revenue down","Neutral - no real change"))))))</f>
        <v>0</v>
      </c>
    </row>
    <row r="191" spans="3:23">
      <c r="C191" s="13">
        <f>IF(B191="","",IFERROR(INDEX(Products!$B$5:$B$304,MATCH(B191,Products!$A$5:$A$304,0)),"Not found"))</f>
        <v>0</v>
      </c>
      <c r="L191" s="13">
        <f>IF(A191="","",TEXT(A191,"yyyy-mm"))</f>
        <v>0</v>
      </c>
      <c r="M191" s="20">
        <f>IF(A191="","",IF(OR(D191="",E191=""),"",ROUND(E191-D191,2)))</f>
        <v>0</v>
      </c>
      <c r="N191" s="33">
        <f>IF(A191="","",IF(OR(D191="",D191=0,E191=""),"",E191/D191-1))</f>
        <v>0</v>
      </c>
      <c r="O191" s="20">
        <f>IF(A191="","",IF(F191&lt;&gt;"",F191,IFERROR(INDEX(Products!$AT$5:$AT$304,MATCH(B191,Products!$A$5:$A$304,0)),"")))</f>
        <v>0</v>
      </c>
      <c r="P191" s="33">
        <f>IF(A191="","",IF(OR(D191="",D191=0,O191=""),"",(D191-O191)/D191))</f>
        <v>0</v>
      </c>
      <c r="Q191" s="33">
        <f>IF(A191="","",IF(OR(E191="",E191=0,O191=""),"",(E191-O191)/E191))</f>
        <v>0</v>
      </c>
      <c r="R191" s="33">
        <f>IF(A191="","",IF(OR(P191="",Q191=""),"",Q191-P191))</f>
        <v>0</v>
      </c>
      <c r="S191" s="33">
        <f>IF(A191="","",IF(OR(I191="",I191=0,J191=""),"",J191/I191-1))</f>
        <v>0</v>
      </c>
      <c r="T191" s="33">
        <f>IF(A191="","",IF(OR(S191="",N191=""),"",(1+N191)*(1+S191)-1))</f>
        <v>0</v>
      </c>
      <c r="U191" s="32">
        <f>IF(B191="","",COUNTIFS($B$5:B191,B191))</f>
        <v>0</v>
      </c>
      <c r="V191" s="32">
        <f>IF(A191="","",TodayDate-A191)</f>
        <v>0</v>
      </c>
      <c r="W191" s="43">
        <f>IF(A191="","",IF(M191="","Add - old and new price",IF(Q191&lt;0,"Loss - priced below cost",IF(T191="","Watch - no volume data yet",IF(T191&gt;0.02,"Worked - revenue up",IF(T191&lt;-0.02,"Hurt - revenue down","Neutral - no real change"))))))</f>
        <v>0</v>
      </c>
    </row>
    <row r="192" spans="3:23">
      <c r="C192" s="13">
        <f>IF(B192="","",IFERROR(INDEX(Products!$B$5:$B$304,MATCH(B192,Products!$A$5:$A$304,0)),"Not found"))</f>
        <v>0</v>
      </c>
      <c r="L192" s="13">
        <f>IF(A192="","",TEXT(A192,"yyyy-mm"))</f>
        <v>0</v>
      </c>
      <c r="M192" s="20">
        <f>IF(A192="","",IF(OR(D192="",E192=""),"",ROUND(E192-D192,2)))</f>
        <v>0</v>
      </c>
      <c r="N192" s="33">
        <f>IF(A192="","",IF(OR(D192="",D192=0,E192=""),"",E192/D192-1))</f>
        <v>0</v>
      </c>
      <c r="O192" s="20">
        <f>IF(A192="","",IF(F192&lt;&gt;"",F192,IFERROR(INDEX(Products!$AT$5:$AT$304,MATCH(B192,Products!$A$5:$A$304,0)),"")))</f>
        <v>0</v>
      </c>
      <c r="P192" s="33">
        <f>IF(A192="","",IF(OR(D192="",D192=0,O192=""),"",(D192-O192)/D192))</f>
        <v>0</v>
      </c>
      <c r="Q192" s="33">
        <f>IF(A192="","",IF(OR(E192="",E192=0,O192=""),"",(E192-O192)/E192))</f>
        <v>0</v>
      </c>
      <c r="R192" s="33">
        <f>IF(A192="","",IF(OR(P192="",Q192=""),"",Q192-P192))</f>
        <v>0</v>
      </c>
      <c r="S192" s="33">
        <f>IF(A192="","",IF(OR(I192="",I192=0,J192=""),"",J192/I192-1))</f>
        <v>0</v>
      </c>
      <c r="T192" s="33">
        <f>IF(A192="","",IF(OR(S192="",N192=""),"",(1+N192)*(1+S192)-1))</f>
        <v>0</v>
      </c>
      <c r="U192" s="32">
        <f>IF(B192="","",COUNTIFS($B$5:B192,B192))</f>
        <v>0</v>
      </c>
      <c r="V192" s="32">
        <f>IF(A192="","",TodayDate-A192)</f>
        <v>0</v>
      </c>
      <c r="W192" s="43">
        <f>IF(A192="","",IF(M192="","Add - old and new price",IF(Q192&lt;0,"Loss - priced below cost",IF(T192="","Watch - no volume data yet",IF(T192&gt;0.02,"Worked - revenue up",IF(T192&lt;-0.02,"Hurt - revenue down","Neutral - no real change"))))))</f>
        <v>0</v>
      </c>
    </row>
    <row r="193" spans="3:23">
      <c r="C193" s="13">
        <f>IF(B193="","",IFERROR(INDEX(Products!$B$5:$B$304,MATCH(B193,Products!$A$5:$A$304,0)),"Not found"))</f>
        <v>0</v>
      </c>
      <c r="L193" s="13">
        <f>IF(A193="","",TEXT(A193,"yyyy-mm"))</f>
        <v>0</v>
      </c>
      <c r="M193" s="20">
        <f>IF(A193="","",IF(OR(D193="",E193=""),"",ROUND(E193-D193,2)))</f>
        <v>0</v>
      </c>
      <c r="N193" s="33">
        <f>IF(A193="","",IF(OR(D193="",D193=0,E193=""),"",E193/D193-1))</f>
        <v>0</v>
      </c>
      <c r="O193" s="20">
        <f>IF(A193="","",IF(F193&lt;&gt;"",F193,IFERROR(INDEX(Products!$AT$5:$AT$304,MATCH(B193,Products!$A$5:$A$304,0)),"")))</f>
        <v>0</v>
      </c>
      <c r="P193" s="33">
        <f>IF(A193="","",IF(OR(D193="",D193=0,O193=""),"",(D193-O193)/D193))</f>
        <v>0</v>
      </c>
      <c r="Q193" s="33">
        <f>IF(A193="","",IF(OR(E193="",E193=0,O193=""),"",(E193-O193)/E193))</f>
        <v>0</v>
      </c>
      <c r="R193" s="33">
        <f>IF(A193="","",IF(OR(P193="",Q193=""),"",Q193-P193))</f>
        <v>0</v>
      </c>
      <c r="S193" s="33">
        <f>IF(A193="","",IF(OR(I193="",I193=0,J193=""),"",J193/I193-1))</f>
        <v>0</v>
      </c>
      <c r="T193" s="33">
        <f>IF(A193="","",IF(OR(S193="",N193=""),"",(1+N193)*(1+S193)-1))</f>
        <v>0</v>
      </c>
      <c r="U193" s="32">
        <f>IF(B193="","",COUNTIFS($B$5:B193,B193))</f>
        <v>0</v>
      </c>
      <c r="V193" s="32">
        <f>IF(A193="","",TodayDate-A193)</f>
        <v>0</v>
      </c>
      <c r="W193" s="43">
        <f>IF(A193="","",IF(M193="","Add - old and new price",IF(Q193&lt;0,"Loss - priced below cost",IF(T193="","Watch - no volume data yet",IF(T193&gt;0.02,"Worked - revenue up",IF(T193&lt;-0.02,"Hurt - revenue down","Neutral - no real change"))))))</f>
        <v>0</v>
      </c>
    </row>
    <row r="194" spans="3:23">
      <c r="C194" s="13">
        <f>IF(B194="","",IFERROR(INDEX(Products!$B$5:$B$304,MATCH(B194,Products!$A$5:$A$304,0)),"Not found"))</f>
        <v>0</v>
      </c>
      <c r="L194" s="13">
        <f>IF(A194="","",TEXT(A194,"yyyy-mm"))</f>
        <v>0</v>
      </c>
      <c r="M194" s="20">
        <f>IF(A194="","",IF(OR(D194="",E194=""),"",ROUND(E194-D194,2)))</f>
        <v>0</v>
      </c>
      <c r="N194" s="33">
        <f>IF(A194="","",IF(OR(D194="",D194=0,E194=""),"",E194/D194-1))</f>
        <v>0</v>
      </c>
      <c r="O194" s="20">
        <f>IF(A194="","",IF(F194&lt;&gt;"",F194,IFERROR(INDEX(Products!$AT$5:$AT$304,MATCH(B194,Products!$A$5:$A$304,0)),"")))</f>
        <v>0</v>
      </c>
      <c r="P194" s="33">
        <f>IF(A194="","",IF(OR(D194="",D194=0,O194=""),"",(D194-O194)/D194))</f>
        <v>0</v>
      </c>
      <c r="Q194" s="33">
        <f>IF(A194="","",IF(OR(E194="",E194=0,O194=""),"",(E194-O194)/E194))</f>
        <v>0</v>
      </c>
      <c r="R194" s="33">
        <f>IF(A194="","",IF(OR(P194="",Q194=""),"",Q194-P194))</f>
        <v>0</v>
      </c>
      <c r="S194" s="33">
        <f>IF(A194="","",IF(OR(I194="",I194=0,J194=""),"",J194/I194-1))</f>
        <v>0</v>
      </c>
      <c r="T194" s="33">
        <f>IF(A194="","",IF(OR(S194="",N194=""),"",(1+N194)*(1+S194)-1))</f>
        <v>0</v>
      </c>
      <c r="U194" s="32">
        <f>IF(B194="","",COUNTIFS($B$5:B194,B194))</f>
        <v>0</v>
      </c>
      <c r="V194" s="32">
        <f>IF(A194="","",TodayDate-A194)</f>
        <v>0</v>
      </c>
      <c r="W194" s="43">
        <f>IF(A194="","",IF(M194="","Add - old and new price",IF(Q194&lt;0,"Loss - priced below cost",IF(T194="","Watch - no volume data yet",IF(T194&gt;0.02,"Worked - revenue up",IF(T194&lt;-0.02,"Hurt - revenue down","Neutral - no real change"))))))</f>
        <v>0</v>
      </c>
    </row>
    <row r="195" spans="3:23">
      <c r="C195" s="13">
        <f>IF(B195="","",IFERROR(INDEX(Products!$B$5:$B$304,MATCH(B195,Products!$A$5:$A$304,0)),"Not found"))</f>
        <v>0</v>
      </c>
      <c r="L195" s="13">
        <f>IF(A195="","",TEXT(A195,"yyyy-mm"))</f>
        <v>0</v>
      </c>
      <c r="M195" s="20">
        <f>IF(A195="","",IF(OR(D195="",E195=""),"",ROUND(E195-D195,2)))</f>
        <v>0</v>
      </c>
      <c r="N195" s="33">
        <f>IF(A195="","",IF(OR(D195="",D195=0,E195=""),"",E195/D195-1))</f>
        <v>0</v>
      </c>
      <c r="O195" s="20">
        <f>IF(A195="","",IF(F195&lt;&gt;"",F195,IFERROR(INDEX(Products!$AT$5:$AT$304,MATCH(B195,Products!$A$5:$A$304,0)),"")))</f>
        <v>0</v>
      </c>
      <c r="P195" s="33">
        <f>IF(A195="","",IF(OR(D195="",D195=0,O195=""),"",(D195-O195)/D195))</f>
        <v>0</v>
      </c>
      <c r="Q195" s="33">
        <f>IF(A195="","",IF(OR(E195="",E195=0,O195=""),"",(E195-O195)/E195))</f>
        <v>0</v>
      </c>
      <c r="R195" s="33">
        <f>IF(A195="","",IF(OR(P195="",Q195=""),"",Q195-P195))</f>
        <v>0</v>
      </c>
      <c r="S195" s="33">
        <f>IF(A195="","",IF(OR(I195="",I195=0,J195=""),"",J195/I195-1))</f>
        <v>0</v>
      </c>
      <c r="T195" s="33">
        <f>IF(A195="","",IF(OR(S195="",N195=""),"",(1+N195)*(1+S195)-1))</f>
        <v>0</v>
      </c>
      <c r="U195" s="32">
        <f>IF(B195="","",COUNTIFS($B$5:B195,B195))</f>
        <v>0</v>
      </c>
      <c r="V195" s="32">
        <f>IF(A195="","",TodayDate-A195)</f>
        <v>0</v>
      </c>
      <c r="W195" s="43">
        <f>IF(A195="","",IF(M195="","Add - old and new price",IF(Q195&lt;0,"Loss - priced below cost",IF(T195="","Watch - no volume data yet",IF(T195&gt;0.02,"Worked - revenue up",IF(T195&lt;-0.02,"Hurt - revenue down","Neutral - no real change"))))))</f>
        <v>0</v>
      </c>
    </row>
    <row r="196" spans="3:23">
      <c r="C196" s="13">
        <f>IF(B196="","",IFERROR(INDEX(Products!$B$5:$B$304,MATCH(B196,Products!$A$5:$A$304,0)),"Not found"))</f>
        <v>0</v>
      </c>
      <c r="L196" s="13">
        <f>IF(A196="","",TEXT(A196,"yyyy-mm"))</f>
        <v>0</v>
      </c>
      <c r="M196" s="20">
        <f>IF(A196="","",IF(OR(D196="",E196=""),"",ROUND(E196-D196,2)))</f>
        <v>0</v>
      </c>
      <c r="N196" s="33">
        <f>IF(A196="","",IF(OR(D196="",D196=0,E196=""),"",E196/D196-1))</f>
        <v>0</v>
      </c>
      <c r="O196" s="20">
        <f>IF(A196="","",IF(F196&lt;&gt;"",F196,IFERROR(INDEX(Products!$AT$5:$AT$304,MATCH(B196,Products!$A$5:$A$304,0)),"")))</f>
        <v>0</v>
      </c>
      <c r="P196" s="33">
        <f>IF(A196="","",IF(OR(D196="",D196=0,O196=""),"",(D196-O196)/D196))</f>
        <v>0</v>
      </c>
      <c r="Q196" s="33">
        <f>IF(A196="","",IF(OR(E196="",E196=0,O196=""),"",(E196-O196)/E196))</f>
        <v>0</v>
      </c>
      <c r="R196" s="33">
        <f>IF(A196="","",IF(OR(P196="",Q196=""),"",Q196-P196))</f>
        <v>0</v>
      </c>
      <c r="S196" s="33">
        <f>IF(A196="","",IF(OR(I196="",I196=0,J196=""),"",J196/I196-1))</f>
        <v>0</v>
      </c>
      <c r="T196" s="33">
        <f>IF(A196="","",IF(OR(S196="",N196=""),"",(1+N196)*(1+S196)-1))</f>
        <v>0</v>
      </c>
      <c r="U196" s="32">
        <f>IF(B196="","",COUNTIFS($B$5:B196,B196))</f>
        <v>0</v>
      </c>
      <c r="V196" s="32">
        <f>IF(A196="","",TodayDate-A196)</f>
        <v>0</v>
      </c>
      <c r="W196" s="43">
        <f>IF(A196="","",IF(M196="","Add - old and new price",IF(Q196&lt;0,"Loss - priced below cost",IF(T196="","Watch - no volume data yet",IF(T196&gt;0.02,"Worked - revenue up",IF(T196&lt;-0.02,"Hurt - revenue down","Neutral - no real change"))))))</f>
        <v>0</v>
      </c>
    </row>
    <row r="197" spans="3:23">
      <c r="C197" s="13">
        <f>IF(B197="","",IFERROR(INDEX(Products!$B$5:$B$304,MATCH(B197,Products!$A$5:$A$304,0)),"Not found"))</f>
        <v>0</v>
      </c>
      <c r="L197" s="13">
        <f>IF(A197="","",TEXT(A197,"yyyy-mm"))</f>
        <v>0</v>
      </c>
      <c r="M197" s="20">
        <f>IF(A197="","",IF(OR(D197="",E197=""),"",ROUND(E197-D197,2)))</f>
        <v>0</v>
      </c>
      <c r="N197" s="33">
        <f>IF(A197="","",IF(OR(D197="",D197=0,E197=""),"",E197/D197-1))</f>
        <v>0</v>
      </c>
      <c r="O197" s="20">
        <f>IF(A197="","",IF(F197&lt;&gt;"",F197,IFERROR(INDEX(Products!$AT$5:$AT$304,MATCH(B197,Products!$A$5:$A$304,0)),"")))</f>
        <v>0</v>
      </c>
      <c r="P197" s="33">
        <f>IF(A197="","",IF(OR(D197="",D197=0,O197=""),"",(D197-O197)/D197))</f>
        <v>0</v>
      </c>
      <c r="Q197" s="33">
        <f>IF(A197="","",IF(OR(E197="",E197=0,O197=""),"",(E197-O197)/E197))</f>
        <v>0</v>
      </c>
      <c r="R197" s="33">
        <f>IF(A197="","",IF(OR(P197="",Q197=""),"",Q197-P197))</f>
        <v>0</v>
      </c>
      <c r="S197" s="33">
        <f>IF(A197="","",IF(OR(I197="",I197=0,J197=""),"",J197/I197-1))</f>
        <v>0</v>
      </c>
      <c r="T197" s="33">
        <f>IF(A197="","",IF(OR(S197="",N197=""),"",(1+N197)*(1+S197)-1))</f>
        <v>0</v>
      </c>
      <c r="U197" s="32">
        <f>IF(B197="","",COUNTIFS($B$5:B197,B197))</f>
        <v>0</v>
      </c>
      <c r="V197" s="32">
        <f>IF(A197="","",TodayDate-A197)</f>
        <v>0</v>
      </c>
      <c r="W197" s="43">
        <f>IF(A197="","",IF(M197="","Add - old and new price",IF(Q197&lt;0,"Loss - priced below cost",IF(T197="","Watch - no volume data yet",IF(T197&gt;0.02,"Worked - revenue up",IF(T197&lt;-0.02,"Hurt - revenue down","Neutral - no real change"))))))</f>
        <v>0</v>
      </c>
    </row>
    <row r="198" spans="3:23">
      <c r="C198" s="13">
        <f>IF(B198="","",IFERROR(INDEX(Products!$B$5:$B$304,MATCH(B198,Products!$A$5:$A$304,0)),"Not found"))</f>
        <v>0</v>
      </c>
      <c r="L198" s="13">
        <f>IF(A198="","",TEXT(A198,"yyyy-mm"))</f>
        <v>0</v>
      </c>
      <c r="M198" s="20">
        <f>IF(A198="","",IF(OR(D198="",E198=""),"",ROUND(E198-D198,2)))</f>
        <v>0</v>
      </c>
      <c r="N198" s="33">
        <f>IF(A198="","",IF(OR(D198="",D198=0,E198=""),"",E198/D198-1))</f>
        <v>0</v>
      </c>
      <c r="O198" s="20">
        <f>IF(A198="","",IF(F198&lt;&gt;"",F198,IFERROR(INDEX(Products!$AT$5:$AT$304,MATCH(B198,Products!$A$5:$A$304,0)),"")))</f>
        <v>0</v>
      </c>
      <c r="P198" s="33">
        <f>IF(A198="","",IF(OR(D198="",D198=0,O198=""),"",(D198-O198)/D198))</f>
        <v>0</v>
      </c>
      <c r="Q198" s="33">
        <f>IF(A198="","",IF(OR(E198="",E198=0,O198=""),"",(E198-O198)/E198))</f>
        <v>0</v>
      </c>
      <c r="R198" s="33">
        <f>IF(A198="","",IF(OR(P198="",Q198=""),"",Q198-P198))</f>
        <v>0</v>
      </c>
      <c r="S198" s="33">
        <f>IF(A198="","",IF(OR(I198="",I198=0,J198=""),"",J198/I198-1))</f>
        <v>0</v>
      </c>
      <c r="T198" s="33">
        <f>IF(A198="","",IF(OR(S198="",N198=""),"",(1+N198)*(1+S198)-1))</f>
        <v>0</v>
      </c>
      <c r="U198" s="32">
        <f>IF(B198="","",COUNTIFS($B$5:B198,B198))</f>
        <v>0</v>
      </c>
      <c r="V198" s="32">
        <f>IF(A198="","",TodayDate-A198)</f>
        <v>0</v>
      </c>
      <c r="W198" s="43">
        <f>IF(A198="","",IF(M198="","Add - old and new price",IF(Q198&lt;0,"Loss - priced below cost",IF(T198="","Watch - no volume data yet",IF(T198&gt;0.02,"Worked - revenue up",IF(T198&lt;-0.02,"Hurt - revenue down","Neutral - no real change"))))))</f>
        <v>0</v>
      </c>
    </row>
    <row r="199" spans="3:23">
      <c r="C199" s="13">
        <f>IF(B199="","",IFERROR(INDEX(Products!$B$5:$B$304,MATCH(B199,Products!$A$5:$A$304,0)),"Not found"))</f>
        <v>0</v>
      </c>
      <c r="L199" s="13">
        <f>IF(A199="","",TEXT(A199,"yyyy-mm"))</f>
        <v>0</v>
      </c>
      <c r="M199" s="20">
        <f>IF(A199="","",IF(OR(D199="",E199=""),"",ROUND(E199-D199,2)))</f>
        <v>0</v>
      </c>
      <c r="N199" s="33">
        <f>IF(A199="","",IF(OR(D199="",D199=0,E199=""),"",E199/D199-1))</f>
        <v>0</v>
      </c>
      <c r="O199" s="20">
        <f>IF(A199="","",IF(F199&lt;&gt;"",F199,IFERROR(INDEX(Products!$AT$5:$AT$304,MATCH(B199,Products!$A$5:$A$304,0)),"")))</f>
        <v>0</v>
      </c>
      <c r="P199" s="33">
        <f>IF(A199="","",IF(OR(D199="",D199=0,O199=""),"",(D199-O199)/D199))</f>
        <v>0</v>
      </c>
      <c r="Q199" s="33">
        <f>IF(A199="","",IF(OR(E199="",E199=0,O199=""),"",(E199-O199)/E199))</f>
        <v>0</v>
      </c>
      <c r="R199" s="33">
        <f>IF(A199="","",IF(OR(P199="",Q199=""),"",Q199-P199))</f>
        <v>0</v>
      </c>
      <c r="S199" s="33">
        <f>IF(A199="","",IF(OR(I199="",I199=0,J199=""),"",J199/I199-1))</f>
        <v>0</v>
      </c>
      <c r="T199" s="33">
        <f>IF(A199="","",IF(OR(S199="",N199=""),"",(1+N199)*(1+S199)-1))</f>
        <v>0</v>
      </c>
      <c r="U199" s="32">
        <f>IF(B199="","",COUNTIFS($B$5:B199,B199))</f>
        <v>0</v>
      </c>
      <c r="V199" s="32">
        <f>IF(A199="","",TodayDate-A199)</f>
        <v>0</v>
      </c>
      <c r="W199" s="43">
        <f>IF(A199="","",IF(M199="","Add - old and new price",IF(Q199&lt;0,"Loss - priced below cost",IF(T199="","Watch - no volume data yet",IF(T199&gt;0.02,"Worked - revenue up",IF(T199&lt;-0.02,"Hurt - revenue down","Neutral - no real change"))))))</f>
        <v>0</v>
      </c>
    </row>
    <row r="200" spans="3:23">
      <c r="C200" s="13">
        <f>IF(B200="","",IFERROR(INDEX(Products!$B$5:$B$304,MATCH(B200,Products!$A$5:$A$304,0)),"Not found"))</f>
        <v>0</v>
      </c>
      <c r="L200" s="13">
        <f>IF(A200="","",TEXT(A200,"yyyy-mm"))</f>
        <v>0</v>
      </c>
      <c r="M200" s="20">
        <f>IF(A200="","",IF(OR(D200="",E200=""),"",ROUND(E200-D200,2)))</f>
        <v>0</v>
      </c>
      <c r="N200" s="33">
        <f>IF(A200="","",IF(OR(D200="",D200=0,E200=""),"",E200/D200-1))</f>
        <v>0</v>
      </c>
      <c r="O200" s="20">
        <f>IF(A200="","",IF(F200&lt;&gt;"",F200,IFERROR(INDEX(Products!$AT$5:$AT$304,MATCH(B200,Products!$A$5:$A$304,0)),"")))</f>
        <v>0</v>
      </c>
      <c r="P200" s="33">
        <f>IF(A200="","",IF(OR(D200="",D200=0,O200=""),"",(D200-O200)/D200))</f>
        <v>0</v>
      </c>
      <c r="Q200" s="33">
        <f>IF(A200="","",IF(OR(E200="",E200=0,O200=""),"",(E200-O200)/E200))</f>
        <v>0</v>
      </c>
      <c r="R200" s="33">
        <f>IF(A200="","",IF(OR(P200="",Q200=""),"",Q200-P200))</f>
        <v>0</v>
      </c>
      <c r="S200" s="33">
        <f>IF(A200="","",IF(OR(I200="",I200=0,J200=""),"",J200/I200-1))</f>
        <v>0</v>
      </c>
      <c r="T200" s="33">
        <f>IF(A200="","",IF(OR(S200="",N200=""),"",(1+N200)*(1+S200)-1))</f>
        <v>0</v>
      </c>
      <c r="U200" s="32">
        <f>IF(B200="","",COUNTIFS($B$5:B200,B200))</f>
        <v>0</v>
      </c>
      <c r="V200" s="32">
        <f>IF(A200="","",TodayDate-A200)</f>
        <v>0</v>
      </c>
      <c r="W200" s="43">
        <f>IF(A200="","",IF(M200="","Add - old and new price",IF(Q200&lt;0,"Loss - priced below cost",IF(T200="","Watch - no volume data yet",IF(T200&gt;0.02,"Worked - revenue up",IF(T200&lt;-0.02,"Hurt - revenue down","Neutral - no real change"))))))</f>
        <v>0</v>
      </c>
    </row>
    <row r="201" spans="3:23">
      <c r="C201" s="13">
        <f>IF(B201="","",IFERROR(INDEX(Products!$B$5:$B$304,MATCH(B201,Products!$A$5:$A$304,0)),"Not found"))</f>
        <v>0</v>
      </c>
      <c r="L201" s="13">
        <f>IF(A201="","",TEXT(A201,"yyyy-mm"))</f>
        <v>0</v>
      </c>
      <c r="M201" s="20">
        <f>IF(A201="","",IF(OR(D201="",E201=""),"",ROUND(E201-D201,2)))</f>
        <v>0</v>
      </c>
      <c r="N201" s="33">
        <f>IF(A201="","",IF(OR(D201="",D201=0,E201=""),"",E201/D201-1))</f>
        <v>0</v>
      </c>
      <c r="O201" s="20">
        <f>IF(A201="","",IF(F201&lt;&gt;"",F201,IFERROR(INDEX(Products!$AT$5:$AT$304,MATCH(B201,Products!$A$5:$A$304,0)),"")))</f>
        <v>0</v>
      </c>
      <c r="P201" s="33">
        <f>IF(A201="","",IF(OR(D201="",D201=0,O201=""),"",(D201-O201)/D201))</f>
        <v>0</v>
      </c>
      <c r="Q201" s="33">
        <f>IF(A201="","",IF(OR(E201="",E201=0,O201=""),"",(E201-O201)/E201))</f>
        <v>0</v>
      </c>
      <c r="R201" s="33">
        <f>IF(A201="","",IF(OR(P201="",Q201=""),"",Q201-P201))</f>
        <v>0</v>
      </c>
      <c r="S201" s="33">
        <f>IF(A201="","",IF(OR(I201="",I201=0,J201=""),"",J201/I201-1))</f>
        <v>0</v>
      </c>
      <c r="T201" s="33">
        <f>IF(A201="","",IF(OR(S201="",N201=""),"",(1+N201)*(1+S201)-1))</f>
        <v>0</v>
      </c>
      <c r="U201" s="32">
        <f>IF(B201="","",COUNTIFS($B$5:B201,B201))</f>
        <v>0</v>
      </c>
      <c r="V201" s="32">
        <f>IF(A201="","",TodayDate-A201)</f>
        <v>0</v>
      </c>
      <c r="W201" s="43">
        <f>IF(A201="","",IF(M201="","Add - old and new price",IF(Q201&lt;0,"Loss - priced below cost",IF(T201="","Watch - no volume data yet",IF(T201&gt;0.02,"Worked - revenue up",IF(T201&lt;-0.02,"Hurt - revenue down","Neutral - no real change"))))))</f>
        <v>0</v>
      </c>
    </row>
    <row r="202" spans="3:23">
      <c r="C202" s="13">
        <f>IF(B202="","",IFERROR(INDEX(Products!$B$5:$B$304,MATCH(B202,Products!$A$5:$A$304,0)),"Not found"))</f>
        <v>0</v>
      </c>
      <c r="L202" s="13">
        <f>IF(A202="","",TEXT(A202,"yyyy-mm"))</f>
        <v>0</v>
      </c>
      <c r="M202" s="20">
        <f>IF(A202="","",IF(OR(D202="",E202=""),"",ROUND(E202-D202,2)))</f>
        <v>0</v>
      </c>
      <c r="N202" s="33">
        <f>IF(A202="","",IF(OR(D202="",D202=0,E202=""),"",E202/D202-1))</f>
        <v>0</v>
      </c>
      <c r="O202" s="20">
        <f>IF(A202="","",IF(F202&lt;&gt;"",F202,IFERROR(INDEX(Products!$AT$5:$AT$304,MATCH(B202,Products!$A$5:$A$304,0)),"")))</f>
        <v>0</v>
      </c>
      <c r="P202" s="33">
        <f>IF(A202="","",IF(OR(D202="",D202=0,O202=""),"",(D202-O202)/D202))</f>
        <v>0</v>
      </c>
      <c r="Q202" s="33">
        <f>IF(A202="","",IF(OR(E202="",E202=0,O202=""),"",(E202-O202)/E202))</f>
        <v>0</v>
      </c>
      <c r="R202" s="33">
        <f>IF(A202="","",IF(OR(P202="",Q202=""),"",Q202-P202))</f>
        <v>0</v>
      </c>
      <c r="S202" s="33">
        <f>IF(A202="","",IF(OR(I202="",I202=0,J202=""),"",J202/I202-1))</f>
        <v>0</v>
      </c>
      <c r="T202" s="33">
        <f>IF(A202="","",IF(OR(S202="",N202=""),"",(1+N202)*(1+S202)-1))</f>
        <v>0</v>
      </c>
      <c r="U202" s="32">
        <f>IF(B202="","",COUNTIFS($B$5:B202,B202))</f>
        <v>0</v>
      </c>
      <c r="V202" s="32">
        <f>IF(A202="","",TodayDate-A202)</f>
        <v>0</v>
      </c>
      <c r="W202" s="43">
        <f>IF(A202="","",IF(M202="","Add - old and new price",IF(Q202&lt;0,"Loss - priced below cost",IF(T202="","Watch - no volume data yet",IF(T202&gt;0.02,"Worked - revenue up",IF(T202&lt;-0.02,"Hurt - revenue down","Neutral - no real change"))))))</f>
        <v>0</v>
      </c>
    </row>
    <row r="203" spans="3:23">
      <c r="C203" s="13">
        <f>IF(B203="","",IFERROR(INDEX(Products!$B$5:$B$304,MATCH(B203,Products!$A$5:$A$304,0)),"Not found"))</f>
        <v>0</v>
      </c>
      <c r="L203" s="13">
        <f>IF(A203="","",TEXT(A203,"yyyy-mm"))</f>
        <v>0</v>
      </c>
      <c r="M203" s="20">
        <f>IF(A203="","",IF(OR(D203="",E203=""),"",ROUND(E203-D203,2)))</f>
        <v>0</v>
      </c>
      <c r="N203" s="33">
        <f>IF(A203="","",IF(OR(D203="",D203=0,E203=""),"",E203/D203-1))</f>
        <v>0</v>
      </c>
      <c r="O203" s="20">
        <f>IF(A203="","",IF(F203&lt;&gt;"",F203,IFERROR(INDEX(Products!$AT$5:$AT$304,MATCH(B203,Products!$A$5:$A$304,0)),"")))</f>
        <v>0</v>
      </c>
      <c r="P203" s="33">
        <f>IF(A203="","",IF(OR(D203="",D203=0,O203=""),"",(D203-O203)/D203))</f>
        <v>0</v>
      </c>
      <c r="Q203" s="33">
        <f>IF(A203="","",IF(OR(E203="",E203=0,O203=""),"",(E203-O203)/E203))</f>
        <v>0</v>
      </c>
      <c r="R203" s="33">
        <f>IF(A203="","",IF(OR(P203="",Q203=""),"",Q203-P203))</f>
        <v>0</v>
      </c>
      <c r="S203" s="33">
        <f>IF(A203="","",IF(OR(I203="",I203=0,J203=""),"",J203/I203-1))</f>
        <v>0</v>
      </c>
      <c r="T203" s="33">
        <f>IF(A203="","",IF(OR(S203="",N203=""),"",(1+N203)*(1+S203)-1))</f>
        <v>0</v>
      </c>
      <c r="U203" s="32">
        <f>IF(B203="","",COUNTIFS($B$5:B203,B203))</f>
        <v>0</v>
      </c>
      <c r="V203" s="32">
        <f>IF(A203="","",TodayDate-A203)</f>
        <v>0</v>
      </c>
      <c r="W203" s="43">
        <f>IF(A203="","",IF(M203="","Add - old and new price",IF(Q203&lt;0,"Loss - priced below cost",IF(T203="","Watch - no volume data yet",IF(T203&gt;0.02,"Worked - revenue up",IF(T203&lt;-0.02,"Hurt - revenue down","Neutral - no real change"))))))</f>
        <v>0</v>
      </c>
    </row>
    <row r="204" spans="3:23">
      <c r="C204" s="13">
        <f>IF(B204="","",IFERROR(INDEX(Products!$B$5:$B$304,MATCH(B204,Products!$A$5:$A$304,0)),"Not found"))</f>
        <v>0</v>
      </c>
      <c r="L204" s="13">
        <f>IF(A204="","",TEXT(A204,"yyyy-mm"))</f>
        <v>0</v>
      </c>
      <c r="M204" s="20">
        <f>IF(A204="","",IF(OR(D204="",E204=""),"",ROUND(E204-D204,2)))</f>
        <v>0</v>
      </c>
      <c r="N204" s="33">
        <f>IF(A204="","",IF(OR(D204="",D204=0,E204=""),"",E204/D204-1))</f>
        <v>0</v>
      </c>
      <c r="O204" s="20">
        <f>IF(A204="","",IF(F204&lt;&gt;"",F204,IFERROR(INDEX(Products!$AT$5:$AT$304,MATCH(B204,Products!$A$5:$A$304,0)),"")))</f>
        <v>0</v>
      </c>
      <c r="P204" s="33">
        <f>IF(A204="","",IF(OR(D204="",D204=0,O204=""),"",(D204-O204)/D204))</f>
        <v>0</v>
      </c>
      <c r="Q204" s="33">
        <f>IF(A204="","",IF(OR(E204="",E204=0,O204=""),"",(E204-O204)/E204))</f>
        <v>0</v>
      </c>
      <c r="R204" s="33">
        <f>IF(A204="","",IF(OR(P204="",Q204=""),"",Q204-P204))</f>
        <v>0</v>
      </c>
      <c r="S204" s="33">
        <f>IF(A204="","",IF(OR(I204="",I204=0,J204=""),"",J204/I204-1))</f>
        <v>0</v>
      </c>
      <c r="T204" s="33">
        <f>IF(A204="","",IF(OR(S204="",N204=""),"",(1+N204)*(1+S204)-1))</f>
        <v>0</v>
      </c>
      <c r="U204" s="32">
        <f>IF(B204="","",COUNTIFS($B$5:B204,B204))</f>
        <v>0</v>
      </c>
      <c r="V204" s="32">
        <f>IF(A204="","",TodayDate-A204)</f>
        <v>0</v>
      </c>
      <c r="W204" s="43">
        <f>IF(A204="","",IF(M204="","Add - old and new price",IF(Q204&lt;0,"Loss - priced below cost",IF(T204="","Watch - no volume data yet",IF(T204&gt;0.02,"Worked - revenue up",IF(T204&lt;-0.02,"Hurt - revenue down","Neutral - no real change"))))))</f>
        <v>0</v>
      </c>
    </row>
    <row r="205" spans="3:23">
      <c r="C205" s="13">
        <f>IF(B205="","",IFERROR(INDEX(Products!$B$5:$B$304,MATCH(B205,Products!$A$5:$A$304,0)),"Not found"))</f>
        <v>0</v>
      </c>
      <c r="L205" s="13">
        <f>IF(A205="","",TEXT(A205,"yyyy-mm"))</f>
        <v>0</v>
      </c>
      <c r="M205" s="20">
        <f>IF(A205="","",IF(OR(D205="",E205=""),"",ROUND(E205-D205,2)))</f>
        <v>0</v>
      </c>
      <c r="N205" s="33">
        <f>IF(A205="","",IF(OR(D205="",D205=0,E205=""),"",E205/D205-1))</f>
        <v>0</v>
      </c>
      <c r="O205" s="20">
        <f>IF(A205="","",IF(F205&lt;&gt;"",F205,IFERROR(INDEX(Products!$AT$5:$AT$304,MATCH(B205,Products!$A$5:$A$304,0)),"")))</f>
        <v>0</v>
      </c>
      <c r="P205" s="33">
        <f>IF(A205="","",IF(OR(D205="",D205=0,O205=""),"",(D205-O205)/D205))</f>
        <v>0</v>
      </c>
      <c r="Q205" s="33">
        <f>IF(A205="","",IF(OR(E205="",E205=0,O205=""),"",(E205-O205)/E205))</f>
        <v>0</v>
      </c>
      <c r="R205" s="33">
        <f>IF(A205="","",IF(OR(P205="",Q205=""),"",Q205-P205))</f>
        <v>0</v>
      </c>
      <c r="S205" s="33">
        <f>IF(A205="","",IF(OR(I205="",I205=0,J205=""),"",J205/I205-1))</f>
        <v>0</v>
      </c>
      <c r="T205" s="33">
        <f>IF(A205="","",IF(OR(S205="",N205=""),"",(1+N205)*(1+S205)-1))</f>
        <v>0</v>
      </c>
      <c r="U205" s="32">
        <f>IF(B205="","",COUNTIFS($B$5:B205,B205))</f>
        <v>0</v>
      </c>
      <c r="V205" s="32">
        <f>IF(A205="","",TodayDate-A205)</f>
        <v>0</v>
      </c>
      <c r="W205" s="43">
        <f>IF(A205="","",IF(M205="","Add - old and new price",IF(Q205&lt;0,"Loss - priced below cost",IF(T205="","Watch - no volume data yet",IF(T205&gt;0.02,"Worked - revenue up",IF(T205&lt;-0.02,"Hurt - revenue down","Neutral - no real change"))))))</f>
        <v>0</v>
      </c>
    </row>
    <row r="206" spans="3:23">
      <c r="C206" s="13">
        <f>IF(B206="","",IFERROR(INDEX(Products!$B$5:$B$304,MATCH(B206,Products!$A$5:$A$304,0)),"Not found"))</f>
        <v>0</v>
      </c>
      <c r="L206" s="13">
        <f>IF(A206="","",TEXT(A206,"yyyy-mm"))</f>
        <v>0</v>
      </c>
      <c r="M206" s="20">
        <f>IF(A206="","",IF(OR(D206="",E206=""),"",ROUND(E206-D206,2)))</f>
        <v>0</v>
      </c>
      <c r="N206" s="33">
        <f>IF(A206="","",IF(OR(D206="",D206=0,E206=""),"",E206/D206-1))</f>
        <v>0</v>
      </c>
      <c r="O206" s="20">
        <f>IF(A206="","",IF(F206&lt;&gt;"",F206,IFERROR(INDEX(Products!$AT$5:$AT$304,MATCH(B206,Products!$A$5:$A$304,0)),"")))</f>
        <v>0</v>
      </c>
      <c r="P206" s="33">
        <f>IF(A206="","",IF(OR(D206="",D206=0,O206=""),"",(D206-O206)/D206))</f>
        <v>0</v>
      </c>
      <c r="Q206" s="33">
        <f>IF(A206="","",IF(OR(E206="",E206=0,O206=""),"",(E206-O206)/E206))</f>
        <v>0</v>
      </c>
      <c r="R206" s="33">
        <f>IF(A206="","",IF(OR(P206="",Q206=""),"",Q206-P206))</f>
        <v>0</v>
      </c>
      <c r="S206" s="33">
        <f>IF(A206="","",IF(OR(I206="",I206=0,J206=""),"",J206/I206-1))</f>
        <v>0</v>
      </c>
      <c r="T206" s="33">
        <f>IF(A206="","",IF(OR(S206="",N206=""),"",(1+N206)*(1+S206)-1))</f>
        <v>0</v>
      </c>
      <c r="U206" s="32">
        <f>IF(B206="","",COUNTIFS($B$5:B206,B206))</f>
        <v>0</v>
      </c>
      <c r="V206" s="32">
        <f>IF(A206="","",TodayDate-A206)</f>
        <v>0</v>
      </c>
      <c r="W206" s="43">
        <f>IF(A206="","",IF(M206="","Add - old and new price",IF(Q206&lt;0,"Loss - priced below cost",IF(T206="","Watch - no volume data yet",IF(T206&gt;0.02,"Worked - revenue up",IF(T206&lt;-0.02,"Hurt - revenue down","Neutral - no real change"))))))</f>
        <v>0</v>
      </c>
    </row>
    <row r="207" spans="3:23">
      <c r="C207" s="13">
        <f>IF(B207="","",IFERROR(INDEX(Products!$B$5:$B$304,MATCH(B207,Products!$A$5:$A$304,0)),"Not found"))</f>
        <v>0</v>
      </c>
      <c r="L207" s="13">
        <f>IF(A207="","",TEXT(A207,"yyyy-mm"))</f>
        <v>0</v>
      </c>
      <c r="M207" s="20">
        <f>IF(A207="","",IF(OR(D207="",E207=""),"",ROUND(E207-D207,2)))</f>
        <v>0</v>
      </c>
      <c r="N207" s="33">
        <f>IF(A207="","",IF(OR(D207="",D207=0,E207=""),"",E207/D207-1))</f>
        <v>0</v>
      </c>
      <c r="O207" s="20">
        <f>IF(A207="","",IF(F207&lt;&gt;"",F207,IFERROR(INDEX(Products!$AT$5:$AT$304,MATCH(B207,Products!$A$5:$A$304,0)),"")))</f>
        <v>0</v>
      </c>
      <c r="P207" s="33">
        <f>IF(A207="","",IF(OR(D207="",D207=0,O207=""),"",(D207-O207)/D207))</f>
        <v>0</v>
      </c>
      <c r="Q207" s="33">
        <f>IF(A207="","",IF(OR(E207="",E207=0,O207=""),"",(E207-O207)/E207))</f>
        <v>0</v>
      </c>
      <c r="R207" s="33">
        <f>IF(A207="","",IF(OR(P207="",Q207=""),"",Q207-P207))</f>
        <v>0</v>
      </c>
      <c r="S207" s="33">
        <f>IF(A207="","",IF(OR(I207="",I207=0,J207=""),"",J207/I207-1))</f>
        <v>0</v>
      </c>
      <c r="T207" s="33">
        <f>IF(A207="","",IF(OR(S207="",N207=""),"",(1+N207)*(1+S207)-1))</f>
        <v>0</v>
      </c>
      <c r="U207" s="32">
        <f>IF(B207="","",COUNTIFS($B$5:B207,B207))</f>
        <v>0</v>
      </c>
      <c r="V207" s="32">
        <f>IF(A207="","",TodayDate-A207)</f>
        <v>0</v>
      </c>
      <c r="W207" s="43">
        <f>IF(A207="","",IF(M207="","Add - old and new price",IF(Q207&lt;0,"Loss - priced below cost",IF(T207="","Watch - no volume data yet",IF(T207&gt;0.02,"Worked - revenue up",IF(T207&lt;-0.02,"Hurt - revenue down","Neutral - no real change"))))))</f>
        <v>0</v>
      </c>
    </row>
    <row r="208" spans="3:23">
      <c r="C208" s="13">
        <f>IF(B208="","",IFERROR(INDEX(Products!$B$5:$B$304,MATCH(B208,Products!$A$5:$A$304,0)),"Not found"))</f>
        <v>0</v>
      </c>
      <c r="L208" s="13">
        <f>IF(A208="","",TEXT(A208,"yyyy-mm"))</f>
        <v>0</v>
      </c>
      <c r="M208" s="20">
        <f>IF(A208="","",IF(OR(D208="",E208=""),"",ROUND(E208-D208,2)))</f>
        <v>0</v>
      </c>
      <c r="N208" s="33">
        <f>IF(A208="","",IF(OR(D208="",D208=0,E208=""),"",E208/D208-1))</f>
        <v>0</v>
      </c>
      <c r="O208" s="20">
        <f>IF(A208="","",IF(F208&lt;&gt;"",F208,IFERROR(INDEX(Products!$AT$5:$AT$304,MATCH(B208,Products!$A$5:$A$304,0)),"")))</f>
        <v>0</v>
      </c>
      <c r="P208" s="33">
        <f>IF(A208="","",IF(OR(D208="",D208=0,O208=""),"",(D208-O208)/D208))</f>
        <v>0</v>
      </c>
      <c r="Q208" s="33">
        <f>IF(A208="","",IF(OR(E208="",E208=0,O208=""),"",(E208-O208)/E208))</f>
        <v>0</v>
      </c>
      <c r="R208" s="33">
        <f>IF(A208="","",IF(OR(P208="",Q208=""),"",Q208-P208))</f>
        <v>0</v>
      </c>
      <c r="S208" s="33">
        <f>IF(A208="","",IF(OR(I208="",I208=0,J208=""),"",J208/I208-1))</f>
        <v>0</v>
      </c>
      <c r="T208" s="33">
        <f>IF(A208="","",IF(OR(S208="",N208=""),"",(1+N208)*(1+S208)-1))</f>
        <v>0</v>
      </c>
      <c r="U208" s="32">
        <f>IF(B208="","",COUNTIFS($B$5:B208,B208))</f>
        <v>0</v>
      </c>
      <c r="V208" s="32">
        <f>IF(A208="","",TodayDate-A208)</f>
        <v>0</v>
      </c>
      <c r="W208" s="43">
        <f>IF(A208="","",IF(M208="","Add - old and new price",IF(Q208&lt;0,"Loss - priced below cost",IF(T208="","Watch - no volume data yet",IF(T208&gt;0.02,"Worked - revenue up",IF(T208&lt;-0.02,"Hurt - revenue down","Neutral - no real change"))))))</f>
        <v>0</v>
      </c>
    </row>
    <row r="209" spans="3:23">
      <c r="C209" s="13">
        <f>IF(B209="","",IFERROR(INDEX(Products!$B$5:$B$304,MATCH(B209,Products!$A$5:$A$304,0)),"Not found"))</f>
        <v>0</v>
      </c>
      <c r="L209" s="13">
        <f>IF(A209="","",TEXT(A209,"yyyy-mm"))</f>
        <v>0</v>
      </c>
      <c r="M209" s="20">
        <f>IF(A209="","",IF(OR(D209="",E209=""),"",ROUND(E209-D209,2)))</f>
        <v>0</v>
      </c>
      <c r="N209" s="33">
        <f>IF(A209="","",IF(OR(D209="",D209=0,E209=""),"",E209/D209-1))</f>
        <v>0</v>
      </c>
      <c r="O209" s="20">
        <f>IF(A209="","",IF(F209&lt;&gt;"",F209,IFERROR(INDEX(Products!$AT$5:$AT$304,MATCH(B209,Products!$A$5:$A$304,0)),"")))</f>
        <v>0</v>
      </c>
      <c r="P209" s="33">
        <f>IF(A209="","",IF(OR(D209="",D209=0,O209=""),"",(D209-O209)/D209))</f>
        <v>0</v>
      </c>
      <c r="Q209" s="33">
        <f>IF(A209="","",IF(OR(E209="",E209=0,O209=""),"",(E209-O209)/E209))</f>
        <v>0</v>
      </c>
      <c r="R209" s="33">
        <f>IF(A209="","",IF(OR(P209="",Q209=""),"",Q209-P209))</f>
        <v>0</v>
      </c>
      <c r="S209" s="33">
        <f>IF(A209="","",IF(OR(I209="",I209=0,J209=""),"",J209/I209-1))</f>
        <v>0</v>
      </c>
      <c r="T209" s="33">
        <f>IF(A209="","",IF(OR(S209="",N209=""),"",(1+N209)*(1+S209)-1))</f>
        <v>0</v>
      </c>
      <c r="U209" s="32">
        <f>IF(B209="","",COUNTIFS($B$5:B209,B209))</f>
        <v>0</v>
      </c>
      <c r="V209" s="32">
        <f>IF(A209="","",TodayDate-A209)</f>
        <v>0</v>
      </c>
      <c r="W209" s="43">
        <f>IF(A209="","",IF(M209="","Add - old and new price",IF(Q209&lt;0,"Loss - priced below cost",IF(T209="","Watch - no volume data yet",IF(T209&gt;0.02,"Worked - revenue up",IF(T209&lt;-0.02,"Hurt - revenue down","Neutral - no real change"))))))</f>
        <v>0</v>
      </c>
    </row>
    <row r="210" spans="3:23">
      <c r="C210" s="13">
        <f>IF(B210="","",IFERROR(INDEX(Products!$B$5:$B$304,MATCH(B210,Products!$A$5:$A$304,0)),"Not found"))</f>
        <v>0</v>
      </c>
      <c r="L210" s="13">
        <f>IF(A210="","",TEXT(A210,"yyyy-mm"))</f>
        <v>0</v>
      </c>
      <c r="M210" s="20">
        <f>IF(A210="","",IF(OR(D210="",E210=""),"",ROUND(E210-D210,2)))</f>
        <v>0</v>
      </c>
      <c r="N210" s="33">
        <f>IF(A210="","",IF(OR(D210="",D210=0,E210=""),"",E210/D210-1))</f>
        <v>0</v>
      </c>
      <c r="O210" s="20">
        <f>IF(A210="","",IF(F210&lt;&gt;"",F210,IFERROR(INDEX(Products!$AT$5:$AT$304,MATCH(B210,Products!$A$5:$A$304,0)),"")))</f>
        <v>0</v>
      </c>
      <c r="P210" s="33">
        <f>IF(A210="","",IF(OR(D210="",D210=0,O210=""),"",(D210-O210)/D210))</f>
        <v>0</v>
      </c>
      <c r="Q210" s="33">
        <f>IF(A210="","",IF(OR(E210="",E210=0,O210=""),"",(E210-O210)/E210))</f>
        <v>0</v>
      </c>
      <c r="R210" s="33">
        <f>IF(A210="","",IF(OR(P210="",Q210=""),"",Q210-P210))</f>
        <v>0</v>
      </c>
      <c r="S210" s="33">
        <f>IF(A210="","",IF(OR(I210="",I210=0,J210=""),"",J210/I210-1))</f>
        <v>0</v>
      </c>
      <c r="T210" s="33">
        <f>IF(A210="","",IF(OR(S210="",N210=""),"",(1+N210)*(1+S210)-1))</f>
        <v>0</v>
      </c>
      <c r="U210" s="32">
        <f>IF(B210="","",COUNTIFS($B$5:B210,B210))</f>
        <v>0</v>
      </c>
      <c r="V210" s="32">
        <f>IF(A210="","",TodayDate-A210)</f>
        <v>0</v>
      </c>
      <c r="W210" s="43">
        <f>IF(A210="","",IF(M210="","Add - old and new price",IF(Q210&lt;0,"Loss - priced below cost",IF(T210="","Watch - no volume data yet",IF(T210&gt;0.02,"Worked - revenue up",IF(T210&lt;-0.02,"Hurt - revenue down","Neutral - no real change"))))))</f>
        <v>0</v>
      </c>
    </row>
    <row r="211" spans="3:23">
      <c r="C211" s="13">
        <f>IF(B211="","",IFERROR(INDEX(Products!$B$5:$B$304,MATCH(B211,Products!$A$5:$A$304,0)),"Not found"))</f>
        <v>0</v>
      </c>
      <c r="L211" s="13">
        <f>IF(A211="","",TEXT(A211,"yyyy-mm"))</f>
        <v>0</v>
      </c>
      <c r="M211" s="20">
        <f>IF(A211="","",IF(OR(D211="",E211=""),"",ROUND(E211-D211,2)))</f>
        <v>0</v>
      </c>
      <c r="N211" s="33">
        <f>IF(A211="","",IF(OR(D211="",D211=0,E211=""),"",E211/D211-1))</f>
        <v>0</v>
      </c>
      <c r="O211" s="20">
        <f>IF(A211="","",IF(F211&lt;&gt;"",F211,IFERROR(INDEX(Products!$AT$5:$AT$304,MATCH(B211,Products!$A$5:$A$304,0)),"")))</f>
        <v>0</v>
      </c>
      <c r="P211" s="33">
        <f>IF(A211="","",IF(OR(D211="",D211=0,O211=""),"",(D211-O211)/D211))</f>
        <v>0</v>
      </c>
      <c r="Q211" s="33">
        <f>IF(A211="","",IF(OR(E211="",E211=0,O211=""),"",(E211-O211)/E211))</f>
        <v>0</v>
      </c>
      <c r="R211" s="33">
        <f>IF(A211="","",IF(OR(P211="",Q211=""),"",Q211-P211))</f>
        <v>0</v>
      </c>
      <c r="S211" s="33">
        <f>IF(A211="","",IF(OR(I211="",I211=0,J211=""),"",J211/I211-1))</f>
        <v>0</v>
      </c>
      <c r="T211" s="33">
        <f>IF(A211="","",IF(OR(S211="",N211=""),"",(1+N211)*(1+S211)-1))</f>
        <v>0</v>
      </c>
      <c r="U211" s="32">
        <f>IF(B211="","",COUNTIFS($B$5:B211,B211))</f>
        <v>0</v>
      </c>
      <c r="V211" s="32">
        <f>IF(A211="","",TodayDate-A211)</f>
        <v>0</v>
      </c>
      <c r="W211" s="43">
        <f>IF(A211="","",IF(M211="","Add - old and new price",IF(Q211&lt;0,"Loss - priced below cost",IF(T211="","Watch - no volume data yet",IF(T211&gt;0.02,"Worked - revenue up",IF(T211&lt;-0.02,"Hurt - revenue down","Neutral - no real change"))))))</f>
        <v>0</v>
      </c>
    </row>
    <row r="212" spans="3:23">
      <c r="C212" s="13">
        <f>IF(B212="","",IFERROR(INDEX(Products!$B$5:$B$304,MATCH(B212,Products!$A$5:$A$304,0)),"Not found"))</f>
        <v>0</v>
      </c>
      <c r="L212" s="13">
        <f>IF(A212="","",TEXT(A212,"yyyy-mm"))</f>
        <v>0</v>
      </c>
      <c r="M212" s="20">
        <f>IF(A212="","",IF(OR(D212="",E212=""),"",ROUND(E212-D212,2)))</f>
        <v>0</v>
      </c>
      <c r="N212" s="33">
        <f>IF(A212="","",IF(OR(D212="",D212=0,E212=""),"",E212/D212-1))</f>
        <v>0</v>
      </c>
      <c r="O212" s="20">
        <f>IF(A212="","",IF(F212&lt;&gt;"",F212,IFERROR(INDEX(Products!$AT$5:$AT$304,MATCH(B212,Products!$A$5:$A$304,0)),"")))</f>
        <v>0</v>
      </c>
      <c r="P212" s="33">
        <f>IF(A212="","",IF(OR(D212="",D212=0,O212=""),"",(D212-O212)/D212))</f>
        <v>0</v>
      </c>
      <c r="Q212" s="33">
        <f>IF(A212="","",IF(OR(E212="",E212=0,O212=""),"",(E212-O212)/E212))</f>
        <v>0</v>
      </c>
      <c r="R212" s="33">
        <f>IF(A212="","",IF(OR(P212="",Q212=""),"",Q212-P212))</f>
        <v>0</v>
      </c>
      <c r="S212" s="33">
        <f>IF(A212="","",IF(OR(I212="",I212=0,J212=""),"",J212/I212-1))</f>
        <v>0</v>
      </c>
      <c r="T212" s="33">
        <f>IF(A212="","",IF(OR(S212="",N212=""),"",(1+N212)*(1+S212)-1))</f>
        <v>0</v>
      </c>
      <c r="U212" s="32">
        <f>IF(B212="","",COUNTIFS($B$5:B212,B212))</f>
        <v>0</v>
      </c>
      <c r="V212" s="32">
        <f>IF(A212="","",TodayDate-A212)</f>
        <v>0</v>
      </c>
      <c r="W212" s="43">
        <f>IF(A212="","",IF(M212="","Add - old and new price",IF(Q212&lt;0,"Loss - priced below cost",IF(T212="","Watch - no volume data yet",IF(T212&gt;0.02,"Worked - revenue up",IF(T212&lt;-0.02,"Hurt - revenue down","Neutral - no real change"))))))</f>
        <v>0</v>
      </c>
    </row>
    <row r="213" spans="3:23">
      <c r="C213" s="13">
        <f>IF(B213="","",IFERROR(INDEX(Products!$B$5:$B$304,MATCH(B213,Products!$A$5:$A$304,0)),"Not found"))</f>
        <v>0</v>
      </c>
      <c r="L213" s="13">
        <f>IF(A213="","",TEXT(A213,"yyyy-mm"))</f>
        <v>0</v>
      </c>
      <c r="M213" s="20">
        <f>IF(A213="","",IF(OR(D213="",E213=""),"",ROUND(E213-D213,2)))</f>
        <v>0</v>
      </c>
      <c r="N213" s="33">
        <f>IF(A213="","",IF(OR(D213="",D213=0,E213=""),"",E213/D213-1))</f>
        <v>0</v>
      </c>
      <c r="O213" s="20">
        <f>IF(A213="","",IF(F213&lt;&gt;"",F213,IFERROR(INDEX(Products!$AT$5:$AT$304,MATCH(B213,Products!$A$5:$A$304,0)),"")))</f>
        <v>0</v>
      </c>
      <c r="P213" s="33">
        <f>IF(A213="","",IF(OR(D213="",D213=0,O213=""),"",(D213-O213)/D213))</f>
        <v>0</v>
      </c>
      <c r="Q213" s="33">
        <f>IF(A213="","",IF(OR(E213="",E213=0,O213=""),"",(E213-O213)/E213))</f>
        <v>0</v>
      </c>
      <c r="R213" s="33">
        <f>IF(A213="","",IF(OR(P213="",Q213=""),"",Q213-P213))</f>
        <v>0</v>
      </c>
      <c r="S213" s="33">
        <f>IF(A213="","",IF(OR(I213="",I213=0,J213=""),"",J213/I213-1))</f>
        <v>0</v>
      </c>
      <c r="T213" s="33">
        <f>IF(A213="","",IF(OR(S213="",N213=""),"",(1+N213)*(1+S213)-1))</f>
        <v>0</v>
      </c>
      <c r="U213" s="32">
        <f>IF(B213="","",COUNTIFS($B$5:B213,B213))</f>
        <v>0</v>
      </c>
      <c r="V213" s="32">
        <f>IF(A213="","",TodayDate-A213)</f>
        <v>0</v>
      </c>
      <c r="W213" s="43">
        <f>IF(A213="","",IF(M213="","Add - old and new price",IF(Q213&lt;0,"Loss - priced below cost",IF(T213="","Watch - no volume data yet",IF(T213&gt;0.02,"Worked - revenue up",IF(T213&lt;-0.02,"Hurt - revenue down","Neutral - no real change"))))))</f>
        <v>0</v>
      </c>
    </row>
    <row r="214" spans="3:23">
      <c r="C214" s="13">
        <f>IF(B214="","",IFERROR(INDEX(Products!$B$5:$B$304,MATCH(B214,Products!$A$5:$A$304,0)),"Not found"))</f>
        <v>0</v>
      </c>
      <c r="L214" s="13">
        <f>IF(A214="","",TEXT(A214,"yyyy-mm"))</f>
        <v>0</v>
      </c>
      <c r="M214" s="20">
        <f>IF(A214="","",IF(OR(D214="",E214=""),"",ROUND(E214-D214,2)))</f>
        <v>0</v>
      </c>
      <c r="N214" s="33">
        <f>IF(A214="","",IF(OR(D214="",D214=0,E214=""),"",E214/D214-1))</f>
        <v>0</v>
      </c>
      <c r="O214" s="20">
        <f>IF(A214="","",IF(F214&lt;&gt;"",F214,IFERROR(INDEX(Products!$AT$5:$AT$304,MATCH(B214,Products!$A$5:$A$304,0)),"")))</f>
        <v>0</v>
      </c>
      <c r="P214" s="33">
        <f>IF(A214="","",IF(OR(D214="",D214=0,O214=""),"",(D214-O214)/D214))</f>
        <v>0</v>
      </c>
      <c r="Q214" s="33">
        <f>IF(A214="","",IF(OR(E214="",E214=0,O214=""),"",(E214-O214)/E214))</f>
        <v>0</v>
      </c>
      <c r="R214" s="33">
        <f>IF(A214="","",IF(OR(P214="",Q214=""),"",Q214-P214))</f>
        <v>0</v>
      </c>
      <c r="S214" s="33">
        <f>IF(A214="","",IF(OR(I214="",I214=0,J214=""),"",J214/I214-1))</f>
        <v>0</v>
      </c>
      <c r="T214" s="33">
        <f>IF(A214="","",IF(OR(S214="",N214=""),"",(1+N214)*(1+S214)-1))</f>
        <v>0</v>
      </c>
      <c r="U214" s="32">
        <f>IF(B214="","",COUNTIFS($B$5:B214,B214))</f>
        <v>0</v>
      </c>
      <c r="V214" s="32">
        <f>IF(A214="","",TodayDate-A214)</f>
        <v>0</v>
      </c>
      <c r="W214" s="43">
        <f>IF(A214="","",IF(M214="","Add - old and new price",IF(Q214&lt;0,"Loss - priced below cost",IF(T214="","Watch - no volume data yet",IF(T214&gt;0.02,"Worked - revenue up",IF(T214&lt;-0.02,"Hurt - revenue down","Neutral - no real change"))))))</f>
        <v>0</v>
      </c>
    </row>
    <row r="215" spans="3:23">
      <c r="C215" s="13">
        <f>IF(B215="","",IFERROR(INDEX(Products!$B$5:$B$304,MATCH(B215,Products!$A$5:$A$304,0)),"Not found"))</f>
        <v>0</v>
      </c>
      <c r="L215" s="13">
        <f>IF(A215="","",TEXT(A215,"yyyy-mm"))</f>
        <v>0</v>
      </c>
      <c r="M215" s="20">
        <f>IF(A215="","",IF(OR(D215="",E215=""),"",ROUND(E215-D215,2)))</f>
        <v>0</v>
      </c>
      <c r="N215" s="33">
        <f>IF(A215="","",IF(OR(D215="",D215=0,E215=""),"",E215/D215-1))</f>
        <v>0</v>
      </c>
      <c r="O215" s="20">
        <f>IF(A215="","",IF(F215&lt;&gt;"",F215,IFERROR(INDEX(Products!$AT$5:$AT$304,MATCH(B215,Products!$A$5:$A$304,0)),"")))</f>
        <v>0</v>
      </c>
      <c r="P215" s="33">
        <f>IF(A215="","",IF(OR(D215="",D215=0,O215=""),"",(D215-O215)/D215))</f>
        <v>0</v>
      </c>
      <c r="Q215" s="33">
        <f>IF(A215="","",IF(OR(E215="",E215=0,O215=""),"",(E215-O215)/E215))</f>
        <v>0</v>
      </c>
      <c r="R215" s="33">
        <f>IF(A215="","",IF(OR(P215="",Q215=""),"",Q215-P215))</f>
        <v>0</v>
      </c>
      <c r="S215" s="33">
        <f>IF(A215="","",IF(OR(I215="",I215=0,J215=""),"",J215/I215-1))</f>
        <v>0</v>
      </c>
      <c r="T215" s="33">
        <f>IF(A215="","",IF(OR(S215="",N215=""),"",(1+N215)*(1+S215)-1))</f>
        <v>0</v>
      </c>
      <c r="U215" s="32">
        <f>IF(B215="","",COUNTIFS($B$5:B215,B215))</f>
        <v>0</v>
      </c>
      <c r="V215" s="32">
        <f>IF(A215="","",TodayDate-A215)</f>
        <v>0</v>
      </c>
      <c r="W215" s="43">
        <f>IF(A215="","",IF(M215="","Add - old and new price",IF(Q215&lt;0,"Loss - priced below cost",IF(T215="","Watch - no volume data yet",IF(T215&gt;0.02,"Worked - revenue up",IF(T215&lt;-0.02,"Hurt - revenue down","Neutral - no real change"))))))</f>
        <v>0</v>
      </c>
    </row>
    <row r="216" spans="3:23">
      <c r="C216" s="13">
        <f>IF(B216="","",IFERROR(INDEX(Products!$B$5:$B$304,MATCH(B216,Products!$A$5:$A$304,0)),"Not found"))</f>
        <v>0</v>
      </c>
      <c r="L216" s="13">
        <f>IF(A216="","",TEXT(A216,"yyyy-mm"))</f>
        <v>0</v>
      </c>
      <c r="M216" s="20">
        <f>IF(A216="","",IF(OR(D216="",E216=""),"",ROUND(E216-D216,2)))</f>
        <v>0</v>
      </c>
      <c r="N216" s="33">
        <f>IF(A216="","",IF(OR(D216="",D216=0,E216=""),"",E216/D216-1))</f>
        <v>0</v>
      </c>
      <c r="O216" s="20">
        <f>IF(A216="","",IF(F216&lt;&gt;"",F216,IFERROR(INDEX(Products!$AT$5:$AT$304,MATCH(B216,Products!$A$5:$A$304,0)),"")))</f>
        <v>0</v>
      </c>
      <c r="P216" s="33">
        <f>IF(A216="","",IF(OR(D216="",D216=0,O216=""),"",(D216-O216)/D216))</f>
        <v>0</v>
      </c>
      <c r="Q216" s="33">
        <f>IF(A216="","",IF(OR(E216="",E216=0,O216=""),"",(E216-O216)/E216))</f>
        <v>0</v>
      </c>
      <c r="R216" s="33">
        <f>IF(A216="","",IF(OR(P216="",Q216=""),"",Q216-P216))</f>
        <v>0</v>
      </c>
      <c r="S216" s="33">
        <f>IF(A216="","",IF(OR(I216="",I216=0,J216=""),"",J216/I216-1))</f>
        <v>0</v>
      </c>
      <c r="T216" s="33">
        <f>IF(A216="","",IF(OR(S216="",N216=""),"",(1+N216)*(1+S216)-1))</f>
        <v>0</v>
      </c>
      <c r="U216" s="32">
        <f>IF(B216="","",COUNTIFS($B$5:B216,B216))</f>
        <v>0</v>
      </c>
      <c r="V216" s="32">
        <f>IF(A216="","",TodayDate-A216)</f>
        <v>0</v>
      </c>
      <c r="W216" s="43">
        <f>IF(A216="","",IF(M216="","Add - old and new price",IF(Q216&lt;0,"Loss - priced below cost",IF(T216="","Watch - no volume data yet",IF(T216&gt;0.02,"Worked - revenue up",IF(T216&lt;-0.02,"Hurt - revenue down","Neutral - no real change"))))))</f>
        <v>0</v>
      </c>
    </row>
    <row r="217" spans="3:23">
      <c r="C217" s="13">
        <f>IF(B217="","",IFERROR(INDEX(Products!$B$5:$B$304,MATCH(B217,Products!$A$5:$A$304,0)),"Not found"))</f>
        <v>0</v>
      </c>
      <c r="L217" s="13">
        <f>IF(A217="","",TEXT(A217,"yyyy-mm"))</f>
        <v>0</v>
      </c>
      <c r="M217" s="20">
        <f>IF(A217="","",IF(OR(D217="",E217=""),"",ROUND(E217-D217,2)))</f>
        <v>0</v>
      </c>
      <c r="N217" s="33">
        <f>IF(A217="","",IF(OR(D217="",D217=0,E217=""),"",E217/D217-1))</f>
        <v>0</v>
      </c>
      <c r="O217" s="20">
        <f>IF(A217="","",IF(F217&lt;&gt;"",F217,IFERROR(INDEX(Products!$AT$5:$AT$304,MATCH(B217,Products!$A$5:$A$304,0)),"")))</f>
        <v>0</v>
      </c>
      <c r="P217" s="33">
        <f>IF(A217="","",IF(OR(D217="",D217=0,O217=""),"",(D217-O217)/D217))</f>
        <v>0</v>
      </c>
      <c r="Q217" s="33">
        <f>IF(A217="","",IF(OR(E217="",E217=0,O217=""),"",(E217-O217)/E217))</f>
        <v>0</v>
      </c>
      <c r="R217" s="33">
        <f>IF(A217="","",IF(OR(P217="",Q217=""),"",Q217-P217))</f>
        <v>0</v>
      </c>
      <c r="S217" s="33">
        <f>IF(A217="","",IF(OR(I217="",I217=0,J217=""),"",J217/I217-1))</f>
        <v>0</v>
      </c>
      <c r="T217" s="33">
        <f>IF(A217="","",IF(OR(S217="",N217=""),"",(1+N217)*(1+S217)-1))</f>
        <v>0</v>
      </c>
      <c r="U217" s="32">
        <f>IF(B217="","",COUNTIFS($B$5:B217,B217))</f>
        <v>0</v>
      </c>
      <c r="V217" s="32">
        <f>IF(A217="","",TodayDate-A217)</f>
        <v>0</v>
      </c>
      <c r="W217" s="43">
        <f>IF(A217="","",IF(M217="","Add - old and new price",IF(Q217&lt;0,"Loss - priced below cost",IF(T217="","Watch - no volume data yet",IF(T217&gt;0.02,"Worked - revenue up",IF(T217&lt;-0.02,"Hurt - revenue down","Neutral - no real change"))))))</f>
        <v>0</v>
      </c>
    </row>
    <row r="218" spans="3:23">
      <c r="C218" s="13">
        <f>IF(B218="","",IFERROR(INDEX(Products!$B$5:$B$304,MATCH(B218,Products!$A$5:$A$304,0)),"Not found"))</f>
        <v>0</v>
      </c>
      <c r="L218" s="13">
        <f>IF(A218="","",TEXT(A218,"yyyy-mm"))</f>
        <v>0</v>
      </c>
      <c r="M218" s="20">
        <f>IF(A218="","",IF(OR(D218="",E218=""),"",ROUND(E218-D218,2)))</f>
        <v>0</v>
      </c>
      <c r="N218" s="33">
        <f>IF(A218="","",IF(OR(D218="",D218=0,E218=""),"",E218/D218-1))</f>
        <v>0</v>
      </c>
      <c r="O218" s="20">
        <f>IF(A218="","",IF(F218&lt;&gt;"",F218,IFERROR(INDEX(Products!$AT$5:$AT$304,MATCH(B218,Products!$A$5:$A$304,0)),"")))</f>
        <v>0</v>
      </c>
      <c r="P218" s="33">
        <f>IF(A218="","",IF(OR(D218="",D218=0,O218=""),"",(D218-O218)/D218))</f>
        <v>0</v>
      </c>
      <c r="Q218" s="33">
        <f>IF(A218="","",IF(OR(E218="",E218=0,O218=""),"",(E218-O218)/E218))</f>
        <v>0</v>
      </c>
      <c r="R218" s="33">
        <f>IF(A218="","",IF(OR(P218="",Q218=""),"",Q218-P218))</f>
        <v>0</v>
      </c>
      <c r="S218" s="33">
        <f>IF(A218="","",IF(OR(I218="",I218=0,J218=""),"",J218/I218-1))</f>
        <v>0</v>
      </c>
      <c r="T218" s="33">
        <f>IF(A218="","",IF(OR(S218="",N218=""),"",(1+N218)*(1+S218)-1))</f>
        <v>0</v>
      </c>
      <c r="U218" s="32">
        <f>IF(B218="","",COUNTIFS($B$5:B218,B218))</f>
        <v>0</v>
      </c>
      <c r="V218" s="32">
        <f>IF(A218="","",TodayDate-A218)</f>
        <v>0</v>
      </c>
      <c r="W218" s="43">
        <f>IF(A218="","",IF(M218="","Add - old and new price",IF(Q218&lt;0,"Loss - priced below cost",IF(T218="","Watch - no volume data yet",IF(T218&gt;0.02,"Worked - revenue up",IF(T218&lt;-0.02,"Hurt - revenue down","Neutral - no real change"))))))</f>
        <v>0</v>
      </c>
    </row>
    <row r="219" spans="3:23">
      <c r="C219" s="13">
        <f>IF(B219="","",IFERROR(INDEX(Products!$B$5:$B$304,MATCH(B219,Products!$A$5:$A$304,0)),"Not found"))</f>
        <v>0</v>
      </c>
      <c r="L219" s="13">
        <f>IF(A219="","",TEXT(A219,"yyyy-mm"))</f>
        <v>0</v>
      </c>
      <c r="M219" s="20">
        <f>IF(A219="","",IF(OR(D219="",E219=""),"",ROUND(E219-D219,2)))</f>
        <v>0</v>
      </c>
      <c r="N219" s="33">
        <f>IF(A219="","",IF(OR(D219="",D219=0,E219=""),"",E219/D219-1))</f>
        <v>0</v>
      </c>
      <c r="O219" s="20">
        <f>IF(A219="","",IF(F219&lt;&gt;"",F219,IFERROR(INDEX(Products!$AT$5:$AT$304,MATCH(B219,Products!$A$5:$A$304,0)),"")))</f>
        <v>0</v>
      </c>
      <c r="P219" s="33">
        <f>IF(A219="","",IF(OR(D219="",D219=0,O219=""),"",(D219-O219)/D219))</f>
        <v>0</v>
      </c>
      <c r="Q219" s="33">
        <f>IF(A219="","",IF(OR(E219="",E219=0,O219=""),"",(E219-O219)/E219))</f>
        <v>0</v>
      </c>
      <c r="R219" s="33">
        <f>IF(A219="","",IF(OR(P219="",Q219=""),"",Q219-P219))</f>
        <v>0</v>
      </c>
      <c r="S219" s="33">
        <f>IF(A219="","",IF(OR(I219="",I219=0,J219=""),"",J219/I219-1))</f>
        <v>0</v>
      </c>
      <c r="T219" s="33">
        <f>IF(A219="","",IF(OR(S219="",N219=""),"",(1+N219)*(1+S219)-1))</f>
        <v>0</v>
      </c>
      <c r="U219" s="32">
        <f>IF(B219="","",COUNTIFS($B$5:B219,B219))</f>
        <v>0</v>
      </c>
      <c r="V219" s="32">
        <f>IF(A219="","",TodayDate-A219)</f>
        <v>0</v>
      </c>
      <c r="W219" s="43">
        <f>IF(A219="","",IF(M219="","Add - old and new price",IF(Q219&lt;0,"Loss - priced below cost",IF(T219="","Watch - no volume data yet",IF(T219&gt;0.02,"Worked - revenue up",IF(T219&lt;-0.02,"Hurt - revenue down","Neutral - no real change"))))))</f>
        <v>0</v>
      </c>
    </row>
    <row r="220" spans="3:23">
      <c r="C220" s="13">
        <f>IF(B220="","",IFERROR(INDEX(Products!$B$5:$B$304,MATCH(B220,Products!$A$5:$A$304,0)),"Not found"))</f>
        <v>0</v>
      </c>
      <c r="L220" s="13">
        <f>IF(A220="","",TEXT(A220,"yyyy-mm"))</f>
        <v>0</v>
      </c>
      <c r="M220" s="20">
        <f>IF(A220="","",IF(OR(D220="",E220=""),"",ROUND(E220-D220,2)))</f>
        <v>0</v>
      </c>
      <c r="N220" s="33">
        <f>IF(A220="","",IF(OR(D220="",D220=0,E220=""),"",E220/D220-1))</f>
        <v>0</v>
      </c>
      <c r="O220" s="20">
        <f>IF(A220="","",IF(F220&lt;&gt;"",F220,IFERROR(INDEX(Products!$AT$5:$AT$304,MATCH(B220,Products!$A$5:$A$304,0)),"")))</f>
        <v>0</v>
      </c>
      <c r="P220" s="33">
        <f>IF(A220="","",IF(OR(D220="",D220=0,O220=""),"",(D220-O220)/D220))</f>
        <v>0</v>
      </c>
      <c r="Q220" s="33">
        <f>IF(A220="","",IF(OR(E220="",E220=0,O220=""),"",(E220-O220)/E220))</f>
        <v>0</v>
      </c>
      <c r="R220" s="33">
        <f>IF(A220="","",IF(OR(P220="",Q220=""),"",Q220-P220))</f>
        <v>0</v>
      </c>
      <c r="S220" s="33">
        <f>IF(A220="","",IF(OR(I220="",I220=0,J220=""),"",J220/I220-1))</f>
        <v>0</v>
      </c>
      <c r="T220" s="33">
        <f>IF(A220="","",IF(OR(S220="",N220=""),"",(1+N220)*(1+S220)-1))</f>
        <v>0</v>
      </c>
      <c r="U220" s="32">
        <f>IF(B220="","",COUNTIFS($B$5:B220,B220))</f>
        <v>0</v>
      </c>
      <c r="V220" s="32">
        <f>IF(A220="","",TodayDate-A220)</f>
        <v>0</v>
      </c>
      <c r="W220" s="43">
        <f>IF(A220="","",IF(M220="","Add - old and new price",IF(Q220&lt;0,"Loss - priced below cost",IF(T220="","Watch - no volume data yet",IF(T220&gt;0.02,"Worked - revenue up",IF(T220&lt;-0.02,"Hurt - revenue down","Neutral - no real change"))))))</f>
        <v>0</v>
      </c>
    </row>
    <row r="221" spans="3:23">
      <c r="C221" s="13">
        <f>IF(B221="","",IFERROR(INDEX(Products!$B$5:$B$304,MATCH(B221,Products!$A$5:$A$304,0)),"Not found"))</f>
        <v>0</v>
      </c>
      <c r="L221" s="13">
        <f>IF(A221="","",TEXT(A221,"yyyy-mm"))</f>
        <v>0</v>
      </c>
      <c r="M221" s="20">
        <f>IF(A221="","",IF(OR(D221="",E221=""),"",ROUND(E221-D221,2)))</f>
        <v>0</v>
      </c>
      <c r="N221" s="33">
        <f>IF(A221="","",IF(OR(D221="",D221=0,E221=""),"",E221/D221-1))</f>
        <v>0</v>
      </c>
      <c r="O221" s="20">
        <f>IF(A221="","",IF(F221&lt;&gt;"",F221,IFERROR(INDEX(Products!$AT$5:$AT$304,MATCH(B221,Products!$A$5:$A$304,0)),"")))</f>
        <v>0</v>
      </c>
      <c r="P221" s="33">
        <f>IF(A221="","",IF(OR(D221="",D221=0,O221=""),"",(D221-O221)/D221))</f>
        <v>0</v>
      </c>
      <c r="Q221" s="33">
        <f>IF(A221="","",IF(OR(E221="",E221=0,O221=""),"",(E221-O221)/E221))</f>
        <v>0</v>
      </c>
      <c r="R221" s="33">
        <f>IF(A221="","",IF(OR(P221="",Q221=""),"",Q221-P221))</f>
        <v>0</v>
      </c>
      <c r="S221" s="33">
        <f>IF(A221="","",IF(OR(I221="",I221=0,J221=""),"",J221/I221-1))</f>
        <v>0</v>
      </c>
      <c r="T221" s="33">
        <f>IF(A221="","",IF(OR(S221="",N221=""),"",(1+N221)*(1+S221)-1))</f>
        <v>0</v>
      </c>
      <c r="U221" s="32">
        <f>IF(B221="","",COUNTIFS($B$5:B221,B221))</f>
        <v>0</v>
      </c>
      <c r="V221" s="32">
        <f>IF(A221="","",TodayDate-A221)</f>
        <v>0</v>
      </c>
      <c r="W221" s="43">
        <f>IF(A221="","",IF(M221="","Add - old and new price",IF(Q221&lt;0,"Loss - priced below cost",IF(T221="","Watch - no volume data yet",IF(T221&gt;0.02,"Worked - revenue up",IF(T221&lt;-0.02,"Hurt - revenue down","Neutral - no real change"))))))</f>
        <v>0</v>
      </c>
    </row>
    <row r="222" spans="3:23">
      <c r="C222" s="13">
        <f>IF(B222="","",IFERROR(INDEX(Products!$B$5:$B$304,MATCH(B222,Products!$A$5:$A$304,0)),"Not found"))</f>
        <v>0</v>
      </c>
      <c r="L222" s="13">
        <f>IF(A222="","",TEXT(A222,"yyyy-mm"))</f>
        <v>0</v>
      </c>
      <c r="M222" s="20">
        <f>IF(A222="","",IF(OR(D222="",E222=""),"",ROUND(E222-D222,2)))</f>
        <v>0</v>
      </c>
      <c r="N222" s="33">
        <f>IF(A222="","",IF(OR(D222="",D222=0,E222=""),"",E222/D222-1))</f>
        <v>0</v>
      </c>
      <c r="O222" s="20">
        <f>IF(A222="","",IF(F222&lt;&gt;"",F222,IFERROR(INDEX(Products!$AT$5:$AT$304,MATCH(B222,Products!$A$5:$A$304,0)),"")))</f>
        <v>0</v>
      </c>
      <c r="P222" s="33">
        <f>IF(A222="","",IF(OR(D222="",D222=0,O222=""),"",(D222-O222)/D222))</f>
        <v>0</v>
      </c>
      <c r="Q222" s="33">
        <f>IF(A222="","",IF(OR(E222="",E222=0,O222=""),"",(E222-O222)/E222))</f>
        <v>0</v>
      </c>
      <c r="R222" s="33">
        <f>IF(A222="","",IF(OR(P222="",Q222=""),"",Q222-P222))</f>
        <v>0</v>
      </c>
      <c r="S222" s="33">
        <f>IF(A222="","",IF(OR(I222="",I222=0,J222=""),"",J222/I222-1))</f>
        <v>0</v>
      </c>
      <c r="T222" s="33">
        <f>IF(A222="","",IF(OR(S222="",N222=""),"",(1+N222)*(1+S222)-1))</f>
        <v>0</v>
      </c>
      <c r="U222" s="32">
        <f>IF(B222="","",COUNTIFS($B$5:B222,B222))</f>
        <v>0</v>
      </c>
      <c r="V222" s="32">
        <f>IF(A222="","",TodayDate-A222)</f>
        <v>0</v>
      </c>
      <c r="W222" s="43">
        <f>IF(A222="","",IF(M222="","Add - old and new price",IF(Q222&lt;0,"Loss - priced below cost",IF(T222="","Watch - no volume data yet",IF(T222&gt;0.02,"Worked - revenue up",IF(T222&lt;-0.02,"Hurt - revenue down","Neutral - no real change"))))))</f>
        <v>0</v>
      </c>
    </row>
    <row r="223" spans="3:23">
      <c r="C223" s="13">
        <f>IF(B223="","",IFERROR(INDEX(Products!$B$5:$B$304,MATCH(B223,Products!$A$5:$A$304,0)),"Not found"))</f>
        <v>0</v>
      </c>
      <c r="L223" s="13">
        <f>IF(A223="","",TEXT(A223,"yyyy-mm"))</f>
        <v>0</v>
      </c>
      <c r="M223" s="20">
        <f>IF(A223="","",IF(OR(D223="",E223=""),"",ROUND(E223-D223,2)))</f>
        <v>0</v>
      </c>
      <c r="N223" s="33">
        <f>IF(A223="","",IF(OR(D223="",D223=0,E223=""),"",E223/D223-1))</f>
        <v>0</v>
      </c>
      <c r="O223" s="20">
        <f>IF(A223="","",IF(F223&lt;&gt;"",F223,IFERROR(INDEX(Products!$AT$5:$AT$304,MATCH(B223,Products!$A$5:$A$304,0)),"")))</f>
        <v>0</v>
      </c>
      <c r="P223" s="33">
        <f>IF(A223="","",IF(OR(D223="",D223=0,O223=""),"",(D223-O223)/D223))</f>
        <v>0</v>
      </c>
      <c r="Q223" s="33">
        <f>IF(A223="","",IF(OR(E223="",E223=0,O223=""),"",(E223-O223)/E223))</f>
        <v>0</v>
      </c>
      <c r="R223" s="33">
        <f>IF(A223="","",IF(OR(P223="",Q223=""),"",Q223-P223))</f>
        <v>0</v>
      </c>
      <c r="S223" s="33">
        <f>IF(A223="","",IF(OR(I223="",I223=0,J223=""),"",J223/I223-1))</f>
        <v>0</v>
      </c>
      <c r="T223" s="33">
        <f>IF(A223="","",IF(OR(S223="",N223=""),"",(1+N223)*(1+S223)-1))</f>
        <v>0</v>
      </c>
      <c r="U223" s="32">
        <f>IF(B223="","",COUNTIFS($B$5:B223,B223))</f>
        <v>0</v>
      </c>
      <c r="V223" s="32">
        <f>IF(A223="","",TodayDate-A223)</f>
        <v>0</v>
      </c>
      <c r="W223" s="43">
        <f>IF(A223="","",IF(M223="","Add - old and new price",IF(Q223&lt;0,"Loss - priced below cost",IF(T223="","Watch - no volume data yet",IF(T223&gt;0.02,"Worked - revenue up",IF(T223&lt;-0.02,"Hurt - revenue down","Neutral - no real change"))))))</f>
        <v>0</v>
      </c>
    </row>
    <row r="224" spans="3:23">
      <c r="C224" s="13">
        <f>IF(B224="","",IFERROR(INDEX(Products!$B$5:$B$304,MATCH(B224,Products!$A$5:$A$304,0)),"Not found"))</f>
        <v>0</v>
      </c>
      <c r="L224" s="13">
        <f>IF(A224="","",TEXT(A224,"yyyy-mm"))</f>
        <v>0</v>
      </c>
      <c r="M224" s="20">
        <f>IF(A224="","",IF(OR(D224="",E224=""),"",ROUND(E224-D224,2)))</f>
        <v>0</v>
      </c>
      <c r="N224" s="33">
        <f>IF(A224="","",IF(OR(D224="",D224=0,E224=""),"",E224/D224-1))</f>
        <v>0</v>
      </c>
      <c r="O224" s="20">
        <f>IF(A224="","",IF(F224&lt;&gt;"",F224,IFERROR(INDEX(Products!$AT$5:$AT$304,MATCH(B224,Products!$A$5:$A$304,0)),"")))</f>
        <v>0</v>
      </c>
      <c r="P224" s="33">
        <f>IF(A224="","",IF(OR(D224="",D224=0,O224=""),"",(D224-O224)/D224))</f>
        <v>0</v>
      </c>
      <c r="Q224" s="33">
        <f>IF(A224="","",IF(OR(E224="",E224=0,O224=""),"",(E224-O224)/E224))</f>
        <v>0</v>
      </c>
      <c r="R224" s="33">
        <f>IF(A224="","",IF(OR(P224="",Q224=""),"",Q224-P224))</f>
        <v>0</v>
      </c>
      <c r="S224" s="33">
        <f>IF(A224="","",IF(OR(I224="",I224=0,J224=""),"",J224/I224-1))</f>
        <v>0</v>
      </c>
      <c r="T224" s="33">
        <f>IF(A224="","",IF(OR(S224="",N224=""),"",(1+N224)*(1+S224)-1))</f>
        <v>0</v>
      </c>
      <c r="U224" s="32">
        <f>IF(B224="","",COUNTIFS($B$5:B224,B224))</f>
        <v>0</v>
      </c>
      <c r="V224" s="32">
        <f>IF(A224="","",TodayDate-A224)</f>
        <v>0</v>
      </c>
      <c r="W224" s="43">
        <f>IF(A224="","",IF(M224="","Add - old and new price",IF(Q224&lt;0,"Loss - priced below cost",IF(T224="","Watch - no volume data yet",IF(T224&gt;0.02,"Worked - revenue up",IF(T224&lt;-0.02,"Hurt - revenue down","Neutral - no real change"))))))</f>
        <v>0</v>
      </c>
    </row>
    <row r="225" spans="3:23">
      <c r="C225" s="13">
        <f>IF(B225="","",IFERROR(INDEX(Products!$B$5:$B$304,MATCH(B225,Products!$A$5:$A$304,0)),"Not found"))</f>
        <v>0</v>
      </c>
      <c r="L225" s="13">
        <f>IF(A225="","",TEXT(A225,"yyyy-mm"))</f>
        <v>0</v>
      </c>
      <c r="M225" s="20">
        <f>IF(A225="","",IF(OR(D225="",E225=""),"",ROUND(E225-D225,2)))</f>
        <v>0</v>
      </c>
      <c r="N225" s="33">
        <f>IF(A225="","",IF(OR(D225="",D225=0,E225=""),"",E225/D225-1))</f>
        <v>0</v>
      </c>
      <c r="O225" s="20">
        <f>IF(A225="","",IF(F225&lt;&gt;"",F225,IFERROR(INDEX(Products!$AT$5:$AT$304,MATCH(B225,Products!$A$5:$A$304,0)),"")))</f>
        <v>0</v>
      </c>
      <c r="P225" s="33">
        <f>IF(A225="","",IF(OR(D225="",D225=0,O225=""),"",(D225-O225)/D225))</f>
        <v>0</v>
      </c>
      <c r="Q225" s="33">
        <f>IF(A225="","",IF(OR(E225="",E225=0,O225=""),"",(E225-O225)/E225))</f>
        <v>0</v>
      </c>
      <c r="R225" s="33">
        <f>IF(A225="","",IF(OR(P225="",Q225=""),"",Q225-P225))</f>
        <v>0</v>
      </c>
      <c r="S225" s="33">
        <f>IF(A225="","",IF(OR(I225="",I225=0,J225=""),"",J225/I225-1))</f>
        <v>0</v>
      </c>
      <c r="T225" s="33">
        <f>IF(A225="","",IF(OR(S225="",N225=""),"",(1+N225)*(1+S225)-1))</f>
        <v>0</v>
      </c>
      <c r="U225" s="32">
        <f>IF(B225="","",COUNTIFS($B$5:B225,B225))</f>
        <v>0</v>
      </c>
      <c r="V225" s="32">
        <f>IF(A225="","",TodayDate-A225)</f>
        <v>0</v>
      </c>
      <c r="W225" s="43">
        <f>IF(A225="","",IF(M225="","Add - old and new price",IF(Q225&lt;0,"Loss - priced below cost",IF(T225="","Watch - no volume data yet",IF(T225&gt;0.02,"Worked - revenue up",IF(T225&lt;-0.02,"Hurt - revenue down","Neutral - no real change"))))))</f>
        <v>0</v>
      </c>
    </row>
    <row r="226" spans="3:23">
      <c r="C226" s="13">
        <f>IF(B226="","",IFERROR(INDEX(Products!$B$5:$B$304,MATCH(B226,Products!$A$5:$A$304,0)),"Not found"))</f>
        <v>0</v>
      </c>
      <c r="L226" s="13">
        <f>IF(A226="","",TEXT(A226,"yyyy-mm"))</f>
        <v>0</v>
      </c>
      <c r="M226" s="20">
        <f>IF(A226="","",IF(OR(D226="",E226=""),"",ROUND(E226-D226,2)))</f>
        <v>0</v>
      </c>
      <c r="N226" s="33">
        <f>IF(A226="","",IF(OR(D226="",D226=0,E226=""),"",E226/D226-1))</f>
        <v>0</v>
      </c>
      <c r="O226" s="20">
        <f>IF(A226="","",IF(F226&lt;&gt;"",F226,IFERROR(INDEX(Products!$AT$5:$AT$304,MATCH(B226,Products!$A$5:$A$304,0)),"")))</f>
        <v>0</v>
      </c>
      <c r="P226" s="33">
        <f>IF(A226="","",IF(OR(D226="",D226=0,O226=""),"",(D226-O226)/D226))</f>
        <v>0</v>
      </c>
      <c r="Q226" s="33">
        <f>IF(A226="","",IF(OR(E226="",E226=0,O226=""),"",(E226-O226)/E226))</f>
        <v>0</v>
      </c>
      <c r="R226" s="33">
        <f>IF(A226="","",IF(OR(P226="",Q226=""),"",Q226-P226))</f>
        <v>0</v>
      </c>
      <c r="S226" s="33">
        <f>IF(A226="","",IF(OR(I226="",I226=0,J226=""),"",J226/I226-1))</f>
        <v>0</v>
      </c>
      <c r="T226" s="33">
        <f>IF(A226="","",IF(OR(S226="",N226=""),"",(1+N226)*(1+S226)-1))</f>
        <v>0</v>
      </c>
      <c r="U226" s="32">
        <f>IF(B226="","",COUNTIFS($B$5:B226,B226))</f>
        <v>0</v>
      </c>
      <c r="V226" s="32">
        <f>IF(A226="","",TodayDate-A226)</f>
        <v>0</v>
      </c>
      <c r="W226" s="43">
        <f>IF(A226="","",IF(M226="","Add - old and new price",IF(Q226&lt;0,"Loss - priced below cost",IF(T226="","Watch - no volume data yet",IF(T226&gt;0.02,"Worked - revenue up",IF(T226&lt;-0.02,"Hurt - revenue down","Neutral - no real change"))))))</f>
        <v>0</v>
      </c>
    </row>
    <row r="227" spans="3:23">
      <c r="C227" s="13">
        <f>IF(B227="","",IFERROR(INDEX(Products!$B$5:$B$304,MATCH(B227,Products!$A$5:$A$304,0)),"Not found"))</f>
        <v>0</v>
      </c>
      <c r="L227" s="13">
        <f>IF(A227="","",TEXT(A227,"yyyy-mm"))</f>
        <v>0</v>
      </c>
      <c r="M227" s="20">
        <f>IF(A227="","",IF(OR(D227="",E227=""),"",ROUND(E227-D227,2)))</f>
        <v>0</v>
      </c>
      <c r="N227" s="33">
        <f>IF(A227="","",IF(OR(D227="",D227=0,E227=""),"",E227/D227-1))</f>
        <v>0</v>
      </c>
      <c r="O227" s="20">
        <f>IF(A227="","",IF(F227&lt;&gt;"",F227,IFERROR(INDEX(Products!$AT$5:$AT$304,MATCH(B227,Products!$A$5:$A$304,0)),"")))</f>
        <v>0</v>
      </c>
      <c r="P227" s="33">
        <f>IF(A227="","",IF(OR(D227="",D227=0,O227=""),"",(D227-O227)/D227))</f>
        <v>0</v>
      </c>
      <c r="Q227" s="33">
        <f>IF(A227="","",IF(OR(E227="",E227=0,O227=""),"",(E227-O227)/E227))</f>
        <v>0</v>
      </c>
      <c r="R227" s="33">
        <f>IF(A227="","",IF(OR(P227="",Q227=""),"",Q227-P227))</f>
        <v>0</v>
      </c>
      <c r="S227" s="33">
        <f>IF(A227="","",IF(OR(I227="",I227=0,J227=""),"",J227/I227-1))</f>
        <v>0</v>
      </c>
      <c r="T227" s="33">
        <f>IF(A227="","",IF(OR(S227="",N227=""),"",(1+N227)*(1+S227)-1))</f>
        <v>0</v>
      </c>
      <c r="U227" s="32">
        <f>IF(B227="","",COUNTIFS($B$5:B227,B227))</f>
        <v>0</v>
      </c>
      <c r="V227" s="32">
        <f>IF(A227="","",TodayDate-A227)</f>
        <v>0</v>
      </c>
      <c r="W227" s="43">
        <f>IF(A227="","",IF(M227="","Add - old and new price",IF(Q227&lt;0,"Loss - priced below cost",IF(T227="","Watch - no volume data yet",IF(T227&gt;0.02,"Worked - revenue up",IF(T227&lt;-0.02,"Hurt - revenue down","Neutral - no real change"))))))</f>
        <v>0</v>
      </c>
    </row>
    <row r="228" spans="3:23">
      <c r="C228" s="13">
        <f>IF(B228="","",IFERROR(INDEX(Products!$B$5:$B$304,MATCH(B228,Products!$A$5:$A$304,0)),"Not found"))</f>
        <v>0</v>
      </c>
      <c r="L228" s="13">
        <f>IF(A228="","",TEXT(A228,"yyyy-mm"))</f>
        <v>0</v>
      </c>
      <c r="M228" s="20">
        <f>IF(A228="","",IF(OR(D228="",E228=""),"",ROUND(E228-D228,2)))</f>
        <v>0</v>
      </c>
      <c r="N228" s="33">
        <f>IF(A228="","",IF(OR(D228="",D228=0,E228=""),"",E228/D228-1))</f>
        <v>0</v>
      </c>
      <c r="O228" s="20">
        <f>IF(A228="","",IF(F228&lt;&gt;"",F228,IFERROR(INDEX(Products!$AT$5:$AT$304,MATCH(B228,Products!$A$5:$A$304,0)),"")))</f>
        <v>0</v>
      </c>
      <c r="P228" s="33">
        <f>IF(A228="","",IF(OR(D228="",D228=0,O228=""),"",(D228-O228)/D228))</f>
        <v>0</v>
      </c>
      <c r="Q228" s="33">
        <f>IF(A228="","",IF(OR(E228="",E228=0,O228=""),"",(E228-O228)/E228))</f>
        <v>0</v>
      </c>
      <c r="R228" s="33">
        <f>IF(A228="","",IF(OR(P228="",Q228=""),"",Q228-P228))</f>
        <v>0</v>
      </c>
      <c r="S228" s="33">
        <f>IF(A228="","",IF(OR(I228="",I228=0,J228=""),"",J228/I228-1))</f>
        <v>0</v>
      </c>
      <c r="T228" s="33">
        <f>IF(A228="","",IF(OR(S228="",N228=""),"",(1+N228)*(1+S228)-1))</f>
        <v>0</v>
      </c>
      <c r="U228" s="32">
        <f>IF(B228="","",COUNTIFS($B$5:B228,B228))</f>
        <v>0</v>
      </c>
      <c r="V228" s="32">
        <f>IF(A228="","",TodayDate-A228)</f>
        <v>0</v>
      </c>
      <c r="W228" s="43">
        <f>IF(A228="","",IF(M228="","Add - old and new price",IF(Q228&lt;0,"Loss - priced below cost",IF(T228="","Watch - no volume data yet",IF(T228&gt;0.02,"Worked - revenue up",IF(T228&lt;-0.02,"Hurt - revenue down","Neutral - no real change"))))))</f>
        <v>0</v>
      </c>
    </row>
    <row r="229" spans="3:23">
      <c r="C229" s="13">
        <f>IF(B229="","",IFERROR(INDEX(Products!$B$5:$B$304,MATCH(B229,Products!$A$5:$A$304,0)),"Not found"))</f>
        <v>0</v>
      </c>
      <c r="L229" s="13">
        <f>IF(A229="","",TEXT(A229,"yyyy-mm"))</f>
        <v>0</v>
      </c>
      <c r="M229" s="20">
        <f>IF(A229="","",IF(OR(D229="",E229=""),"",ROUND(E229-D229,2)))</f>
        <v>0</v>
      </c>
      <c r="N229" s="33">
        <f>IF(A229="","",IF(OR(D229="",D229=0,E229=""),"",E229/D229-1))</f>
        <v>0</v>
      </c>
      <c r="O229" s="20">
        <f>IF(A229="","",IF(F229&lt;&gt;"",F229,IFERROR(INDEX(Products!$AT$5:$AT$304,MATCH(B229,Products!$A$5:$A$304,0)),"")))</f>
        <v>0</v>
      </c>
      <c r="P229" s="33">
        <f>IF(A229="","",IF(OR(D229="",D229=0,O229=""),"",(D229-O229)/D229))</f>
        <v>0</v>
      </c>
      <c r="Q229" s="33">
        <f>IF(A229="","",IF(OR(E229="",E229=0,O229=""),"",(E229-O229)/E229))</f>
        <v>0</v>
      </c>
      <c r="R229" s="33">
        <f>IF(A229="","",IF(OR(P229="",Q229=""),"",Q229-P229))</f>
        <v>0</v>
      </c>
      <c r="S229" s="33">
        <f>IF(A229="","",IF(OR(I229="",I229=0,J229=""),"",J229/I229-1))</f>
        <v>0</v>
      </c>
      <c r="T229" s="33">
        <f>IF(A229="","",IF(OR(S229="",N229=""),"",(1+N229)*(1+S229)-1))</f>
        <v>0</v>
      </c>
      <c r="U229" s="32">
        <f>IF(B229="","",COUNTIFS($B$5:B229,B229))</f>
        <v>0</v>
      </c>
      <c r="V229" s="32">
        <f>IF(A229="","",TodayDate-A229)</f>
        <v>0</v>
      </c>
      <c r="W229" s="43">
        <f>IF(A229="","",IF(M229="","Add - old and new price",IF(Q229&lt;0,"Loss - priced below cost",IF(T229="","Watch - no volume data yet",IF(T229&gt;0.02,"Worked - revenue up",IF(T229&lt;-0.02,"Hurt - revenue down","Neutral - no real change"))))))</f>
        <v>0</v>
      </c>
    </row>
    <row r="230" spans="3:23">
      <c r="C230" s="13">
        <f>IF(B230="","",IFERROR(INDEX(Products!$B$5:$B$304,MATCH(B230,Products!$A$5:$A$304,0)),"Not found"))</f>
        <v>0</v>
      </c>
      <c r="L230" s="13">
        <f>IF(A230="","",TEXT(A230,"yyyy-mm"))</f>
        <v>0</v>
      </c>
      <c r="M230" s="20">
        <f>IF(A230="","",IF(OR(D230="",E230=""),"",ROUND(E230-D230,2)))</f>
        <v>0</v>
      </c>
      <c r="N230" s="33">
        <f>IF(A230="","",IF(OR(D230="",D230=0,E230=""),"",E230/D230-1))</f>
        <v>0</v>
      </c>
      <c r="O230" s="20">
        <f>IF(A230="","",IF(F230&lt;&gt;"",F230,IFERROR(INDEX(Products!$AT$5:$AT$304,MATCH(B230,Products!$A$5:$A$304,0)),"")))</f>
        <v>0</v>
      </c>
      <c r="P230" s="33">
        <f>IF(A230="","",IF(OR(D230="",D230=0,O230=""),"",(D230-O230)/D230))</f>
        <v>0</v>
      </c>
      <c r="Q230" s="33">
        <f>IF(A230="","",IF(OR(E230="",E230=0,O230=""),"",(E230-O230)/E230))</f>
        <v>0</v>
      </c>
      <c r="R230" s="33">
        <f>IF(A230="","",IF(OR(P230="",Q230=""),"",Q230-P230))</f>
        <v>0</v>
      </c>
      <c r="S230" s="33">
        <f>IF(A230="","",IF(OR(I230="",I230=0,J230=""),"",J230/I230-1))</f>
        <v>0</v>
      </c>
      <c r="T230" s="33">
        <f>IF(A230="","",IF(OR(S230="",N230=""),"",(1+N230)*(1+S230)-1))</f>
        <v>0</v>
      </c>
      <c r="U230" s="32">
        <f>IF(B230="","",COUNTIFS($B$5:B230,B230))</f>
        <v>0</v>
      </c>
      <c r="V230" s="32">
        <f>IF(A230="","",TodayDate-A230)</f>
        <v>0</v>
      </c>
      <c r="W230" s="43">
        <f>IF(A230="","",IF(M230="","Add - old and new price",IF(Q230&lt;0,"Loss - priced below cost",IF(T230="","Watch - no volume data yet",IF(T230&gt;0.02,"Worked - revenue up",IF(T230&lt;-0.02,"Hurt - revenue down","Neutral - no real change"))))))</f>
        <v>0</v>
      </c>
    </row>
    <row r="231" spans="3:23">
      <c r="C231" s="13">
        <f>IF(B231="","",IFERROR(INDEX(Products!$B$5:$B$304,MATCH(B231,Products!$A$5:$A$304,0)),"Not found"))</f>
        <v>0</v>
      </c>
      <c r="L231" s="13">
        <f>IF(A231="","",TEXT(A231,"yyyy-mm"))</f>
        <v>0</v>
      </c>
      <c r="M231" s="20">
        <f>IF(A231="","",IF(OR(D231="",E231=""),"",ROUND(E231-D231,2)))</f>
        <v>0</v>
      </c>
      <c r="N231" s="33">
        <f>IF(A231="","",IF(OR(D231="",D231=0,E231=""),"",E231/D231-1))</f>
        <v>0</v>
      </c>
      <c r="O231" s="20">
        <f>IF(A231="","",IF(F231&lt;&gt;"",F231,IFERROR(INDEX(Products!$AT$5:$AT$304,MATCH(B231,Products!$A$5:$A$304,0)),"")))</f>
        <v>0</v>
      </c>
      <c r="P231" s="33">
        <f>IF(A231="","",IF(OR(D231="",D231=0,O231=""),"",(D231-O231)/D231))</f>
        <v>0</v>
      </c>
      <c r="Q231" s="33">
        <f>IF(A231="","",IF(OR(E231="",E231=0,O231=""),"",(E231-O231)/E231))</f>
        <v>0</v>
      </c>
      <c r="R231" s="33">
        <f>IF(A231="","",IF(OR(P231="",Q231=""),"",Q231-P231))</f>
        <v>0</v>
      </c>
      <c r="S231" s="33">
        <f>IF(A231="","",IF(OR(I231="",I231=0,J231=""),"",J231/I231-1))</f>
        <v>0</v>
      </c>
      <c r="T231" s="33">
        <f>IF(A231="","",IF(OR(S231="",N231=""),"",(1+N231)*(1+S231)-1))</f>
        <v>0</v>
      </c>
      <c r="U231" s="32">
        <f>IF(B231="","",COUNTIFS($B$5:B231,B231))</f>
        <v>0</v>
      </c>
      <c r="V231" s="32">
        <f>IF(A231="","",TodayDate-A231)</f>
        <v>0</v>
      </c>
      <c r="W231" s="43">
        <f>IF(A231="","",IF(M231="","Add - old and new price",IF(Q231&lt;0,"Loss - priced below cost",IF(T231="","Watch - no volume data yet",IF(T231&gt;0.02,"Worked - revenue up",IF(T231&lt;-0.02,"Hurt - revenue down","Neutral - no real change"))))))</f>
        <v>0</v>
      </c>
    </row>
    <row r="232" spans="3:23">
      <c r="C232" s="13">
        <f>IF(B232="","",IFERROR(INDEX(Products!$B$5:$B$304,MATCH(B232,Products!$A$5:$A$304,0)),"Not found"))</f>
        <v>0</v>
      </c>
      <c r="L232" s="13">
        <f>IF(A232="","",TEXT(A232,"yyyy-mm"))</f>
        <v>0</v>
      </c>
      <c r="M232" s="20">
        <f>IF(A232="","",IF(OR(D232="",E232=""),"",ROUND(E232-D232,2)))</f>
        <v>0</v>
      </c>
      <c r="N232" s="33">
        <f>IF(A232="","",IF(OR(D232="",D232=0,E232=""),"",E232/D232-1))</f>
        <v>0</v>
      </c>
      <c r="O232" s="20">
        <f>IF(A232="","",IF(F232&lt;&gt;"",F232,IFERROR(INDEX(Products!$AT$5:$AT$304,MATCH(B232,Products!$A$5:$A$304,0)),"")))</f>
        <v>0</v>
      </c>
      <c r="P232" s="33">
        <f>IF(A232="","",IF(OR(D232="",D232=0,O232=""),"",(D232-O232)/D232))</f>
        <v>0</v>
      </c>
      <c r="Q232" s="33">
        <f>IF(A232="","",IF(OR(E232="",E232=0,O232=""),"",(E232-O232)/E232))</f>
        <v>0</v>
      </c>
      <c r="R232" s="33">
        <f>IF(A232="","",IF(OR(P232="",Q232=""),"",Q232-P232))</f>
        <v>0</v>
      </c>
      <c r="S232" s="33">
        <f>IF(A232="","",IF(OR(I232="",I232=0,J232=""),"",J232/I232-1))</f>
        <v>0</v>
      </c>
      <c r="T232" s="33">
        <f>IF(A232="","",IF(OR(S232="",N232=""),"",(1+N232)*(1+S232)-1))</f>
        <v>0</v>
      </c>
      <c r="U232" s="32">
        <f>IF(B232="","",COUNTIFS($B$5:B232,B232))</f>
        <v>0</v>
      </c>
      <c r="V232" s="32">
        <f>IF(A232="","",TodayDate-A232)</f>
        <v>0</v>
      </c>
      <c r="W232" s="43">
        <f>IF(A232="","",IF(M232="","Add - old and new price",IF(Q232&lt;0,"Loss - priced below cost",IF(T232="","Watch - no volume data yet",IF(T232&gt;0.02,"Worked - revenue up",IF(T232&lt;-0.02,"Hurt - revenue down","Neutral - no real change"))))))</f>
        <v>0</v>
      </c>
    </row>
    <row r="233" spans="3:23">
      <c r="C233" s="13">
        <f>IF(B233="","",IFERROR(INDEX(Products!$B$5:$B$304,MATCH(B233,Products!$A$5:$A$304,0)),"Not found"))</f>
        <v>0</v>
      </c>
      <c r="L233" s="13">
        <f>IF(A233="","",TEXT(A233,"yyyy-mm"))</f>
        <v>0</v>
      </c>
      <c r="M233" s="20">
        <f>IF(A233="","",IF(OR(D233="",E233=""),"",ROUND(E233-D233,2)))</f>
        <v>0</v>
      </c>
      <c r="N233" s="33">
        <f>IF(A233="","",IF(OR(D233="",D233=0,E233=""),"",E233/D233-1))</f>
        <v>0</v>
      </c>
      <c r="O233" s="20">
        <f>IF(A233="","",IF(F233&lt;&gt;"",F233,IFERROR(INDEX(Products!$AT$5:$AT$304,MATCH(B233,Products!$A$5:$A$304,0)),"")))</f>
        <v>0</v>
      </c>
      <c r="P233" s="33">
        <f>IF(A233="","",IF(OR(D233="",D233=0,O233=""),"",(D233-O233)/D233))</f>
        <v>0</v>
      </c>
      <c r="Q233" s="33">
        <f>IF(A233="","",IF(OR(E233="",E233=0,O233=""),"",(E233-O233)/E233))</f>
        <v>0</v>
      </c>
      <c r="R233" s="33">
        <f>IF(A233="","",IF(OR(P233="",Q233=""),"",Q233-P233))</f>
        <v>0</v>
      </c>
      <c r="S233" s="33">
        <f>IF(A233="","",IF(OR(I233="",I233=0,J233=""),"",J233/I233-1))</f>
        <v>0</v>
      </c>
      <c r="T233" s="33">
        <f>IF(A233="","",IF(OR(S233="",N233=""),"",(1+N233)*(1+S233)-1))</f>
        <v>0</v>
      </c>
      <c r="U233" s="32">
        <f>IF(B233="","",COUNTIFS($B$5:B233,B233))</f>
        <v>0</v>
      </c>
      <c r="V233" s="32">
        <f>IF(A233="","",TodayDate-A233)</f>
        <v>0</v>
      </c>
      <c r="W233" s="43">
        <f>IF(A233="","",IF(M233="","Add - old and new price",IF(Q233&lt;0,"Loss - priced below cost",IF(T233="","Watch - no volume data yet",IF(T233&gt;0.02,"Worked - revenue up",IF(T233&lt;-0.02,"Hurt - revenue down","Neutral - no real change"))))))</f>
        <v>0</v>
      </c>
    </row>
    <row r="234" spans="3:23">
      <c r="C234" s="13">
        <f>IF(B234="","",IFERROR(INDEX(Products!$B$5:$B$304,MATCH(B234,Products!$A$5:$A$304,0)),"Not found"))</f>
        <v>0</v>
      </c>
      <c r="L234" s="13">
        <f>IF(A234="","",TEXT(A234,"yyyy-mm"))</f>
        <v>0</v>
      </c>
      <c r="M234" s="20">
        <f>IF(A234="","",IF(OR(D234="",E234=""),"",ROUND(E234-D234,2)))</f>
        <v>0</v>
      </c>
      <c r="N234" s="33">
        <f>IF(A234="","",IF(OR(D234="",D234=0,E234=""),"",E234/D234-1))</f>
        <v>0</v>
      </c>
      <c r="O234" s="20">
        <f>IF(A234="","",IF(F234&lt;&gt;"",F234,IFERROR(INDEX(Products!$AT$5:$AT$304,MATCH(B234,Products!$A$5:$A$304,0)),"")))</f>
        <v>0</v>
      </c>
      <c r="P234" s="33">
        <f>IF(A234="","",IF(OR(D234="",D234=0,O234=""),"",(D234-O234)/D234))</f>
        <v>0</v>
      </c>
      <c r="Q234" s="33">
        <f>IF(A234="","",IF(OR(E234="",E234=0,O234=""),"",(E234-O234)/E234))</f>
        <v>0</v>
      </c>
      <c r="R234" s="33">
        <f>IF(A234="","",IF(OR(P234="",Q234=""),"",Q234-P234))</f>
        <v>0</v>
      </c>
      <c r="S234" s="33">
        <f>IF(A234="","",IF(OR(I234="",I234=0,J234=""),"",J234/I234-1))</f>
        <v>0</v>
      </c>
      <c r="T234" s="33">
        <f>IF(A234="","",IF(OR(S234="",N234=""),"",(1+N234)*(1+S234)-1))</f>
        <v>0</v>
      </c>
      <c r="U234" s="32">
        <f>IF(B234="","",COUNTIFS($B$5:B234,B234))</f>
        <v>0</v>
      </c>
      <c r="V234" s="32">
        <f>IF(A234="","",TodayDate-A234)</f>
        <v>0</v>
      </c>
      <c r="W234" s="43">
        <f>IF(A234="","",IF(M234="","Add - old and new price",IF(Q234&lt;0,"Loss - priced below cost",IF(T234="","Watch - no volume data yet",IF(T234&gt;0.02,"Worked - revenue up",IF(T234&lt;-0.02,"Hurt - revenue down","Neutral - no real change"))))))</f>
        <v>0</v>
      </c>
    </row>
    <row r="235" spans="3:23">
      <c r="C235" s="13">
        <f>IF(B235="","",IFERROR(INDEX(Products!$B$5:$B$304,MATCH(B235,Products!$A$5:$A$304,0)),"Not found"))</f>
        <v>0</v>
      </c>
      <c r="L235" s="13">
        <f>IF(A235="","",TEXT(A235,"yyyy-mm"))</f>
        <v>0</v>
      </c>
      <c r="M235" s="20">
        <f>IF(A235="","",IF(OR(D235="",E235=""),"",ROUND(E235-D235,2)))</f>
        <v>0</v>
      </c>
      <c r="N235" s="33">
        <f>IF(A235="","",IF(OR(D235="",D235=0,E235=""),"",E235/D235-1))</f>
        <v>0</v>
      </c>
      <c r="O235" s="20">
        <f>IF(A235="","",IF(F235&lt;&gt;"",F235,IFERROR(INDEX(Products!$AT$5:$AT$304,MATCH(B235,Products!$A$5:$A$304,0)),"")))</f>
        <v>0</v>
      </c>
      <c r="P235" s="33">
        <f>IF(A235="","",IF(OR(D235="",D235=0,O235=""),"",(D235-O235)/D235))</f>
        <v>0</v>
      </c>
      <c r="Q235" s="33">
        <f>IF(A235="","",IF(OR(E235="",E235=0,O235=""),"",(E235-O235)/E235))</f>
        <v>0</v>
      </c>
      <c r="R235" s="33">
        <f>IF(A235="","",IF(OR(P235="",Q235=""),"",Q235-P235))</f>
        <v>0</v>
      </c>
      <c r="S235" s="33">
        <f>IF(A235="","",IF(OR(I235="",I235=0,J235=""),"",J235/I235-1))</f>
        <v>0</v>
      </c>
      <c r="T235" s="33">
        <f>IF(A235="","",IF(OR(S235="",N235=""),"",(1+N235)*(1+S235)-1))</f>
        <v>0</v>
      </c>
      <c r="U235" s="32">
        <f>IF(B235="","",COUNTIFS($B$5:B235,B235))</f>
        <v>0</v>
      </c>
      <c r="V235" s="32">
        <f>IF(A235="","",TodayDate-A235)</f>
        <v>0</v>
      </c>
      <c r="W235" s="43">
        <f>IF(A235="","",IF(M235="","Add - old and new price",IF(Q235&lt;0,"Loss - priced below cost",IF(T235="","Watch - no volume data yet",IF(T235&gt;0.02,"Worked - revenue up",IF(T235&lt;-0.02,"Hurt - revenue down","Neutral - no real change"))))))</f>
        <v>0</v>
      </c>
    </row>
    <row r="236" spans="3:23">
      <c r="C236" s="13">
        <f>IF(B236="","",IFERROR(INDEX(Products!$B$5:$B$304,MATCH(B236,Products!$A$5:$A$304,0)),"Not found"))</f>
        <v>0</v>
      </c>
      <c r="L236" s="13">
        <f>IF(A236="","",TEXT(A236,"yyyy-mm"))</f>
        <v>0</v>
      </c>
      <c r="M236" s="20">
        <f>IF(A236="","",IF(OR(D236="",E236=""),"",ROUND(E236-D236,2)))</f>
        <v>0</v>
      </c>
      <c r="N236" s="33">
        <f>IF(A236="","",IF(OR(D236="",D236=0,E236=""),"",E236/D236-1))</f>
        <v>0</v>
      </c>
      <c r="O236" s="20">
        <f>IF(A236="","",IF(F236&lt;&gt;"",F236,IFERROR(INDEX(Products!$AT$5:$AT$304,MATCH(B236,Products!$A$5:$A$304,0)),"")))</f>
        <v>0</v>
      </c>
      <c r="P236" s="33">
        <f>IF(A236="","",IF(OR(D236="",D236=0,O236=""),"",(D236-O236)/D236))</f>
        <v>0</v>
      </c>
      <c r="Q236" s="33">
        <f>IF(A236="","",IF(OR(E236="",E236=0,O236=""),"",(E236-O236)/E236))</f>
        <v>0</v>
      </c>
      <c r="R236" s="33">
        <f>IF(A236="","",IF(OR(P236="",Q236=""),"",Q236-P236))</f>
        <v>0</v>
      </c>
      <c r="S236" s="33">
        <f>IF(A236="","",IF(OR(I236="",I236=0,J236=""),"",J236/I236-1))</f>
        <v>0</v>
      </c>
      <c r="T236" s="33">
        <f>IF(A236="","",IF(OR(S236="",N236=""),"",(1+N236)*(1+S236)-1))</f>
        <v>0</v>
      </c>
      <c r="U236" s="32">
        <f>IF(B236="","",COUNTIFS($B$5:B236,B236))</f>
        <v>0</v>
      </c>
      <c r="V236" s="32">
        <f>IF(A236="","",TodayDate-A236)</f>
        <v>0</v>
      </c>
      <c r="W236" s="43">
        <f>IF(A236="","",IF(M236="","Add - old and new price",IF(Q236&lt;0,"Loss - priced below cost",IF(T236="","Watch - no volume data yet",IF(T236&gt;0.02,"Worked - revenue up",IF(T236&lt;-0.02,"Hurt - revenue down","Neutral - no real change"))))))</f>
        <v>0</v>
      </c>
    </row>
    <row r="237" spans="3:23">
      <c r="C237" s="13">
        <f>IF(B237="","",IFERROR(INDEX(Products!$B$5:$B$304,MATCH(B237,Products!$A$5:$A$304,0)),"Not found"))</f>
        <v>0</v>
      </c>
      <c r="L237" s="13">
        <f>IF(A237="","",TEXT(A237,"yyyy-mm"))</f>
        <v>0</v>
      </c>
      <c r="M237" s="20">
        <f>IF(A237="","",IF(OR(D237="",E237=""),"",ROUND(E237-D237,2)))</f>
        <v>0</v>
      </c>
      <c r="N237" s="33">
        <f>IF(A237="","",IF(OR(D237="",D237=0,E237=""),"",E237/D237-1))</f>
        <v>0</v>
      </c>
      <c r="O237" s="20">
        <f>IF(A237="","",IF(F237&lt;&gt;"",F237,IFERROR(INDEX(Products!$AT$5:$AT$304,MATCH(B237,Products!$A$5:$A$304,0)),"")))</f>
        <v>0</v>
      </c>
      <c r="P237" s="33">
        <f>IF(A237="","",IF(OR(D237="",D237=0,O237=""),"",(D237-O237)/D237))</f>
        <v>0</v>
      </c>
      <c r="Q237" s="33">
        <f>IF(A237="","",IF(OR(E237="",E237=0,O237=""),"",(E237-O237)/E237))</f>
        <v>0</v>
      </c>
      <c r="R237" s="33">
        <f>IF(A237="","",IF(OR(P237="",Q237=""),"",Q237-P237))</f>
        <v>0</v>
      </c>
      <c r="S237" s="33">
        <f>IF(A237="","",IF(OR(I237="",I237=0,J237=""),"",J237/I237-1))</f>
        <v>0</v>
      </c>
      <c r="T237" s="33">
        <f>IF(A237="","",IF(OR(S237="",N237=""),"",(1+N237)*(1+S237)-1))</f>
        <v>0</v>
      </c>
      <c r="U237" s="32">
        <f>IF(B237="","",COUNTIFS($B$5:B237,B237))</f>
        <v>0</v>
      </c>
      <c r="V237" s="32">
        <f>IF(A237="","",TodayDate-A237)</f>
        <v>0</v>
      </c>
      <c r="W237" s="43">
        <f>IF(A237="","",IF(M237="","Add - old and new price",IF(Q237&lt;0,"Loss - priced below cost",IF(T237="","Watch - no volume data yet",IF(T237&gt;0.02,"Worked - revenue up",IF(T237&lt;-0.02,"Hurt - revenue down","Neutral - no real change"))))))</f>
        <v>0</v>
      </c>
    </row>
    <row r="238" spans="3:23">
      <c r="C238" s="13">
        <f>IF(B238="","",IFERROR(INDEX(Products!$B$5:$B$304,MATCH(B238,Products!$A$5:$A$304,0)),"Not found"))</f>
        <v>0</v>
      </c>
      <c r="L238" s="13">
        <f>IF(A238="","",TEXT(A238,"yyyy-mm"))</f>
        <v>0</v>
      </c>
      <c r="M238" s="20">
        <f>IF(A238="","",IF(OR(D238="",E238=""),"",ROUND(E238-D238,2)))</f>
        <v>0</v>
      </c>
      <c r="N238" s="33">
        <f>IF(A238="","",IF(OR(D238="",D238=0,E238=""),"",E238/D238-1))</f>
        <v>0</v>
      </c>
      <c r="O238" s="20">
        <f>IF(A238="","",IF(F238&lt;&gt;"",F238,IFERROR(INDEX(Products!$AT$5:$AT$304,MATCH(B238,Products!$A$5:$A$304,0)),"")))</f>
        <v>0</v>
      </c>
      <c r="P238" s="33">
        <f>IF(A238="","",IF(OR(D238="",D238=0,O238=""),"",(D238-O238)/D238))</f>
        <v>0</v>
      </c>
      <c r="Q238" s="33">
        <f>IF(A238="","",IF(OR(E238="",E238=0,O238=""),"",(E238-O238)/E238))</f>
        <v>0</v>
      </c>
      <c r="R238" s="33">
        <f>IF(A238="","",IF(OR(P238="",Q238=""),"",Q238-P238))</f>
        <v>0</v>
      </c>
      <c r="S238" s="33">
        <f>IF(A238="","",IF(OR(I238="",I238=0,J238=""),"",J238/I238-1))</f>
        <v>0</v>
      </c>
      <c r="T238" s="33">
        <f>IF(A238="","",IF(OR(S238="",N238=""),"",(1+N238)*(1+S238)-1))</f>
        <v>0</v>
      </c>
      <c r="U238" s="32">
        <f>IF(B238="","",COUNTIFS($B$5:B238,B238))</f>
        <v>0</v>
      </c>
      <c r="V238" s="32">
        <f>IF(A238="","",TodayDate-A238)</f>
        <v>0</v>
      </c>
      <c r="W238" s="43">
        <f>IF(A238="","",IF(M238="","Add - old and new price",IF(Q238&lt;0,"Loss - priced below cost",IF(T238="","Watch - no volume data yet",IF(T238&gt;0.02,"Worked - revenue up",IF(T238&lt;-0.02,"Hurt - revenue down","Neutral - no real change"))))))</f>
        <v>0</v>
      </c>
    </row>
    <row r="239" spans="3:23">
      <c r="C239" s="13">
        <f>IF(B239="","",IFERROR(INDEX(Products!$B$5:$B$304,MATCH(B239,Products!$A$5:$A$304,0)),"Not found"))</f>
        <v>0</v>
      </c>
      <c r="L239" s="13">
        <f>IF(A239="","",TEXT(A239,"yyyy-mm"))</f>
        <v>0</v>
      </c>
      <c r="M239" s="20">
        <f>IF(A239="","",IF(OR(D239="",E239=""),"",ROUND(E239-D239,2)))</f>
        <v>0</v>
      </c>
      <c r="N239" s="33">
        <f>IF(A239="","",IF(OR(D239="",D239=0,E239=""),"",E239/D239-1))</f>
        <v>0</v>
      </c>
      <c r="O239" s="20">
        <f>IF(A239="","",IF(F239&lt;&gt;"",F239,IFERROR(INDEX(Products!$AT$5:$AT$304,MATCH(B239,Products!$A$5:$A$304,0)),"")))</f>
        <v>0</v>
      </c>
      <c r="P239" s="33">
        <f>IF(A239="","",IF(OR(D239="",D239=0,O239=""),"",(D239-O239)/D239))</f>
        <v>0</v>
      </c>
      <c r="Q239" s="33">
        <f>IF(A239="","",IF(OR(E239="",E239=0,O239=""),"",(E239-O239)/E239))</f>
        <v>0</v>
      </c>
      <c r="R239" s="33">
        <f>IF(A239="","",IF(OR(P239="",Q239=""),"",Q239-P239))</f>
        <v>0</v>
      </c>
      <c r="S239" s="33">
        <f>IF(A239="","",IF(OR(I239="",I239=0,J239=""),"",J239/I239-1))</f>
        <v>0</v>
      </c>
      <c r="T239" s="33">
        <f>IF(A239="","",IF(OR(S239="",N239=""),"",(1+N239)*(1+S239)-1))</f>
        <v>0</v>
      </c>
      <c r="U239" s="32">
        <f>IF(B239="","",COUNTIFS($B$5:B239,B239))</f>
        <v>0</v>
      </c>
      <c r="V239" s="32">
        <f>IF(A239="","",TodayDate-A239)</f>
        <v>0</v>
      </c>
      <c r="W239" s="43">
        <f>IF(A239="","",IF(M239="","Add - old and new price",IF(Q239&lt;0,"Loss - priced below cost",IF(T239="","Watch - no volume data yet",IF(T239&gt;0.02,"Worked - revenue up",IF(T239&lt;-0.02,"Hurt - revenue down","Neutral - no real change"))))))</f>
        <v>0</v>
      </c>
    </row>
    <row r="240" spans="3:23">
      <c r="C240" s="13">
        <f>IF(B240="","",IFERROR(INDEX(Products!$B$5:$B$304,MATCH(B240,Products!$A$5:$A$304,0)),"Not found"))</f>
        <v>0</v>
      </c>
      <c r="L240" s="13">
        <f>IF(A240="","",TEXT(A240,"yyyy-mm"))</f>
        <v>0</v>
      </c>
      <c r="M240" s="20">
        <f>IF(A240="","",IF(OR(D240="",E240=""),"",ROUND(E240-D240,2)))</f>
        <v>0</v>
      </c>
      <c r="N240" s="33">
        <f>IF(A240="","",IF(OR(D240="",D240=0,E240=""),"",E240/D240-1))</f>
        <v>0</v>
      </c>
      <c r="O240" s="20">
        <f>IF(A240="","",IF(F240&lt;&gt;"",F240,IFERROR(INDEX(Products!$AT$5:$AT$304,MATCH(B240,Products!$A$5:$A$304,0)),"")))</f>
        <v>0</v>
      </c>
      <c r="P240" s="33">
        <f>IF(A240="","",IF(OR(D240="",D240=0,O240=""),"",(D240-O240)/D240))</f>
        <v>0</v>
      </c>
      <c r="Q240" s="33">
        <f>IF(A240="","",IF(OR(E240="",E240=0,O240=""),"",(E240-O240)/E240))</f>
        <v>0</v>
      </c>
      <c r="R240" s="33">
        <f>IF(A240="","",IF(OR(P240="",Q240=""),"",Q240-P240))</f>
        <v>0</v>
      </c>
      <c r="S240" s="33">
        <f>IF(A240="","",IF(OR(I240="",I240=0,J240=""),"",J240/I240-1))</f>
        <v>0</v>
      </c>
      <c r="T240" s="33">
        <f>IF(A240="","",IF(OR(S240="",N240=""),"",(1+N240)*(1+S240)-1))</f>
        <v>0</v>
      </c>
      <c r="U240" s="32">
        <f>IF(B240="","",COUNTIFS($B$5:B240,B240))</f>
        <v>0</v>
      </c>
      <c r="V240" s="32">
        <f>IF(A240="","",TodayDate-A240)</f>
        <v>0</v>
      </c>
      <c r="W240" s="43">
        <f>IF(A240="","",IF(M240="","Add - old and new price",IF(Q240&lt;0,"Loss - priced below cost",IF(T240="","Watch - no volume data yet",IF(T240&gt;0.02,"Worked - revenue up",IF(T240&lt;-0.02,"Hurt - revenue down","Neutral - no real change"))))))</f>
        <v>0</v>
      </c>
    </row>
    <row r="241" spans="3:23">
      <c r="C241" s="13">
        <f>IF(B241="","",IFERROR(INDEX(Products!$B$5:$B$304,MATCH(B241,Products!$A$5:$A$304,0)),"Not found"))</f>
        <v>0</v>
      </c>
      <c r="L241" s="13">
        <f>IF(A241="","",TEXT(A241,"yyyy-mm"))</f>
        <v>0</v>
      </c>
      <c r="M241" s="20">
        <f>IF(A241="","",IF(OR(D241="",E241=""),"",ROUND(E241-D241,2)))</f>
        <v>0</v>
      </c>
      <c r="N241" s="33">
        <f>IF(A241="","",IF(OR(D241="",D241=0,E241=""),"",E241/D241-1))</f>
        <v>0</v>
      </c>
      <c r="O241" s="20">
        <f>IF(A241="","",IF(F241&lt;&gt;"",F241,IFERROR(INDEX(Products!$AT$5:$AT$304,MATCH(B241,Products!$A$5:$A$304,0)),"")))</f>
        <v>0</v>
      </c>
      <c r="P241" s="33">
        <f>IF(A241="","",IF(OR(D241="",D241=0,O241=""),"",(D241-O241)/D241))</f>
        <v>0</v>
      </c>
      <c r="Q241" s="33">
        <f>IF(A241="","",IF(OR(E241="",E241=0,O241=""),"",(E241-O241)/E241))</f>
        <v>0</v>
      </c>
      <c r="R241" s="33">
        <f>IF(A241="","",IF(OR(P241="",Q241=""),"",Q241-P241))</f>
        <v>0</v>
      </c>
      <c r="S241" s="33">
        <f>IF(A241="","",IF(OR(I241="",I241=0,J241=""),"",J241/I241-1))</f>
        <v>0</v>
      </c>
      <c r="T241" s="33">
        <f>IF(A241="","",IF(OR(S241="",N241=""),"",(1+N241)*(1+S241)-1))</f>
        <v>0</v>
      </c>
      <c r="U241" s="32">
        <f>IF(B241="","",COUNTIFS($B$5:B241,B241))</f>
        <v>0</v>
      </c>
      <c r="V241" s="32">
        <f>IF(A241="","",TodayDate-A241)</f>
        <v>0</v>
      </c>
      <c r="W241" s="43">
        <f>IF(A241="","",IF(M241="","Add - old and new price",IF(Q241&lt;0,"Loss - priced below cost",IF(T241="","Watch - no volume data yet",IF(T241&gt;0.02,"Worked - revenue up",IF(T241&lt;-0.02,"Hurt - revenue down","Neutral - no real change"))))))</f>
        <v>0</v>
      </c>
    </row>
    <row r="242" spans="3:23">
      <c r="C242" s="13">
        <f>IF(B242="","",IFERROR(INDEX(Products!$B$5:$B$304,MATCH(B242,Products!$A$5:$A$304,0)),"Not found"))</f>
        <v>0</v>
      </c>
      <c r="L242" s="13">
        <f>IF(A242="","",TEXT(A242,"yyyy-mm"))</f>
        <v>0</v>
      </c>
      <c r="M242" s="20">
        <f>IF(A242="","",IF(OR(D242="",E242=""),"",ROUND(E242-D242,2)))</f>
        <v>0</v>
      </c>
      <c r="N242" s="33">
        <f>IF(A242="","",IF(OR(D242="",D242=0,E242=""),"",E242/D242-1))</f>
        <v>0</v>
      </c>
      <c r="O242" s="20">
        <f>IF(A242="","",IF(F242&lt;&gt;"",F242,IFERROR(INDEX(Products!$AT$5:$AT$304,MATCH(B242,Products!$A$5:$A$304,0)),"")))</f>
        <v>0</v>
      </c>
      <c r="P242" s="33">
        <f>IF(A242="","",IF(OR(D242="",D242=0,O242=""),"",(D242-O242)/D242))</f>
        <v>0</v>
      </c>
      <c r="Q242" s="33">
        <f>IF(A242="","",IF(OR(E242="",E242=0,O242=""),"",(E242-O242)/E242))</f>
        <v>0</v>
      </c>
      <c r="R242" s="33">
        <f>IF(A242="","",IF(OR(P242="",Q242=""),"",Q242-P242))</f>
        <v>0</v>
      </c>
      <c r="S242" s="33">
        <f>IF(A242="","",IF(OR(I242="",I242=0,J242=""),"",J242/I242-1))</f>
        <v>0</v>
      </c>
      <c r="T242" s="33">
        <f>IF(A242="","",IF(OR(S242="",N242=""),"",(1+N242)*(1+S242)-1))</f>
        <v>0</v>
      </c>
      <c r="U242" s="32">
        <f>IF(B242="","",COUNTIFS($B$5:B242,B242))</f>
        <v>0</v>
      </c>
      <c r="V242" s="32">
        <f>IF(A242="","",TodayDate-A242)</f>
        <v>0</v>
      </c>
      <c r="W242" s="43">
        <f>IF(A242="","",IF(M242="","Add - old and new price",IF(Q242&lt;0,"Loss - priced below cost",IF(T242="","Watch - no volume data yet",IF(T242&gt;0.02,"Worked - revenue up",IF(T242&lt;-0.02,"Hurt - revenue down","Neutral - no real change"))))))</f>
        <v>0</v>
      </c>
    </row>
    <row r="243" spans="3:23">
      <c r="C243" s="13">
        <f>IF(B243="","",IFERROR(INDEX(Products!$B$5:$B$304,MATCH(B243,Products!$A$5:$A$304,0)),"Not found"))</f>
        <v>0</v>
      </c>
      <c r="L243" s="13">
        <f>IF(A243="","",TEXT(A243,"yyyy-mm"))</f>
        <v>0</v>
      </c>
      <c r="M243" s="20">
        <f>IF(A243="","",IF(OR(D243="",E243=""),"",ROUND(E243-D243,2)))</f>
        <v>0</v>
      </c>
      <c r="N243" s="33">
        <f>IF(A243="","",IF(OR(D243="",D243=0,E243=""),"",E243/D243-1))</f>
        <v>0</v>
      </c>
      <c r="O243" s="20">
        <f>IF(A243="","",IF(F243&lt;&gt;"",F243,IFERROR(INDEX(Products!$AT$5:$AT$304,MATCH(B243,Products!$A$5:$A$304,0)),"")))</f>
        <v>0</v>
      </c>
      <c r="P243" s="33">
        <f>IF(A243="","",IF(OR(D243="",D243=0,O243=""),"",(D243-O243)/D243))</f>
        <v>0</v>
      </c>
      <c r="Q243" s="33">
        <f>IF(A243="","",IF(OR(E243="",E243=0,O243=""),"",(E243-O243)/E243))</f>
        <v>0</v>
      </c>
      <c r="R243" s="33">
        <f>IF(A243="","",IF(OR(P243="",Q243=""),"",Q243-P243))</f>
        <v>0</v>
      </c>
      <c r="S243" s="33">
        <f>IF(A243="","",IF(OR(I243="",I243=0,J243=""),"",J243/I243-1))</f>
        <v>0</v>
      </c>
      <c r="T243" s="33">
        <f>IF(A243="","",IF(OR(S243="",N243=""),"",(1+N243)*(1+S243)-1))</f>
        <v>0</v>
      </c>
      <c r="U243" s="32">
        <f>IF(B243="","",COUNTIFS($B$5:B243,B243))</f>
        <v>0</v>
      </c>
      <c r="V243" s="32">
        <f>IF(A243="","",TodayDate-A243)</f>
        <v>0</v>
      </c>
      <c r="W243" s="43">
        <f>IF(A243="","",IF(M243="","Add - old and new price",IF(Q243&lt;0,"Loss - priced below cost",IF(T243="","Watch - no volume data yet",IF(T243&gt;0.02,"Worked - revenue up",IF(T243&lt;-0.02,"Hurt - revenue down","Neutral - no real change"))))))</f>
        <v>0</v>
      </c>
    </row>
    <row r="244" spans="3:23">
      <c r="C244" s="13">
        <f>IF(B244="","",IFERROR(INDEX(Products!$B$5:$B$304,MATCH(B244,Products!$A$5:$A$304,0)),"Not found"))</f>
        <v>0</v>
      </c>
      <c r="L244" s="13">
        <f>IF(A244="","",TEXT(A244,"yyyy-mm"))</f>
        <v>0</v>
      </c>
      <c r="M244" s="20">
        <f>IF(A244="","",IF(OR(D244="",E244=""),"",ROUND(E244-D244,2)))</f>
        <v>0</v>
      </c>
      <c r="N244" s="33">
        <f>IF(A244="","",IF(OR(D244="",D244=0,E244=""),"",E244/D244-1))</f>
        <v>0</v>
      </c>
      <c r="O244" s="20">
        <f>IF(A244="","",IF(F244&lt;&gt;"",F244,IFERROR(INDEX(Products!$AT$5:$AT$304,MATCH(B244,Products!$A$5:$A$304,0)),"")))</f>
        <v>0</v>
      </c>
      <c r="P244" s="33">
        <f>IF(A244="","",IF(OR(D244="",D244=0,O244=""),"",(D244-O244)/D244))</f>
        <v>0</v>
      </c>
      <c r="Q244" s="33">
        <f>IF(A244="","",IF(OR(E244="",E244=0,O244=""),"",(E244-O244)/E244))</f>
        <v>0</v>
      </c>
      <c r="R244" s="33">
        <f>IF(A244="","",IF(OR(P244="",Q244=""),"",Q244-P244))</f>
        <v>0</v>
      </c>
      <c r="S244" s="33">
        <f>IF(A244="","",IF(OR(I244="",I244=0,J244=""),"",J244/I244-1))</f>
        <v>0</v>
      </c>
      <c r="T244" s="33">
        <f>IF(A244="","",IF(OR(S244="",N244=""),"",(1+N244)*(1+S244)-1))</f>
        <v>0</v>
      </c>
      <c r="U244" s="32">
        <f>IF(B244="","",COUNTIFS($B$5:B244,B244))</f>
        <v>0</v>
      </c>
      <c r="V244" s="32">
        <f>IF(A244="","",TodayDate-A244)</f>
        <v>0</v>
      </c>
      <c r="W244" s="43">
        <f>IF(A244="","",IF(M244="","Add - old and new price",IF(Q244&lt;0,"Loss - priced below cost",IF(T244="","Watch - no volume data yet",IF(T244&gt;0.02,"Worked - revenue up",IF(T244&lt;-0.02,"Hurt - revenue down","Neutral - no real change"))))))</f>
        <v>0</v>
      </c>
    </row>
    <row r="245" spans="3:23">
      <c r="C245" s="13">
        <f>IF(B245="","",IFERROR(INDEX(Products!$B$5:$B$304,MATCH(B245,Products!$A$5:$A$304,0)),"Not found"))</f>
        <v>0</v>
      </c>
      <c r="L245" s="13">
        <f>IF(A245="","",TEXT(A245,"yyyy-mm"))</f>
        <v>0</v>
      </c>
      <c r="M245" s="20">
        <f>IF(A245="","",IF(OR(D245="",E245=""),"",ROUND(E245-D245,2)))</f>
        <v>0</v>
      </c>
      <c r="N245" s="33">
        <f>IF(A245="","",IF(OR(D245="",D245=0,E245=""),"",E245/D245-1))</f>
        <v>0</v>
      </c>
      <c r="O245" s="20">
        <f>IF(A245="","",IF(F245&lt;&gt;"",F245,IFERROR(INDEX(Products!$AT$5:$AT$304,MATCH(B245,Products!$A$5:$A$304,0)),"")))</f>
        <v>0</v>
      </c>
      <c r="P245" s="33">
        <f>IF(A245="","",IF(OR(D245="",D245=0,O245=""),"",(D245-O245)/D245))</f>
        <v>0</v>
      </c>
      <c r="Q245" s="33">
        <f>IF(A245="","",IF(OR(E245="",E245=0,O245=""),"",(E245-O245)/E245))</f>
        <v>0</v>
      </c>
      <c r="R245" s="33">
        <f>IF(A245="","",IF(OR(P245="",Q245=""),"",Q245-P245))</f>
        <v>0</v>
      </c>
      <c r="S245" s="33">
        <f>IF(A245="","",IF(OR(I245="",I245=0,J245=""),"",J245/I245-1))</f>
        <v>0</v>
      </c>
      <c r="T245" s="33">
        <f>IF(A245="","",IF(OR(S245="",N245=""),"",(1+N245)*(1+S245)-1))</f>
        <v>0</v>
      </c>
      <c r="U245" s="32">
        <f>IF(B245="","",COUNTIFS($B$5:B245,B245))</f>
        <v>0</v>
      </c>
      <c r="V245" s="32">
        <f>IF(A245="","",TodayDate-A245)</f>
        <v>0</v>
      </c>
      <c r="W245" s="43">
        <f>IF(A245="","",IF(M245="","Add - old and new price",IF(Q245&lt;0,"Loss - priced below cost",IF(T245="","Watch - no volume data yet",IF(T245&gt;0.02,"Worked - revenue up",IF(T245&lt;-0.02,"Hurt - revenue down","Neutral - no real change"))))))</f>
        <v>0</v>
      </c>
    </row>
    <row r="246" spans="3:23">
      <c r="C246" s="13">
        <f>IF(B246="","",IFERROR(INDEX(Products!$B$5:$B$304,MATCH(B246,Products!$A$5:$A$304,0)),"Not found"))</f>
        <v>0</v>
      </c>
      <c r="L246" s="13">
        <f>IF(A246="","",TEXT(A246,"yyyy-mm"))</f>
        <v>0</v>
      </c>
      <c r="M246" s="20">
        <f>IF(A246="","",IF(OR(D246="",E246=""),"",ROUND(E246-D246,2)))</f>
        <v>0</v>
      </c>
      <c r="N246" s="33">
        <f>IF(A246="","",IF(OR(D246="",D246=0,E246=""),"",E246/D246-1))</f>
        <v>0</v>
      </c>
      <c r="O246" s="20">
        <f>IF(A246="","",IF(F246&lt;&gt;"",F246,IFERROR(INDEX(Products!$AT$5:$AT$304,MATCH(B246,Products!$A$5:$A$304,0)),"")))</f>
        <v>0</v>
      </c>
      <c r="P246" s="33">
        <f>IF(A246="","",IF(OR(D246="",D246=0,O246=""),"",(D246-O246)/D246))</f>
        <v>0</v>
      </c>
      <c r="Q246" s="33">
        <f>IF(A246="","",IF(OR(E246="",E246=0,O246=""),"",(E246-O246)/E246))</f>
        <v>0</v>
      </c>
      <c r="R246" s="33">
        <f>IF(A246="","",IF(OR(P246="",Q246=""),"",Q246-P246))</f>
        <v>0</v>
      </c>
      <c r="S246" s="33">
        <f>IF(A246="","",IF(OR(I246="",I246=0,J246=""),"",J246/I246-1))</f>
        <v>0</v>
      </c>
      <c r="T246" s="33">
        <f>IF(A246="","",IF(OR(S246="",N246=""),"",(1+N246)*(1+S246)-1))</f>
        <v>0</v>
      </c>
      <c r="U246" s="32">
        <f>IF(B246="","",COUNTIFS($B$5:B246,B246))</f>
        <v>0</v>
      </c>
      <c r="V246" s="32">
        <f>IF(A246="","",TodayDate-A246)</f>
        <v>0</v>
      </c>
      <c r="W246" s="43">
        <f>IF(A246="","",IF(M246="","Add - old and new price",IF(Q246&lt;0,"Loss - priced below cost",IF(T246="","Watch - no volume data yet",IF(T246&gt;0.02,"Worked - revenue up",IF(T246&lt;-0.02,"Hurt - revenue down","Neutral - no real change"))))))</f>
        <v>0</v>
      </c>
    </row>
    <row r="247" spans="3:23">
      <c r="C247" s="13">
        <f>IF(B247="","",IFERROR(INDEX(Products!$B$5:$B$304,MATCH(B247,Products!$A$5:$A$304,0)),"Not found"))</f>
        <v>0</v>
      </c>
      <c r="L247" s="13">
        <f>IF(A247="","",TEXT(A247,"yyyy-mm"))</f>
        <v>0</v>
      </c>
      <c r="M247" s="20">
        <f>IF(A247="","",IF(OR(D247="",E247=""),"",ROUND(E247-D247,2)))</f>
        <v>0</v>
      </c>
      <c r="N247" s="33">
        <f>IF(A247="","",IF(OR(D247="",D247=0,E247=""),"",E247/D247-1))</f>
        <v>0</v>
      </c>
      <c r="O247" s="20">
        <f>IF(A247="","",IF(F247&lt;&gt;"",F247,IFERROR(INDEX(Products!$AT$5:$AT$304,MATCH(B247,Products!$A$5:$A$304,0)),"")))</f>
        <v>0</v>
      </c>
      <c r="P247" s="33">
        <f>IF(A247="","",IF(OR(D247="",D247=0,O247=""),"",(D247-O247)/D247))</f>
        <v>0</v>
      </c>
      <c r="Q247" s="33">
        <f>IF(A247="","",IF(OR(E247="",E247=0,O247=""),"",(E247-O247)/E247))</f>
        <v>0</v>
      </c>
      <c r="R247" s="33">
        <f>IF(A247="","",IF(OR(P247="",Q247=""),"",Q247-P247))</f>
        <v>0</v>
      </c>
      <c r="S247" s="33">
        <f>IF(A247="","",IF(OR(I247="",I247=0,J247=""),"",J247/I247-1))</f>
        <v>0</v>
      </c>
      <c r="T247" s="33">
        <f>IF(A247="","",IF(OR(S247="",N247=""),"",(1+N247)*(1+S247)-1))</f>
        <v>0</v>
      </c>
      <c r="U247" s="32">
        <f>IF(B247="","",COUNTIFS($B$5:B247,B247))</f>
        <v>0</v>
      </c>
      <c r="V247" s="32">
        <f>IF(A247="","",TodayDate-A247)</f>
        <v>0</v>
      </c>
      <c r="W247" s="43">
        <f>IF(A247="","",IF(M247="","Add - old and new price",IF(Q247&lt;0,"Loss - priced below cost",IF(T247="","Watch - no volume data yet",IF(T247&gt;0.02,"Worked - revenue up",IF(T247&lt;-0.02,"Hurt - revenue down","Neutral - no real change"))))))</f>
        <v>0</v>
      </c>
    </row>
    <row r="248" spans="3:23">
      <c r="C248" s="13">
        <f>IF(B248="","",IFERROR(INDEX(Products!$B$5:$B$304,MATCH(B248,Products!$A$5:$A$304,0)),"Not found"))</f>
        <v>0</v>
      </c>
      <c r="L248" s="13">
        <f>IF(A248="","",TEXT(A248,"yyyy-mm"))</f>
        <v>0</v>
      </c>
      <c r="M248" s="20">
        <f>IF(A248="","",IF(OR(D248="",E248=""),"",ROUND(E248-D248,2)))</f>
        <v>0</v>
      </c>
      <c r="N248" s="33">
        <f>IF(A248="","",IF(OR(D248="",D248=0,E248=""),"",E248/D248-1))</f>
        <v>0</v>
      </c>
      <c r="O248" s="20">
        <f>IF(A248="","",IF(F248&lt;&gt;"",F248,IFERROR(INDEX(Products!$AT$5:$AT$304,MATCH(B248,Products!$A$5:$A$304,0)),"")))</f>
        <v>0</v>
      </c>
      <c r="P248" s="33">
        <f>IF(A248="","",IF(OR(D248="",D248=0,O248=""),"",(D248-O248)/D248))</f>
        <v>0</v>
      </c>
      <c r="Q248" s="33">
        <f>IF(A248="","",IF(OR(E248="",E248=0,O248=""),"",(E248-O248)/E248))</f>
        <v>0</v>
      </c>
      <c r="R248" s="33">
        <f>IF(A248="","",IF(OR(P248="",Q248=""),"",Q248-P248))</f>
        <v>0</v>
      </c>
      <c r="S248" s="33">
        <f>IF(A248="","",IF(OR(I248="",I248=0,J248=""),"",J248/I248-1))</f>
        <v>0</v>
      </c>
      <c r="T248" s="33">
        <f>IF(A248="","",IF(OR(S248="",N248=""),"",(1+N248)*(1+S248)-1))</f>
        <v>0</v>
      </c>
      <c r="U248" s="32">
        <f>IF(B248="","",COUNTIFS($B$5:B248,B248))</f>
        <v>0</v>
      </c>
      <c r="V248" s="32">
        <f>IF(A248="","",TodayDate-A248)</f>
        <v>0</v>
      </c>
      <c r="W248" s="43">
        <f>IF(A248="","",IF(M248="","Add - old and new price",IF(Q248&lt;0,"Loss - priced below cost",IF(T248="","Watch - no volume data yet",IF(T248&gt;0.02,"Worked - revenue up",IF(T248&lt;-0.02,"Hurt - revenue down","Neutral - no real change"))))))</f>
        <v>0</v>
      </c>
    </row>
    <row r="249" spans="3:23">
      <c r="C249" s="13">
        <f>IF(B249="","",IFERROR(INDEX(Products!$B$5:$B$304,MATCH(B249,Products!$A$5:$A$304,0)),"Not found"))</f>
        <v>0</v>
      </c>
      <c r="L249" s="13">
        <f>IF(A249="","",TEXT(A249,"yyyy-mm"))</f>
        <v>0</v>
      </c>
      <c r="M249" s="20">
        <f>IF(A249="","",IF(OR(D249="",E249=""),"",ROUND(E249-D249,2)))</f>
        <v>0</v>
      </c>
      <c r="N249" s="33">
        <f>IF(A249="","",IF(OR(D249="",D249=0,E249=""),"",E249/D249-1))</f>
        <v>0</v>
      </c>
      <c r="O249" s="20">
        <f>IF(A249="","",IF(F249&lt;&gt;"",F249,IFERROR(INDEX(Products!$AT$5:$AT$304,MATCH(B249,Products!$A$5:$A$304,0)),"")))</f>
        <v>0</v>
      </c>
      <c r="P249" s="33">
        <f>IF(A249="","",IF(OR(D249="",D249=0,O249=""),"",(D249-O249)/D249))</f>
        <v>0</v>
      </c>
      <c r="Q249" s="33">
        <f>IF(A249="","",IF(OR(E249="",E249=0,O249=""),"",(E249-O249)/E249))</f>
        <v>0</v>
      </c>
      <c r="R249" s="33">
        <f>IF(A249="","",IF(OR(P249="",Q249=""),"",Q249-P249))</f>
        <v>0</v>
      </c>
      <c r="S249" s="33">
        <f>IF(A249="","",IF(OR(I249="",I249=0,J249=""),"",J249/I249-1))</f>
        <v>0</v>
      </c>
      <c r="T249" s="33">
        <f>IF(A249="","",IF(OR(S249="",N249=""),"",(1+N249)*(1+S249)-1))</f>
        <v>0</v>
      </c>
      <c r="U249" s="32">
        <f>IF(B249="","",COUNTIFS($B$5:B249,B249))</f>
        <v>0</v>
      </c>
      <c r="V249" s="32">
        <f>IF(A249="","",TodayDate-A249)</f>
        <v>0</v>
      </c>
      <c r="W249" s="43">
        <f>IF(A249="","",IF(M249="","Add - old and new price",IF(Q249&lt;0,"Loss - priced below cost",IF(T249="","Watch - no volume data yet",IF(T249&gt;0.02,"Worked - revenue up",IF(T249&lt;-0.02,"Hurt - revenue down","Neutral - no real change"))))))</f>
        <v>0</v>
      </c>
    </row>
    <row r="250" spans="3:23">
      <c r="C250" s="13">
        <f>IF(B250="","",IFERROR(INDEX(Products!$B$5:$B$304,MATCH(B250,Products!$A$5:$A$304,0)),"Not found"))</f>
        <v>0</v>
      </c>
      <c r="L250" s="13">
        <f>IF(A250="","",TEXT(A250,"yyyy-mm"))</f>
        <v>0</v>
      </c>
      <c r="M250" s="20">
        <f>IF(A250="","",IF(OR(D250="",E250=""),"",ROUND(E250-D250,2)))</f>
        <v>0</v>
      </c>
      <c r="N250" s="33">
        <f>IF(A250="","",IF(OR(D250="",D250=0,E250=""),"",E250/D250-1))</f>
        <v>0</v>
      </c>
      <c r="O250" s="20">
        <f>IF(A250="","",IF(F250&lt;&gt;"",F250,IFERROR(INDEX(Products!$AT$5:$AT$304,MATCH(B250,Products!$A$5:$A$304,0)),"")))</f>
        <v>0</v>
      </c>
      <c r="P250" s="33">
        <f>IF(A250="","",IF(OR(D250="",D250=0,O250=""),"",(D250-O250)/D250))</f>
        <v>0</v>
      </c>
      <c r="Q250" s="33">
        <f>IF(A250="","",IF(OR(E250="",E250=0,O250=""),"",(E250-O250)/E250))</f>
        <v>0</v>
      </c>
      <c r="R250" s="33">
        <f>IF(A250="","",IF(OR(P250="",Q250=""),"",Q250-P250))</f>
        <v>0</v>
      </c>
      <c r="S250" s="33">
        <f>IF(A250="","",IF(OR(I250="",I250=0,J250=""),"",J250/I250-1))</f>
        <v>0</v>
      </c>
      <c r="T250" s="33">
        <f>IF(A250="","",IF(OR(S250="",N250=""),"",(1+N250)*(1+S250)-1))</f>
        <v>0</v>
      </c>
      <c r="U250" s="32">
        <f>IF(B250="","",COUNTIFS($B$5:B250,B250))</f>
        <v>0</v>
      </c>
      <c r="V250" s="32">
        <f>IF(A250="","",TodayDate-A250)</f>
        <v>0</v>
      </c>
      <c r="W250" s="43">
        <f>IF(A250="","",IF(M250="","Add - old and new price",IF(Q250&lt;0,"Loss - priced below cost",IF(T250="","Watch - no volume data yet",IF(T250&gt;0.02,"Worked - revenue up",IF(T250&lt;-0.02,"Hurt - revenue down","Neutral - no real change"))))))</f>
        <v>0</v>
      </c>
    </row>
    <row r="251" spans="3:23">
      <c r="C251" s="13">
        <f>IF(B251="","",IFERROR(INDEX(Products!$B$5:$B$304,MATCH(B251,Products!$A$5:$A$304,0)),"Not found"))</f>
        <v>0</v>
      </c>
      <c r="L251" s="13">
        <f>IF(A251="","",TEXT(A251,"yyyy-mm"))</f>
        <v>0</v>
      </c>
      <c r="M251" s="20">
        <f>IF(A251="","",IF(OR(D251="",E251=""),"",ROUND(E251-D251,2)))</f>
        <v>0</v>
      </c>
      <c r="N251" s="33">
        <f>IF(A251="","",IF(OR(D251="",D251=0,E251=""),"",E251/D251-1))</f>
        <v>0</v>
      </c>
      <c r="O251" s="20">
        <f>IF(A251="","",IF(F251&lt;&gt;"",F251,IFERROR(INDEX(Products!$AT$5:$AT$304,MATCH(B251,Products!$A$5:$A$304,0)),"")))</f>
        <v>0</v>
      </c>
      <c r="P251" s="33">
        <f>IF(A251="","",IF(OR(D251="",D251=0,O251=""),"",(D251-O251)/D251))</f>
        <v>0</v>
      </c>
      <c r="Q251" s="33">
        <f>IF(A251="","",IF(OR(E251="",E251=0,O251=""),"",(E251-O251)/E251))</f>
        <v>0</v>
      </c>
      <c r="R251" s="33">
        <f>IF(A251="","",IF(OR(P251="",Q251=""),"",Q251-P251))</f>
        <v>0</v>
      </c>
      <c r="S251" s="33">
        <f>IF(A251="","",IF(OR(I251="",I251=0,J251=""),"",J251/I251-1))</f>
        <v>0</v>
      </c>
      <c r="T251" s="33">
        <f>IF(A251="","",IF(OR(S251="",N251=""),"",(1+N251)*(1+S251)-1))</f>
        <v>0</v>
      </c>
      <c r="U251" s="32">
        <f>IF(B251="","",COUNTIFS($B$5:B251,B251))</f>
        <v>0</v>
      </c>
      <c r="V251" s="32">
        <f>IF(A251="","",TodayDate-A251)</f>
        <v>0</v>
      </c>
      <c r="W251" s="43">
        <f>IF(A251="","",IF(M251="","Add - old and new price",IF(Q251&lt;0,"Loss - priced below cost",IF(T251="","Watch - no volume data yet",IF(T251&gt;0.02,"Worked - revenue up",IF(T251&lt;-0.02,"Hurt - revenue down","Neutral - no real change"))))))</f>
        <v>0</v>
      </c>
    </row>
    <row r="252" spans="3:23">
      <c r="C252" s="13">
        <f>IF(B252="","",IFERROR(INDEX(Products!$B$5:$B$304,MATCH(B252,Products!$A$5:$A$304,0)),"Not found"))</f>
        <v>0</v>
      </c>
      <c r="L252" s="13">
        <f>IF(A252="","",TEXT(A252,"yyyy-mm"))</f>
        <v>0</v>
      </c>
      <c r="M252" s="20">
        <f>IF(A252="","",IF(OR(D252="",E252=""),"",ROUND(E252-D252,2)))</f>
        <v>0</v>
      </c>
      <c r="N252" s="33">
        <f>IF(A252="","",IF(OR(D252="",D252=0,E252=""),"",E252/D252-1))</f>
        <v>0</v>
      </c>
      <c r="O252" s="20">
        <f>IF(A252="","",IF(F252&lt;&gt;"",F252,IFERROR(INDEX(Products!$AT$5:$AT$304,MATCH(B252,Products!$A$5:$A$304,0)),"")))</f>
        <v>0</v>
      </c>
      <c r="P252" s="33">
        <f>IF(A252="","",IF(OR(D252="",D252=0,O252=""),"",(D252-O252)/D252))</f>
        <v>0</v>
      </c>
      <c r="Q252" s="33">
        <f>IF(A252="","",IF(OR(E252="",E252=0,O252=""),"",(E252-O252)/E252))</f>
        <v>0</v>
      </c>
      <c r="R252" s="33">
        <f>IF(A252="","",IF(OR(P252="",Q252=""),"",Q252-P252))</f>
        <v>0</v>
      </c>
      <c r="S252" s="33">
        <f>IF(A252="","",IF(OR(I252="",I252=0,J252=""),"",J252/I252-1))</f>
        <v>0</v>
      </c>
      <c r="T252" s="33">
        <f>IF(A252="","",IF(OR(S252="",N252=""),"",(1+N252)*(1+S252)-1))</f>
        <v>0</v>
      </c>
      <c r="U252" s="32">
        <f>IF(B252="","",COUNTIFS($B$5:B252,B252))</f>
        <v>0</v>
      </c>
      <c r="V252" s="32">
        <f>IF(A252="","",TodayDate-A252)</f>
        <v>0</v>
      </c>
      <c r="W252" s="43">
        <f>IF(A252="","",IF(M252="","Add - old and new price",IF(Q252&lt;0,"Loss - priced below cost",IF(T252="","Watch - no volume data yet",IF(T252&gt;0.02,"Worked - revenue up",IF(T252&lt;-0.02,"Hurt - revenue down","Neutral - no real change"))))))</f>
        <v>0</v>
      </c>
    </row>
    <row r="253" spans="3:23">
      <c r="C253" s="13">
        <f>IF(B253="","",IFERROR(INDEX(Products!$B$5:$B$304,MATCH(B253,Products!$A$5:$A$304,0)),"Not found"))</f>
        <v>0</v>
      </c>
      <c r="L253" s="13">
        <f>IF(A253="","",TEXT(A253,"yyyy-mm"))</f>
        <v>0</v>
      </c>
      <c r="M253" s="20">
        <f>IF(A253="","",IF(OR(D253="",E253=""),"",ROUND(E253-D253,2)))</f>
        <v>0</v>
      </c>
      <c r="N253" s="33">
        <f>IF(A253="","",IF(OR(D253="",D253=0,E253=""),"",E253/D253-1))</f>
        <v>0</v>
      </c>
      <c r="O253" s="20">
        <f>IF(A253="","",IF(F253&lt;&gt;"",F253,IFERROR(INDEX(Products!$AT$5:$AT$304,MATCH(B253,Products!$A$5:$A$304,0)),"")))</f>
        <v>0</v>
      </c>
      <c r="P253" s="33">
        <f>IF(A253="","",IF(OR(D253="",D253=0,O253=""),"",(D253-O253)/D253))</f>
        <v>0</v>
      </c>
      <c r="Q253" s="33">
        <f>IF(A253="","",IF(OR(E253="",E253=0,O253=""),"",(E253-O253)/E253))</f>
        <v>0</v>
      </c>
      <c r="R253" s="33">
        <f>IF(A253="","",IF(OR(P253="",Q253=""),"",Q253-P253))</f>
        <v>0</v>
      </c>
      <c r="S253" s="33">
        <f>IF(A253="","",IF(OR(I253="",I253=0,J253=""),"",J253/I253-1))</f>
        <v>0</v>
      </c>
      <c r="T253" s="33">
        <f>IF(A253="","",IF(OR(S253="",N253=""),"",(1+N253)*(1+S253)-1))</f>
        <v>0</v>
      </c>
      <c r="U253" s="32">
        <f>IF(B253="","",COUNTIFS($B$5:B253,B253))</f>
        <v>0</v>
      </c>
      <c r="V253" s="32">
        <f>IF(A253="","",TodayDate-A253)</f>
        <v>0</v>
      </c>
      <c r="W253" s="43">
        <f>IF(A253="","",IF(M253="","Add - old and new price",IF(Q253&lt;0,"Loss - priced below cost",IF(T253="","Watch - no volume data yet",IF(T253&gt;0.02,"Worked - revenue up",IF(T253&lt;-0.02,"Hurt - revenue down","Neutral - no real change"))))))</f>
        <v>0</v>
      </c>
    </row>
    <row r="254" spans="3:23">
      <c r="C254" s="13">
        <f>IF(B254="","",IFERROR(INDEX(Products!$B$5:$B$304,MATCH(B254,Products!$A$5:$A$304,0)),"Not found"))</f>
        <v>0</v>
      </c>
      <c r="L254" s="13">
        <f>IF(A254="","",TEXT(A254,"yyyy-mm"))</f>
        <v>0</v>
      </c>
      <c r="M254" s="20">
        <f>IF(A254="","",IF(OR(D254="",E254=""),"",ROUND(E254-D254,2)))</f>
        <v>0</v>
      </c>
      <c r="N254" s="33">
        <f>IF(A254="","",IF(OR(D254="",D254=0,E254=""),"",E254/D254-1))</f>
        <v>0</v>
      </c>
      <c r="O254" s="20">
        <f>IF(A254="","",IF(F254&lt;&gt;"",F254,IFERROR(INDEX(Products!$AT$5:$AT$304,MATCH(B254,Products!$A$5:$A$304,0)),"")))</f>
        <v>0</v>
      </c>
      <c r="P254" s="33">
        <f>IF(A254="","",IF(OR(D254="",D254=0,O254=""),"",(D254-O254)/D254))</f>
        <v>0</v>
      </c>
      <c r="Q254" s="33">
        <f>IF(A254="","",IF(OR(E254="",E254=0,O254=""),"",(E254-O254)/E254))</f>
        <v>0</v>
      </c>
      <c r="R254" s="33">
        <f>IF(A254="","",IF(OR(P254="",Q254=""),"",Q254-P254))</f>
        <v>0</v>
      </c>
      <c r="S254" s="33">
        <f>IF(A254="","",IF(OR(I254="",I254=0,J254=""),"",J254/I254-1))</f>
        <v>0</v>
      </c>
      <c r="T254" s="33">
        <f>IF(A254="","",IF(OR(S254="",N254=""),"",(1+N254)*(1+S254)-1))</f>
        <v>0</v>
      </c>
      <c r="U254" s="32">
        <f>IF(B254="","",COUNTIFS($B$5:B254,B254))</f>
        <v>0</v>
      </c>
      <c r="V254" s="32">
        <f>IF(A254="","",TodayDate-A254)</f>
        <v>0</v>
      </c>
      <c r="W254" s="43">
        <f>IF(A254="","",IF(M254="","Add - old and new price",IF(Q254&lt;0,"Loss - priced below cost",IF(T254="","Watch - no volume data yet",IF(T254&gt;0.02,"Worked - revenue up",IF(T254&lt;-0.02,"Hurt - revenue down","Neutral - no real change"))))))</f>
        <v>0</v>
      </c>
    </row>
    <row r="255" spans="3:23">
      <c r="C255" s="13">
        <f>IF(B255="","",IFERROR(INDEX(Products!$B$5:$B$304,MATCH(B255,Products!$A$5:$A$304,0)),"Not found"))</f>
        <v>0</v>
      </c>
      <c r="L255" s="13">
        <f>IF(A255="","",TEXT(A255,"yyyy-mm"))</f>
        <v>0</v>
      </c>
      <c r="M255" s="20">
        <f>IF(A255="","",IF(OR(D255="",E255=""),"",ROUND(E255-D255,2)))</f>
        <v>0</v>
      </c>
      <c r="N255" s="33">
        <f>IF(A255="","",IF(OR(D255="",D255=0,E255=""),"",E255/D255-1))</f>
        <v>0</v>
      </c>
      <c r="O255" s="20">
        <f>IF(A255="","",IF(F255&lt;&gt;"",F255,IFERROR(INDEX(Products!$AT$5:$AT$304,MATCH(B255,Products!$A$5:$A$304,0)),"")))</f>
        <v>0</v>
      </c>
      <c r="P255" s="33">
        <f>IF(A255="","",IF(OR(D255="",D255=0,O255=""),"",(D255-O255)/D255))</f>
        <v>0</v>
      </c>
      <c r="Q255" s="33">
        <f>IF(A255="","",IF(OR(E255="",E255=0,O255=""),"",(E255-O255)/E255))</f>
        <v>0</v>
      </c>
      <c r="R255" s="33">
        <f>IF(A255="","",IF(OR(P255="",Q255=""),"",Q255-P255))</f>
        <v>0</v>
      </c>
      <c r="S255" s="33">
        <f>IF(A255="","",IF(OR(I255="",I255=0,J255=""),"",J255/I255-1))</f>
        <v>0</v>
      </c>
      <c r="T255" s="33">
        <f>IF(A255="","",IF(OR(S255="",N255=""),"",(1+N255)*(1+S255)-1))</f>
        <v>0</v>
      </c>
      <c r="U255" s="32">
        <f>IF(B255="","",COUNTIFS($B$5:B255,B255))</f>
        <v>0</v>
      </c>
      <c r="V255" s="32">
        <f>IF(A255="","",TodayDate-A255)</f>
        <v>0</v>
      </c>
      <c r="W255" s="43">
        <f>IF(A255="","",IF(M255="","Add - old and new price",IF(Q255&lt;0,"Loss - priced below cost",IF(T255="","Watch - no volume data yet",IF(T255&gt;0.02,"Worked - revenue up",IF(T255&lt;-0.02,"Hurt - revenue down","Neutral - no real change"))))))</f>
        <v>0</v>
      </c>
    </row>
    <row r="256" spans="3:23">
      <c r="C256" s="13">
        <f>IF(B256="","",IFERROR(INDEX(Products!$B$5:$B$304,MATCH(B256,Products!$A$5:$A$304,0)),"Not found"))</f>
        <v>0</v>
      </c>
      <c r="L256" s="13">
        <f>IF(A256="","",TEXT(A256,"yyyy-mm"))</f>
        <v>0</v>
      </c>
      <c r="M256" s="20">
        <f>IF(A256="","",IF(OR(D256="",E256=""),"",ROUND(E256-D256,2)))</f>
        <v>0</v>
      </c>
      <c r="N256" s="33">
        <f>IF(A256="","",IF(OR(D256="",D256=0,E256=""),"",E256/D256-1))</f>
        <v>0</v>
      </c>
      <c r="O256" s="20">
        <f>IF(A256="","",IF(F256&lt;&gt;"",F256,IFERROR(INDEX(Products!$AT$5:$AT$304,MATCH(B256,Products!$A$5:$A$304,0)),"")))</f>
        <v>0</v>
      </c>
      <c r="P256" s="33">
        <f>IF(A256="","",IF(OR(D256="",D256=0,O256=""),"",(D256-O256)/D256))</f>
        <v>0</v>
      </c>
      <c r="Q256" s="33">
        <f>IF(A256="","",IF(OR(E256="",E256=0,O256=""),"",(E256-O256)/E256))</f>
        <v>0</v>
      </c>
      <c r="R256" s="33">
        <f>IF(A256="","",IF(OR(P256="",Q256=""),"",Q256-P256))</f>
        <v>0</v>
      </c>
      <c r="S256" s="33">
        <f>IF(A256="","",IF(OR(I256="",I256=0,J256=""),"",J256/I256-1))</f>
        <v>0</v>
      </c>
      <c r="T256" s="33">
        <f>IF(A256="","",IF(OR(S256="",N256=""),"",(1+N256)*(1+S256)-1))</f>
        <v>0</v>
      </c>
      <c r="U256" s="32">
        <f>IF(B256="","",COUNTIFS($B$5:B256,B256))</f>
        <v>0</v>
      </c>
      <c r="V256" s="32">
        <f>IF(A256="","",TodayDate-A256)</f>
        <v>0</v>
      </c>
      <c r="W256" s="43">
        <f>IF(A256="","",IF(M256="","Add - old and new price",IF(Q256&lt;0,"Loss - priced below cost",IF(T256="","Watch - no volume data yet",IF(T256&gt;0.02,"Worked - revenue up",IF(T256&lt;-0.02,"Hurt - revenue down","Neutral - no real change"))))))</f>
        <v>0</v>
      </c>
    </row>
    <row r="257" spans="3:23">
      <c r="C257" s="13">
        <f>IF(B257="","",IFERROR(INDEX(Products!$B$5:$B$304,MATCH(B257,Products!$A$5:$A$304,0)),"Not found"))</f>
        <v>0</v>
      </c>
      <c r="L257" s="13">
        <f>IF(A257="","",TEXT(A257,"yyyy-mm"))</f>
        <v>0</v>
      </c>
      <c r="M257" s="20">
        <f>IF(A257="","",IF(OR(D257="",E257=""),"",ROUND(E257-D257,2)))</f>
        <v>0</v>
      </c>
      <c r="N257" s="33">
        <f>IF(A257="","",IF(OR(D257="",D257=0,E257=""),"",E257/D257-1))</f>
        <v>0</v>
      </c>
      <c r="O257" s="20">
        <f>IF(A257="","",IF(F257&lt;&gt;"",F257,IFERROR(INDEX(Products!$AT$5:$AT$304,MATCH(B257,Products!$A$5:$A$304,0)),"")))</f>
        <v>0</v>
      </c>
      <c r="P257" s="33">
        <f>IF(A257="","",IF(OR(D257="",D257=0,O257=""),"",(D257-O257)/D257))</f>
        <v>0</v>
      </c>
      <c r="Q257" s="33">
        <f>IF(A257="","",IF(OR(E257="",E257=0,O257=""),"",(E257-O257)/E257))</f>
        <v>0</v>
      </c>
      <c r="R257" s="33">
        <f>IF(A257="","",IF(OR(P257="",Q257=""),"",Q257-P257))</f>
        <v>0</v>
      </c>
      <c r="S257" s="33">
        <f>IF(A257="","",IF(OR(I257="",I257=0,J257=""),"",J257/I257-1))</f>
        <v>0</v>
      </c>
      <c r="T257" s="33">
        <f>IF(A257="","",IF(OR(S257="",N257=""),"",(1+N257)*(1+S257)-1))</f>
        <v>0</v>
      </c>
      <c r="U257" s="32">
        <f>IF(B257="","",COUNTIFS($B$5:B257,B257))</f>
        <v>0</v>
      </c>
      <c r="V257" s="32">
        <f>IF(A257="","",TodayDate-A257)</f>
        <v>0</v>
      </c>
      <c r="W257" s="43">
        <f>IF(A257="","",IF(M257="","Add - old and new price",IF(Q257&lt;0,"Loss - priced below cost",IF(T257="","Watch - no volume data yet",IF(T257&gt;0.02,"Worked - revenue up",IF(T257&lt;-0.02,"Hurt - revenue down","Neutral - no real change"))))))</f>
        <v>0</v>
      </c>
    </row>
    <row r="258" spans="3:23">
      <c r="C258" s="13">
        <f>IF(B258="","",IFERROR(INDEX(Products!$B$5:$B$304,MATCH(B258,Products!$A$5:$A$304,0)),"Not found"))</f>
        <v>0</v>
      </c>
      <c r="L258" s="13">
        <f>IF(A258="","",TEXT(A258,"yyyy-mm"))</f>
        <v>0</v>
      </c>
      <c r="M258" s="20">
        <f>IF(A258="","",IF(OR(D258="",E258=""),"",ROUND(E258-D258,2)))</f>
        <v>0</v>
      </c>
      <c r="N258" s="33">
        <f>IF(A258="","",IF(OR(D258="",D258=0,E258=""),"",E258/D258-1))</f>
        <v>0</v>
      </c>
      <c r="O258" s="20">
        <f>IF(A258="","",IF(F258&lt;&gt;"",F258,IFERROR(INDEX(Products!$AT$5:$AT$304,MATCH(B258,Products!$A$5:$A$304,0)),"")))</f>
        <v>0</v>
      </c>
      <c r="P258" s="33">
        <f>IF(A258="","",IF(OR(D258="",D258=0,O258=""),"",(D258-O258)/D258))</f>
        <v>0</v>
      </c>
      <c r="Q258" s="33">
        <f>IF(A258="","",IF(OR(E258="",E258=0,O258=""),"",(E258-O258)/E258))</f>
        <v>0</v>
      </c>
      <c r="R258" s="33">
        <f>IF(A258="","",IF(OR(P258="",Q258=""),"",Q258-P258))</f>
        <v>0</v>
      </c>
      <c r="S258" s="33">
        <f>IF(A258="","",IF(OR(I258="",I258=0,J258=""),"",J258/I258-1))</f>
        <v>0</v>
      </c>
      <c r="T258" s="33">
        <f>IF(A258="","",IF(OR(S258="",N258=""),"",(1+N258)*(1+S258)-1))</f>
        <v>0</v>
      </c>
      <c r="U258" s="32">
        <f>IF(B258="","",COUNTIFS($B$5:B258,B258))</f>
        <v>0</v>
      </c>
      <c r="V258" s="32">
        <f>IF(A258="","",TodayDate-A258)</f>
        <v>0</v>
      </c>
      <c r="W258" s="43">
        <f>IF(A258="","",IF(M258="","Add - old and new price",IF(Q258&lt;0,"Loss - priced below cost",IF(T258="","Watch - no volume data yet",IF(T258&gt;0.02,"Worked - revenue up",IF(T258&lt;-0.02,"Hurt - revenue down","Neutral - no real change"))))))</f>
        <v>0</v>
      </c>
    </row>
    <row r="259" spans="3:23">
      <c r="C259" s="13">
        <f>IF(B259="","",IFERROR(INDEX(Products!$B$5:$B$304,MATCH(B259,Products!$A$5:$A$304,0)),"Not found"))</f>
        <v>0</v>
      </c>
      <c r="L259" s="13">
        <f>IF(A259="","",TEXT(A259,"yyyy-mm"))</f>
        <v>0</v>
      </c>
      <c r="M259" s="20">
        <f>IF(A259="","",IF(OR(D259="",E259=""),"",ROUND(E259-D259,2)))</f>
        <v>0</v>
      </c>
      <c r="N259" s="33">
        <f>IF(A259="","",IF(OR(D259="",D259=0,E259=""),"",E259/D259-1))</f>
        <v>0</v>
      </c>
      <c r="O259" s="20">
        <f>IF(A259="","",IF(F259&lt;&gt;"",F259,IFERROR(INDEX(Products!$AT$5:$AT$304,MATCH(B259,Products!$A$5:$A$304,0)),"")))</f>
        <v>0</v>
      </c>
      <c r="P259" s="33">
        <f>IF(A259="","",IF(OR(D259="",D259=0,O259=""),"",(D259-O259)/D259))</f>
        <v>0</v>
      </c>
      <c r="Q259" s="33">
        <f>IF(A259="","",IF(OR(E259="",E259=0,O259=""),"",(E259-O259)/E259))</f>
        <v>0</v>
      </c>
      <c r="R259" s="33">
        <f>IF(A259="","",IF(OR(P259="",Q259=""),"",Q259-P259))</f>
        <v>0</v>
      </c>
      <c r="S259" s="33">
        <f>IF(A259="","",IF(OR(I259="",I259=0,J259=""),"",J259/I259-1))</f>
        <v>0</v>
      </c>
      <c r="T259" s="33">
        <f>IF(A259="","",IF(OR(S259="",N259=""),"",(1+N259)*(1+S259)-1))</f>
        <v>0</v>
      </c>
      <c r="U259" s="32">
        <f>IF(B259="","",COUNTIFS($B$5:B259,B259))</f>
        <v>0</v>
      </c>
      <c r="V259" s="32">
        <f>IF(A259="","",TodayDate-A259)</f>
        <v>0</v>
      </c>
      <c r="W259" s="43">
        <f>IF(A259="","",IF(M259="","Add - old and new price",IF(Q259&lt;0,"Loss - priced below cost",IF(T259="","Watch - no volume data yet",IF(T259&gt;0.02,"Worked - revenue up",IF(T259&lt;-0.02,"Hurt - revenue down","Neutral - no real change"))))))</f>
        <v>0</v>
      </c>
    </row>
    <row r="260" spans="3:23">
      <c r="C260" s="13">
        <f>IF(B260="","",IFERROR(INDEX(Products!$B$5:$B$304,MATCH(B260,Products!$A$5:$A$304,0)),"Not found"))</f>
        <v>0</v>
      </c>
      <c r="L260" s="13">
        <f>IF(A260="","",TEXT(A260,"yyyy-mm"))</f>
        <v>0</v>
      </c>
      <c r="M260" s="20">
        <f>IF(A260="","",IF(OR(D260="",E260=""),"",ROUND(E260-D260,2)))</f>
        <v>0</v>
      </c>
      <c r="N260" s="33">
        <f>IF(A260="","",IF(OR(D260="",D260=0,E260=""),"",E260/D260-1))</f>
        <v>0</v>
      </c>
      <c r="O260" s="20">
        <f>IF(A260="","",IF(F260&lt;&gt;"",F260,IFERROR(INDEX(Products!$AT$5:$AT$304,MATCH(B260,Products!$A$5:$A$304,0)),"")))</f>
        <v>0</v>
      </c>
      <c r="P260" s="33">
        <f>IF(A260="","",IF(OR(D260="",D260=0,O260=""),"",(D260-O260)/D260))</f>
        <v>0</v>
      </c>
      <c r="Q260" s="33">
        <f>IF(A260="","",IF(OR(E260="",E260=0,O260=""),"",(E260-O260)/E260))</f>
        <v>0</v>
      </c>
      <c r="R260" s="33">
        <f>IF(A260="","",IF(OR(P260="",Q260=""),"",Q260-P260))</f>
        <v>0</v>
      </c>
      <c r="S260" s="33">
        <f>IF(A260="","",IF(OR(I260="",I260=0,J260=""),"",J260/I260-1))</f>
        <v>0</v>
      </c>
      <c r="T260" s="33">
        <f>IF(A260="","",IF(OR(S260="",N260=""),"",(1+N260)*(1+S260)-1))</f>
        <v>0</v>
      </c>
      <c r="U260" s="32">
        <f>IF(B260="","",COUNTIFS($B$5:B260,B260))</f>
        <v>0</v>
      </c>
      <c r="V260" s="32">
        <f>IF(A260="","",TodayDate-A260)</f>
        <v>0</v>
      </c>
      <c r="W260" s="43">
        <f>IF(A260="","",IF(M260="","Add - old and new price",IF(Q260&lt;0,"Loss - priced below cost",IF(T260="","Watch - no volume data yet",IF(T260&gt;0.02,"Worked - revenue up",IF(T260&lt;-0.02,"Hurt - revenue down","Neutral - no real change"))))))</f>
        <v>0</v>
      </c>
    </row>
    <row r="261" spans="3:23">
      <c r="C261" s="13">
        <f>IF(B261="","",IFERROR(INDEX(Products!$B$5:$B$304,MATCH(B261,Products!$A$5:$A$304,0)),"Not found"))</f>
        <v>0</v>
      </c>
      <c r="L261" s="13">
        <f>IF(A261="","",TEXT(A261,"yyyy-mm"))</f>
        <v>0</v>
      </c>
      <c r="M261" s="20">
        <f>IF(A261="","",IF(OR(D261="",E261=""),"",ROUND(E261-D261,2)))</f>
        <v>0</v>
      </c>
      <c r="N261" s="33">
        <f>IF(A261="","",IF(OR(D261="",D261=0,E261=""),"",E261/D261-1))</f>
        <v>0</v>
      </c>
      <c r="O261" s="20">
        <f>IF(A261="","",IF(F261&lt;&gt;"",F261,IFERROR(INDEX(Products!$AT$5:$AT$304,MATCH(B261,Products!$A$5:$A$304,0)),"")))</f>
        <v>0</v>
      </c>
      <c r="P261" s="33">
        <f>IF(A261="","",IF(OR(D261="",D261=0,O261=""),"",(D261-O261)/D261))</f>
        <v>0</v>
      </c>
      <c r="Q261" s="33">
        <f>IF(A261="","",IF(OR(E261="",E261=0,O261=""),"",(E261-O261)/E261))</f>
        <v>0</v>
      </c>
      <c r="R261" s="33">
        <f>IF(A261="","",IF(OR(P261="",Q261=""),"",Q261-P261))</f>
        <v>0</v>
      </c>
      <c r="S261" s="33">
        <f>IF(A261="","",IF(OR(I261="",I261=0,J261=""),"",J261/I261-1))</f>
        <v>0</v>
      </c>
      <c r="T261" s="33">
        <f>IF(A261="","",IF(OR(S261="",N261=""),"",(1+N261)*(1+S261)-1))</f>
        <v>0</v>
      </c>
      <c r="U261" s="32">
        <f>IF(B261="","",COUNTIFS($B$5:B261,B261))</f>
        <v>0</v>
      </c>
      <c r="V261" s="32">
        <f>IF(A261="","",TodayDate-A261)</f>
        <v>0</v>
      </c>
      <c r="W261" s="43">
        <f>IF(A261="","",IF(M261="","Add - old and new price",IF(Q261&lt;0,"Loss - priced below cost",IF(T261="","Watch - no volume data yet",IF(T261&gt;0.02,"Worked - revenue up",IF(T261&lt;-0.02,"Hurt - revenue down","Neutral - no real change"))))))</f>
        <v>0</v>
      </c>
    </row>
    <row r="262" spans="3:23">
      <c r="C262" s="13">
        <f>IF(B262="","",IFERROR(INDEX(Products!$B$5:$B$304,MATCH(B262,Products!$A$5:$A$304,0)),"Not found"))</f>
        <v>0</v>
      </c>
      <c r="L262" s="13">
        <f>IF(A262="","",TEXT(A262,"yyyy-mm"))</f>
        <v>0</v>
      </c>
      <c r="M262" s="20">
        <f>IF(A262="","",IF(OR(D262="",E262=""),"",ROUND(E262-D262,2)))</f>
        <v>0</v>
      </c>
      <c r="N262" s="33">
        <f>IF(A262="","",IF(OR(D262="",D262=0,E262=""),"",E262/D262-1))</f>
        <v>0</v>
      </c>
      <c r="O262" s="20">
        <f>IF(A262="","",IF(F262&lt;&gt;"",F262,IFERROR(INDEX(Products!$AT$5:$AT$304,MATCH(B262,Products!$A$5:$A$304,0)),"")))</f>
        <v>0</v>
      </c>
      <c r="P262" s="33">
        <f>IF(A262="","",IF(OR(D262="",D262=0,O262=""),"",(D262-O262)/D262))</f>
        <v>0</v>
      </c>
      <c r="Q262" s="33">
        <f>IF(A262="","",IF(OR(E262="",E262=0,O262=""),"",(E262-O262)/E262))</f>
        <v>0</v>
      </c>
      <c r="R262" s="33">
        <f>IF(A262="","",IF(OR(P262="",Q262=""),"",Q262-P262))</f>
        <v>0</v>
      </c>
      <c r="S262" s="33">
        <f>IF(A262="","",IF(OR(I262="",I262=0,J262=""),"",J262/I262-1))</f>
        <v>0</v>
      </c>
      <c r="T262" s="33">
        <f>IF(A262="","",IF(OR(S262="",N262=""),"",(1+N262)*(1+S262)-1))</f>
        <v>0</v>
      </c>
      <c r="U262" s="32">
        <f>IF(B262="","",COUNTIFS($B$5:B262,B262))</f>
        <v>0</v>
      </c>
      <c r="V262" s="32">
        <f>IF(A262="","",TodayDate-A262)</f>
        <v>0</v>
      </c>
      <c r="W262" s="43">
        <f>IF(A262="","",IF(M262="","Add - old and new price",IF(Q262&lt;0,"Loss - priced below cost",IF(T262="","Watch - no volume data yet",IF(T262&gt;0.02,"Worked - revenue up",IF(T262&lt;-0.02,"Hurt - revenue down","Neutral - no real change"))))))</f>
        <v>0</v>
      </c>
    </row>
    <row r="263" spans="3:23">
      <c r="C263" s="13">
        <f>IF(B263="","",IFERROR(INDEX(Products!$B$5:$B$304,MATCH(B263,Products!$A$5:$A$304,0)),"Not found"))</f>
        <v>0</v>
      </c>
      <c r="L263" s="13">
        <f>IF(A263="","",TEXT(A263,"yyyy-mm"))</f>
        <v>0</v>
      </c>
      <c r="M263" s="20">
        <f>IF(A263="","",IF(OR(D263="",E263=""),"",ROUND(E263-D263,2)))</f>
        <v>0</v>
      </c>
      <c r="N263" s="33">
        <f>IF(A263="","",IF(OR(D263="",D263=0,E263=""),"",E263/D263-1))</f>
        <v>0</v>
      </c>
      <c r="O263" s="20">
        <f>IF(A263="","",IF(F263&lt;&gt;"",F263,IFERROR(INDEX(Products!$AT$5:$AT$304,MATCH(B263,Products!$A$5:$A$304,0)),"")))</f>
        <v>0</v>
      </c>
      <c r="P263" s="33">
        <f>IF(A263="","",IF(OR(D263="",D263=0,O263=""),"",(D263-O263)/D263))</f>
        <v>0</v>
      </c>
      <c r="Q263" s="33">
        <f>IF(A263="","",IF(OR(E263="",E263=0,O263=""),"",(E263-O263)/E263))</f>
        <v>0</v>
      </c>
      <c r="R263" s="33">
        <f>IF(A263="","",IF(OR(P263="",Q263=""),"",Q263-P263))</f>
        <v>0</v>
      </c>
      <c r="S263" s="33">
        <f>IF(A263="","",IF(OR(I263="",I263=0,J263=""),"",J263/I263-1))</f>
        <v>0</v>
      </c>
      <c r="T263" s="33">
        <f>IF(A263="","",IF(OR(S263="",N263=""),"",(1+N263)*(1+S263)-1))</f>
        <v>0</v>
      </c>
      <c r="U263" s="32">
        <f>IF(B263="","",COUNTIFS($B$5:B263,B263))</f>
        <v>0</v>
      </c>
      <c r="V263" s="32">
        <f>IF(A263="","",TodayDate-A263)</f>
        <v>0</v>
      </c>
      <c r="W263" s="43">
        <f>IF(A263="","",IF(M263="","Add - old and new price",IF(Q263&lt;0,"Loss - priced below cost",IF(T263="","Watch - no volume data yet",IF(T263&gt;0.02,"Worked - revenue up",IF(T263&lt;-0.02,"Hurt - revenue down","Neutral - no real change"))))))</f>
        <v>0</v>
      </c>
    </row>
    <row r="264" spans="3:23">
      <c r="C264" s="13">
        <f>IF(B264="","",IFERROR(INDEX(Products!$B$5:$B$304,MATCH(B264,Products!$A$5:$A$304,0)),"Not found"))</f>
        <v>0</v>
      </c>
      <c r="L264" s="13">
        <f>IF(A264="","",TEXT(A264,"yyyy-mm"))</f>
        <v>0</v>
      </c>
      <c r="M264" s="20">
        <f>IF(A264="","",IF(OR(D264="",E264=""),"",ROUND(E264-D264,2)))</f>
        <v>0</v>
      </c>
      <c r="N264" s="33">
        <f>IF(A264="","",IF(OR(D264="",D264=0,E264=""),"",E264/D264-1))</f>
        <v>0</v>
      </c>
      <c r="O264" s="20">
        <f>IF(A264="","",IF(F264&lt;&gt;"",F264,IFERROR(INDEX(Products!$AT$5:$AT$304,MATCH(B264,Products!$A$5:$A$304,0)),"")))</f>
        <v>0</v>
      </c>
      <c r="P264" s="33">
        <f>IF(A264="","",IF(OR(D264="",D264=0,O264=""),"",(D264-O264)/D264))</f>
        <v>0</v>
      </c>
      <c r="Q264" s="33">
        <f>IF(A264="","",IF(OR(E264="",E264=0,O264=""),"",(E264-O264)/E264))</f>
        <v>0</v>
      </c>
      <c r="R264" s="33">
        <f>IF(A264="","",IF(OR(P264="",Q264=""),"",Q264-P264))</f>
        <v>0</v>
      </c>
      <c r="S264" s="33">
        <f>IF(A264="","",IF(OR(I264="",I264=0,J264=""),"",J264/I264-1))</f>
        <v>0</v>
      </c>
      <c r="T264" s="33">
        <f>IF(A264="","",IF(OR(S264="",N264=""),"",(1+N264)*(1+S264)-1))</f>
        <v>0</v>
      </c>
      <c r="U264" s="32">
        <f>IF(B264="","",COUNTIFS($B$5:B264,B264))</f>
        <v>0</v>
      </c>
      <c r="V264" s="32">
        <f>IF(A264="","",TodayDate-A264)</f>
        <v>0</v>
      </c>
      <c r="W264" s="43">
        <f>IF(A264="","",IF(M264="","Add - old and new price",IF(Q264&lt;0,"Loss - priced below cost",IF(T264="","Watch - no volume data yet",IF(T264&gt;0.02,"Worked - revenue up",IF(T264&lt;-0.02,"Hurt - revenue down","Neutral - no real change"))))))</f>
        <v>0</v>
      </c>
    </row>
    <row r="265" spans="3:23">
      <c r="C265" s="13">
        <f>IF(B265="","",IFERROR(INDEX(Products!$B$5:$B$304,MATCH(B265,Products!$A$5:$A$304,0)),"Not found"))</f>
        <v>0</v>
      </c>
      <c r="L265" s="13">
        <f>IF(A265="","",TEXT(A265,"yyyy-mm"))</f>
        <v>0</v>
      </c>
      <c r="M265" s="20">
        <f>IF(A265="","",IF(OR(D265="",E265=""),"",ROUND(E265-D265,2)))</f>
        <v>0</v>
      </c>
      <c r="N265" s="33">
        <f>IF(A265="","",IF(OR(D265="",D265=0,E265=""),"",E265/D265-1))</f>
        <v>0</v>
      </c>
      <c r="O265" s="20">
        <f>IF(A265="","",IF(F265&lt;&gt;"",F265,IFERROR(INDEX(Products!$AT$5:$AT$304,MATCH(B265,Products!$A$5:$A$304,0)),"")))</f>
        <v>0</v>
      </c>
      <c r="P265" s="33">
        <f>IF(A265="","",IF(OR(D265="",D265=0,O265=""),"",(D265-O265)/D265))</f>
        <v>0</v>
      </c>
      <c r="Q265" s="33">
        <f>IF(A265="","",IF(OR(E265="",E265=0,O265=""),"",(E265-O265)/E265))</f>
        <v>0</v>
      </c>
      <c r="R265" s="33">
        <f>IF(A265="","",IF(OR(P265="",Q265=""),"",Q265-P265))</f>
        <v>0</v>
      </c>
      <c r="S265" s="33">
        <f>IF(A265="","",IF(OR(I265="",I265=0,J265=""),"",J265/I265-1))</f>
        <v>0</v>
      </c>
      <c r="T265" s="33">
        <f>IF(A265="","",IF(OR(S265="",N265=""),"",(1+N265)*(1+S265)-1))</f>
        <v>0</v>
      </c>
      <c r="U265" s="32">
        <f>IF(B265="","",COUNTIFS($B$5:B265,B265))</f>
        <v>0</v>
      </c>
      <c r="V265" s="32">
        <f>IF(A265="","",TodayDate-A265)</f>
        <v>0</v>
      </c>
      <c r="W265" s="43">
        <f>IF(A265="","",IF(M265="","Add - old and new price",IF(Q265&lt;0,"Loss - priced below cost",IF(T265="","Watch - no volume data yet",IF(T265&gt;0.02,"Worked - revenue up",IF(T265&lt;-0.02,"Hurt - revenue down","Neutral - no real change"))))))</f>
        <v>0</v>
      </c>
    </row>
    <row r="266" spans="3:23">
      <c r="C266" s="13">
        <f>IF(B266="","",IFERROR(INDEX(Products!$B$5:$B$304,MATCH(B266,Products!$A$5:$A$304,0)),"Not found"))</f>
        <v>0</v>
      </c>
      <c r="L266" s="13">
        <f>IF(A266="","",TEXT(A266,"yyyy-mm"))</f>
        <v>0</v>
      </c>
      <c r="M266" s="20">
        <f>IF(A266="","",IF(OR(D266="",E266=""),"",ROUND(E266-D266,2)))</f>
        <v>0</v>
      </c>
      <c r="N266" s="33">
        <f>IF(A266="","",IF(OR(D266="",D266=0,E266=""),"",E266/D266-1))</f>
        <v>0</v>
      </c>
      <c r="O266" s="20">
        <f>IF(A266="","",IF(F266&lt;&gt;"",F266,IFERROR(INDEX(Products!$AT$5:$AT$304,MATCH(B266,Products!$A$5:$A$304,0)),"")))</f>
        <v>0</v>
      </c>
      <c r="P266" s="33">
        <f>IF(A266="","",IF(OR(D266="",D266=0,O266=""),"",(D266-O266)/D266))</f>
        <v>0</v>
      </c>
      <c r="Q266" s="33">
        <f>IF(A266="","",IF(OR(E266="",E266=0,O266=""),"",(E266-O266)/E266))</f>
        <v>0</v>
      </c>
      <c r="R266" s="33">
        <f>IF(A266="","",IF(OR(P266="",Q266=""),"",Q266-P266))</f>
        <v>0</v>
      </c>
      <c r="S266" s="33">
        <f>IF(A266="","",IF(OR(I266="",I266=0,J266=""),"",J266/I266-1))</f>
        <v>0</v>
      </c>
      <c r="T266" s="33">
        <f>IF(A266="","",IF(OR(S266="",N266=""),"",(1+N266)*(1+S266)-1))</f>
        <v>0</v>
      </c>
      <c r="U266" s="32">
        <f>IF(B266="","",COUNTIFS($B$5:B266,B266))</f>
        <v>0</v>
      </c>
      <c r="V266" s="32">
        <f>IF(A266="","",TodayDate-A266)</f>
        <v>0</v>
      </c>
      <c r="W266" s="43">
        <f>IF(A266="","",IF(M266="","Add - old and new price",IF(Q266&lt;0,"Loss - priced below cost",IF(T266="","Watch - no volume data yet",IF(T266&gt;0.02,"Worked - revenue up",IF(T266&lt;-0.02,"Hurt - revenue down","Neutral - no real change"))))))</f>
        <v>0</v>
      </c>
    </row>
    <row r="267" spans="3:23">
      <c r="C267" s="13">
        <f>IF(B267="","",IFERROR(INDEX(Products!$B$5:$B$304,MATCH(B267,Products!$A$5:$A$304,0)),"Not found"))</f>
        <v>0</v>
      </c>
      <c r="L267" s="13">
        <f>IF(A267="","",TEXT(A267,"yyyy-mm"))</f>
        <v>0</v>
      </c>
      <c r="M267" s="20">
        <f>IF(A267="","",IF(OR(D267="",E267=""),"",ROUND(E267-D267,2)))</f>
        <v>0</v>
      </c>
      <c r="N267" s="33">
        <f>IF(A267="","",IF(OR(D267="",D267=0,E267=""),"",E267/D267-1))</f>
        <v>0</v>
      </c>
      <c r="O267" s="20">
        <f>IF(A267="","",IF(F267&lt;&gt;"",F267,IFERROR(INDEX(Products!$AT$5:$AT$304,MATCH(B267,Products!$A$5:$A$304,0)),"")))</f>
        <v>0</v>
      </c>
      <c r="P267" s="33">
        <f>IF(A267="","",IF(OR(D267="",D267=0,O267=""),"",(D267-O267)/D267))</f>
        <v>0</v>
      </c>
      <c r="Q267" s="33">
        <f>IF(A267="","",IF(OR(E267="",E267=0,O267=""),"",(E267-O267)/E267))</f>
        <v>0</v>
      </c>
      <c r="R267" s="33">
        <f>IF(A267="","",IF(OR(P267="",Q267=""),"",Q267-P267))</f>
        <v>0</v>
      </c>
      <c r="S267" s="33">
        <f>IF(A267="","",IF(OR(I267="",I267=0,J267=""),"",J267/I267-1))</f>
        <v>0</v>
      </c>
      <c r="T267" s="33">
        <f>IF(A267="","",IF(OR(S267="",N267=""),"",(1+N267)*(1+S267)-1))</f>
        <v>0</v>
      </c>
      <c r="U267" s="32">
        <f>IF(B267="","",COUNTIFS($B$5:B267,B267))</f>
        <v>0</v>
      </c>
      <c r="V267" s="32">
        <f>IF(A267="","",TodayDate-A267)</f>
        <v>0</v>
      </c>
      <c r="W267" s="43">
        <f>IF(A267="","",IF(M267="","Add - old and new price",IF(Q267&lt;0,"Loss - priced below cost",IF(T267="","Watch - no volume data yet",IF(T267&gt;0.02,"Worked - revenue up",IF(T267&lt;-0.02,"Hurt - revenue down","Neutral - no real change"))))))</f>
        <v>0</v>
      </c>
    </row>
    <row r="268" spans="3:23">
      <c r="C268" s="13">
        <f>IF(B268="","",IFERROR(INDEX(Products!$B$5:$B$304,MATCH(B268,Products!$A$5:$A$304,0)),"Not found"))</f>
        <v>0</v>
      </c>
      <c r="L268" s="13">
        <f>IF(A268="","",TEXT(A268,"yyyy-mm"))</f>
        <v>0</v>
      </c>
      <c r="M268" s="20">
        <f>IF(A268="","",IF(OR(D268="",E268=""),"",ROUND(E268-D268,2)))</f>
        <v>0</v>
      </c>
      <c r="N268" s="33">
        <f>IF(A268="","",IF(OR(D268="",D268=0,E268=""),"",E268/D268-1))</f>
        <v>0</v>
      </c>
      <c r="O268" s="20">
        <f>IF(A268="","",IF(F268&lt;&gt;"",F268,IFERROR(INDEX(Products!$AT$5:$AT$304,MATCH(B268,Products!$A$5:$A$304,0)),"")))</f>
        <v>0</v>
      </c>
      <c r="P268" s="33">
        <f>IF(A268="","",IF(OR(D268="",D268=0,O268=""),"",(D268-O268)/D268))</f>
        <v>0</v>
      </c>
      <c r="Q268" s="33">
        <f>IF(A268="","",IF(OR(E268="",E268=0,O268=""),"",(E268-O268)/E268))</f>
        <v>0</v>
      </c>
      <c r="R268" s="33">
        <f>IF(A268="","",IF(OR(P268="",Q268=""),"",Q268-P268))</f>
        <v>0</v>
      </c>
      <c r="S268" s="33">
        <f>IF(A268="","",IF(OR(I268="",I268=0,J268=""),"",J268/I268-1))</f>
        <v>0</v>
      </c>
      <c r="T268" s="33">
        <f>IF(A268="","",IF(OR(S268="",N268=""),"",(1+N268)*(1+S268)-1))</f>
        <v>0</v>
      </c>
      <c r="U268" s="32">
        <f>IF(B268="","",COUNTIFS($B$5:B268,B268))</f>
        <v>0</v>
      </c>
      <c r="V268" s="32">
        <f>IF(A268="","",TodayDate-A268)</f>
        <v>0</v>
      </c>
      <c r="W268" s="43">
        <f>IF(A268="","",IF(M268="","Add - old and new price",IF(Q268&lt;0,"Loss - priced below cost",IF(T268="","Watch - no volume data yet",IF(T268&gt;0.02,"Worked - revenue up",IF(T268&lt;-0.02,"Hurt - revenue down","Neutral - no real change"))))))</f>
        <v>0</v>
      </c>
    </row>
    <row r="269" spans="3:23">
      <c r="C269" s="13">
        <f>IF(B269="","",IFERROR(INDEX(Products!$B$5:$B$304,MATCH(B269,Products!$A$5:$A$304,0)),"Not found"))</f>
        <v>0</v>
      </c>
      <c r="L269" s="13">
        <f>IF(A269="","",TEXT(A269,"yyyy-mm"))</f>
        <v>0</v>
      </c>
      <c r="M269" s="20">
        <f>IF(A269="","",IF(OR(D269="",E269=""),"",ROUND(E269-D269,2)))</f>
        <v>0</v>
      </c>
      <c r="N269" s="33">
        <f>IF(A269="","",IF(OR(D269="",D269=0,E269=""),"",E269/D269-1))</f>
        <v>0</v>
      </c>
      <c r="O269" s="20">
        <f>IF(A269="","",IF(F269&lt;&gt;"",F269,IFERROR(INDEX(Products!$AT$5:$AT$304,MATCH(B269,Products!$A$5:$A$304,0)),"")))</f>
        <v>0</v>
      </c>
      <c r="P269" s="33">
        <f>IF(A269="","",IF(OR(D269="",D269=0,O269=""),"",(D269-O269)/D269))</f>
        <v>0</v>
      </c>
      <c r="Q269" s="33">
        <f>IF(A269="","",IF(OR(E269="",E269=0,O269=""),"",(E269-O269)/E269))</f>
        <v>0</v>
      </c>
      <c r="R269" s="33">
        <f>IF(A269="","",IF(OR(P269="",Q269=""),"",Q269-P269))</f>
        <v>0</v>
      </c>
      <c r="S269" s="33">
        <f>IF(A269="","",IF(OR(I269="",I269=0,J269=""),"",J269/I269-1))</f>
        <v>0</v>
      </c>
      <c r="T269" s="33">
        <f>IF(A269="","",IF(OR(S269="",N269=""),"",(1+N269)*(1+S269)-1))</f>
        <v>0</v>
      </c>
      <c r="U269" s="32">
        <f>IF(B269="","",COUNTIFS($B$5:B269,B269))</f>
        <v>0</v>
      </c>
      <c r="V269" s="32">
        <f>IF(A269="","",TodayDate-A269)</f>
        <v>0</v>
      </c>
      <c r="W269" s="43">
        <f>IF(A269="","",IF(M269="","Add - old and new price",IF(Q269&lt;0,"Loss - priced below cost",IF(T269="","Watch - no volume data yet",IF(T269&gt;0.02,"Worked - revenue up",IF(T269&lt;-0.02,"Hurt - revenue down","Neutral - no real change"))))))</f>
        <v>0</v>
      </c>
    </row>
    <row r="270" spans="3:23">
      <c r="C270" s="13">
        <f>IF(B270="","",IFERROR(INDEX(Products!$B$5:$B$304,MATCH(B270,Products!$A$5:$A$304,0)),"Not found"))</f>
        <v>0</v>
      </c>
      <c r="L270" s="13">
        <f>IF(A270="","",TEXT(A270,"yyyy-mm"))</f>
        <v>0</v>
      </c>
      <c r="M270" s="20">
        <f>IF(A270="","",IF(OR(D270="",E270=""),"",ROUND(E270-D270,2)))</f>
        <v>0</v>
      </c>
      <c r="N270" s="33">
        <f>IF(A270="","",IF(OR(D270="",D270=0,E270=""),"",E270/D270-1))</f>
        <v>0</v>
      </c>
      <c r="O270" s="20">
        <f>IF(A270="","",IF(F270&lt;&gt;"",F270,IFERROR(INDEX(Products!$AT$5:$AT$304,MATCH(B270,Products!$A$5:$A$304,0)),"")))</f>
        <v>0</v>
      </c>
      <c r="P270" s="33">
        <f>IF(A270="","",IF(OR(D270="",D270=0,O270=""),"",(D270-O270)/D270))</f>
        <v>0</v>
      </c>
      <c r="Q270" s="33">
        <f>IF(A270="","",IF(OR(E270="",E270=0,O270=""),"",(E270-O270)/E270))</f>
        <v>0</v>
      </c>
      <c r="R270" s="33">
        <f>IF(A270="","",IF(OR(P270="",Q270=""),"",Q270-P270))</f>
        <v>0</v>
      </c>
      <c r="S270" s="33">
        <f>IF(A270="","",IF(OR(I270="",I270=0,J270=""),"",J270/I270-1))</f>
        <v>0</v>
      </c>
      <c r="T270" s="33">
        <f>IF(A270="","",IF(OR(S270="",N270=""),"",(1+N270)*(1+S270)-1))</f>
        <v>0</v>
      </c>
      <c r="U270" s="32">
        <f>IF(B270="","",COUNTIFS($B$5:B270,B270))</f>
        <v>0</v>
      </c>
      <c r="V270" s="32">
        <f>IF(A270="","",TodayDate-A270)</f>
        <v>0</v>
      </c>
      <c r="W270" s="43">
        <f>IF(A270="","",IF(M270="","Add - old and new price",IF(Q270&lt;0,"Loss - priced below cost",IF(T270="","Watch - no volume data yet",IF(T270&gt;0.02,"Worked - revenue up",IF(T270&lt;-0.02,"Hurt - revenue down","Neutral - no real change"))))))</f>
        <v>0</v>
      </c>
    </row>
    <row r="271" spans="3:23">
      <c r="C271" s="13">
        <f>IF(B271="","",IFERROR(INDEX(Products!$B$5:$B$304,MATCH(B271,Products!$A$5:$A$304,0)),"Not found"))</f>
        <v>0</v>
      </c>
      <c r="L271" s="13">
        <f>IF(A271="","",TEXT(A271,"yyyy-mm"))</f>
        <v>0</v>
      </c>
      <c r="M271" s="20">
        <f>IF(A271="","",IF(OR(D271="",E271=""),"",ROUND(E271-D271,2)))</f>
        <v>0</v>
      </c>
      <c r="N271" s="33">
        <f>IF(A271="","",IF(OR(D271="",D271=0,E271=""),"",E271/D271-1))</f>
        <v>0</v>
      </c>
      <c r="O271" s="20">
        <f>IF(A271="","",IF(F271&lt;&gt;"",F271,IFERROR(INDEX(Products!$AT$5:$AT$304,MATCH(B271,Products!$A$5:$A$304,0)),"")))</f>
        <v>0</v>
      </c>
      <c r="P271" s="33">
        <f>IF(A271="","",IF(OR(D271="",D271=0,O271=""),"",(D271-O271)/D271))</f>
        <v>0</v>
      </c>
      <c r="Q271" s="33">
        <f>IF(A271="","",IF(OR(E271="",E271=0,O271=""),"",(E271-O271)/E271))</f>
        <v>0</v>
      </c>
      <c r="R271" s="33">
        <f>IF(A271="","",IF(OR(P271="",Q271=""),"",Q271-P271))</f>
        <v>0</v>
      </c>
      <c r="S271" s="33">
        <f>IF(A271="","",IF(OR(I271="",I271=0,J271=""),"",J271/I271-1))</f>
        <v>0</v>
      </c>
      <c r="T271" s="33">
        <f>IF(A271="","",IF(OR(S271="",N271=""),"",(1+N271)*(1+S271)-1))</f>
        <v>0</v>
      </c>
      <c r="U271" s="32">
        <f>IF(B271="","",COUNTIFS($B$5:B271,B271))</f>
        <v>0</v>
      </c>
      <c r="V271" s="32">
        <f>IF(A271="","",TodayDate-A271)</f>
        <v>0</v>
      </c>
      <c r="W271" s="43">
        <f>IF(A271="","",IF(M271="","Add - old and new price",IF(Q271&lt;0,"Loss - priced below cost",IF(T271="","Watch - no volume data yet",IF(T271&gt;0.02,"Worked - revenue up",IF(T271&lt;-0.02,"Hurt - revenue down","Neutral - no real change"))))))</f>
        <v>0</v>
      </c>
    </row>
    <row r="272" spans="3:23">
      <c r="C272" s="13">
        <f>IF(B272="","",IFERROR(INDEX(Products!$B$5:$B$304,MATCH(B272,Products!$A$5:$A$304,0)),"Not found"))</f>
        <v>0</v>
      </c>
      <c r="L272" s="13">
        <f>IF(A272="","",TEXT(A272,"yyyy-mm"))</f>
        <v>0</v>
      </c>
      <c r="M272" s="20">
        <f>IF(A272="","",IF(OR(D272="",E272=""),"",ROUND(E272-D272,2)))</f>
        <v>0</v>
      </c>
      <c r="N272" s="33">
        <f>IF(A272="","",IF(OR(D272="",D272=0,E272=""),"",E272/D272-1))</f>
        <v>0</v>
      </c>
      <c r="O272" s="20">
        <f>IF(A272="","",IF(F272&lt;&gt;"",F272,IFERROR(INDEX(Products!$AT$5:$AT$304,MATCH(B272,Products!$A$5:$A$304,0)),"")))</f>
        <v>0</v>
      </c>
      <c r="P272" s="33">
        <f>IF(A272="","",IF(OR(D272="",D272=0,O272=""),"",(D272-O272)/D272))</f>
        <v>0</v>
      </c>
      <c r="Q272" s="33">
        <f>IF(A272="","",IF(OR(E272="",E272=0,O272=""),"",(E272-O272)/E272))</f>
        <v>0</v>
      </c>
      <c r="R272" s="33">
        <f>IF(A272="","",IF(OR(P272="",Q272=""),"",Q272-P272))</f>
        <v>0</v>
      </c>
      <c r="S272" s="33">
        <f>IF(A272="","",IF(OR(I272="",I272=0,J272=""),"",J272/I272-1))</f>
        <v>0</v>
      </c>
      <c r="T272" s="33">
        <f>IF(A272="","",IF(OR(S272="",N272=""),"",(1+N272)*(1+S272)-1))</f>
        <v>0</v>
      </c>
      <c r="U272" s="32">
        <f>IF(B272="","",COUNTIFS($B$5:B272,B272))</f>
        <v>0</v>
      </c>
      <c r="V272" s="32">
        <f>IF(A272="","",TodayDate-A272)</f>
        <v>0</v>
      </c>
      <c r="W272" s="43">
        <f>IF(A272="","",IF(M272="","Add - old and new price",IF(Q272&lt;0,"Loss - priced below cost",IF(T272="","Watch - no volume data yet",IF(T272&gt;0.02,"Worked - revenue up",IF(T272&lt;-0.02,"Hurt - revenue down","Neutral - no real change"))))))</f>
        <v>0</v>
      </c>
    </row>
    <row r="273" spans="3:23">
      <c r="C273" s="13">
        <f>IF(B273="","",IFERROR(INDEX(Products!$B$5:$B$304,MATCH(B273,Products!$A$5:$A$304,0)),"Not found"))</f>
        <v>0</v>
      </c>
      <c r="L273" s="13">
        <f>IF(A273="","",TEXT(A273,"yyyy-mm"))</f>
        <v>0</v>
      </c>
      <c r="M273" s="20">
        <f>IF(A273="","",IF(OR(D273="",E273=""),"",ROUND(E273-D273,2)))</f>
        <v>0</v>
      </c>
      <c r="N273" s="33">
        <f>IF(A273="","",IF(OR(D273="",D273=0,E273=""),"",E273/D273-1))</f>
        <v>0</v>
      </c>
      <c r="O273" s="20">
        <f>IF(A273="","",IF(F273&lt;&gt;"",F273,IFERROR(INDEX(Products!$AT$5:$AT$304,MATCH(B273,Products!$A$5:$A$304,0)),"")))</f>
        <v>0</v>
      </c>
      <c r="P273" s="33">
        <f>IF(A273="","",IF(OR(D273="",D273=0,O273=""),"",(D273-O273)/D273))</f>
        <v>0</v>
      </c>
      <c r="Q273" s="33">
        <f>IF(A273="","",IF(OR(E273="",E273=0,O273=""),"",(E273-O273)/E273))</f>
        <v>0</v>
      </c>
      <c r="R273" s="33">
        <f>IF(A273="","",IF(OR(P273="",Q273=""),"",Q273-P273))</f>
        <v>0</v>
      </c>
      <c r="S273" s="33">
        <f>IF(A273="","",IF(OR(I273="",I273=0,J273=""),"",J273/I273-1))</f>
        <v>0</v>
      </c>
      <c r="T273" s="33">
        <f>IF(A273="","",IF(OR(S273="",N273=""),"",(1+N273)*(1+S273)-1))</f>
        <v>0</v>
      </c>
      <c r="U273" s="32">
        <f>IF(B273="","",COUNTIFS($B$5:B273,B273))</f>
        <v>0</v>
      </c>
      <c r="V273" s="32">
        <f>IF(A273="","",TodayDate-A273)</f>
        <v>0</v>
      </c>
      <c r="W273" s="43">
        <f>IF(A273="","",IF(M273="","Add - old and new price",IF(Q273&lt;0,"Loss - priced below cost",IF(T273="","Watch - no volume data yet",IF(T273&gt;0.02,"Worked - revenue up",IF(T273&lt;-0.02,"Hurt - revenue down","Neutral - no real change"))))))</f>
        <v>0</v>
      </c>
    </row>
    <row r="274" spans="3:23">
      <c r="C274" s="13">
        <f>IF(B274="","",IFERROR(INDEX(Products!$B$5:$B$304,MATCH(B274,Products!$A$5:$A$304,0)),"Not found"))</f>
        <v>0</v>
      </c>
      <c r="L274" s="13">
        <f>IF(A274="","",TEXT(A274,"yyyy-mm"))</f>
        <v>0</v>
      </c>
      <c r="M274" s="20">
        <f>IF(A274="","",IF(OR(D274="",E274=""),"",ROUND(E274-D274,2)))</f>
        <v>0</v>
      </c>
      <c r="N274" s="33">
        <f>IF(A274="","",IF(OR(D274="",D274=0,E274=""),"",E274/D274-1))</f>
        <v>0</v>
      </c>
      <c r="O274" s="20">
        <f>IF(A274="","",IF(F274&lt;&gt;"",F274,IFERROR(INDEX(Products!$AT$5:$AT$304,MATCH(B274,Products!$A$5:$A$304,0)),"")))</f>
        <v>0</v>
      </c>
      <c r="P274" s="33">
        <f>IF(A274="","",IF(OR(D274="",D274=0,O274=""),"",(D274-O274)/D274))</f>
        <v>0</v>
      </c>
      <c r="Q274" s="33">
        <f>IF(A274="","",IF(OR(E274="",E274=0,O274=""),"",(E274-O274)/E274))</f>
        <v>0</v>
      </c>
      <c r="R274" s="33">
        <f>IF(A274="","",IF(OR(P274="",Q274=""),"",Q274-P274))</f>
        <v>0</v>
      </c>
      <c r="S274" s="33">
        <f>IF(A274="","",IF(OR(I274="",I274=0,J274=""),"",J274/I274-1))</f>
        <v>0</v>
      </c>
      <c r="T274" s="33">
        <f>IF(A274="","",IF(OR(S274="",N274=""),"",(1+N274)*(1+S274)-1))</f>
        <v>0</v>
      </c>
      <c r="U274" s="32">
        <f>IF(B274="","",COUNTIFS($B$5:B274,B274))</f>
        <v>0</v>
      </c>
      <c r="V274" s="32">
        <f>IF(A274="","",TodayDate-A274)</f>
        <v>0</v>
      </c>
      <c r="W274" s="43">
        <f>IF(A274="","",IF(M274="","Add - old and new price",IF(Q274&lt;0,"Loss - priced below cost",IF(T274="","Watch - no volume data yet",IF(T274&gt;0.02,"Worked - revenue up",IF(T274&lt;-0.02,"Hurt - revenue down","Neutral - no real change"))))))</f>
        <v>0</v>
      </c>
    </row>
    <row r="275" spans="3:23">
      <c r="C275" s="13">
        <f>IF(B275="","",IFERROR(INDEX(Products!$B$5:$B$304,MATCH(B275,Products!$A$5:$A$304,0)),"Not found"))</f>
        <v>0</v>
      </c>
      <c r="L275" s="13">
        <f>IF(A275="","",TEXT(A275,"yyyy-mm"))</f>
        <v>0</v>
      </c>
      <c r="M275" s="20">
        <f>IF(A275="","",IF(OR(D275="",E275=""),"",ROUND(E275-D275,2)))</f>
        <v>0</v>
      </c>
      <c r="N275" s="33">
        <f>IF(A275="","",IF(OR(D275="",D275=0,E275=""),"",E275/D275-1))</f>
        <v>0</v>
      </c>
      <c r="O275" s="20">
        <f>IF(A275="","",IF(F275&lt;&gt;"",F275,IFERROR(INDEX(Products!$AT$5:$AT$304,MATCH(B275,Products!$A$5:$A$304,0)),"")))</f>
        <v>0</v>
      </c>
      <c r="P275" s="33">
        <f>IF(A275="","",IF(OR(D275="",D275=0,O275=""),"",(D275-O275)/D275))</f>
        <v>0</v>
      </c>
      <c r="Q275" s="33">
        <f>IF(A275="","",IF(OR(E275="",E275=0,O275=""),"",(E275-O275)/E275))</f>
        <v>0</v>
      </c>
      <c r="R275" s="33">
        <f>IF(A275="","",IF(OR(P275="",Q275=""),"",Q275-P275))</f>
        <v>0</v>
      </c>
      <c r="S275" s="33">
        <f>IF(A275="","",IF(OR(I275="",I275=0,J275=""),"",J275/I275-1))</f>
        <v>0</v>
      </c>
      <c r="T275" s="33">
        <f>IF(A275="","",IF(OR(S275="",N275=""),"",(1+N275)*(1+S275)-1))</f>
        <v>0</v>
      </c>
      <c r="U275" s="32">
        <f>IF(B275="","",COUNTIFS($B$5:B275,B275))</f>
        <v>0</v>
      </c>
      <c r="V275" s="32">
        <f>IF(A275="","",TodayDate-A275)</f>
        <v>0</v>
      </c>
      <c r="W275" s="43">
        <f>IF(A275="","",IF(M275="","Add - old and new price",IF(Q275&lt;0,"Loss - priced below cost",IF(T275="","Watch - no volume data yet",IF(T275&gt;0.02,"Worked - revenue up",IF(T275&lt;-0.02,"Hurt - revenue down","Neutral - no real change"))))))</f>
        <v>0</v>
      </c>
    </row>
    <row r="276" spans="3:23">
      <c r="C276" s="13">
        <f>IF(B276="","",IFERROR(INDEX(Products!$B$5:$B$304,MATCH(B276,Products!$A$5:$A$304,0)),"Not found"))</f>
        <v>0</v>
      </c>
      <c r="L276" s="13">
        <f>IF(A276="","",TEXT(A276,"yyyy-mm"))</f>
        <v>0</v>
      </c>
      <c r="M276" s="20">
        <f>IF(A276="","",IF(OR(D276="",E276=""),"",ROUND(E276-D276,2)))</f>
        <v>0</v>
      </c>
      <c r="N276" s="33">
        <f>IF(A276="","",IF(OR(D276="",D276=0,E276=""),"",E276/D276-1))</f>
        <v>0</v>
      </c>
      <c r="O276" s="20">
        <f>IF(A276="","",IF(F276&lt;&gt;"",F276,IFERROR(INDEX(Products!$AT$5:$AT$304,MATCH(B276,Products!$A$5:$A$304,0)),"")))</f>
        <v>0</v>
      </c>
      <c r="P276" s="33">
        <f>IF(A276="","",IF(OR(D276="",D276=0,O276=""),"",(D276-O276)/D276))</f>
        <v>0</v>
      </c>
      <c r="Q276" s="33">
        <f>IF(A276="","",IF(OR(E276="",E276=0,O276=""),"",(E276-O276)/E276))</f>
        <v>0</v>
      </c>
      <c r="R276" s="33">
        <f>IF(A276="","",IF(OR(P276="",Q276=""),"",Q276-P276))</f>
        <v>0</v>
      </c>
      <c r="S276" s="33">
        <f>IF(A276="","",IF(OR(I276="",I276=0,J276=""),"",J276/I276-1))</f>
        <v>0</v>
      </c>
      <c r="T276" s="33">
        <f>IF(A276="","",IF(OR(S276="",N276=""),"",(1+N276)*(1+S276)-1))</f>
        <v>0</v>
      </c>
      <c r="U276" s="32">
        <f>IF(B276="","",COUNTIFS($B$5:B276,B276))</f>
        <v>0</v>
      </c>
      <c r="V276" s="32">
        <f>IF(A276="","",TodayDate-A276)</f>
        <v>0</v>
      </c>
      <c r="W276" s="43">
        <f>IF(A276="","",IF(M276="","Add - old and new price",IF(Q276&lt;0,"Loss - priced below cost",IF(T276="","Watch - no volume data yet",IF(T276&gt;0.02,"Worked - revenue up",IF(T276&lt;-0.02,"Hurt - revenue down","Neutral - no real change"))))))</f>
        <v>0</v>
      </c>
    </row>
    <row r="277" spans="3:23">
      <c r="C277" s="13">
        <f>IF(B277="","",IFERROR(INDEX(Products!$B$5:$B$304,MATCH(B277,Products!$A$5:$A$304,0)),"Not found"))</f>
        <v>0</v>
      </c>
      <c r="L277" s="13">
        <f>IF(A277="","",TEXT(A277,"yyyy-mm"))</f>
        <v>0</v>
      </c>
      <c r="M277" s="20">
        <f>IF(A277="","",IF(OR(D277="",E277=""),"",ROUND(E277-D277,2)))</f>
        <v>0</v>
      </c>
      <c r="N277" s="33">
        <f>IF(A277="","",IF(OR(D277="",D277=0,E277=""),"",E277/D277-1))</f>
        <v>0</v>
      </c>
      <c r="O277" s="20">
        <f>IF(A277="","",IF(F277&lt;&gt;"",F277,IFERROR(INDEX(Products!$AT$5:$AT$304,MATCH(B277,Products!$A$5:$A$304,0)),"")))</f>
        <v>0</v>
      </c>
      <c r="P277" s="33">
        <f>IF(A277="","",IF(OR(D277="",D277=0,O277=""),"",(D277-O277)/D277))</f>
        <v>0</v>
      </c>
      <c r="Q277" s="33">
        <f>IF(A277="","",IF(OR(E277="",E277=0,O277=""),"",(E277-O277)/E277))</f>
        <v>0</v>
      </c>
      <c r="R277" s="33">
        <f>IF(A277="","",IF(OR(P277="",Q277=""),"",Q277-P277))</f>
        <v>0</v>
      </c>
      <c r="S277" s="33">
        <f>IF(A277="","",IF(OR(I277="",I277=0,J277=""),"",J277/I277-1))</f>
        <v>0</v>
      </c>
      <c r="T277" s="33">
        <f>IF(A277="","",IF(OR(S277="",N277=""),"",(1+N277)*(1+S277)-1))</f>
        <v>0</v>
      </c>
      <c r="U277" s="32">
        <f>IF(B277="","",COUNTIFS($B$5:B277,B277))</f>
        <v>0</v>
      </c>
      <c r="V277" s="32">
        <f>IF(A277="","",TodayDate-A277)</f>
        <v>0</v>
      </c>
      <c r="W277" s="43">
        <f>IF(A277="","",IF(M277="","Add - old and new price",IF(Q277&lt;0,"Loss - priced below cost",IF(T277="","Watch - no volume data yet",IF(T277&gt;0.02,"Worked - revenue up",IF(T277&lt;-0.02,"Hurt - revenue down","Neutral - no real change"))))))</f>
        <v>0</v>
      </c>
    </row>
    <row r="278" spans="3:23">
      <c r="C278" s="13">
        <f>IF(B278="","",IFERROR(INDEX(Products!$B$5:$B$304,MATCH(B278,Products!$A$5:$A$304,0)),"Not found"))</f>
        <v>0</v>
      </c>
      <c r="L278" s="13">
        <f>IF(A278="","",TEXT(A278,"yyyy-mm"))</f>
        <v>0</v>
      </c>
      <c r="M278" s="20">
        <f>IF(A278="","",IF(OR(D278="",E278=""),"",ROUND(E278-D278,2)))</f>
        <v>0</v>
      </c>
      <c r="N278" s="33">
        <f>IF(A278="","",IF(OR(D278="",D278=0,E278=""),"",E278/D278-1))</f>
        <v>0</v>
      </c>
      <c r="O278" s="20">
        <f>IF(A278="","",IF(F278&lt;&gt;"",F278,IFERROR(INDEX(Products!$AT$5:$AT$304,MATCH(B278,Products!$A$5:$A$304,0)),"")))</f>
        <v>0</v>
      </c>
      <c r="P278" s="33">
        <f>IF(A278="","",IF(OR(D278="",D278=0,O278=""),"",(D278-O278)/D278))</f>
        <v>0</v>
      </c>
      <c r="Q278" s="33">
        <f>IF(A278="","",IF(OR(E278="",E278=0,O278=""),"",(E278-O278)/E278))</f>
        <v>0</v>
      </c>
      <c r="R278" s="33">
        <f>IF(A278="","",IF(OR(P278="",Q278=""),"",Q278-P278))</f>
        <v>0</v>
      </c>
      <c r="S278" s="33">
        <f>IF(A278="","",IF(OR(I278="",I278=0,J278=""),"",J278/I278-1))</f>
        <v>0</v>
      </c>
      <c r="T278" s="33">
        <f>IF(A278="","",IF(OR(S278="",N278=""),"",(1+N278)*(1+S278)-1))</f>
        <v>0</v>
      </c>
      <c r="U278" s="32">
        <f>IF(B278="","",COUNTIFS($B$5:B278,B278))</f>
        <v>0</v>
      </c>
      <c r="V278" s="32">
        <f>IF(A278="","",TodayDate-A278)</f>
        <v>0</v>
      </c>
      <c r="W278" s="43">
        <f>IF(A278="","",IF(M278="","Add - old and new price",IF(Q278&lt;0,"Loss - priced below cost",IF(T278="","Watch - no volume data yet",IF(T278&gt;0.02,"Worked - revenue up",IF(T278&lt;-0.02,"Hurt - revenue down","Neutral - no real change"))))))</f>
        <v>0</v>
      </c>
    </row>
    <row r="279" spans="3:23">
      <c r="C279" s="13">
        <f>IF(B279="","",IFERROR(INDEX(Products!$B$5:$B$304,MATCH(B279,Products!$A$5:$A$304,0)),"Not found"))</f>
        <v>0</v>
      </c>
      <c r="L279" s="13">
        <f>IF(A279="","",TEXT(A279,"yyyy-mm"))</f>
        <v>0</v>
      </c>
      <c r="M279" s="20">
        <f>IF(A279="","",IF(OR(D279="",E279=""),"",ROUND(E279-D279,2)))</f>
        <v>0</v>
      </c>
      <c r="N279" s="33">
        <f>IF(A279="","",IF(OR(D279="",D279=0,E279=""),"",E279/D279-1))</f>
        <v>0</v>
      </c>
      <c r="O279" s="20">
        <f>IF(A279="","",IF(F279&lt;&gt;"",F279,IFERROR(INDEX(Products!$AT$5:$AT$304,MATCH(B279,Products!$A$5:$A$304,0)),"")))</f>
        <v>0</v>
      </c>
      <c r="P279" s="33">
        <f>IF(A279="","",IF(OR(D279="",D279=0,O279=""),"",(D279-O279)/D279))</f>
        <v>0</v>
      </c>
      <c r="Q279" s="33">
        <f>IF(A279="","",IF(OR(E279="",E279=0,O279=""),"",(E279-O279)/E279))</f>
        <v>0</v>
      </c>
      <c r="R279" s="33">
        <f>IF(A279="","",IF(OR(P279="",Q279=""),"",Q279-P279))</f>
        <v>0</v>
      </c>
      <c r="S279" s="33">
        <f>IF(A279="","",IF(OR(I279="",I279=0,J279=""),"",J279/I279-1))</f>
        <v>0</v>
      </c>
      <c r="T279" s="33">
        <f>IF(A279="","",IF(OR(S279="",N279=""),"",(1+N279)*(1+S279)-1))</f>
        <v>0</v>
      </c>
      <c r="U279" s="32">
        <f>IF(B279="","",COUNTIFS($B$5:B279,B279))</f>
        <v>0</v>
      </c>
      <c r="V279" s="32">
        <f>IF(A279="","",TodayDate-A279)</f>
        <v>0</v>
      </c>
      <c r="W279" s="43">
        <f>IF(A279="","",IF(M279="","Add - old and new price",IF(Q279&lt;0,"Loss - priced below cost",IF(T279="","Watch - no volume data yet",IF(T279&gt;0.02,"Worked - revenue up",IF(T279&lt;-0.02,"Hurt - revenue down","Neutral - no real change"))))))</f>
        <v>0</v>
      </c>
    </row>
    <row r="280" spans="3:23">
      <c r="C280" s="13">
        <f>IF(B280="","",IFERROR(INDEX(Products!$B$5:$B$304,MATCH(B280,Products!$A$5:$A$304,0)),"Not found"))</f>
        <v>0</v>
      </c>
      <c r="L280" s="13">
        <f>IF(A280="","",TEXT(A280,"yyyy-mm"))</f>
        <v>0</v>
      </c>
      <c r="M280" s="20">
        <f>IF(A280="","",IF(OR(D280="",E280=""),"",ROUND(E280-D280,2)))</f>
        <v>0</v>
      </c>
      <c r="N280" s="33">
        <f>IF(A280="","",IF(OR(D280="",D280=0,E280=""),"",E280/D280-1))</f>
        <v>0</v>
      </c>
      <c r="O280" s="20">
        <f>IF(A280="","",IF(F280&lt;&gt;"",F280,IFERROR(INDEX(Products!$AT$5:$AT$304,MATCH(B280,Products!$A$5:$A$304,0)),"")))</f>
        <v>0</v>
      </c>
      <c r="P280" s="33">
        <f>IF(A280="","",IF(OR(D280="",D280=0,O280=""),"",(D280-O280)/D280))</f>
        <v>0</v>
      </c>
      <c r="Q280" s="33">
        <f>IF(A280="","",IF(OR(E280="",E280=0,O280=""),"",(E280-O280)/E280))</f>
        <v>0</v>
      </c>
      <c r="R280" s="33">
        <f>IF(A280="","",IF(OR(P280="",Q280=""),"",Q280-P280))</f>
        <v>0</v>
      </c>
      <c r="S280" s="33">
        <f>IF(A280="","",IF(OR(I280="",I280=0,J280=""),"",J280/I280-1))</f>
        <v>0</v>
      </c>
      <c r="T280" s="33">
        <f>IF(A280="","",IF(OR(S280="",N280=""),"",(1+N280)*(1+S280)-1))</f>
        <v>0</v>
      </c>
      <c r="U280" s="32">
        <f>IF(B280="","",COUNTIFS($B$5:B280,B280))</f>
        <v>0</v>
      </c>
      <c r="V280" s="32">
        <f>IF(A280="","",TodayDate-A280)</f>
        <v>0</v>
      </c>
      <c r="W280" s="43">
        <f>IF(A280="","",IF(M280="","Add - old and new price",IF(Q280&lt;0,"Loss - priced below cost",IF(T280="","Watch - no volume data yet",IF(T280&gt;0.02,"Worked - revenue up",IF(T280&lt;-0.02,"Hurt - revenue down","Neutral - no real change"))))))</f>
        <v>0</v>
      </c>
    </row>
    <row r="281" spans="3:23">
      <c r="C281" s="13">
        <f>IF(B281="","",IFERROR(INDEX(Products!$B$5:$B$304,MATCH(B281,Products!$A$5:$A$304,0)),"Not found"))</f>
        <v>0</v>
      </c>
      <c r="L281" s="13">
        <f>IF(A281="","",TEXT(A281,"yyyy-mm"))</f>
        <v>0</v>
      </c>
      <c r="M281" s="20">
        <f>IF(A281="","",IF(OR(D281="",E281=""),"",ROUND(E281-D281,2)))</f>
        <v>0</v>
      </c>
      <c r="N281" s="33">
        <f>IF(A281="","",IF(OR(D281="",D281=0,E281=""),"",E281/D281-1))</f>
        <v>0</v>
      </c>
      <c r="O281" s="20">
        <f>IF(A281="","",IF(F281&lt;&gt;"",F281,IFERROR(INDEX(Products!$AT$5:$AT$304,MATCH(B281,Products!$A$5:$A$304,0)),"")))</f>
        <v>0</v>
      </c>
      <c r="P281" s="33">
        <f>IF(A281="","",IF(OR(D281="",D281=0,O281=""),"",(D281-O281)/D281))</f>
        <v>0</v>
      </c>
      <c r="Q281" s="33">
        <f>IF(A281="","",IF(OR(E281="",E281=0,O281=""),"",(E281-O281)/E281))</f>
        <v>0</v>
      </c>
      <c r="R281" s="33">
        <f>IF(A281="","",IF(OR(P281="",Q281=""),"",Q281-P281))</f>
        <v>0</v>
      </c>
      <c r="S281" s="33">
        <f>IF(A281="","",IF(OR(I281="",I281=0,J281=""),"",J281/I281-1))</f>
        <v>0</v>
      </c>
      <c r="T281" s="33">
        <f>IF(A281="","",IF(OR(S281="",N281=""),"",(1+N281)*(1+S281)-1))</f>
        <v>0</v>
      </c>
      <c r="U281" s="32">
        <f>IF(B281="","",COUNTIFS($B$5:B281,B281))</f>
        <v>0</v>
      </c>
      <c r="V281" s="32">
        <f>IF(A281="","",TodayDate-A281)</f>
        <v>0</v>
      </c>
      <c r="W281" s="43">
        <f>IF(A281="","",IF(M281="","Add - old and new price",IF(Q281&lt;0,"Loss - priced below cost",IF(T281="","Watch - no volume data yet",IF(T281&gt;0.02,"Worked - revenue up",IF(T281&lt;-0.02,"Hurt - revenue down","Neutral - no real change"))))))</f>
        <v>0</v>
      </c>
    </row>
    <row r="282" spans="3:23">
      <c r="C282" s="13">
        <f>IF(B282="","",IFERROR(INDEX(Products!$B$5:$B$304,MATCH(B282,Products!$A$5:$A$304,0)),"Not found"))</f>
        <v>0</v>
      </c>
      <c r="L282" s="13">
        <f>IF(A282="","",TEXT(A282,"yyyy-mm"))</f>
        <v>0</v>
      </c>
      <c r="M282" s="20">
        <f>IF(A282="","",IF(OR(D282="",E282=""),"",ROUND(E282-D282,2)))</f>
        <v>0</v>
      </c>
      <c r="N282" s="33">
        <f>IF(A282="","",IF(OR(D282="",D282=0,E282=""),"",E282/D282-1))</f>
        <v>0</v>
      </c>
      <c r="O282" s="20">
        <f>IF(A282="","",IF(F282&lt;&gt;"",F282,IFERROR(INDEX(Products!$AT$5:$AT$304,MATCH(B282,Products!$A$5:$A$304,0)),"")))</f>
        <v>0</v>
      </c>
      <c r="P282" s="33">
        <f>IF(A282="","",IF(OR(D282="",D282=0,O282=""),"",(D282-O282)/D282))</f>
        <v>0</v>
      </c>
      <c r="Q282" s="33">
        <f>IF(A282="","",IF(OR(E282="",E282=0,O282=""),"",(E282-O282)/E282))</f>
        <v>0</v>
      </c>
      <c r="R282" s="33">
        <f>IF(A282="","",IF(OR(P282="",Q282=""),"",Q282-P282))</f>
        <v>0</v>
      </c>
      <c r="S282" s="33">
        <f>IF(A282="","",IF(OR(I282="",I282=0,J282=""),"",J282/I282-1))</f>
        <v>0</v>
      </c>
      <c r="T282" s="33">
        <f>IF(A282="","",IF(OR(S282="",N282=""),"",(1+N282)*(1+S282)-1))</f>
        <v>0</v>
      </c>
      <c r="U282" s="32">
        <f>IF(B282="","",COUNTIFS($B$5:B282,B282))</f>
        <v>0</v>
      </c>
      <c r="V282" s="32">
        <f>IF(A282="","",TodayDate-A282)</f>
        <v>0</v>
      </c>
      <c r="W282" s="43">
        <f>IF(A282="","",IF(M282="","Add - old and new price",IF(Q282&lt;0,"Loss - priced below cost",IF(T282="","Watch - no volume data yet",IF(T282&gt;0.02,"Worked - revenue up",IF(T282&lt;-0.02,"Hurt - revenue down","Neutral - no real change"))))))</f>
        <v>0</v>
      </c>
    </row>
    <row r="283" spans="3:23">
      <c r="C283" s="13">
        <f>IF(B283="","",IFERROR(INDEX(Products!$B$5:$B$304,MATCH(B283,Products!$A$5:$A$304,0)),"Not found"))</f>
        <v>0</v>
      </c>
      <c r="L283" s="13">
        <f>IF(A283="","",TEXT(A283,"yyyy-mm"))</f>
        <v>0</v>
      </c>
      <c r="M283" s="20">
        <f>IF(A283="","",IF(OR(D283="",E283=""),"",ROUND(E283-D283,2)))</f>
        <v>0</v>
      </c>
      <c r="N283" s="33">
        <f>IF(A283="","",IF(OR(D283="",D283=0,E283=""),"",E283/D283-1))</f>
        <v>0</v>
      </c>
      <c r="O283" s="20">
        <f>IF(A283="","",IF(F283&lt;&gt;"",F283,IFERROR(INDEX(Products!$AT$5:$AT$304,MATCH(B283,Products!$A$5:$A$304,0)),"")))</f>
        <v>0</v>
      </c>
      <c r="P283" s="33">
        <f>IF(A283="","",IF(OR(D283="",D283=0,O283=""),"",(D283-O283)/D283))</f>
        <v>0</v>
      </c>
      <c r="Q283" s="33">
        <f>IF(A283="","",IF(OR(E283="",E283=0,O283=""),"",(E283-O283)/E283))</f>
        <v>0</v>
      </c>
      <c r="R283" s="33">
        <f>IF(A283="","",IF(OR(P283="",Q283=""),"",Q283-P283))</f>
        <v>0</v>
      </c>
      <c r="S283" s="33">
        <f>IF(A283="","",IF(OR(I283="",I283=0,J283=""),"",J283/I283-1))</f>
        <v>0</v>
      </c>
      <c r="T283" s="33">
        <f>IF(A283="","",IF(OR(S283="",N283=""),"",(1+N283)*(1+S283)-1))</f>
        <v>0</v>
      </c>
      <c r="U283" s="32">
        <f>IF(B283="","",COUNTIFS($B$5:B283,B283))</f>
        <v>0</v>
      </c>
      <c r="V283" s="32">
        <f>IF(A283="","",TodayDate-A283)</f>
        <v>0</v>
      </c>
      <c r="W283" s="43">
        <f>IF(A283="","",IF(M283="","Add - old and new price",IF(Q283&lt;0,"Loss - priced below cost",IF(T283="","Watch - no volume data yet",IF(T283&gt;0.02,"Worked - revenue up",IF(T283&lt;-0.02,"Hurt - revenue down","Neutral - no real change"))))))</f>
        <v>0</v>
      </c>
    </row>
    <row r="284" spans="3:23">
      <c r="C284" s="13">
        <f>IF(B284="","",IFERROR(INDEX(Products!$B$5:$B$304,MATCH(B284,Products!$A$5:$A$304,0)),"Not found"))</f>
        <v>0</v>
      </c>
      <c r="L284" s="13">
        <f>IF(A284="","",TEXT(A284,"yyyy-mm"))</f>
        <v>0</v>
      </c>
      <c r="M284" s="20">
        <f>IF(A284="","",IF(OR(D284="",E284=""),"",ROUND(E284-D284,2)))</f>
        <v>0</v>
      </c>
      <c r="N284" s="33">
        <f>IF(A284="","",IF(OR(D284="",D284=0,E284=""),"",E284/D284-1))</f>
        <v>0</v>
      </c>
      <c r="O284" s="20">
        <f>IF(A284="","",IF(F284&lt;&gt;"",F284,IFERROR(INDEX(Products!$AT$5:$AT$304,MATCH(B284,Products!$A$5:$A$304,0)),"")))</f>
        <v>0</v>
      </c>
      <c r="P284" s="33">
        <f>IF(A284="","",IF(OR(D284="",D284=0,O284=""),"",(D284-O284)/D284))</f>
        <v>0</v>
      </c>
      <c r="Q284" s="33">
        <f>IF(A284="","",IF(OR(E284="",E284=0,O284=""),"",(E284-O284)/E284))</f>
        <v>0</v>
      </c>
      <c r="R284" s="33">
        <f>IF(A284="","",IF(OR(P284="",Q284=""),"",Q284-P284))</f>
        <v>0</v>
      </c>
      <c r="S284" s="33">
        <f>IF(A284="","",IF(OR(I284="",I284=0,J284=""),"",J284/I284-1))</f>
        <v>0</v>
      </c>
      <c r="T284" s="33">
        <f>IF(A284="","",IF(OR(S284="",N284=""),"",(1+N284)*(1+S284)-1))</f>
        <v>0</v>
      </c>
      <c r="U284" s="32">
        <f>IF(B284="","",COUNTIFS($B$5:B284,B284))</f>
        <v>0</v>
      </c>
      <c r="V284" s="32">
        <f>IF(A284="","",TodayDate-A284)</f>
        <v>0</v>
      </c>
      <c r="W284" s="43">
        <f>IF(A284="","",IF(M284="","Add - old and new price",IF(Q284&lt;0,"Loss - priced below cost",IF(T284="","Watch - no volume data yet",IF(T284&gt;0.02,"Worked - revenue up",IF(T284&lt;-0.02,"Hurt - revenue down","Neutral - no real change"))))))</f>
        <v>0</v>
      </c>
    </row>
    <row r="285" spans="3:23">
      <c r="C285" s="13">
        <f>IF(B285="","",IFERROR(INDEX(Products!$B$5:$B$304,MATCH(B285,Products!$A$5:$A$304,0)),"Not found"))</f>
        <v>0</v>
      </c>
      <c r="L285" s="13">
        <f>IF(A285="","",TEXT(A285,"yyyy-mm"))</f>
        <v>0</v>
      </c>
      <c r="M285" s="20">
        <f>IF(A285="","",IF(OR(D285="",E285=""),"",ROUND(E285-D285,2)))</f>
        <v>0</v>
      </c>
      <c r="N285" s="33">
        <f>IF(A285="","",IF(OR(D285="",D285=0,E285=""),"",E285/D285-1))</f>
        <v>0</v>
      </c>
      <c r="O285" s="20">
        <f>IF(A285="","",IF(F285&lt;&gt;"",F285,IFERROR(INDEX(Products!$AT$5:$AT$304,MATCH(B285,Products!$A$5:$A$304,0)),"")))</f>
        <v>0</v>
      </c>
      <c r="P285" s="33">
        <f>IF(A285="","",IF(OR(D285="",D285=0,O285=""),"",(D285-O285)/D285))</f>
        <v>0</v>
      </c>
      <c r="Q285" s="33">
        <f>IF(A285="","",IF(OR(E285="",E285=0,O285=""),"",(E285-O285)/E285))</f>
        <v>0</v>
      </c>
      <c r="R285" s="33">
        <f>IF(A285="","",IF(OR(P285="",Q285=""),"",Q285-P285))</f>
        <v>0</v>
      </c>
      <c r="S285" s="33">
        <f>IF(A285="","",IF(OR(I285="",I285=0,J285=""),"",J285/I285-1))</f>
        <v>0</v>
      </c>
      <c r="T285" s="33">
        <f>IF(A285="","",IF(OR(S285="",N285=""),"",(1+N285)*(1+S285)-1))</f>
        <v>0</v>
      </c>
      <c r="U285" s="32">
        <f>IF(B285="","",COUNTIFS($B$5:B285,B285))</f>
        <v>0</v>
      </c>
      <c r="V285" s="32">
        <f>IF(A285="","",TodayDate-A285)</f>
        <v>0</v>
      </c>
      <c r="W285" s="43">
        <f>IF(A285="","",IF(M285="","Add - old and new price",IF(Q285&lt;0,"Loss - priced below cost",IF(T285="","Watch - no volume data yet",IF(T285&gt;0.02,"Worked - revenue up",IF(T285&lt;-0.02,"Hurt - revenue down","Neutral - no real change"))))))</f>
        <v>0</v>
      </c>
    </row>
    <row r="286" spans="3:23">
      <c r="C286" s="13">
        <f>IF(B286="","",IFERROR(INDEX(Products!$B$5:$B$304,MATCH(B286,Products!$A$5:$A$304,0)),"Not found"))</f>
        <v>0</v>
      </c>
      <c r="L286" s="13">
        <f>IF(A286="","",TEXT(A286,"yyyy-mm"))</f>
        <v>0</v>
      </c>
      <c r="M286" s="20">
        <f>IF(A286="","",IF(OR(D286="",E286=""),"",ROUND(E286-D286,2)))</f>
        <v>0</v>
      </c>
      <c r="N286" s="33">
        <f>IF(A286="","",IF(OR(D286="",D286=0,E286=""),"",E286/D286-1))</f>
        <v>0</v>
      </c>
      <c r="O286" s="20">
        <f>IF(A286="","",IF(F286&lt;&gt;"",F286,IFERROR(INDEX(Products!$AT$5:$AT$304,MATCH(B286,Products!$A$5:$A$304,0)),"")))</f>
        <v>0</v>
      </c>
      <c r="P286" s="33">
        <f>IF(A286="","",IF(OR(D286="",D286=0,O286=""),"",(D286-O286)/D286))</f>
        <v>0</v>
      </c>
      <c r="Q286" s="33">
        <f>IF(A286="","",IF(OR(E286="",E286=0,O286=""),"",(E286-O286)/E286))</f>
        <v>0</v>
      </c>
      <c r="R286" s="33">
        <f>IF(A286="","",IF(OR(P286="",Q286=""),"",Q286-P286))</f>
        <v>0</v>
      </c>
      <c r="S286" s="33">
        <f>IF(A286="","",IF(OR(I286="",I286=0,J286=""),"",J286/I286-1))</f>
        <v>0</v>
      </c>
      <c r="T286" s="33">
        <f>IF(A286="","",IF(OR(S286="",N286=""),"",(1+N286)*(1+S286)-1))</f>
        <v>0</v>
      </c>
      <c r="U286" s="32">
        <f>IF(B286="","",COUNTIFS($B$5:B286,B286))</f>
        <v>0</v>
      </c>
      <c r="V286" s="32">
        <f>IF(A286="","",TodayDate-A286)</f>
        <v>0</v>
      </c>
      <c r="W286" s="43">
        <f>IF(A286="","",IF(M286="","Add - old and new price",IF(Q286&lt;0,"Loss - priced below cost",IF(T286="","Watch - no volume data yet",IF(T286&gt;0.02,"Worked - revenue up",IF(T286&lt;-0.02,"Hurt - revenue down","Neutral - no real change"))))))</f>
        <v>0</v>
      </c>
    </row>
    <row r="287" spans="3:23">
      <c r="C287" s="13">
        <f>IF(B287="","",IFERROR(INDEX(Products!$B$5:$B$304,MATCH(B287,Products!$A$5:$A$304,0)),"Not found"))</f>
        <v>0</v>
      </c>
      <c r="L287" s="13">
        <f>IF(A287="","",TEXT(A287,"yyyy-mm"))</f>
        <v>0</v>
      </c>
      <c r="M287" s="20">
        <f>IF(A287="","",IF(OR(D287="",E287=""),"",ROUND(E287-D287,2)))</f>
        <v>0</v>
      </c>
      <c r="N287" s="33">
        <f>IF(A287="","",IF(OR(D287="",D287=0,E287=""),"",E287/D287-1))</f>
        <v>0</v>
      </c>
      <c r="O287" s="20">
        <f>IF(A287="","",IF(F287&lt;&gt;"",F287,IFERROR(INDEX(Products!$AT$5:$AT$304,MATCH(B287,Products!$A$5:$A$304,0)),"")))</f>
        <v>0</v>
      </c>
      <c r="P287" s="33">
        <f>IF(A287="","",IF(OR(D287="",D287=0,O287=""),"",(D287-O287)/D287))</f>
        <v>0</v>
      </c>
      <c r="Q287" s="33">
        <f>IF(A287="","",IF(OR(E287="",E287=0,O287=""),"",(E287-O287)/E287))</f>
        <v>0</v>
      </c>
      <c r="R287" s="33">
        <f>IF(A287="","",IF(OR(P287="",Q287=""),"",Q287-P287))</f>
        <v>0</v>
      </c>
      <c r="S287" s="33">
        <f>IF(A287="","",IF(OR(I287="",I287=0,J287=""),"",J287/I287-1))</f>
        <v>0</v>
      </c>
      <c r="T287" s="33">
        <f>IF(A287="","",IF(OR(S287="",N287=""),"",(1+N287)*(1+S287)-1))</f>
        <v>0</v>
      </c>
      <c r="U287" s="32">
        <f>IF(B287="","",COUNTIFS($B$5:B287,B287))</f>
        <v>0</v>
      </c>
      <c r="V287" s="32">
        <f>IF(A287="","",TodayDate-A287)</f>
        <v>0</v>
      </c>
      <c r="W287" s="43">
        <f>IF(A287="","",IF(M287="","Add - old and new price",IF(Q287&lt;0,"Loss - priced below cost",IF(T287="","Watch - no volume data yet",IF(T287&gt;0.02,"Worked - revenue up",IF(T287&lt;-0.02,"Hurt - revenue down","Neutral - no real change"))))))</f>
        <v>0</v>
      </c>
    </row>
    <row r="288" spans="3:23">
      <c r="C288" s="13">
        <f>IF(B288="","",IFERROR(INDEX(Products!$B$5:$B$304,MATCH(B288,Products!$A$5:$A$304,0)),"Not found"))</f>
        <v>0</v>
      </c>
      <c r="L288" s="13">
        <f>IF(A288="","",TEXT(A288,"yyyy-mm"))</f>
        <v>0</v>
      </c>
      <c r="M288" s="20">
        <f>IF(A288="","",IF(OR(D288="",E288=""),"",ROUND(E288-D288,2)))</f>
        <v>0</v>
      </c>
      <c r="N288" s="33">
        <f>IF(A288="","",IF(OR(D288="",D288=0,E288=""),"",E288/D288-1))</f>
        <v>0</v>
      </c>
      <c r="O288" s="20">
        <f>IF(A288="","",IF(F288&lt;&gt;"",F288,IFERROR(INDEX(Products!$AT$5:$AT$304,MATCH(B288,Products!$A$5:$A$304,0)),"")))</f>
        <v>0</v>
      </c>
      <c r="P288" s="33">
        <f>IF(A288="","",IF(OR(D288="",D288=0,O288=""),"",(D288-O288)/D288))</f>
        <v>0</v>
      </c>
      <c r="Q288" s="33">
        <f>IF(A288="","",IF(OR(E288="",E288=0,O288=""),"",(E288-O288)/E288))</f>
        <v>0</v>
      </c>
      <c r="R288" s="33">
        <f>IF(A288="","",IF(OR(P288="",Q288=""),"",Q288-P288))</f>
        <v>0</v>
      </c>
      <c r="S288" s="33">
        <f>IF(A288="","",IF(OR(I288="",I288=0,J288=""),"",J288/I288-1))</f>
        <v>0</v>
      </c>
      <c r="T288" s="33">
        <f>IF(A288="","",IF(OR(S288="",N288=""),"",(1+N288)*(1+S288)-1))</f>
        <v>0</v>
      </c>
      <c r="U288" s="32">
        <f>IF(B288="","",COUNTIFS($B$5:B288,B288))</f>
        <v>0</v>
      </c>
      <c r="V288" s="32">
        <f>IF(A288="","",TodayDate-A288)</f>
        <v>0</v>
      </c>
      <c r="W288" s="43">
        <f>IF(A288="","",IF(M288="","Add - old and new price",IF(Q288&lt;0,"Loss - priced below cost",IF(T288="","Watch - no volume data yet",IF(T288&gt;0.02,"Worked - revenue up",IF(T288&lt;-0.02,"Hurt - revenue down","Neutral - no real change"))))))</f>
        <v>0</v>
      </c>
    </row>
    <row r="289" spans="3:23">
      <c r="C289" s="13">
        <f>IF(B289="","",IFERROR(INDEX(Products!$B$5:$B$304,MATCH(B289,Products!$A$5:$A$304,0)),"Not found"))</f>
        <v>0</v>
      </c>
      <c r="L289" s="13">
        <f>IF(A289="","",TEXT(A289,"yyyy-mm"))</f>
        <v>0</v>
      </c>
      <c r="M289" s="20">
        <f>IF(A289="","",IF(OR(D289="",E289=""),"",ROUND(E289-D289,2)))</f>
        <v>0</v>
      </c>
      <c r="N289" s="33">
        <f>IF(A289="","",IF(OR(D289="",D289=0,E289=""),"",E289/D289-1))</f>
        <v>0</v>
      </c>
      <c r="O289" s="20">
        <f>IF(A289="","",IF(F289&lt;&gt;"",F289,IFERROR(INDEX(Products!$AT$5:$AT$304,MATCH(B289,Products!$A$5:$A$304,0)),"")))</f>
        <v>0</v>
      </c>
      <c r="P289" s="33">
        <f>IF(A289="","",IF(OR(D289="",D289=0,O289=""),"",(D289-O289)/D289))</f>
        <v>0</v>
      </c>
      <c r="Q289" s="33">
        <f>IF(A289="","",IF(OR(E289="",E289=0,O289=""),"",(E289-O289)/E289))</f>
        <v>0</v>
      </c>
      <c r="R289" s="33">
        <f>IF(A289="","",IF(OR(P289="",Q289=""),"",Q289-P289))</f>
        <v>0</v>
      </c>
      <c r="S289" s="33">
        <f>IF(A289="","",IF(OR(I289="",I289=0,J289=""),"",J289/I289-1))</f>
        <v>0</v>
      </c>
      <c r="T289" s="33">
        <f>IF(A289="","",IF(OR(S289="",N289=""),"",(1+N289)*(1+S289)-1))</f>
        <v>0</v>
      </c>
      <c r="U289" s="32">
        <f>IF(B289="","",COUNTIFS($B$5:B289,B289))</f>
        <v>0</v>
      </c>
      <c r="V289" s="32">
        <f>IF(A289="","",TodayDate-A289)</f>
        <v>0</v>
      </c>
      <c r="W289" s="43">
        <f>IF(A289="","",IF(M289="","Add - old and new price",IF(Q289&lt;0,"Loss - priced below cost",IF(T289="","Watch - no volume data yet",IF(T289&gt;0.02,"Worked - revenue up",IF(T289&lt;-0.02,"Hurt - revenue down","Neutral - no real change"))))))</f>
        <v>0</v>
      </c>
    </row>
    <row r="290" spans="3:23">
      <c r="C290" s="13">
        <f>IF(B290="","",IFERROR(INDEX(Products!$B$5:$B$304,MATCH(B290,Products!$A$5:$A$304,0)),"Not found"))</f>
        <v>0</v>
      </c>
      <c r="L290" s="13">
        <f>IF(A290="","",TEXT(A290,"yyyy-mm"))</f>
        <v>0</v>
      </c>
      <c r="M290" s="20">
        <f>IF(A290="","",IF(OR(D290="",E290=""),"",ROUND(E290-D290,2)))</f>
        <v>0</v>
      </c>
      <c r="N290" s="33">
        <f>IF(A290="","",IF(OR(D290="",D290=0,E290=""),"",E290/D290-1))</f>
        <v>0</v>
      </c>
      <c r="O290" s="20">
        <f>IF(A290="","",IF(F290&lt;&gt;"",F290,IFERROR(INDEX(Products!$AT$5:$AT$304,MATCH(B290,Products!$A$5:$A$304,0)),"")))</f>
        <v>0</v>
      </c>
      <c r="P290" s="33">
        <f>IF(A290="","",IF(OR(D290="",D290=0,O290=""),"",(D290-O290)/D290))</f>
        <v>0</v>
      </c>
      <c r="Q290" s="33">
        <f>IF(A290="","",IF(OR(E290="",E290=0,O290=""),"",(E290-O290)/E290))</f>
        <v>0</v>
      </c>
      <c r="R290" s="33">
        <f>IF(A290="","",IF(OR(P290="",Q290=""),"",Q290-P290))</f>
        <v>0</v>
      </c>
      <c r="S290" s="33">
        <f>IF(A290="","",IF(OR(I290="",I290=0,J290=""),"",J290/I290-1))</f>
        <v>0</v>
      </c>
      <c r="T290" s="33">
        <f>IF(A290="","",IF(OR(S290="",N290=""),"",(1+N290)*(1+S290)-1))</f>
        <v>0</v>
      </c>
      <c r="U290" s="32">
        <f>IF(B290="","",COUNTIFS($B$5:B290,B290))</f>
        <v>0</v>
      </c>
      <c r="V290" s="32">
        <f>IF(A290="","",TodayDate-A290)</f>
        <v>0</v>
      </c>
      <c r="W290" s="43">
        <f>IF(A290="","",IF(M290="","Add - old and new price",IF(Q290&lt;0,"Loss - priced below cost",IF(T290="","Watch - no volume data yet",IF(T290&gt;0.02,"Worked - revenue up",IF(T290&lt;-0.02,"Hurt - revenue down","Neutral - no real change"))))))</f>
        <v>0</v>
      </c>
    </row>
    <row r="291" spans="3:23">
      <c r="C291" s="13">
        <f>IF(B291="","",IFERROR(INDEX(Products!$B$5:$B$304,MATCH(B291,Products!$A$5:$A$304,0)),"Not found"))</f>
        <v>0</v>
      </c>
      <c r="L291" s="13">
        <f>IF(A291="","",TEXT(A291,"yyyy-mm"))</f>
        <v>0</v>
      </c>
      <c r="M291" s="20">
        <f>IF(A291="","",IF(OR(D291="",E291=""),"",ROUND(E291-D291,2)))</f>
        <v>0</v>
      </c>
      <c r="N291" s="33">
        <f>IF(A291="","",IF(OR(D291="",D291=0,E291=""),"",E291/D291-1))</f>
        <v>0</v>
      </c>
      <c r="O291" s="20">
        <f>IF(A291="","",IF(F291&lt;&gt;"",F291,IFERROR(INDEX(Products!$AT$5:$AT$304,MATCH(B291,Products!$A$5:$A$304,0)),"")))</f>
        <v>0</v>
      </c>
      <c r="P291" s="33">
        <f>IF(A291="","",IF(OR(D291="",D291=0,O291=""),"",(D291-O291)/D291))</f>
        <v>0</v>
      </c>
      <c r="Q291" s="33">
        <f>IF(A291="","",IF(OR(E291="",E291=0,O291=""),"",(E291-O291)/E291))</f>
        <v>0</v>
      </c>
      <c r="R291" s="33">
        <f>IF(A291="","",IF(OR(P291="",Q291=""),"",Q291-P291))</f>
        <v>0</v>
      </c>
      <c r="S291" s="33">
        <f>IF(A291="","",IF(OR(I291="",I291=0,J291=""),"",J291/I291-1))</f>
        <v>0</v>
      </c>
      <c r="T291" s="33">
        <f>IF(A291="","",IF(OR(S291="",N291=""),"",(1+N291)*(1+S291)-1))</f>
        <v>0</v>
      </c>
      <c r="U291" s="32">
        <f>IF(B291="","",COUNTIFS($B$5:B291,B291))</f>
        <v>0</v>
      </c>
      <c r="V291" s="32">
        <f>IF(A291="","",TodayDate-A291)</f>
        <v>0</v>
      </c>
      <c r="W291" s="43">
        <f>IF(A291="","",IF(M291="","Add - old and new price",IF(Q291&lt;0,"Loss - priced below cost",IF(T291="","Watch - no volume data yet",IF(T291&gt;0.02,"Worked - revenue up",IF(T291&lt;-0.02,"Hurt - revenue down","Neutral - no real change"))))))</f>
        <v>0</v>
      </c>
    </row>
    <row r="292" spans="3:23">
      <c r="C292" s="13">
        <f>IF(B292="","",IFERROR(INDEX(Products!$B$5:$B$304,MATCH(B292,Products!$A$5:$A$304,0)),"Not found"))</f>
        <v>0</v>
      </c>
      <c r="L292" s="13">
        <f>IF(A292="","",TEXT(A292,"yyyy-mm"))</f>
        <v>0</v>
      </c>
      <c r="M292" s="20">
        <f>IF(A292="","",IF(OR(D292="",E292=""),"",ROUND(E292-D292,2)))</f>
        <v>0</v>
      </c>
      <c r="N292" s="33">
        <f>IF(A292="","",IF(OR(D292="",D292=0,E292=""),"",E292/D292-1))</f>
        <v>0</v>
      </c>
      <c r="O292" s="20">
        <f>IF(A292="","",IF(F292&lt;&gt;"",F292,IFERROR(INDEX(Products!$AT$5:$AT$304,MATCH(B292,Products!$A$5:$A$304,0)),"")))</f>
        <v>0</v>
      </c>
      <c r="P292" s="33">
        <f>IF(A292="","",IF(OR(D292="",D292=0,O292=""),"",(D292-O292)/D292))</f>
        <v>0</v>
      </c>
      <c r="Q292" s="33">
        <f>IF(A292="","",IF(OR(E292="",E292=0,O292=""),"",(E292-O292)/E292))</f>
        <v>0</v>
      </c>
      <c r="R292" s="33">
        <f>IF(A292="","",IF(OR(P292="",Q292=""),"",Q292-P292))</f>
        <v>0</v>
      </c>
      <c r="S292" s="33">
        <f>IF(A292="","",IF(OR(I292="",I292=0,J292=""),"",J292/I292-1))</f>
        <v>0</v>
      </c>
      <c r="T292" s="33">
        <f>IF(A292="","",IF(OR(S292="",N292=""),"",(1+N292)*(1+S292)-1))</f>
        <v>0</v>
      </c>
      <c r="U292" s="32">
        <f>IF(B292="","",COUNTIFS($B$5:B292,B292))</f>
        <v>0</v>
      </c>
      <c r="V292" s="32">
        <f>IF(A292="","",TodayDate-A292)</f>
        <v>0</v>
      </c>
      <c r="W292" s="43">
        <f>IF(A292="","",IF(M292="","Add - old and new price",IF(Q292&lt;0,"Loss - priced below cost",IF(T292="","Watch - no volume data yet",IF(T292&gt;0.02,"Worked - revenue up",IF(T292&lt;-0.02,"Hurt - revenue down","Neutral - no real change"))))))</f>
        <v>0</v>
      </c>
    </row>
    <row r="293" spans="3:23">
      <c r="C293" s="13">
        <f>IF(B293="","",IFERROR(INDEX(Products!$B$5:$B$304,MATCH(B293,Products!$A$5:$A$304,0)),"Not found"))</f>
        <v>0</v>
      </c>
      <c r="L293" s="13">
        <f>IF(A293="","",TEXT(A293,"yyyy-mm"))</f>
        <v>0</v>
      </c>
      <c r="M293" s="20">
        <f>IF(A293="","",IF(OR(D293="",E293=""),"",ROUND(E293-D293,2)))</f>
        <v>0</v>
      </c>
      <c r="N293" s="33">
        <f>IF(A293="","",IF(OR(D293="",D293=0,E293=""),"",E293/D293-1))</f>
        <v>0</v>
      </c>
      <c r="O293" s="20">
        <f>IF(A293="","",IF(F293&lt;&gt;"",F293,IFERROR(INDEX(Products!$AT$5:$AT$304,MATCH(B293,Products!$A$5:$A$304,0)),"")))</f>
        <v>0</v>
      </c>
      <c r="P293" s="33">
        <f>IF(A293="","",IF(OR(D293="",D293=0,O293=""),"",(D293-O293)/D293))</f>
        <v>0</v>
      </c>
      <c r="Q293" s="33">
        <f>IF(A293="","",IF(OR(E293="",E293=0,O293=""),"",(E293-O293)/E293))</f>
        <v>0</v>
      </c>
      <c r="R293" s="33">
        <f>IF(A293="","",IF(OR(P293="",Q293=""),"",Q293-P293))</f>
        <v>0</v>
      </c>
      <c r="S293" s="33">
        <f>IF(A293="","",IF(OR(I293="",I293=0,J293=""),"",J293/I293-1))</f>
        <v>0</v>
      </c>
      <c r="T293" s="33">
        <f>IF(A293="","",IF(OR(S293="",N293=""),"",(1+N293)*(1+S293)-1))</f>
        <v>0</v>
      </c>
      <c r="U293" s="32">
        <f>IF(B293="","",COUNTIFS($B$5:B293,B293))</f>
        <v>0</v>
      </c>
      <c r="V293" s="32">
        <f>IF(A293="","",TodayDate-A293)</f>
        <v>0</v>
      </c>
      <c r="W293" s="43">
        <f>IF(A293="","",IF(M293="","Add - old and new price",IF(Q293&lt;0,"Loss - priced below cost",IF(T293="","Watch - no volume data yet",IF(T293&gt;0.02,"Worked - revenue up",IF(T293&lt;-0.02,"Hurt - revenue down","Neutral - no real change"))))))</f>
        <v>0</v>
      </c>
    </row>
    <row r="294" spans="3:23">
      <c r="C294" s="13">
        <f>IF(B294="","",IFERROR(INDEX(Products!$B$5:$B$304,MATCH(B294,Products!$A$5:$A$304,0)),"Not found"))</f>
        <v>0</v>
      </c>
      <c r="L294" s="13">
        <f>IF(A294="","",TEXT(A294,"yyyy-mm"))</f>
        <v>0</v>
      </c>
      <c r="M294" s="20">
        <f>IF(A294="","",IF(OR(D294="",E294=""),"",ROUND(E294-D294,2)))</f>
        <v>0</v>
      </c>
      <c r="N294" s="33">
        <f>IF(A294="","",IF(OR(D294="",D294=0,E294=""),"",E294/D294-1))</f>
        <v>0</v>
      </c>
      <c r="O294" s="20">
        <f>IF(A294="","",IF(F294&lt;&gt;"",F294,IFERROR(INDEX(Products!$AT$5:$AT$304,MATCH(B294,Products!$A$5:$A$304,0)),"")))</f>
        <v>0</v>
      </c>
      <c r="P294" s="33">
        <f>IF(A294="","",IF(OR(D294="",D294=0,O294=""),"",(D294-O294)/D294))</f>
        <v>0</v>
      </c>
      <c r="Q294" s="33">
        <f>IF(A294="","",IF(OR(E294="",E294=0,O294=""),"",(E294-O294)/E294))</f>
        <v>0</v>
      </c>
      <c r="R294" s="33">
        <f>IF(A294="","",IF(OR(P294="",Q294=""),"",Q294-P294))</f>
        <v>0</v>
      </c>
      <c r="S294" s="33">
        <f>IF(A294="","",IF(OR(I294="",I294=0,J294=""),"",J294/I294-1))</f>
        <v>0</v>
      </c>
      <c r="T294" s="33">
        <f>IF(A294="","",IF(OR(S294="",N294=""),"",(1+N294)*(1+S294)-1))</f>
        <v>0</v>
      </c>
      <c r="U294" s="32">
        <f>IF(B294="","",COUNTIFS($B$5:B294,B294))</f>
        <v>0</v>
      </c>
      <c r="V294" s="32">
        <f>IF(A294="","",TodayDate-A294)</f>
        <v>0</v>
      </c>
      <c r="W294" s="43">
        <f>IF(A294="","",IF(M294="","Add - old and new price",IF(Q294&lt;0,"Loss - priced below cost",IF(T294="","Watch - no volume data yet",IF(T294&gt;0.02,"Worked - revenue up",IF(T294&lt;-0.02,"Hurt - revenue down","Neutral - no real change"))))))</f>
        <v>0</v>
      </c>
    </row>
    <row r="295" spans="3:23">
      <c r="C295" s="13">
        <f>IF(B295="","",IFERROR(INDEX(Products!$B$5:$B$304,MATCH(B295,Products!$A$5:$A$304,0)),"Not found"))</f>
        <v>0</v>
      </c>
      <c r="L295" s="13">
        <f>IF(A295="","",TEXT(A295,"yyyy-mm"))</f>
        <v>0</v>
      </c>
      <c r="M295" s="20">
        <f>IF(A295="","",IF(OR(D295="",E295=""),"",ROUND(E295-D295,2)))</f>
        <v>0</v>
      </c>
      <c r="N295" s="33">
        <f>IF(A295="","",IF(OR(D295="",D295=0,E295=""),"",E295/D295-1))</f>
        <v>0</v>
      </c>
      <c r="O295" s="20">
        <f>IF(A295="","",IF(F295&lt;&gt;"",F295,IFERROR(INDEX(Products!$AT$5:$AT$304,MATCH(B295,Products!$A$5:$A$304,0)),"")))</f>
        <v>0</v>
      </c>
      <c r="P295" s="33">
        <f>IF(A295="","",IF(OR(D295="",D295=0,O295=""),"",(D295-O295)/D295))</f>
        <v>0</v>
      </c>
      <c r="Q295" s="33">
        <f>IF(A295="","",IF(OR(E295="",E295=0,O295=""),"",(E295-O295)/E295))</f>
        <v>0</v>
      </c>
      <c r="R295" s="33">
        <f>IF(A295="","",IF(OR(P295="",Q295=""),"",Q295-P295))</f>
        <v>0</v>
      </c>
      <c r="S295" s="33">
        <f>IF(A295="","",IF(OR(I295="",I295=0,J295=""),"",J295/I295-1))</f>
        <v>0</v>
      </c>
      <c r="T295" s="33">
        <f>IF(A295="","",IF(OR(S295="",N295=""),"",(1+N295)*(1+S295)-1))</f>
        <v>0</v>
      </c>
      <c r="U295" s="32">
        <f>IF(B295="","",COUNTIFS($B$5:B295,B295))</f>
        <v>0</v>
      </c>
      <c r="V295" s="32">
        <f>IF(A295="","",TodayDate-A295)</f>
        <v>0</v>
      </c>
      <c r="W295" s="43">
        <f>IF(A295="","",IF(M295="","Add - old and new price",IF(Q295&lt;0,"Loss - priced below cost",IF(T295="","Watch - no volume data yet",IF(T295&gt;0.02,"Worked - revenue up",IF(T295&lt;-0.02,"Hurt - revenue down","Neutral - no real change"))))))</f>
        <v>0</v>
      </c>
    </row>
    <row r="296" spans="3:23">
      <c r="C296" s="13">
        <f>IF(B296="","",IFERROR(INDEX(Products!$B$5:$B$304,MATCH(B296,Products!$A$5:$A$304,0)),"Not found"))</f>
        <v>0</v>
      </c>
      <c r="L296" s="13">
        <f>IF(A296="","",TEXT(A296,"yyyy-mm"))</f>
        <v>0</v>
      </c>
      <c r="M296" s="20">
        <f>IF(A296="","",IF(OR(D296="",E296=""),"",ROUND(E296-D296,2)))</f>
        <v>0</v>
      </c>
      <c r="N296" s="33">
        <f>IF(A296="","",IF(OR(D296="",D296=0,E296=""),"",E296/D296-1))</f>
        <v>0</v>
      </c>
      <c r="O296" s="20">
        <f>IF(A296="","",IF(F296&lt;&gt;"",F296,IFERROR(INDEX(Products!$AT$5:$AT$304,MATCH(B296,Products!$A$5:$A$304,0)),"")))</f>
        <v>0</v>
      </c>
      <c r="P296" s="33">
        <f>IF(A296="","",IF(OR(D296="",D296=0,O296=""),"",(D296-O296)/D296))</f>
        <v>0</v>
      </c>
      <c r="Q296" s="33">
        <f>IF(A296="","",IF(OR(E296="",E296=0,O296=""),"",(E296-O296)/E296))</f>
        <v>0</v>
      </c>
      <c r="R296" s="33">
        <f>IF(A296="","",IF(OR(P296="",Q296=""),"",Q296-P296))</f>
        <v>0</v>
      </c>
      <c r="S296" s="33">
        <f>IF(A296="","",IF(OR(I296="",I296=0,J296=""),"",J296/I296-1))</f>
        <v>0</v>
      </c>
      <c r="T296" s="33">
        <f>IF(A296="","",IF(OR(S296="",N296=""),"",(1+N296)*(1+S296)-1))</f>
        <v>0</v>
      </c>
      <c r="U296" s="32">
        <f>IF(B296="","",COUNTIFS($B$5:B296,B296))</f>
        <v>0</v>
      </c>
      <c r="V296" s="32">
        <f>IF(A296="","",TodayDate-A296)</f>
        <v>0</v>
      </c>
      <c r="W296" s="43">
        <f>IF(A296="","",IF(M296="","Add - old and new price",IF(Q296&lt;0,"Loss - priced below cost",IF(T296="","Watch - no volume data yet",IF(T296&gt;0.02,"Worked - revenue up",IF(T296&lt;-0.02,"Hurt - revenue down","Neutral - no real change"))))))</f>
        <v>0</v>
      </c>
    </row>
    <row r="297" spans="3:23">
      <c r="C297" s="13">
        <f>IF(B297="","",IFERROR(INDEX(Products!$B$5:$B$304,MATCH(B297,Products!$A$5:$A$304,0)),"Not found"))</f>
        <v>0</v>
      </c>
      <c r="L297" s="13">
        <f>IF(A297="","",TEXT(A297,"yyyy-mm"))</f>
        <v>0</v>
      </c>
      <c r="M297" s="20">
        <f>IF(A297="","",IF(OR(D297="",E297=""),"",ROUND(E297-D297,2)))</f>
        <v>0</v>
      </c>
      <c r="N297" s="33">
        <f>IF(A297="","",IF(OR(D297="",D297=0,E297=""),"",E297/D297-1))</f>
        <v>0</v>
      </c>
      <c r="O297" s="20">
        <f>IF(A297="","",IF(F297&lt;&gt;"",F297,IFERROR(INDEX(Products!$AT$5:$AT$304,MATCH(B297,Products!$A$5:$A$304,0)),"")))</f>
        <v>0</v>
      </c>
      <c r="P297" s="33">
        <f>IF(A297="","",IF(OR(D297="",D297=0,O297=""),"",(D297-O297)/D297))</f>
        <v>0</v>
      </c>
      <c r="Q297" s="33">
        <f>IF(A297="","",IF(OR(E297="",E297=0,O297=""),"",(E297-O297)/E297))</f>
        <v>0</v>
      </c>
      <c r="R297" s="33">
        <f>IF(A297="","",IF(OR(P297="",Q297=""),"",Q297-P297))</f>
        <v>0</v>
      </c>
      <c r="S297" s="33">
        <f>IF(A297="","",IF(OR(I297="",I297=0,J297=""),"",J297/I297-1))</f>
        <v>0</v>
      </c>
      <c r="T297" s="33">
        <f>IF(A297="","",IF(OR(S297="",N297=""),"",(1+N297)*(1+S297)-1))</f>
        <v>0</v>
      </c>
      <c r="U297" s="32">
        <f>IF(B297="","",COUNTIFS($B$5:B297,B297))</f>
        <v>0</v>
      </c>
      <c r="V297" s="32">
        <f>IF(A297="","",TodayDate-A297)</f>
        <v>0</v>
      </c>
      <c r="W297" s="43">
        <f>IF(A297="","",IF(M297="","Add - old and new price",IF(Q297&lt;0,"Loss - priced below cost",IF(T297="","Watch - no volume data yet",IF(T297&gt;0.02,"Worked - revenue up",IF(T297&lt;-0.02,"Hurt - revenue down","Neutral - no real change"))))))</f>
        <v>0</v>
      </c>
    </row>
    <row r="298" spans="3:23">
      <c r="C298" s="13">
        <f>IF(B298="","",IFERROR(INDEX(Products!$B$5:$B$304,MATCH(B298,Products!$A$5:$A$304,0)),"Not found"))</f>
        <v>0</v>
      </c>
      <c r="L298" s="13">
        <f>IF(A298="","",TEXT(A298,"yyyy-mm"))</f>
        <v>0</v>
      </c>
      <c r="M298" s="20">
        <f>IF(A298="","",IF(OR(D298="",E298=""),"",ROUND(E298-D298,2)))</f>
        <v>0</v>
      </c>
      <c r="N298" s="33">
        <f>IF(A298="","",IF(OR(D298="",D298=0,E298=""),"",E298/D298-1))</f>
        <v>0</v>
      </c>
      <c r="O298" s="20">
        <f>IF(A298="","",IF(F298&lt;&gt;"",F298,IFERROR(INDEX(Products!$AT$5:$AT$304,MATCH(B298,Products!$A$5:$A$304,0)),"")))</f>
        <v>0</v>
      </c>
      <c r="P298" s="33">
        <f>IF(A298="","",IF(OR(D298="",D298=0,O298=""),"",(D298-O298)/D298))</f>
        <v>0</v>
      </c>
      <c r="Q298" s="33">
        <f>IF(A298="","",IF(OR(E298="",E298=0,O298=""),"",(E298-O298)/E298))</f>
        <v>0</v>
      </c>
      <c r="R298" s="33">
        <f>IF(A298="","",IF(OR(P298="",Q298=""),"",Q298-P298))</f>
        <v>0</v>
      </c>
      <c r="S298" s="33">
        <f>IF(A298="","",IF(OR(I298="",I298=0,J298=""),"",J298/I298-1))</f>
        <v>0</v>
      </c>
      <c r="T298" s="33">
        <f>IF(A298="","",IF(OR(S298="",N298=""),"",(1+N298)*(1+S298)-1))</f>
        <v>0</v>
      </c>
      <c r="U298" s="32">
        <f>IF(B298="","",COUNTIFS($B$5:B298,B298))</f>
        <v>0</v>
      </c>
      <c r="V298" s="32">
        <f>IF(A298="","",TodayDate-A298)</f>
        <v>0</v>
      </c>
      <c r="W298" s="43">
        <f>IF(A298="","",IF(M298="","Add - old and new price",IF(Q298&lt;0,"Loss - priced below cost",IF(T298="","Watch - no volume data yet",IF(T298&gt;0.02,"Worked - revenue up",IF(T298&lt;-0.02,"Hurt - revenue down","Neutral - no real change"))))))</f>
        <v>0</v>
      </c>
    </row>
    <row r="299" spans="3:23">
      <c r="C299" s="13">
        <f>IF(B299="","",IFERROR(INDEX(Products!$B$5:$B$304,MATCH(B299,Products!$A$5:$A$304,0)),"Not found"))</f>
        <v>0</v>
      </c>
      <c r="L299" s="13">
        <f>IF(A299="","",TEXT(A299,"yyyy-mm"))</f>
        <v>0</v>
      </c>
      <c r="M299" s="20">
        <f>IF(A299="","",IF(OR(D299="",E299=""),"",ROUND(E299-D299,2)))</f>
        <v>0</v>
      </c>
      <c r="N299" s="33">
        <f>IF(A299="","",IF(OR(D299="",D299=0,E299=""),"",E299/D299-1))</f>
        <v>0</v>
      </c>
      <c r="O299" s="20">
        <f>IF(A299="","",IF(F299&lt;&gt;"",F299,IFERROR(INDEX(Products!$AT$5:$AT$304,MATCH(B299,Products!$A$5:$A$304,0)),"")))</f>
        <v>0</v>
      </c>
      <c r="P299" s="33">
        <f>IF(A299="","",IF(OR(D299="",D299=0,O299=""),"",(D299-O299)/D299))</f>
        <v>0</v>
      </c>
      <c r="Q299" s="33">
        <f>IF(A299="","",IF(OR(E299="",E299=0,O299=""),"",(E299-O299)/E299))</f>
        <v>0</v>
      </c>
      <c r="R299" s="33">
        <f>IF(A299="","",IF(OR(P299="",Q299=""),"",Q299-P299))</f>
        <v>0</v>
      </c>
      <c r="S299" s="33">
        <f>IF(A299="","",IF(OR(I299="",I299=0,J299=""),"",J299/I299-1))</f>
        <v>0</v>
      </c>
      <c r="T299" s="33">
        <f>IF(A299="","",IF(OR(S299="",N299=""),"",(1+N299)*(1+S299)-1))</f>
        <v>0</v>
      </c>
      <c r="U299" s="32">
        <f>IF(B299="","",COUNTIFS($B$5:B299,B299))</f>
        <v>0</v>
      </c>
      <c r="V299" s="32">
        <f>IF(A299="","",TodayDate-A299)</f>
        <v>0</v>
      </c>
      <c r="W299" s="43">
        <f>IF(A299="","",IF(M299="","Add - old and new price",IF(Q299&lt;0,"Loss - priced below cost",IF(T299="","Watch - no volume data yet",IF(T299&gt;0.02,"Worked - revenue up",IF(T299&lt;-0.02,"Hurt - revenue down","Neutral - no real change"))))))</f>
        <v>0</v>
      </c>
    </row>
    <row r="300" spans="3:23">
      <c r="C300" s="13">
        <f>IF(B300="","",IFERROR(INDEX(Products!$B$5:$B$304,MATCH(B300,Products!$A$5:$A$304,0)),"Not found"))</f>
        <v>0</v>
      </c>
      <c r="L300" s="13">
        <f>IF(A300="","",TEXT(A300,"yyyy-mm"))</f>
        <v>0</v>
      </c>
      <c r="M300" s="20">
        <f>IF(A300="","",IF(OR(D300="",E300=""),"",ROUND(E300-D300,2)))</f>
        <v>0</v>
      </c>
      <c r="N300" s="33">
        <f>IF(A300="","",IF(OR(D300="",D300=0,E300=""),"",E300/D300-1))</f>
        <v>0</v>
      </c>
      <c r="O300" s="20">
        <f>IF(A300="","",IF(F300&lt;&gt;"",F300,IFERROR(INDEX(Products!$AT$5:$AT$304,MATCH(B300,Products!$A$5:$A$304,0)),"")))</f>
        <v>0</v>
      </c>
      <c r="P300" s="33">
        <f>IF(A300="","",IF(OR(D300="",D300=0,O300=""),"",(D300-O300)/D300))</f>
        <v>0</v>
      </c>
      <c r="Q300" s="33">
        <f>IF(A300="","",IF(OR(E300="",E300=0,O300=""),"",(E300-O300)/E300))</f>
        <v>0</v>
      </c>
      <c r="R300" s="33">
        <f>IF(A300="","",IF(OR(P300="",Q300=""),"",Q300-P300))</f>
        <v>0</v>
      </c>
      <c r="S300" s="33">
        <f>IF(A300="","",IF(OR(I300="",I300=0,J300=""),"",J300/I300-1))</f>
        <v>0</v>
      </c>
      <c r="T300" s="33">
        <f>IF(A300="","",IF(OR(S300="",N300=""),"",(1+N300)*(1+S300)-1))</f>
        <v>0</v>
      </c>
      <c r="U300" s="32">
        <f>IF(B300="","",COUNTIFS($B$5:B300,B300))</f>
        <v>0</v>
      </c>
      <c r="V300" s="32">
        <f>IF(A300="","",TodayDate-A300)</f>
        <v>0</v>
      </c>
      <c r="W300" s="43">
        <f>IF(A300="","",IF(M300="","Add - old and new price",IF(Q300&lt;0,"Loss - priced below cost",IF(T300="","Watch - no volume data yet",IF(T300&gt;0.02,"Worked - revenue up",IF(T300&lt;-0.02,"Hurt - revenue down","Neutral - no real change"))))))</f>
        <v>0</v>
      </c>
    </row>
    <row r="301" spans="3:23">
      <c r="C301" s="13">
        <f>IF(B301="","",IFERROR(INDEX(Products!$B$5:$B$304,MATCH(B301,Products!$A$5:$A$304,0)),"Not found"))</f>
        <v>0</v>
      </c>
      <c r="L301" s="13">
        <f>IF(A301="","",TEXT(A301,"yyyy-mm"))</f>
        <v>0</v>
      </c>
      <c r="M301" s="20">
        <f>IF(A301="","",IF(OR(D301="",E301=""),"",ROUND(E301-D301,2)))</f>
        <v>0</v>
      </c>
      <c r="N301" s="33">
        <f>IF(A301="","",IF(OR(D301="",D301=0,E301=""),"",E301/D301-1))</f>
        <v>0</v>
      </c>
      <c r="O301" s="20">
        <f>IF(A301="","",IF(F301&lt;&gt;"",F301,IFERROR(INDEX(Products!$AT$5:$AT$304,MATCH(B301,Products!$A$5:$A$304,0)),"")))</f>
        <v>0</v>
      </c>
      <c r="P301" s="33">
        <f>IF(A301="","",IF(OR(D301="",D301=0,O301=""),"",(D301-O301)/D301))</f>
        <v>0</v>
      </c>
      <c r="Q301" s="33">
        <f>IF(A301="","",IF(OR(E301="",E301=0,O301=""),"",(E301-O301)/E301))</f>
        <v>0</v>
      </c>
      <c r="R301" s="33">
        <f>IF(A301="","",IF(OR(P301="",Q301=""),"",Q301-P301))</f>
        <v>0</v>
      </c>
      <c r="S301" s="33">
        <f>IF(A301="","",IF(OR(I301="",I301=0,J301=""),"",J301/I301-1))</f>
        <v>0</v>
      </c>
      <c r="T301" s="33">
        <f>IF(A301="","",IF(OR(S301="",N301=""),"",(1+N301)*(1+S301)-1))</f>
        <v>0</v>
      </c>
      <c r="U301" s="32">
        <f>IF(B301="","",COUNTIFS($B$5:B301,B301))</f>
        <v>0</v>
      </c>
      <c r="V301" s="32">
        <f>IF(A301="","",TodayDate-A301)</f>
        <v>0</v>
      </c>
      <c r="W301" s="43">
        <f>IF(A301="","",IF(M301="","Add - old and new price",IF(Q301&lt;0,"Loss - priced below cost",IF(T301="","Watch - no volume data yet",IF(T301&gt;0.02,"Worked - revenue up",IF(T301&lt;-0.02,"Hurt - revenue down","Neutral - no real change"))))))</f>
        <v>0</v>
      </c>
    </row>
    <row r="302" spans="3:23">
      <c r="C302" s="13">
        <f>IF(B302="","",IFERROR(INDEX(Products!$B$5:$B$304,MATCH(B302,Products!$A$5:$A$304,0)),"Not found"))</f>
        <v>0</v>
      </c>
      <c r="L302" s="13">
        <f>IF(A302="","",TEXT(A302,"yyyy-mm"))</f>
        <v>0</v>
      </c>
      <c r="M302" s="20">
        <f>IF(A302="","",IF(OR(D302="",E302=""),"",ROUND(E302-D302,2)))</f>
        <v>0</v>
      </c>
      <c r="N302" s="33">
        <f>IF(A302="","",IF(OR(D302="",D302=0,E302=""),"",E302/D302-1))</f>
        <v>0</v>
      </c>
      <c r="O302" s="20">
        <f>IF(A302="","",IF(F302&lt;&gt;"",F302,IFERROR(INDEX(Products!$AT$5:$AT$304,MATCH(B302,Products!$A$5:$A$304,0)),"")))</f>
        <v>0</v>
      </c>
      <c r="P302" s="33">
        <f>IF(A302="","",IF(OR(D302="",D302=0,O302=""),"",(D302-O302)/D302))</f>
        <v>0</v>
      </c>
      <c r="Q302" s="33">
        <f>IF(A302="","",IF(OR(E302="",E302=0,O302=""),"",(E302-O302)/E302))</f>
        <v>0</v>
      </c>
      <c r="R302" s="33">
        <f>IF(A302="","",IF(OR(P302="",Q302=""),"",Q302-P302))</f>
        <v>0</v>
      </c>
      <c r="S302" s="33">
        <f>IF(A302="","",IF(OR(I302="",I302=0,J302=""),"",J302/I302-1))</f>
        <v>0</v>
      </c>
      <c r="T302" s="33">
        <f>IF(A302="","",IF(OR(S302="",N302=""),"",(1+N302)*(1+S302)-1))</f>
        <v>0</v>
      </c>
      <c r="U302" s="32">
        <f>IF(B302="","",COUNTIFS($B$5:B302,B302))</f>
        <v>0</v>
      </c>
      <c r="V302" s="32">
        <f>IF(A302="","",TodayDate-A302)</f>
        <v>0</v>
      </c>
      <c r="W302" s="43">
        <f>IF(A302="","",IF(M302="","Add - old and new price",IF(Q302&lt;0,"Loss - priced below cost",IF(T302="","Watch - no volume data yet",IF(T302&gt;0.02,"Worked - revenue up",IF(T302&lt;-0.02,"Hurt - revenue down","Neutral - no real change"))))))</f>
        <v>0</v>
      </c>
    </row>
    <row r="303" spans="3:23">
      <c r="C303" s="13">
        <f>IF(B303="","",IFERROR(INDEX(Products!$B$5:$B$304,MATCH(B303,Products!$A$5:$A$304,0)),"Not found"))</f>
        <v>0</v>
      </c>
      <c r="L303" s="13">
        <f>IF(A303="","",TEXT(A303,"yyyy-mm"))</f>
        <v>0</v>
      </c>
      <c r="M303" s="20">
        <f>IF(A303="","",IF(OR(D303="",E303=""),"",ROUND(E303-D303,2)))</f>
        <v>0</v>
      </c>
      <c r="N303" s="33">
        <f>IF(A303="","",IF(OR(D303="",D303=0,E303=""),"",E303/D303-1))</f>
        <v>0</v>
      </c>
      <c r="O303" s="20">
        <f>IF(A303="","",IF(F303&lt;&gt;"",F303,IFERROR(INDEX(Products!$AT$5:$AT$304,MATCH(B303,Products!$A$5:$A$304,0)),"")))</f>
        <v>0</v>
      </c>
      <c r="P303" s="33">
        <f>IF(A303="","",IF(OR(D303="",D303=0,O303=""),"",(D303-O303)/D303))</f>
        <v>0</v>
      </c>
      <c r="Q303" s="33">
        <f>IF(A303="","",IF(OR(E303="",E303=0,O303=""),"",(E303-O303)/E303))</f>
        <v>0</v>
      </c>
      <c r="R303" s="33">
        <f>IF(A303="","",IF(OR(P303="",Q303=""),"",Q303-P303))</f>
        <v>0</v>
      </c>
      <c r="S303" s="33">
        <f>IF(A303="","",IF(OR(I303="",I303=0,J303=""),"",J303/I303-1))</f>
        <v>0</v>
      </c>
      <c r="T303" s="33">
        <f>IF(A303="","",IF(OR(S303="",N303=""),"",(1+N303)*(1+S303)-1))</f>
        <v>0</v>
      </c>
      <c r="U303" s="32">
        <f>IF(B303="","",COUNTIFS($B$5:B303,B303))</f>
        <v>0</v>
      </c>
      <c r="V303" s="32">
        <f>IF(A303="","",TodayDate-A303)</f>
        <v>0</v>
      </c>
      <c r="W303" s="43">
        <f>IF(A303="","",IF(M303="","Add - old and new price",IF(Q303&lt;0,"Loss - priced below cost",IF(T303="","Watch - no volume data yet",IF(T303&gt;0.02,"Worked - revenue up",IF(T303&lt;-0.02,"Hurt - revenue down","Neutral - no real change"))))))</f>
        <v>0</v>
      </c>
    </row>
    <row r="304" spans="3:23">
      <c r="C304" s="13">
        <f>IF(B304="","",IFERROR(INDEX(Products!$B$5:$B$304,MATCH(B304,Products!$A$5:$A$304,0)),"Not found"))</f>
        <v>0</v>
      </c>
      <c r="L304" s="13">
        <f>IF(A304="","",TEXT(A304,"yyyy-mm"))</f>
        <v>0</v>
      </c>
      <c r="M304" s="20">
        <f>IF(A304="","",IF(OR(D304="",E304=""),"",ROUND(E304-D304,2)))</f>
        <v>0</v>
      </c>
      <c r="N304" s="33">
        <f>IF(A304="","",IF(OR(D304="",D304=0,E304=""),"",E304/D304-1))</f>
        <v>0</v>
      </c>
      <c r="O304" s="20">
        <f>IF(A304="","",IF(F304&lt;&gt;"",F304,IFERROR(INDEX(Products!$AT$5:$AT$304,MATCH(B304,Products!$A$5:$A$304,0)),"")))</f>
        <v>0</v>
      </c>
      <c r="P304" s="33">
        <f>IF(A304="","",IF(OR(D304="",D304=0,O304=""),"",(D304-O304)/D304))</f>
        <v>0</v>
      </c>
      <c r="Q304" s="33">
        <f>IF(A304="","",IF(OR(E304="",E304=0,O304=""),"",(E304-O304)/E304))</f>
        <v>0</v>
      </c>
      <c r="R304" s="33">
        <f>IF(A304="","",IF(OR(P304="",Q304=""),"",Q304-P304))</f>
        <v>0</v>
      </c>
      <c r="S304" s="33">
        <f>IF(A304="","",IF(OR(I304="",I304=0,J304=""),"",J304/I304-1))</f>
        <v>0</v>
      </c>
      <c r="T304" s="33">
        <f>IF(A304="","",IF(OR(S304="",N304=""),"",(1+N304)*(1+S304)-1))</f>
        <v>0</v>
      </c>
      <c r="U304" s="32">
        <f>IF(B304="","",COUNTIFS($B$5:B304,B304))</f>
        <v>0</v>
      </c>
      <c r="V304" s="32">
        <f>IF(A304="","",TodayDate-A304)</f>
        <v>0</v>
      </c>
      <c r="W304" s="43">
        <f>IF(A304="","",IF(M304="","Add - old and new price",IF(Q304&lt;0,"Loss - priced below cost",IF(T304="","Watch - no volume data yet",IF(T304&gt;0.02,"Worked - revenue up",IF(T304&lt;-0.02,"Hurt - revenue down","Neutral - no real change"))))))</f>
        <v>0</v>
      </c>
    </row>
  </sheetData>
  <sheetProtection password="EC7C" sheet="1" objects="1" scenarios="1" formatCells="0" formatColumns="0" formatRows="0" insertRows="0" insertHyperlinks="0" deleteRows="0" autoFilter="0"/>
  <autoFilter ref="A4:W304"/>
  <mergeCells count="13">
    <mergeCell ref="A1:T1"/>
    <mergeCell ref="U1:W1"/>
    <mergeCell ref="A2:W2"/>
    <mergeCell ref="A3:B3"/>
    <mergeCell ref="C3:D3"/>
    <mergeCell ref="E3:F3"/>
    <mergeCell ref="G3:H3"/>
    <mergeCell ref="I3:J3"/>
    <mergeCell ref="K3:L3"/>
    <mergeCell ref="M3:N3"/>
    <mergeCell ref="O3:P3"/>
    <mergeCell ref="Q3:R3"/>
    <mergeCell ref="S3:W3"/>
  </mergeCells>
  <conditionalFormatting sqref="M5:M304">
    <cfRule type="cellIs" dxfId="5" priority="1" operator="lessThan">
      <formula>0</formula>
    </cfRule>
    <cfRule type="cellIs" dxfId="1" priority="2" operator="greaterThan">
      <formula>0</formula>
    </cfRule>
  </conditionalFormatting>
  <conditionalFormatting sqref="Q5:Q304">
    <cfRule type="cellIs" dxfId="2" priority="3" operator="lessThan">
      <formula>0</formula>
    </cfRule>
    <cfRule type="cellIs" dxfId="0" priority="4" operator="lessThan">
      <formula>MarginWarning</formula>
    </cfRule>
    <cfRule type="cellIs" dxfId="1" priority="5" operator="greaterThanOrEqual">
      <formula>MarginWarning</formula>
    </cfRule>
  </conditionalFormatting>
  <conditionalFormatting sqref="T5:T304">
    <cfRule type="cellIs" dxfId="2" priority="6" operator="lessThan">
      <formula>0</formula>
    </cfRule>
    <cfRule type="cellIs" dxfId="1" priority="7" operator="greaterThanOrEqual">
      <formula>0</formula>
    </cfRule>
  </conditionalFormatting>
  <conditionalFormatting sqref="W5:W304">
    <cfRule type="beginsWith" dxfId="1" priority="8" operator="beginsWith" text="OK">
      <formula>LEFT(W5,2)="OK"</formula>
    </cfRule>
    <cfRule type="containsText" dxfId="2" priority="9" operator="containsText" text="Overdue">
      <formula>NOT(ISERROR(SEARCH("Overdue",W5)))</formula>
    </cfRule>
    <cfRule type="containsText" dxfId="2" priority="10" operator="containsText" text="Late">
      <formula>NOT(ISERROR(SEARCH("Late",W5)))</formula>
    </cfRule>
    <cfRule type="containsText" dxfId="2" priority="11" operator="containsText" text="Missing">
      <formula>NOT(ISERROR(SEARCH("Missing",W5)))</formula>
    </cfRule>
    <cfRule type="containsText" dxfId="2" priority="12" operator="containsText" text="Conflict">
      <formula>NOT(ISERROR(SEARCH("Conflict",W5)))</formula>
    </cfRule>
    <cfRule type="containsText" dxfId="2" priority="13" operator="containsText" text="Clash">
      <formula>NOT(ISERROR(SEARCH("Clash",W5)))</formula>
    </cfRule>
    <cfRule type="containsText" dxfId="2" priority="14" operator="containsText" text="Expired">
      <formula>NOT(ISERROR(SEARCH("Expired",W5)))</formula>
    </cfRule>
    <cfRule type="containsText" dxfId="2" priority="15" operator="containsText" text="Duplicate">
      <formula>NOT(ISERROR(SEARCH("Duplicate",W5)))</formula>
    </cfRule>
    <cfRule type="containsText" dxfId="2" priority="16" operator="containsText" text="Unpaid">
      <formula>NOT(ISERROR(SEARCH("Unpaid",W5)))</formula>
    </cfRule>
    <cfRule type="containsText" dxfId="2" priority="17" operator="containsText" text="Loss">
      <formula>NOT(ISERROR(SEARCH("Loss",W5)))</formula>
    </cfRule>
    <cfRule type="containsText" dxfId="2" priority="18" operator="containsText" text="Below">
      <formula>NOT(ISERROR(SEARCH("Below",W5)))</formula>
    </cfRule>
    <cfRule type="containsText" dxfId="0" priority="19" operator="containsText" text="Action">
      <formula>NOT(ISERROR(SEARCH("Action",W5)))</formula>
    </cfRule>
    <cfRule type="containsText" dxfId="0" priority="20" operator="containsText" text="Due">
      <formula>NOT(ISERROR(SEARCH("Due",W5)))</formula>
    </cfRule>
    <cfRule type="containsText" dxfId="0" priority="21" operator="containsText" text="Check">
      <formula>NOT(ISERROR(SEARCH("Check",W5)))</formula>
    </cfRule>
    <cfRule type="containsText" dxfId="0" priority="22" operator="containsText" text="Chase">
      <formula>NOT(ISERROR(SEARCH("Chase",W5)))</formula>
    </cfRule>
    <cfRule type="containsText" dxfId="0" priority="23" operator="containsText" text="Assign">
      <formula>NOT(ISERROR(SEARCH("Assign",W5)))</formula>
    </cfRule>
    <cfRule type="containsText" dxfId="0" priority="24" operator="containsText" text="Confirm">
      <formula>NOT(ISERROR(SEARCH("Confirm",W5)))</formula>
    </cfRule>
    <cfRule type="containsText" dxfId="0" priority="25" operator="containsText" text="Order">
      <formula>NOT(ISERROR(SEARCH("Order",W5)))</formula>
    </cfRule>
    <cfRule type="containsText" dxfId="3" priority="26" operator="containsText" text="Today">
      <formula>NOT(ISERROR(SEARCH("Today",W5)))</formula>
    </cfRule>
    <cfRule type="containsText" dxfId="3" priority="27" operator="containsText" text="Upcoming">
      <formula>NOT(ISERROR(SEARCH("Upcoming",W5)))</formula>
    </cfRule>
    <cfRule type="containsText" dxfId="3" priority="28" operator="containsText" text="Tomorrow">
      <formula>NOT(ISERROR(SEARCH("Tomorrow",W5)))</formula>
    </cfRule>
  </conditionalFormatting>
  <dataValidations count="9">
    <dataValidation type="date" allowBlank="1" showInputMessage="1" showErrorMessage="1" errorTitle="Check the date" error="Enter a real date between 2000 and 2100." sqref="A5:A304">
      <formula1>36526</formula1>
      <formula2>73415</formula2>
    </dataValidation>
    <dataValidation type="list" allowBlank="1" showInputMessage="1" showErrorMessage="1" sqref="B5:B304">
      <formula1>ProductIDs</formula1>
    </dataValidation>
    <dataValidation type="decimal" allowBlank="1" showInputMessage="1" showErrorMessage="1" errorTitle="Check the value" error="Enter a number between 0 and 1000000." sqref="D5:D304">
      <formula1>0</formula1>
      <formula2>1000000</formula2>
    </dataValidation>
    <dataValidation type="decimal" allowBlank="1" showInputMessage="1" showErrorMessage="1" errorTitle="Check the value" error="Enter a number between 0 and 1000000." sqref="E5:E304">
      <formula1>0</formula1>
      <formula2>1000000</formula2>
    </dataValidation>
    <dataValidation type="decimal" allowBlank="1" showInputMessage="1" showErrorMessage="1" errorTitle="Check the value" error="Enter a number between 0 and 1000000." promptTitle="Cost at the time" prompt="What the product cost to make that week. Blank uses today's cost from the catalog, which is fine for a recent change and misleading for an old one." sqref="F5:F304">
      <formula1>0</formula1>
      <formula2>1000000</formula2>
    </dataValidation>
    <dataValidation type="list" allowBlank="1" showInputMessage="1" showErrorMessage="1" sqref="G5:G304">
      <formula1>PriceReasonList</formula1>
    </dataValidation>
    <dataValidation type="list" allowBlank="1" showInputMessage="1" showErrorMessage="1" sqref="H5:H304">
      <formula1>ChannelList</formula1>
    </dataValidation>
    <dataValidation type="whole" allowBlank="1" showInputMessage="1" showErrorMessage="1" errorTitle="Check the value" error="Enter a number between 0 and 1000000." promptTitle="Sold in the 30 days before" prompt="Optional, but this is what turns a price change into evidence." sqref="I5:I304">
      <formula1>0</formula1>
      <formula2>1000000</formula2>
    </dataValidation>
    <dataValidation type="whole" allowBlank="1" showInputMessage="1" showErrorMessage="1" errorTitle="Check the value" error="Enter a number between 0 and 1000000." sqref="J5:J304">
      <formula1>0</formula1>
      <formula2>1000000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&amp;L&amp;"Calibri,Bold"&amp;12&amp;C&amp;"Calibri,Bold"&amp;11Price History&amp;R&amp;"Calibri,Italic"&amp;9Handmade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8.xml><?xml version="1.0" encoding="utf-8"?>
<worksheet xmlns="http://schemas.openxmlformats.org/spreadsheetml/2006/main" xmlns:r="http://schemas.openxmlformats.org/officeDocument/2006/relationships">
  <sheetPr>
    <tabColor rgb="FFB5704F"/>
    <pageSetUpPr fitToPage="1"/>
  </sheetPr>
  <dimension ref="A1:V1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24.7109375" style="13" customWidth="1"/>
    <col min="3" max="3" width="28.7109375" style="15" customWidth="1"/>
    <col min="4" max="4" width="20.7109375" style="15" customWidth="1"/>
    <col min="5" max="5" width="15.7109375" style="15" customWidth="1"/>
    <col min="6" max="6" width="11.7109375" style="18" customWidth="1"/>
    <col min="7" max="7" width="11.7109375" style="18" customWidth="1"/>
    <col min="8" max="8" width="16.7109375" style="15" customWidth="1"/>
    <col min="9" max="9" width="13.7109375" style="47" customWidth="1"/>
    <col min="10" max="10" width="9.7109375" style="16" customWidth="1"/>
    <col min="11" max="11" width="11.7109375" style="22" customWidth="1"/>
    <col min="12" max="12" width="24.7109375" style="15" customWidth="1"/>
    <col min="13" max="13" width="26.7109375" style="40" customWidth="1"/>
    <col min="14" max="14" width="11.7109375" style="20" customWidth="1"/>
    <col min="15" max="15" width="11.7109375" style="20" hidden="1" customWidth="1"/>
    <col min="16" max="16" width="11.7109375" style="20" hidden="1" customWidth="1"/>
    <col min="17" max="17" width="11.7109375" style="20" customWidth="1"/>
    <col min="18" max="18" width="11.7109375" style="20" customWidth="1"/>
    <col min="19" max="19" width="10.7109375" style="33" customWidth="1"/>
    <col min="20" max="20" width="16.7109375" style="43" customWidth="1"/>
    <col min="21" max="21" width="9.7109375" style="32" hidden="1" customWidth="1"/>
    <col min="22" max="22" width="30.7109375" style="43" customWidth="1"/>
  </cols>
  <sheetData>
    <row r="1" spans="1:22" ht="34" customHeight="1">
      <c r="A1" s="2" t="s">
        <v>1728</v>
      </c>
      <c r="B1" s="2"/>
      <c r="C1" s="2"/>
      <c r="D1" s="2"/>
      <c r="E1" s="2"/>
      <c r="F1" s="2"/>
      <c r="G1" s="2"/>
      <c r="H1" s="2"/>
      <c r="I1" s="2"/>
      <c r="J1" s="2"/>
      <c r="K1" s="2"/>
      <c r="L1" s="2"/>
      <c r="M1" s="2"/>
      <c r="N1" s="2"/>
      <c r="O1" s="2"/>
      <c r="P1" s="2"/>
      <c r="Q1" s="2"/>
      <c r="R1" s="2"/>
      <c r="S1" s="2"/>
      <c r="T1" s="3" t="s">
        <v>1</v>
      </c>
      <c r="U1" s="3"/>
      <c r="V1" s="3"/>
    </row>
    <row r="2" spans="1:22" ht="18" customHeight="1">
      <c r="A2" s="4" t="s">
        <v>1729</v>
      </c>
      <c r="B2" s="4"/>
      <c r="C2" s="4"/>
      <c r="D2" s="4"/>
      <c r="E2" s="4"/>
      <c r="F2" s="4"/>
      <c r="G2" s="4"/>
      <c r="H2" s="4"/>
      <c r="I2" s="4"/>
      <c r="J2" s="4"/>
      <c r="K2" s="4"/>
      <c r="L2" s="4"/>
      <c r="M2" s="4"/>
      <c r="N2" s="4"/>
      <c r="O2" s="4"/>
      <c r="P2" s="4"/>
      <c r="Q2" s="4"/>
      <c r="R2" s="4"/>
      <c r="S2" s="4"/>
      <c r="T2" s="4"/>
      <c r="U2" s="4"/>
      <c r="V2" s="4"/>
    </row>
    <row r="3" spans="1:22" ht="16" customHeight="1">
      <c r="A3" s="5" t="s">
        <v>3</v>
      </c>
      <c r="B3" s="5"/>
      <c r="C3" s="5" t="s">
        <v>4</v>
      </c>
      <c r="D3" s="5"/>
      <c r="E3" s="5" t="s">
        <v>5</v>
      </c>
      <c r="F3" s="5"/>
      <c r="G3" s="5" t="s">
        <v>6</v>
      </c>
      <c r="H3" s="5"/>
      <c r="I3" s="5" t="s">
        <v>7</v>
      </c>
      <c r="J3" s="5"/>
      <c r="K3" s="5" t="s">
        <v>367</v>
      </c>
      <c r="L3" s="5"/>
      <c r="M3" s="5" t="s">
        <v>368</v>
      </c>
      <c r="N3" s="5"/>
      <c r="O3" s="5" t="s">
        <v>448</v>
      </c>
      <c r="P3" s="5"/>
      <c r="Q3" s="5" t="s">
        <v>449</v>
      </c>
      <c r="R3" s="5"/>
      <c r="S3" s="14"/>
      <c r="T3" s="14"/>
      <c r="U3" s="14"/>
      <c r="V3" s="14"/>
    </row>
    <row r="4" spans="1:22" ht="30" customHeight="1">
      <c r="A4" s="8" t="s">
        <v>1730</v>
      </c>
      <c r="B4" s="8" t="s">
        <v>1731</v>
      </c>
      <c r="C4" s="9" t="s">
        <v>1732</v>
      </c>
      <c r="D4" s="9" t="s">
        <v>369</v>
      </c>
      <c r="E4" s="9" t="s">
        <v>11</v>
      </c>
      <c r="F4" s="9" t="s">
        <v>1733</v>
      </c>
      <c r="G4" s="9" t="s">
        <v>1734</v>
      </c>
      <c r="H4" s="9" t="s">
        <v>1735</v>
      </c>
      <c r="I4" s="9" t="s">
        <v>1736</v>
      </c>
      <c r="J4" s="9" t="s">
        <v>1737</v>
      </c>
      <c r="K4" s="9" t="s">
        <v>1738</v>
      </c>
      <c r="L4" s="9" t="s">
        <v>1739</v>
      </c>
      <c r="M4" s="9" t="s">
        <v>466</v>
      </c>
      <c r="N4" s="9" t="s">
        <v>1740</v>
      </c>
      <c r="O4" s="9" t="s">
        <v>461</v>
      </c>
      <c r="P4" s="9" t="s">
        <v>1741</v>
      </c>
      <c r="Q4" s="9" t="s">
        <v>1742</v>
      </c>
      <c r="R4" s="9" t="s">
        <v>1743</v>
      </c>
      <c r="S4" s="9" t="s">
        <v>1744</v>
      </c>
      <c r="T4" s="9" t="s">
        <v>1745</v>
      </c>
      <c r="U4" s="9" t="s">
        <v>1746</v>
      </c>
      <c r="V4" s="9" t="s">
        <v>1117</v>
      </c>
    </row>
    <row r="5" spans="1:22">
      <c r="A5" s="46" t="s">
        <v>1256</v>
      </c>
      <c r="B5" s="13">
        <f>IF(A5="","",IFERROR(INDEX(Products!$B$5:$B$304,MATCH(A5,Products!$A$5:$A$304,0)),"Not found"))</f>
        <v>0</v>
      </c>
      <c r="C5" s="15" t="s">
        <v>1747</v>
      </c>
      <c r="D5" s="15" t="s">
        <v>1748</v>
      </c>
      <c r="E5" s="15" t="s">
        <v>287</v>
      </c>
      <c r="F5" s="18">
        <v>84</v>
      </c>
      <c r="G5" s="18">
        <v>5.95</v>
      </c>
      <c r="H5" s="15" t="s">
        <v>1749</v>
      </c>
      <c r="I5" s="47" t="s">
        <v>278</v>
      </c>
      <c r="J5" s="16">
        <v>1240</v>
      </c>
      <c r="K5" s="22">
        <v>46297</v>
      </c>
      <c r="M5" s="40" t="s">
        <v>1750</v>
      </c>
      <c r="N5" s="20">
        <f>IF(C5="","",ROUND(IF(F5="",0,F5)+IF(G5="",0,G5),2))</f>
        <v>0</v>
      </c>
      <c r="O5" s="20">
        <f>IF(A5="","",IFERROR(INDEX(Products!$AR$5:$AR$304,MATCH(A5,Products!$A$5:$A$304,0)),""))</f>
        <v>0</v>
      </c>
      <c r="P5" s="20">
        <f>IF(A5="","",IFERROR(INDEX(Products!$AE$5:$AE$304,MATCH(A5,Products!$A$5:$A$304,0)),""))</f>
        <v>0</v>
      </c>
      <c r="Q5" s="20">
        <f>IF(C5="","",IF(O5="","",ROUND(O5+IF(P5="",0,P5),2)))</f>
        <v>0</v>
      </c>
      <c r="R5" s="20">
        <f>IF(C5="","",IF(OR(Q5="",N5=0),"",ROUND(Q5-N5,2)))</f>
        <v>0</v>
      </c>
      <c r="S5" s="33">
        <f>IF(C5="","",IF(OR(Q5="",N5=0),"",Q5/N5-1))</f>
        <v>0</v>
      </c>
      <c r="T5" s="43">
        <f>IF(C5="","",IF(S5="","",IF(S5&gt;0.15,"Dearer",IF(S5&lt;-0.15,"Cheaper","Similar"))))</f>
        <v>0</v>
      </c>
      <c r="U5" s="32">
        <f>IF(C5="","",IF(K5="","",TodayDate-K5))</f>
        <v>0</v>
      </c>
      <c r="V5" s="43">
        <f>IF(C5="","",IF(F5="","Add - what do they charge?",IF(O5="","Check - your product has no price",IF(AND(U5&lt;&gt;"",U5&gt;180),"Check - research is over six months old",IF(AND(T5="Cheaper",H5="Below mine"),"Raise - better work, lower price",IF(T5="Dearer","Fine - make sure the listing shows why","OK"))))))</f>
        <v>0</v>
      </c>
    </row>
    <row r="6" spans="1:22">
      <c r="A6" s="46" t="s">
        <v>1256</v>
      </c>
      <c r="B6" s="13">
        <f>IF(A6="","",IFERROR(INDEX(Products!$B$5:$B$304,MATCH(A6,Products!$A$5:$A$304,0)),"Not found"))</f>
        <v>0</v>
      </c>
      <c r="C6" s="15" t="s">
        <v>1751</v>
      </c>
      <c r="D6" s="15" t="s">
        <v>1752</v>
      </c>
      <c r="E6" s="15" t="s">
        <v>1003</v>
      </c>
      <c r="F6" s="18">
        <v>19.99</v>
      </c>
      <c r="G6" s="18">
        <v>0</v>
      </c>
      <c r="H6" s="15" t="s">
        <v>1753</v>
      </c>
      <c r="I6" s="47" t="s">
        <v>281</v>
      </c>
      <c r="J6" s="16">
        <v>8600</v>
      </c>
      <c r="K6" s="22">
        <v>46297</v>
      </c>
      <c r="M6" s="40" t="s">
        <v>1754</v>
      </c>
      <c r="N6" s="20">
        <f>IF(C6="","",ROUND(IF(F6="",0,F6)+IF(G6="",0,G6),2))</f>
        <v>0</v>
      </c>
      <c r="O6" s="20">
        <f>IF(A6="","",IFERROR(INDEX(Products!$AR$5:$AR$304,MATCH(A6,Products!$A$5:$A$304,0)),""))</f>
        <v>0</v>
      </c>
      <c r="P6" s="20">
        <f>IF(A6="","",IFERROR(INDEX(Products!$AE$5:$AE$304,MATCH(A6,Products!$A$5:$A$304,0)),""))</f>
        <v>0</v>
      </c>
      <c r="Q6" s="20">
        <f>IF(C6="","",IF(O6="","",ROUND(O6+IF(P6="",0,P6),2)))</f>
        <v>0</v>
      </c>
      <c r="R6" s="20">
        <f>IF(C6="","",IF(OR(Q6="",N6=0),"",ROUND(Q6-N6,2)))</f>
        <v>0</v>
      </c>
      <c r="S6" s="33">
        <f>IF(C6="","",IF(OR(Q6="",N6=0),"",Q6/N6-1))</f>
        <v>0</v>
      </c>
      <c r="T6" s="43">
        <f>IF(C6="","",IF(S6="","",IF(S6&gt;0.15,"Dearer",IF(S6&lt;-0.15,"Cheaper","Similar"))))</f>
        <v>0</v>
      </c>
      <c r="U6" s="32">
        <f>IF(C6="","",IF(K6="","",TodayDate-K6))</f>
        <v>0</v>
      </c>
      <c r="V6" s="43">
        <f>IF(C6="","",IF(F6="","Add - what do they charge?",IF(O6="","Check - your product has no price",IF(AND(U6&lt;&gt;"",U6&gt;180),"Check - research is over six months old",IF(AND(T6="Cheaper",H6="Below mine"),"Raise - better work, lower price",IF(T6="Dearer","Fine - make sure the listing shows why","OK"))))))</f>
        <v>0</v>
      </c>
    </row>
    <row r="7" spans="1:22">
      <c r="A7" s="46" t="s">
        <v>735</v>
      </c>
      <c r="B7" s="13">
        <f>IF(A7="","",IFERROR(INDEX(Products!$B$5:$B$304,MATCH(A7,Products!$A$5:$A$304,0)),"Not found"))</f>
        <v>0</v>
      </c>
      <c r="C7" s="15" t="s">
        <v>1755</v>
      </c>
      <c r="D7" s="15" t="s">
        <v>287</v>
      </c>
      <c r="E7" s="15" t="s">
        <v>287</v>
      </c>
      <c r="F7" s="18">
        <v>92</v>
      </c>
      <c r="G7" s="18">
        <v>6.5</v>
      </c>
      <c r="H7" s="15" t="s">
        <v>1756</v>
      </c>
      <c r="I7" s="47" t="s">
        <v>278</v>
      </c>
      <c r="J7" s="16">
        <v>430</v>
      </c>
      <c r="K7" s="22">
        <v>46285</v>
      </c>
      <c r="M7" s="40" t="s">
        <v>1757</v>
      </c>
      <c r="N7" s="20">
        <f>IF(C7="","",ROUND(IF(F7="",0,F7)+IF(G7="",0,G7),2))</f>
        <v>0</v>
      </c>
      <c r="O7" s="20">
        <f>IF(A7="","",IFERROR(INDEX(Products!$AR$5:$AR$304,MATCH(A7,Products!$A$5:$A$304,0)),""))</f>
        <v>0</v>
      </c>
      <c r="P7" s="20">
        <f>IF(A7="","",IFERROR(INDEX(Products!$AE$5:$AE$304,MATCH(A7,Products!$A$5:$A$304,0)),""))</f>
        <v>0</v>
      </c>
      <c r="Q7" s="20">
        <f>IF(C7="","",IF(O7="","",ROUND(O7+IF(P7="",0,P7),2)))</f>
        <v>0</v>
      </c>
      <c r="R7" s="20">
        <f>IF(C7="","",IF(OR(Q7="",N7=0),"",ROUND(Q7-N7,2)))</f>
        <v>0</v>
      </c>
      <c r="S7" s="33">
        <f>IF(C7="","",IF(OR(Q7="",N7=0),"",Q7/N7-1))</f>
        <v>0</v>
      </c>
      <c r="T7" s="43">
        <f>IF(C7="","",IF(S7="","",IF(S7&gt;0.15,"Dearer",IF(S7&lt;-0.15,"Cheaper","Similar"))))</f>
        <v>0</v>
      </c>
      <c r="U7" s="32">
        <f>IF(C7="","",IF(K7="","",TodayDate-K7))</f>
        <v>0</v>
      </c>
      <c r="V7" s="43">
        <f>IF(C7="","",IF(F7="","Add - what do they charge?",IF(O7="","Check - your product has no price",IF(AND(U7&lt;&gt;"",U7&gt;180),"Check - research is over six months old",IF(AND(T7="Cheaper",H7="Below mine"),"Raise - better work, lower price",IF(T7="Dearer","Fine - make sure the listing shows why","OK"))))))</f>
        <v>0</v>
      </c>
    </row>
    <row r="8" spans="1:22">
      <c r="A8" s="46" t="s">
        <v>1304</v>
      </c>
      <c r="B8" s="13">
        <f>IF(A8="","",IFERROR(INDEX(Products!$B$5:$B$304,MATCH(A8,Products!$A$5:$A$304,0)),"Not found"))</f>
        <v>0</v>
      </c>
      <c r="C8" s="15" t="s">
        <v>1758</v>
      </c>
      <c r="D8" s="15" t="s">
        <v>545</v>
      </c>
      <c r="E8" s="15" t="s">
        <v>545</v>
      </c>
      <c r="F8" s="18">
        <v>72</v>
      </c>
      <c r="G8" s="18">
        <v>0</v>
      </c>
      <c r="H8" s="15" t="s">
        <v>1756</v>
      </c>
      <c r="I8" s="47" t="s">
        <v>278</v>
      </c>
      <c r="J8" s="16">
        <v>96</v>
      </c>
      <c r="K8" s="22">
        <v>46303</v>
      </c>
      <c r="M8" s="40" t="s">
        <v>1759</v>
      </c>
      <c r="N8" s="20">
        <f>IF(C8="","",ROUND(IF(F8="",0,F8)+IF(G8="",0,G8),2))</f>
        <v>0</v>
      </c>
      <c r="O8" s="20">
        <f>IF(A8="","",IFERROR(INDEX(Products!$AR$5:$AR$304,MATCH(A8,Products!$A$5:$A$304,0)),""))</f>
        <v>0</v>
      </c>
      <c r="P8" s="20">
        <f>IF(A8="","",IFERROR(INDEX(Products!$AE$5:$AE$304,MATCH(A8,Products!$A$5:$A$304,0)),""))</f>
        <v>0</v>
      </c>
      <c r="Q8" s="20">
        <f>IF(C8="","",IF(O8="","",ROUND(O8+IF(P8="",0,P8),2)))</f>
        <v>0</v>
      </c>
      <c r="R8" s="20">
        <f>IF(C8="","",IF(OR(Q8="",N8=0),"",ROUND(Q8-N8,2)))</f>
        <v>0</v>
      </c>
      <c r="S8" s="33">
        <f>IF(C8="","",IF(OR(Q8="",N8=0),"",Q8/N8-1))</f>
        <v>0</v>
      </c>
      <c r="T8" s="43">
        <f>IF(C8="","",IF(S8="","",IF(S8&gt;0.15,"Dearer",IF(S8&lt;-0.15,"Cheaper","Similar"))))</f>
        <v>0</v>
      </c>
      <c r="U8" s="32">
        <f>IF(C8="","",IF(K8="","",TodayDate-K8))</f>
        <v>0</v>
      </c>
      <c r="V8" s="43">
        <f>IF(C8="","",IF(F8="","Add - what do they charge?",IF(O8="","Check - your product has no price",IF(AND(U8&lt;&gt;"",U8&gt;180),"Check - research is over six months old",IF(AND(T8="Cheaper",H8="Below mine"),"Raise - better work, lower price",IF(T8="Dearer","Fine - make sure the listing shows why","OK"))))))</f>
        <v>0</v>
      </c>
    </row>
    <row r="9" spans="1:22">
      <c r="A9" s="46" t="s">
        <v>1308</v>
      </c>
      <c r="B9" s="13">
        <f>IF(A9="","",IFERROR(INDEX(Products!$B$5:$B$304,MATCH(A9,Products!$A$5:$A$304,0)),"Not found"))</f>
        <v>0</v>
      </c>
      <c r="C9" s="15" t="s">
        <v>1760</v>
      </c>
      <c r="D9" s="15" t="s">
        <v>287</v>
      </c>
      <c r="E9" s="15" t="s">
        <v>287</v>
      </c>
      <c r="F9" s="18">
        <v>46</v>
      </c>
      <c r="G9" s="18">
        <v>4.5</v>
      </c>
      <c r="H9" s="15" t="s">
        <v>1749</v>
      </c>
      <c r="I9" s="47" t="s">
        <v>278</v>
      </c>
      <c r="J9" s="16">
        <v>610</v>
      </c>
      <c r="K9" s="22">
        <v>46303</v>
      </c>
      <c r="N9" s="20">
        <f>IF(C9="","",ROUND(IF(F9="",0,F9)+IF(G9="",0,G9),2))</f>
        <v>0</v>
      </c>
      <c r="O9" s="20">
        <f>IF(A9="","",IFERROR(INDEX(Products!$AR$5:$AR$304,MATCH(A9,Products!$A$5:$A$304,0)),""))</f>
        <v>0</v>
      </c>
      <c r="P9" s="20">
        <f>IF(A9="","",IFERROR(INDEX(Products!$AE$5:$AE$304,MATCH(A9,Products!$A$5:$A$304,0)),""))</f>
        <v>0</v>
      </c>
      <c r="Q9" s="20">
        <f>IF(C9="","",IF(O9="","",ROUND(O9+IF(P9="",0,P9),2)))</f>
        <v>0</v>
      </c>
      <c r="R9" s="20">
        <f>IF(C9="","",IF(OR(Q9="",N9=0),"",ROUND(Q9-N9,2)))</f>
        <v>0</v>
      </c>
      <c r="S9" s="33">
        <f>IF(C9="","",IF(OR(Q9="",N9=0),"",Q9/N9-1))</f>
        <v>0</v>
      </c>
      <c r="T9" s="43">
        <f>IF(C9="","",IF(S9="","",IF(S9&gt;0.15,"Dearer",IF(S9&lt;-0.15,"Cheaper","Similar"))))</f>
        <v>0</v>
      </c>
      <c r="U9" s="32">
        <f>IF(C9="","",IF(K9="","",TodayDate-K9))</f>
        <v>0</v>
      </c>
      <c r="V9" s="43">
        <f>IF(C9="","",IF(F9="","Add - what do they charge?",IF(O9="","Check - your product has no price",IF(AND(U9&lt;&gt;"",U9&gt;180),"Check - research is over six months old",IF(AND(T9="Cheaper",H9="Below mine"),"Raise - better work, lower price",IF(T9="Dearer","Fine - make sure the listing shows why","OK"))))))</f>
        <v>0</v>
      </c>
    </row>
    <row r="10" spans="1:22">
      <c r="A10" s="46" t="s">
        <v>1344</v>
      </c>
      <c r="B10" s="13">
        <f>IF(A10="","",IFERROR(INDEX(Products!$B$5:$B$304,MATCH(A10,Products!$A$5:$A$304,0)),"Not found"))</f>
        <v>0</v>
      </c>
      <c r="C10" s="15" t="s">
        <v>1761</v>
      </c>
      <c r="D10" s="15" t="s">
        <v>287</v>
      </c>
      <c r="E10" s="15" t="s">
        <v>287</v>
      </c>
      <c r="F10" s="18">
        <v>28</v>
      </c>
      <c r="G10" s="18">
        <v>7.95</v>
      </c>
      <c r="H10" s="15" t="s">
        <v>1749</v>
      </c>
      <c r="I10" s="47" t="s">
        <v>278</v>
      </c>
      <c r="J10" s="16">
        <v>2100</v>
      </c>
      <c r="K10" s="22">
        <v>46291</v>
      </c>
      <c r="M10" s="40" t="s">
        <v>1762</v>
      </c>
      <c r="N10" s="20">
        <f>IF(C10="","",ROUND(IF(F10="",0,F10)+IF(G10="",0,G10),2))</f>
        <v>0</v>
      </c>
      <c r="O10" s="20">
        <f>IF(A10="","",IFERROR(INDEX(Products!$AR$5:$AR$304,MATCH(A10,Products!$A$5:$A$304,0)),""))</f>
        <v>0</v>
      </c>
      <c r="P10" s="20">
        <f>IF(A10="","",IFERROR(INDEX(Products!$AE$5:$AE$304,MATCH(A10,Products!$A$5:$A$304,0)),""))</f>
        <v>0</v>
      </c>
      <c r="Q10" s="20">
        <f>IF(C10="","",IF(O10="","",ROUND(O10+IF(P10="",0,P10),2)))</f>
        <v>0</v>
      </c>
      <c r="R10" s="20">
        <f>IF(C10="","",IF(OR(Q10="",N10=0),"",ROUND(Q10-N10,2)))</f>
        <v>0</v>
      </c>
      <c r="S10" s="33">
        <f>IF(C10="","",IF(OR(Q10="",N10=0),"",Q10/N10-1))</f>
        <v>0</v>
      </c>
      <c r="T10" s="43">
        <f>IF(C10="","",IF(S10="","",IF(S10&gt;0.15,"Dearer",IF(S10&lt;-0.15,"Cheaper","Similar"))))</f>
        <v>0</v>
      </c>
      <c r="U10" s="32">
        <f>IF(C10="","",IF(K10="","",TodayDate-K10))</f>
        <v>0</v>
      </c>
      <c r="V10" s="43">
        <f>IF(C10="","",IF(F10="","Add - what do they charge?",IF(O10="","Check - your product has no price",IF(AND(U10&lt;&gt;"",U10&gt;180),"Check - research is over six months old",IF(AND(T10="Cheaper",H10="Below mine"),"Raise - better work, lower price",IF(T10="Dearer","Fine - make sure the listing shows why","OK"))))))</f>
        <v>0</v>
      </c>
    </row>
    <row r="11" spans="1:22">
      <c r="A11" s="46" t="s">
        <v>1351</v>
      </c>
      <c r="B11" s="13">
        <f>IF(A11="","",IFERROR(INDEX(Products!$B$5:$B$304,MATCH(A11,Products!$A$5:$A$304,0)),"Not found"))</f>
        <v>0</v>
      </c>
      <c r="C11" s="15" t="s">
        <v>1761</v>
      </c>
      <c r="D11" s="15" t="s">
        <v>287</v>
      </c>
      <c r="E11" s="15" t="s">
        <v>287</v>
      </c>
      <c r="F11" s="18">
        <v>16</v>
      </c>
      <c r="G11" s="18">
        <v>7.95</v>
      </c>
      <c r="H11" s="15" t="s">
        <v>1749</v>
      </c>
      <c r="I11" s="47" t="s">
        <v>278</v>
      </c>
      <c r="J11" s="16">
        <v>2100</v>
      </c>
      <c r="K11" s="22">
        <v>46291</v>
      </c>
      <c r="N11" s="20">
        <f>IF(C11="","",ROUND(IF(F11="",0,F11)+IF(G11="",0,G11),2))</f>
        <v>0</v>
      </c>
      <c r="O11" s="20">
        <f>IF(A11="","",IFERROR(INDEX(Products!$AR$5:$AR$304,MATCH(A11,Products!$A$5:$A$304,0)),""))</f>
        <v>0</v>
      </c>
      <c r="P11" s="20">
        <f>IF(A11="","",IFERROR(INDEX(Products!$AE$5:$AE$304,MATCH(A11,Products!$A$5:$A$304,0)),""))</f>
        <v>0</v>
      </c>
      <c r="Q11" s="20">
        <f>IF(C11="","",IF(O11="","",ROUND(O11+IF(P11="",0,P11),2)))</f>
        <v>0</v>
      </c>
      <c r="R11" s="20">
        <f>IF(C11="","",IF(OR(Q11="",N11=0),"",ROUND(Q11-N11,2)))</f>
        <v>0</v>
      </c>
      <c r="S11" s="33">
        <f>IF(C11="","",IF(OR(Q11="",N11=0),"",Q11/N11-1))</f>
        <v>0</v>
      </c>
      <c r="T11" s="43">
        <f>IF(C11="","",IF(S11="","",IF(S11&gt;0.15,"Dearer",IF(S11&lt;-0.15,"Cheaper","Similar"))))</f>
        <v>0</v>
      </c>
      <c r="U11" s="32">
        <f>IF(C11="","",IF(K11="","",TodayDate-K11))</f>
        <v>0</v>
      </c>
      <c r="V11" s="43">
        <f>IF(C11="","",IF(F11="","Add - what do they charge?",IF(O11="","Check - your product has no price",IF(AND(U11&lt;&gt;"",U11&gt;180),"Check - research is over six months old",IF(AND(T11="Cheaper",H11="Below mine"),"Raise - better work, lower price",IF(T11="Dearer","Fine - make sure the listing shows why","OK"))))))</f>
        <v>0</v>
      </c>
    </row>
    <row r="12" spans="1:22">
      <c r="A12" s="46" t="s">
        <v>741</v>
      </c>
      <c r="B12" s="13">
        <f>IF(A12="","",IFERROR(INDEX(Products!$B$5:$B$304,MATCH(A12,Products!$A$5:$A$304,0)),"Not found"))</f>
        <v>0</v>
      </c>
      <c r="C12" s="15" t="s">
        <v>1763</v>
      </c>
      <c r="D12" s="15" t="s">
        <v>545</v>
      </c>
      <c r="E12" s="15" t="s">
        <v>545</v>
      </c>
      <c r="F12" s="18">
        <v>215</v>
      </c>
      <c r="G12" s="18">
        <v>0</v>
      </c>
      <c r="H12" s="15" t="s">
        <v>1756</v>
      </c>
      <c r="I12" s="47" t="s">
        <v>278</v>
      </c>
      <c r="J12" s="16">
        <v>58</v>
      </c>
      <c r="K12" s="22">
        <v>46272</v>
      </c>
      <c r="M12" s="40" t="s">
        <v>1764</v>
      </c>
      <c r="N12" s="20">
        <f>IF(C12="","",ROUND(IF(F12="",0,F12)+IF(G12="",0,G12),2))</f>
        <v>0</v>
      </c>
      <c r="O12" s="20">
        <f>IF(A12="","",IFERROR(INDEX(Products!$AR$5:$AR$304,MATCH(A12,Products!$A$5:$A$304,0)),""))</f>
        <v>0</v>
      </c>
      <c r="P12" s="20">
        <f>IF(A12="","",IFERROR(INDEX(Products!$AE$5:$AE$304,MATCH(A12,Products!$A$5:$A$304,0)),""))</f>
        <v>0</v>
      </c>
      <c r="Q12" s="20">
        <f>IF(C12="","",IF(O12="","",ROUND(O12+IF(P12="",0,P12),2)))</f>
        <v>0</v>
      </c>
      <c r="R12" s="20">
        <f>IF(C12="","",IF(OR(Q12="",N12=0),"",ROUND(Q12-N12,2)))</f>
        <v>0</v>
      </c>
      <c r="S12" s="33">
        <f>IF(C12="","",IF(OR(Q12="",N12=0),"",Q12/N12-1))</f>
        <v>0</v>
      </c>
      <c r="T12" s="43">
        <f>IF(C12="","",IF(S12="","",IF(S12&gt;0.15,"Dearer",IF(S12&lt;-0.15,"Cheaper","Similar"))))</f>
        <v>0</v>
      </c>
      <c r="U12" s="32">
        <f>IF(C12="","",IF(K12="","",TodayDate-K12))</f>
        <v>0</v>
      </c>
      <c r="V12" s="43">
        <f>IF(C12="","",IF(F12="","Add - what do they charge?",IF(O12="","Check - your product has no price",IF(AND(U12&lt;&gt;"",U12&gt;180),"Check - research is over six months old",IF(AND(T12="Cheaper",H12="Below mine"),"Raise - better work, lower price",IF(T12="Dearer","Fine - make sure the listing shows why","OK"))))))</f>
        <v>0</v>
      </c>
    </row>
    <row r="13" spans="1:22">
      <c r="A13" s="46" t="s">
        <v>748</v>
      </c>
      <c r="B13" s="13">
        <f>IF(A13="","",IFERROR(INDEX(Products!$B$5:$B$304,MATCH(A13,Products!$A$5:$A$304,0)),"Not found"))</f>
        <v>0</v>
      </c>
      <c r="C13" s="15" t="s">
        <v>1765</v>
      </c>
      <c r="D13" s="15" t="s">
        <v>995</v>
      </c>
      <c r="E13" s="15" t="s">
        <v>995</v>
      </c>
      <c r="F13" s="18">
        <v>112</v>
      </c>
      <c r="G13" s="18">
        <v>0</v>
      </c>
      <c r="H13" s="15" t="s">
        <v>1766</v>
      </c>
      <c r="I13" s="47" t="s">
        <v>278</v>
      </c>
      <c r="J13" s="16">
        <v>0</v>
      </c>
      <c r="K13" s="22">
        <v>46282</v>
      </c>
      <c r="M13" s="40" t="s">
        <v>1767</v>
      </c>
      <c r="N13" s="20">
        <f>IF(C13="","",ROUND(IF(F13="",0,F13)+IF(G13="",0,G13),2))</f>
        <v>0</v>
      </c>
      <c r="O13" s="20">
        <f>IF(A13="","",IFERROR(INDEX(Products!$AR$5:$AR$304,MATCH(A13,Products!$A$5:$A$304,0)),""))</f>
        <v>0</v>
      </c>
      <c r="P13" s="20">
        <f>IF(A13="","",IFERROR(INDEX(Products!$AE$5:$AE$304,MATCH(A13,Products!$A$5:$A$304,0)),""))</f>
        <v>0</v>
      </c>
      <c r="Q13" s="20">
        <f>IF(C13="","",IF(O13="","",ROUND(O13+IF(P13="",0,P13),2)))</f>
        <v>0</v>
      </c>
      <c r="R13" s="20">
        <f>IF(C13="","",IF(OR(Q13="",N13=0),"",ROUND(Q13-N13,2)))</f>
        <v>0</v>
      </c>
      <c r="S13" s="33">
        <f>IF(C13="","",IF(OR(Q13="",N13=0),"",Q13/N13-1))</f>
        <v>0</v>
      </c>
      <c r="T13" s="43">
        <f>IF(C13="","",IF(S13="","",IF(S13&gt;0.15,"Dearer",IF(S13&lt;-0.15,"Cheaper","Similar"))))</f>
        <v>0</v>
      </c>
      <c r="U13" s="32">
        <f>IF(C13="","",IF(K13="","",TodayDate-K13))</f>
        <v>0</v>
      </c>
      <c r="V13" s="43">
        <f>IF(C13="","",IF(F13="","Add - what do they charge?",IF(O13="","Check - your product has no price",IF(AND(U13&lt;&gt;"",U13&gt;180),"Check - research is over six months old",IF(AND(T13="Cheaper",H13="Below mine"),"Raise - better work, lower price",IF(T13="Dearer","Fine - make sure the listing shows why","OK"))))))</f>
        <v>0</v>
      </c>
    </row>
    <row r="14" spans="1:22">
      <c r="A14" s="46" t="s">
        <v>1447</v>
      </c>
      <c r="B14" s="13">
        <f>IF(A14="","",IFERROR(INDEX(Products!$B$5:$B$304,MATCH(A14,Products!$A$5:$A$304,0)),"Not found"))</f>
        <v>0</v>
      </c>
      <c r="C14" s="15" t="s">
        <v>1768</v>
      </c>
      <c r="D14" s="15" t="s">
        <v>287</v>
      </c>
      <c r="E14" s="15" t="s">
        <v>287</v>
      </c>
      <c r="F14" s="18">
        <v>7</v>
      </c>
      <c r="G14" s="18">
        <v>0</v>
      </c>
      <c r="H14" s="15" t="s">
        <v>1749</v>
      </c>
      <c r="I14" s="47" t="s">
        <v>1769</v>
      </c>
      <c r="J14" s="16">
        <v>3400</v>
      </c>
      <c r="K14" s="22">
        <v>46257</v>
      </c>
      <c r="M14" s="40" t="s">
        <v>1770</v>
      </c>
      <c r="N14" s="20">
        <f>IF(C14="","",ROUND(IF(F14="",0,F14)+IF(G14="",0,G14),2))</f>
        <v>0</v>
      </c>
      <c r="O14" s="20">
        <f>IF(A14="","",IFERROR(INDEX(Products!$AR$5:$AR$304,MATCH(A14,Products!$A$5:$A$304,0)),""))</f>
        <v>0</v>
      </c>
      <c r="P14" s="20">
        <f>IF(A14="","",IFERROR(INDEX(Products!$AE$5:$AE$304,MATCH(A14,Products!$A$5:$A$304,0)),""))</f>
        <v>0</v>
      </c>
      <c r="Q14" s="20">
        <f>IF(C14="","",IF(O14="","",ROUND(O14+IF(P14="",0,P14),2)))</f>
        <v>0</v>
      </c>
      <c r="R14" s="20">
        <f>IF(C14="","",IF(OR(Q14="",N14=0),"",ROUND(Q14-N14,2)))</f>
        <v>0</v>
      </c>
      <c r="S14" s="33">
        <f>IF(C14="","",IF(OR(Q14="",N14=0),"",Q14/N14-1))</f>
        <v>0</v>
      </c>
      <c r="T14" s="43">
        <f>IF(C14="","",IF(S14="","",IF(S14&gt;0.15,"Dearer",IF(S14&lt;-0.15,"Cheaper","Similar"))))</f>
        <v>0</v>
      </c>
      <c r="U14" s="32">
        <f>IF(C14="","",IF(K14="","",TodayDate-K14))</f>
        <v>0</v>
      </c>
      <c r="V14" s="43">
        <f>IF(C14="","",IF(F14="","Add - what do they charge?",IF(O14="","Check - your product has no price",IF(AND(U14&lt;&gt;"",U14&gt;180),"Check - research is over six months old",IF(AND(T14="Cheaper",H14="Below mine"),"Raise - better work, lower price",IF(T14="Dearer","Fine - make sure the listing shows why","OK"))))))</f>
        <v>0</v>
      </c>
    </row>
    <row r="15" spans="1:22">
      <c r="B15" s="13">
        <f>IF(A15="","",IFERROR(INDEX(Products!$B$5:$B$304,MATCH(A15,Products!$A$5:$A$304,0)),"Not found"))</f>
        <v>0</v>
      </c>
      <c r="N15" s="20">
        <f>IF(C15="","",ROUND(IF(F15="",0,F15)+IF(G15="",0,G15),2))</f>
        <v>0</v>
      </c>
      <c r="O15" s="20">
        <f>IF(A15="","",IFERROR(INDEX(Products!$AR$5:$AR$304,MATCH(A15,Products!$A$5:$A$304,0)),""))</f>
        <v>0</v>
      </c>
      <c r="P15" s="20">
        <f>IF(A15="","",IFERROR(INDEX(Products!$AE$5:$AE$304,MATCH(A15,Products!$A$5:$A$304,0)),""))</f>
        <v>0</v>
      </c>
      <c r="Q15" s="20">
        <f>IF(C15="","",IF(O15="","",ROUND(O15+IF(P15="",0,P15),2)))</f>
        <v>0</v>
      </c>
      <c r="R15" s="20">
        <f>IF(C15="","",IF(OR(Q15="",N15=0),"",ROUND(Q15-N15,2)))</f>
        <v>0</v>
      </c>
      <c r="S15" s="33">
        <f>IF(C15="","",IF(OR(Q15="",N15=0),"",Q15/N15-1))</f>
        <v>0</v>
      </c>
      <c r="T15" s="43">
        <f>IF(C15="","",IF(S15="","",IF(S15&gt;0.15,"Dearer",IF(S15&lt;-0.15,"Cheaper","Similar"))))</f>
        <v>0</v>
      </c>
      <c r="U15" s="32">
        <f>IF(C15="","",IF(K15="","",TodayDate-K15))</f>
        <v>0</v>
      </c>
      <c r="V15" s="43">
        <f>IF(C15="","",IF(F15="","Add - what do they charge?",IF(O15="","Check - your product has no price",IF(AND(U15&lt;&gt;"",U15&gt;180),"Check - research is over six months old",IF(AND(T15="Cheaper",H15="Below mine"),"Raise - better work, lower price",IF(T15="Dearer","Fine - make sure the listing shows why","OK"))))))</f>
        <v>0</v>
      </c>
    </row>
    <row r="16" spans="1:22">
      <c r="B16" s="13">
        <f>IF(A16="","",IFERROR(INDEX(Products!$B$5:$B$304,MATCH(A16,Products!$A$5:$A$304,0)),"Not found"))</f>
        <v>0</v>
      </c>
      <c r="N16" s="20">
        <f>IF(C16="","",ROUND(IF(F16="",0,F16)+IF(G16="",0,G16),2))</f>
        <v>0</v>
      </c>
      <c r="O16" s="20">
        <f>IF(A16="","",IFERROR(INDEX(Products!$AR$5:$AR$304,MATCH(A16,Products!$A$5:$A$304,0)),""))</f>
        <v>0</v>
      </c>
      <c r="P16" s="20">
        <f>IF(A16="","",IFERROR(INDEX(Products!$AE$5:$AE$304,MATCH(A16,Products!$A$5:$A$304,0)),""))</f>
        <v>0</v>
      </c>
      <c r="Q16" s="20">
        <f>IF(C16="","",IF(O16="","",ROUND(O16+IF(P16="",0,P16),2)))</f>
        <v>0</v>
      </c>
      <c r="R16" s="20">
        <f>IF(C16="","",IF(OR(Q16="",N16=0),"",ROUND(Q16-N16,2)))</f>
        <v>0</v>
      </c>
      <c r="S16" s="33">
        <f>IF(C16="","",IF(OR(Q16="",N16=0),"",Q16/N16-1))</f>
        <v>0</v>
      </c>
      <c r="T16" s="43">
        <f>IF(C16="","",IF(S16="","",IF(S16&gt;0.15,"Dearer",IF(S16&lt;-0.15,"Cheaper","Similar"))))</f>
        <v>0</v>
      </c>
      <c r="U16" s="32">
        <f>IF(C16="","",IF(K16="","",TodayDate-K16))</f>
        <v>0</v>
      </c>
      <c r="V16" s="43">
        <f>IF(C16="","",IF(F16="","Add - what do they charge?",IF(O16="","Check - your product has no price",IF(AND(U16&lt;&gt;"",U16&gt;180),"Check - research is over six months old",IF(AND(T16="Cheaper",H16="Below mine"),"Raise - better work, lower price",IF(T16="Dearer","Fine - make sure the listing shows why","OK"))))))</f>
        <v>0</v>
      </c>
    </row>
    <row r="17" spans="2:22">
      <c r="B17" s="13">
        <f>IF(A17="","",IFERROR(INDEX(Products!$B$5:$B$304,MATCH(A17,Products!$A$5:$A$304,0)),"Not found"))</f>
        <v>0</v>
      </c>
      <c r="N17" s="20">
        <f>IF(C17="","",ROUND(IF(F17="",0,F17)+IF(G17="",0,G17),2))</f>
        <v>0</v>
      </c>
      <c r="O17" s="20">
        <f>IF(A17="","",IFERROR(INDEX(Products!$AR$5:$AR$304,MATCH(A17,Products!$A$5:$A$304,0)),""))</f>
        <v>0</v>
      </c>
      <c r="P17" s="20">
        <f>IF(A17="","",IFERROR(INDEX(Products!$AE$5:$AE$304,MATCH(A17,Products!$A$5:$A$304,0)),""))</f>
        <v>0</v>
      </c>
      <c r="Q17" s="20">
        <f>IF(C17="","",IF(O17="","",ROUND(O17+IF(P17="",0,P17),2)))</f>
        <v>0</v>
      </c>
      <c r="R17" s="20">
        <f>IF(C17="","",IF(OR(Q17="",N17=0),"",ROUND(Q17-N17,2)))</f>
        <v>0</v>
      </c>
      <c r="S17" s="33">
        <f>IF(C17="","",IF(OR(Q17="",N17=0),"",Q17/N17-1))</f>
        <v>0</v>
      </c>
      <c r="T17" s="43">
        <f>IF(C17="","",IF(S17="","",IF(S17&gt;0.15,"Dearer",IF(S17&lt;-0.15,"Cheaper","Similar"))))</f>
        <v>0</v>
      </c>
      <c r="U17" s="32">
        <f>IF(C17="","",IF(K17="","",TodayDate-K17))</f>
        <v>0</v>
      </c>
      <c r="V17" s="43">
        <f>IF(C17="","",IF(F17="","Add - what do they charge?",IF(O17="","Check - your product has no price",IF(AND(U17&lt;&gt;"",U17&gt;180),"Check - research is over six months old",IF(AND(T17="Cheaper",H17="Below mine"),"Raise - better work, lower price",IF(T17="Dearer","Fine - make sure the listing shows why","OK"))))))</f>
        <v>0</v>
      </c>
    </row>
    <row r="18" spans="2:22">
      <c r="B18" s="13">
        <f>IF(A18="","",IFERROR(INDEX(Products!$B$5:$B$304,MATCH(A18,Products!$A$5:$A$304,0)),"Not found"))</f>
        <v>0</v>
      </c>
      <c r="N18" s="20">
        <f>IF(C18="","",ROUND(IF(F18="",0,F18)+IF(G18="",0,G18),2))</f>
        <v>0</v>
      </c>
      <c r="O18" s="20">
        <f>IF(A18="","",IFERROR(INDEX(Products!$AR$5:$AR$304,MATCH(A18,Products!$A$5:$A$304,0)),""))</f>
        <v>0</v>
      </c>
      <c r="P18" s="20">
        <f>IF(A18="","",IFERROR(INDEX(Products!$AE$5:$AE$304,MATCH(A18,Products!$A$5:$A$304,0)),""))</f>
        <v>0</v>
      </c>
      <c r="Q18" s="20">
        <f>IF(C18="","",IF(O18="","",ROUND(O18+IF(P18="",0,P18),2)))</f>
        <v>0</v>
      </c>
      <c r="R18" s="20">
        <f>IF(C18="","",IF(OR(Q18="",N18=0),"",ROUND(Q18-N18,2)))</f>
        <v>0</v>
      </c>
      <c r="S18" s="33">
        <f>IF(C18="","",IF(OR(Q18="",N18=0),"",Q18/N18-1))</f>
        <v>0</v>
      </c>
      <c r="T18" s="43">
        <f>IF(C18="","",IF(S18="","",IF(S18&gt;0.15,"Dearer",IF(S18&lt;-0.15,"Cheaper","Similar"))))</f>
        <v>0</v>
      </c>
      <c r="U18" s="32">
        <f>IF(C18="","",IF(K18="","",TodayDate-K18))</f>
        <v>0</v>
      </c>
      <c r="V18" s="43">
        <f>IF(C18="","",IF(F18="","Add - what do they charge?",IF(O18="","Check - your product has no price",IF(AND(U18&lt;&gt;"",U18&gt;180),"Check - research is over six months old",IF(AND(T18="Cheaper",H18="Below mine"),"Raise - better work, lower price",IF(T18="Dearer","Fine - make sure the listing shows why","OK"))))))</f>
        <v>0</v>
      </c>
    </row>
    <row r="19" spans="2:22">
      <c r="B19" s="13">
        <f>IF(A19="","",IFERROR(INDEX(Products!$B$5:$B$304,MATCH(A19,Products!$A$5:$A$304,0)),"Not found"))</f>
        <v>0</v>
      </c>
      <c r="N19" s="20">
        <f>IF(C19="","",ROUND(IF(F19="",0,F19)+IF(G19="",0,G19),2))</f>
        <v>0</v>
      </c>
      <c r="O19" s="20">
        <f>IF(A19="","",IFERROR(INDEX(Products!$AR$5:$AR$304,MATCH(A19,Products!$A$5:$A$304,0)),""))</f>
        <v>0</v>
      </c>
      <c r="P19" s="20">
        <f>IF(A19="","",IFERROR(INDEX(Products!$AE$5:$AE$304,MATCH(A19,Products!$A$5:$A$304,0)),""))</f>
        <v>0</v>
      </c>
      <c r="Q19" s="20">
        <f>IF(C19="","",IF(O19="","",ROUND(O19+IF(P19="",0,P19),2)))</f>
        <v>0</v>
      </c>
      <c r="R19" s="20">
        <f>IF(C19="","",IF(OR(Q19="",N19=0),"",ROUND(Q19-N19,2)))</f>
        <v>0</v>
      </c>
      <c r="S19" s="33">
        <f>IF(C19="","",IF(OR(Q19="",N19=0),"",Q19/N19-1))</f>
        <v>0</v>
      </c>
      <c r="T19" s="43">
        <f>IF(C19="","",IF(S19="","",IF(S19&gt;0.15,"Dearer",IF(S19&lt;-0.15,"Cheaper","Similar"))))</f>
        <v>0</v>
      </c>
      <c r="U19" s="32">
        <f>IF(C19="","",IF(K19="","",TodayDate-K19))</f>
        <v>0</v>
      </c>
      <c r="V19" s="43">
        <f>IF(C19="","",IF(F19="","Add - what do they charge?",IF(O19="","Check - your product has no price",IF(AND(U19&lt;&gt;"",U19&gt;180),"Check - research is over six months old",IF(AND(T19="Cheaper",H19="Below mine"),"Raise - better work, lower price",IF(T19="Dearer","Fine - make sure the listing shows why","OK"))))))</f>
        <v>0</v>
      </c>
    </row>
    <row r="20" spans="2:22">
      <c r="B20" s="13">
        <f>IF(A20="","",IFERROR(INDEX(Products!$B$5:$B$304,MATCH(A20,Products!$A$5:$A$304,0)),"Not found"))</f>
        <v>0</v>
      </c>
      <c r="N20" s="20">
        <f>IF(C20="","",ROUND(IF(F20="",0,F20)+IF(G20="",0,G20),2))</f>
        <v>0</v>
      </c>
      <c r="O20" s="20">
        <f>IF(A20="","",IFERROR(INDEX(Products!$AR$5:$AR$304,MATCH(A20,Products!$A$5:$A$304,0)),""))</f>
        <v>0</v>
      </c>
      <c r="P20" s="20">
        <f>IF(A20="","",IFERROR(INDEX(Products!$AE$5:$AE$304,MATCH(A20,Products!$A$5:$A$304,0)),""))</f>
        <v>0</v>
      </c>
      <c r="Q20" s="20">
        <f>IF(C20="","",IF(O20="","",ROUND(O20+IF(P20="",0,P20),2)))</f>
        <v>0</v>
      </c>
      <c r="R20" s="20">
        <f>IF(C20="","",IF(OR(Q20="",N20=0),"",ROUND(Q20-N20,2)))</f>
        <v>0</v>
      </c>
      <c r="S20" s="33">
        <f>IF(C20="","",IF(OR(Q20="",N20=0),"",Q20/N20-1))</f>
        <v>0</v>
      </c>
      <c r="T20" s="43">
        <f>IF(C20="","",IF(S20="","",IF(S20&gt;0.15,"Dearer",IF(S20&lt;-0.15,"Cheaper","Similar"))))</f>
        <v>0</v>
      </c>
      <c r="U20" s="32">
        <f>IF(C20="","",IF(K20="","",TodayDate-K20))</f>
        <v>0</v>
      </c>
      <c r="V20" s="43">
        <f>IF(C20="","",IF(F20="","Add - what do they charge?",IF(O20="","Check - your product has no price",IF(AND(U20&lt;&gt;"",U20&gt;180),"Check - research is over six months old",IF(AND(T20="Cheaper",H20="Below mine"),"Raise - better work, lower price",IF(T20="Dearer","Fine - make sure the listing shows why","OK"))))))</f>
        <v>0</v>
      </c>
    </row>
    <row r="21" spans="2:22">
      <c r="B21" s="13">
        <f>IF(A21="","",IFERROR(INDEX(Products!$B$5:$B$304,MATCH(A21,Products!$A$5:$A$304,0)),"Not found"))</f>
        <v>0</v>
      </c>
      <c r="N21" s="20">
        <f>IF(C21="","",ROUND(IF(F21="",0,F21)+IF(G21="",0,G21),2))</f>
        <v>0</v>
      </c>
      <c r="O21" s="20">
        <f>IF(A21="","",IFERROR(INDEX(Products!$AR$5:$AR$304,MATCH(A21,Products!$A$5:$A$304,0)),""))</f>
        <v>0</v>
      </c>
      <c r="P21" s="20">
        <f>IF(A21="","",IFERROR(INDEX(Products!$AE$5:$AE$304,MATCH(A21,Products!$A$5:$A$304,0)),""))</f>
        <v>0</v>
      </c>
      <c r="Q21" s="20">
        <f>IF(C21="","",IF(O21="","",ROUND(O21+IF(P21="",0,P21),2)))</f>
        <v>0</v>
      </c>
      <c r="R21" s="20">
        <f>IF(C21="","",IF(OR(Q21="",N21=0),"",ROUND(Q21-N21,2)))</f>
        <v>0</v>
      </c>
      <c r="S21" s="33">
        <f>IF(C21="","",IF(OR(Q21="",N21=0),"",Q21/N21-1))</f>
        <v>0</v>
      </c>
      <c r="T21" s="43">
        <f>IF(C21="","",IF(S21="","",IF(S21&gt;0.15,"Dearer",IF(S21&lt;-0.15,"Cheaper","Similar"))))</f>
        <v>0</v>
      </c>
      <c r="U21" s="32">
        <f>IF(C21="","",IF(K21="","",TodayDate-K21))</f>
        <v>0</v>
      </c>
      <c r="V21" s="43">
        <f>IF(C21="","",IF(F21="","Add - what do they charge?",IF(O21="","Check - your product has no price",IF(AND(U21&lt;&gt;"",U21&gt;180),"Check - research is over six months old",IF(AND(T21="Cheaper",H21="Below mine"),"Raise - better work, lower price",IF(T21="Dearer","Fine - make sure the listing shows why","OK"))))))</f>
        <v>0</v>
      </c>
    </row>
    <row r="22" spans="2:22">
      <c r="B22" s="13">
        <f>IF(A22="","",IFERROR(INDEX(Products!$B$5:$B$304,MATCH(A22,Products!$A$5:$A$304,0)),"Not found"))</f>
        <v>0</v>
      </c>
      <c r="N22" s="20">
        <f>IF(C22="","",ROUND(IF(F22="",0,F22)+IF(G22="",0,G22),2))</f>
        <v>0</v>
      </c>
      <c r="O22" s="20">
        <f>IF(A22="","",IFERROR(INDEX(Products!$AR$5:$AR$304,MATCH(A22,Products!$A$5:$A$304,0)),""))</f>
        <v>0</v>
      </c>
      <c r="P22" s="20">
        <f>IF(A22="","",IFERROR(INDEX(Products!$AE$5:$AE$304,MATCH(A22,Products!$A$5:$A$304,0)),""))</f>
        <v>0</v>
      </c>
      <c r="Q22" s="20">
        <f>IF(C22="","",IF(O22="","",ROUND(O22+IF(P22="",0,P22),2)))</f>
        <v>0</v>
      </c>
      <c r="R22" s="20">
        <f>IF(C22="","",IF(OR(Q22="",N22=0),"",ROUND(Q22-N22,2)))</f>
        <v>0</v>
      </c>
      <c r="S22" s="33">
        <f>IF(C22="","",IF(OR(Q22="",N22=0),"",Q22/N22-1))</f>
        <v>0</v>
      </c>
      <c r="T22" s="43">
        <f>IF(C22="","",IF(S22="","",IF(S22&gt;0.15,"Dearer",IF(S22&lt;-0.15,"Cheaper","Similar"))))</f>
        <v>0</v>
      </c>
      <c r="U22" s="32">
        <f>IF(C22="","",IF(K22="","",TodayDate-K22))</f>
        <v>0</v>
      </c>
      <c r="V22" s="43">
        <f>IF(C22="","",IF(F22="","Add - what do they charge?",IF(O22="","Check - your product has no price",IF(AND(U22&lt;&gt;"",U22&gt;180),"Check - research is over six months old",IF(AND(T22="Cheaper",H22="Below mine"),"Raise - better work, lower price",IF(T22="Dearer","Fine - make sure the listing shows why","OK"))))))</f>
        <v>0</v>
      </c>
    </row>
    <row r="23" spans="2:22">
      <c r="B23" s="13">
        <f>IF(A23="","",IFERROR(INDEX(Products!$B$5:$B$304,MATCH(A23,Products!$A$5:$A$304,0)),"Not found"))</f>
        <v>0</v>
      </c>
      <c r="N23" s="20">
        <f>IF(C23="","",ROUND(IF(F23="",0,F23)+IF(G23="",0,G23),2))</f>
        <v>0</v>
      </c>
      <c r="O23" s="20">
        <f>IF(A23="","",IFERROR(INDEX(Products!$AR$5:$AR$304,MATCH(A23,Products!$A$5:$A$304,0)),""))</f>
        <v>0</v>
      </c>
      <c r="P23" s="20">
        <f>IF(A23="","",IFERROR(INDEX(Products!$AE$5:$AE$304,MATCH(A23,Products!$A$5:$A$304,0)),""))</f>
        <v>0</v>
      </c>
      <c r="Q23" s="20">
        <f>IF(C23="","",IF(O23="","",ROUND(O23+IF(P23="",0,P23),2)))</f>
        <v>0</v>
      </c>
      <c r="R23" s="20">
        <f>IF(C23="","",IF(OR(Q23="",N23=0),"",ROUND(Q23-N23,2)))</f>
        <v>0</v>
      </c>
      <c r="S23" s="33">
        <f>IF(C23="","",IF(OR(Q23="",N23=0),"",Q23/N23-1))</f>
        <v>0</v>
      </c>
      <c r="T23" s="43">
        <f>IF(C23="","",IF(S23="","",IF(S23&gt;0.15,"Dearer",IF(S23&lt;-0.15,"Cheaper","Similar"))))</f>
        <v>0</v>
      </c>
      <c r="U23" s="32">
        <f>IF(C23="","",IF(K23="","",TodayDate-K23))</f>
        <v>0</v>
      </c>
      <c r="V23" s="43">
        <f>IF(C23="","",IF(F23="","Add - what do they charge?",IF(O23="","Check - your product has no price",IF(AND(U23&lt;&gt;"",U23&gt;180),"Check - research is over six months old",IF(AND(T23="Cheaper",H23="Below mine"),"Raise - better work, lower price",IF(T23="Dearer","Fine - make sure the listing shows why","OK"))))))</f>
        <v>0</v>
      </c>
    </row>
    <row r="24" spans="2:22">
      <c r="B24" s="13">
        <f>IF(A24="","",IFERROR(INDEX(Products!$B$5:$B$304,MATCH(A24,Products!$A$5:$A$304,0)),"Not found"))</f>
        <v>0</v>
      </c>
      <c r="N24" s="20">
        <f>IF(C24="","",ROUND(IF(F24="",0,F24)+IF(G24="",0,G24),2))</f>
        <v>0</v>
      </c>
      <c r="O24" s="20">
        <f>IF(A24="","",IFERROR(INDEX(Products!$AR$5:$AR$304,MATCH(A24,Products!$A$5:$A$304,0)),""))</f>
        <v>0</v>
      </c>
      <c r="P24" s="20">
        <f>IF(A24="","",IFERROR(INDEX(Products!$AE$5:$AE$304,MATCH(A24,Products!$A$5:$A$304,0)),""))</f>
        <v>0</v>
      </c>
      <c r="Q24" s="20">
        <f>IF(C24="","",IF(O24="","",ROUND(O24+IF(P24="",0,P24),2)))</f>
        <v>0</v>
      </c>
      <c r="R24" s="20">
        <f>IF(C24="","",IF(OR(Q24="",N24=0),"",ROUND(Q24-N24,2)))</f>
        <v>0</v>
      </c>
      <c r="S24" s="33">
        <f>IF(C24="","",IF(OR(Q24="",N24=0),"",Q24/N24-1))</f>
        <v>0</v>
      </c>
      <c r="T24" s="43">
        <f>IF(C24="","",IF(S24="","",IF(S24&gt;0.15,"Dearer",IF(S24&lt;-0.15,"Cheaper","Similar"))))</f>
        <v>0</v>
      </c>
      <c r="U24" s="32">
        <f>IF(C24="","",IF(K24="","",TodayDate-K24))</f>
        <v>0</v>
      </c>
      <c r="V24" s="43">
        <f>IF(C24="","",IF(F24="","Add - what do they charge?",IF(O24="","Check - your product has no price",IF(AND(U24&lt;&gt;"",U24&gt;180),"Check - research is over six months old",IF(AND(T24="Cheaper",H24="Below mine"),"Raise - better work, lower price",IF(T24="Dearer","Fine - make sure the listing shows why","OK"))))))</f>
        <v>0</v>
      </c>
    </row>
    <row r="25" spans="2:22">
      <c r="B25" s="13">
        <f>IF(A25="","",IFERROR(INDEX(Products!$B$5:$B$304,MATCH(A25,Products!$A$5:$A$304,0)),"Not found"))</f>
        <v>0</v>
      </c>
      <c r="N25" s="20">
        <f>IF(C25="","",ROUND(IF(F25="",0,F25)+IF(G25="",0,G25),2))</f>
        <v>0</v>
      </c>
      <c r="O25" s="20">
        <f>IF(A25="","",IFERROR(INDEX(Products!$AR$5:$AR$304,MATCH(A25,Products!$A$5:$A$304,0)),""))</f>
        <v>0</v>
      </c>
      <c r="P25" s="20">
        <f>IF(A25="","",IFERROR(INDEX(Products!$AE$5:$AE$304,MATCH(A25,Products!$A$5:$A$304,0)),""))</f>
        <v>0</v>
      </c>
      <c r="Q25" s="20">
        <f>IF(C25="","",IF(O25="","",ROUND(O25+IF(P25="",0,P25),2)))</f>
        <v>0</v>
      </c>
      <c r="R25" s="20">
        <f>IF(C25="","",IF(OR(Q25="",N25=0),"",ROUND(Q25-N25,2)))</f>
        <v>0</v>
      </c>
      <c r="S25" s="33">
        <f>IF(C25="","",IF(OR(Q25="",N25=0),"",Q25/N25-1))</f>
        <v>0</v>
      </c>
      <c r="T25" s="43">
        <f>IF(C25="","",IF(S25="","",IF(S25&gt;0.15,"Dearer",IF(S25&lt;-0.15,"Cheaper","Similar"))))</f>
        <v>0</v>
      </c>
      <c r="U25" s="32">
        <f>IF(C25="","",IF(K25="","",TodayDate-K25))</f>
        <v>0</v>
      </c>
      <c r="V25" s="43">
        <f>IF(C25="","",IF(F25="","Add - what do they charge?",IF(O25="","Check - your product has no price",IF(AND(U25&lt;&gt;"",U25&gt;180),"Check - research is over six months old",IF(AND(T25="Cheaper",H25="Below mine"),"Raise - better work, lower price",IF(T25="Dearer","Fine - make sure the listing shows why","OK"))))))</f>
        <v>0</v>
      </c>
    </row>
    <row r="26" spans="2:22">
      <c r="B26" s="13">
        <f>IF(A26="","",IFERROR(INDEX(Products!$B$5:$B$304,MATCH(A26,Products!$A$5:$A$304,0)),"Not found"))</f>
        <v>0</v>
      </c>
      <c r="N26" s="20">
        <f>IF(C26="","",ROUND(IF(F26="",0,F26)+IF(G26="",0,G26),2))</f>
        <v>0</v>
      </c>
      <c r="O26" s="20">
        <f>IF(A26="","",IFERROR(INDEX(Products!$AR$5:$AR$304,MATCH(A26,Products!$A$5:$A$304,0)),""))</f>
        <v>0</v>
      </c>
      <c r="P26" s="20">
        <f>IF(A26="","",IFERROR(INDEX(Products!$AE$5:$AE$304,MATCH(A26,Products!$A$5:$A$304,0)),""))</f>
        <v>0</v>
      </c>
      <c r="Q26" s="20">
        <f>IF(C26="","",IF(O26="","",ROUND(O26+IF(P26="",0,P26),2)))</f>
        <v>0</v>
      </c>
      <c r="R26" s="20">
        <f>IF(C26="","",IF(OR(Q26="",N26=0),"",ROUND(Q26-N26,2)))</f>
        <v>0</v>
      </c>
      <c r="S26" s="33">
        <f>IF(C26="","",IF(OR(Q26="",N26=0),"",Q26/N26-1))</f>
        <v>0</v>
      </c>
      <c r="T26" s="43">
        <f>IF(C26="","",IF(S26="","",IF(S26&gt;0.15,"Dearer",IF(S26&lt;-0.15,"Cheaper","Similar"))))</f>
        <v>0</v>
      </c>
      <c r="U26" s="32">
        <f>IF(C26="","",IF(K26="","",TodayDate-K26))</f>
        <v>0</v>
      </c>
      <c r="V26" s="43">
        <f>IF(C26="","",IF(F26="","Add - what do they charge?",IF(O26="","Check - your product has no price",IF(AND(U26&lt;&gt;"",U26&gt;180),"Check - research is over six months old",IF(AND(T26="Cheaper",H26="Below mine"),"Raise - better work, lower price",IF(T26="Dearer","Fine - make sure the listing shows why","OK"))))))</f>
        <v>0</v>
      </c>
    </row>
    <row r="27" spans="2:22">
      <c r="B27" s="13">
        <f>IF(A27="","",IFERROR(INDEX(Products!$B$5:$B$304,MATCH(A27,Products!$A$5:$A$304,0)),"Not found"))</f>
        <v>0</v>
      </c>
      <c r="N27" s="20">
        <f>IF(C27="","",ROUND(IF(F27="",0,F27)+IF(G27="",0,G27),2))</f>
        <v>0</v>
      </c>
      <c r="O27" s="20">
        <f>IF(A27="","",IFERROR(INDEX(Products!$AR$5:$AR$304,MATCH(A27,Products!$A$5:$A$304,0)),""))</f>
        <v>0</v>
      </c>
      <c r="P27" s="20">
        <f>IF(A27="","",IFERROR(INDEX(Products!$AE$5:$AE$304,MATCH(A27,Products!$A$5:$A$304,0)),""))</f>
        <v>0</v>
      </c>
      <c r="Q27" s="20">
        <f>IF(C27="","",IF(O27="","",ROUND(O27+IF(P27="",0,P27),2)))</f>
        <v>0</v>
      </c>
      <c r="R27" s="20">
        <f>IF(C27="","",IF(OR(Q27="",N27=0),"",ROUND(Q27-N27,2)))</f>
        <v>0</v>
      </c>
      <c r="S27" s="33">
        <f>IF(C27="","",IF(OR(Q27="",N27=0),"",Q27/N27-1))</f>
        <v>0</v>
      </c>
      <c r="T27" s="43">
        <f>IF(C27="","",IF(S27="","",IF(S27&gt;0.15,"Dearer",IF(S27&lt;-0.15,"Cheaper","Similar"))))</f>
        <v>0</v>
      </c>
      <c r="U27" s="32">
        <f>IF(C27="","",IF(K27="","",TodayDate-K27))</f>
        <v>0</v>
      </c>
      <c r="V27" s="43">
        <f>IF(C27="","",IF(F27="","Add - what do they charge?",IF(O27="","Check - your product has no price",IF(AND(U27&lt;&gt;"",U27&gt;180),"Check - research is over six months old",IF(AND(T27="Cheaper",H27="Below mine"),"Raise - better work, lower price",IF(T27="Dearer","Fine - make sure the listing shows why","OK"))))))</f>
        <v>0</v>
      </c>
    </row>
    <row r="28" spans="2:22">
      <c r="B28" s="13">
        <f>IF(A28="","",IFERROR(INDEX(Products!$B$5:$B$304,MATCH(A28,Products!$A$5:$A$304,0)),"Not found"))</f>
        <v>0</v>
      </c>
      <c r="N28" s="20">
        <f>IF(C28="","",ROUND(IF(F28="",0,F28)+IF(G28="",0,G28),2))</f>
        <v>0</v>
      </c>
      <c r="O28" s="20">
        <f>IF(A28="","",IFERROR(INDEX(Products!$AR$5:$AR$304,MATCH(A28,Products!$A$5:$A$304,0)),""))</f>
        <v>0</v>
      </c>
      <c r="P28" s="20">
        <f>IF(A28="","",IFERROR(INDEX(Products!$AE$5:$AE$304,MATCH(A28,Products!$A$5:$A$304,0)),""))</f>
        <v>0</v>
      </c>
      <c r="Q28" s="20">
        <f>IF(C28="","",IF(O28="","",ROUND(O28+IF(P28="",0,P28),2)))</f>
        <v>0</v>
      </c>
      <c r="R28" s="20">
        <f>IF(C28="","",IF(OR(Q28="",N28=0),"",ROUND(Q28-N28,2)))</f>
        <v>0</v>
      </c>
      <c r="S28" s="33">
        <f>IF(C28="","",IF(OR(Q28="",N28=0),"",Q28/N28-1))</f>
        <v>0</v>
      </c>
      <c r="T28" s="43">
        <f>IF(C28="","",IF(S28="","",IF(S28&gt;0.15,"Dearer",IF(S28&lt;-0.15,"Cheaper","Similar"))))</f>
        <v>0</v>
      </c>
      <c r="U28" s="32">
        <f>IF(C28="","",IF(K28="","",TodayDate-K28))</f>
        <v>0</v>
      </c>
      <c r="V28" s="43">
        <f>IF(C28="","",IF(F28="","Add - what do they charge?",IF(O28="","Check - your product has no price",IF(AND(U28&lt;&gt;"",U28&gt;180),"Check - research is over six months old",IF(AND(T28="Cheaper",H28="Below mine"),"Raise - better work, lower price",IF(T28="Dearer","Fine - make sure the listing shows why","OK"))))))</f>
        <v>0</v>
      </c>
    </row>
    <row r="29" spans="2:22">
      <c r="B29" s="13">
        <f>IF(A29="","",IFERROR(INDEX(Products!$B$5:$B$304,MATCH(A29,Products!$A$5:$A$304,0)),"Not found"))</f>
        <v>0</v>
      </c>
      <c r="N29" s="20">
        <f>IF(C29="","",ROUND(IF(F29="",0,F29)+IF(G29="",0,G29),2))</f>
        <v>0</v>
      </c>
      <c r="O29" s="20">
        <f>IF(A29="","",IFERROR(INDEX(Products!$AR$5:$AR$304,MATCH(A29,Products!$A$5:$A$304,0)),""))</f>
        <v>0</v>
      </c>
      <c r="P29" s="20">
        <f>IF(A29="","",IFERROR(INDEX(Products!$AE$5:$AE$304,MATCH(A29,Products!$A$5:$A$304,0)),""))</f>
        <v>0</v>
      </c>
      <c r="Q29" s="20">
        <f>IF(C29="","",IF(O29="","",ROUND(O29+IF(P29="",0,P29),2)))</f>
        <v>0</v>
      </c>
      <c r="R29" s="20">
        <f>IF(C29="","",IF(OR(Q29="",N29=0),"",ROUND(Q29-N29,2)))</f>
        <v>0</v>
      </c>
      <c r="S29" s="33">
        <f>IF(C29="","",IF(OR(Q29="",N29=0),"",Q29/N29-1))</f>
        <v>0</v>
      </c>
      <c r="T29" s="43">
        <f>IF(C29="","",IF(S29="","",IF(S29&gt;0.15,"Dearer",IF(S29&lt;-0.15,"Cheaper","Similar"))))</f>
        <v>0</v>
      </c>
      <c r="U29" s="32">
        <f>IF(C29="","",IF(K29="","",TodayDate-K29))</f>
        <v>0</v>
      </c>
      <c r="V29" s="43">
        <f>IF(C29="","",IF(F29="","Add - what do they charge?",IF(O29="","Check - your product has no price",IF(AND(U29&lt;&gt;"",U29&gt;180),"Check - research is over six months old",IF(AND(T29="Cheaper",H29="Below mine"),"Raise - better work, lower price",IF(T29="Dearer","Fine - make sure the listing shows why","OK"))))))</f>
        <v>0</v>
      </c>
    </row>
    <row r="30" spans="2:22">
      <c r="B30" s="13">
        <f>IF(A30="","",IFERROR(INDEX(Products!$B$5:$B$304,MATCH(A30,Products!$A$5:$A$304,0)),"Not found"))</f>
        <v>0</v>
      </c>
      <c r="N30" s="20">
        <f>IF(C30="","",ROUND(IF(F30="",0,F30)+IF(G30="",0,G30),2))</f>
        <v>0</v>
      </c>
      <c r="O30" s="20">
        <f>IF(A30="","",IFERROR(INDEX(Products!$AR$5:$AR$304,MATCH(A30,Products!$A$5:$A$304,0)),""))</f>
        <v>0</v>
      </c>
      <c r="P30" s="20">
        <f>IF(A30="","",IFERROR(INDEX(Products!$AE$5:$AE$304,MATCH(A30,Products!$A$5:$A$304,0)),""))</f>
        <v>0</v>
      </c>
      <c r="Q30" s="20">
        <f>IF(C30="","",IF(O30="","",ROUND(O30+IF(P30="",0,P30),2)))</f>
        <v>0</v>
      </c>
      <c r="R30" s="20">
        <f>IF(C30="","",IF(OR(Q30="",N30=0),"",ROUND(Q30-N30,2)))</f>
        <v>0</v>
      </c>
      <c r="S30" s="33">
        <f>IF(C30="","",IF(OR(Q30="",N30=0),"",Q30/N30-1))</f>
        <v>0</v>
      </c>
      <c r="T30" s="43">
        <f>IF(C30="","",IF(S30="","",IF(S30&gt;0.15,"Dearer",IF(S30&lt;-0.15,"Cheaper","Similar"))))</f>
        <v>0</v>
      </c>
      <c r="U30" s="32">
        <f>IF(C30="","",IF(K30="","",TodayDate-K30))</f>
        <v>0</v>
      </c>
      <c r="V30" s="43">
        <f>IF(C30="","",IF(F30="","Add - what do they charge?",IF(O30="","Check - your product has no price",IF(AND(U30&lt;&gt;"",U30&gt;180),"Check - research is over six months old",IF(AND(T30="Cheaper",H30="Below mine"),"Raise - better work, lower price",IF(T30="Dearer","Fine - make sure the listing shows why","OK"))))))</f>
        <v>0</v>
      </c>
    </row>
    <row r="31" spans="2:22">
      <c r="B31" s="13">
        <f>IF(A31="","",IFERROR(INDEX(Products!$B$5:$B$304,MATCH(A31,Products!$A$5:$A$304,0)),"Not found"))</f>
        <v>0</v>
      </c>
      <c r="N31" s="20">
        <f>IF(C31="","",ROUND(IF(F31="",0,F31)+IF(G31="",0,G31),2))</f>
        <v>0</v>
      </c>
      <c r="O31" s="20">
        <f>IF(A31="","",IFERROR(INDEX(Products!$AR$5:$AR$304,MATCH(A31,Products!$A$5:$A$304,0)),""))</f>
        <v>0</v>
      </c>
      <c r="P31" s="20">
        <f>IF(A31="","",IFERROR(INDEX(Products!$AE$5:$AE$304,MATCH(A31,Products!$A$5:$A$304,0)),""))</f>
        <v>0</v>
      </c>
      <c r="Q31" s="20">
        <f>IF(C31="","",IF(O31="","",ROUND(O31+IF(P31="",0,P31),2)))</f>
        <v>0</v>
      </c>
      <c r="R31" s="20">
        <f>IF(C31="","",IF(OR(Q31="",N31=0),"",ROUND(Q31-N31,2)))</f>
        <v>0</v>
      </c>
      <c r="S31" s="33">
        <f>IF(C31="","",IF(OR(Q31="",N31=0),"",Q31/N31-1))</f>
        <v>0</v>
      </c>
      <c r="T31" s="43">
        <f>IF(C31="","",IF(S31="","",IF(S31&gt;0.15,"Dearer",IF(S31&lt;-0.15,"Cheaper","Similar"))))</f>
        <v>0</v>
      </c>
      <c r="U31" s="32">
        <f>IF(C31="","",IF(K31="","",TodayDate-K31))</f>
        <v>0</v>
      </c>
      <c r="V31" s="43">
        <f>IF(C31="","",IF(F31="","Add - what do they charge?",IF(O31="","Check - your product has no price",IF(AND(U31&lt;&gt;"",U31&gt;180),"Check - research is over six months old",IF(AND(T31="Cheaper",H31="Below mine"),"Raise - better work, lower price",IF(T31="Dearer","Fine - make sure the listing shows why","OK"))))))</f>
        <v>0</v>
      </c>
    </row>
    <row r="32" spans="2:22">
      <c r="B32" s="13">
        <f>IF(A32="","",IFERROR(INDEX(Products!$B$5:$B$304,MATCH(A32,Products!$A$5:$A$304,0)),"Not found"))</f>
        <v>0</v>
      </c>
      <c r="N32" s="20">
        <f>IF(C32="","",ROUND(IF(F32="",0,F32)+IF(G32="",0,G32),2))</f>
        <v>0</v>
      </c>
      <c r="O32" s="20">
        <f>IF(A32="","",IFERROR(INDEX(Products!$AR$5:$AR$304,MATCH(A32,Products!$A$5:$A$304,0)),""))</f>
        <v>0</v>
      </c>
      <c r="P32" s="20">
        <f>IF(A32="","",IFERROR(INDEX(Products!$AE$5:$AE$304,MATCH(A32,Products!$A$5:$A$304,0)),""))</f>
        <v>0</v>
      </c>
      <c r="Q32" s="20">
        <f>IF(C32="","",IF(O32="","",ROUND(O32+IF(P32="",0,P32),2)))</f>
        <v>0</v>
      </c>
      <c r="R32" s="20">
        <f>IF(C32="","",IF(OR(Q32="",N32=0),"",ROUND(Q32-N32,2)))</f>
        <v>0</v>
      </c>
      <c r="S32" s="33">
        <f>IF(C32="","",IF(OR(Q32="",N32=0),"",Q32/N32-1))</f>
        <v>0</v>
      </c>
      <c r="T32" s="43">
        <f>IF(C32="","",IF(S32="","",IF(S32&gt;0.15,"Dearer",IF(S32&lt;-0.15,"Cheaper","Similar"))))</f>
        <v>0</v>
      </c>
      <c r="U32" s="32">
        <f>IF(C32="","",IF(K32="","",TodayDate-K32))</f>
        <v>0</v>
      </c>
      <c r="V32" s="43">
        <f>IF(C32="","",IF(F32="","Add - what do they charge?",IF(O32="","Check - your product has no price",IF(AND(U32&lt;&gt;"",U32&gt;180),"Check - research is over six months old",IF(AND(T32="Cheaper",H32="Below mine"),"Raise - better work, lower price",IF(T32="Dearer","Fine - make sure the listing shows why","OK"))))))</f>
        <v>0</v>
      </c>
    </row>
    <row r="33" spans="2:22">
      <c r="B33" s="13">
        <f>IF(A33="","",IFERROR(INDEX(Products!$B$5:$B$304,MATCH(A33,Products!$A$5:$A$304,0)),"Not found"))</f>
        <v>0</v>
      </c>
      <c r="N33" s="20">
        <f>IF(C33="","",ROUND(IF(F33="",0,F33)+IF(G33="",0,G33),2))</f>
        <v>0</v>
      </c>
      <c r="O33" s="20">
        <f>IF(A33="","",IFERROR(INDEX(Products!$AR$5:$AR$304,MATCH(A33,Products!$A$5:$A$304,0)),""))</f>
        <v>0</v>
      </c>
      <c r="P33" s="20">
        <f>IF(A33="","",IFERROR(INDEX(Products!$AE$5:$AE$304,MATCH(A33,Products!$A$5:$A$304,0)),""))</f>
        <v>0</v>
      </c>
      <c r="Q33" s="20">
        <f>IF(C33="","",IF(O33="","",ROUND(O33+IF(P33="",0,P33),2)))</f>
        <v>0</v>
      </c>
      <c r="R33" s="20">
        <f>IF(C33="","",IF(OR(Q33="",N33=0),"",ROUND(Q33-N33,2)))</f>
        <v>0</v>
      </c>
      <c r="S33" s="33">
        <f>IF(C33="","",IF(OR(Q33="",N33=0),"",Q33/N33-1))</f>
        <v>0</v>
      </c>
      <c r="T33" s="43">
        <f>IF(C33="","",IF(S33="","",IF(S33&gt;0.15,"Dearer",IF(S33&lt;-0.15,"Cheaper","Similar"))))</f>
        <v>0</v>
      </c>
      <c r="U33" s="32">
        <f>IF(C33="","",IF(K33="","",TodayDate-K33))</f>
        <v>0</v>
      </c>
      <c r="V33" s="43">
        <f>IF(C33="","",IF(F33="","Add - what do they charge?",IF(O33="","Check - your product has no price",IF(AND(U33&lt;&gt;"",U33&gt;180),"Check - research is over six months old",IF(AND(T33="Cheaper",H33="Below mine"),"Raise - better work, lower price",IF(T33="Dearer","Fine - make sure the listing shows why","OK"))))))</f>
        <v>0</v>
      </c>
    </row>
    <row r="34" spans="2:22">
      <c r="B34" s="13">
        <f>IF(A34="","",IFERROR(INDEX(Products!$B$5:$B$304,MATCH(A34,Products!$A$5:$A$304,0)),"Not found"))</f>
        <v>0</v>
      </c>
      <c r="N34" s="20">
        <f>IF(C34="","",ROUND(IF(F34="",0,F34)+IF(G34="",0,G34),2))</f>
        <v>0</v>
      </c>
      <c r="O34" s="20">
        <f>IF(A34="","",IFERROR(INDEX(Products!$AR$5:$AR$304,MATCH(A34,Products!$A$5:$A$304,0)),""))</f>
        <v>0</v>
      </c>
      <c r="P34" s="20">
        <f>IF(A34="","",IFERROR(INDEX(Products!$AE$5:$AE$304,MATCH(A34,Products!$A$5:$A$304,0)),""))</f>
        <v>0</v>
      </c>
      <c r="Q34" s="20">
        <f>IF(C34="","",IF(O34="","",ROUND(O34+IF(P34="",0,P34),2)))</f>
        <v>0</v>
      </c>
      <c r="R34" s="20">
        <f>IF(C34="","",IF(OR(Q34="",N34=0),"",ROUND(Q34-N34,2)))</f>
        <v>0</v>
      </c>
      <c r="S34" s="33">
        <f>IF(C34="","",IF(OR(Q34="",N34=0),"",Q34/N34-1))</f>
        <v>0</v>
      </c>
      <c r="T34" s="43">
        <f>IF(C34="","",IF(S34="","",IF(S34&gt;0.15,"Dearer",IF(S34&lt;-0.15,"Cheaper","Similar"))))</f>
        <v>0</v>
      </c>
      <c r="U34" s="32">
        <f>IF(C34="","",IF(K34="","",TodayDate-K34))</f>
        <v>0</v>
      </c>
      <c r="V34" s="43">
        <f>IF(C34="","",IF(F34="","Add - what do they charge?",IF(O34="","Check - your product has no price",IF(AND(U34&lt;&gt;"",U34&gt;180),"Check - research is over six months old",IF(AND(T34="Cheaper",H34="Below mine"),"Raise - better work, lower price",IF(T34="Dearer","Fine - make sure the listing shows why","OK"))))))</f>
        <v>0</v>
      </c>
    </row>
    <row r="35" spans="2:22">
      <c r="B35" s="13">
        <f>IF(A35="","",IFERROR(INDEX(Products!$B$5:$B$304,MATCH(A35,Products!$A$5:$A$304,0)),"Not found"))</f>
        <v>0</v>
      </c>
      <c r="N35" s="20">
        <f>IF(C35="","",ROUND(IF(F35="",0,F35)+IF(G35="",0,G35),2))</f>
        <v>0</v>
      </c>
      <c r="O35" s="20">
        <f>IF(A35="","",IFERROR(INDEX(Products!$AR$5:$AR$304,MATCH(A35,Products!$A$5:$A$304,0)),""))</f>
        <v>0</v>
      </c>
      <c r="P35" s="20">
        <f>IF(A35="","",IFERROR(INDEX(Products!$AE$5:$AE$304,MATCH(A35,Products!$A$5:$A$304,0)),""))</f>
        <v>0</v>
      </c>
      <c r="Q35" s="20">
        <f>IF(C35="","",IF(O35="","",ROUND(O35+IF(P35="",0,P35),2)))</f>
        <v>0</v>
      </c>
      <c r="R35" s="20">
        <f>IF(C35="","",IF(OR(Q35="",N35=0),"",ROUND(Q35-N35,2)))</f>
        <v>0</v>
      </c>
      <c r="S35" s="33">
        <f>IF(C35="","",IF(OR(Q35="",N35=0),"",Q35/N35-1))</f>
        <v>0</v>
      </c>
      <c r="T35" s="43">
        <f>IF(C35="","",IF(S35="","",IF(S35&gt;0.15,"Dearer",IF(S35&lt;-0.15,"Cheaper","Similar"))))</f>
        <v>0</v>
      </c>
      <c r="U35" s="32">
        <f>IF(C35="","",IF(K35="","",TodayDate-K35))</f>
        <v>0</v>
      </c>
      <c r="V35" s="43">
        <f>IF(C35="","",IF(F35="","Add - what do they charge?",IF(O35="","Check - your product has no price",IF(AND(U35&lt;&gt;"",U35&gt;180),"Check - research is over six months old",IF(AND(T35="Cheaper",H35="Below mine"),"Raise - better work, lower price",IF(T35="Dearer","Fine - make sure the listing shows why","OK"))))))</f>
        <v>0</v>
      </c>
    </row>
    <row r="36" spans="2:22">
      <c r="B36" s="13">
        <f>IF(A36="","",IFERROR(INDEX(Products!$B$5:$B$304,MATCH(A36,Products!$A$5:$A$304,0)),"Not found"))</f>
        <v>0</v>
      </c>
      <c r="N36" s="20">
        <f>IF(C36="","",ROUND(IF(F36="",0,F36)+IF(G36="",0,G36),2))</f>
        <v>0</v>
      </c>
      <c r="O36" s="20">
        <f>IF(A36="","",IFERROR(INDEX(Products!$AR$5:$AR$304,MATCH(A36,Products!$A$5:$A$304,0)),""))</f>
        <v>0</v>
      </c>
      <c r="P36" s="20">
        <f>IF(A36="","",IFERROR(INDEX(Products!$AE$5:$AE$304,MATCH(A36,Products!$A$5:$A$304,0)),""))</f>
        <v>0</v>
      </c>
      <c r="Q36" s="20">
        <f>IF(C36="","",IF(O36="","",ROUND(O36+IF(P36="",0,P36),2)))</f>
        <v>0</v>
      </c>
      <c r="R36" s="20">
        <f>IF(C36="","",IF(OR(Q36="",N36=0),"",ROUND(Q36-N36,2)))</f>
        <v>0</v>
      </c>
      <c r="S36" s="33">
        <f>IF(C36="","",IF(OR(Q36="",N36=0),"",Q36/N36-1))</f>
        <v>0</v>
      </c>
      <c r="T36" s="43">
        <f>IF(C36="","",IF(S36="","",IF(S36&gt;0.15,"Dearer",IF(S36&lt;-0.15,"Cheaper","Similar"))))</f>
        <v>0</v>
      </c>
      <c r="U36" s="32">
        <f>IF(C36="","",IF(K36="","",TodayDate-K36))</f>
        <v>0</v>
      </c>
      <c r="V36" s="43">
        <f>IF(C36="","",IF(F36="","Add - what do they charge?",IF(O36="","Check - your product has no price",IF(AND(U36&lt;&gt;"",U36&gt;180),"Check - research is over six months old",IF(AND(T36="Cheaper",H36="Below mine"),"Raise - better work, lower price",IF(T36="Dearer","Fine - make sure the listing shows why","OK"))))))</f>
        <v>0</v>
      </c>
    </row>
    <row r="37" spans="2:22">
      <c r="B37" s="13">
        <f>IF(A37="","",IFERROR(INDEX(Products!$B$5:$B$304,MATCH(A37,Products!$A$5:$A$304,0)),"Not found"))</f>
        <v>0</v>
      </c>
      <c r="N37" s="20">
        <f>IF(C37="","",ROUND(IF(F37="",0,F37)+IF(G37="",0,G37),2))</f>
        <v>0</v>
      </c>
      <c r="O37" s="20">
        <f>IF(A37="","",IFERROR(INDEX(Products!$AR$5:$AR$304,MATCH(A37,Products!$A$5:$A$304,0)),""))</f>
        <v>0</v>
      </c>
      <c r="P37" s="20">
        <f>IF(A37="","",IFERROR(INDEX(Products!$AE$5:$AE$304,MATCH(A37,Products!$A$5:$A$304,0)),""))</f>
        <v>0</v>
      </c>
      <c r="Q37" s="20">
        <f>IF(C37="","",IF(O37="","",ROUND(O37+IF(P37="",0,P37),2)))</f>
        <v>0</v>
      </c>
      <c r="R37" s="20">
        <f>IF(C37="","",IF(OR(Q37="",N37=0),"",ROUND(Q37-N37,2)))</f>
        <v>0</v>
      </c>
      <c r="S37" s="33">
        <f>IF(C37="","",IF(OR(Q37="",N37=0),"",Q37/N37-1))</f>
        <v>0</v>
      </c>
      <c r="T37" s="43">
        <f>IF(C37="","",IF(S37="","",IF(S37&gt;0.15,"Dearer",IF(S37&lt;-0.15,"Cheaper","Similar"))))</f>
        <v>0</v>
      </c>
      <c r="U37" s="32">
        <f>IF(C37="","",IF(K37="","",TodayDate-K37))</f>
        <v>0</v>
      </c>
      <c r="V37" s="43">
        <f>IF(C37="","",IF(F37="","Add - what do they charge?",IF(O37="","Check - your product has no price",IF(AND(U37&lt;&gt;"",U37&gt;180),"Check - research is over six months old",IF(AND(T37="Cheaper",H37="Below mine"),"Raise - better work, lower price",IF(T37="Dearer","Fine - make sure the listing shows why","OK"))))))</f>
        <v>0</v>
      </c>
    </row>
    <row r="38" spans="2:22">
      <c r="B38" s="13">
        <f>IF(A38="","",IFERROR(INDEX(Products!$B$5:$B$304,MATCH(A38,Products!$A$5:$A$304,0)),"Not found"))</f>
        <v>0</v>
      </c>
      <c r="N38" s="20">
        <f>IF(C38="","",ROUND(IF(F38="",0,F38)+IF(G38="",0,G38),2))</f>
        <v>0</v>
      </c>
      <c r="O38" s="20">
        <f>IF(A38="","",IFERROR(INDEX(Products!$AR$5:$AR$304,MATCH(A38,Products!$A$5:$A$304,0)),""))</f>
        <v>0</v>
      </c>
      <c r="P38" s="20">
        <f>IF(A38="","",IFERROR(INDEX(Products!$AE$5:$AE$304,MATCH(A38,Products!$A$5:$A$304,0)),""))</f>
        <v>0</v>
      </c>
      <c r="Q38" s="20">
        <f>IF(C38="","",IF(O38="","",ROUND(O38+IF(P38="",0,P38),2)))</f>
        <v>0</v>
      </c>
      <c r="R38" s="20">
        <f>IF(C38="","",IF(OR(Q38="",N38=0),"",ROUND(Q38-N38,2)))</f>
        <v>0</v>
      </c>
      <c r="S38" s="33">
        <f>IF(C38="","",IF(OR(Q38="",N38=0),"",Q38/N38-1))</f>
        <v>0</v>
      </c>
      <c r="T38" s="43">
        <f>IF(C38="","",IF(S38="","",IF(S38&gt;0.15,"Dearer",IF(S38&lt;-0.15,"Cheaper","Similar"))))</f>
        <v>0</v>
      </c>
      <c r="U38" s="32">
        <f>IF(C38="","",IF(K38="","",TodayDate-K38))</f>
        <v>0</v>
      </c>
      <c r="V38" s="43">
        <f>IF(C38="","",IF(F38="","Add - what do they charge?",IF(O38="","Check - your product has no price",IF(AND(U38&lt;&gt;"",U38&gt;180),"Check - research is over six months old",IF(AND(T38="Cheaper",H38="Below mine"),"Raise - better work, lower price",IF(T38="Dearer","Fine - make sure the listing shows why","OK"))))))</f>
        <v>0</v>
      </c>
    </row>
    <row r="39" spans="2:22">
      <c r="B39" s="13">
        <f>IF(A39="","",IFERROR(INDEX(Products!$B$5:$B$304,MATCH(A39,Products!$A$5:$A$304,0)),"Not found"))</f>
        <v>0</v>
      </c>
      <c r="N39" s="20">
        <f>IF(C39="","",ROUND(IF(F39="",0,F39)+IF(G39="",0,G39),2))</f>
        <v>0</v>
      </c>
      <c r="O39" s="20">
        <f>IF(A39="","",IFERROR(INDEX(Products!$AR$5:$AR$304,MATCH(A39,Products!$A$5:$A$304,0)),""))</f>
        <v>0</v>
      </c>
      <c r="P39" s="20">
        <f>IF(A39="","",IFERROR(INDEX(Products!$AE$5:$AE$304,MATCH(A39,Products!$A$5:$A$304,0)),""))</f>
        <v>0</v>
      </c>
      <c r="Q39" s="20">
        <f>IF(C39="","",IF(O39="","",ROUND(O39+IF(P39="",0,P39),2)))</f>
        <v>0</v>
      </c>
      <c r="R39" s="20">
        <f>IF(C39="","",IF(OR(Q39="",N39=0),"",ROUND(Q39-N39,2)))</f>
        <v>0</v>
      </c>
      <c r="S39" s="33">
        <f>IF(C39="","",IF(OR(Q39="",N39=0),"",Q39/N39-1))</f>
        <v>0</v>
      </c>
      <c r="T39" s="43">
        <f>IF(C39="","",IF(S39="","",IF(S39&gt;0.15,"Dearer",IF(S39&lt;-0.15,"Cheaper","Similar"))))</f>
        <v>0</v>
      </c>
      <c r="U39" s="32">
        <f>IF(C39="","",IF(K39="","",TodayDate-K39))</f>
        <v>0</v>
      </c>
      <c r="V39" s="43">
        <f>IF(C39="","",IF(F39="","Add - what do they charge?",IF(O39="","Check - your product has no price",IF(AND(U39&lt;&gt;"",U39&gt;180),"Check - research is over six months old",IF(AND(T39="Cheaper",H39="Below mine"),"Raise - better work, lower price",IF(T39="Dearer","Fine - make sure the listing shows why","OK"))))))</f>
        <v>0</v>
      </c>
    </row>
    <row r="40" spans="2:22">
      <c r="B40" s="13">
        <f>IF(A40="","",IFERROR(INDEX(Products!$B$5:$B$304,MATCH(A40,Products!$A$5:$A$304,0)),"Not found"))</f>
        <v>0</v>
      </c>
      <c r="N40" s="20">
        <f>IF(C40="","",ROUND(IF(F40="",0,F40)+IF(G40="",0,G40),2))</f>
        <v>0</v>
      </c>
      <c r="O40" s="20">
        <f>IF(A40="","",IFERROR(INDEX(Products!$AR$5:$AR$304,MATCH(A40,Products!$A$5:$A$304,0)),""))</f>
        <v>0</v>
      </c>
      <c r="P40" s="20">
        <f>IF(A40="","",IFERROR(INDEX(Products!$AE$5:$AE$304,MATCH(A40,Products!$A$5:$A$304,0)),""))</f>
        <v>0</v>
      </c>
      <c r="Q40" s="20">
        <f>IF(C40="","",IF(O40="","",ROUND(O40+IF(P40="",0,P40),2)))</f>
        <v>0</v>
      </c>
      <c r="R40" s="20">
        <f>IF(C40="","",IF(OR(Q40="",N40=0),"",ROUND(Q40-N40,2)))</f>
        <v>0</v>
      </c>
      <c r="S40" s="33">
        <f>IF(C40="","",IF(OR(Q40="",N40=0),"",Q40/N40-1))</f>
        <v>0</v>
      </c>
      <c r="T40" s="43">
        <f>IF(C40="","",IF(S40="","",IF(S40&gt;0.15,"Dearer",IF(S40&lt;-0.15,"Cheaper","Similar"))))</f>
        <v>0</v>
      </c>
      <c r="U40" s="32">
        <f>IF(C40="","",IF(K40="","",TodayDate-K40))</f>
        <v>0</v>
      </c>
      <c r="V40" s="43">
        <f>IF(C40="","",IF(F40="","Add - what do they charge?",IF(O40="","Check - your product has no price",IF(AND(U40&lt;&gt;"",U40&gt;180),"Check - research is over six months old",IF(AND(T40="Cheaper",H40="Below mine"),"Raise - better work, lower price",IF(T40="Dearer","Fine - make sure the listing shows why","OK"))))))</f>
        <v>0</v>
      </c>
    </row>
    <row r="41" spans="2:22">
      <c r="B41" s="13">
        <f>IF(A41="","",IFERROR(INDEX(Products!$B$5:$B$304,MATCH(A41,Products!$A$5:$A$304,0)),"Not found"))</f>
        <v>0</v>
      </c>
      <c r="N41" s="20">
        <f>IF(C41="","",ROUND(IF(F41="",0,F41)+IF(G41="",0,G41),2))</f>
        <v>0</v>
      </c>
      <c r="O41" s="20">
        <f>IF(A41="","",IFERROR(INDEX(Products!$AR$5:$AR$304,MATCH(A41,Products!$A$5:$A$304,0)),""))</f>
        <v>0</v>
      </c>
      <c r="P41" s="20">
        <f>IF(A41="","",IFERROR(INDEX(Products!$AE$5:$AE$304,MATCH(A41,Products!$A$5:$A$304,0)),""))</f>
        <v>0</v>
      </c>
      <c r="Q41" s="20">
        <f>IF(C41="","",IF(O41="","",ROUND(O41+IF(P41="",0,P41),2)))</f>
        <v>0</v>
      </c>
      <c r="R41" s="20">
        <f>IF(C41="","",IF(OR(Q41="",N41=0),"",ROUND(Q41-N41,2)))</f>
        <v>0</v>
      </c>
      <c r="S41" s="33">
        <f>IF(C41="","",IF(OR(Q41="",N41=0),"",Q41/N41-1))</f>
        <v>0</v>
      </c>
      <c r="T41" s="43">
        <f>IF(C41="","",IF(S41="","",IF(S41&gt;0.15,"Dearer",IF(S41&lt;-0.15,"Cheaper","Similar"))))</f>
        <v>0</v>
      </c>
      <c r="U41" s="32">
        <f>IF(C41="","",IF(K41="","",TodayDate-K41))</f>
        <v>0</v>
      </c>
      <c r="V41" s="43">
        <f>IF(C41="","",IF(F41="","Add - what do they charge?",IF(O41="","Check - your product has no price",IF(AND(U41&lt;&gt;"",U41&gt;180),"Check - research is over six months old",IF(AND(T41="Cheaper",H41="Below mine"),"Raise - better work, lower price",IF(T41="Dearer","Fine - make sure the listing shows why","OK"))))))</f>
        <v>0</v>
      </c>
    </row>
    <row r="42" spans="2:22">
      <c r="B42" s="13">
        <f>IF(A42="","",IFERROR(INDEX(Products!$B$5:$B$304,MATCH(A42,Products!$A$5:$A$304,0)),"Not found"))</f>
        <v>0</v>
      </c>
      <c r="N42" s="20">
        <f>IF(C42="","",ROUND(IF(F42="",0,F42)+IF(G42="",0,G42),2))</f>
        <v>0</v>
      </c>
      <c r="O42" s="20">
        <f>IF(A42="","",IFERROR(INDEX(Products!$AR$5:$AR$304,MATCH(A42,Products!$A$5:$A$304,0)),""))</f>
        <v>0</v>
      </c>
      <c r="P42" s="20">
        <f>IF(A42="","",IFERROR(INDEX(Products!$AE$5:$AE$304,MATCH(A42,Products!$A$5:$A$304,0)),""))</f>
        <v>0</v>
      </c>
      <c r="Q42" s="20">
        <f>IF(C42="","",IF(O42="","",ROUND(O42+IF(P42="",0,P42),2)))</f>
        <v>0</v>
      </c>
      <c r="R42" s="20">
        <f>IF(C42="","",IF(OR(Q42="",N42=0),"",ROUND(Q42-N42,2)))</f>
        <v>0</v>
      </c>
      <c r="S42" s="33">
        <f>IF(C42="","",IF(OR(Q42="",N42=0),"",Q42/N42-1))</f>
        <v>0</v>
      </c>
      <c r="T42" s="43">
        <f>IF(C42="","",IF(S42="","",IF(S42&gt;0.15,"Dearer",IF(S42&lt;-0.15,"Cheaper","Similar"))))</f>
        <v>0</v>
      </c>
      <c r="U42" s="32">
        <f>IF(C42="","",IF(K42="","",TodayDate-K42))</f>
        <v>0</v>
      </c>
      <c r="V42" s="43">
        <f>IF(C42="","",IF(F42="","Add - what do they charge?",IF(O42="","Check - your product has no price",IF(AND(U42&lt;&gt;"",U42&gt;180),"Check - research is over six months old",IF(AND(T42="Cheaper",H42="Below mine"),"Raise - better work, lower price",IF(T42="Dearer","Fine - make sure the listing shows why","OK"))))))</f>
        <v>0</v>
      </c>
    </row>
    <row r="43" spans="2:22">
      <c r="B43" s="13">
        <f>IF(A43="","",IFERROR(INDEX(Products!$B$5:$B$304,MATCH(A43,Products!$A$5:$A$304,0)),"Not found"))</f>
        <v>0</v>
      </c>
      <c r="N43" s="20">
        <f>IF(C43="","",ROUND(IF(F43="",0,F43)+IF(G43="",0,G43),2))</f>
        <v>0</v>
      </c>
      <c r="O43" s="20">
        <f>IF(A43="","",IFERROR(INDEX(Products!$AR$5:$AR$304,MATCH(A43,Products!$A$5:$A$304,0)),""))</f>
        <v>0</v>
      </c>
      <c r="P43" s="20">
        <f>IF(A43="","",IFERROR(INDEX(Products!$AE$5:$AE$304,MATCH(A43,Products!$A$5:$A$304,0)),""))</f>
        <v>0</v>
      </c>
      <c r="Q43" s="20">
        <f>IF(C43="","",IF(O43="","",ROUND(O43+IF(P43="",0,P43),2)))</f>
        <v>0</v>
      </c>
      <c r="R43" s="20">
        <f>IF(C43="","",IF(OR(Q43="",N43=0),"",ROUND(Q43-N43,2)))</f>
        <v>0</v>
      </c>
      <c r="S43" s="33">
        <f>IF(C43="","",IF(OR(Q43="",N43=0),"",Q43/N43-1))</f>
        <v>0</v>
      </c>
      <c r="T43" s="43">
        <f>IF(C43="","",IF(S43="","",IF(S43&gt;0.15,"Dearer",IF(S43&lt;-0.15,"Cheaper","Similar"))))</f>
        <v>0</v>
      </c>
      <c r="U43" s="32">
        <f>IF(C43="","",IF(K43="","",TodayDate-K43))</f>
        <v>0</v>
      </c>
      <c r="V43" s="43">
        <f>IF(C43="","",IF(F43="","Add - what do they charge?",IF(O43="","Check - your product has no price",IF(AND(U43&lt;&gt;"",U43&gt;180),"Check - research is over six months old",IF(AND(T43="Cheaper",H43="Below mine"),"Raise - better work, lower price",IF(T43="Dearer","Fine - make sure the listing shows why","OK"))))))</f>
        <v>0</v>
      </c>
    </row>
    <row r="44" spans="2:22">
      <c r="B44" s="13">
        <f>IF(A44="","",IFERROR(INDEX(Products!$B$5:$B$304,MATCH(A44,Products!$A$5:$A$304,0)),"Not found"))</f>
        <v>0</v>
      </c>
      <c r="N44" s="20">
        <f>IF(C44="","",ROUND(IF(F44="",0,F44)+IF(G44="",0,G44),2))</f>
        <v>0</v>
      </c>
      <c r="O44" s="20">
        <f>IF(A44="","",IFERROR(INDEX(Products!$AR$5:$AR$304,MATCH(A44,Products!$A$5:$A$304,0)),""))</f>
        <v>0</v>
      </c>
      <c r="P44" s="20">
        <f>IF(A44="","",IFERROR(INDEX(Products!$AE$5:$AE$304,MATCH(A44,Products!$A$5:$A$304,0)),""))</f>
        <v>0</v>
      </c>
      <c r="Q44" s="20">
        <f>IF(C44="","",IF(O44="","",ROUND(O44+IF(P44="",0,P44),2)))</f>
        <v>0</v>
      </c>
      <c r="R44" s="20">
        <f>IF(C44="","",IF(OR(Q44="",N44=0),"",ROUND(Q44-N44,2)))</f>
        <v>0</v>
      </c>
      <c r="S44" s="33">
        <f>IF(C44="","",IF(OR(Q44="",N44=0),"",Q44/N44-1))</f>
        <v>0</v>
      </c>
      <c r="T44" s="43">
        <f>IF(C44="","",IF(S44="","",IF(S44&gt;0.15,"Dearer",IF(S44&lt;-0.15,"Cheaper","Similar"))))</f>
        <v>0</v>
      </c>
      <c r="U44" s="32">
        <f>IF(C44="","",IF(K44="","",TodayDate-K44))</f>
        <v>0</v>
      </c>
      <c r="V44" s="43">
        <f>IF(C44="","",IF(F44="","Add - what do they charge?",IF(O44="","Check - your product has no price",IF(AND(U44&lt;&gt;"",U44&gt;180),"Check - research is over six months old",IF(AND(T44="Cheaper",H44="Below mine"),"Raise - better work, lower price",IF(T44="Dearer","Fine - make sure the listing shows why","OK"))))))</f>
        <v>0</v>
      </c>
    </row>
    <row r="45" spans="2:22">
      <c r="B45" s="13">
        <f>IF(A45="","",IFERROR(INDEX(Products!$B$5:$B$304,MATCH(A45,Products!$A$5:$A$304,0)),"Not found"))</f>
        <v>0</v>
      </c>
      <c r="N45" s="20">
        <f>IF(C45="","",ROUND(IF(F45="",0,F45)+IF(G45="",0,G45),2))</f>
        <v>0</v>
      </c>
      <c r="O45" s="20">
        <f>IF(A45="","",IFERROR(INDEX(Products!$AR$5:$AR$304,MATCH(A45,Products!$A$5:$A$304,0)),""))</f>
        <v>0</v>
      </c>
      <c r="P45" s="20">
        <f>IF(A45="","",IFERROR(INDEX(Products!$AE$5:$AE$304,MATCH(A45,Products!$A$5:$A$304,0)),""))</f>
        <v>0</v>
      </c>
      <c r="Q45" s="20">
        <f>IF(C45="","",IF(O45="","",ROUND(O45+IF(P45="",0,P45),2)))</f>
        <v>0</v>
      </c>
      <c r="R45" s="20">
        <f>IF(C45="","",IF(OR(Q45="",N45=0),"",ROUND(Q45-N45,2)))</f>
        <v>0</v>
      </c>
      <c r="S45" s="33">
        <f>IF(C45="","",IF(OR(Q45="",N45=0),"",Q45/N45-1))</f>
        <v>0</v>
      </c>
      <c r="T45" s="43">
        <f>IF(C45="","",IF(S45="","",IF(S45&gt;0.15,"Dearer",IF(S45&lt;-0.15,"Cheaper","Similar"))))</f>
        <v>0</v>
      </c>
      <c r="U45" s="32">
        <f>IF(C45="","",IF(K45="","",TodayDate-K45))</f>
        <v>0</v>
      </c>
      <c r="V45" s="43">
        <f>IF(C45="","",IF(F45="","Add - what do they charge?",IF(O45="","Check - your product has no price",IF(AND(U45&lt;&gt;"",U45&gt;180),"Check - research is over six months old",IF(AND(T45="Cheaper",H45="Below mine"),"Raise - better work, lower price",IF(T45="Dearer","Fine - make sure the listing shows why","OK"))))))</f>
        <v>0</v>
      </c>
    </row>
    <row r="46" spans="2:22">
      <c r="B46" s="13">
        <f>IF(A46="","",IFERROR(INDEX(Products!$B$5:$B$304,MATCH(A46,Products!$A$5:$A$304,0)),"Not found"))</f>
        <v>0</v>
      </c>
      <c r="N46" s="20">
        <f>IF(C46="","",ROUND(IF(F46="",0,F46)+IF(G46="",0,G46),2))</f>
        <v>0</v>
      </c>
      <c r="O46" s="20">
        <f>IF(A46="","",IFERROR(INDEX(Products!$AR$5:$AR$304,MATCH(A46,Products!$A$5:$A$304,0)),""))</f>
        <v>0</v>
      </c>
      <c r="P46" s="20">
        <f>IF(A46="","",IFERROR(INDEX(Products!$AE$5:$AE$304,MATCH(A46,Products!$A$5:$A$304,0)),""))</f>
        <v>0</v>
      </c>
      <c r="Q46" s="20">
        <f>IF(C46="","",IF(O46="","",ROUND(O46+IF(P46="",0,P46),2)))</f>
        <v>0</v>
      </c>
      <c r="R46" s="20">
        <f>IF(C46="","",IF(OR(Q46="",N46=0),"",ROUND(Q46-N46,2)))</f>
        <v>0</v>
      </c>
      <c r="S46" s="33">
        <f>IF(C46="","",IF(OR(Q46="",N46=0),"",Q46/N46-1))</f>
        <v>0</v>
      </c>
      <c r="T46" s="43">
        <f>IF(C46="","",IF(S46="","",IF(S46&gt;0.15,"Dearer",IF(S46&lt;-0.15,"Cheaper","Similar"))))</f>
        <v>0</v>
      </c>
      <c r="U46" s="32">
        <f>IF(C46="","",IF(K46="","",TodayDate-K46))</f>
        <v>0</v>
      </c>
      <c r="V46" s="43">
        <f>IF(C46="","",IF(F46="","Add - what do they charge?",IF(O46="","Check - your product has no price",IF(AND(U46&lt;&gt;"",U46&gt;180),"Check - research is over six months old",IF(AND(T46="Cheaper",H46="Below mine"),"Raise - better work, lower price",IF(T46="Dearer","Fine - make sure the listing shows why","OK"))))))</f>
        <v>0</v>
      </c>
    </row>
    <row r="47" spans="2:22">
      <c r="B47" s="13">
        <f>IF(A47="","",IFERROR(INDEX(Products!$B$5:$B$304,MATCH(A47,Products!$A$5:$A$304,0)),"Not found"))</f>
        <v>0</v>
      </c>
      <c r="N47" s="20">
        <f>IF(C47="","",ROUND(IF(F47="",0,F47)+IF(G47="",0,G47),2))</f>
        <v>0</v>
      </c>
      <c r="O47" s="20">
        <f>IF(A47="","",IFERROR(INDEX(Products!$AR$5:$AR$304,MATCH(A47,Products!$A$5:$A$304,0)),""))</f>
        <v>0</v>
      </c>
      <c r="P47" s="20">
        <f>IF(A47="","",IFERROR(INDEX(Products!$AE$5:$AE$304,MATCH(A47,Products!$A$5:$A$304,0)),""))</f>
        <v>0</v>
      </c>
      <c r="Q47" s="20">
        <f>IF(C47="","",IF(O47="","",ROUND(O47+IF(P47="",0,P47),2)))</f>
        <v>0</v>
      </c>
      <c r="R47" s="20">
        <f>IF(C47="","",IF(OR(Q47="",N47=0),"",ROUND(Q47-N47,2)))</f>
        <v>0</v>
      </c>
      <c r="S47" s="33">
        <f>IF(C47="","",IF(OR(Q47="",N47=0),"",Q47/N47-1))</f>
        <v>0</v>
      </c>
      <c r="T47" s="43">
        <f>IF(C47="","",IF(S47="","",IF(S47&gt;0.15,"Dearer",IF(S47&lt;-0.15,"Cheaper","Similar"))))</f>
        <v>0</v>
      </c>
      <c r="U47" s="32">
        <f>IF(C47="","",IF(K47="","",TodayDate-K47))</f>
        <v>0</v>
      </c>
      <c r="V47" s="43">
        <f>IF(C47="","",IF(F47="","Add - what do they charge?",IF(O47="","Check - your product has no price",IF(AND(U47&lt;&gt;"",U47&gt;180),"Check - research is over six months old",IF(AND(T47="Cheaper",H47="Below mine"),"Raise - better work, lower price",IF(T47="Dearer","Fine - make sure the listing shows why","OK"))))))</f>
        <v>0</v>
      </c>
    </row>
    <row r="48" spans="2:22">
      <c r="B48" s="13">
        <f>IF(A48="","",IFERROR(INDEX(Products!$B$5:$B$304,MATCH(A48,Products!$A$5:$A$304,0)),"Not found"))</f>
        <v>0</v>
      </c>
      <c r="N48" s="20">
        <f>IF(C48="","",ROUND(IF(F48="",0,F48)+IF(G48="",0,G48),2))</f>
        <v>0</v>
      </c>
      <c r="O48" s="20">
        <f>IF(A48="","",IFERROR(INDEX(Products!$AR$5:$AR$304,MATCH(A48,Products!$A$5:$A$304,0)),""))</f>
        <v>0</v>
      </c>
      <c r="P48" s="20">
        <f>IF(A48="","",IFERROR(INDEX(Products!$AE$5:$AE$304,MATCH(A48,Products!$A$5:$A$304,0)),""))</f>
        <v>0</v>
      </c>
      <c r="Q48" s="20">
        <f>IF(C48="","",IF(O48="","",ROUND(O48+IF(P48="",0,P48),2)))</f>
        <v>0</v>
      </c>
      <c r="R48" s="20">
        <f>IF(C48="","",IF(OR(Q48="",N48=0),"",ROUND(Q48-N48,2)))</f>
        <v>0</v>
      </c>
      <c r="S48" s="33">
        <f>IF(C48="","",IF(OR(Q48="",N48=0),"",Q48/N48-1))</f>
        <v>0</v>
      </c>
      <c r="T48" s="43">
        <f>IF(C48="","",IF(S48="","",IF(S48&gt;0.15,"Dearer",IF(S48&lt;-0.15,"Cheaper","Similar"))))</f>
        <v>0</v>
      </c>
      <c r="U48" s="32">
        <f>IF(C48="","",IF(K48="","",TodayDate-K48))</f>
        <v>0</v>
      </c>
      <c r="V48" s="43">
        <f>IF(C48="","",IF(F48="","Add - what do they charge?",IF(O48="","Check - your product has no price",IF(AND(U48&lt;&gt;"",U48&gt;180),"Check - research is over six months old",IF(AND(T48="Cheaper",H48="Below mine"),"Raise - better work, lower price",IF(T48="Dearer","Fine - make sure the listing shows why","OK"))))))</f>
        <v>0</v>
      </c>
    </row>
    <row r="49" spans="2:22">
      <c r="B49" s="13">
        <f>IF(A49="","",IFERROR(INDEX(Products!$B$5:$B$304,MATCH(A49,Products!$A$5:$A$304,0)),"Not found"))</f>
        <v>0</v>
      </c>
      <c r="N49" s="20">
        <f>IF(C49="","",ROUND(IF(F49="",0,F49)+IF(G49="",0,G49),2))</f>
        <v>0</v>
      </c>
      <c r="O49" s="20">
        <f>IF(A49="","",IFERROR(INDEX(Products!$AR$5:$AR$304,MATCH(A49,Products!$A$5:$A$304,0)),""))</f>
        <v>0</v>
      </c>
      <c r="P49" s="20">
        <f>IF(A49="","",IFERROR(INDEX(Products!$AE$5:$AE$304,MATCH(A49,Products!$A$5:$A$304,0)),""))</f>
        <v>0</v>
      </c>
      <c r="Q49" s="20">
        <f>IF(C49="","",IF(O49="","",ROUND(O49+IF(P49="",0,P49),2)))</f>
        <v>0</v>
      </c>
      <c r="R49" s="20">
        <f>IF(C49="","",IF(OR(Q49="",N49=0),"",ROUND(Q49-N49,2)))</f>
        <v>0</v>
      </c>
      <c r="S49" s="33">
        <f>IF(C49="","",IF(OR(Q49="",N49=0),"",Q49/N49-1))</f>
        <v>0</v>
      </c>
      <c r="T49" s="43">
        <f>IF(C49="","",IF(S49="","",IF(S49&gt;0.15,"Dearer",IF(S49&lt;-0.15,"Cheaper","Similar"))))</f>
        <v>0</v>
      </c>
      <c r="U49" s="32">
        <f>IF(C49="","",IF(K49="","",TodayDate-K49))</f>
        <v>0</v>
      </c>
      <c r="V49" s="43">
        <f>IF(C49="","",IF(F49="","Add - what do they charge?",IF(O49="","Check - your product has no price",IF(AND(U49&lt;&gt;"",U49&gt;180),"Check - research is over six months old",IF(AND(T49="Cheaper",H49="Below mine"),"Raise - better work, lower price",IF(T49="Dearer","Fine - make sure the listing shows why","OK"))))))</f>
        <v>0</v>
      </c>
    </row>
    <row r="50" spans="2:22">
      <c r="B50" s="13">
        <f>IF(A50="","",IFERROR(INDEX(Products!$B$5:$B$304,MATCH(A50,Products!$A$5:$A$304,0)),"Not found"))</f>
        <v>0</v>
      </c>
      <c r="N50" s="20">
        <f>IF(C50="","",ROUND(IF(F50="",0,F50)+IF(G50="",0,G50),2))</f>
        <v>0</v>
      </c>
      <c r="O50" s="20">
        <f>IF(A50="","",IFERROR(INDEX(Products!$AR$5:$AR$304,MATCH(A50,Products!$A$5:$A$304,0)),""))</f>
        <v>0</v>
      </c>
      <c r="P50" s="20">
        <f>IF(A50="","",IFERROR(INDEX(Products!$AE$5:$AE$304,MATCH(A50,Products!$A$5:$A$304,0)),""))</f>
        <v>0</v>
      </c>
      <c r="Q50" s="20">
        <f>IF(C50="","",IF(O50="","",ROUND(O50+IF(P50="",0,P50),2)))</f>
        <v>0</v>
      </c>
      <c r="R50" s="20">
        <f>IF(C50="","",IF(OR(Q50="",N50=0),"",ROUND(Q50-N50,2)))</f>
        <v>0</v>
      </c>
      <c r="S50" s="33">
        <f>IF(C50="","",IF(OR(Q50="",N50=0),"",Q50/N50-1))</f>
        <v>0</v>
      </c>
      <c r="T50" s="43">
        <f>IF(C50="","",IF(S50="","",IF(S50&gt;0.15,"Dearer",IF(S50&lt;-0.15,"Cheaper","Similar"))))</f>
        <v>0</v>
      </c>
      <c r="U50" s="32">
        <f>IF(C50="","",IF(K50="","",TodayDate-K50))</f>
        <v>0</v>
      </c>
      <c r="V50" s="43">
        <f>IF(C50="","",IF(F50="","Add - what do they charge?",IF(O50="","Check - your product has no price",IF(AND(U50&lt;&gt;"",U50&gt;180),"Check - research is over six months old",IF(AND(T50="Cheaper",H50="Below mine"),"Raise - better work, lower price",IF(T50="Dearer","Fine - make sure the listing shows why","OK"))))))</f>
        <v>0</v>
      </c>
    </row>
    <row r="51" spans="2:22">
      <c r="B51" s="13">
        <f>IF(A51="","",IFERROR(INDEX(Products!$B$5:$B$304,MATCH(A51,Products!$A$5:$A$304,0)),"Not found"))</f>
        <v>0</v>
      </c>
      <c r="N51" s="20">
        <f>IF(C51="","",ROUND(IF(F51="",0,F51)+IF(G51="",0,G51),2))</f>
        <v>0</v>
      </c>
      <c r="O51" s="20">
        <f>IF(A51="","",IFERROR(INDEX(Products!$AR$5:$AR$304,MATCH(A51,Products!$A$5:$A$304,0)),""))</f>
        <v>0</v>
      </c>
      <c r="P51" s="20">
        <f>IF(A51="","",IFERROR(INDEX(Products!$AE$5:$AE$304,MATCH(A51,Products!$A$5:$A$304,0)),""))</f>
        <v>0</v>
      </c>
      <c r="Q51" s="20">
        <f>IF(C51="","",IF(O51="","",ROUND(O51+IF(P51="",0,P51),2)))</f>
        <v>0</v>
      </c>
      <c r="R51" s="20">
        <f>IF(C51="","",IF(OR(Q51="",N51=0),"",ROUND(Q51-N51,2)))</f>
        <v>0</v>
      </c>
      <c r="S51" s="33">
        <f>IF(C51="","",IF(OR(Q51="",N51=0),"",Q51/N51-1))</f>
        <v>0</v>
      </c>
      <c r="T51" s="43">
        <f>IF(C51="","",IF(S51="","",IF(S51&gt;0.15,"Dearer",IF(S51&lt;-0.15,"Cheaper","Similar"))))</f>
        <v>0</v>
      </c>
      <c r="U51" s="32">
        <f>IF(C51="","",IF(K51="","",TodayDate-K51))</f>
        <v>0</v>
      </c>
      <c r="V51" s="43">
        <f>IF(C51="","",IF(F51="","Add - what do they charge?",IF(O51="","Check - your product has no price",IF(AND(U51&lt;&gt;"",U51&gt;180),"Check - research is over six months old",IF(AND(T51="Cheaper",H51="Below mine"),"Raise - better work, lower price",IF(T51="Dearer","Fine - make sure the listing shows why","OK"))))))</f>
        <v>0</v>
      </c>
    </row>
    <row r="52" spans="2:22">
      <c r="B52" s="13">
        <f>IF(A52="","",IFERROR(INDEX(Products!$B$5:$B$304,MATCH(A52,Products!$A$5:$A$304,0)),"Not found"))</f>
        <v>0</v>
      </c>
      <c r="N52" s="20">
        <f>IF(C52="","",ROUND(IF(F52="",0,F52)+IF(G52="",0,G52),2))</f>
        <v>0</v>
      </c>
      <c r="O52" s="20">
        <f>IF(A52="","",IFERROR(INDEX(Products!$AR$5:$AR$304,MATCH(A52,Products!$A$5:$A$304,0)),""))</f>
        <v>0</v>
      </c>
      <c r="P52" s="20">
        <f>IF(A52="","",IFERROR(INDEX(Products!$AE$5:$AE$304,MATCH(A52,Products!$A$5:$A$304,0)),""))</f>
        <v>0</v>
      </c>
      <c r="Q52" s="20">
        <f>IF(C52="","",IF(O52="","",ROUND(O52+IF(P52="",0,P52),2)))</f>
        <v>0</v>
      </c>
      <c r="R52" s="20">
        <f>IF(C52="","",IF(OR(Q52="",N52=0),"",ROUND(Q52-N52,2)))</f>
        <v>0</v>
      </c>
      <c r="S52" s="33">
        <f>IF(C52="","",IF(OR(Q52="",N52=0),"",Q52/N52-1))</f>
        <v>0</v>
      </c>
      <c r="T52" s="43">
        <f>IF(C52="","",IF(S52="","",IF(S52&gt;0.15,"Dearer",IF(S52&lt;-0.15,"Cheaper","Similar"))))</f>
        <v>0</v>
      </c>
      <c r="U52" s="32">
        <f>IF(C52="","",IF(K52="","",TodayDate-K52))</f>
        <v>0</v>
      </c>
      <c r="V52" s="43">
        <f>IF(C52="","",IF(F52="","Add - what do they charge?",IF(O52="","Check - your product has no price",IF(AND(U52&lt;&gt;"",U52&gt;180),"Check - research is over six months old",IF(AND(T52="Cheaper",H52="Below mine"),"Raise - better work, lower price",IF(T52="Dearer","Fine - make sure the listing shows why","OK"))))))</f>
        <v>0</v>
      </c>
    </row>
    <row r="53" spans="2:22">
      <c r="B53" s="13">
        <f>IF(A53="","",IFERROR(INDEX(Products!$B$5:$B$304,MATCH(A53,Products!$A$5:$A$304,0)),"Not found"))</f>
        <v>0</v>
      </c>
      <c r="N53" s="20">
        <f>IF(C53="","",ROUND(IF(F53="",0,F53)+IF(G53="",0,G53),2))</f>
        <v>0</v>
      </c>
      <c r="O53" s="20">
        <f>IF(A53="","",IFERROR(INDEX(Products!$AR$5:$AR$304,MATCH(A53,Products!$A$5:$A$304,0)),""))</f>
        <v>0</v>
      </c>
      <c r="P53" s="20">
        <f>IF(A53="","",IFERROR(INDEX(Products!$AE$5:$AE$304,MATCH(A53,Products!$A$5:$A$304,0)),""))</f>
        <v>0</v>
      </c>
      <c r="Q53" s="20">
        <f>IF(C53="","",IF(O53="","",ROUND(O53+IF(P53="",0,P53),2)))</f>
        <v>0</v>
      </c>
      <c r="R53" s="20">
        <f>IF(C53="","",IF(OR(Q53="",N53=0),"",ROUND(Q53-N53,2)))</f>
        <v>0</v>
      </c>
      <c r="S53" s="33">
        <f>IF(C53="","",IF(OR(Q53="",N53=0),"",Q53/N53-1))</f>
        <v>0</v>
      </c>
      <c r="T53" s="43">
        <f>IF(C53="","",IF(S53="","",IF(S53&gt;0.15,"Dearer",IF(S53&lt;-0.15,"Cheaper","Similar"))))</f>
        <v>0</v>
      </c>
      <c r="U53" s="32">
        <f>IF(C53="","",IF(K53="","",TodayDate-K53))</f>
        <v>0</v>
      </c>
      <c r="V53" s="43">
        <f>IF(C53="","",IF(F53="","Add - what do they charge?",IF(O53="","Check - your product has no price",IF(AND(U53&lt;&gt;"",U53&gt;180),"Check - research is over six months old",IF(AND(T53="Cheaper",H53="Below mine"),"Raise - better work, lower price",IF(T53="Dearer","Fine - make sure the listing shows why","OK"))))))</f>
        <v>0</v>
      </c>
    </row>
    <row r="54" spans="2:22">
      <c r="B54" s="13">
        <f>IF(A54="","",IFERROR(INDEX(Products!$B$5:$B$304,MATCH(A54,Products!$A$5:$A$304,0)),"Not found"))</f>
        <v>0</v>
      </c>
      <c r="N54" s="20">
        <f>IF(C54="","",ROUND(IF(F54="",0,F54)+IF(G54="",0,G54),2))</f>
        <v>0</v>
      </c>
      <c r="O54" s="20">
        <f>IF(A54="","",IFERROR(INDEX(Products!$AR$5:$AR$304,MATCH(A54,Products!$A$5:$A$304,0)),""))</f>
        <v>0</v>
      </c>
      <c r="P54" s="20">
        <f>IF(A54="","",IFERROR(INDEX(Products!$AE$5:$AE$304,MATCH(A54,Products!$A$5:$A$304,0)),""))</f>
        <v>0</v>
      </c>
      <c r="Q54" s="20">
        <f>IF(C54="","",IF(O54="","",ROUND(O54+IF(P54="",0,P54),2)))</f>
        <v>0</v>
      </c>
      <c r="R54" s="20">
        <f>IF(C54="","",IF(OR(Q54="",N54=0),"",ROUND(Q54-N54,2)))</f>
        <v>0</v>
      </c>
      <c r="S54" s="33">
        <f>IF(C54="","",IF(OR(Q54="",N54=0),"",Q54/N54-1))</f>
        <v>0</v>
      </c>
      <c r="T54" s="43">
        <f>IF(C54="","",IF(S54="","",IF(S54&gt;0.15,"Dearer",IF(S54&lt;-0.15,"Cheaper","Similar"))))</f>
        <v>0</v>
      </c>
      <c r="U54" s="32">
        <f>IF(C54="","",IF(K54="","",TodayDate-K54))</f>
        <v>0</v>
      </c>
      <c r="V54" s="43">
        <f>IF(C54="","",IF(F54="","Add - what do they charge?",IF(O54="","Check - your product has no price",IF(AND(U54&lt;&gt;"",U54&gt;180),"Check - research is over six months old",IF(AND(T54="Cheaper",H54="Below mine"),"Raise - better work, lower price",IF(T54="Dearer","Fine - make sure the listing shows why","OK"))))))</f>
        <v>0</v>
      </c>
    </row>
    <row r="55" spans="2:22">
      <c r="B55" s="13">
        <f>IF(A55="","",IFERROR(INDEX(Products!$B$5:$B$304,MATCH(A55,Products!$A$5:$A$304,0)),"Not found"))</f>
        <v>0</v>
      </c>
      <c r="N55" s="20">
        <f>IF(C55="","",ROUND(IF(F55="",0,F55)+IF(G55="",0,G55),2))</f>
        <v>0</v>
      </c>
      <c r="O55" s="20">
        <f>IF(A55="","",IFERROR(INDEX(Products!$AR$5:$AR$304,MATCH(A55,Products!$A$5:$A$304,0)),""))</f>
        <v>0</v>
      </c>
      <c r="P55" s="20">
        <f>IF(A55="","",IFERROR(INDEX(Products!$AE$5:$AE$304,MATCH(A55,Products!$A$5:$A$304,0)),""))</f>
        <v>0</v>
      </c>
      <c r="Q55" s="20">
        <f>IF(C55="","",IF(O55="","",ROUND(O55+IF(P55="",0,P55),2)))</f>
        <v>0</v>
      </c>
      <c r="R55" s="20">
        <f>IF(C55="","",IF(OR(Q55="",N55=0),"",ROUND(Q55-N55,2)))</f>
        <v>0</v>
      </c>
      <c r="S55" s="33">
        <f>IF(C55="","",IF(OR(Q55="",N55=0),"",Q55/N55-1))</f>
        <v>0</v>
      </c>
      <c r="T55" s="43">
        <f>IF(C55="","",IF(S55="","",IF(S55&gt;0.15,"Dearer",IF(S55&lt;-0.15,"Cheaper","Similar"))))</f>
        <v>0</v>
      </c>
      <c r="U55" s="32">
        <f>IF(C55="","",IF(K55="","",TodayDate-K55))</f>
        <v>0</v>
      </c>
      <c r="V55" s="43">
        <f>IF(C55="","",IF(F55="","Add - what do they charge?",IF(O55="","Check - your product has no price",IF(AND(U55&lt;&gt;"",U55&gt;180),"Check - research is over six months old",IF(AND(T55="Cheaper",H55="Below mine"),"Raise - better work, lower price",IF(T55="Dearer","Fine - make sure the listing shows why","OK"))))))</f>
        <v>0</v>
      </c>
    </row>
    <row r="56" spans="2:22">
      <c r="B56" s="13">
        <f>IF(A56="","",IFERROR(INDEX(Products!$B$5:$B$304,MATCH(A56,Products!$A$5:$A$304,0)),"Not found"))</f>
        <v>0</v>
      </c>
      <c r="N56" s="20">
        <f>IF(C56="","",ROUND(IF(F56="",0,F56)+IF(G56="",0,G56),2))</f>
        <v>0</v>
      </c>
      <c r="O56" s="20">
        <f>IF(A56="","",IFERROR(INDEX(Products!$AR$5:$AR$304,MATCH(A56,Products!$A$5:$A$304,0)),""))</f>
        <v>0</v>
      </c>
      <c r="P56" s="20">
        <f>IF(A56="","",IFERROR(INDEX(Products!$AE$5:$AE$304,MATCH(A56,Products!$A$5:$A$304,0)),""))</f>
        <v>0</v>
      </c>
      <c r="Q56" s="20">
        <f>IF(C56="","",IF(O56="","",ROUND(O56+IF(P56="",0,P56),2)))</f>
        <v>0</v>
      </c>
      <c r="R56" s="20">
        <f>IF(C56="","",IF(OR(Q56="",N56=0),"",ROUND(Q56-N56,2)))</f>
        <v>0</v>
      </c>
      <c r="S56" s="33">
        <f>IF(C56="","",IF(OR(Q56="",N56=0),"",Q56/N56-1))</f>
        <v>0</v>
      </c>
      <c r="T56" s="43">
        <f>IF(C56="","",IF(S56="","",IF(S56&gt;0.15,"Dearer",IF(S56&lt;-0.15,"Cheaper","Similar"))))</f>
        <v>0</v>
      </c>
      <c r="U56" s="32">
        <f>IF(C56="","",IF(K56="","",TodayDate-K56))</f>
        <v>0</v>
      </c>
      <c r="V56" s="43">
        <f>IF(C56="","",IF(F56="","Add - what do they charge?",IF(O56="","Check - your product has no price",IF(AND(U56&lt;&gt;"",U56&gt;180),"Check - research is over six months old",IF(AND(T56="Cheaper",H56="Below mine"),"Raise - better work, lower price",IF(T56="Dearer","Fine - make sure the listing shows why","OK"))))))</f>
        <v>0</v>
      </c>
    </row>
    <row r="57" spans="2:22">
      <c r="B57" s="13">
        <f>IF(A57="","",IFERROR(INDEX(Products!$B$5:$B$304,MATCH(A57,Products!$A$5:$A$304,0)),"Not found"))</f>
        <v>0</v>
      </c>
      <c r="N57" s="20">
        <f>IF(C57="","",ROUND(IF(F57="",0,F57)+IF(G57="",0,G57),2))</f>
        <v>0</v>
      </c>
      <c r="O57" s="20">
        <f>IF(A57="","",IFERROR(INDEX(Products!$AR$5:$AR$304,MATCH(A57,Products!$A$5:$A$304,0)),""))</f>
        <v>0</v>
      </c>
      <c r="P57" s="20">
        <f>IF(A57="","",IFERROR(INDEX(Products!$AE$5:$AE$304,MATCH(A57,Products!$A$5:$A$304,0)),""))</f>
        <v>0</v>
      </c>
      <c r="Q57" s="20">
        <f>IF(C57="","",IF(O57="","",ROUND(O57+IF(P57="",0,P57),2)))</f>
        <v>0</v>
      </c>
      <c r="R57" s="20">
        <f>IF(C57="","",IF(OR(Q57="",N57=0),"",ROUND(Q57-N57,2)))</f>
        <v>0</v>
      </c>
      <c r="S57" s="33">
        <f>IF(C57="","",IF(OR(Q57="",N57=0),"",Q57/N57-1))</f>
        <v>0</v>
      </c>
      <c r="T57" s="43">
        <f>IF(C57="","",IF(S57="","",IF(S57&gt;0.15,"Dearer",IF(S57&lt;-0.15,"Cheaper","Similar"))))</f>
        <v>0</v>
      </c>
      <c r="U57" s="32">
        <f>IF(C57="","",IF(K57="","",TodayDate-K57))</f>
        <v>0</v>
      </c>
      <c r="V57" s="43">
        <f>IF(C57="","",IF(F57="","Add - what do they charge?",IF(O57="","Check - your product has no price",IF(AND(U57&lt;&gt;"",U57&gt;180),"Check - research is over six months old",IF(AND(T57="Cheaper",H57="Below mine"),"Raise - better work, lower price",IF(T57="Dearer","Fine - make sure the listing shows why","OK"))))))</f>
        <v>0</v>
      </c>
    </row>
    <row r="58" spans="2:22">
      <c r="B58" s="13">
        <f>IF(A58="","",IFERROR(INDEX(Products!$B$5:$B$304,MATCH(A58,Products!$A$5:$A$304,0)),"Not found"))</f>
        <v>0</v>
      </c>
      <c r="N58" s="20">
        <f>IF(C58="","",ROUND(IF(F58="",0,F58)+IF(G58="",0,G58),2))</f>
        <v>0</v>
      </c>
      <c r="O58" s="20">
        <f>IF(A58="","",IFERROR(INDEX(Products!$AR$5:$AR$304,MATCH(A58,Products!$A$5:$A$304,0)),""))</f>
        <v>0</v>
      </c>
      <c r="P58" s="20">
        <f>IF(A58="","",IFERROR(INDEX(Products!$AE$5:$AE$304,MATCH(A58,Products!$A$5:$A$304,0)),""))</f>
        <v>0</v>
      </c>
      <c r="Q58" s="20">
        <f>IF(C58="","",IF(O58="","",ROUND(O58+IF(P58="",0,P58),2)))</f>
        <v>0</v>
      </c>
      <c r="R58" s="20">
        <f>IF(C58="","",IF(OR(Q58="",N58=0),"",ROUND(Q58-N58,2)))</f>
        <v>0</v>
      </c>
      <c r="S58" s="33">
        <f>IF(C58="","",IF(OR(Q58="",N58=0),"",Q58/N58-1))</f>
        <v>0</v>
      </c>
      <c r="T58" s="43">
        <f>IF(C58="","",IF(S58="","",IF(S58&gt;0.15,"Dearer",IF(S58&lt;-0.15,"Cheaper","Similar"))))</f>
        <v>0</v>
      </c>
      <c r="U58" s="32">
        <f>IF(C58="","",IF(K58="","",TodayDate-K58))</f>
        <v>0</v>
      </c>
      <c r="V58" s="43">
        <f>IF(C58="","",IF(F58="","Add - what do they charge?",IF(O58="","Check - your product has no price",IF(AND(U58&lt;&gt;"",U58&gt;180),"Check - research is over six months old",IF(AND(T58="Cheaper",H58="Below mine"),"Raise - better work, lower price",IF(T58="Dearer","Fine - make sure the listing shows why","OK"))))))</f>
        <v>0</v>
      </c>
    </row>
    <row r="59" spans="2:22">
      <c r="B59" s="13">
        <f>IF(A59="","",IFERROR(INDEX(Products!$B$5:$B$304,MATCH(A59,Products!$A$5:$A$304,0)),"Not found"))</f>
        <v>0</v>
      </c>
      <c r="N59" s="20">
        <f>IF(C59="","",ROUND(IF(F59="",0,F59)+IF(G59="",0,G59),2))</f>
        <v>0</v>
      </c>
      <c r="O59" s="20">
        <f>IF(A59="","",IFERROR(INDEX(Products!$AR$5:$AR$304,MATCH(A59,Products!$A$5:$A$304,0)),""))</f>
        <v>0</v>
      </c>
      <c r="P59" s="20">
        <f>IF(A59="","",IFERROR(INDEX(Products!$AE$5:$AE$304,MATCH(A59,Products!$A$5:$A$304,0)),""))</f>
        <v>0</v>
      </c>
      <c r="Q59" s="20">
        <f>IF(C59="","",IF(O59="","",ROUND(O59+IF(P59="",0,P59),2)))</f>
        <v>0</v>
      </c>
      <c r="R59" s="20">
        <f>IF(C59="","",IF(OR(Q59="",N59=0),"",ROUND(Q59-N59,2)))</f>
        <v>0</v>
      </c>
      <c r="S59" s="33">
        <f>IF(C59="","",IF(OR(Q59="",N59=0),"",Q59/N59-1))</f>
        <v>0</v>
      </c>
      <c r="T59" s="43">
        <f>IF(C59="","",IF(S59="","",IF(S59&gt;0.15,"Dearer",IF(S59&lt;-0.15,"Cheaper","Similar"))))</f>
        <v>0</v>
      </c>
      <c r="U59" s="32">
        <f>IF(C59="","",IF(K59="","",TodayDate-K59))</f>
        <v>0</v>
      </c>
      <c r="V59" s="43">
        <f>IF(C59="","",IF(F59="","Add - what do they charge?",IF(O59="","Check - your product has no price",IF(AND(U59&lt;&gt;"",U59&gt;180),"Check - research is over six months old",IF(AND(T59="Cheaper",H59="Below mine"),"Raise - better work, lower price",IF(T59="Dearer","Fine - make sure the listing shows why","OK"))))))</f>
        <v>0</v>
      </c>
    </row>
    <row r="60" spans="2:22">
      <c r="B60" s="13">
        <f>IF(A60="","",IFERROR(INDEX(Products!$B$5:$B$304,MATCH(A60,Products!$A$5:$A$304,0)),"Not found"))</f>
        <v>0</v>
      </c>
      <c r="N60" s="20">
        <f>IF(C60="","",ROUND(IF(F60="",0,F60)+IF(G60="",0,G60),2))</f>
        <v>0</v>
      </c>
      <c r="O60" s="20">
        <f>IF(A60="","",IFERROR(INDEX(Products!$AR$5:$AR$304,MATCH(A60,Products!$A$5:$A$304,0)),""))</f>
        <v>0</v>
      </c>
      <c r="P60" s="20">
        <f>IF(A60="","",IFERROR(INDEX(Products!$AE$5:$AE$304,MATCH(A60,Products!$A$5:$A$304,0)),""))</f>
        <v>0</v>
      </c>
      <c r="Q60" s="20">
        <f>IF(C60="","",IF(O60="","",ROUND(O60+IF(P60="",0,P60),2)))</f>
        <v>0</v>
      </c>
      <c r="R60" s="20">
        <f>IF(C60="","",IF(OR(Q60="",N60=0),"",ROUND(Q60-N60,2)))</f>
        <v>0</v>
      </c>
      <c r="S60" s="33">
        <f>IF(C60="","",IF(OR(Q60="",N60=0),"",Q60/N60-1))</f>
        <v>0</v>
      </c>
      <c r="T60" s="43">
        <f>IF(C60="","",IF(S60="","",IF(S60&gt;0.15,"Dearer",IF(S60&lt;-0.15,"Cheaper","Similar"))))</f>
        <v>0</v>
      </c>
      <c r="U60" s="32">
        <f>IF(C60="","",IF(K60="","",TodayDate-K60))</f>
        <v>0</v>
      </c>
      <c r="V60" s="43">
        <f>IF(C60="","",IF(F60="","Add - what do they charge?",IF(O60="","Check - your product has no price",IF(AND(U60&lt;&gt;"",U60&gt;180),"Check - research is over six months old",IF(AND(T60="Cheaper",H60="Below mine"),"Raise - better work, lower price",IF(T60="Dearer","Fine - make sure the listing shows why","OK"))))))</f>
        <v>0</v>
      </c>
    </row>
    <row r="61" spans="2:22">
      <c r="B61" s="13">
        <f>IF(A61="","",IFERROR(INDEX(Products!$B$5:$B$304,MATCH(A61,Products!$A$5:$A$304,0)),"Not found"))</f>
        <v>0</v>
      </c>
      <c r="N61" s="20">
        <f>IF(C61="","",ROUND(IF(F61="",0,F61)+IF(G61="",0,G61),2))</f>
        <v>0</v>
      </c>
      <c r="O61" s="20">
        <f>IF(A61="","",IFERROR(INDEX(Products!$AR$5:$AR$304,MATCH(A61,Products!$A$5:$A$304,0)),""))</f>
        <v>0</v>
      </c>
      <c r="P61" s="20">
        <f>IF(A61="","",IFERROR(INDEX(Products!$AE$5:$AE$304,MATCH(A61,Products!$A$5:$A$304,0)),""))</f>
        <v>0</v>
      </c>
      <c r="Q61" s="20">
        <f>IF(C61="","",IF(O61="","",ROUND(O61+IF(P61="",0,P61),2)))</f>
        <v>0</v>
      </c>
      <c r="R61" s="20">
        <f>IF(C61="","",IF(OR(Q61="",N61=0),"",ROUND(Q61-N61,2)))</f>
        <v>0</v>
      </c>
      <c r="S61" s="33">
        <f>IF(C61="","",IF(OR(Q61="",N61=0),"",Q61/N61-1))</f>
        <v>0</v>
      </c>
      <c r="T61" s="43">
        <f>IF(C61="","",IF(S61="","",IF(S61&gt;0.15,"Dearer",IF(S61&lt;-0.15,"Cheaper","Similar"))))</f>
        <v>0</v>
      </c>
      <c r="U61" s="32">
        <f>IF(C61="","",IF(K61="","",TodayDate-K61))</f>
        <v>0</v>
      </c>
      <c r="V61" s="43">
        <f>IF(C61="","",IF(F61="","Add - what do they charge?",IF(O61="","Check - your product has no price",IF(AND(U61&lt;&gt;"",U61&gt;180),"Check - research is over six months old",IF(AND(T61="Cheaper",H61="Below mine"),"Raise - better work, lower price",IF(T61="Dearer","Fine - make sure the listing shows why","OK"))))))</f>
        <v>0</v>
      </c>
    </row>
    <row r="62" spans="2:22">
      <c r="B62" s="13">
        <f>IF(A62="","",IFERROR(INDEX(Products!$B$5:$B$304,MATCH(A62,Products!$A$5:$A$304,0)),"Not found"))</f>
        <v>0</v>
      </c>
      <c r="N62" s="20">
        <f>IF(C62="","",ROUND(IF(F62="",0,F62)+IF(G62="",0,G62),2))</f>
        <v>0</v>
      </c>
      <c r="O62" s="20">
        <f>IF(A62="","",IFERROR(INDEX(Products!$AR$5:$AR$304,MATCH(A62,Products!$A$5:$A$304,0)),""))</f>
        <v>0</v>
      </c>
      <c r="P62" s="20">
        <f>IF(A62="","",IFERROR(INDEX(Products!$AE$5:$AE$304,MATCH(A62,Products!$A$5:$A$304,0)),""))</f>
        <v>0</v>
      </c>
      <c r="Q62" s="20">
        <f>IF(C62="","",IF(O62="","",ROUND(O62+IF(P62="",0,P62),2)))</f>
        <v>0</v>
      </c>
      <c r="R62" s="20">
        <f>IF(C62="","",IF(OR(Q62="",N62=0),"",ROUND(Q62-N62,2)))</f>
        <v>0</v>
      </c>
      <c r="S62" s="33">
        <f>IF(C62="","",IF(OR(Q62="",N62=0),"",Q62/N62-1))</f>
        <v>0</v>
      </c>
      <c r="T62" s="43">
        <f>IF(C62="","",IF(S62="","",IF(S62&gt;0.15,"Dearer",IF(S62&lt;-0.15,"Cheaper","Similar"))))</f>
        <v>0</v>
      </c>
      <c r="U62" s="32">
        <f>IF(C62="","",IF(K62="","",TodayDate-K62))</f>
        <v>0</v>
      </c>
      <c r="V62" s="43">
        <f>IF(C62="","",IF(F62="","Add - what do they charge?",IF(O62="","Check - your product has no price",IF(AND(U62&lt;&gt;"",U62&gt;180),"Check - research is over six months old",IF(AND(T62="Cheaper",H62="Below mine"),"Raise - better work, lower price",IF(T62="Dearer","Fine - make sure the listing shows why","OK"))))))</f>
        <v>0</v>
      </c>
    </row>
    <row r="63" spans="2:22">
      <c r="B63" s="13">
        <f>IF(A63="","",IFERROR(INDEX(Products!$B$5:$B$304,MATCH(A63,Products!$A$5:$A$304,0)),"Not found"))</f>
        <v>0</v>
      </c>
      <c r="N63" s="20">
        <f>IF(C63="","",ROUND(IF(F63="",0,F63)+IF(G63="",0,G63),2))</f>
        <v>0</v>
      </c>
      <c r="O63" s="20">
        <f>IF(A63="","",IFERROR(INDEX(Products!$AR$5:$AR$304,MATCH(A63,Products!$A$5:$A$304,0)),""))</f>
        <v>0</v>
      </c>
      <c r="P63" s="20">
        <f>IF(A63="","",IFERROR(INDEX(Products!$AE$5:$AE$304,MATCH(A63,Products!$A$5:$A$304,0)),""))</f>
        <v>0</v>
      </c>
      <c r="Q63" s="20">
        <f>IF(C63="","",IF(O63="","",ROUND(O63+IF(P63="",0,P63),2)))</f>
        <v>0</v>
      </c>
      <c r="R63" s="20">
        <f>IF(C63="","",IF(OR(Q63="",N63=0),"",ROUND(Q63-N63,2)))</f>
        <v>0</v>
      </c>
      <c r="S63" s="33">
        <f>IF(C63="","",IF(OR(Q63="",N63=0),"",Q63/N63-1))</f>
        <v>0</v>
      </c>
      <c r="T63" s="43">
        <f>IF(C63="","",IF(S63="","",IF(S63&gt;0.15,"Dearer",IF(S63&lt;-0.15,"Cheaper","Similar"))))</f>
        <v>0</v>
      </c>
      <c r="U63" s="32">
        <f>IF(C63="","",IF(K63="","",TodayDate-K63))</f>
        <v>0</v>
      </c>
      <c r="V63" s="43">
        <f>IF(C63="","",IF(F63="","Add - what do they charge?",IF(O63="","Check - your product has no price",IF(AND(U63&lt;&gt;"",U63&gt;180),"Check - research is over six months old",IF(AND(T63="Cheaper",H63="Below mine"),"Raise - better work, lower price",IF(T63="Dearer","Fine - make sure the listing shows why","OK"))))))</f>
        <v>0</v>
      </c>
    </row>
    <row r="64" spans="2:22">
      <c r="B64" s="13">
        <f>IF(A64="","",IFERROR(INDEX(Products!$B$5:$B$304,MATCH(A64,Products!$A$5:$A$304,0)),"Not found"))</f>
        <v>0</v>
      </c>
      <c r="N64" s="20">
        <f>IF(C64="","",ROUND(IF(F64="",0,F64)+IF(G64="",0,G64),2))</f>
        <v>0</v>
      </c>
      <c r="O64" s="20">
        <f>IF(A64="","",IFERROR(INDEX(Products!$AR$5:$AR$304,MATCH(A64,Products!$A$5:$A$304,0)),""))</f>
        <v>0</v>
      </c>
      <c r="P64" s="20">
        <f>IF(A64="","",IFERROR(INDEX(Products!$AE$5:$AE$304,MATCH(A64,Products!$A$5:$A$304,0)),""))</f>
        <v>0</v>
      </c>
      <c r="Q64" s="20">
        <f>IF(C64="","",IF(O64="","",ROUND(O64+IF(P64="",0,P64),2)))</f>
        <v>0</v>
      </c>
      <c r="R64" s="20">
        <f>IF(C64="","",IF(OR(Q64="",N64=0),"",ROUND(Q64-N64,2)))</f>
        <v>0</v>
      </c>
      <c r="S64" s="33">
        <f>IF(C64="","",IF(OR(Q64="",N64=0),"",Q64/N64-1))</f>
        <v>0</v>
      </c>
      <c r="T64" s="43">
        <f>IF(C64="","",IF(S64="","",IF(S64&gt;0.15,"Dearer",IF(S64&lt;-0.15,"Cheaper","Similar"))))</f>
        <v>0</v>
      </c>
      <c r="U64" s="32">
        <f>IF(C64="","",IF(K64="","",TodayDate-K64))</f>
        <v>0</v>
      </c>
      <c r="V64" s="43">
        <f>IF(C64="","",IF(F64="","Add - what do they charge?",IF(O64="","Check - your product has no price",IF(AND(U64&lt;&gt;"",U64&gt;180),"Check - research is over six months old",IF(AND(T64="Cheaper",H64="Below mine"),"Raise - better work, lower price",IF(T64="Dearer","Fine - make sure the listing shows why","OK"))))))</f>
        <v>0</v>
      </c>
    </row>
    <row r="65" spans="2:22">
      <c r="B65" s="13">
        <f>IF(A65="","",IFERROR(INDEX(Products!$B$5:$B$304,MATCH(A65,Products!$A$5:$A$304,0)),"Not found"))</f>
        <v>0</v>
      </c>
      <c r="N65" s="20">
        <f>IF(C65="","",ROUND(IF(F65="",0,F65)+IF(G65="",0,G65),2))</f>
        <v>0</v>
      </c>
      <c r="O65" s="20">
        <f>IF(A65="","",IFERROR(INDEX(Products!$AR$5:$AR$304,MATCH(A65,Products!$A$5:$A$304,0)),""))</f>
        <v>0</v>
      </c>
      <c r="P65" s="20">
        <f>IF(A65="","",IFERROR(INDEX(Products!$AE$5:$AE$304,MATCH(A65,Products!$A$5:$A$304,0)),""))</f>
        <v>0</v>
      </c>
      <c r="Q65" s="20">
        <f>IF(C65="","",IF(O65="","",ROUND(O65+IF(P65="",0,P65),2)))</f>
        <v>0</v>
      </c>
      <c r="R65" s="20">
        <f>IF(C65="","",IF(OR(Q65="",N65=0),"",ROUND(Q65-N65,2)))</f>
        <v>0</v>
      </c>
      <c r="S65" s="33">
        <f>IF(C65="","",IF(OR(Q65="",N65=0),"",Q65/N65-1))</f>
        <v>0</v>
      </c>
      <c r="T65" s="43">
        <f>IF(C65="","",IF(S65="","",IF(S65&gt;0.15,"Dearer",IF(S65&lt;-0.15,"Cheaper","Similar"))))</f>
        <v>0</v>
      </c>
      <c r="U65" s="32">
        <f>IF(C65="","",IF(K65="","",TodayDate-K65))</f>
        <v>0</v>
      </c>
      <c r="V65" s="43">
        <f>IF(C65="","",IF(F65="","Add - what do they charge?",IF(O65="","Check - your product has no price",IF(AND(U65&lt;&gt;"",U65&gt;180),"Check - research is over six months old",IF(AND(T65="Cheaper",H65="Below mine"),"Raise - better work, lower price",IF(T65="Dearer","Fine - make sure the listing shows why","OK"))))))</f>
        <v>0</v>
      </c>
    </row>
    <row r="66" spans="2:22">
      <c r="B66" s="13">
        <f>IF(A66="","",IFERROR(INDEX(Products!$B$5:$B$304,MATCH(A66,Products!$A$5:$A$304,0)),"Not found"))</f>
        <v>0</v>
      </c>
      <c r="N66" s="20">
        <f>IF(C66="","",ROUND(IF(F66="",0,F66)+IF(G66="",0,G66),2))</f>
        <v>0</v>
      </c>
      <c r="O66" s="20">
        <f>IF(A66="","",IFERROR(INDEX(Products!$AR$5:$AR$304,MATCH(A66,Products!$A$5:$A$304,0)),""))</f>
        <v>0</v>
      </c>
      <c r="P66" s="20">
        <f>IF(A66="","",IFERROR(INDEX(Products!$AE$5:$AE$304,MATCH(A66,Products!$A$5:$A$304,0)),""))</f>
        <v>0</v>
      </c>
      <c r="Q66" s="20">
        <f>IF(C66="","",IF(O66="","",ROUND(O66+IF(P66="",0,P66),2)))</f>
        <v>0</v>
      </c>
      <c r="R66" s="20">
        <f>IF(C66="","",IF(OR(Q66="",N66=0),"",ROUND(Q66-N66,2)))</f>
        <v>0</v>
      </c>
      <c r="S66" s="33">
        <f>IF(C66="","",IF(OR(Q66="",N66=0),"",Q66/N66-1))</f>
        <v>0</v>
      </c>
      <c r="T66" s="43">
        <f>IF(C66="","",IF(S66="","",IF(S66&gt;0.15,"Dearer",IF(S66&lt;-0.15,"Cheaper","Similar"))))</f>
        <v>0</v>
      </c>
      <c r="U66" s="32">
        <f>IF(C66="","",IF(K66="","",TodayDate-K66))</f>
        <v>0</v>
      </c>
      <c r="V66" s="43">
        <f>IF(C66="","",IF(F66="","Add - what do they charge?",IF(O66="","Check - your product has no price",IF(AND(U66&lt;&gt;"",U66&gt;180),"Check - research is over six months old",IF(AND(T66="Cheaper",H66="Below mine"),"Raise - better work, lower price",IF(T66="Dearer","Fine - make sure the listing shows why","OK"))))))</f>
        <v>0</v>
      </c>
    </row>
    <row r="67" spans="2:22">
      <c r="B67" s="13">
        <f>IF(A67="","",IFERROR(INDEX(Products!$B$5:$B$304,MATCH(A67,Products!$A$5:$A$304,0)),"Not found"))</f>
        <v>0</v>
      </c>
      <c r="N67" s="20">
        <f>IF(C67="","",ROUND(IF(F67="",0,F67)+IF(G67="",0,G67),2))</f>
        <v>0</v>
      </c>
      <c r="O67" s="20">
        <f>IF(A67="","",IFERROR(INDEX(Products!$AR$5:$AR$304,MATCH(A67,Products!$A$5:$A$304,0)),""))</f>
        <v>0</v>
      </c>
      <c r="P67" s="20">
        <f>IF(A67="","",IFERROR(INDEX(Products!$AE$5:$AE$304,MATCH(A67,Products!$A$5:$A$304,0)),""))</f>
        <v>0</v>
      </c>
      <c r="Q67" s="20">
        <f>IF(C67="","",IF(O67="","",ROUND(O67+IF(P67="",0,P67),2)))</f>
        <v>0</v>
      </c>
      <c r="R67" s="20">
        <f>IF(C67="","",IF(OR(Q67="",N67=0),"",ROUND(Q67-N67,2)))</f>
        <v>0</v>
      </c>
      <c r="S67" s="33">
        <f>IF(C67="","",IF(OR(Q67="",N67=0),"",Q67/N67-1))</f>
        <v>0</v>
      </c>
      <c r="T67" s="43">
        <f>IF(C67="","",IF(S67="","",IF(S67&gt;0.15,"Dearer",IF(S67&lt;-0.15,"Cheaper","Similar"))))</f>
        <v>0</v>
      </c>
      <c r="U67" s="32">
        <f>IF(C67="","",IF(K67="","",TodayDate-K67))</f>
        <v>0</v>
      </c>
      <c r="V67" s="43">
        <f>IF(C67="","",IF(F67="","Add - what do they charge?",IF(O67="","Check - your product has no price",IF(AND(U67&lt;&gt;"",U67&gt;180),"Check - research is over six months old",IF(AND(T67="Cheaper",H67="Below mine"),"Raise - better work, lower price",IF(T67="Dearer","Fine - make sure the listing shows why","OK"))))))</f>
        <v>0</v>
      </c>
    </row>
    <row r="68" spans="2:22">
      <c r="B68" s="13">
        <f>IF(A68="","",IFERROR(INDEX(Products!$B$5:$B$304,MATCH(A68,Products!$A$5:$A$304,0)),"Not found"))</f>
        <v>0</v>
      </c>
      <c r="N68" s="20">
        <f>IF(C68="","",ROUND(IF(F68="",0,F68)+IF(G68="",0,G68),2))</f>
        <v>0</v>
      </c>
      <c r="O68" s="20">
        <f>IF(A68="","",IFERROR(INDEX(Products!$AR$5:$AR$304,MATCH(A68,Products!$A$5:$A$304,0)),""))</f>
        <v>0</v>
      </c>
      <c r="P68" s="20">
        <f>IF(A68="","",IFERROR(INDEX(Products!$AE$5:$AE$304,MATCH(A68,Products!$A$5:$A$304,0)),""))</f>
        <v>0</v>
      </c>
      <c r="Q68" s="20">
        <f>IF(C68="","",IF(O68="","",ROUND(O68+IF(P68="",0,P68),2)))</f>
        <v>0</v>
      </c>
      <c r="R68" s="20">
        <f>IF(C68="","",IF(OR(Q68="",N68=0),"",ROUND(Q68-N68,2)))</f>
        <v>0</v>
      </c>
      <c r="S68" s="33">
        <f>IF(C68="","",IF(OR(Q68="",N68=0),"",Q68/N68-1))</f>
        <v>0</v>
      </c>
      <c r="T68" s="43">
        <f>IF(C68="","",IF(S68="","",IF(S68&gt;0.15,"Dearer",IF(S68&lt;-0.15,"Cheaper","Similar"))))</f>
        <v>0</v>
      </c>
      <c r="U68" s="32">
        <f>IF(C68="","",IF(K68="","",TodayDate-K68))</f>
        <v>0</v>
      </c>
      <c r="V68" s="43">
        <f>IF(C68="","",IF(F68="","Add - what do they charge?",IF(O68="","Check - your product has no price",IF(AND(U68&lt;&gt;"",U68&gt;180),"Check - research is over six months old",IF(AND(T68="Cheaper",H68="Below mine"),"Raise - better work, lower price",IF(T68="Dearer","Fine - make sure the listing shows why","OK"))))))</f>
        <v>0</v>
      </c>
    </row>
    <row r="69" spans="2:22">
      <c r="B69" s="13">
        <f>IF(A69="","",IFERROR(INDEX(Products!$B$5:$B$304,MATCH(A69,Products!$A$5:$A$304,0)),"Not found"))</f>
        <v>0</v>
      </c>
      <c r="N69" s="20">
        <f>IF(C69="","",ROUND(IF(F69="",0,F69)+IF(G69="",0,G69),2))</f>
        <v>0</v>
      </c>
      <c r="O69" s="20">
        <f>IF(A69="","",IFERROR(INDEX(Products!$AR$5:$AR$304,MATCH(A69,Products!$A$5:$A$304,0)),""))</f>
        <v>0</v>
      </c>
      <c r="P69" s="20">
        <f>IF(A69="","",IFERROR(INDEX(Products!$AE$5:$AE$304,MATCH(A69,Products!$A$5:$A$304,0)),""))</f>
        <v>0</v>
      </c>
      <c r="Q69" s="20">
        <f>IF(C69="","",IF(O69="","",ROUND(O69+IF(P69="",0,P69),2)))</f>
        <v>0</v>
      </c>
      <c r="R69" s="20">
        <f>IF(C69="","",IF(OR(Q69="",N69=0),"",ROUND(Q69-N69,2)))</f>
        <v>0</v>
      </c>
      <c r="S69" s="33">
        <f>IF(C69="","",IF(OR(Q69="",N69=0),"",Q69/N69-1))</f>
        <v>0</v>
      </c>
      <c r="T69" s="43">
        <f>IF(C69="","",IF(S69="","",IF(S69&gt;0.15,"Dearer",IF(S69&lt;-0.15,"Cheaper","Similar"))))</f>
        <v>0</v>
      </c>
      <c r="U69" s="32">
        <f>IF(C69="","",IF(K69="","",TodayDate-K69))</f>
        <v>0</v>
      </c>
      <c r="V69" s="43">
        <f>IF(C69="","",IF(F69="","Add - what do they charge?",IF(O69="","Check - your product has no price",IF(AND(U69&lt;&gt;"",U69&gt;180),"Check - research is over six months old",IF(AND(T69="Cheaper",H69="Below mine"),"Raise - better work, lower price",IF(T69="Dearer","Fine - make sure the listing shows why","OK"))))))</f>
        <v>0</v>
      </c>
    </row>
    <row r="70" spans="2:22">
      <c r="B70" s="13">
        <f>IF(A70="","",IFERROR(INDEX(Products!$B$5:$B$304,MATCH(A70,Products!$A$5:$A$304,0)),"Not found"))</f>
        <v>0</v>
      </c>
      <c r="N70" s="20">
        <f>IF(C70="","",ROUND(IF(F70="",0,F70)+IF(G70="",0,G70),2))</f>
        <v>0</v>
      </c>
      <c r="O70" s="20">
        <f>IF(A70="","",IFERROR(INDEX(Products!$AR$5:$AR$304,MATCH(A70,Products!$A$5:$A$304,0)),""))</f>
        <v>0</v>
      </c>
      <c r="P70" s="20">
        <f>IF(A70="","",IFERROR(INDEX(Products!$AE$5:$AE$304,MATCH(A70,Products!$A$5:$A$304,0)),""))</f>
        <v>0</v>
      </c>
      <c r="Q70" s="20">
        <f>IF(C70="","",IF(O70="","",ROUND(O70+IF(P70="",0,P70),2)))</f>
        <v>0</v>
      </c>
      <c r="R70" s="20">
        <f>IF(C70="","",IF(OR(Q70="",N70=0),"",ROUND(Q70-N70,2)))</f>
        <v>0</v>
      </c>
      <c r="S70" s="33">
        <f>IF(C70="","",IF(OR(Q70="",N70=0),"",Q70/N70-1))</f>
        <v>0</v>
      </c>
      <c r="T70" s="43">
        <f>IF(C70="","",IF(S70="","",IF(S70&gt;0.15,"Dearer",IF(S70&lt;-0.15,"Cheaper","Similar"))))</f>
        <v>0</v>
      </c>
      <c r="U70" s="32">
        <f>IF(C70="","",IF(K70="","",TodayDate-K70))</f>
        <v>0</v>
      </c>
      <c r="V70" s="43">
        <f>IF(C70="","",IF(F70="","Add - what do they charge?",IF(O70="","Check - your product has no price",IF(AND(U70&lt;&gt;"",U70&gt;180),"Check - research is over six months old",IF(AND(T70="Cheaper",H70="Below mine"),"Raise - better work, lower price",IF(T70="Dearer","Fine - make sure the listing shows why","OK"))))))</f>
        <v>0</v>
      </c>
    </row>
    <row r="71" spans="2:22">
      <c r="B71" s="13">
        <f>IF(A71="","",IFERROR(INDEX(Products!$B$5:$B$304,MATCH(A71,Products!$A$5:$A$304,0)),"Not found"))</f>
        <v>0</v>
      </c>
      <c r="N71" s="20">
        <f>IF(C71="","",ROUND(IF(F71="",0,F71)+IF(G71="",0,G71),2))</f>
        <v>0</v>
      </c>
      <c r="O71" s="20">
        <f>IF(A71="","",IFERROR(INDEX(Products!$AR$5:$AR$304,MATCH(A71,Products!$A$5:$A$304,0)),""))</f>
        <v>0</v>
      </c>
      <c r="P71" s="20">
        <f>IF(A71="","",IFERROR(INDEX(Products!$AE$5:$AE$304,MATCH(A71,Products!$A$5:$A$304,0)),""))</f>
        <v>0</v>
      </c>
      <c r="Q71" s="20">
        <f>IF(C71="","",IF(O71="","",ROUND(O71+IF(P71="",0,P71),2)))</f>
        <v>0</v>
      </c>
      <c r="R71" s="20">
        <f>IF(C71="","",IF(OR(Q71="",N71=0),"",ROUND(Q71-N71,2)))</f>
        <v>0</v>
      </c>
      <c r="S71" s="33">
        <f>IF(C71="","",IF(OR(Q71="",N71=0),"",Q71/N71-1))</f>
        <v>0</v>
      </c>
      <c r="T71" s="43">
        <f>IF(C71="","",IF(S71="","",IF(S71&gt;0.15,"Dearer",IF(S71&lt;-0.15,"Cheaper","Similar"))))</f>
        <v>0</v>
      </c>
      <c r="U71" s="32">
        <f>IF(C71="","",IF(K71="","",TodayDate-K71))</f>
        <v>0</v>
      </c>
      <c r="V71" s="43">
        <f>IF(C71="","",IF(F71="","Add - what do they charge?",IF(O71="","Check - your product has no price",IF(AND(U71&lt;&gt;"",U71&gt;180),"Check - research is over six months old",IF(AND(T71="Cheaper",H71="Below mine"),"Raise - better work, lower price",IF(T71="Dearer","Fine - make sure the listing shows why","OK"))))))</f>
        <v>0</v>
      </c>
    </row>
    <row r="72" spans="2:22">
      <c r="B72" s="13">
        <f>IF(A72="","",IFERROR(INDEX(Products!$B$5:$B$304,MATCH(A72,Products!$A$5:$A$304,0)),"Not found"))</f>
        <v>0</v>
      </c>
      <c r="N72" s="20">
        <f>IF(C72="","",ROUND(IF(F72="",0,F72)+IF(G72="",0,G72),2))</f>
        <v>0</v>
      </c>
      <c r="O72" s="20">
        <f>IF(A72="","",IFERROR(INDEX(Products!$AR$5:$AR$304,MATCH(A72,Products!$A$5:$A$304,0)),""))</f>
        <v>0</v>
      </c>
      <c r="P72" s="20">
        <f>IF(A72="","",IFERROR(INDEX(Products!$AE$5:$AE$304,MATCH(A72,Products!$A$5:$A$304,0)),""))</f>
        <v>0</v>
      </c>
      <c r="Q72" s="20">
        <f>IF(C72="","",IF(O72="","",ROUND(O72+IF(P72="",0,P72),2)))</f>
        <v>0</v>
      </c>
      <c r="R72" s="20">
        <f>IF(C72="","",IF(OR(Q72="",N72=0),"",ROUND(Q72-N72,2)))</f>
        <v>0</v>
      </c>
      <c r="S72" s="33">
        <f>IF(C72="","",IF(OR(Q72="",N72=0),"",Q72/N72-1))</f>
        <v>0</v>
      </c>
      <c r="T72" s="43">
        <f>IF(C72="","",IF(S72="","",IF(S72&gt;0.15,"Dearer",IF(S72&lt;-0.15,"Cheaper","Similar"))))</f>
        <v>0</v>
      </c>
      <c r="U72" s="32">
        <f>IF(C72="","",IF(K72="","",TodayDate-K72))</f>
        <v>0</v>
      </c>
      <c r="V72" s="43">
        <f>IF(C72="","",IF(F72="","Add - what do they charge?",IF(O72="","Check - your product has no price",IF(AND(U72&lt;&gt;"",U72&gt;180),"Check - research is over six months old",IF(AND(T72="Cheaper",H72="Below mine"),"Raise - better work, lower price",IF(T72="Dearer","Fine - make sure the listing shows why","OK"))))))</f>
        <v>0</v>
      </c>
    </row>
    <row r="73" spans="2:22">
      <c r="B73" s="13">
        <f>IF(A73="","",IFERROR(INDEX(Products!$B$5:$B$304,MATCH(A73,Products!$A$5:$A$304,0)),"Not found"))</f>
        <v>0</v>
      </c>
      <c r="N73" s="20">
        <f>IF(C73="","",ROUND(IF(F73="",0,F73)+IF(G73="",0,G73),2))</f>
        <v>0</v>
      </c>
      <c r="O73" s="20">
        <f>IF(A73="","",IFERROR(INDEX(Products!$AR$5:$AR$304,MATCH(A73,Products!$A$5:$A$304,0)),""))</f>
        <v>0</v>
      </c>
      <c r="P73" s="20">
        <f>IF(A73="","",IFERROR(INDEX(Products!$AE$5:$AE$304,MATCH(A73,Products!$A$5:$A$304,0)),""))</f>
        <v>0</v>
      </c>
      <c r="Q73" s="20">
        <f>IF(C73="","",IF(O73="","",ROUND(O73+IF(P73="",0,P73),2)))</f>
        <v>0</v>
      </c>
      <c r="R73" s="20">
        <f>IF(C73="","",IF(OR(Q73="",N73=0),"",ROUND(Q73-N73,2)))</f>
        <v>0</v>
      </c>
      <c r="S73" s="33">
        <f>IF(C73="","",IF(OR(Q73="",N73=0),"",Q73/N73-1))</f>
        <v>0</v>
      </c>
      <c r="T73" s="43">
        <f>IF(C73="","",IF(S73="","",IF(S73&gt;0.15,"Dearer",IF(S73&lt;-0.15,"Cheaper","Similar"))))</f>
        <v>0</v>
      </c>
      <c r="U73" s="32">
        <f>IF(C73="","",IF(K73="","",TodayDate-K73))</f>
        <v>0</v>
      </c>
      <c r="V73" s="43">
        <f>IF(C73="","",IF(F73="","Add - what do they charge?",IF(O73="","Check - your product has no price",IF(AND(U73&lt;&gt;"",U73&gt;180),"Check - research is over six months old",IF(AND(T73="Cheaper",H73="Below mine"),"Raise - better work, lower price",IF(T73="Dearer","Fine - make sure the listing shows why","OK"))))))</f>
        <v>0</v>
      </c>
    </row>
    <row r="74" spans="2:22">
      <c r="B74" s="13">
        <f>IF(A74="","",IFERROR(INDEX(Products!$B$5:$B$304,MATCH(A74,Products!$A$5:$A$304,0)),"Not found"))</f>
        <v>0</v>
      </c>
      <c r="N74" s="20">
        <f>IF(C74="","",ROUND(IF(F74="",0,F74)+IF(G74="",0,G74),2))</f>
        <v>0</v>
      </c>
      <c r="O74" s="20">
        <f>IF(A74="","",IFERROR(INDEX(Products!$AR$5:$AR$304,MATCH(A74,Products!$A$5:$A$304,0)),""))</f>
        <v>0</v>
      </c>
      <c r="P74" s="20">
        <f>IF(A74="","",IFERROR(INDEX(Products!$AE$5:$AE$304,MATCH(A74,Products!$A$5:$A$304,0)),""))</f>
        <v>0</v>
      </c>
      <c r="Q74" s="20">
        <f>IF(C74="","",IF(O74="","",ROUND(O74+IF(P74="",0,P74),2)))</f>
        <v>0</v>
      </c>
      <c r="R74" s="20">
        <f>IF(C74="","",IF(OR(Q74="",N74=0),"",ROUND(Q74-N74,2)))</f>
        <v>0</v>
      </c>
      <c r="S74" s="33">
        <f>IF(C74="","",IF(OR(Q74="",N74=0),"",Q74/N74-1))</f>
        <v>0</v>
      </c>
      <c r="T74" s="43">
        <f>IF(C74="","",IF(S74="","",IF(S74&gt;0.15,"Dearer",IF(S74&lt;-0.15,"Cheaper","Similar"))))</f>
        <v>0</v>
      </c>
      <c r="U74" s="32">
        <f>IF(C74="","",IF(K74="","",TodayDate-K74))</f>
        <v>0</v>
      </c>
      <c r="V74" s="43">
        <f>IF(C74="","",IF(F74="","Add - what do they charge?",IF(O74="","Check - your product has no price",IF(AND(U74&lt;&gt;"",U74&gt;180),"Check - research is over six months old",IF(AND(T74="Cheaper",H74="Below mine"),"Raise - better work, lower price",IF(T74="Dearer","Fine - make sure the listing shows why","OK"))))))</f>
        <v>0</v>
      </c>
    </row>
    <row r="75" spans="2:22">
      <c r="B75" s="13">
        <f>IF(A75="","",IFERROR(INDEX(Products!$B$5:$B$304,MATCH(A75,Products!$A$5:$A$304,0)),"Not found"))</f>
        <v>0</v>
      </c>
      <c r="N75" s="20">
        <f>IF(C75="","",ROUND(IF(F75="",0,F75)+IF(G75="",0,G75),2))</f>
        <v>0</v>
      </c>
      <c r="O75" s="20">
        <f>IF(A75="","",IFERROR(INDEX(Products!$AR$5:$AR$304,MATCH(A75,Products!$A$5:$A$304,0)),""))</f>
        <v>0</v>
      </c>
      <c r="P75" s="20">
        <f>IF(A75="","",IFERROR(INDEX(Products!$AE$5:$AE$304,MATCH(A75,Products!$A$5:$A$304,0)),""))</f>
        <v>0</v>
      </c>
      <c r="Q75" s="20">
        <f>IF(C75="","",IF(O75="","",ROUND(O75+IF(P75="",0,P75),2)))</f>
        <v>0</v>
      </c>
      <c r="R75" s="20">
        <f>IF(C75="","",IF(OR(Q75="",N75=0),"",ROUND(Q75-N75,2)))</f>
        <v>0</v>
      </c>
      <c r="S75" s="33">
        <f>IF(C75="","",IF(OR(Q75="",N75=0),"",Q75/N75-1))</f>
        <v>0</v>
      </c>
      <c r="T75" s="43">
        <f>IF(C75="","",IF(S75="","",IF(S75&gt;0.15,"Dearer",IF(S75&lt;-0.15,"Cheaper","Similar"))))</f>
        <v>0</v>
      </c>
      <c r="U75" s="32">
        <f>IF(C75="","",IF(K75="","",TodayDate-K75))</f>
        <v>0</v>
      </c>
      <c r="V75" s="43">
        <f>IF(C75="","",IF(F75="","Add - what do they charge?",IF(O75="","Check - your product has no price",IF(AND(U75&lt;&gt;"",U75&gt;180),"Check - research is over six months old",IF(AND(T75="Cheaper",H75="Below mine"),"Raise - better work, lower price",IF(T75="Dearer","Fine - make sure the listing shows why","OK"))))))</f>
        <v>0</v>
      </c>
    </row>
    <row r="76" spans="2:22">
      <c r="B76" s="13">
        <f>IF(A76="","",IFERROR(INDEX(Products!$B$5:$B$304,MATCH(A76,Products!$A$5:$A$304,0)),"Not found"))</f>
        <v>0</v>
      </c>
      <c r="N76" s="20">
        <f>IF(C76="","",ROUND(IF(F76="",0,F76)+IF(G76="",0,G76),2))</f>
        <v>0</v>
      </c>
      <c r="O76" s="20">
        <f>IF(A76="","",IFERROR(INDEX(Products!$AR$5:$AR$304,MATCH(A76,Products!$A$5:$A$304,0)),""))</f>
        <v>0</v>
      </c>
      <c r="P76" s="20">
        <f>IF(A76="","",IFERROR(INDEX(Products!$AE$5:$AE$304,MATCH(A76,Products!$A$5:$A$304,0)),""))</f>
        <v>0</v>
      </c>
      <c r="Q76" s="20">
        <f>IF(C76="","",IF(O76="","",ROUND(O76+IF(P76="",0,P76),2)))</f>
        <v>0</v>
      </c>
      <c r="R76" s="20">
        <f>IF(C76="","",IF(OR(Q76="",N76=0),"",ROUND(Q76-N76,2)))</f>
        <v>0</v>
      </c>
      <c r="S76" s="33">
        <f>IF(C76="","",IF(OR(Q76="",N76=0),"",Q76/N76-1))</f>
        <v>0</v>
      </c>
      <c r="T76" s="43">
        <f>IF(C76="","",IF(S76="","",IF(S76&gt;0.15,"Dearer",IF(S76&lt;-0.15,"Cheaper","Similar"))))</f>
        <v>0</v>
      </c>
      <c r="U76" s="32">
        <f>IF(C76="","",IF(K76="","",TodayDate-K76))</f>
        <v>0</v>
      </c>
      <c r="V76" s="43">
        <f>IF(C76="","",IF(F76="","Add - what do they charge?",IF(O76="","Check - your product has no price",IF(AND(U76&lt;&gt;"",U76&gt;180),"Check - research is over six months old",IF(AND(T76="Cheaper",H76="Below mine"),"Raise - better work, lower price",IF(T76="Dearer","Fine - make sure the listing shows why","OK"))))))</f>
        <v>0</v>
      </c>
    </row>
    <row r="77" spans="2:22">
      <c r="B77" s="13">
        <f>IF(A77="","",IFERROR(INDEX(Products!$B$5:$B$304,MATCH(A77,Products!$A$5:$A$304,0)),"Not found"))</f>
        <v>0</v>
      </c>
      <c r="N77" s="20">
        <f>IF(C77="","",ROUND(IF(F77="",0,F77)+IF(G77="",0,G77),2))</f>
        <v>0</v>
      </c>
      <c r="O77" s="20">
        <f>IF(A77="","",IFERROR(INDEX(Products!$AR$5:$AR$304,MATCH(A77,Products!$A$5:$A$304,0)),""))</f>
        <v>0</v>
      </c>
      <c r="P77" s="20">
        <f>IF(A77="","",IFERROR(INDEX(Products!$AE$5:$AE$304,MATCH(A77,Products!$A$5:$A$304,0)),""))</f>
        <v>0</v>
      </c>
      <c r="Q77" s="20">
        <f>IF(C77="","",IF(O77="","",ROUND(O77+IF(P77="",0,P77),2)))</f>
        <v>0</v>
      </c>
      <c r="R77" s="20">
        <f>IF(C77="","",IF(OR(Q77="",N77=0),"",ROUND(Q77-N77,2)))</f>
        <v>0</v>
      </c>
      <c r="S77" s="33">
        <f>IF(C77="","",IF(OR(Q77="",N77=0),"",Q77/N77-1))</f>
        <v>0</v>
      </c>
      <c r="T77" s="43">
        <f>IF(C77="","",IF(S77="","",IF(S77&gt;0.15,"Dearer",IF(S77&lt;-0.15,"Cheaper","Similar"))))</f>
        <v>0</v>
      </c>
      <c r="U77" s="32">
        <f>IF(C77="","",IF(K77="","",TodayDate-K77))</f>
        <v>0</v>
      </c>
      <c r="V77" s="43">
        <f>IF(C77="","",IF(F77="","Add - what do they charge?",IF(O77="","Check - your product has no price",IF(AND(U77&lt;&gt;"",U77&gt;180),"Check - research is over six months old",IF(AND(T77="Cheaper",H77="Below mine"),"Raise - better work, lower price",IF(T77="Dearer","Fine - make sure the listing shows why","OK"))))))</f>
        <v>0</v>
      </c>
    </row>
    <row r="78" spans="2:22">
      <c r="B78" s="13">
        <f>IF(A78="","",IFERROR(INDEX(Products!$B$5:$B$304,MATCH(A78,Products!$A$5:$A$304,0)),"Not found"))</f>
        <v>0</v>
      </c>
      <c r="N78" s="20">
        <f>IF(C78="","",ROUND(IF(F78="",0,F78)+IF(G78="",0,G78),2))</f>
        <v>0</v>
      </c>
      <c r="O78" s="20">
        <f>IF(A78="","",IFERROR(INDEX(Products!$AR$5:$AR$304,MATCH(A78,Products!$A$5:$A$304,0)),""))</f>
        <v>0</v>
      </c>
      <c r="P78" s="20">
        <f>IF(A78="","",IFERROR(INDEX(Products!$AE$5:$AE$304,MATCH(A78,Products!$A$5:$A$304,0)),""))</f>
        <v>0</v>
      </c>
      <c r="Q78" s="20">
        <f>IF(C78="","",IF(O78="","",ROUND(O78+IF(P78="",0,P78),2)))</f>
        <v>0</v>
      </c>
      <c r="R78" s="20">
        <f>IF(C78="","",IF(OR(Q78="",N78=0),"",ROUND(Q78-N78,2)))</f>
        <v>0</v>
      </c>
      <c r="S78" s="33">
        <f>IF(C78="","",IF(OR(Q78="",N78=0),"",Q78/N78-1))</f>
        <v>0</v>
      </c>
      <c r="T78" s="43">
        <f>IF(C78="","",IF(S78="","",IF(S78&gt;0.15,"Dearer",IF(S78&lt;-0.15,"Cheaper","Similar"))))</f>
        <v>0</v>
      </c>
      <c r="U78" s="32">
        <f>IF(C78="","",IF(K78="","",TodayDate-K78))</f>
        <v>0</v>
      </c>
      <c r="V78" s="43">
        <f>IF(C78="","",IF(F78="","Add - what do they charge?",IF(O78="","Check - your product has no price",IF(AND(U78&lt;&gt;"",U78&gt;180),"Check - research is over six months old",IF(AND(T78="Cheaper",H78="Below mine"),"Raise - better work, lower price",IF(T78="Dearer","Fine - make sure the listing shows why","OK"))))))</f>
        <v>0</v>
      </c>
    </row>
    <row r="79" spans="2:22">
      <c r="B79" s="13">
        <f>IF(A79="","",IFERROR(INDEX(Products!$B$5:$B$304,MATCH(A79,Products!$A$5:$A$304,0)),"Not found"))</f>
        <v>0</v>
      </c>
      <c r="N79" s="20">
        <f>IF(C79="","",ROUND(IF(F79="",0,F79)+IF(G79="",0,G79),2))</f>
        <v>0</v>
      </c>
      <c r="O79" s="20">
        <f>IF(A79="","",IFERROR(INDEX(Products!$AR$5:$AR$304,MATCH(A79,Products!$A$5:$A$304,0)),""))</f>
        <v>0</v>
      </c>
      <c r="P79" s="20">
        <f>IF(A79="","",IFERROR(INDEX(Products!$AE$5:$AE$304,MATCH(A79,Products!$A$5:$A$304,0)),""))</f>
        <v>0</v>
      </c>
      <c r="Q79" s="20">
        <f>IF(C79="","",IF(O79="","",ROUND(O79+IF(P79="",0,P79),2)))</f>
        <v>0</v>
      </c>
      <c r="R79" s="20">
        <f>IF(C79="","",IF(OR(Q79="",N79=0),"",ROUND(Q79-N79,2)))</f>
        <v>0</v>
      </c>
      <c r="S79" s="33">
        <f>IF(C79="","",IF(OR(Q79="",N79=0),"",Q79/N79-1))</f>
        <v>0</v>
      </c>
      <c r="T79" s="43">
        <f>IF(C79="","",IF(S79="","",IF(S79&gt;0.15,"Dearer",IF(S79&lt;-0.15,"Cheaper","Similar"))))</f>
        <v>0</v>
      </c>
      <c r="U79" s="32">
        <f>IF(C79="","",IF(K79="","",TodayDate-K79))</f>
        <v>0</v>
      </c>
      <c r="V79" s="43">
        <f>IF(C79="","",IF(F79="","Add - what do they charge?",IF(O79="","Check - your product has no price",IF(AND(U79&lt;&gt;"",U79&gt;180),"Check - research is over six months old",IF(AND(T79="Cheaper",H79="Below mine"),"Raise - better work, lower price",IF(T79="Dearer","Fine - make sure the listing shows why","OK"))))))</f>
        <v>0</v>
      </c>
    </row>
    <row r="80" spans="2:22">
      <c r="B80" s="13">
        <f>IF(A80="","",IFERROR(INDEX(Products!$B$5:$B$304,MATCH(A80,Products!$A$5:$A$304,0)),"Not found"))</f>
        <v>0</v>
      </c>
      <c r="N80" s="20">
        <f>IF(C80="","",ROUND(IF(F80="",0,F80)+IF(G80="",0,G80),2))</f>
        <v>0</v>
      </c>
      <c r="O80" s="20">
        <f>IF(A80="","",IFERROR(INDEX(Products!$AR$5:$AR$304,MATCH(A80,Products!$A$5:$A$304,0)),""))</f>
        <v>0</v>
      </c>
      <c r="P80" s="20">
        <f>IF(A80="","",IFERROR(INDEX(Products!$AE$5:$AE$304,MATCH(A80,Products!$A$5:$A$304,0)),""))</f>
        <v>0</v>
      </c>
      <c r="Q80" s="20">
        <f>IF(C80="","",IF(O80="","",ROUND(O80+IF(P80="",0,P80),2)))</f>
        <v>0</v>
      </c>
      <c r="R80" s="20">
        <f>IF(C80="","",IF(OR(Q80="",N80=0),"",ROUND(Q80-N80,2)))</f>
        <v>0</v>
      </c>
      <c r="S80" s="33">
        <f>IF(C80="","",IF(OR(Q80="",N80=0),"",Q80/N80-1))</f>
        <v>0</v>
      </c>
      <c r="T80" s="43">
        <f>IF(C80="","",IF(S80="","",IF(S80&gt;0.15,"Dearer",IF(S80&lt;-0.15,"Cheaper","Similar"))))</f>
        <v>0</v>
      </c>
      <c r="U80" s="32">
        <f>IF(C80="","",IF(K80="","",TodayDate-K80))</f>
        <v>0</v>
      </c>
      <c r="V80" s="43">
        <f>IF(C80="","",IF(F80="","Add - what do they charge?",IF(O80="","Check - your product has no price",IF(AND(U80&lt;&gt;"",U80&gt;180),"Check - research is over six months old",IF(AND(T80="Cheaper",H80="Below mine"),"Raise - better work, lower price",IF(T80="Dearer","Fine - make sure the listing shows why","OK"))))))</f>
        <v>0</v>
      </c>
    </row>
    <row r="81" spans="2:22">
      <c r="B81" s="13">
        <f>IF(A81="","",IFERROR(INDEX(Products!$B$5:$B$304,MATCH(A81,Products!$A$5:$A$304,0)),"Not found"))</f>
        <v>0</v>
      </c>
      <c r="N81" s="20">
        <f>IF(C81="","",ROUND(IF(F81="",0,F81)+IF(G81="",0,G81),2))</f>
        <v>0</v>
      </c>
      <c r="O81" s="20">
        <f>IF(A81="","",IFERROR(INDEX(Products!$AR$5:$AR$304,MATCH(A81,Products!$A$5:$A$304,0)),""))</f>
        <v>0</v>
      </c>
      <c r="P81" s="20">
        <f>IF(A81="","",IFERROR(INDEX(Products!$AE$5:$AE$304,MATCH(A81,Products!$A$5:$A$304,0)),""))</f>
        <v>0</v>
      </c>
      <c r="Q81" s="20">
        <f>IF(C81="","",IF(O81="","",ROUND(O81+IF(P81="",0,P81),2)))</f>
        <v>0</v>
      </c>
      <c r="R81" s="20">
        <f>IF(C81="","",IF(OR(Q81="",N81=0),"",ROUND(Q81-N81,2)))</f>
        <v>0</v>
      </c>
      <c r="S81" s="33">
        <f>IF(C81="","",IF(OR(Q81="",N81=0),"",Q81/N81-1))</f>
        <v>0</v>
      </c>
      <c r="T81" s="43">
        <f>IF(C81="","",IF(S81="","",IF(S81&gt;0.15,"Dearer",IF(S81&lt;-0.15,"Cheaper","Similar"))))</f>
        <v>0</v>
      </c>
      <c r="U81" s="32">
        <f>IF(C81="","",IF(K81="","",TodayDate-K81))</f>
        <v>0</v>
      </c>
      <c r="V81" s="43">
        <f>IF(C81="","",IF(F81="","Add - what do they charge?",IF(O81="","Check - your product has no price",IF(AND(U81&lt;&gt;"",U81&gt;180),"Check - research is over six months old",IF(AND(T81="Cheaper",H81="Below mine"),"Raise - better work, lower price",IF(T81="Dearer","Fine - make sure the listing shows why","OK"))))))</f>
        <v>0</v>
      </c>
    </row>
    <row r="82" spans="2:22">
      <c r="B82" s="13">
        <f>IF(A82="","",IFERROR(INDEX(Products!$B$5:$B$304,MATCH(A82,Products!$A$5:$A$304,0)),"Not found"))</f>
        <v>0</v>
      </c>
      <c r="N82" s="20">
        <f>IF(C82="","",ROUND(IF(F82="",0,F82)+IF(G82="",0,G82),2))</f>
        <v>0</v>
      </c>
      <c r="O82" s="20">
        <f>IF(A82="","",IFERROR(INDEX(Products!$AR$5:$AR$304,MATCH(A82,Products!$A$5:$A$304,0)),""))</f>
        <v>0</v>
      </c>
      <c r="P82" s="20">
        <f>IF(A82="","",IFERROR(INDEX(Products!$AE$5:$AE$304,MATCH(A82,Products!$A$5:$A$304,0)),""))</f>
        <v>0</v>
      </c>
      <c r="Q82" s="20">
        <f>IF(C82="","",IF(O82="","",ROUND(O82+IF(P82="",0,P82),2)))</f>
        <v>0</v>
      </c>
      <c r="R82" s="20">
        <f>IF(C82="","",IF(OR(Q82="",N82=0),"",ROUND(Q82-N82,2)))</f>
        <v>0</v>
      </c>
      <c r="S82" s="33">
        <f>IF(C82="","",IF(OR(Q82="",N82=0),"",Q82/N82-1))</f>
        <v>0</v>
      </c>
      <c r="T82" s="43">
        <f>IF(C82="","",IF(S82="","",IF(S82&gt;0.15,"Dearer",IF(S82&lt;-0.15,"Cheaper","Similar"))))</f>
        <v>0</v>
      </c>
      <c r="U82" s="32">
        <f>IF(C82="","",IF(K82="","",TodayDate-K82))</f>
        <v>0</v>
      </c>
      <c r="V82" s="43">
        <f>IF(C82="","",IF(F82="","Add - what do they charge?",IF(O82="","Check - your product has no price",IF(AND(U82&lt;&gt;"",U82&gt;180),"Check - research is over six months old",IF(AND(T82="Cheaper",H82="Below mine"),"Raise - better work, lower price",IF(T82="Dearer","Fine - make sure the listing shows why","OK"))))))</f>
        <v>0</v>
      </c>
    </row>
    <row r="83" spans="2:22">
      <c r="B83" s="13">
        <f>IF(A83="","",IFERROR(INDEX(Products!$B$5:$B$304,MATCH(A83,Products!$A$5:$A$304,0)),"Not found"))</f>
        <v>0</v>
      </c>
      <c r="N83" s="20">
        <f>IF(C83="","",ROUND(IF(F83="",0,F83)+IF(G83="",0,G83),2))</f>
        <v>0</v>
      </c>
      <c r="O83" s="20">
        <f>IF(A83="","",IFERROR(INDEX(Products!$AR$5:$AR$304,MATCH(A83,Products!$A$5:$A$304,0)),""))</f>
        <v>0</v>
      </c>
      <c r="P83" s="20">
        <f>IF(A83="","",IFERROR(INDEX(Products!$AE$5:$AE$304,MATCH(A83,Products!$A$5:$A$304,0)),""))</f>
        <v>0</v>
      </c>
      <c r="Q83" s="20">
        <f>IF(C83="","",IF(O83="","",ROUND(O83+IF(P83="",0,P83),2)))</f>
        <v>0</v>
      </c>
      <c r="R83" s="20">
        <f>IF(C83="","",IF(OR(Q83="",N83=0),"",ROUND(Q83-N83,2)))</f>
        <v>0</v>
      </c>
      <c r="S83" s="33">
        <f>IF(C83="","",IF(OR(Q83="",N83=0),"",Q83/N83-1))</f>
        <v>0</v>
      </c>
      <c r="T83" s="43">
        <f>IF(C83="","",IF(S83="","",IF(S83&gt;0.15,"Dearer",IF(S83&lt;-0.15,"Cheaper","Similar"))))</f>
        <v>0</v>
      </c>
      <c r="U83" s="32">
        <f>IF(C83="","",IF(K83="","",TodayDate-K83))</f>
        <v>0</v>
      </c>
      <c r="V83" s="43">
        <f>IF(C83="","",IF(F83="","Add - what do they charge?",IF(O83="","Check - your product has no price",IF(AND(U83&lt;&gt;"",U83&gt;180),"Check - research is over six months old",IF(AND(T83="Cheaper",H83="Below mine"),"Raise - better work, lower price",IF(T83="Dearer","Fine - make sure the listing shows why","OK"))))))</f>
        <v>0</v>
      </c>
    </row>
    <row r="84" spans="2:22">
      <c r="B84" s="13">
        <f>IF(A84="","",IFERROR(INDEX(Products!$B$5:$B$304,MATCH(A84,Products!$A$5:$A$304,0)),"Not found"))</f>
        <v>0</v>
      </c>
      <c r="N84" s="20">
        <f>IF(C84="","",ROUND(IF(F84="",0,F84)+IF(G84="",0,G84),2))</f>
        <v>0</v>
      </c>
      <c r="O84" s="20">
        <f>IF(A84="","",IFERROR(INDEX(Products!$AR$5:$AR$304,MATCH(A84,Products!$A$5:$A$304,0)),""))</f>
        <v>0</v>
      </c>
      <c r="P84" s="20">
        <f>IF(A84="","",IFERROR(INDEX(Products!$AE$5:$AE$304,MATCH(A84,Products!$A$5:$A$304,0)),""))</f>
        <v>0</v>
      </c>
      <c r="Q84" s="20">
        <f>IF(C84="","",IF(O84="","",ROUND(O84+IF(P84="",0,P84),2)))</f>
        <v>0</v>
      </c>
      <c r="R84" s="20">
        <f>IF(C84="","",IF(OR(Q84="",N84=0),"",ROUND(Q84-N84,2)))</f>
        <v>0</v>
      </c>
      <c r="S84" s="33">
        <f>IF(C84="","",IF(OR(Q84="",N84=0),"",Q84/N84-1))</f>
        <v>0</v>
      </c>
      <c r="T84" s="43">
        <f>IF(C84="","",IF(S84="","",IF(S84&gt;0.15,"Dearer",IF(S84&lt;-0.15,"Cheaper","Similar"))))</f>
        <v>0</v>
      </c>
      <c r="U84" s="32">
        <f>IF(C84="","",IF(K84="","",TodayDate-K84))</f>
        <v>0</v>
      </c>
      <c r="V84" s="43">
        <f>IF(C84="","",IF(F84="","Add - what do they charge?",IF(O84="","Check - your product has no price",IF(AND(U84&lt;&gt;"",U84&gt;180),"Check - research is over six months old",IF(AND(T84="Cheaper",H84="Below mine"),"Raise - better work, lower price",IF(T84="Dearer","Fine - make sure the listing shows why","OK"))))))</f>
        <v>0</v>
      </c>
    </row>
    <row r="85" spans="2:22">
      <c r="B85" s="13">
        <f>IF(A85="","",IFERROR(INDEX(Products!$B$5:$B$304,MATCH(A85,Products!$A$5:$A$304,0)),"Not found"))</f>
        <v>0</v>
      </c>
      <c r="N85" s="20">
        <f>IF(C85="","",ROUND(IF(F85="",0,F85)+IF(G85="",0,G85),2))</f>
        <v>0</v>
      </c>
      <c r="O85" s="20">
        <f>IF(A85="","",IFERROR(INDEX(Products!$AR$5:$AR$304,MATCH(A85,Products!$A$5:$A$304,0)),""))</f>
        <v>0</v>
      </c>
      <c r="P85" s="20">
        <f>IF(A85="","",IFERROR(INDEX(Products!$AE$5:$AE$304,MATCH(A85,Products!$A$5:$A$304,0)),""))</f>
        <v>0</v>
      </c>
      <c r="Q85" s="20">
        <f>IF(C85="","",IF(O85="","",ROUND(O85+IF(P85="",0,P85),2)))</f>
        <v>0</v>
      </c>
      <c r="R85" s="20">
        <f>IF(C85="","",IF(OR(Q85="",N85=0),"",ROUND(Q85-N85,2)))</f>
        <v>0</v>
      </c>
      <c r="S85" s="33">
        <f>IF(C85="","",IF(OR(Q85="",N85=0),"",Q85/N85-1))</f>
        <v>0</v>
      </c>
      <c r="T85" s="43">
        <f>IF(C85="","",IF(S85="","",IF(S85&gt;0.15,"Dearer",IF(S85&lt;-0.15,"Cheaper","Similar"))))</f>
        <v>0</v>
      </c>
      <c r="U85" s="32">
        <f>IF(C85="","",IF(K85="","",TodayDate-K85))</f>
        <v>0</v>
      </c>
      <c r="V85" s="43">
        <f>IF(C85="","",IF(F85="","Add - what do they charge?",IF(O85="","Check - your product has no price",IF(AND(U85&lt;&gt;"",U85&gt;180),"Check - research is over six months old",IF(AND(T85="Cheaper",H85="Below mine"),"Raise - better work, lower price",IF(T85="Dearer","Fine - make sure the listing shows why","OK"))))))</f>
        <v>0</v>
      </c>
    </row>
    <row r="86" spans="2:22">
      <c r="B86" s="13">
        <f>IF(A86="","",IFERROR(INDEX(Products!$B$5:$B$304,MATCH(A86,Products!$A$5:$A$304,0)),"Not found"))</f>
        <v>0</v>
      </c>
      <c r="N86" s="20">
        <f>IF(C86="","",ROUND(IF(F86="",0,F86)+IF(G86="",0,G86),2))</f>
        <v>0</v>
      </c>
      <c r="O86" s="20">
        <f>IF(A86="","",IFERROR(INDEX(Products!$AR$5:$AR$304,MATCH(A86,Products!$A$5:$A$304,0)),""))</f>
        <v>0</v>
      </c>
      <c r="P86" s="20">
        <f>IF(A86="","",IFERROR(INDEX(Products!$AE$5:$AE$304,MATCH(A86,Products!$A$5:$A$304,0)),""))</f>
        <v>0</v>
      </c>
      <c r="Q86" s="20">
        <f>IF(C86="","",IF(O86="","",ROUND(O86+IF(P86="",0,P86),2)))</f>
        <v>0</v>
      </c>
      <c r="R86" s="20">
        <f>IF(C86="","",IF(OR(Q86="",N86=0),"",ROUND(Q86-N86,2)))</f>
        <v>0</v>
      </c>
      <c r="S86" s="33">
        <f>IF(C86="","",IF(OR(Q86="",N86=0),"",Q86/N86-1))</f>
        <v>0</v>
      </c>
      <c r="T86" s="43">
        <f>IF(C86="","",IF(S86="","",IF(S86&gt;0.15,"Dearer",IF(S86&lt;-0.15,"Cheaper","Similar"))))</f>
        <v>0</v>
      </c>
      <c r="U86" s="32">
        <f>IF(C86="","",IF(K86="","",TodayDate-K86))</f>
        <v>0</v>
      </c>
      <c r="V86" s="43">
        <f>IF(C86="","",IF(F86="","Add - what do they charge?",IF(O86="","Check - your product has no price",IF(AND(U86&lt;&gt;"",U86&gt;180),"Check - research is over six months old",IF(AND(T86="Cheaper",H86="Below mine"),"Raise - better work, lower price",IF(T86="Dearer","Fine - make sure the listing shows why","OK"))))))</f>
        <v>0</v>
      </c>
    </row>
    <row r="87" spans="2:22">
      <c r="B87" s="13">
        <f>IF(A87="","",IFERROR(INDEX(Products!$B$5:$B$304,MATCH(A87,Products!$A$5:$A$304,0)),"Not found"))</f>
        <v>0</v>
      </c>
      <c r="N87" s="20">
        <f>IF(C87="","",ROUND(IF(F87="",0,F87)+IF(G87="",0,G87),2))</f>
        <v>0</v>
      </c>
      <c r="O87" s="20">
        <f>IF(A87="","",IFERROR(INDEX(Products!$AR$5:$AR$304,MATCH(A87,Products!$A$5:$A$304,0)),""))</f>
        <v>0</v>
      </c>
      <c r="P87" s="20">
        <f>IF(A87="","",IFERROR(INDEX(Products!$AE$5:$AE$304,MATCH(A87,Products!$A$5:$A$304,0)),""))</f>
        <v>0</v>
      </c>
      <c r="Q87" s="20">
        <f>IF(C87="","",IF(O87="","",ROUND(O87+IF(P87="",0,P87),2)))</f>
        <v>0</v>
      </c>
      <c r="R87" s="20">
        <f>IF(C87="","",IF(OR(Q87="",N87=0),"",ROUND(Q87-N87,2)))</f>
        <v>0</v>
      </c>
      <c r="S87" s="33">
        <f>IF(C87="","",IF(OR(Q87="",N87=0),"",Q87/N87-1))</f>
        <v>0</v>
      </c>
      <c r="T87" s="43">
        <f>IF(C87="","",IF(S87="","",IF(S87&gt;0.15,"Dearer",IF(S87&lt;-0.15,"Cheaper","Similar"))))</f>
        <v>0</v>
      </c>
      <c r="U87" s="32">
        <f>IF(C87="","",IF(K87="","",TodayDate-K87))</f>
        <v>0</v>
      </c>
      <c r="V87" s="43">
        <f>IF(C87="","",IF(F87="","Add - what do they charge?",IF(O87="","Check - your product has no price",IF(AND(U87&lt;&gt;"",U87&gt;180),"Check - research is over six months old",IF(AND(T87="Cheaper",H87="Below mine"),"Raise - better work, lower price",IF(T87="Dearer","Fine - make sure the listing shows why","OK"))))))</f>
        <v>0</v>
      </c>
    </row>
    <row r="88" spans="2:22">
      <c r="B88" s="13">
        <f>IF(A88="","",IFERROR(INDEX(Products!$B$5:$B$304,MATCH(A88,Products!$A$5:$A$304,0)),"Not found"))</f>
        <v>0</v>
      </c>
      <c r="N88" s="20">
        <f>IF(C88="","",ROUND(IF(F88="",0,F88)+IF(G88="",0,G88),2))</f>
        <v>0</v>
      </c>
      <c r="O88" s="20">
        <f>IF(A88="","",IFERROR(INDEX(Products!$AR$5:$AR$304,MATCH(A88,Products!$A$5:$A$304,0)),""))</f>
        <v>0</v>
      </c>
      <c r="P88" s="20">
        <f>IF(A88="","",IFERROR(INDEX(Products!$AE$5:$AE$304,MATCH(A88,Products!$A$5:$A$304,0)),""))</f>
        <v>0</v>
      </c>
      <c r="Q88" s="20">
        <f>IF(C88="","",IF(O88="","",ROUND(O88+IF(P88="",0,P88),2)))</f>
        <v>0</v>
      </c>
      <c r="R88" s="20">
        <f>IF(C88="","",IF(OR(Q88="",N88=0),"",ROUND(Q88-N88,2)))</f>
        <v>0</v>
      </c>
      <c r="S88" s="33">
        <f>IF(C88="","",IF(OR(Q88="",N88=0),"",Q88/N88-1))</f>
        <v>0</v>
      </c>
      <c r="T88" s="43">
        <f>IF(C88="","",IF(S88="","",IF(S88&gt;0.15,"Dearer",IF(S88&lt;-0.15,"Cheaper","Similar"))))</f>
        <v>0</v>
      </c>
      <c r="U88" s="32">
        <f>IF(C88="","",IF(K88="","",TodayDate-K88))</f>
        <v>0</v>
      </c>
      <c r="V88" s="43">
        <f>IF(C88="","",IF(F88="","Add - what do they charge?",IF(O88="","Check - your product has no price",IF(AND(U88&lt;&gt;"",U88&gt;180),"Check - research is over six months old",IF(AND(T88="Cheaper",H88="Below mine"),"Raise - better work, lower price",IF(T88="Dearer","Fine - make sure the listing shows why","OK"))))))</f>
        <v>0</v>
      </c>
    </row>
    <row r="89" spans="2:22">
      <c r="B89" s="13">
        <f>IF(A89="","",IFERROR(INDEX(Products!$B$5:$B$304,MATCH(A89,Products!$A$5:$A$304,0)),"Not found"))</f>
        <v>0</v>
      </c>
      <c r="N89" s="20">
        <f>IF(C89="","",ROUND(IF(F89="",0,F89)+IF(G89="",0,G89),2))</f>
        <v>0</v>
      </c>
      <c r="O89" s="20">
        <f>IF(A89="","",IFERROR(INDEX(Products!$AR$5:$AR$304,MATCH(A89,Products!$A$5:$A$304,0)),""))</f>
        <v>0</v>
      </c>
      <c r="P89" s="20">
        <f>IF(A89="","",IFERROR(INDEX(Products!$AE$5:$AE$304,MATCH(A89,Products!$A$5:$A$304,0)),""))</f>
        <v>0</v>
      </c>
      <c r="Q89" s="20">
        <f>IF(C89="","",IF(O89="","",ROUND(O89+IF(P89="",0,P89),2)))</f>
        <v>0</v>
      </c>
      <c r="R89" s="20">
        <f>IF(C89="","",IF(OR(Q89="",N89=0),"",ROUND(Q89-N89,2)))</f>
        <v>0</v>
      </c>
      <c r="S89" s="33">
        <f>IF(C89="","",IF(OR(Q89="",N89=0),"",Q89/N89-1))</f>
        <v>0</v>
      </c>
      <c r="T89" s="43">
        <f>IF(C89="","",IF(S89="","",IF(S89&gt;0.15,"Dearer",IF(S89&lt;-0.15,"Cheaper","Similar"))))</f>
        <v>0</v>
      </c>
      <c r="U89" s="32">
        <f>IF(C89="","",IF(K89="","",TodayDate-K89))</f>
        <v>0</v>
      </c>
      <c r="V89" s="43">
        <f>IF(C89="","",IF(F89="","Add - what do they charge?",IF(O89="","Check - your product has no price",IF(AND(U89&lt;&gt;"",U89&gt;180),"Check - research is over six months old",IF(AND(T89="Cheaper",H89="Below mine"),"Raise - better work, lower price",IF(T89="Dearer","Fine - make sure the listing shows why","OK"))))))</f>
        <v>0</v>
      </c>
    </row>
    <row r="90" spans="2:22">
      <c r="B90" s="13">
        <f>IF(A90="","",IFERROR(INDEX(Products!$B$5:$B$304,MATCH(A90,Products!$A$5:$A$304,0)),"Not found"))</f>
        <v>0</v>
      </c>
      <c r="N90" s="20">
        <f>IF(C90="","",ROUND(IF(F90="",0,F90)+IF(G90="",0,G90),2))</f>
        <v>0</v>
      </c>
      <c r="O90" s="20">
        <f>IF(A90="","",IFERROR(INDEX(Products!$AR$5:$AR$304,MATCH(A90,Products!$A$5:$A$304,0)),""))</f>
        <v>0</v>
      </c>
      <c r="P90" s="20">
        <f>IF(A90="","",IFERROR(INDEX(Products!$AE$5:$AE$304,MATCH(A90,Products!$A$5:$A$304,0)),""))</f>
        <v>0</v>
      </c>
      <c r="Q90" s="20">
        <f>IF(C90="","",IF(O90="","",ROUND(O90+IF(P90="",0,P90),2)))</f>
        <v>0</v>
      </c>
      <c r="R90" s="20">
        <f>IF(C90="","",IF(OR(Q90="",N90=0),"",ROUND(Q90-N90,2)))</f>
        <v>0</v>
      </c>
      <c r="S90" s="33">
        <f>IF(C90="","",IF(OR(Q90="",N90=0),"",Q90/N90-1))</f>
        <v>0</v>
      </c>
      <c r="T90" s="43">
        <f>IF(C90="","",IF(S90="","",IF(S90&gt;0.15,"Dearer",IF(S90&lt;-0.15,"Cheaper","Similar"))))</f>
        <v>0</v>
      </c>
      <c r="U90" s="32">
        <f>IF(C90="","",IF(K90="","",TodayDate-K90))</f>
        <v>0</v>
      </c>
      <c r="V90" s="43">
        <f>IF(C90="","",IF(F90="","Add - what do they charge?",IF(O90="","Check - your product has no price",IF(AND(U90&lt;&gt;"",U90&gt;180),"Check - research is over six months old",IF(AND(T90="Cheaper",H90="Below mine"),"Raise - better work, lower price",IF(T90="Dearer","Fine - make sure the listing shows why","OK"))))))</f>
        <v>0</v>
      </c>
    </row>
    <row r="91" spans="2:22">
      <c r="B91" s="13">
        <f>IF(A91="","",IFERROR(INDEX(Products!$B$5:$B$304,MATCH(A91,Products!$A$5:$A$304,0)),"Not found"))</f>
        <v>0</v>
      </c>
      <c r="N91" s="20">
        <f>IF(C91="","",ROUND(IF(F91="",0,F91)+IF(G91="",0,G91),2))</f>
        <v>0</v>
      </c>
      <c r="O91" s="20">
        <f>IF(A91="","",IFERROR(INDEX(Products!$AR$5:$AR$304,MATCH(A91,Products!$A$5:$A$304,0)),""))</f>
        <v>0</v>
      </c>
      <c r="P91" s="20">
        <f>IF(A91="","",IFERROR(INDEX(Products!$AE$5:$AE$304,MATCH(A91,Products!$A$5:$A$304,0)),""))</f>
        <v>0</v>
      </c>
      <c r="Q91" s="20">
        <f>IF(C91="","",IF(O91="","",ROUND(O91+IF(P91="",0,P91),2)))</f>
        <v>0</v>
      </c>
      <c r="R91" s="20">
        <f>IF(C91="","",IF(OR(Q91="",N91=0),"",ROUND(Q91-N91,2)))</f>
        <v>0</v>
      </c>
      <c r="S91" s="33">
        <f>IF(C91="","",IF(OR(Q91="",N91=0),"",Q91/N91-1))</f>
        <v>0</v>
      </c>
      <c r="T91" s="43">
        <f>IF(C91="","",IF(S91="","",IF(S91&gt;0.15,"Dearer",IF(S91&lt;-0.15,"Cheaper","Similar"))))</f>
        <v>0</v>
      </c>
      <c r="U91" s="32">
        <f>IF(C91="","",IF(K91="","",TodayDate-K91))</f>
        <v>0</v>
      </c>
      <c r="V91" s="43">
        <f>IF(C91="","",IF(F91="","Add - what do they charge?",IF(O91="","Check - your product has no price",IF(AND(U91&lt;&gt;"",U91&gt;180),"Check - research is over six months old",IF(AND(T91="Cheaper",H91="Below mine"),"Raise - better work, lower price",IF(T91="Dearer","Fine - make sure the listing shows why","OK"))))))</f>
        <v>0</v>
      </c>
    </row>
    <row r="92" spans="2:22">
      <c r="B92" s="13">
        <f>IF(A92="","",IFERROR(INDEX(Products!$B$5:$B$304,MATCH(A92,Products!$A$5:$A$304,0)),"Not found"))</f>
        <v>0</v>
      </c>
      <c r="N92" s="20">
        <f>IF(C92="","",ROUND(IF(F92="",0,F92)+IF(G92="",0,G92),2))</f>
        <v>0</v>
      </c>
      <c r="O92" s="20">
        <f>IF(A92="","",IFERROR(INDEX(Products!$AR$5:$AR$304,MATCH(A92,Products!$A$5:$A$304,0)),""))</f>
        <v>0</v>
      </c>
      <c r="P92" s="20">
        <f>IF(A92="","",IFERROR(INDEX(Products!$AE$5:$AE$304,MATCH(A92,Products!$A$5:$A$304,0)),""))</f>
        <v>0</v>
      </c>
      <c r="Q92" s="20">
        <f>IF(C92="","",IF(O92="","",ROUND(O92+IF(P92="",0,P92),2)))</f>
        <v>0</v>
      </c>
      <c r="R92" s="20">
        <f>IF(C92="","",IF(OR(Q92="",N92=0),"",ROUND(Q92-N92,2)))</f>
        <v>0</v>
      </c>
      <c r="S92" s="33">
        <f>IF(C92="","",IF(OR(Q92="",N92=0),"",Q92/N92-1))</f>
        <v>0</v>
      </c>
      <c r="T92" s="43">
        <f>IF(C92="","",IF(S92="","",IF(S92&gt;0.15,"Dearer",IF(S92&lt;-0.15,"Cheaper","Similar"))))</f>
        <v>0</v>
      </c>
      <c r="U92" s="32">
        <f>IF(C92="","",IF(K92="","",TodayDate-K92))</f>
        <v>0</v>
      </c>
      <c r="V92" s="43">
        <f>IF(C92="","",IF(F92="","Add - what do they charge?",IF(O92="","Check - your product has no price",IF(AND(U92&lt;&gt;"",U92&gt;180),"Check - research is over six months old",IF(AND(T92="Cheaper",H92="Below mine"),"Raise - better work, lower price",IF(T92="Dearer","Fine - make sure the listing shows why","OK"))))))</f>
        <v>0</v>
      </c>
    </row>
    <row r="93" spans="2:22">
      <c r="B93" s="13">
        <f>IF(A93="","",IFERROR(INDEX(Products!$B$5:$B$304,MATCH(A93,Products!$A$5:$A$304,0)),"Not found"))</f>
        <v>0</v>
      </c>
      <c r="N93" s="20">
        <f>IF(C93="","",ROUND(IF(F93="",0,F93)+IF(G93="",0,G93),2))</f>
        <v>0</v>
      </c>
      <c r="O93" s="20">
        <f>IF(A93="","",IFERROR(INDEX(Products!$AR$5:$AR$304,MATCH(A93,Products!$A$5:$A$304,0)),""))</f>
        <v>0</v>
      </c>
      <c r="P93" s="20">
        <f>IF(A93="","",IFERROR(INDEX(Products!$AE$5:$AE$304,MATCH(A93,Products!$A$5:$A$304,0)),""))</f>
        <v>0</v>
      </c>
      <c r="Q93" s="20">
        <f>IF(C93="","",IF(O93="","",ROUND(O93+IF(P93="",0,P93),2)))</f>
        <v>0</v>
      </c>
      <c r="R93" s="20">
        <f>IF(C93="","",IF(OR(Q93="",N93=0),"",ROUND(Q93-N93,2)))</f>
        <v>0</v>
      </c>
      <c r="S93" s="33">
        <f>IF(C93="","",IF(OR(Q93="",N93=0),"",Q93/N93-1))</f>
        <v>0</v>
      </c>
      <c r="T93" s="43">
        <f>IF(C93="","",IF(S93="","",IF(S93&gt;0.15,"Dearer",IF(S93&lt;-0.15,"Cheaper","Similar"))))</f>
        <v>0</v>
      </c>
      <c r="U93" s="32">
        <f>IF(C93="","",IF(K93="","",TodayDate-K93))</f>
        <v>0</v>
      </c>
      <c r="V93" s="43">
        <f>IF(C93="","",IF(F93="","Add - what do they charge?",IF(O93="","Check - your product has no price",IF(AND(U93&lt;&gt;"",U93&gt;180),"Check - research is over six months old",IF(AND(T93="Cheaper",H93="Below mine"),"Raise - better work, lower price",IF(T93="Dearer","Fine - make sure the listing shows why","OK"))))))</f>
        <v>0</v>
      </c>
    </row>
    <row r="94" spans="2:22">
      <c r="B94" s="13">
        <f>IF(A94="","",IFERROR(INDEX(Products!$B$5:$B$304,MATCH(A94,Products!$A$5:$A$304,0)),"Not found"))</f>
        <v>0</v>
      </c>
      <c r="N94" s="20">
        <f>IF(C94="","",ROUND(IF(F94="",0,F94)+IF(G94="",0,G94),2))</f>
        <v>0</v>
      </c>
      <c r="O94" s="20">
        <f>IF(A94="","",IFERROR(INDEX(Products!$AR$5:$AR$304,MATCH(A94,Products!$A$5:$A$304,0)),""))</f>
        <v>0</v>
      </c>
      <c r="P94" s="20">
        <f>IF(A94="","",IFERROR(INDEX(Products!$AE$5:$AE$304,MATCH(A94,Products!$A$5:$A$304,0)),""))</f>
        <v>0</v>
      </c>
      <c r="Q94" s="20">
        <f>IF(C94="","",IF(O94="","",ROUND(O94+IF(P94="",0,P94),2)))</f>
        <v>0</v>
      </c>
      <c r="R94" s="20">
        <f>IF(C94="","",IF(OR(Q94="",N94=0),"",ROUND(Q94-N94,2)))</f>
        <v>0</v>
      </c>
      <c r="S94" s="33">
        <f>IF(C94="","",IF(OR(Q94="",N94=0),"",Q94/N94-1))</f>
        <v>0</v>
      </c>
      <c r="T94" s="43">
        <f>IF(C94="","",IF(S94="","",IF(S94&gt;0.15,"Dearer",IF(S94&lt;-0.15,"Cheaper","Similar"))))</f>
        <v>0</v>
      </c>
      <c r="U94" s="32">
        <f>IF(C94="","",IF(K94="","",TodayDate-K94))</f>
        <v>0</v>
      </c>
      <c r="V94" s="43">
        <f>IF(C94="","",IF(F94="","Add - what do they charge?",IF(O94="","Check - your product has no price",IF(AND(U94&lt;&gt;"",U94&gt;180),"Check - research is over six months old",IF(AND(T94="Cheaper",H94="Below mine"),"Raise - better work, lower price",IF(T94="Dearer","Fine - make sure the listing shows why","OK"))))))</f>
        <v>0</v>
      </c>
    </row>
    <row r="95" spans="2:22">
      <c r="B95" s="13">
        <f>IF(A95="","",IFERROR(INDEX(Products!$B$5:$B$304,MATCH(A95,Products!$A$5:$A$304,0)),"Not found"))</f>
        <v>0</v>
      </c>
      <c r="N95" s="20">
        <f>IF(C95="","",ROUND(IF(F95="",0,F95)+IF(G95="",0,G95),2))</f>
        <v>0</v>
      </c>
      <c r="O95" s="20">
        <f>IF(A95="","",IFERROR(INDEX(Products!$AR$5:$AR$304,MATCH(A95,Products!$A$5:$A$304,0)),""))</f>
        <v>0</v>
      </c>
      <c r="P95" s="20">
        <f>IF(A95="","",IFERROR(INDEX(Products!$AE$5:$AE$304,MATCH(A95,Products!$A$5:$A$304,0)),""))</f>
        <v>0</v>
      </c>
      <c r="Q95" s="20">
        <f>IF(C95="","",IF(O95="","",ROUND(O95+IF(P95="",0,P95),2)))</f>
        <v>0</v>
      </c>
      <c r="R95" s="20">
        <f>IF(C95="","",IF(OR(Q95="",N95=0),"",ROUND(Q95-N95,2)))</f>
        <v>0</v>
      </c>
      <c r="S95" s="33">
        <f>IF(C95="","",IF(OR(Q95="",N95=0),"",Q95/N95-1))</f>
        <v>0</v>
      </c>
      <c r="T95" s="43">
        <f>IF(C95="","",IF(S95="","",IF(S95&gt;0.15,"Dearer",IF(S95&lt;-0.15,"Cheaper","Similar"))))</f>
        <v>0</v>
      </c>
      <c r="U95" s="32">
        <f>IF(C95="","",IF(K95="","",TodayDate-K95))</f>
        <v>0</v>
      </c>
      <c r="V95" s="43">
        <f>IF(C95="","",IF(F95="","Add - what do they charge?",IF(O95="","Check - your product has no price",IF(AND(U95&lt;&gt;"",U95&gt;180),"Check - research is over six months old",IF(AND(T95="Cheaper",H95="Below mine"),"Raise - better work, lower price",IF(T95="Dearer","Fine - make sure the listing shows why","OK"))))))</f>
        <v>0</v>
      </c>
    </row>
    <row r="96" spans="2:22">
      <c r="B96" s="13">
        <f>IF(A96="","",IFERROR(INDEX(Products!$B$5:$B$304,MATCH(A96,Products!$A$5:$A$304,0)),"Not found"))</f>
        <v>0</v>
      </c>
      <c r="N96" s="20">
        <f>IF(C96="","",ROUND(IF(F96="",0,F96)+IF(G96="",0,G96),2))</f>
        <v>0</v>
      </c>
      <c r="O96" s="20">
        <f>IF(A96="","",IFERROR(INDEX(Products!$AR$5:$AR$304,MATCH(A96,Products!$A$5:$A$304,0)),""))</f>
        <v>0</v>
      </c>
      <c r="P96" s="20">
        <f>IF(A96="","",IFERROR(INDEX(Products!$AE$5:$AE$304,MATCH(A96,Products!$A$5:$A$304,0)),""))</f>
        <v>0</v>
      </c>
      <c r="Q96" s="20">
        <f>IF(C96="","",IF(O96="","",ROUND(O96+IF(P96="",0,P96),2)))</f>
        <v>0</v>
      </c>
      <c r="R96" s="20">
        <f>IF(C96="","",IF(OR(Q96="",N96=0),"",ROUND(Q96-N96,2)))</f>
        <v>0</v>
      </c>
      <c r="S96" s="33">
        <f>IF(C96="","",IF(OR(Q96="",N96=0),"",Q96/N96-1))</f>
        <v>0</v>
      </c>
      <c r="T96" s="43">
        <f>IF(C96="","",IF(S96="","",IF(S96&gt;0.15,"Dearer",IF(S96&lt;-0.15,"Cheaper","Similar"))))</f>
        <v>0</v>
      </c>
      <c r="U96" s="32">
        <f>IF(C96="","",IF(K96="","",TodayDate-K96))</f>
        <v>0</v>
      </c>
      <c r="V96" s="43">
        <f>IF(C96="","",IF(F96="","Add - what do they charge?",IF(O96="","Check - your product has no price",IF(AND(U96&lt;&gt;"",U96&gt;180),"Check - research is over six months old",IF(AND(T96="Cheaper",H96="Below mine"),"Raise - better work, lower price",IF(T96="Dearer","Fine - make sure the listing shows why","OK"))))))</f>
        <v>0</v>
      </c>
    </row>
    <row r="97" spans="2:22">
      <c r="B97" s="13">
        <f>IF(A97="","",IFERROR(INDEX(Products!$B$5:$B$304,MATCH(A97,Products!$A$5:$A$304,0)),"Not found"))</f>
        <v>0</v>
      </c>
      <c r="N97" s="20">
        <f>IF(C97="","",ROUND(IF(F97="",0,F97)+IF(G97="",0,G97),2))</f>
        <v>0</v>
      </c>
      <c r="O97" s="20">
        <f>IF(A97="","",IFERROR(INDEX(Products!$AR$5:$AR$304,MATCH(A97,Products!$A$5:$A$304,0)),""))</f>
        <v>0</v>
      </c>
      <c r="P97" s="20">
        <f>IF(A97="","",IFERROR(INDEX(Products!$AE$5:$AE$304,MATCH(A97,Products!$A$5:$A$304,0)),""))</f>
        <v>0</v>
      </c>
      <c r="Q97" s="20">
        <f>IF(C97="","",IF(O97="","",ROUND(O97+IF(P97="",0,P97),2)))</f>
        <v>0</v>
      </c>
      <c r="R97" s="20">
        <f>IF(C97="","",IF(OR(Q97="",N97=0),"",ROUND(Q97-N97,2)))</f>
        <v>0</v>
      </c>
      <c r="S97" s="33">
        <f>IF(C97="","",IF(OR(Q97="",N97=0),"",Q97/N97-1))</f>
        <v>0</v>
      </c>
      <c r="T97" s="43">
        <f>IF(C97="","",IF(S97="","",IF(S97&gt;0.15,"Dearer",IF(S97&lt;-0.15,"Cheaper","Similar"))))</f>
        <v>0</v>
      </c>
      <c r="U97" s="32">
        <f>IF(C97="","",IF(K97="","",TodayDate-K97))</f>
        <v>0</v>
      </c>
      <c r="V97" s="43">
        <f>IF(C97="","",IF(F97="","Add - what do they charge?",IF(O97="","Check - your product has no price",IF(AND(U97&lt;&gt;"",U97&gt;180),"Check - research is over six months old",IF(AND(T97="Cheaper",H97="Below mine"),"Raise - better work, lower price",IF(T97="Dearer","Fine - make sure the listing shows why","OK"))))))</f>
        <v>0</v>
      </c>
    </row>
    <row r="98" spans="2:22">
      <c r="B98" s="13">
        <f>IF(A98="","",IFERROR(INDEX(Products!$B$5:$B$304,MATCH(A98,Products!$A$5:$A$304,0)),"Not found"))</f>
        <v>0</v>
      </c>
      <c r="N98" s="20">
        <f>IF(C98="","",ROUND(IF(F98="",0,F98)+IF(G98="",0,G98),2))</f>
        <v>0</v>
      </c>
      <c r="O98" s="20">
        <f>IF(A98="","",IFERROR(INDEX(Products!$AR$5:$AR$304,MATCH(A98,Products!$A$5:$A$304,0)),""))</f>
        <v>0</v>
      </c>
      <c r="P98" s="20">
        <f>IF(A98="","",IFERROR(INDEX(Products!$AE$5:$AE$304,MATCH(A98,Products!$A$5:$A$304,0)),""))</f>
        <v>0</v>
      </c>
      <c r="Q98" s="20">
        <f>IF(C98="","",IF(O98="","",ROUND(O98+IF(P98="",0,P98),2)))</f>
        <v>0</v>
      </c>
      <c r="R98" s="20">
        <f>IF(C98="","",IF(OR(Q98="",N98=0),"",ROUND(Q98-N98,2)))</f>
        <v>0</v>
      </c>
      <c r="S98" s="33">
        <f>IF(C98="","",IF(OR(Q98="",N98=0),"",Q98/N98-1))</f>
        <v>0</v>
      </c>
      <c r="T98" s="43">
        <f>IF(C98="","",IF(S98="","",IF(S98&gt;0.15,"Dearer",IF(S98&lt;-0.15,"Cheaper","Similar"))))</f>
        <v>0</v>
      </c>
      <c r="U98" s="32">
        <f>IF(C98="","",IF(K98="","",TodayDate-K98))</f>
        <v>0</v>
      </c>
      <c r="V98" s="43">
        <f>IF(C98="","",IF(F98="","Add - what do they charge?",IF(O98="","Check - your product has no price",IF(AND(U98&lt;&gt;"",U98&gt;180),"Check - research is over six months old",IF(AND(T98="Cheaper",H98="Below mine"),"Raise - better work, lower price",IF(T98="Dearer","Fine - make sure the listing shows why","OK"))))))</f>
        <v>0</v>
      </c>
    </row>
    <row r="99" spans="2:22">
      <c r="B99" s="13">
        <f>IF(A99="","",IFERROR(INDEX(Products!$B$5:$B$304,MATCH(A99,Products!$A$5:$A$304,0)),"Not found"))</f>
        <v>0</v>
      </c>
      <c r="N99" s="20">
        <f>IF(C99="","",ROUND(IF(F99="",0,F99)+IF(G99="",0,G99),2))</f>
        <v>0</v>
      </c>
      <c r="O99" s="20">
        <f>IF(A99="","",IFERROR(INDEX(Products!$AR$5:$AR$304,MATCH(A99,Products!$A$5:$A$304,0)),""))</f>
        <v>0</v>
      </c>
      <c r="P99" s="20">
        <f>IF(A99="","",IFERROR(INDEX(Products!$AE$5:$AE$304,MATCH(A99,Products!$A$5:$A$304,0)),""))</f>
        <v>0</v>
      </c>
      <c r="Q99" s="20">
        <f>IF(C99="","",IF(O99="","",ROUND(O99+IF(P99="",0,P99),2)))</f>
        <v>0</v>
      </c>
      <c r="R99" s="20">
        <f>IF(C99="","",IF(OR(Q99="",N99=0),"",ROUND(Q99-N99,2)))</f>
        <v>0</v>
      </c>
      <c r="S99" s="33">
        <f>IF(C99="","",IF(OR(Q99="",N99=0),"",Q99/N99-1))</f>
        <v>0</v>
      </c>
      <c r="T99" s="43">
        <f>IF(C99="","",IF(S99="","",IF(S99&gt;0.15,"Dearer",IF(S99&lt;-0.15,"Cheaper","Similar"))))</f>
        <v>0</v>
      </c>
      <c r="U99" s="32">
        <f>IF(C99="","",IF(K99="","",TodayDate-K99))</f>
        <v>0</v>
      </c>
      <c r="V99" s="43">
        <f>IF(C99="","",IF(F99="","Add - what do they charge?",IF(O99="","Check - your product has no price",IF(AND(U99&lt;&gt;"",U99&gt;180),"Check - research is over six months old",IF(AND(T99="Cheaper",H99="Below mine"),"Raise - better work, lower price",IF(T99="Dearer","Fine - make sure the listing shows why","OK"))))))</f>
        <v>0</v>
      </c>
    </row>
    <row r="100" spans="2:22">
      <c r="B100" s="13">
        <f>IF(A100="","",IFERROR(INDEX(Products!$B$5:$B$304,MATCH(A100,Products!$A$5:$A$304,0)),"Not found"))</f>
        <v>0</v>
      </c>
      <c r="N100" s="20">
        <f>IF(C100="","",ROUND(IF(F100="",0,F100)+IF(G100="",0,G100),2))</f>
        <v>0</v>
      </c>
      <c r="O100" s="20">
        <f>IF(A100="","",IFERROR(INDEX(Products!$AR$5:$AR$304,MATCH(A100,Products!$A$5:$A$304,0)),""))</f>
        <v>0</v>
      </c>
      <c r="P100" s="20">
        <f>IF(A100="","",IFERROR(INDEX(Products!$AE$5:$AE$304,MATCH(A100,Products!$A$5:$A$304,0)),""))</f>
        <v>0</v>
      </c>
      <c r="Q100" s="20">
        <f>IF(C100="","",IF(O100="","",ROUND(O100+IF(P100="",0,P100),2)))</f>
        <v>0</v>
      </c>
      <c r="R100" s="20">
        <f>IF(C100="","",IF(OR(Q100="",N100=0),"",ROUND(Q100-N100,2)))</f>
        <v>0</v>
      </c>
      <c r="S100" s="33">
        <f>IF(C100="","",IF(OR(Q100="",N100=0),"",Q100/N100-1))</f>
        <v>0</v>
      </c>
      <c r="T100" s="43">
        <f>IF(C100="","",IF(S100="","",IF(S100&gt;0.15,"Dearer",IF(S100&lt;-0.15,"Cheaper","Similar"))))</f>
        <v>0</v>
      </c>
      <c r="U100" s="32">
        <f>IF(C100="","",IF(K100="","",TodayDate-K100))</f>
        <v>0</v>
      </c>
      <c r="V100" s="43">
        <f>IF(C100="","",IF(F100="","Add - what do they charge?",IF(O100="","Check - your product has no price",IF(AND(U100&lt;&gt;"",U100&gt;180),"Check - research is over six months old",IF(AND(T100="Cheaper",H100="Below mine"),"Raise - better work, lower price",IF(T100="Dearer","Fine - make sure the listing shows why","OK"))))))</f>
        <v>0</v>
      </c>
    </row>
    <row r="101" spans="2:22">
      <c r="B101" s="13">
        <f>IF(A101="","",IFERROR(INDEX(Products!$B$5:$B$304,MATCH(A101,Products!$A$5:$A$304,0)),"Not found"))</f>
        <v>0</v>
      </c>
      <c r="N101" s="20">
        <f>IF(C101="","",ROUND(IF(F101="",0,F101)+IF(G101="",0,G101),2))</f>
        <v>0</v>
      </c>
      <c r="O101" s="20">
        <f>IF(A101="","",IFERROR(INDEX(Products!$AR$5:$AR$304,MATCH(A101,Products!$A$5:$A$304,0)),""))</f>
        <v>0</v>
      </c>
      <c r="P101" s="20">
        <f>IF(A101="","",IFERROR(INDEX(Products!$AE$5:$AE$304,MATCH(A101,Products!$A$5:$A$304,0)),""))</f>
        <v>0</v>
      </c>
      <c r="Q101" s="20">
        <f>IF(C101="","",IF(O101="","",ROUND(O101+IF(P101="",0,P101),2)))</f>
        <v>0</v>
      </c>
      <c r="R101" s="20">
        <f>IF(C101="","",IF(OR(Q101="",N101=0),"",ROUND(Q101-N101,2)))</f>
        <v>0</v>
      </c>
      <c r="S101" s="33">
        <f>IF(C101="","",IF(OR(Q101="",N101=0),"",Q101/N101-1))</f>
        <v>0</v>
      </c>
      <c r="T101" s="43">
        <f>IF(C101="","",IF(S101="","",IF(S101&gt;0.15,"Dearer",IF(S101&lt;-0.15,"Cheaper","Similar"))))</f>
        <v>0</v>
      </c>
      <c r="U101" s="32">
        <f>IF(C101="","",IF(K101="","",TodayDate-K101))</f>
        <v>0</v>
      </c>
      <c r="V101" s="43">
        <f>IF(C101="","",IF(F101="","Add - what do they charge?",IF(O101="","Check - your product has no price",IF(AND(U101&lt;&gt;"",U101&gt;180),"Check - research is over six months old",IF(AND(T101="Cheaper",H101="Below mine"),"Raise - better work, lower price",IF(T101="Dearer","Fine - make sure the listing shows why","OK"))))))</f>
        <v>0</v>
      </c>
    </row>
    <row r="102" spans="2:22">
      <c r="B102" s="13">
        <f>IF(A102="","",IFERROR(INDEX(Products!$B$5:$B$304,MATCH(A102,Products!$A$5:$A$304,0)),"Not found"))</f>
        <v>0</v>
      </c>
      <c r="N102" s="20">
        <f>IF(C102="","",ROUND(IF(F102="",0,F102)+IF(G102="",0,G102),2))</f>
        <v>0</v>
      </c>
      <c r="O102" s="20">
        <f>IF(A102="","",IFERROR(INDEX(Products!$AR$5:$AR$304,MATCH(A102,Products!$A$5:$A$304,0)),""))</f>
        <v>0</v>
      </c>
      <c r="P102" s="20">
        <f>IF(A102="","",IFERROR(INDEX(Products!$AE$5:$AE$304,MATCH(A102,Products!$A$5:$A$304,0)),""))</f>
        <v>0</v>
      </c>
      <c r="Q102" s="20">
        <f>IF(C102="","",IF(O102="","",ROUND(O102+IF(P102="",0,P102),2)))</f>
        <v>0</v>
      </c>
      <c r="R102" s="20">
        <f>IF(C102="","",IF(OR(Q102="",N102=0),"",ROUND(Q102-N102,2)))</f>
        <v>0</v>
      </c>
      <c r="S102" s="33">
        <f>IF(C102="","",IF(OR(Q102="",N102=0),"",Q102/N102-1))</f>
        <v>0</v>
      </c>
      <c r="T102" s="43">
        <f>IF(C102="","",IF(S102="","",IF(S102&gt;0.15,"Dearer",IF(S102&lt;-0.15,"Cheaper","Similar"))))</f>
        <v>0</v>
      </c>
      <c r="U102" s="32">
        <f>IF(C102="","",IF(K102="","",TodayDate-K102))</f>
        <v>0</v>
      </c>
      <c r="V102" s="43">
        <f>IF(C102="","",IF(F102="","Add - what do they charge?",IF(O102="","Check - your product has no price",IF(AND(U102&lt;&gt;"",U102&gt;180),"Check - research is over six months old",IF(AND(T102="Cheaper",H102="Below mine"),"Raise - better work, lower price",IF(T102="Dearer","Fine - make sure the listing shows why","OK"))))))</f>
        <v>0</v>
      </c>
    </row>
    <row r="103" spans="2:22">
      <c r="B103" s="13">
        <f>IF(A103="","",IFERROR(INDEX(Products!$B$5:$B$304,MATCH(A103,Products!$A$5:$A$304,0)),"Not found"))</f>
        <v>0</v>
      </c>
      <c r="N103" s="20">
        <f>IF(C103="","",ROUND(IF(F103="",0,F103)+IF(G103="",0,G103),2))</f>
        <v>0</v>
      </c>
      <c r="O103" s="20">
        <f>IF(A103="","",IFERROR(INDEX(Products!$AR$5:$AR$304,MATCH(A103,Products!$A$5:$A$304,0)),""))</f>
        <v>0</v>
      </c>
      <c r="P103" s="20">
        <f>IF(A103="","",IFERROR(INDEX(Products!$AE$5:$AE$304,MATCH(A103,Products!$A$5:$A$304,0)),""))</f>
        <v>0</v>
      </c>
      <c r="Q103" s="20">
        <f>IF(C103="","",IF(O103="","",ROUND(O103+IF(P103="",0,P103),2)))</f>
        <v>0</v>
      </c>
      <c r="R103" s="20">
        <f>IF(C103="","",IF(OR(Q103="",N103=0),"",ROUND(Q103-N103,2)))</f>
        <v>0</v>
      </c>
      <c r="S103" s="33">
        <f>IF(C103="","",IF(OR(Q103="",N103=0),"",Q103/N103-1))</f>
        <v>0</v>
      </c>
      <c r="T103" s="43">
        <f>IF(C103="","",IF(S103="","",IF(S103&gt;0.15,"Dearer",IF(S103&lt;-0.15,"Cheaper","Similar"))))</f>
        <v>0</v>
      </c>
      <c r="U103" s="32">
        <f>IF(C103="","",IF(K103="","",TodayDate-K103))</f>
        <v>0</v>
      </c>
      <c r="V103" s="43">
        <f>IF(C103="","",IF(F103="","Add - what do they charge?",IF(O103="","Check - your product has no price",IF(AND(U103&lt;&gt;"",U103&gt;180),"Check - research is over six months old",IF(AND(T103="Cheaper",H103="Below mine"),"Raise - better work, lower price",IF(T103="Dearer","Fine - make sure the listing shows why","OK"))))))</f>
        <v>0</v>
      </c>
    </row>
    <row r="104" spans="2:22">
      <c r="B104" s="13">
        <f>IF(A104="","",IFERROR(INDEX(Products!$B$5:$B$304,MATCH(A104,Products!$A$5:$A$304,0)),"Not found"))</f>
        <v>0</v>
      </c>
      <c r="N104" s="20">
        <f>IF(C104="","",ROUND(IF(F104="",0,F104)+IF(G104="",0,G104),2))</f>
        <v>0</v>
      </c>
      <c r="O104" s="20">
        <f>IF(A104="","",IFERROR(INDEX(Products!$AR$5:$AR$304,MATCH(A104,Products!$A$5:$A$304,0)),""))</f>
        <v>0</v>
      </c>
      <c r="P104" s="20">
        <f>IF(A104="","",IFERROR(INDEX(Products!$AE$5:$AE$304,MATCH(A104,Products!$A$5:$A$304,0)),""))</f>
        <v>0</v>
      </c>
      <c r="Q104" s="20">
        <f>IF(C104="","",IF(O104="","",ROUND(O104+IF(P104="",0,P104),2)))</f>
        <v>0</v>
      </c>
      <c r="R104" s="20">
        <f>IF(C104="","",IF(OR(Q104="",N104=0),"",ROUND(Q104-N104,2)))</f>
        <v>0</v>
      </c>
      <c r="S104" s="33">
        <f>IF(C104="","",IF(OR(Q104="",N104=0),"",Q104/N104-1))</f>
        <v>0</v>
      </c>
      <c r="T104" s="43">
        <f>IF(C104="","",IF(S104="","",IF(S104&gt;0.15,"Dearer",IF(S104&lt;-0.15,"Cheaper","Similar"))))</f>
        <v>0</v>
      </c>
      <c r="U104" s="32">
        <f>IF(C104="","",IF(K104="","",TodayDate-K104))</f>
        <v>0</v>
      </c>
      <c r="V104" s="43">
        <f>IF(C104="","",IF(F104="","Add - what do they charge?",IF(O104="","Check - your product has no price",IF(AND(U104&lt;&gt;"",U104&gt;180),"Check - research is over six months old",IF(AND(T104="Cheaper",H104="Below mine"),"Raise - better work, lower price",IF(T104="Dearer","Fine - make sure the listing shows why","OK"))))))</f>
        <v>0</v>
      </c>
    </row>
    <row r="105" spans="2:22">
      <c r="B105" s="13">
        <f>IF(A105="","",IFERROR(INDEX(Products!$B$5:$B$304,MATCH(A105,Products!$A$5:$A$304,0)),"Not found"))</f>
        <v>0</v>
      </c>
      <c r="N105" s="20">
        <f>IF(C105="","",ROUND(IF(F105="",0,F105)+IF(G105="",0,G105),2))</f>
        <v>0</v>
      </c>
      <c r="O105" s="20">
        <f>IF(A105="","",IFERROR(INDEX(Products!$AR$5:$AR$304,MATCH(A105,Products!$A$5:$A$304,0)),""))</f>
        <v>0</v>
      </c>
      <c r="P105" s="20">
        <f>IF(A105="","",IFERROR(INDEX(Products!$AE$5:$AE$304,MATCH(A105,Products!$A$5:$A$304,0)),""))</f>
        <v>0</v>
      </c>
      <c r="Q105" s="20">
        <f>IF(C105="","",IF(O105="","",ROUND(O105+IF(P105="",0,P105),2)))</f>
        <v>0</v>
      </c>
      <c r="R105" s="20">
        <f>IF(C105="","",IF(OR(Q105="",N105=0),"",ROUND(Q105-N105,2)))</f>
        <v>0</v>
      </c>
      <c r="S105" s="33">
        <f>IF(C105="","",IF(OR(Q105="",N105=0),"",Q105/N105-1))</f>
        <v>0</v>
      </c>
      <c r="T105" s="43">
        <f>IF(C105="","",IF(S105="","",IF(S105&gt;0.15,"Dearer",IF(S105&lt;-0.15,"Cheaper","Similar"))))</f>
        <v>0</v>
      </c>
      <c r="U105" s="32">
        <f>IF(C105="","",IF(K105="","",TodayDate-K105))</f>
        <v>0</v>
      </c>
      <c r="V105" s="43">
        <f>IF(C105="","",IF(F105="","Add - what do they charge?",IF(O105="","Check - your product has no price",IF(AND(U105&lt;&gt;"",U105&gt;180),"Check - research is over six months old",IF(AND(T105="Cheaper",H105="Below mine"),"Raise - better work, lower price",IF(T105="Dearer","Fine - make sure the listing shows why","OK"))))))</f>
        <v>0</v>
      </c>
    </row>
    <row r="106" spans="2:22">
      <c r="B106" s="13">
        <f>IF(A106="","",IFERROR(INDEX(Products!$B$5:$B$304,MATCH(A106,Products!$A$5:$A$304,0)),"Not found"))</f>
        <v>0</v>
      </c>
      <c r="N106" s="20">
        <f>IF(C106="","",ROUND(IF(F106="",0,F106)+IF(G106="",0,G106),2))</f>
        <v>0</v>
      </c>
      <c r="O106" s="20">
        <f>IF(A106="","",IFERROR(INDEX(Products!$AR$5:$AR$304,MATCH(A106,Products!$A$5:$A$304,0)),""))</f>
        <v>0</v>
      </c>
      <c r="P106" s="20">
        <f>IF(A106="","",IFERROR(INDEX(Products!$AE$5:$AE$304,MATCH(A106,Products!$A$5:$A$304,0)),""))</f>
        <v>0</v>
      </c>
      <c r="Q106" s="20">
        <f>IF(C106="","",IF(O106="","",ROUND(O106+IF(P106="",0,P106),2)))</f>
        <v>0</v>
      </c>
      <c r="R106" s="20">
        <f>IF(C106="","",IF(OR(Q106="",N106=0),"",ROUND(Q106-N106,2)))</f>
        <v>0</v>
      </c>
      <c r="S106" s="33">
        <f>IF(C106="","",IF(OR(Q106="",N106=0),"",Q106/N106-1))</f>
        <v>0</v>
      </c>
      <c r="T106" s="43">
        <f>IF(C106="","",IF(S106="","",IF(S106&gt;0.15,"Dearer",IF(S106&lt;-0.15,"Cheaper","Similar"))))</f>
        <v>0</v>
      </c>
      <c r="U106" s="32">
        <f>IF(C106="","",IF(K106="","",TodayDate-K106))</f>
        <v>0</v>
      </c>
      <c r="V106" s="43">
        <f>IF(C106="","",IF(F106="","Add - what do they charge?",IF(O106="","Check - your product has no price",IF(AND(U106&lt;&gt;"",U106&gt;180),"Check - research is over six months old",IF(AND(T106="Cheaper",H106="Below mine"),"Raise - better work, lower price",IF(T106="Dearer","Fine - make sure the listing shows why","OK"))))))</f>
        <v>0</v>
      </c>
    </row>
    <row r="107" spans="2:22">
      <c r="B107" s="13">
        <f>IF(A107="","",IFERROR(INDEX(Products!$B$5:$B$304,MATCH(A107,Products!$A$5:$A$304,0)),"Not found"))</f>
        <v>0</v>
      </c>
      <c r="N107" s="20">
        <f>IF(C107="","",ROUND(IF(F107="",0,F107)+IF(G107="",0,G107),2))</f>
        <v>0</v>
      </c>
      <c r="O107" s="20">
        <f>IF(A107="","",IFERROR(INDEX(Products!$AR$5:$AR$304,MATCH(A107,Products!$A$5:$A$304,0)),""))</f>
        <v>0</v>
      </c>
      <c r="P107" s="20">
        <f>IF(A107="","",IFERROR(INDEX(Products!$AE$5:$AE$304,MATCH(A107,Products!$A$5:$A$304,0)),""))</f>
        <v>0</v>
      </c>
      <c r="Q107" s="20">
        <f>IF(C107="","",IF(O107="","",ROUND(O107+IF(P107="",0,P107),2)))</f>
        <v>0</v>
      </c>
      <c r="R107" s="20">
        <f>IF(C107="","",IF(OR(Q107="",N107=0),"",ROUND(Q107-N107,2)))</f>
        <v>0</v>
      </c>
      <c r="S107" s="33">
        <f>IF(C107="","",IF(OR(Q107="",N107=0),"",Q107/N107-1))</f>
        <v>0</v>
      </c>
      <c r="T107" s="43">
        <f>IF(C107="","",IF(S107="","",IF(S107&gt;0.15,"Dearer",IF(S107&lt;-0.15,"Cheaper","Similar"))))</f>
        <v>0</v>
      </c>
      <c r="U107" s="32">
        <f>IF(C107="","",IF(K107="","",TodayDate-K107))</f>
        <v>0</v>
      </c>
      <c r="V107" s="43">
        <f>IF(C107="","",IF(F107="","Add - what do they charge?",IF(O107="","Check - your product has no price",IF(AND(U107&lt;&gt;"",U107&gt;180),"Check - research is over six months old",IF(AND(T107="Cheaper",H107="Below mine"),"Raise - better work, lower price",IF(T107="Dearer","Fine - make sure the listing shows why","OK"))))))</f>
        <v>0</v>
      </c>
    </row>
    <row r="108" spans="2:22">
      <c r="B108" s="13">
        <f>IF(A108="","",IFERROR(INDEX(Products!$B$5:$B$304,MATCH(A108,Products!$A$5:$A$304,0)),"Not found"))</f>
        <v>0</v>
      </c>
      <c r="N108" s="20">
        <f>IF(C108="","",ROUND(IF(F108="",0,F108)+IF(G108="",0,G108),2))</f>
        <v>0</v>
      </c>
      <c r="O108" s="20">
        <f>IF(A108="","",IFERROR(INDEX(Products!$AR$5:$AR$304,MATCH(A108,Products!$A$5:$A$304,0)),""))</f>
        <v>0</v>
      </c>
      <c r="P108" s="20">
        <f>IF(A108="","",IFERROR(INDEX(Products!$AE$5:$AE$304,MATCH(A108,Products!$A$5:$A$304,0)),""))</f>
        <v>0</v>
      </c>
      <c r="Q108" s="20">
        <f>IF(C108="","",IF(O108="","",ROUND(O108+IF(P108="",0,P108),2)))</f>
        <v>0</v>
      </c>
      <c r="R108" s="20">
        <f>IF(C108="","",IF(OR(Q108="",N108=0),"",ROUND(Q108-N108,2)))</f>
        <v>0</v>
      </c>
      <c r="S108" s="33">
        <f>IF(C108="","",IF(OR(Q108="",N108=0),"",Q108/N108-1))</f>
        <v>0</v>
      </c>
      <c r="T108" s="43">
        <f>IF(C108="","",IF(S108="","",IF(S108&gt;0.15,"Dearer",IF(S108&lt;-0.15,"Cheaper","Similar"))))</f>
        <v>0</v>
      </c>
      <c r="U108" s="32">
        <f>IF(C108="","",IF(K108="","",TodayDate-K108))</f>
        <v>0</v>
      </c>
      <c r="V108" s="43">
        <f>IF(C108="","",IF(F108="","Add - what do they charge?",IF(O108="","Check - your product has no price",IF(AND(U108&lt;&gt;"",U108&gt;180),"Check - research is over six months old",IF(AND(T108="Cheaper",H108="Below mine"),"Raise - better work, lower price",IF(T108="Dearer","Fine - make sure the listing shows why","OK"))))))</f>
        <v>0</v>
      </c>
    </row>
    <row r="109" spans="2:22">
      <c r="B109" s="13">
        <f>IF(A109="","",IFERROR(INDEX(Products!$B$5:$B$304,MATCH(A109,Products!$A$5:$A$304,0)),"Not found"))</f>
        <v>0</v>
      </c>
      <c r="N109" s="20">
        <f>IF(C109="","",ROUND(IF(F109="",0,F109)+IF(G109="",0,G109),2))</f>
        <v>0</v>
      </c>
      <c r="O109" s="20">
        <f>IF(A109="","",IFERROR(INDEX(Products!$AR$5:$AR$304,MATCH(A109,Products!$A$5:$A$304,0)),""))</f>
        <v>0</v>
      </c>
      <c r="P109" s="20">
        <f>IF(A109="","",IFERROR(INDEX(Products!$AE$5:$AE$304,MATCH(A109,Products!$A$5:$A$304,0)),""))</f>
        <v>0</v>
      </c>
      <c r="Q109" s="20">
        <f>IF(C109="","",IF(O109="","",ROUND(O109+IF(P109="",0,P109),2)))</f>
        <v>0</v>
      </c>
      <c r="R109" s="20">
        <f>IF(C109="","",IF(OR(Q109="",N109=0),"",ROUND(Q109-N109,2)))</f>
        <v>0</v>
      </c>
      <c r="S109" s="33">
        <f>IF(C109="","",IF(OR(Q109="",N109=0),"",Q109/N109-1))</f>
        <v>0</v>
      </c>
      <c r="T109" s="43">
        <f>IF(C109="","",IF(S109="","",IF(S109&gt;0.15,"Dearer",IF(S109&lt;-0.15,"Cheaper","Similar"))))</f>
        <v>0</v>
      </c>
      <c r="U109" s="32">
        <f>IF(C109="","",IF(K109="","",TodayDate-K109))</f>
        <v>0</v>
      </c>
      <c r="V109" s="43">
        <f>IF(C109="","",IF(F109="","Add - what do they charge?",IF(O109="","Check - your product has no price",IF(AND(U109&lt;&gt;"",U109&gt;180),"Check - research is over six months old",IF(AND(T109="Cheaper",H109="Below mine"),"Raise - better work, lower price",IF(T109="Dearer","Fine - make sure the listing shows why","OK"))))))</f>
        <v>0</v>
      </c>
    </row>
    <row r="110" spans="2:22">
      <c r="B110" s="13">
        <f>IF(A110="","",IFERROR(INDEX(Products!$B$5:$B$304,MATCH(A110,Products!$A$5:$A$304,0)),"Not found"))</f>
        <v>0</v>
      </c>
      <c r="N110" s="20">
        <f>IF(C110="","",ROUND(IF(F110="",0,F110)+IF(G110="",0,G110),2))</f>
        <v>0</v>
      </c>
      <c r="O110" s="20">
        <f>IF(A110="","",IFERROR(INDEX(Products!$AR$5:$AR$304,MATCH(A110,Products!$A$5:$A$304,0)),""))</f>
        <v>0</v>
      </c>
      <c r="P110" s="20">
        <f>IF(A110="","",IFERROR(INDEX(Products!$AE$5:$AE$304,MATCH(A110,Products!$A$5:$A$304,0)),""))</f>
        <v>0</v>
      </c>
      <c r="Q110" s="20">
        <f>IF(C110="","",IF(O110="","",ROUND(O110+IF(P110="",0,P110),2)))</f>
        <v>0</v>
      </c>
      <c r="R110" s="20">
        <f>IF(C110="","",IF(OR(Q110="",N110=0),"",ROUND(Q110-N110,2)))</f>
        <v>0</v>
      </c>
      <c r="S110" s="33">
        <f>IF(C110="","",IF(OR(Q110="",N110=0),"",Q110/N110-1))</f>
        <v>0</v>
      </c>
      <c r="T110" s="43">
        <f>IF(C110="","",IF(S110="","",IF(S110&gt;0.15,"Dearer",IF(S110&lt;-0.15,"Cheaper","Similar"))))</f>
        <v>0</v>
      </c>
      <c r="U110" s="32">
        <f>IF(C110="","",IF(K110="","",TodayDate-K110))</f>
        <v>0</v>
      </c>
      <c r="V110" s="43">
        <f>IF(C110="","",IF(F110="","Add - what do they charge?",IF(O110="","Check - your product has no price",IF(AND(U110&lt;&gt;"",U110&gt;180),"Check - research is over six months old",IF(AND(T110="Cheaper",H110="Below mine"),"Raise - better work, lower price",IF(T110="Dearer","Fine - make sure the listing shows why","OK"))))))</f>
        <v>0</v>
      </c>
    </row>
    <row r="111" spans="2:22">
      <c r="B111" s="13">
        <f>IF(A111="","",IFERROR(INDEX(Products!$B$5:$B$304,MATCH(A111,Products!$A$5:$A$304,0)),"Not found"))</f>
        <v>0</v>
      </c>
      <c r="N111" s="20">
        <f>IF(C111="","",ROUND(IF(F111="",0,F111)+IF(G111="",0,G111),2))</f>
        <v>0</v>
      </c>
      <c r="O111" s="20">
        <f>IF(A111="","",IFERROR(INDEX(Products!$AR$5:$AR$304,MATCH(A111,Products!$A$5:$A$304,0)),""))</f>
        <v>0</v>
      </c>
      <c r="P111" s="20">
        <f>IF(A111="","",IFERROR(INDEX(Products!$AE$5:$AE$304,MATCH(A111,Products!$A$5:$A$304,0)),""))</f>
        <v>0</v>
      </c>
      <c r="Q111" s="20">
        <f>IF(C111="","",IF(O111="","",ROUND(O111+IF(P111="",0,P111),2)))</f>
        <v>0</v>
      </c>
      <c r="R111" s="20">
        <f>IF(C111="","",IF(OR(Q111="",N111=0),"",ROUND(Q111-N111,2)))</f>
        <v>0</v>
      </c>
      <c r="S111" s="33">
        <f>IF(C111="","",IF(OR(Q111="",N111=0),"",Q111/N111-1))</f>
        <v>0</v>
      </c>
      <c r="T111" s="43">
        <f>IF(C111="","",IF(S111="","",IF(S111&gt;0.15,"Dearer",IF(S111&lt;-0.15,"Cheaper","Similar"))))</f>
        <v>0</v>
      </c>
      <c r="U111" s="32">
        <f>IF(C111="","",IF(K111="","",TodayDate-K111))</f>
        <v>0</v>
      </c>
      <c r="V111" s="43">
        <f>IF(C111="","",IF(F111="","Add - what do they charge?",IF(O111="","Check - your product has no price",IF(AND(U111&lt;&gt;"",U111&gt;180),"Check - research is over six months old",IF(AND(T111="Cheaper",H111="Below mine"),"Raise - better work, lower price",IF(T111="Dearer","Fine - make sure the listing shows why","OK"))))))</f>
        <v>0</v>
      </c>
    </row>
    <row r="112" spans="2:22">
      <c r="B112" s="13">
        <f>IF(A112="","",IFERROR(INDEX(Products!$B$5:$B$304,MATCH(A112,Products!$A$5:$A$304,0)),"Not found"))</f>
        <v>0</v>
      </c>
      <c r="N112" s="20">
        <f>IF(C112="","",ROUND(IF(F112="",0,F112)+IF(G112="",0,G112),2))</f>
        <v>0</v>
      </c>
      <c r="O112" s="20">
        <f>IF(A112="","",IFERROR(INDEX(Products!$AR$5:$AR$304,MATCH(A112,Products!$A$5:$A$304,0)),""))</f>
        <v>0</v>
      </c>
      <c r="P112" s="20">
        <f>IF(A112="","",IFERROR(INDEX(Products!$AE$5:$AE$304,MATCH(A112,Products!$A$5:$A$304,0)),""))</f>
        <v>0</v>
      </c>
      <c r="Q112" s="20">
        <f>IF(C112="","",IF(O112="","",ROUND(O112+IF(P112="",0,P112),2)))</f>
        <v>0</v>
      </c>
      <c r="R112" s="20">
        <f>IF(C112="","",IF(OR(Q112="",N112=0),"",ROUND(Q112-N112,2)))</f>
        <v>0</v>
      </c>
      <c r="S112" s="33">
        <f>IF(C112="","",IF(OR(Q112="",N112=0),"",Q112/N112-1))</f>
        <v>0</v>
      </c>
      <c r="T112" s="43">
        <f>IF(C112="","",IF(S112="","",IF(S112&gt;0.15,"Dearer",IF(S112&lt;-0.15,"Cheaper","Similar"))))</f>
        <v>0</v>
      </c>
      <c r="U112" s="32">
        <f>IF(C112="","",IF(K112="","",TodayDate-K112))</f>
        <v>0</v>
      </c>
      <c r="V112" s="43">
        <f>IF(C112="","",IF(F112="","Add - what do they charge?",IF(O112="","Check - your product has no price",IF(AND(U112&lt;&gt;"",U112&gt;180),"Check - research is over six months old",IF(AND(T112="Cheaper",H112="Below mine"),"Raise - better work, lower price",IF(T112="Dearer","Fine - make sure the listing shows why","OK"))))))</f>
        <v>0</v>
      </c>
    </row>
    <row r="113" spans="2:22">
      <c r="B113" s="13">
        <f>IF(A113="","",IFERROR(INDEX(Products!$B$5:$B$304,MATCH(A113,Products!$A$5:$A$304,0)),"Not found"))</f>
        <v>0</v>
      </c>
      <c r="N113" s="20">
        <f>IF(C113="","",ROUND(IF(F113="",0,F113)+IF(G113="",0,G113),2))</f>
        <v>0</v>
      </c>
      <c r="O113" s="20">
        <f>IF(A113="","",IFERROR(INDEX(Products!$AR$5:$AR$304,MATCH(A113,Products!$A$5:$A$304,0)),""))</f>
        <v>0</v>
      </c>
      <c r="P113" s="20">
        <f>IF(A113="","",IFERROR(INDEX(Products!$AE$5:$AE$304,MATCH(A113,Products!$A$5:$A$304,0)),""))</f>
        <v>0</v>
      </c>
      <c r="Q113" s="20">
        <f>IF(C113="","",IF(O113="","",ROUND(O113+IF(P113="",0,P113),2)))</f>
        <v>0</v>
      </c>
      <c r="R113" s="20">
        <f>IF(C113="","",IF(OR(Q113="",N113=0),"",ROUND(Q113-N113,2)))</f>
        <v>0</v>
      </c>
      <c r="S113" s="33">
        <f>IF(C113="","",IF(OR(Q113="",N113=0),"",Q113/N113-1))</f>
        <v>0</v>
      </c>
      <c r="T113" s="43">
        <f>IF(C113="","",IF(S113="","",IF(S113&gt;0.15,"Dearer",IF(S113&lt;-0.15,"Cheaper","Similar"))))</f>
        <v>0</v>
      </c>
      <c r="U113" s="32">
        <f>IF(C113="","",IF(K113="","",TodayDate-K113))</f>
        <v>0</v>
      </c>
      <c r="V113" s="43">
        <f>IF(C113="","",IF(F113="","Add - what do they charge?",IF(O113="","Check - your product has no price",IF(AND(U113&lt;&gt;"",U113&gt;180),"Check - research is over six months old",IF(AND(T113="Cheaper",H113="Below mine"),"Raise - better work, lower price",IF(T113="Dearer","Fine - make sure the listing shows why","OK"))))))</f>
        <v>0</v>
      </c>
    </row>
    <row r="114" spans="2:22">
      <c r="B114" s="13">
        <f>IF(A114="","",IFERROR(INDEX(Products!$B$5:$B$304,MATCH(A114,Products!$A$5:$A$304,0)),"Not found"))</f>
        <v>0</v>
      </c>
      <c r="N114" s="20">
        <f>IF(C114="","",ROUND(IF(F114="",0,F114)+IF(G114="",0,G114),2))</f>
        <v>0</v>
      </c>
      <c r="O114" s="20">
        <f>IF(A114="","",IFERROR(INDEX(Products!$AR$5:$AR$304,MATCH(A114,Products!$A$5:$A$304,0)),""))</f>
        <v>0</v>
      </c>
      <c r="P114" s="20">
        <f>IF(A114="","",IFERROR(INDEX(Products!$AE$5:$AE$304,MATCH(A114,Products!$A$5:$A$304,0)),""))</f>
        <v>0</v>
      </c>
      <c r="Q114" s="20">
        <f>IF(C114="","",IF(O114="","",ROUND(O114+IF(P114="",0,P114),2)))</f>
        <v>0</v>
      </c>
      <c r="R114" s="20">
        <f>IF(C114="","",IF(OR(Q114="",N114=0),"",ROUND(Q114-N114,2)))</f>
        <v>0</v>
      </c>
      <c r="S114" s="33">
        <f>IF(C114="","",IF(OR(Q114="",N114=0),"",Q114/N114-1))</f>
        <v>0</v>
      </c>
      <c r="T114" s="43">
        <f>IF(C114="","",IF(S114="","",IF(S114&gt;0.15,"Dearer",IF(S114&lt;-0.15,"Cheaper","Similar"))))</f>
        <v>0</v>
      </c>
      <c r="U114" s="32">
        <f>IF(C114="","",IF(K114="","",TodayDate-K114))</f>
        <v>0</v>
      </c>
      <c r="V114" s="43">
        <f>IF(C114="","",IF(F114="","Add - what do they charge?",IF(O114="","Check - your product has no price",IF(AND(U114&lt;&gt;"",U114&gt;180),"Check - research is over six months old",IF(AND(T114="Cheaper",H114="Below mine"),"Raise - better work, lower price",IF(T114="Dearer","Fine - make sure the listing shows why","OK"))))))</f>
        <v>0</v>
      </c>
    </row>
    <row r="115" spans="2:22">
      <c r="B115" s="13">
        <f>IF(A115="","",IFERROR(INDEX(Products!$B$5:$B$304,MATCH(A115,Products!$A$5:$A$304,0)),"Not found"))</f>
        <v>0</v>
      </c>
      <c r="N115" s="20">
        <f>IF(C115="","",ROUND(IF(F115="",0,F115)+IF(G115="",0,G115),2))</f>
        <v>0</v>
      </c>
      <c r="O115" s="20">
        <f>IF(A115="","",IFERROR(INDEX(Products!$AR$5:$AR$304,MATCH(A115,Products!$A$5:$A$304,0)),""))</f>
        <v>0</v>
      </c>
      <c r="P115" s="20">
        <f>IF(A115="","",IFERROR(INDEX(Products!$AE$5:$AE$304,MATCH(A115,Products!$A$5:$A$304,0)),""))</f>
        <v>0</v>
      </c>
      <c r="Q115" s="20">
        <f>IF(C115="","",IF(O115="","",ROUND(O115+IF(P115="",0,P115),2)))</f>
        <v>0</v>
      </c>
      <c r="R115" s="20">
        <f>IF(C115="","",IF(OR(Q115="",N115=0),"",ROUND(Q115-N115,2)))</f>
        <v>0</v>
      </c>
      <c r="S115" s="33">
        <f>IF(C115="","",IF(OR(Q115="",N115=0),"",Q115/N115-1))</f>
        <v>0</v>
      </c>
      <c r="T115" s="43">
        <f>IF(C115="","",IF(S115="","",IF(S115&gt;0.15,"Dearer",IF(S115&lt;-0.15,"Cheaper","Similar"))))</f>
        <v>0</v>
      </c>
      <c r="U115" s="32">
        <f>IF(C115="","",IF(K115="","",TodayDate-K115))</f>
        <v>0</v>
      </c>
      <c r="V115" s="43">
        <f>IF(C115="","",IF(F115="","Add - what do they charge?",IF(O115="","Check - your product has no price",IF(AND(U115&lt;&gt;"",U115&gt;180),"Check - research is over six months old",IF(AND(T115="Cheaper",H115="Below mine"),"Raise - better work, lower price",IF(T115="Dearer","Fine - make sure the listing shows why","OK"))))))</f>
        <v>0</v>
      </c>
    </row>
    <row r="116" spans="2:22">
      <c r="B116" s="13">
        <f>IF(A116="","",IFERROR(INDEX(Products!$B$5:$B$304,MATCH(A116,Products!$A$5:$A$304,0)),"Not found"))</f>
        <v>0</v>
      </c>
      <c r="N116" s="20">
        <f>IF(C116="","",ROUND(IF(F116="",0,F116)+IF(G116="",0,G116),2))</f>
        <v>0</v>
      </c>
      <c r="O116" s="20">
        <f>IF(A116="","",IFERROR(INDEX(Products!$AR$5:$AR$304,MATCH(A116,Products!$A$5:$A$304,0)),""))</f>
        <v>0</v>
      </c>
      <c r="P116" s="20">
        <f>IF(A116="","",IFERROR(INDEX(Products!$AE$5:$AE$304,MATCH(A116,Products!$A$5:$A$304,0)),""))</f>
        <v>0</v>
      </c>
      <c r="Q116" s="20">
        <f>IF(C116="","",IF(O116="","",ROUND(O116+IF(P116="",0,P116),2)))</f>
        <v>0</v>
      </c>
      <c r="R116" s="20">
        <f>IF(C116="","",IF(OR(Q116="",N116=0),"",ROUND(Q116-N116,2)))</f>
        <v>0</v>
      </c>
      <c r="S116" s="33">
        <f>IF(C116="","",IF(OR(Q116="",N116=0),"",Q116/N116-1))</f>
        <v>0</v>
      </c>
      <c r="T116" s="43">
        <f>IF(C116="","",IF(S116="","",IF(S116&gt;0.15,"Dearer",IF(S116&lt;-0.15,"Cheaper","Similar"))))</f>
        <v>0</v>
      </c>
      <c r="U116" s="32">
        <f>IF(C116="","",IF(K116="","",TodayDate-K116))</f>
        <v>0</v>
      </c>
      <c r="V116" s="43">
        <f>IF(C116="","",IF(F116="","Add - what do they charge?",IF(O116="","Check - your product has no price",IF(AND(U116&lt;&gt;"",U116&gt;180),"Check - research is over six months old",IF(AND(T116="Cheaper",H116="Below mine"),"Raise - better work, lower price",IF(T116="Dearer","Fine - make sure the listing shows why","OK"))))))</f>
        <v>0</v>
      </c>
    </row>
    <row r="117" spans="2:22">
      <c r="B117" s="13">
        <f>IF(A117="","",IFERROR(INDEX(Products!$B$5:$B$304,MATCH(A117,Products!$A$5:$A$304,0)),"Not found"))</f>
        <v>0</v>
      </c>
      <c r="N117" s="20">
        <f>IF(C117="","",ROUND(IF(F117="",0,F117)+IF(G117="",0,G117),2))</f>
        <v>0</v>
      </c>
      <c r="O117" s="20">
        <f>IF(A117="","",IFERROR(INDEX(Products!$AR$5:$AR$304,MATCH(A117,Products!$A$5:$A$304,0)),""))</f>
        <v>0</v>
      </c>
      <c r="P117" s="20">
        <f>IF(A117="","",IFERROR(INDEX(Products!$AE$5:$AE$304,MATCH(A117,Products!$A$5:$A$304,0)),""))</f>
        <v>0</v>
      </c>
      <c r="Q117" s="20">
        <f>IF(C117="","",IF(O117="","",ROUND(O117+IF(P117="",0,P117),2)))</f>
        <v>0</v>
      </c>
      <c r="R117" s="20">
        <f>IF(C117="","",IF(OR(Q117="",N117=0),"",ROUND(Q117-N117,2)))</f>
        <v>0</v>
      </c>
      <c r="S117" s="33">
        <f>IF(C117="","",IF(OR(Q117="",N117=0),"",Q117/N117-1))</f>
        <v>0</v>
      </c>
      <c r="T117" s="43">
        <f>IF(C117="","",IF(S117="","",IF(S117&gt;0.15,"Dearer",IF(S117&lt;-0.15,"Cheaper","Similar"))))</f>
        <v>0</v>
      </c>
      <c r="U117" s="32">
        <f>IF(C117="","",IF(K117="","",TodayDate-K117))</f>
        <v>0</v>
      </c>
      <c r="V117" s="43">
        <f>IF(C117="","",IF(F117="","Add - what do they charge?",IF(O117="","Check - your product has no price",IF(AND(U117&lt;&gt;"",U117&gt;180),"Check - research is over six months old",IF(AND(T117="Cheaper",H117="Below mine"),"Raise - better work, lower price",IF(T117="Dearer","Fine - make sure the listing shows why","OK"))))))</f>
        <v>0</v>
      </c>
    </row>
    <row r="118" spans="2:22">
      <c r="B118" s="13">
        <f>IF(A118="","",IFERROR(INDEX(Products!$B$5:$B$304,MATCH(A118,Products!$A$5:$A$304,0)),"Not found"))</f>
        <v>0</v>
      </c>
      <c r="N118" s="20">
        <f>IF(C118="","",ROUND(IF(F118="",0,F118)+IF(G118="",0,G118),2))</f>
        <v>0</v>
      </c>
      <c r="O118" s="20">
        <f>IF(A118="","",IFERROR(INDEX(Products!$AR$5:$AR$304,MATCH(A118,Products!$A$5:$A$304,0)),""))</f>
        <v>0</v>
      </c>
      <c r="P118" s="20">
        <f>IF(A118="","",IFERROR(INDEX(Products!$AE$5:$AE$304,MATCH(A118,Products!$A$5:$A$304,0)),""))</f>
        <v>0</v>
      </c>
      <c r="Q118" s="20">
        <f>IF(C118="","",IF(O118="","",ROUND(O118+IF(P118="",0,P118),2)))</f>
        <v>0</v>
      </c>
      <c r="R118" s="20">
        <f>IF(C118="","",IF(OR(Q118="",N118=0),"",ROUND(Q118-N118,2)))</f>
        <v>0</v>
      </c>
      <c r="S118" s="33">
        <f>IF(C118="","",IF(OR(Q118="",N118=0),"",Q118/N118-1))</f>
        <v>0</v>
      </c>
      <c r="T118" s="43">
        <f>IF(C118="","",IF(S118="","",IF(S118&gt;0.15,"Dearer",IF(S118&lt;-0.15,"Cheaper","Similar"))))</f>
        <v>0</v>
      </c>
      <c r="U118" s="32">
        <f>IF(C118="","",IF(K118="","",TodayDate-K118))</f>
        <v>0</v>
      </c>
      <c r="V118" s="43">
        <f>IF(C118="","",IF(F118="","Add - what do they charge?",IF(O118="","Check - your product has no price",IF(AND(U118&lt;&gt;"",U118&gt;180),"Check - research is over six months old",IF(AND(T118="Cheaper",H118="Below mine"),"Raise - better work, lower price",IF(T118="Dearer","Fine - make sure the listing shows why","OK"))))))</f>
        <v>0</v>
      </c>
    </row>
    <row r="119" spans="2:22">
      <c r="B119" s="13">
        <f>IF(A119="","",IFERROR(INDEX(Products!$B$5:$B$304,MATCH(A119,Products!$A$5:$A$304,0)),"Not found"))</f>
        <v>0</v>
      </c>
      <c r="N119" s="20">
        <f>IF(C119="","",ROUND(IF(F119="",0,F119)+IF(G119="",0,G119),2))</f>
        <v>0</v>
      </c>
      <c r="O119" s="20">
        <f>IF(A119="","",IFERROR(INDEX(Products!$AR$5:$AR$304,MATCH(A119,Products!$A$5:$A$304,0)),""))</f>
        <v>0</v>
      </c>
      <c r="P119" s="20">
        <f>IF(A119="","",IFERROR(INDEX(Products!$AE$5:$AE$304,MATCH(A119,Products!$A$5:$A$304,0)),""))</f>
        <v>0</v>
      </c>
      <c r="Q119" s="20">
        <f>IF(C119="","",IF(O119="","",ROUND(O119+IF(P119="",0,P119),2)))</f>
        <v>0</v>
      </c>
      <c r="R119" s="20">
        <f>IF(C119="","",IF(OR(Q119="",N119=0),"",ROUND(Q119-N119,2)))</f>
        <v>0</v>
      </c>
      <c r="S119" s="33">
        <f>IF(C119="","",IF(OR(Q119="",N119=0),"",Q119/N119-1))</f>
        <v>0</v>
      </c>
      <c r="T119" s="43">
        <f>IF(C119="","",IF(S119="","",IF(S119&gt;0.15,"Dearer",IF(S119&lt;-0.15,"Cheaper","Similar"))))</f>
        <v>0</v>
      </c>
      <c r="U119" s="32">
        <f>IF(C119="","",IF(K119="","",TodayDate-K119))</f>
        <v>0</v>
      </c>
      <c r="V119" s="43">
        <f>IF(C119="","",IF(F119="","Add - what do they charge?",IF(O119="","Check - your product has no price",IF(AND(U119&lt;&gt;"",U119&gt;180),"Check - research is over six months old",IF(AND(T119="Cheaper",H119="Below mine"),"Raise - better work, lower price",IF(T119="Dearer","Fine - make sure the listing shows why","OK"))))))</f>
        <v>0</v>
      </c>
    </row>
    <row r="120" spans="2:22">
      <c r="B120" s="13">
        <f>IF(A120="","",IFERROR(INDEX(Products!$B$5:$B$304,MATCH(A120,Products!$A$5:$A$304,0)),"Not found"))</f>
        <v>0</v>
      </c>
      <c r="N120" s="20">
        <f>IF(C120="","",ROUND(IF(F120="",0,F120)+IF(G120="",0,G120),2))</f>
        <v>0</v>
      </c>
      <c r="O120" s="20">
        <f>IF(A120="","",IFERROR(INDEX(Products!$AR$5:$AR$304,MATCH(A120,Products!$A$5:$A$304,0)),""))</f>
        <v>0</v>
      </c>
      <c r="P120" s="20">
        <f>IF(A120="","",IFERROR(INDEX(Products!$AE$5:$AE$304,MATCH(A120,Products!$A$5:$A$304,0)),""))</f>
        <v>0</v>
      </c>
      <c r="Q120" s="20">
        <f>IF(C120="","",IF(O120="","",ROUND(O120+IF(P120="",0,P120),2)))</f>
        <v>0</v>
      </c>
      <c r="R120" s="20">
        <f>IF(C120="","",IF(OR(Q120="",N120=0),"",ROUND(Q120-N120,2)))</f>
        <v>0</v>
      </c>
      <c r="S120" s="33">
        <f>IF(C120="","",IF(OR(Q120="",N120=0),"",Q120/N120-1))</f>
        <v>0</v>
      </c>
      <c r="T120" s="43">
        <f>IF(C120="","",IF(S120="","",IF(S120&gt;0.15,"Dearer",IF(S120&lt;-0.15,"Cheaper","Similar"))))</f>
        <v>0</v>
      </c>
      <c r="U120" s="32">
        <f>IF(C120="","",IF(K120="","",TodayDate-K120))</f>
        <v>0</v>
      </c>
      <c r="V120" s="43">
        <f>IF(C120="","",IF(F120="","Add - what do they charge?",IF(O120="","Check - your product has no price",IF(AND(U120&lt;&gt;"",U120&gt;180),"Check - research is over six months old",IF(AND(T120="Cheaper",H120="Below mine"),"Raise - better work, lower price",IF(T120="Dearer","Fine - make sure the listing shows why","OK"))))))</f>
        <v>0</v>
      </c>
    </row>
    <row r="121" spans="2:22">
      <c r="B121" s="13">
        <f>IF(A121="","",IFERROR(INDEX(Products!$B$5:$B$304,MATCH(A121,Products!$A$5:$A$304,0)),"Not found"))</f>
        <v>0</v>
      </c>
      <c r="N121" s="20">
        <f>IF(C121="","",ROUND(IF(F121="",0,F121)+IF(G121="",0,G121),2))</f>
        <v>0</v>
      </c>
      <c r="O121" s="20">
        <f>IF(A121="","",IFERROR(INDEX(Products!$AR$5:$AR$304,MATCH(A121,Products!$A$5:$A$304,0)),""))</f>
        <v>0</v>
      </c>
      <c r="P121" s="20">
        <f>IF(A121="","",IFERROR(INDEX(Products!$AE$5:$AE$304,MATCH(A121,Products!$A$5:$A$304,0)),""))</f>
        <v>0</v>
      </c>
      <c r="Q121" s="20">
        <f>IF(C121="","",IF(O121="","",ROUND(O121+IF(P121="",0,P121),2)))</f>
        <v>0</v>
      </c>
      <c r="R121" s="20">
        <f>IF(C121="","",IF(OR(Q121="",N121=0),"",ROUND(Q121-N121,2)))</f>
        <v>0</v>
      </c>
      <c r="S121" s="33">
        <f>IF(C121="","",IF(OR(Q121="",N121=0),"",Q121/N121-1))</f>
        <v>0</v>
      </c>
      <c r="T121" s="43">
        <f>IF(C121="","",IF(S121="","",IF(S121&gt;0.15,"Dearer",IF(S121&lt;-0.15,"Cheaper","Similar"))))</f>
        <v>0</v>
      </c>
      <c r="U121" s="32">
        <f>IF(C121="","",IF(K121="","",TodayDate-K121))</f>
        <v>0</v>
      </c>
      <c r="V121" s="43">
        <f>IF(C121="","",IF(F121="","Add - what do they charge?",IF(O121="","Check - your product has no price",IF(AND(U121&lt;&gt;"",U121&gt;180),"Check - research is over six months old",IF(AND(T121="Cheaper",H121="Below mine"),"Raise - better work, lower price",IF(T121="Dearer","Fine - make sure the listing shows why","OK"))))))</f>
        <v>0</v>
      </c>
    </row>
    <row r="122" spans="2:22">
      <c r="B122" s="13">
        <f>IF(A122="","",IFERROR(INDEX(Products!$B$5:$B$304,MATCH(A122,Products!$A$5:$A$304,0)),"Not found"))</f>
        <v>0</v>
      </c>
      <c r="N122" s="20">
        <f>IF(C122="","",ROUND(IF(F122="",0,F122)+IF(G122="",0,G122),2))</f>
        <v>0</v>
      </c>
      <c r="O122" s="20">
        <f>IF(A122="","",IFERROR(INDEX(Products!$AR$5:$AR$304,MATCH(A122,Products!$A$5:$A$304,0)),""))</f>
        <v>0</v>
      </c>
      <c r="P122" s="20">
        <f>IF(A122="","",IFERROR(INDEX(Products!$AE$5:$AE$304,MATCH(A122,Products!$A$5:$A$304,0)),""))</f>
        <v>0</v>
      </c>
      <c r="Q122" s="20">
        <f>IF(C122="","",IF(O122="","",ROUND(O122+IF(P122="",0,P122),2)))</f>
        <v>0</v>
      </c>
      <c r="R122" s="20">
        <f>IF(C122="","",IF(OR(Q122="",N122=0),"",ROUND(Q122-N122,2)))</f>
        <v>0</v>
      </c>
      <c r="S122" s="33">
        <f>IF(C122="","",IF(OR(Q122="",N122=0),"",Q122/N122-1))</f>
        <v>0</v>
      </c>
      <c r="T122" s="43">
        <f>IF(C122="","",IF(S122="","",IF(S122&gt;0.15,"Dearer",IF(S122&lt;-0.15,"Cheaper","Similar"))))</f>
        <v>0</v>
      </c>
      <c r="U122" s="32">
        <f>IF(C122="","",IF(K122="","",TodayDate-K122))</f>
        <v>0</v>
      </c>
      <c r="V122" s="43">
        <f>IF(C122="","",IF(F122="","Add - what do they charge?",IF(O122="","Check - your product has no price",IF(AND(U122&lt;&gt;"",U122&gt;180),"Check - research is over six months old",IF(AND(T122="Cheaper",H122="Below mine"),"Raise - better work, lower price",IF(T122="Dearer","Fine - make sure the listing shows why","OK"))))))</f>
        <v>0</v>
      </c>
    </row>
    <row r="123" spans="2:22">
      <c r="B123" s="13">
        <f>IF(A123="","",IFERROR(INDEX(Products!$B$5:$B$304,MATCH(A123,Products!$A$5:$A$304,0)),"Not found"))</f>
        <v>0</v>
      </c>
      <c r="N123" s="20">
        <f>IF(C123="","",ROUND(IF(F123="",0,F123)+IF(G123="",0,G123),2))</f>
        <v>0</v>
      </c>
      <c r="O123" s="20">
        <f>IF(A123="","",IFERROR(INDEX(Products!$AR$5:$AR$304,MATCH(A123,Products!$A$5:$A$304,0)),""))</f>
        <v>0</v>
      </c>
      <c r="P123" s="20">
        <f>IF(A123="","",IFERROR(INDEX(Products!$AE$5:$AE$304,MATCH(A123,Products!$A$5:$A$304,0)),""))</f>
        <v>0</v>
      </c>
      <c r="Q123" s="20">
        <f>IF(C123="","",IF(O123="","",ROUND(O123+IF(P123="",0,P123),2)))</f>
        <v>0</v>
      </c>
      <c r="R123" s="20">
        <f>IF(C123="","",IF(OR(Q123="",N123=0),"",ROUND(Q123-N123,2)))</f>
        <v>0</v>
      </c>
      <c r="S123" s="33">
        <f>IF(C123="","",IF(OR(Q123="",N123=0),"",Q123/N123-1))</f>
        <v>0</v>
      </c>
      <c r="T123" s="43">
        <f>IF(C123="","",IF(S123="","",IF(S123&gt;0.15,"Dearer",IF(S123&lt;-0.15,"Cheaper","Similar"))))</f>
        <v>0</v>
      </c>
      <c r="U123" s="32">
        <f>IF(C123="","",IF(K123="","",TodayDate-K123))</f>
        <v>0</v>
      </c>
      <c r="V123" s="43">
        <f>IF(C123="","",IF(F123="","Add - what do they charge?",IF(O123="","Check - your product has no price",IF(AND(U123&lt;&gt;"",U123&gt;180),"Check - research is over six months old",IF(AND(T123="Cheaper",H123="Below mine"),"Raise - better work, lower price",IF(T123="Dearer","Fine - make sure the listing shows why","OK"))))))</f>
        <v>0</v>
      </c>
    </row>
    <row r="124" spans="2:22">
      <c r="B124" s="13">
        <f>IF(A124="","",IFERROR(INDEX(Products!$B$5:$B$304,MATCH(A124,Products!$A$5:$A$304,0)),"Not found"))</f>
        <v>0</v>
      </c>
      <c r="N124" s="20">
        <f>IF(C124="","",ROUND(IF(F124="",0,F124)+IF(G124="",0,G124),2))</f>
        <v>0</v>
      </c>
      <c r="O124" s="20">
        <f>IF(A124="","",IFERROR(INDEX(Products!$AR$5:$AR$304,MATCH(A124,Products!$A$5:$A$304,0)),""))</f>
        <v>0</v>
      </c>
      <c r="P124" s="20">
        <f>IF(A124="","",IFERROR(INDEX(Products!$AE$5:$AE$304,MATCH(A124,Products!$A$5:$A$304,0)),""))</f>
        <v>0</v>
      </c>
      <c r="Q124" s="20">
        <f>IF(C124="","",IF(O124="","",ROUND(O124+IF(P124="",0,P124),2)))</f>
        <v>0</v>
      </c>
      <c r="R124" s="20">
        <f>IF(C124="","",IF(OR(Q124="",N124=0),"",ROUND(Q124-N124,2)))</f>
        <v>0</v>
      </c>
      <c r="S124" s="33">
        <f>IF(C124="","",IF(OR(Q124="",N124=0),"",Q124/N124-1))</f>
        <v>0</v>
      </c>
      <c r="T124" s="43">
        <f>IF(C124="","",IF(S124="","",IF(S124&gt;0.15,"Dearer",IF(S124&lt;-0.15,"Cheaper","Similar"))))</f>
        <v>0</v>
      </c>
      <c r="U124" s="32">
        <f>IF(C124="","",IF(K124="","",TodayDate-K124))</f>
        <v>0</v>
      </c>
      <c r="V124" s="43">
        <f>IF(C124="","",IF(F124="","Add - what do they charge?",IF(O124="","Check - your product has no price",IF(AND(U124&lt;&gt;"",U124&gt;180),"Check - research is over six months old",IF(AND(T124="Cheaper",H124="Below mine"),"Raise - better work, lower price",IF(T124="Dearer","Fine - make sure the listing shows why","OK"))))))</f>
        <v>0</v>
      </c>
    </row>
    <row r="125" spans="2:22">
      <c r="B125" s="13">
        <f>IF(A125="","",IFERROR(INDEX(Products!$B$5:$B$304,MATCH(A125,Products!$A$5:$A$304,0)),"Not found"))</f>
        <v>0</v>
      </c>
      <c r="N125" s="20">
        <f>IF(C125="","",ROUND(IF(F125="",0,F125)+IF(G125="",0,G125),2))</f>
        <v>0</v>
      </c>
      <c r="O125" s="20">
        <f>IF(A125="","",IFERROR(INDEX(Products!$AR$5:$AR$304,MATCH(A125,Products!$A$5:$A$304,0)),""))</f>
        <v>0</v>
      </c>
      <c r="P125" s="20">
        <f>IF(A125="","",IFERROR(INDEX(Products!$AE$5:$AE$304,MATCH(A125,Products!$A$5:$A$304,0)),""))</f>
        <v>0</v>
      </c>
      <c r="Q125" s="20">
        <f>IF(C125="","",IF(O125="","",ROUND(O125+IF(P125="",0,P125),2)))</f>
        <v>0</v>
      </c>
      <c r="R125" s="20">
        <f>IF(C125="","",IF(OR(Q125="",N125=0),"",ROUND(Q125-N125,2)))</f>
        <v>0</v>
      </c>
      <c r="S125" s="33">
        <f>IF(C125="","",IF(OR(Q125="",N125=0),"",Q125/N125-1))</f>
        <v>0</v>
      </c>
      <c r="T125" s="43">
        <f>IF(C125="","",IF(S125="","",IF(S125&gt;0.15,"Dearer",IF(S125&lt;-0.15,"Cheaper","Similar"))))</f>
        <v>0</v>
      </c>
      <c r="U125" s="32">
        <f>IF(C125="","",IF(K125="","",TodayDate-K125))</f>
        <v>0</v>
      </c>
      <c r="V125" s="43">
        <f>IF(C125="","",IF(F125="","Add - what do they charge?",IF(O125="","Check - your product has no price",IF(AND(U125&lt;&gt;"",U125&gt;180),"Check - research is over six months old",IF(AND(T125="Cheaper",H125="Below mine"),"Raise - better work, lower price",IF(T125="Dearer","Fine - make sure the listing shows why","OK"))))))</f>
        <v>0</v>
      </c>
    </row>
    <row r="126" spans="2:22">
      <c r="B126" s="13">
        <f>IF(A126="","",IFERROR(INDEX(Products!$B$5:$B$304,MATCH(A126,Products!$A$5:$A$304,0)),"Not found"))</f>
        <v>0</v>
      </c>
      <c r="N126" s="20">
        <f>IF(C126="","",ROUND(IF(F126="",0,F126)+IF(G126="",0,G126),2))</f>
        <v>0</v>
      </c>
      <c r="O126" s="20">
        <f>IF(A126="","",IFERROR(INDEX(Products!$AR$5:$AR$304,MATCH(A126,Products!$A$5:$A$304,0)),""))</f>
        <v>0</v>
      </c>
      <c r="P126" s="20">
        <f>IF(A126="","",IFERROR(INDEX(Products!$AE$5:$AE$304,MATCH(A126,Products!$A$5:$A$304,0)),""))</f>
        <v>0</v>
      </c>
      <c r="Q126" s="20">
        <f>IF(C126="","",IF(O126="","",ROUND(O126+IF(P126="",0,P126),2)))</f>
        <v>0</v>
      </c>
      <c r="R126" s="20">
        <f>IF(C126="","",IF(OR(Q126="",N126=0),"",ROUND(Q126-N126,2)))</f>
        <v>0</v>
      </c>
      <c r="S126" s="33">
        <f>IF(C126="","",IF(OR(Q126="",N126=0),"",Q126/N126-1))</f>
        <v>0</v>
      </c>
      <c r="T126" s="43">
        <f>IF(C126="","",IF(S126="","",IF(S126&gt;0.15,"Dearer",IF(S126&lt;-0.15,"Cheaper","Similar"))))</f>
        <v>0</v>
      </c>
      <c r="U126" s="32">
        <f>IF(C126="","",IF(K126="","",TodayDate-K126))</f>
        <v>0</v>
      </c>
      <c r="V126" s="43">
        <f>IF(C126="","",IF(F126="","Add - what do they charge?",IF(O126="","Check - your product has no price",IF(AND(U126&lt;&gt;"",U126&gt;180),"Check - research is over six months old",IF(AND(T126="Cheaper",H126="Below mine"),"Raise - better work, lower price",IF(T126="Dearer","Fine - make sure the listing shows why","OK"))))))</f>
        <v>0</v>
      </c>
    </row>
    <row r="127" spans="2:22">
      <c r="B127" s="13">
        <f>IF(A127="","",IFERROR(INDEX(Products!$B$5:$B$304,MATCH(A127,Products!$A$5:$A$304,0)),"Not found"))</f>
        <v>0</v>
      </c>
      <c r="N127" s="20">
        <f>IF(C127="","",ROUND(IF(F127="",0,F127)+IF(G127="",0,G127),2))</f>
        <v>0</v>
      </c>
      <c r="O127" s="20">
        <f>IF(A127="","",IFERROR(INDEX(Products!$AR$5:$AR$304,MATCH(A127,Products!$A$5:$A$304,0)),""))</f>
        <v>0</v>
      </c>
      <c r="P127" s="20">
        <f>IF(A127="","",IFERROR(INDEX(Products!$AE$5:$AE$304,MATCH(A127,Products!$A$5:$A$304,0)),""))</f>
        <v>0</v>
      </c>
      <c r="Q127" s="20">
        <f>IF(C127="","",IF(O127="","",ROUND(O127+IF(P127="",0,P127),2)))</f>
        <v>0</v>
      </c>
      <c r="R127" s="20">
        <f>IF(C127="","",IF(OR(Q127="",N127=0),"",ROUND(Q127-N127,2)))</f>
        <v>0</v>
      </c>
      <c r="S127" s="33">
        <f>IF(C127="","",IF(OR(Q127="",N127=0),"",Q127/N127-1))</f>
        <v>0</v>
      </c>
      <c r="T127" s="43">
        <f>IF(C127="","",IF(S127="","",IF(S127&gt;0.15,"Dearer",IF(S127&lt;-0.15,"Cheaper","Similar"))))</f>
        <v>0</v>
      </c>
      <c r="U127" s="32">
        <f>IF(C127="","",IF(K127="","",TodayDate-K127))</f>
        <v>0</v>
      </c>
      <c r="V127" s="43">
        <f>IF(C127="","",IF(F127="","Add - what do they charge?",IF(O127="","Check - your product has no price",IF(AND(U127&lt;&gt;"",U127&gt;180),"Check - research is over six months old",IF(AND(T127="Cheaper",H127="Below mine"),"Raise - better work, lower price",IF(T127="Dearer","Fine - make sure the listing shows why","OK"))))))</f>
        <v>0</v>
      </c>
    </row>
    <row r="128" spans="2:22">
      <c r="B128" s="13">
        <f>IF(A128="","",IFERROR(INDEX(Products!$B$5:$B$304,MATCH(A128,Products!$A$5:$A$304,0)),"Not found"))</f>
        <v>0</v>
      </c>
      <c r="N128" s="20">
        <f>IF(C128="","",ROUND(IF(F128="",0,F128)+IF(G128="",0,G128),2))</f>
        <v>0</v>
      </c>
      <c r="O128" s="20">
        <f>IF(A128="","",IFERROR(INDEX(Products!$AR$5:$AR$304,MATCH(A128,Products!$A$5:$A$304,0)),""))</f>
        <v>0</v>
      </c>
      <c r="P128" s="20">
        <f>IF(A128="","",IFERROR(INDEX(Products!$AE$5:$AE$304,MATCH(A128,Products!$A$5:$A$304,0)),""))</f>
        <v>0</v>
      </c>
      <c r="Q128" s="20">
        <f>IF(C128="","",IF(O128="","",ROUND(O128+IF(P128="",0,P128),2)))</f>
        <v>0</v>
      </c>
      <c r="R128" s="20">
        <f>IF(C128="","",IF(OR(Q128="",N128=0),"",ROUND(Q128-N128,2)))</f>
        <v>0</v>
      </c>
      <c r="S128" s="33">
        <f>IF(C128="","",IF(OR(Q128="",N128=0),"",Q128/N128-1))</f>
        <v>0</v>
      </c>
      <c r="T128" s="43">
        <f>IF(C128="","",IF(S128="","",IF(S128&gt;0.15,"Dearer",IF(S128&lt;-0.15,"Cheaper","Similar"))))</f>
        <v>0</v>
      </c>
      <c r="U128" s="32">
        <f>IF(C128="","",IF(K128="","",TodayDate-K128))</f>
        <v>0</v>
      </c>
      <c r="V128" s="43">
        <f>IF(C128="","",IF(F128="","Add - what do they charge?",IF(O128="","Check - your product has no price",IF(AND(U128&lt;&gt;"",U128&gt;180),"Check - research is over six months old",IF(AND(T128="Cheaper",H128="Below mine"),"Raise - better work, lower price",IF(T128="Dearer","Fine - make sure the listing shows why","OK"))))))</f>
        <v>0</v>
      </c>
    </row>
    <row r="129" spans="2:22">
      <c r="B129" s="13">
        <f>IF(A129="","",IFERROR(INDEX(Products!$B$5:$B$304,MATCH(A129,Products!$A$5:$A$304,0)),"Not found"))</f>
        <v>0</v>
      </c>
      <c r="N129" s="20">
        <f>IF(C129="","",ROUND(IF(F129="",0,F129)+IF(G129="",0,G129),2))</f>
        <v>0</v>
      </c>
      <c r="O129" s="20">
        <f>IF(A129="","",IFERROR(INDEX(Products!$AR$5:$AR$304,MATCH(A129,Products!$A$5:$A$304,0)),""))</f>
        <v>0</v>
      </c>
      <c r="P129" s="20">
        <f>IF(A129="","",IFERROR(INDEX(Products!$AE$5:$AE$304,MATCH(A129,Products!$A$5:$A$304,0)),""))</f>
        <v>0</v>
      </c>
      <c r="Q129" s="20">
        <f>IF(C129="","",IF(O129="","",ROUND(O129+IF(P129="",0,P129),2)))</f>
        <v>0</v>
      </c>
      <c r="R129" s="20">
        <f>IF(C129="","",IF(OR(Q129="",N129=0),"",ROUND(Q129-N129,2)))</f>
        <v>0</v>
      </c>
      <c r="S129" s="33">
        <f>IF(C129="","",IF(OR(Q129="",N129=0),"",Q129/N129-1))</f>
        <v>0</v>
      </c>
      <c r="T129" s="43">
        <f>IF(C129="","",IF(S129="","",IF(S129&gt;0.15,"Dearer",IF(S129&lt;-0.15,"Cheaper","Similar"))))</f>
        <v>0</v>
      </c>
      <c r="U129" s="32">
        <f>IF(C129="","",IF(K129="","",TodayDate-K129))</f>
        <v>0</v>
      </c>
      <c r="V129" s="43">
        <f>IF(C129="","",IF(F129="","Add - what do they charge?",IF(O129="","Check - your product has no price",IF(AND(U129&lt;&gt;"",U129&gt;180),"Check - research is over six months old",IF(AND(T129="Cheaper",H129="Below mine"),"Raise - better work, lower price",IF(T129="Dearer","Fine - make sure the listing shows why","OK"))))))</f>
        <v>0</v>
      </c>
    </row>
    <row r="130" spans="2:22">
      <c r="B130" s="13">
        <f>IF(A130="","",IFERROR(INDEX(Products!$B$5:$B$304,MATCH(A130,Products!$A$5:$A$304,0)),"Not found"))</f>
        <v>0</v>
      </c>
      <c r="N130" s="20">
        <f>IF(C130="","",ROUND(IF(F130="",0,F130)+IF(G130="",0,G130),2))</f>
        <v>0</v>
      </c>
      <c r="O130" s="20">
        <f>IF(A130="","",IFERROR(INDEX(Products!$AR$5:$AR$304,MATCH(A130,Products!$A$5:$A$304,0)),""))</f>
        <v>0</v>
      </c>
      <c r="P130" s="20">
        <f>IF(A130="","",IFERROR(INDEX(Products!$AE$5:$AE$304,MATCH(A130,Products!$A$5:$A$304,0)),""))</f>
        <v>0</v>
      </c>
      <c r="Q130" s="20">
        <f>IF(C130="","",IF(O130="","",ROUND(O130+IF(P130="",0,P130),2)))</f>
        <v>0</v>
      </c>
      <c r="R130" s="20">
        <f>IF(C130="","",IF(OR(Q130="",N130=0),"",ROUND(Q130-N130,2)))</f>
        <v>0</v>
      </c>
      <c r="S130" s="33">
        <f>IF(C130="","",IF(OR(Q130="",N130=0),"",Q130/N130-1))</f>
        <v>0</v>
      </c>
      <c r="T130" s="43">
        <f>IF(C130="","",IF(S130="","",IF(S130&gt;0.15,"Dearer",IF(S130&lt;-0.15,"Cheaper","Similar"))))</f>
        <v>0</v>
      </c>
      <c r="U130" s="32">
        <f>IF(C130="","",IF(K130="","",TodayDate-K130))</f>
        <v>0</v>
      </c>
      <c r="V130" s="43">
        <f>IF(C130="","",IF(F130="","Add - what do they charge?",IF(O130="","Check - your product has no price",IF(AND(U130&lt;&gt;"",U130&gt;180),"Check - research is over six months old",IF(AND(T130="Cheaper",H130="Below mine"),"Raise - better work, lower price",IF(T130="Dearer","Fine - make sure the listing shows why","OK"))))))</f>
        <v>0</v>
      </c>
    </row>
    <row r="131" spans="2:22">
      <c r="B131" s="13">
        <f>IF(A131="","",IFERROR(INDEX(Products!$B$5:$B$304,MATCH(A131,Products!$A$5:$A$304,0)),"Not found"))</f>
        <v>0</v>
      </c>
      <c r="N131" s="20">
        <f>IF(C131="","",ROUND(IF(F131="",0,F131)+IF(G131="",0,G131),2))</f>
        <v>0</v>
      </c>
      <c r="O131" s="20">
        <f>IF(A131="","",IFERROR(INDEX(Products!$AR$5:$AR$304,MATCH(A131,Products!$A$5:$A$304,0)),""))</f>
        <v>0</v>
      </c>
      <c r="P131" s="20">
        <f>IF(A131="","",IFERROR(INDEX(Products!$AE$5:$AE$304,MATCH(A131,Products!$A$5:$A$304,0)),""))</f>
        <v>0</v>
      </c>
      <c r="Q131" s="20">
        <f>IF(C131="","",IF(O131="","",ROUND(O131+IF(P131="",0,P131),2)))</f>
        <v>0</v>
      </c>
      <c r="R131" s="20">
        <f>IF(C131="","",IF(OR(Q131="",N131=0),"",ROUND(Q131-N131,2)))</f>
        <v>0</v>
      </c>
      <c r="S131" s="33">
        <f>IF(C131="","",IF(OR(Q131="",N131=0),"",Q131/N131-1))</f>
        <v>0</v>
      </c>
      <c r="T131" s="43">
        <f>IF(C131="","",IF(S131="","",IF(S131&gt;0.15,"Dearer",IF(S131&lt;-0.15,"Cheaper","Similar"))))</f>
        <v>0</v>
      </c>
      <c r="U131" s="32">
        <f>IF(C131="","",IF(K131="","",TodayDate-K131))</f>
        <v>0</v>
      </c>
      <c r="V131" s="43">
        <f>IF(C131="","",IF(F131="","Add - what do they charge?",IF(O131="","Check - your product has no price",IF(AND(U131&lt;&gt;"",U131&gt;180),"Check - research is over six months old",IF(AND(T131="Cheaper",H131="Below mine"),"Raise - better work, lower price",IF(T131="Dearer","Fine - make sure the listing shows why","OK"))))))</f>
        <v>0</v>
      </c>
    </row>
    <row r="132" spans="2:22">
      <c r="B132" s="13">
        <f>IF(A132="","",IFERROR(INDEX(Products!$B$5:$B$304,MATCH(A132,Products!$A$5:$A$304,0)),"Not found"))</f>
        <v>0</v>
      </c>
      <c r="N132" s="20">
        <f>IF(C132="","",ROUND(IF(F132="",0,F132)+IF(G132="",0,G132),2))</f>
        <v>0</v>
      </c>
      <c r="O132" s="20">
        <f>IF(A132="","",IFERROR(INDEX(Products!$AR$5:$AR$304,MATCH(A132,Products!$A$5:$A$304,0)),""))</f>
        <v>0</v>
      </c>
      <c r="P132" s="20">
        <f>IF(A132="","",IFERROR(INDEX(Products!$AE$5:$AE$304,MATCH(A132,Products!$A$5:$A$304,0)),""))</f>
        <v>0</v>
      </c>
      <c r="Q132" s="20">
        <f>IF(C132="","",IF(O132="","",ROUND(O132+IF(P132="",0,P132),2)))</f>
        <v>0</v>
      </c>
      <c r="R132" s="20">
        <f>IF(C132="","",IF(OR(Q132="",N132=0),"",ROUND(Q132-N132,2)))</f>
        <v>0</v>
      </c>
      <c r="S132" s="33">
        <f>IF(C132="","",IF(OR(Q132="",N132=0),"",Q132/N132-1))</f>
        <v>0</v>
      </c>
      <c r="T132" s="43">
        <f>IF(C132="","",IF(S132="","",IF(S132&gt;0.15,"Dearer",IF(S132&lt;-0.15,"Cheaper","Similar"))))</f>
        <v>0</v>
      </c>
      <c r="U132" s="32">
        <f>IF(C132="","",IF(K132="","",TodayDate-K132))</f>
        <v>0</v>
      </c>
      <c r="V132" s="43">
        <f>IF(C132="","",IF(F132="","Add - what do they charge?",IF(O132="","Check - your product has no price",IF(AND(U132&lt;&gt;"",U132&gt;180),"Check - research is over six months old",IF(AND(T132="Cheaper",H132="Below mine"),"Raise - better work, lower price",IF(T132="Dearer","Fine - make sure the listing shows why","OK"))))))</f>
        <v>0</v>
      </c>
    </row>
    <row r="133" spans="2:22">
      <c r="B133" s="13">
        <f>IF(A133="","",IFERROR(INDEX(Products!$B$5:$B$304,MATCH(A133,Products!$A$5:$A$304,0)),"Not found"))</f>
        <v>0</v>
      </c>
      <c r="N133" s="20">
        <f>IF(C133="","",ROUND(IF(F133="",0,F133)+IF(G133="",0,G133),2))</f>
        <v>0</v>
      </c>
      <c r="O133" s="20">
        <f>IF(A133="","",IFERROR(INDEX(Products!$AR$5:$AR$304,MATCH(A133,Products!$A$5:$A$304,0)),""))</f>
        <v>0</v>
      </c>
      <c r="P133" s="20">
        <f>IF(A133="","",IFERROR(INDEX(Products!$AE$5:$AE$304,MATCH(A133,Products!$A$5:$A$304,0)),""))</f>
        <v>0</v>
      </c>
      <c r="Q133" s="20">
        <f>IF(C133="","",IF(O133="","",ROUND(O133+IF(P133="",0,P133),2)))</f>
        <v>0</v>
      </c>
      <c r="R133" s="20">
        <f>IF(C133="","",IF(OR(Q133="",N133=0),"",ROUND(Q133-N133,2)))</f>
        <v>0</v>
      </c>
      <c r="S133" s="33">
        <f>IF(C133="","",IF(OR(Q133="",N133=0),"",Q133/N133-1))</f>
        <v>0</v>
      </c>
      <c r="T133" s="43">
        <f>IF(C133="","",IF(S133="","",IF(S133&gt;0.15,"Dearer",IF(S133&lt;-0.15,"Cheaper","Similar"))))</f>
        <v>0</v>
      </c>
      <c r="U133" s="32">
        <f>IF(C133="","",IF(K133="","",TodayDate-K133))</f>
        <v>0</v>
      </c>
      <c r="V133" s="43">
        <f>IF(C133="","",IF(F133="","Add - what do they charge?",IF(O133="","Check - your product has no price",IF(AND(U133&lt;&gt;"",U133&gt;180),"Check - research is over six months old",IF(AND(T133="Cheaper",H133="Below mine"),"Raise - better work, lower price",IF(T133="Dearer","Fine - make sure the listing shows why","OK"))))))</f>
        <v>0</v>
      </c>
    </row>
    <row r="134" spans="2:22">
      <c r="B134" s="13">
        <f>IF(A134="","",IFERROR(INDEX(Products!$B$5:$B$304,MATCH(A134,Products!$A$5:$A$304,0)),"Not found"))</f>
        <v>0</v>
      </c>
      <c r="N134" s="20">
        <f>IF(C134="","",ROUND(IF(F134="",0,F134)+IF(G134="",0,G134),2))</f>
        <v>0</v>
      </c>
      <c r="O134" s="20">
        <f>IF(A134="","",IFERROR(INDEX(Products!$AR$5:$AR$304,MATCH(A134,Products!$A$5:$A$304,0)),""))</f>
        <v>0</v>
      </c>
      <c r="P134" s="20">
        <f>IF(A134="","",IFERROR(INDEX(Products!$AE$5:$AE$304,MATCH(A134,Products!$A$5:$A$304,0)),""))</f>
        <v>0</v>
      </c>
      <c r="Q134" s="20">
        <f>IF(C134="","",IF(O134="","",ROUND(O134+IF(P134="",0,P134),2)))</f>
        <v>0</v>
      </c>
      <c r="R134" s="20">
        <f>IF(C134="","",IF(OR(Q134="",N134=0),"",ROUND(Q134-N134,2)))</f>
        <v>0</v>
      </c>
      <c r="S134" s="33">
        <f>IF(C134="","",IF(OR(Q134="",N134=0),"",Q134/N134-1))</f>
        <v>0</v>
      </c>
      <c r="T134" s="43">
        <f>IF(C134="","",IF(S134="","",IF(S134&gt;0.15,"Dearer",IF(S134&lt;-0.15,"Cheaper","Similar"))))</f>
        <v>0</v>
      </c>
      <c r="U134" s="32">
        <f>IF(C134="","",IF(K134="","",TodayDate-K134))</f>
        <v>0</v>
      </c>
      <c r="V134" s="43">
        <f>IF(C134="","",IF(F134="","Add - what do they charge?",IF(O134="","Check - your product has no price",IF(AND(U134&lt;&gt;"",U134&gt;180),"Check - research is over six months old",IF(AND(T134="Cheaper",H134="Below mine"),"Raise - better work, lower price",IF(T134="Dearer","Fine - make sure the listing shows why","OK"))))))</f>
        <v>0</v>
      </c>
    </row>
    <row r="135" spans="2:22">
      <c r="B135" s="13">
        <f>IF(A135="","",IFERROR(INDEX(Products!$B$5:$B$304,MATCH(A135,Products!$A$5:$A$304,0)),"Not found"))</f>
        <v>0</v>
      </c>
      <c r="N135" s="20">
        <f>IF(C135="","",ROUND(IF(F135="",0,F135)+IF(G135="",0,G135),2))</f>
        <v>0</v>
      </c>
      <c r="O135" s="20">
        <f>IF(A135="","",IFERROR(INDEX(Products!$AR$5:$AR$304,MATCH(A135,Products!$A$5:$A$304,0)),""))</f>
        <v>0</v>
      </c>
      <c r="P135" s="20">
        <f>IF(A135="","",IFERROR(INDEX(Products!$AE$5:$AE$304,MATCH(A135,Products!$A$5:$A$304,0)),""))</f>
        <v>0</v>
      </c>
      <c r="Q135" s="20">
        <f>IF(C135="","",IF(O135="","",ROUND(O135+IF(P135="",0,P135),2)))</f>
        <v>0</v>
      </c>
      <c r="R135" s="20">
        <f>IF(C135="","",IF(OR(Q135="",N135=0),"",ROUND(Q135-N135,2)))</f>
        <v>0</v>
      </c>
      <c r="S135" s="33">
        <f>IF(C135="","",IF(OR(Q135="",N135=0),"",Q135/N135-1))</f>
        <v>0</v>
      </c>
      <c r="T135" s="43">
        <f>IF(C135="","",IF(S135="","",IF(S135&gt;0.15,"Dearer",IF(S135&lt;-0.15,"Cheaper","Similar"))))</f>
        <v>0</v>
      </c>
      <c r="U135" s="32">
        <f>IF(C135="","",IF(K135="","",TodayDate-K135))</f>
        <v>0</v>
      </c>
      <c r="V135" s="43">
        <f>IF(C135="","",IF(F135="","Add - what do they charge?",IF(O135="","Check - your product has no price",IF(AND(U135&lt;&gt;"",U135&gt;180),"Check - research is over six months old",IF(AND(T135="Cheaper",H135="Below mine"),"Raise - better work, lower price",IF(T135="Dearer","Fine - make sure the listing shows why","OK"))))))</f>
        <v>0</v>
      </c>
    </row>
    <row r="136" spans="2:22">
      <c r="B136" s="13">
        <f>IF(A136="","",IFERROR(INDEX(Products!$B$5:$B$304,MATCH(A136,Products!$A$5:$A$304,0)),"Not found"))</f>
        <v>0</v>
      </c>
      <c r="N136" s="20">
        <f>IF(C136="","",ROUND(IF(F136="",0,F136)+IF(G136="",0,G136),2))</f>
        <v>0</v>
      </c>
      <c r="O136" s="20">
        <f>IF(A136="","",IFERROR(INDEX(Products!$AR$5:$AR$304,MATCH(A136,Products!$A$5:$A$304,0)),""))</f>
        <v>0</v>
      </c>
      <c r="P136" s="20">
        <f>IF(A136="","",IFERROR(INDEX(Products!$AE$5:$AE$304,MATCH(A136,Products!$A$5:$A$304,0)),""))</f>
        <v>0</v>
      </c>
      <c r="Q136" s="20">
        <f>IF(C136="","",IF(O136="","",ROUND(O136+IF(P136="",0,P136),2)))</f>
        <v>0</v>
      </c>
      <c r="R136" s="20">
        <f>IF(C136="","",IF(OR(Q136="",N136=0),"",ROUND(Q136-N136,2)))</f>
        <v>0</v>
      </c>
      <c r="S136" s="33">
        <f>IF(C136="","",IF(OR(Q136="",N136=0),"",Q136/N136-1))</f>
        <v>0</v>
      </c>
      <c r="T136" s="43">
        <f>IF(C136="","",IF(S136="","",IF(S136&gt;0.15,"Dearer",IF(S136&lt;-0.15,"Cheaper","Similar"))))</f>
        <v>0</v>
      </c>
      <c r="U136" s="32">
        <f>IF(C136="","",IF(K136="","",TodayDate-K136))</f>
        <v>0</v>
      </c>
      <c r="V136" s="43">
        <f>IF(C136="","",IF(F136="","Add - what do they charge?",IF(O136="","Check - your product has no price",IF(AND(U136&lt;&gt;"",U136&gt;180),"Check - research is over six months old",IF(AND(T136="Cheaper",H136="Below mine"),"Raise - better work, lower price",IF(T136="Dearer","Fine - make sure the listing shows why","OK"))))))</f>
        <v>0</v>
      </c>
    </row>
    <row r="137" spans="2:22">
      <c r="B137" s="13">
        <f>IF(A137="","",IFERROR(INDEX(Products!$B$5:$B$304,MATCH(A137,Products!$A$5:$A$304,0)),"Not found"))</f>
        <v>0</v>
      </c>
      <c r="N137" s="20">
        <f>IF(C137="","",ROUND(IF(F137="",0,F137)+IF(G137="",0,G137),2))</f>
        <v>0</v>
      </c>
      <c r="O137" s="20">
        <f>IF(A137="","",IFERROR(INDEX(Products!$AR$5:$AR$304,MATCH(A137,Products!$A$5:$A$304,0)),""))</f>
        <v>0</v>
      </c>
      <c r="P137" s="20">
        <f>IF(A137="","",IFERROR(INDEX(Products!$AE$5:$AE$304,MATCH(A137,Products!$A$5:$A$304,0)),""))</f>
        <v>0</v>
      </c>
      <c r="Q137" s="20">
        <f>IF(C137="","",IF(O137="","",ROUND(O137+IF(P137="",0,P137),2)))</f>
        <v>0</v>
      </c>
      <c r="R137" s="20">
        <f>IF(C137="","",IF(OR(Q137="",N137=0),"",ROUND(Q137-N137,2)))</f>
        <v>0</v>
      </c>
      <c r="S137" s="33">
        <f>IF(C137="","",IF(OR(Q137="",N137=0),"",Q137/N137-1))</f>
        <v>0</v>
      </c>
      <c r="T137" s="43">
        <f>IF(C137="","",IF(S137="","",IF(S137&gt;0.15,"Dearer",IF(S137&lt;-0.15,"Cheaper","Similar"))))</f>
        <v>0</v>
      </c>
      <c r="U137" s="32">
        <f>IF(C137="","",IF(K137="","",TodayDate-K137))</f>
        <v>0</v>
      </c>
      <c r="V137" s="43">
        <f>IF(C137="","",IF(F137="","Add - what do they charge?",IF(O137="","Check - your product has no price",IF(AND(U137&lt;&gt;"",U137&gt;180),"Check - research is over six months old",IF(AND(T137="Cheaper",H137="Below mine"),"Raise - better work, lower price",IF(T137="Dearer","Fine - make sure the listing shows why","OK"))))))</f>
        <v>0</v>
      </c>
    </row>
    <row r="138" spans="2:22">
      <c r="B138" s="13">
        <f>IF(A138="","",IFERROR(INDEX(Products!$B$5:$B$304,MATCH(A138,Products!$A$5:$A$304,0)),"Not found"))</f>
        <v>0</v>
      </c>
      <c r="N138" s="20">
        <f>IF(C138="","",ROUND(IF(F138="",0,F138)+IF(G138="",0,G138),2))</f>
        <v>0</v>
      </c>
      <c r="O138" s="20">
        <f>IF(A138="","",IFERROR(INDEX(Products!$AR$5:$AR$304,MATCH(A138,Products!$A$5:$A$304,0)),""))</f>
        <v>0</v>
      </c>
      <c r="P138" s="20">
        <f>IF(A138="","",IFERROR(INDEX(Products!$AE$5:$AE$304,MATCH(A138,Products!$A$5:$A$304,0)),""))</f>
        <v>0</v>
      </c>
      <c r="Q138" s="20">
        <f>IF(C138="","",IF(O138="","",ROUND(O138+IF(P138="",0,P138),2)))</f>
        <v>0</v>
      </c>
      <c r="R138" s="20">
        <f>IF(C138="","",IF(OR(Q138="",N138=0),"",ROUND(Q138-N138,2)))</f>
        <v>0</v>
      </c>
      <c r="S138" s="33">
        <f>IF(C138="","",IF(OR(Q138="",N138=0),"",Q138/N138-1))</f>
        <v>0</v>
      </c>
      <c r="T138" s="43">
        <f>IF(C138="","",IF(S138="","",IF(S138&gt;0.15,"Dearer",IF(S138&lt;-0.15,"Cheaper","Similar"))))</f>
        <v>0</v>
      </c>
      <c r="U138" s="32">
        <f>IF(C138="","",IF(K138="","",TodayDate-K138))</f>
        <v>0</v>
      </c>
      <c r="V138" s="43">
        <f>IF(C138="","",IF(F138="","Add - what do they charge?",IF(O138="","Check - your product has no price",IF(AND(U138&lt;&gt;"",U138&gt;180),"Check - research is over six months old",IF(AND(T138="Cheaper",H138="Below mine"),"Raise - better work, lower price",IF(T138="Dearer","Fine - make sure the listing shows why","OK"))))))</f>
        <v>0</v>
      </c>
    </row>
    <row r="139" spans="2:22">
      <c r="B139" s="13">
        <f>IF(A139="","",IFERROR(INDEX(Products!$B$5:$B$304,MATCH(A139,Products!$A$5:$A$304,0)),"Not found"))</f>
        <v>0</v>
      </c>
      <c r="N139" s="20">
        <f>IF(C139="","",ROUND(IF(F139="",0,F139)+IF(G139="",0,G139),2))</f>
        <v>0</v>
      </c>
      <c r="O139" s="20">
        <f>IF(A139="","",IFERROR(INDEX(Products!$AR$5:$AR$304,MATCH(A139,Products!$A$5:$A$304,0)),""))</f>
        <v>0</v>
      </c>
      <c r="P139" s="20">
        <f>IF(A139="","",IFERROR(INDEX(Products!$AE$5:$AE$304,MATCH(A139,Products!$A$5:$A$304,0)),""))</f>
        <v>0</v>
      </c>
      <c r="Q139" s="20">
        <f>IF(C139="","",IF(O139="","",ROUND(O139+IF(P139="",0,P139),2)))</f>
        <v>0</v>
      </c>
      <c r="R139" s="20">
        <f>IF(C139="","",IF(OR(Q139="",N139=0),"",ROUND(Q139-N139,2)))</f>
        <v>0</v>
      </c>
      <c r="S139" s="33">
        <f>IF(C139="","",IF(OR(Q139="",N139=0),"",Q139/N139-1))</f>
        <v>0</v>
      </c>
      <c r="T139" s="43">
        <f>IF(C139="","",IF(S139="","",IF(S139&gt;0.15,"Dearer",IF(S139&lt;-0.15,"Cheaper","Similar"))))</f>
        <v>0</v>
      </c>
      <c r="U139" s="32">
        <f>IF(C139="","",IF(K139="","",TodayDate-K139))</f>
        <v>0</v>
      </c>
      <c r="V139" s="43">
        <f>IF(C139="","",IF(F139="","Add - what do they charge?",IF(O139="","Check - your product has no price",IF(AND(U139&lt;&gt;"",U139&gt;180),"Check - research is over six months old",IF(AND(T139="Cheaper",H139="Below mine"),"Raise - better work, lower price",IF(T139="Dearer","Fine - make sure the listing shows why","OK"))))))</f>
        <v>0</v>
      </c>
    </row>
    <row r="140" spans="2:22">
      <c r="B140" s="13">
        <f>IF(A140="","",IFERROR(INDEX(Products!$B$5:$B$304,MATCH(A140,Products!$A$5:$A$304,0)),"Not found"))</f>
        <v>0</v>
      </c>
      <c r="N140" s="20">
        <f>IF(C140="","",ROUND(IF(F140="",0,F140)+IF(G140="",0,G140),2))</f>
        <v>0</v>
      </c>
      <c r="O140" s="20">
        <f>IF(A140="","",IFERROR(INDEX(Products!$AR$5:$AR$304,MATCH(A140,Products!$A$5:$A$304,0)),""))</f>
        <v>0</v>
      </c>
      <c r="P140" s="20">
        <f>IF(A140="","",IFERROR(INDEX(Products!$AE$5:$AE$304,MATCH(A140,Products!$A$5:$A$304,0)),""))</f>
        <v>0</v>
      </c>
      <c r="Q140" s="20">
        <f>IF(C140="","",IF(O140="","",ROUND(O140+IF(P140="",0,P140),2)))</f>
        <v>0</v>
      </c>
      <c r="R140" s="20">
        <f>IF(C140="","",IF(OR(Q140="",N140=0),"",ROUND(Q140-N140,2)))</f>
        <v>0</v>
      </c>
      <c r="S140" s="33">
        <f>IF(C140="","",IF(OR(Q140="",N140=0),"",Q140/N140-1))</f>
        <v>0</v>
      </c>
      <c r="T140" s="43">
        <f>IF(C140="","",IF(S140="","",IF(S140&gt;0.15,"Dearer",IF(S140&lt;-0.15,"Cheaper","Similar"))))</f>
        <v>0</v>
      </c>
      <c r="U140" s="32">
        <f>IF(C140="","",IF(K140="","",TodayDate-K140))</f>
        <v>0</v>
      </c>
      <c r="V140" s="43">
        <f>IF(C140="","",IF(F140="","Add - what do they charge?",IF(O140="","Check - your product has no price",IF(AND(U140&lt;&gt;"",U140&gt;180),"Check - research is over six months old",IF(AND(T140="Cheaper",H140="Below mine"),"Raise - better work, lower price",IF(T140="Dearer","Fine - make sure the listing shows why","OK"))))))</f>
        <v>0</v>
      </c>
    </row>
    <row r="141" spans="2:22">
      <c r="B141" s="13">
        <f>IF(A141="","",IFERROR(INDEX(Products!$B$5:$B$304,MATCH(A141,Products!$A$5:$A$304,0)),"Not found"))</f>
        <v>0</v>
      </c>
      <c r="N141" s="20">
        <f>IF(C141="","",ROUND(IF(F141="",0,F141)+IF(G141="",0,G141),2))</f>
        <v>0</v>
      </c>
      <c r="O141" s="20">
        <f>IF(A141="","",IFERROR(INDEX(Products!$AR$5:$AR$304,MATCH(A141,Products!$A$5:$A$304,0)),""))</f>
        <v>0</v>
      </c>
      <c r="P141" s="20">
        <f>IF(A141="","",IFERROR(INDEX(Products!$AE$5:$AE$304,MATCH(A141,Products!$A$5:$A$304,0)),""))</f>
        <v>0</v>
      </c>
      <c r="Q141" s="20">
        <f>IF(C141="","",IF(O141="","",ROUND(O141+IF(P141="",0,P141),2)))</f>
        <v>0</v>
      </c>
      <c r="R141" s="20">
        <f>IF(C141="","",IF(OR(Q141="",N141=0),"",ROUND(Q141-N141,2)))</f>
        <v>0</v>
      </c>
      <c r="S141" s="33">
        <f>IF(C141="","",IF(OR(Q141="",N141=0),"",Q141/N141-1))</f>
        <v>0</v>
      </c>
      <c r="T141" s="43">
        <f>IF(C141="","",IF(S141="","",IF(S141&gt;0.15,"Dearer",IF(S141&lt;-0.15,"Cheaper","Similar"))))</f>
        <v>0</v>
      </c>
      <c r="U141" s="32">
        <f>IF(C141="","",IF(K141="","",TodayDate-K141))</f>
        <v>0</v>
      </c>
      <c r="V141" s="43">
        <f>IF(C141="","",IF(F141="","Add - what do they charge?",IF(O141="","Check - your product has no price",IF(AND(U141&lt;&gt;"",U141&gt;180),"Check - research is over six months old",IF(AND(T141="Cheaper",H141="Below mine"),"Raise - better work, lower price",IF(T141="Dearer","Fine - make sure the listing shows why","OK"))))))</f>
        <v>0</v>
      </c>
    </row>
    <row r="142" spans="2:22">
      <c r="B142" s="13">
        <f>IF(A142="","",IFERROR(INDEX(Products!$B$5:$B$304,MATCH(A142,Products!$A$5:$A$304,0)),"Not found"))</f>
        <v>0</v>
      </c>
      <c r="N142" s="20">
        <f>IF(C142="","",ROUND(IF(F142="",0,F142)+IF(G142="",0,G142),2))</f>
        <v>0</v>
      </c>
      <c r="O142" s="20">
        <f>IF(A142="","",IFERROR(INDEX(Products!$AR$5:$AR$304,MATCH(A142,Products!$A$5:$A$304,0)),""))</f>
        <v>0</v>
      </c>
      <c r="P142" s="20">
        <f>IF(A142="","",IFERROR(INDEX(Products!$AE$5:$AE$304,MATCH(A142,Products!$A$5:$A$304,0)),""))</f>
        <v>0</v>
      </c>
      <c r="Q142" s="20">
        <f>IF(C142="","",IF(O142="","",ROUND(O142+IF(P142="",0,P142),2)))</f>
        <v>0</v>
      </c>
      <c r="R142" s="20">
        <f>IF(C142="","",IF(OR(Q142="",N142=0),"",ROUND(Q142-N142,2)))</f>
        <v>0</v>
      </c>
      <c r="S142" s="33">
        <f>IF(C142="","",IF(OR(Q142="",N142=0),"",Q142/N142-1))</f>
        <v>0</v>
      </c>
      <c r="T142" s="43">
        <f>IF(C142="","",IF(S142="","",IF(S142&gt;0.15,"Dearer",IF(S142&lt;-0.15,"Cheaper","Similar"))))</f>
        <v>0</v>
      </c>
      <c r="U142" s="32">
        <f>IF(C142="","",IF(K142="","",TodayDate-K142))</f>
        <v>0</v>
      </c>
      <c r="V142" s="43">
        <f>IF(C142="","",IF(F142="","Add - what do they charge?",IF(O142="","Check - your product has no price",IF(AND(U142&lt;&gt;"",U142&gt;180),"Check - research is over six months old",IF(AND(T142="Cheaper",H142="Below mine"),"Raise - better work, lower price",IF(T142="Dearer","Fine - make sure the listing shows why","OK"))))))</f>
        <v>0</v>
      </c>
    </row>
    <row r="143" spans="2:22">
      <c r="B143" s="13">
        <f>IF(A143="","",IFERROR(INDEX(Products!$B$5:$B$304,MATCH(A143,Products!$A$5:$A$304,0)),"Not found"))</f>
        <v>0</v>
      </c>
      <c r="N143" s="20">
        <f>IF(C143="","",ROUND(IF(F143="",0,F143)+IF(G143="",0,G143),2))</f>
        <v>0</v>
      </c>
      <c r="O143" s="20">
        <f>IF(A143="","",IFERROR(INDEX(Products!$AR$5:$AR$304,MATCH(A143,Products!$A$5:$A$304,0)),""))</f>
        <v>0</v>
      </c>
      <c r="P143" s="20">
        <f>IF(A143="","",IFERROR(INDEX(Products!$AE$5:$AE$304,MATCH(A143,Products!$A$5:$A$304,0)),""))</f>
        <v>0</v>
      </c>
      <c r="Q143" s="20">
        <f>IF(C143="","",IF(O143="","",ROUND(O143+IF(P143="",0,P143),2)))</f>
        <v>0</v>
      </c>
      <c r="R143" s="20">
        <f>IF(C143="","",IF(OR(Q143="",N143=0),"",ROUND(Q143-N143,2)))</f>
        <v>0</v>
      </c>
      <c r="S143" s="33">
        <f>IF(C143="","",IF(OR(Q143="",N143=0),"",Q143/N143-1))</f>
        <v>0</v>
      </c>
      <c r="T143" s="43">
        <f>IF(C143="","",IF(S143="","",IF(S143&gt;0.15,"Dearer",IF(S143&lt;-0.15,"Cheaper","Similar"))))</f>
        <v>0</v>
      </c>
      <c r="U143" s="32">
        <f>IF(C143="","",IF(K143="","",TodayDate-K143))</f>
        <v>0</v>
      </c>
      <c r="V143" s="43">
        <f>IF(C143="","",IF(F143="","Add - what do they charge?",IF(O143="","Check - your product has no price",IF(AND(U143&lt;&gt;"",U143&gt;180),"Check - research is over six months old",IF(AND(T143="Cheaper",H143="Below mine"),"Raise - better work, lower price",IF(T143="Dearer","Fine - make sure the listing shows why","OK"))))))</f>
        <v>0</v>
      </c>
    </row>
    <row r="144" spans="2:22">
      <c r="B144" s="13">
        <f>IF(A144="","",IFERROR(INDEX(Products!$B$5:$B$304,MATCH(A144,Products!$A$5:$A$304,0)),"Not found"))</f>
        <v>0</v>
      </c>
      <c r="N144" s="20">
        <f>IF(C144="","",ROUND(IF(F144="",0,F144)+IF(G144="",0,G144),2))</f>
        <v>0</v>
      </c>
      <c r="O144" s="20">
        <f>IF(A144="","",IFERROR(INDEX(Products!$AR$5:$AR$304,MATCH(A144,Products!$A$5:$A$304,0)),""))</f>
        <v>0</v>
      </c>
      <c r="P144" s="20">
        <f>IF(A144="","",IFERROR(INDEX(Products!$AE$5:$AE$304,MATCH(A144,Products!$A$5:$A$304,0)),""))</f>
        <v>0</v>
      </c>
      <c r="Q144" s="20">
        <f>IF(C144="","",IF(O144="","",ROUND(O144+IF(P144="",0,P144),2)))</f>
        <v>0</v>
      </c>
      <c r="R144" s="20">
        <f>IF(C144="","",IF(OR(Q144="",N144=0),"",ROUND(Q144-N144,2)))</f>
        <v>0</v>
      </c>
      <c r="S144" s="33">
        <f>IF(C144="","",IF(OR(Q144="",N144=0),"",Q144/N144-1))</f>
        <v>0</v>
      </c>
      <c r="T144" s="43">
        <f>IF(C144="","",IF(S144="","",IF(S144&gt;0.15,"Dearer",IF(S144&lt;-0.15,"Cheaper","Similar"))))</f>
        <v>0</v>
      </c>
      <c r="U144" s="32">
        <f>IF(C144="","",IF(K144="","",TodayDate-K144))</f>
        <v>0</v>
      </c>
      <c r="V144" s="43">
        <f>IF(C144="","",IF(F144="","Add - what do they charge?",IF(O144="","Check - your product has no price",IF(AND(U144&lt;&gt;"",U144&gt;180),"Check - research is over six months old",IF(AND(T144="Cheaper",H144="Below mine"),"Raise - better work, lower price",IF(T144="Dearer","Fine - make sure the listing shows why","OK"))))))</f>
        <v>0</v>
      </c>
    </row>
    <row r="145" spans="2:22">
      <c r="B145" s="13">
        <f>IF(A145="","",IFERROR(INDEX(Products!$B$5:$B$304,MATCH(A145,Products!$A$5:$A$304,0)),"Not found"))</f>
        <v>0</v>
      </c>
      <c r="N145" s="20">
        <f>IF(C145="","",ROUND(IF(F145="",0,F145)+IF(G145="",0,G145),2))</f>
        <v>0</v>
      </c>
      <c r="O145" s="20">
        <f>IF(A145="","",IFERROR(INDEX(Products!$AR$5:$AR$304,MATCH(A145,Products!$A$5:$A$304,0)),""))</f>
        <v>0</v>
      </c>
      <c r="P145" s="20">
        <f>IF(A145="","",IFERROR(INDEX(Products!$AE$5:$AE$304,MATCH(A145,Products!$A$5:$A$304,0)),""))</f>
        <v>0</v>
      </c>
      <c r="Q145" s="20">
        <f>IF(C145="","",IF(O145="","",ROUND(O145+IF(P145="",0,P145),2)))</f>
        <v>0</v>
      </c>
      <c r="R145" s="20">
        <f>IF(C145="","",IF(OR(Q145="",N145=0),"",ROUND(Q145-N145,2)))</f>
        <v>0</v>
      </c>
      <c r="S145" s="33">
        <f>IF(C145="","",IF(OR(Q145="",N145=0),"",Q145/N145-1))</f>
        <v>0</v>
      </c>
      <c r="T145" s="43">
        <f>IF(C145="","",IF(S145="","",IF(S145&gt;0.15,"Dearer",IF(S145&lt;-0.15,"Cheaper","Similar"))))</f>
        <v>0</v>
      </c>
      <c r="U145" s="32">
        <f>IF(C145="","",IF(K145="","",TodayDate-K145))</f>
        <v>0</v>
      </c>
      <c r="V145" s="43">
        <f>IF(C145="","",IF(F145="","Add - what do they charge?",IF(O145="","Check - your product has no price",IF(AND(U145&lt;&gt;"",U145&gt;180),"Check - research is over six months old",IF(AND(T145="Cheaper",H145="Below mine"),"Raise - better work, lower price",IF(T145="Dearer","Fine - make sure the listing shows why","OK"))))))</f>
        <v>0</v>
      </c>
    </row>
    <row r="146" spans="2:22">
      <c r="B146" s="13">
        <f>IF(A146="","",IFERROR(INDEX(Products!$B$5:$B$304,MATCH(A146,Products!$A$5:$A$304,0)),"Not found"))</f>
        <v>0</v>
      </c>
      <c r="N146" s="20">
        <f>IF(C146="","",ROUND(IF(F146="",0,F146)+IF(G146="",0,G146),2))</f>
        <v>0</v>
      </c>
      <c r="O146" s="20">
        <f>IF(A146="","",IFERROR(INDEX(Products!$AR$5:$AR$304,MATCH(A146,Products!$A$5:$A$304,0)),""))</f>
        <v>0</v>
      </c>
      <c r="P146" s="20">
        <f>IF(A146="","",IFERROR(INDEX(Products!$AE$5:$AE$304,MATCH(A146,Products!$A$5:$A$304,0)),""))</f>
        <v>0</v>
      </c>
      <c r="Q146" s="20">
        <f>IF(C146="","",IF(O146="","",ROUND(O146+IF(P146="",0,P146),2)))</f>
        <v>0</v>
      </c>
      <c r="R146" s="20">
        <f>IF(C146="","",IF(OR(Q146="",N146=0),"",ROUND(Q146-N146,2)))</f>
        <v>0</v>
      </c>
      <c r="S146" s="33">
        <f>IF(C146="","",IF(OR(Q146="",N146=0),"",Q146/N146-1))</f>
        <v>0</v>
      </c>
      <c r="T146" s="43">
        <f>IF(C146="","",IF(S146="","",IF(S146&gt;0.15,"Dearer",IF(S146&lt;-0.15,"Cheaper","Similar"))))</f>
        <v>0</v>
      </c>
      <c r="U146" s="32">
        <f>IF(C146="","",IF(K146="","",TodayDate-K146))</f>
        <v>0</v>
      </c>
      <c r="V146" s="43">
        <f>IF(C146="","",IF(F146="","Add - what do they charge?",IF(O146="","Check - your product has no price",IF(AND(U146&lt;&gt;"",U146&gt;180),"Check - research is over six months old",IF(AND(T146="Cheaper",H146="Below mine"),"Raise - better work, lower price",IF(T146="Dearer","Fine - make sure the listing shows why","OK"))))))</f>
        <v>0</v>
      </c>
    </row>
    <row r="147" spans="2:22">
      <c r="B147" s="13">
        <f>IF(A147="","",IFERROR(INDEX(Products!$B$5:$B$304,MATCH(A147,Products!$A$5:$A$304,0)),"Not found"))</f>
        <v>0</v>
      </c>
      <c r="N147" s="20">
        <f>IF(C147="","",ROUND(IF(F147="",0,F147)+IF(G147="",0,G147),2))</f>
        <v>0</v>
      </c>
      <c r="O147" s="20">
        <f>IF(A147="","",IFERROR(INDEX(Products!$AR$5:$AR$304,MATCH(A147,Products!$A$5:$A$304,0)),""))</f>
        <v>0</v>
      </c>
      <c r="P147" s="20">
        <f>IF(A147="","",IFERROR(INDEX(Products!$AE$5:$AE$304,MATCH(A147,Products!$A$5:$A$304,0)),""))</f>
        <v>0</v>
      </c>
      <c r="Q147" s="20">
        <f>IF(C147="","",IF(O147="","",ROUND(O147+IF(P147="",0,P147),2)))</f>
        <v>0</v>
      </c>
      <c r="R147" s="20">
        <f>IF(C147="","",IF(OR(Q147="",N147=0),"",ROUND(Q147-N147,2)))</f>
        <v>0</v>
      </c>
      <c r="S147" s="33">
        <f>IF(C147="","",IF(OR(Q147="",N147=0),"",Q147/N147-1))</f>
        <v>0</v>
      </c>
      <c r="T147" s="43">
        <f>IF(C147="","",IF(S147="","",IF(S147&gt;0.15,"Dearer",IF(S147&lt;-0.15,"Cheaper","Similar"))))</f>
        <v>0</v>
      </c>
      <c r="U147" s="32">
        <f>IF(C147="","",IF(K147="","",TodayDate-K147))</f>
        <v>0</v>
      </c>
      <c r="V147" s="43">
        <f>IF(C147="","",IF(F147="","Add - what do they charge?",IF(O147="","Check - your product has no price",IF(AND(U147&lt;&gt;"",U147&gt;180),"Check - research is over six months old",IF(AND(T147="Cheaper",H147="Below mine"),"Raise - better work, lower price",IF(T147="Dearer","Fine - make sure the listing shows why","OK"))))))</f>
        <v>0</v>
      </c>
    </row>
    <row r="148" spans="2:22">
      <c r="B148" s="13">
        <f>IF(A148="","",IFERROR(INDEX(Products!$B$5:$B$304,MATCH(A148,Products!$A$5:$A$304,0)),"Not found"))</f>
        <v>0</v>
      </c>
      <c r="N148" s="20">
        <f>IF(C148="","",ROUND(IF(F148="",0,F148)+IF(G148="",0,G148),2))</f>
        <v>0</v>
      </c>
      <c r="O148" s="20">
        <f>IF(A148="","",IFERROR(INDEX(Products!$AR$5:$AR$304,MATCH(A148,Products!$A$5:$A$304,0)),""))</f>
        <v>0</v>
      </c>
      <c r="P148" s="20">
        <f>IF(A148="","",IFERROR(INDEX(Products!$AE$5:$AE$304,MATCH(A148,Products!$A$5:$A$304,0)),""))</f>
        <v>0</v>
      </c>
      <c r="Q148" s="20">
        <f>IF(C148="","",IF(O148="","",ROUND(O148+IF(P148="",0,P148),2)))</f>
        <v>0</v>
      </c>
      <c r="R148" s="20">
        <f>IF(C148="","",IF(OR(Q148="",N148=0),"",ROUND(Q148-N148,2)))</f>
        <v>0</v>
      </c>
      <c r="S148" s="33">
        <f>IF(C148="","",IF(OR(Q148="",N148=0),"",Q148/N148-1))</f>
        <v>0</v>
      </c>
      <c r="T148" s="43">
        <f>IF(C148="","",IF(S148="","",IF(S148&gt;0.15,"Dearer",IF(S148&lt;-0.15,"Cheaper","Similar"))))</f>
        <v>0</v>
      </c>
      <c r="U148" s="32">
        <f>IF(C148="","",IF(K148="","",TodayDate-K148))</f>
        <v>0</v>
      </c>
      <c r="V148" s="43">
        <f>IF(C148="","",IF(F148="","Add - what do they charge?",IF(O148="","Check - your product has no price",IF(AND(U148&lt;&gt;"",U148&gt;180),"Check - research is over six months old",IF(AND(T148="Cheaper",H148="Below mine"),"Raise - better work, lower price",IF(T148="Dearer","Fine - make sure the listing shows why","OK"))))))</f>
        <v>0</v>
      </c>
    </row>
    <row r="149" spans="2:22">
      <c r="B149" s="13">
        <f>IF(A149="","",IFERROR(INDEX(Products!$B$5:$B$304,MATCH(A149,Products!$A$5:$A$304,0)),"Not found"))</f>
        <v>0</v>
      </c>
      <c r="N149" s="20">
        <f>IF(C149="","",ROUND(IF(F149="",0,F149)+IF(G149="",0,G149),2))</f>
        <v>0</v>
      </c>
      <c r="O149" s="20">
        <f>IF(A149="","",IFERROR(INDEX(Products!$AR$5:$AR$304,MATCH(A149,Products!$A$5:$A$304,0)),""))</f>
        <v>0</v>
      </c>
      <c r="P149" s="20">
        <f>IF(A149="","",IFERROR(INDEX(Products!$AE$5:$AE$304,MATCH(A149,Products!$A$5:$A$304,0)),""))</f>
        <v>0</v>
      </c>
      <c r="Q149" s="20">
        <f>IF(C149="","",IF(O149="","",ROUND(O149+IF(P149="",0,P149),2)))</f>
        <v>0</v>
      </c>
      <c r="R149" s="20">
        <f>IF(C149="","",IF(OR(Q149="",N149=0),"",ROUND(Q149-N149,2)))</f>
        <v>0</v>
      </c>
      <c r="S149" s="33">
        <f>IF(C149="","",IF(OR(Q149="",N149=0),"",Q149/N149-1))</f>
        <v>0</v>
      </c>
      <c r="T149" s="43">
        <f>IF(C149="","",IF(S149="","",IF(S149&gt;0.15,"Dearer",IF(S149&lt;-0.15,"Cheaper","Similar"))))</f>
        <v>0</v>
      </c>
      <c r="U149" s="32">
        <f>IF(C149="","",IF(K149="","",TodayDate-K149))</f>
        <v>0</v>
      </c>
      <c r="V149" s="43">
        <f>IF(C149="","",IF(F149="","Add - what do they charge?",IF(O149="","Check - your product has no price",IF(AND(U149&lt;&gt;"",U149&gt;180),"Check - research is over six months old",IF(AND(T149="Cheaper",H149="Below mine"),"Raise - better work, lower price",IF(T149="Dearer","Fine - make sure the listing shows why","OK"))))))</f>
        <v>0</v>
      </c>
    </row>
    <row r="150" spans="2:22">
      <c r="B150" s="13">
        <f>IF(A150="","",IFERROR(INDEX(Products!$B$5:$B$304,MATCH(A150,Products!$A$5:$A$304,0)),"Not found"))</f>
        <v>0</v>
      </c>
      <c r="N150" s="20">
        <f>IF(C150="","",ROUND(IF(F150="",0,F150)+IF(G150="",0,G150),2))</f>
        <v>0</v>
      </c>
      <c r="O150" s="20">
        <f>IF(A150="","",IFERROR(INDEX(Products!$AR$5:$AR$304,MATCH(A150,Products!$A$5:$A$304,0)),""))</f>
        <v>0</v>
      </c>
      <c r="P150" s="20">
        <f>IF(A150="","",IFERROR(INDEX(Products!$AE$5:$AE$304,MATCH(A150,Products!$A$5:$A$304,0)),""))</f>
        <v>0</v>
      </c>
      <c r="Q150" s="20">
        <f>IF(C150="","",IF(O150="","",ROUND(O150+IF(P150="",0,P150),2)))</f>
        <v>0</v>
      </c>
      <c r="R150" s="20">
        <f>IF(C150="","",IF(OR(Q150="",N150=0),"",ROUND(Q150-N150,2)))</f>
        <v>0</v>
      </c>
      <c r="S150" s="33">
        <f>IF(C150="","",IF(OR(Q150="",N150=0),"",Q150/N150-1))</f>
        <v>0</v>
      </c>
      <c r="T150" s="43">
        <f>IF(C150="","",IF(S150="","",IF(S150&gt;0.15,"Dearer",IF(S150&lt;-0.15,"Cheaper","Similar"))))</f>
        <v>0</v>
      </c>
      <c r="U150" s="32">
        <f>IF(C150="","",IF(K150="","",TodayDate-K150))</f>
        <v>0</v>
      </c>
      <c r="V150" s="43">
        <f>IF(C150="","",IF(F150="","Add - what do they charge?",IF(O150="","Check - your product has no price",IF(AND(U150&lt;&gt;"",U150&gt;180),"Check - research is over six months old",IF(AND(T150="Cheaper",H150="Below mine"),"Raise - better work, lower price",IF(T150="Dearer","Fine - make sure the listing shows why","OK"))))))</f>
        <v>0</v>
      </c>
    </row>
    <row r="151" spans="2:22">
      <c r="B151" s="13">
        <f>IF(A151="","",IFERROR(INDEX(Products!$B$5:$B$304,MATCH(A151,Products!$A$5:$A$304,0)),"Not found"))</f>
        <v>0</v>
      </c>
      <c r="N151" s="20">
        <f>IF(C151="","",ROUND(IF(F151="",0,F151)+IF(G151="",0,G151),2))</f>
        <v>0</v>
      </c>
      <c r="O151" s="20">
        <f>IF(A151="","",IFERROR(INDEX(Products!$AR$5:$AR$304,MATCH(A151,Products!$A$5:$A$304,0)),""))</f>
        <v>0</v>
      </c>
      <c r="P151" s="20">
        <f>IF(A151="","",IFERROR(INDEX(Products!$AE$5:$AE$304,MATCH(A151,Products!$A$5:$A$304,0)),""))</f>
        <v>0</v>
      </c>
      <c r="Q151" s="20">
        <f>IF(C151="","",IF(O151="","",ROUND(O151+IF(P151="",0,P151),2)))</f>
        <v>0</v>
      </c>
      <c r="R151" s="20">
        <f>IF(C151="","",IF(OR(Q151="",N151=0),"",ROUND(Q151-N151,2)))</f>
        <v>0</v>
      </c>
      <c r="S151" s="33">
        <f>IF(C151="","",IF(OR(Q151="",N151=0),"",Q151/N151-1))</f>
        <v>0</v>
      </c>
      <c r="T151" s="43">
        <f>IF(C151="","",IF(S151="","",IF(S151&gt;0.15,"Dearer",IF(S151&lt;-0.15,"Cheaper","Similar"))))</f>
        <v>0</v>
      </c>
      <c r="U151" s="32">
        <f>IF(C151="","",IF(K151="","",TodayDate-K151))</f>
        <v>0</v>
      </c>
      <c r="V151" s="43">
        <f>IF(C151="","",IF(F151="","Add - what do they charge?",IF(O151="","Check - your product has no price",IF(AND(U151&lt;&gt;"",U151&gt;180),"Check - research is over six months old",IF(AND(T151="Cheaper",H151="Below mine"),"Raise - better work, lower price",IF(T151="Dearer","Fine - make sure the listing shows why","OK"))))))</f>
        <v>0</v>
      </c>
    </row>
    <row r="152" spans="2:22">
      <c r="B152" s="13">
        <f>IF(A152="","",IFERROR(INDEX(Products!$B$5:$B$304,MATCH(A152,Products!$A$5:$A$304,0)),"Not found"))</f>
        <v>0</v>
      </c>
      <c r="N152" s="20">
        <f>IF(C152="","",ROUND(IF(F152="",0,F152)+IF(G152="",0,G152),2))</f>
        <v>0</v>
      </c>
      <c r="O152" s="20">
        <f>IF(A152="","",IFERROR(INDEX(Products!$AR$5:$AR$304,MATCH(A152,Products!$A$5:$A$304,0)),""))</f>
        <v>0</v>
      </c>
      <c r="P152" s="20">
        <f>IF(A152="","",IFERROR(INDEX(Products!$AE$5:$AE$304,MATCH(A152,Products!$A$5:$A$304,0)),""))</f>
        <v>0</v>
      </c>
      <c r="Q152" s="20">
        <f>IF(C152="","",IF(O152="","",ROUND(O152+IF(P152="",0,P152),2)))</f>
        <v>0</v>
      </c>
      <c r="R152" s="20">
        <f>IF(C152="","",IF(OR(Q152="",N152=0),"",ROUND(Q152-N152,2)))</f>
        <v>0</v>
      </c>
      <c r="S152" s="33">
        <f>IF(C152="","",IF(OR(Q152="",N152=0),"",Q152/N152-1))</f>
        <v>0</v>
      </c>
      <c r="T152" s="43">
        <f>IF(C152="","",IF(S152="","",IF(S152&gt;0.15,"Dearer",IF(S152&lt;-0.15,"Cheaper","Similar"))))</f>
        <v>0</v>
      </c>
      <c r="U152" s="32">
        <f>IF(C152="","",IF(K152="","",TodayDate-K152))</f>
        <v>0</v>
      </c>
      <c r="V152" s="43">
        <f>IF(C152="","",IF(F152="","Add - what do they charge?",IF(O152="","Check - your product has no price",IF(AND(U152&lt;&gt;"",U152&gt;180),"Check - research is over six months old",IF(AND(T152="Cheaper",H152="Below mine"),"Raise - better work, lower price",IF(T152="Dearer","Fine - make sure the listing shows why","OK"))))))</f>
        <v>0</v>
      </c>
    </row>
    <row r="153" spans="2:22">
      <c r="B153" s="13">
        <f>IF(A153="","",IFERROR(INDEX(Products!$B$5:$B$304,MATCH(A153,Products!$A$5:$A$304,0)),"Not found"))</f>
        <v>0</v>
      </c>
      <c r="N153" s="20">
        <f>IF(C153="","",ROUND(IF(F153="",0,F153)+IF(G153="",0,G153),2))</f>
        <v>0</v>
      </c>
      <c r="O153" s="20">
        <f>IF(A153="","",IFERROR(INDEX(Products!$AR$5:$AR$304,MATCH(A153,Products!$A$5:$A$304,0)),""))</f>
        <v>0</v>
      </c>
      <c r="P153" s="20">
        <f>IF(A153="","",IFERROR(INDEX(Products!$AE$5:$AE$304,MATCH(A153,Products!$A$5:$A$304,0)),""))</f>
        <v>0</v>
      </c>
      <c r="Q153" s="20">
        <f>IF(C153="","",IF(O153="","",ROUND(O153+IF(P153="",0,P153),2)))</f>
        <v>0</v>
      </c>
      <c r="R153" s="20">
        <f>IF(C153="","",IF(OR(Q153="",N153=0),"",ROUND(Q153-N153,2)))</f>
        <v>0</v>
      </c>
      <c r="S153" s="33">
        <f>IF(C153="","",IF(OR(Q153="",N153=0),"",Q153/N153-1))</f>
        <v>0</v>
      </c>
      <c r="T153" s="43">
        <f>IF(C153="","",IF(S153="","",IF(S153&gt;0.15,"Dearer",IF(S153&lt;-0.15,"Cheaper","Similar"))))</f>
        <v>0</v>
      </c>
      <c r="U153" s="32">
        <f>IF(C153="","",IF(K153="","",TodayDate-K153))</f>
        <v>0</v>
      </c>
      <c r="V153" s="43">
        <f>IF(C153="","",IF(F153="","Add - what do they charge?",IF(O153="","Check - your product has no price",IF(AND(U153&lt;&gt;"",U153&gt;180),"Check - research is over six months old",IF(AND(T153="Cheaper",H153="Below mine"),"Raise - better work, lower price",IF(T153="Dearer","Fine - make sure the listing shows why","OK"))))))</f>
        <v>0</v>
      </c>
    </row>
    <row r="154" spans="2:22">
      <c r="B154" s="13">
        <f>IF(A154="","",IFERROR(INDEX(Products!$B$5:$B$304,MATCH(A154,Products!$A$5:$A$304,0)),"Not found"))</f>
        <v>0</v>
      </c>
      <c r="N154" s="20">
        <f>IF(C154="","",ROUND(IF(F154="",0,F154)+IF(G154="",0,G154),2))</f>
        <v>0</v>
      </c>
      <c r="O154" s="20">
        <f>IF(A154="","",IFERROR(INDEX(Products!$AR$5:$AR$304,MATCH(A154,Products!$A$5:$A$304,0)),""))</f>
        <v>0</v>
      </c>
      <c r="P154" s="20">
        <f>IF(A154="","",IFERROR(INDEX(Products!$AE$5:$AE$304,MATCH(A154,Products!$A$5:$A$304,0)),""))</f>
        <v>0</v>
      </c>
      <c r="Q154" s="20">
        <f>IF(C154="","",IF(O154="","",ROUND(O154+IF(P154="",0,P154),2)))</f>
        <v>0</v>
      </c>
      <c r="R154" s="20">
        <f>IF(C154="","",IF(OR(Q154="",N154=0),"",ROUND(Q154-N154,2)))</f>
        <v>0</v>
      </c>
      <c r="S154" s="33">
        <f>IF(C154="","",IF(OR(Q154="",N154=0),"",Q154/N154-1))</f>
        <v>0</v>
      </c>
      <c r="T154" s="43">
        <f>IF(C154="","",IF(S154="","",IF(S154&gt;0.15,"Dearer",IF(S154&lt;-0.15,"Cheaper","Similar"))))</f>
        <v>0</v>
      </c>
      <c r="U154" s="32">
        <f>IF(C154="","",IF(K154="","",TodayDate-K154))</f>
        <v>0</v>
      </c>
      <c r="V154" s="43">
        <f>IF(C154="","",IF(F154="","Add - what do they charge?",IF(O154="","Check - your product has no price",IF(AND(U154&lt;&gt;"",U154&gt;180),"Check - research is over six months old",IF(AND(T154="Cheaper",H154="Below mine"),"Raise - better work, lower price",IF(T154="Dearer","Fine - make sure the listing shows why","OK"))))))</f>
        <v>0</v>
      </c>
    </row>
  </sheetData>
  <sheetProtection password="EC7C" sheet="1" objects="1" scenarios="1" formatCells="0" formatColumns="0" formatRows="0" insertRows="0" insertHyperlinks="0" deleteRows="0" autoFilter="0"/>
  <autoFilter ref="A4:V15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S5:S154">
    <cfRule type="cellIs" dxfId="0" priority="1" operator="greaterThan">
      <formula>0.35</formula>
    </cfRule>
    <cfRule type="cellIs" dxfId="2" priority="2" operator="lessThan">
      <formula>-0.25</formula>
    </cfRule>
  </conditionalFormatting>
  <conditionalFormatting sqref="T5:T154">
    <cfRule type="containsText" dxfId="0" priority="3" operator="containsText" text="Cheaper">
      <formula>NOT(ISERROR(SEARCH("Cheaper",T5)))</formula>
    </cfRule>
    <cfRule type="containsText" dxfId="1" priority="4" operator="containsText" text="Similar">
      <formula>NOT(ISERROR(SEARCH("Similar",T5)))</formula>
    </cfRule>
    <cfRule type="containsText" dxfId="3" priority="5" operator="containsText" text="Dearer">
      <formula>NOT(ISERROR(SEARCH("Dearer",T5)))</formula>
    </cfRule>
  </conditionalFormatting>
  <conditionalFormatting sqref="V5:V154">
    <cfRule type="beginsWith" dxfId="1" priority="6" operator="beginsWith" text="OK">
      <formula>LEFT(V5,2)="OK"</formula>
    </cfRule>
    <cfRule type="containsText" dxfId="2" priority="7" operator="containsText" text="Overdue">
      <formula>NOT(ISERROR(SEARCH("Overdue",V5)))</formula>
    </cfRule>
    <cfRule type="containsText" dxfId="2" priority="8" operator="containsText" text="Late">
      <formula>NOT(ISERROR(SEARCH("Late",V5)))</formula>
    </cfRule>
    <cfRule type="containsText" dxfId="2" priority="9" operator="containsText" text="Missing">
      <formula>NOT(ISERROR(SEARCH("Missing",V5)))</formula>
    </cfRule>
    <cfRule type="containsText" dxfId="2" priority="10" operator="containsText" text="Conflict">
      <formula>NOT(ISERROR(SEARCH("Conflict",V5)))</formula>
    </cfRule>
    <cfRule type="containsText" dxfId="2" priority="11" operator="containsText" text="Clash">
      <formula>NOT(ISERROR(SEARCH("Clash",V5)))</formula>
    </cfRule>
    <cfRule type="containsText" dxfId="2" priority="12" operator="containsText" text="Expired">
      <formula>NOT(ISERROR(SEARCH("Expired",V5)))</formula>
    </cfRule>
    <cfRule type="containsText" dxfId="2" priority="13" operator="containsText" text="Duplicate">
      <formula>NOT(ISERROR(SEARCH("Duplicate",V5)))</formula>
    </cfRule>
    <cfRule type="containsText" dxfId="2" priority="14" operator="containsText" text="Unpaid">
      <formula>NOT(ISERROR(SEARCH("Unpaid",V5)))</formula>
    </cfRule>
    <cfRule type="containsText" dxfId="2" priority="15" operator="containsText" text="Loss">
      <formula>NOT(ISERROR(SEARCH("Loss",V5)))</formula>
    </cfRule>
    <cfRule type="containsText" dxfId="2" priority="16" operator="containsText" text="Below">
      <formula>NOT(ISERROR(SEARCH("Below",V5)))</formula>
    </cfRule>
    <cfRule type="containsText" dxfId="0" priority="17" operator="containsText" text="Action">
      <formula>NOT(ISERROR(SEARCH("Action",V5)))</formula>
    </cfRule>
    <cfRule type="containsText" dxfId="0" priority="18" operator="containsText" text="Due">
      <formula>NOT(ISERROR(SEARCH("Due",V5)))</formula>
    </cfRule>
    <cfRule type="containsText" dxfId="0" priority="19" operator="containsText" text="Check">
      <formula>NOT(ISERROR(SEARCH("Check",V5)))</formula>
    </cfRule>
    <cfRule type="containsText" dxfId="0" priority="20" operator="containsText" text="Chase">
      <formula>NOT(ISERROR(SEARCH("Chase",V5)))</formula>
    </cfRule>
    <cfRule type="containsText" dxfId="0" priority="21" operator="containsText" text="Assign">
      <formula>NOT(ISERROR(SEARCH("Assign",V5)))</formula>
    </cfRule>
    <cfRule type="containsText" dxfId="0" priority="22" operator="containsText" text="Confirm">
      <formula>NOT(ISERROR(SEARCH("Confirm",V5)))</formula>
    </cfRule>
    <cfRule type="containsText" dxfId="0" priority="23" operator="containsText" text="Order">
      <formula>NOT(ISERROR(SEARCH("Order",V5)))</formula>
    </cfRule>
    <cfRule type="containsText" dxfId="3" priority="24" operator="containsText" text="Today">
      <formula>NOT(ISERROR(SEARCH("Today",V5)))</formula>
    </cfRule>
    <cfRule type="containsText" dxfId="3" priority="25" operator="containsText" text="Upcoming">
      <formula>NOT(ISERROR(SEARCH("Upcoming",V5)))</formula>
    </cfRule>
    <cfRule type="containsText" dxfId="3" priority="26" operator="containsText" text="Tomorrow">
      <formula>NOT(ISERROR(SEARCH("Tomorrow",V5)))</formula>
    </cfRule>
  </conditionalFormatting>
  <dataValidations count="8">
    <dataValidation type="list" allowBlank="1" showInputMessage="1" showErrorMessage="1" promptTitle="Your product" prompt="Which of your products this one competes with." sqref="A5:A154">
      <formula1>ProductIDs</formula1>
    </dataValidation>
    <dataValidation type="list" allowBlank="1" showInputMessage="1" showErrorMessage="1" sqref="E5:E154">
      <formula1>ChannelList</formula1>
    </dataValidation>
    <dataValidation type="decimal" allowBlank="1" showInputMessage="1" showErrorMessage="1" errorTitle="Check the value" error="Enter a number between 0 and 1000000." sqref="F5:F154">
      <formula1>0</formula1>
      <formula2>1000000</formula2>
    </dataValidation>
    <dataValidation type="decimal" allowBlank="1" showInputMessage="1" showErrorMessage="1" errorTitle="Check the value" error="Enter a number between 0 and 10000." promptTitle="Their postage" prompt="0 for free shipping - which usually means it is in the price." sqref="G5:G154">
      <formula1>0</formula1>
      <formula2>10000</formula2>
    </dataValidation>
    <dataValidation type="list" allowBlank="1" showInputMessage="1" showErrorMessage="1" promptTitle="Quality" prompt="Honestly. 'Above mine' is useful information, not an insult." sqref="H5:H154">
      <formula1>QualityList</formula1>
    </dataValidation>
    <dataValidation type="list" allowBlank="1" showInputMessage="1" showErrorMessage="1" promptTitle="Really handmade?" prompt="A resold import is not your competition, whatever the listing says." sqref="I5:I154">
      <formula1>YesNoNAList</formula1>
    </dataValidation>
    <dataValidation type="whole" allowBlank="1" showInputMessage="1" showErrorMessage="1" errorTitle="Check the value" error="Enter a number between 0 and 10000000." promptTitle="Reviews" prompt="A rough proxy for how much they sell." sqref="J5:J154">
      <formula1>0</formula1>
      <formula2>10000000</formula2>
    </dataValidation>
    <dataValidation type="date" allowBlank="1" showInputMessage="1" showErrorMessage="1" errorTitle="Check the date" error="Enter a real date between 2000 and 2100." sqref="K5:K154">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&amp;L&amp;"Calibri,Bold"&amp;12&amp;C&amp;"Calibri,Bold"&amp;11Competitors&amp;R&amp;"Calibri,Italic"&amp;9Handmade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29.xml><?xml version="1.0" encoding="utf-8"?>
<worksheet xmlns="http://schemas.openxmlformats.org/spreadsheetml/2006/main" xmlns:r="http://schemas.openxmlformats.org/officeDocument/2006/relationships">
  <sheetPr>
    <tabColor rgb="FFB5704F"/>
    <pageSetUpPr fitToPage="1"/>
  </sheetPr>
  <dimension ref="A1:N20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22" customWidth="1"/>
    <col min="2" max="2" width="12.7109375" style="46" customWidth="1"/>
    <col min="3" max="3" width="24.7109375" style="13" customWidth="1"/>
    <col min="4" max="4" width="12.7109375" style="21" customWidth="1"/>
    <col min="5" max="5" width="22.7109375" style="15" customWidth="1"/>
    <col min="6" max="6" width="12.7109375" style="46" customWidth="1"/>
    <col min="7" max="7" width="11.7109375" style="47" customWidth="1"/>
    <col min="8" max="8" width="28.7109375" style="40" customWidth="1"/>
    <col min="9" max="9" width="10.7109375" style="13" customWidth="1"/>
    <col min="10" max="10" width="9.7109375" style="13" hidden="1" customWidth="1"/>
    <col min="11" max="11" width="11.7109375" style="45" hidden="1" customWidth="1"/>
    <col min="12" max="12" width="11.7109375" style="20" customWidth="1"/>
    <col min="13" max="13" width="13.7109375" style="33" hidden="1" customWidth="1"/>
    <col min="14" max="14" width="28.7109375" style="43" customWidth="1"/>
    <col min="1" max="1" width="12.7109375" customWidth="1"/>
    <col min="2" max="2" width="18.7109375" customWidth="1"/>
    <col min="3" max="3" width="14.7109375" customWidth="1"/>
    <col min="4" max="4" width="14.7109375" customWidth="1"/>
    <col min="5" max="5" width="26.7109375" customWidth="1"/>
  </cols>
  <sheetData>
    <row r="1" spans="1:14" ht="34" customHeight="1">
      <c r="A1" s="2" t="s">
        <v>1771</v>
      </c>
      <c r="B1" s="2"/>
      <c r="C1" s="2"/>
      <c r="D1" s="2"/>
      <c r="E1" s="2"/>
      <c r="F1" s="2"/>
      <c r="G1" s="2"/>
      <c r="H1" s="2"/>
      <c r="I1" s="2"/>
      <c r="J1" s="2"/>
      <c r="K1" s="2"/>
      <c r="L1" s="3" t="s">
        <v>1</v>
      </c>
      <c r="M1" s="3"/>
      <c r="N1" s="3"/>
    </row>
    <row r="2" spans="1:14" ht="18" customHeight="1">
      <c r="A2" s="4" t="s">
        <v>1772</v>
      </c>
      <c r="B2" s="4"/>
      <c r="C2" s="4"/>
      <c r="D2" s="4"/>
      <c r="E2" s="4"/>
      <c r="F2" s="4"/>
      <c r="G2" s="4"/>
      <c r="H2" s="4"/>
      <c r="I2" s="4"/>
      <c r="J2" s="4"/>
      <c r="K2" s="4"/>
      <c r="L2" s="4"/>
      <c r="M2" s="4"/>
      <c r="N2" s="4"/>
    </row>
    <row r="3" spans="1:14" ht="16" customHeight="1">
      <c r="A3" s="5" t="s">
        <v>3</v>
      </c>
      <c r="B3" s="5"/>
      <c r="C3" s="5" t="s">
        <v>4</v>
      </c>
      <c r="D3" s="5"/>
      <c r="E3" s="5" t="s">
        <v>5</v>
      </c>
      <c r="F3" s="5"/>
      <c r="G3" s="5" t="s">
        <v>6</v>
      </c>
      <c r="H3" s="5"/>
      <c r="I3" s="5" t="s">
        <v>7</v>
      </c>
      <c r="J3" s="5"/>
      <c r="K3" s="5" t="s">
        <v>367</v>
      </c>
      <c r="L3" s="5"/>
      <c r="M3" s="5" t="s">
        <v>368</v>
      </c>
      <c r="N3" s="5"/>
    </row>
    <row r="4" spans="1:14" ht="30" customHeight="1">
      <c r="A4" s="8" t="s">
        <v>1565</v>
      </c>
      <c r="B4" s="8" t="s">
        <v>568</v>
      </c>
      <c r="C4" s="9" t="s">
        <v>720</v>
      </c>
      <c r="D4" s="9" t="s">
        <v>1773</v>
      </c>
      <c r="E4" s="9" t="s">
        <v>1774</v>
      </c>
      <c r="F4" s="9" t="s">
        <v>1775</v>
      </c>
      <c r="G4" s="9" t="s">
        <v>1776</v>
      </c>
      <c r="H4" s="9" t="s">
        <v>466</v>
      </c>
      <c r="I4" s="9" t="s">
        <v>370</v>
      </c>
      <c r="J4" s="9" t="s">
        <v>574</v>
      </c>
      <c r="K4" s="9" t="s">
        <v>584</v>
      </c>
      <c r="L4" s="9" t="s">
        <v>33</v>
      </c>
      <c r="M4" s="9" t="s">
        <v>1777</v>
      </c>
      <c r="N4" s="9" t="s">
        <v>1117</v>
      </c>
    </row>
    <row r="5" spans="1:14">
      <c r="A5" s="22">
        <v>46309</v>
      </c>
      <c r="B5" s="46" t="s">
        <v>1260</v>
      </c>
      <c r="C5" s="13">
        <f>IF(B5="","",IFERROR(INDEX(Materials!$B$5:$B$254,MATCH(B5,Materials!$A$5:$A$254,0)),"Add to Materials"))</f>
        <v>0</v>
      </c>
      <c r="D5" s="21">
        <v>22</v>
      </c>
      <c r="E5" s="15" t="s">
        <v>1778</v>
      </c>
      <c r="F5" s="46" t="s">
        <v>1256</v>
      </c>
      <c r="G5" s="47" t="s">
        <v>281</v>
      </c>
      <c r="H5" s="40" t="s">
        <v>1779</v>
      </c>
      <c r="I5" s="13">
        <f>IF(A5="","",TEXT(A5,"yyyy-mm"))</f>
        <v>0</v>
      </c>
      <c r="J5" s="13">
        <f>IF(B5="","",IFERROR(INDEX(Materials!$H$5:$H$254,MATCH(B5,Materials!$A$5:$A$254,0)),"Add to Materials"))</f>
        <v>0</v>
      </c>
      <c r="K5" s="45">
        <f>IF(B5="","",IFERROR(INDEX(Materials!$S$5:$S$254,MATCH(B5,Materials!$A$5:$A$254,0)),""))</f>
        <v>0</v>
      </c>
      <c r="L5" s="20">
        <f>IF(A5="","",IF(OR(D5="",K5=""),"",ROUND(D5*K5,2)))</f>
        <v>0</v>
      </c>
      <c r="M5" s="33">
        <f>IF(A5="","",IFERROR(L5/SUMIFS('Waste Log'!$L$5:$L$204,'Waste Log'!$B$5:$B$204,B5),""))</f>
        <v>0</v>
      </c>
      <c r="N5" s="43">
        <f>IF(A5="","",IF(B5="","Add - which material?",IF(D5="","Add - how much?",IF(K5="","Check - that material has no price",IF(G5="Yes","Avoidable - worth a second look","Logged")))))</f>
        <v>0</v>
      </c>
    </row>
    <row r="6" spans="1:14">
      <c r="A6" s="22">
        <v>46305</v>
      </c>
      <c r="B6" s="46" t="s">
        <v>749</v>
      </c>
      <c r="C6" s="13">
        <f>IF(B6="","",IFERROR(INDEX(Materials!$B$5:$B$254,MATCH(B6,Materials!$A$5:$A$254,0)),"Add to Materials"))</f>
        <v>0</v>
      </c>
      <c r="D6" s="21">
        <v>38</v>
      </c>
      <c r="E6" s="15" t="s">
        <v>1780</v>
      </c>
      <c r="F6" s="46" t="s">
        <v>748</v>
      </c>
      <c r="G6" s="47" t="s">
        <v>278</v>
      </c>
      <c r="H6" s="40" t="s">
        <v>1781</v>
      </c>
      <c r="I6" s="13">
        <f>IF(A6="","",TEXT(A6,"yyyy-mm"))</f>
        <v>0</v>
      </c>
      <c r="J6" s="13">
        <f>IF(B6="","",IFERROR(INDEX(Materials!$H$5:$H$254,MATCH(B6,Materials!$A$5:$A$254,0)),"Add to Materials"))</f>
        <v>0</v>
      </c>
      <c r="K6" s="45">
        <f>IF(B6="","",IFERROR(INDEX(Materials!$S$5:$S$254,MATCH(B6,Materials!$A$5:$A$254,0)),""))</f>
        <v>0</v>
      </c>
      <c r="L6" s="20">
        <f>IF(A6="","",IF(OR(D6="",K6=""),"",ROUND(D6*K6,2)))</f>
        <v>0</v>
      </c>
      <c r="M6" s="33">
        <f>IF(A6="","",IFERROR(L6/SUMIFS('Waste Log'!$L$5:$L$204,'Waste Log'!$B$5:$B$204,B6),""))</f>
        <v>0</v>
      </c>
      <c r="N6" s="43">
        <f>IF(A6="","",IF(B6="","Add - which material?",IF(D6="","Add - how much?",IF(K6="","Check - that material has no price",IF(G6="Yes","Avoidable - worth a second look","Logged")))))</f>
        <v>0</v>
      </c>
    </row>
    <row r="7" spans="1:14">
      <c r="A7" s="22">
        <v>46302</v>
      </c>
      <c r="B7" s="46" t="s">
        <v>1346</v>
      </c>
      <c r="C7" s="13">
        <f>IF(B7="","",IFERROR(INDEX(Materials!$B$5:$B$254,MATCH(B7,Materials!$A$5:$A$254,0)),"Add to Materials"))</f>
        <v>0</v>
      </c>
      <c r="D7" s="21">
        <v>0.42</v>
      </c>
      <c r="E7" s="15" t="s">
        <v>1782</v>
      </c>
      <c r="F7" s="46" t="s">
        <v>1344</v>
      </c>
      <c r="G7" s="47" t="s">
        <v>278</v>
      </c>
      <c r="H7" s="40" t="s">
        <v>1783</v>
      </c>
      <c r="I7" s="13">
        <f>IF(A7="","",TEXT(A7,"yyyy-mm"))</f>
        <v>0</v>
      </c>
      <c r="J7" s="13">
        <f>IF(B7="","",IFERROR(INDEX(Materials!$H$5:$H$254,MATCH(B7,Materials!$A$5:$A$254,0)),"Add to Materials"))</f>
        <v>0</v>
      </c>
      <c r="K7" s="45">
        <f>IF(B7="","",IFERROR(INDEX(Materials!$S$5:$S$254,MATCH(B7,Materials!$A$5:$A$254,0)),""))</f>
        <v>0</v>
      </c>
      <c r="L7" s="20">
        <f>IF(A7="","",IF(OR(D7="",K7=""),"",ROUND(D7*K7,2)))</f>
        <v>0</v>
      </c>
      <c r="M7" s="33">
        <f>IF(A7="","",IFERROR(L7/SUMIFS('Waste Log'!$L$5:$L$204,'Waste Log'!$B$5:$B$204,B7),""))</f>
        <v>0</v>
      </c>
      <c r="N7" s="43">
        <f>IF(A7="","",IF(B7="","Add - which material?",IF(D7="","Add - how much?",IF(K7="","Check - that material has no price",IF(G7="Yes","Avoidable - worth a second look","Logged")))))</f>
        <v>0</v>
      </c>
    </row>
    <row r="8" spans="1:14">
      <c r="A8" s="22">
        <v>46298</v>
      </c>
      <c r="B8" s="46" t="s">
        <v>1784</v>
      </c>
      <c r="C8" s="13">
        <f>IF(B8="","",IFERROR(INDEX(Materials!$B$5:$B$254,MATCH(B8,Materials!$A$5:$A$254,0)),"Add to Materials"))</f>
        <v>0</v>
      </c>
      <c r="D8" s="21">
        <v>2</v>
      </c>
      <c r="E8" s="15" t="s">
        <v>1785</v>
      </c>
      <c r="F8" s="46" t="s">
        <v>1344</v>
      </c>
      <c r="G8" s="47" t="s">
        <v>281</v>
      </c>
      <c r="H8" s="40" t="s">
        <v>1786</v>
      </c>
      <c r="I8" s="13">
        <f>IF(A8="","",TEXT(A8,"yyyy-mm"))</f>
        <v>0</v>
      </c>
      <c r="J8" s="13">
        <f>IF(B8="","",IFERROR(INDEX(Materials!$H$5:$H$254,MATCH(B8,Materials!$A$5:$A$254,0)),"Add to Materials"))</f>
        <v>0</v>
      </c>
      <c r="K8" s="45">
        <f>IF(B8="","",IFERROR(INDEX(Materials!$S$5:$S$254,MATCH(B8,Materials!$A$5:$A$254,0)),""))</f>
        <v>0</v>
      </c>
      <c r="L8" s="20">
        <f>IF(A8="","",IF(OR(D8="",K8=""),"",ROUND(D8*K8,2)))</f>
        <v>0</v>
      </c>
      <c r="M8" s="33">
        <f>IF(A8="","",IFERROR(L8/SUMIFS('Waste Log'!$L$5:$L$204,'Waste Log'!$B$5:$B$204,B8),""))</f>
        <v>0</v>
      </c>
      <c r="N8" s="43">
        <f>IF(A8="","",IF(B8="","Add - which material?",IF(D8="","Add - how much?",IF(K8="","Check - that material has no price",IF(G8="Yes","Avoidable - worth a second look","Logged")))))</f>
        <v>0</v>
      </c>
    </row>
    <row r="9" spans="1:14">
      <c r="A9" s="22">
        <v>46293</v>
      </c>
      <c r="B9" s="46" t="s">
        <v>742</v>
      </c>
      <c r="C9" s="13">
        <f>IF(B9="","",IFERROR(INDEX(Materials!$B$5:$B$254,MATCH(B9,Materials!$A$5:$A$254,0)),"Add to Materials"))</f>
        <v>0</v>
      </c>
      <c r="D9" s="21">
        <v>45</v>
      </c>
      <c r="E9" s="15" t="s">
        <v>1787</v>
      </c>
      <c r="F9" s="46" t="s">
        <v>741</v>
      </c>
      <c r="G9" s="47" t="s">
        <v>281</v>
      </c>
      <c r="I9" s="13">
        <f>IF(A9="","",TEXT(A9,"yyyy-mm"))</f>
        <v>0</v>
      </c>
      <c r="J9" s="13">
        <f>IF(B9="","",IFERROR(INDEX(Materials!$H$5:$H$254,MATCH(B9,Materials!$A$5:$A$254,0)),"Add to Materials"))</f>
        <v>0</v>
      </c>
      <c r="K9" s="45">
        <f>IF(B9="","",IFERROR(INDEX(Materials!$S$5:$S$254,MATCH(B9,Materials!$A$5:$A$254,0)),""))</f>
        <v>0</v>
      </c>
      <c r="L9" s="20">
        <f>IF(A9="","",IF(OR(D9="",K9=""),"",ROUND(D9*K9,2)))</f>
        <v>0</v>
      </c>
      <c r="M9" s="33">
        <f>IF(A9="","",IFERROR(L9/SUMIFS('Waste Log'!$L$5:$L$204,'Waste Log'!$B$5:$B$204,B9),""))</f>
        <v>0</v>
      </c>
      <c r="N9" s="43">
        <f>IF(A9="","",IF(B9="","Add - which material?",IF(D9="","Add - how much?",IF(K9="","Check - that material has no price",IF(G9="Yes","Avoidable - worth a second look","Logged")))))</f>
        <v>0</v>
      </c>
    </row>
    <row r="10" spans="1:14">
      <c r="A10" s="22">
        <v>46287</v>
      </c>
      <c r="B10" s="46" t="s">
        <v>736</v>
      </c>
      <c r="C10" s="13">
        <f>IF(B10="","",IFERROR(INDEX(Materials!$B$5:$B$254,MATCH(B10,Materials!$A$5:$A$254,0)),"Add to Materials"))</f>
        <v>0</v>
      </c>
      <c r="D10" s="21">
        <v>36</v>
      </c>
      <c r="E10" s="15" t="s">
        <v>1788</v>
      </c>
      <c r="F10" s="46" t="s">
        <v>735</v>
      </c>
      <c r="G10" s="47" t="s">
        <v>278</v>
      </c>
      <c r="H10" s="40" t="s">
        <v>1789</v>
      </c>
      <c r="I10" s="13">
        <f>IF(A10="","",TEXT(A10,"yyyy-mm"))</f>
        <v>0</v>
      </c>
      <c r="J10" s="13">
        <f>IF(B10="","",IFERROR(INDEX(Materials!$H$5:$H$254,MATCH(B10,Materials!$A$5:$A$254,0)),"Add to Materials"))</f>
        <v>0</v>
      </c>
      <c r="K10" s="45">
        <f>IF(B10="","",IFERROR(INDEX(Materials!$S$5:$S$254,MATCH(B10,Materials!$A$5:$A$254,0)),""))</f>
        <v>0</v>
      </c>
      <c r="L10" s="20">
        <f>IF(A10="","",IF(OR(D10="",K10=""),"",ROUND(D10*K10,2)))</f>
        <v>0</v>
      </c>
      <c r="M10" s="33">
        <f>IF(A10="","",IFERROR(L10/SUMIFS('Waste Log'!$L$5:$L$204,'Waste Log'!$B$5:$B$204,B10),""))</f>
        <v>0</v>
      </c>
      <c r="N10" s="43">
        <f>IF(A10="","",IF(B10="","Add - which material?",IF(D10="","Add - how much?",IF(K10="","Check - that material has no price",IF(G10="Yes","Avoidable - worth a second look","Logged")))))</f>
        <v>0</v>
      </c>
    </row>
    <row r="11" spans="1:14">
      <c r="A11" s="22">
        <v>46273</v>
      </c>
      <c r="B11" s="46" t="s">
        <v>1348</v>
      </c>
      <c r="C11" s="13">
        <f>IF(B11="","",IFERROR(INDEX(Materials!$B$5:$B$254,MATCH(B11,Materials!$A$5:$A$254,0)),"Add to Materials"))</f>
        <v>0</v>
      </c>
      <c r="D11" s="21">
        <v>18</v>
      </c>
      <c r="E11" s="15" t="s">
        <v>1790</v>
      </c>
      <c r="G11" s="47" t="s">
        <v>278</v>
      </c>
      <c r="H11" s="40" t="s">
        <v>1791</v>
      </c>
      <c r="I11" s="13">
        <f>IF(A11="","",TEXT(A11,"yyyy-mm"))</f>
        <v>0</v>
      </c>
      <c r="J11" s="13">
        <f>IF(B11="","",IFERROR(INDEX(Materials!$H$5:$H$254,MATCH(B11,Materials!$A$5:$A$254,0)),"Add to Materials"))</f>
        <v>0</v>
      </c>
      <c r="K11" s="45">
        <f>IF(B11="","",IFERROR(INDEX(Materials!$S$5:$S$254,MATCH(B11,Materials!$A$5:$A$254,0)),""))</f>
        <v>0</v>
      </c>
      <c r="L11" s="20">
        <f>IF(A11="","",IF(OR(D11="",K11=""),"",ROUND(D11*K11,2)))</f>
        <v>0</v>
      </c>
      <c r="M11" s="33">
        <f>IF(A11="","",IFERROR(L11/SUMIFS('Waste Log'!$L$5:$L$204,'Waste Log'!$B$5:$B$204,B11),""))</f>
        <v>0</v>
      </c>
      <c r="N11" s="43">
        <f>IF(A11="","",IF(B11="","Add - which material?",IF(D11="","Add - how much?",IF(K11="","Check - that material has no price",IF(G11="Yes","Avoidable - worth a second look","Logged")))))</f>
        <v>0</v>
      </c>
    </row>
    <row r="12" spans="1:14">
      <c r="A12" s="22">
        <v>46265</v>
      </c>
      <c r="B12" s="46" t="s">
        <v>1416</v>
      </c>
      <c r="C12" s="13">
        <f>IF(B12="","",IFERROR(INDEX(Materials!$B$5:$B$254,MATCH(B12,Materials!$A$5:$A$254,0)),"Add to Materials"))</f>
        <v>0</v>
      </c>
      <c r="D12" s="21">
        <v>26</v>
      </c>
      <c r="E12" s="15" t="s">
        <v>1792</v>
      </c>
      <c r="F12" s="46" t="s">
        <v>1414</v>
      </c>
      <c r="G12" s="47" t="s">
        <v>281</v>
      </c>
      <c r="H12" s="40" t="s">
        <v>1793</v>
      </c>
      <c r="I12" s="13">
        <f>IF(A12="","",TEXT(A12,"yyyy-mm"))</f>
        <v>0</v>
      </c>
      <c r="J12" s="13">
        <f>IF(B12="","",IFERROR(INDEX(Materials!$H$5:$H$254,MATCH(B12,Materials!$A$5:$A$254,0)),"Add to Materials"))</f>
        <v>0</v>
      </c>
      <c r="K12" s="45">
        <f>IF(B12="","",IFERROR(INDEX(Materials!$S$5:$S$254,MATCH(B12,Materials!$A$5:$A$254,0)),""))</f>
        <v>0</v>
      </c>
      <c r="L12" s="20">
        <f>IF(A12="","",IF(OR(D12="",K12=""),"",ROUND(D12*K12,2)))</f>
        <v>0</v>
      </c>
      <c r="M12" s="33">
        <f>IF(A12="","",IFERROR(L12/SUMIFS('Waste Log'!$L$5:$L$204,'Waste Log'!$B$5:$B$204,B12),""))</f>
        <v>0</v>
      </c>
      <c r="N12" s="43">
        <f>IF(A12="","",IF(B12="","Add - which material?",IF(D12="","Add - how much?",IF(K12="","Check - that material has no price",IF(G12="Yes","Avoidable - worth a second look","Logged")))))</f>
        <v>0</v>
      </c>
    </row>
    <row r="13" spans="1:14">
      <c r="A13" s="22">
        <v>46251</v>
      </c>
      <c r="B13" s="46" t="s">
        <v>731</v>
      </c>
      <c r="C13" s="13">
        <f>IF(B13="","",IFERROR(INDEX(Materials!$B$5:$B$254,MATCH(B13,Materials!$A$5:$A$254,0)),"Add to Materials"))</f>
        <v>0</v>
      </c>
      <c r="D13" s="21">
        <v>30</v>
      </c>
      <c r="E13" s="15" t="s">
        <v>1794</v>
      </c>
      <c r="F13" s="46" t="s">
        <v>730</v>
      </c>
      <c r="G13" s="47" t="s">
        <v>281</v>
      </c>
      <c r="I13" s="13">
        <f>IF(A13="","",TEXT(A13,"yyyy-mm"))</f>
        <v>0</v>
      </c>
      <c r="J13" s="13">
        <f>IF(B13="","",IFERROR(INDEX(Materials!$H$5:$H$254,MATCH(B13,Materials!$A$5:$A$254,0)),"Add to Materials"))</f>
        <v>0</v>
      </c>
      <c r="K13" s="45">
        <f>IF(B13="","",IFERROR(INDEX(Materials!$S$5:$S$254,MATCH(B13,Materials!$A$5:$A$254,0)),""))</f>
        <v>0</v>
      </c>
      <c r="L13" s="20">
        <f>IF(A13="","",IF(OR(D13="",K13=""),"",ROUND(D13*K13,2)))</f>
        <v>0</v>
      </c>
      <c r="M13" s="33">
        <f>IF(A13="","",IFERROR(L13/SUMIFS('Waste Log'!$L$5:$L$204,'Waste Log'!$B$5:$B$204,B13),""))</f>
        <v>0</v>
      </c>
      <c r="N13" s="43">
        <f>IF(A13="","",IF(B13="","Add - which material?",IF(D13="","Add - how much?",IF(K13="","Check - that material has no price",IF(G13="Yes","Avoidable - worth a second look","Logged")))))</f>
        <v>0</v>
      </c>
    </row>
    <row r="14" spans="1:14">
      <c r="A14" s="22">
        <v>46237</v>
      </c>
      <c r="B14" s="46" t="s">
        <v>1795</v>
      </c>
      <c r="C14" s="13">
        <f>IF(B14="","",IFERROR(INDEX(Materials!$B$5:$B$254,MATCH(B14,Materials!$A$5:$A$254,0)),"Add to Materials"))</f>
        <v>0</v>
      </c>
      <c r="D14" s="21">
        <v>1</v>
      </c>
      <c r="E14" s="15" t="s">
        <v>1796</v>
      </c>
      <c r="F14" s="46" t="s">
        <v>1308</v>
      </c>
      <c r="G14" s="47" t="s">
        <v>281</v>
      </c>
      <c r="H14" s="40" t="s">
        <v>1797</v>
      </c>
      <c r="I14" s="13">
        <f>IF(A14="","",TEXT(A14,"yyyy-mm"))</f>
        <v>0</v>
      </c>
      <c r="J14" s="13">
        <f>IF(B14="","",IFERROR(INDEX(Materials!$H$5:$H$254,MATCH(B14,Materials!$A$5:$A$254,0)),"Add to Materials"))</f>
        <v>0</v>
      </c>
      <c r="K14" s="45">
        <f>IF(B14="","",IFERROR(INDEX(Materials!$S$5:$S$254,MATCH(B14,Materials!$A$5:$A$254,0)),""))</f>
        <v>0</v>
      </c>
      <c r="L14" s="20">
        <f>IF(A14="","",IF(OR(D14="",K14=""),"",ROUND(D14*K14,2)))</f>
        <v>0</v>
      </c>
      <c r="M14" s="33">
        <f>IF(A14="","",IFERROR(L14/SUMIFS('Waste Log'!$L$5:$L$204,'Waste Log'!$B$5:$B$204,B14),""))</f>
        <v>0</v>
      </c>
      <c r="N14" s="43">
        <f>IF(A14="","",IF(B14="","Add - which material?",IF(D14="","Add - how much?",IF(K14="","Check - that material has no price",IF(G14="Yes","Avoidable - worth a second look","Logged")))))</f>
        <v>0</v>
      </c>
    </row>
    <row r="15" spans="1:14">
      <c r="C15" s="13">
        <f>IF(B15="","",IFERROR(INDEX(Materials!$B$5:$B$254,MATCH(B15,Materials!$A$5:$A$254,0)),"Add to Materials"))</f>
        <v>0</v>
      </c>
      <c r="I15" s="13">
        <f>IF(A15="","",TEXT(A15,"yyyy-mm"))</f>
        <v>0</v>
      </c>
      <c r="J15" s="13">
        <f>IF(B15="","",IFERROR(INDEX(Materials!$H$5:$H$254,MATCH(B15,Materials!$A$5:$A$254,0)),"Add to Materials"))</f>
        <v>0</v>
      </c>
      <c r="K15" s="45">
        <f>IF(B15="","",IFERROR(INDEX(Materials!$S$5:$S$254,MATCH(B15,Materials!$A$5:$A$254,0)),""))</f>
        <v>0</v>
      </c>
      <c r="L15" s="20">
        <f>IF(A15="","",IF(OR(D15="",K15=""),"",ROUND(D15*K15,2)))</f>
        <v>0</v>
      </c>
      <c r="M15" s="33">
        <f>IF(A15="","",IFERROR(L15/SUMIFS('Waste Log'!$L$5:$L$204,'Waste Log'!$B$5:$B$204,B15),""))</f>
        <v>0</v>
      </c>
      <c r="N15" s="43">
        <f>IF(A15="","",IF(B15="","Add - which material?",IF(D15="","Add - how much?",IF(K15="","Check - that material has no price",IF(G15="Yes","Avoidable - worth a second look","Logged")))))</f>
        <v>0</v>
      </c>
    </row>
    <row r="16" spans="1:14">
      <c r="C16" s="13">
        <f>IF(B16="","",IFERROR(INDEX(Materials!$B$5:$B$254,MATCH(B16,Materials!$A$5:$A$254,0)),"Add to Materials"))</f>
        <v>0</v>
      </c>
      <c r="I16" s="13">
        <f>IF(A16="","",TEXT(A16,"yyyy-mm"))</f>
        <v>0</v>
      </c>
      <c r="J16" s="13">
        <f>IF(B16="","",IFERROR(INDEX(Materials!$H$5:$H$254,MATCH(B16,Materials!$A$5:$A$254,0)),"Add to Materials"))</f>
        <v>0</v>
      </c>
      <c r="K16" s="45">
        <f>IF(B16="","",IFERROR(INDEX(Materials!$S$5:$S$254,MATCH(B16,Materials!$A$5:$A$254,0)),""))</f>
        <v>0</v>
      </c>
      <c r="L16" s="20">
        <f>IF(A16="","",IF(OR(D16="",K16=""),"",ROUND(D16*K16,2)))</f>
        <v>0</v>
      </c>
      <c r="M16" s="33">
        <f>IF(A16="","",IFERROR(L16/SUMIFS('Waste Log'!$L$5:$L$204,'Waste Log'!$B$5:$B$204,B16),""))</f>
        <v>0</v>
      </c>
      <c r="N16" s="43">
        <f>IF(A16="","",IF(B16="","Add - which material?",IF(D16="","Add - how much?",IF(K16="","Check - that material has no price",IF(G16="Yes","Avoidable - worth a second look","Logged")))))</f>
        <v>0</v>
      </c>
    </row>
    <row r="17" spans="3:14">
      <c r="C17" s="13">
        <f>IF(B17="","",IFERROR(INDEX(Materials!$B$5:$B$254,MATCH(B17,Materials!$A$5:$A$254,0)),"Add to Materials"))</f>
        <v>0</v>
      </c>
      <c r="I17" s="13">
        <f>IF(A17="","",TEXT(A17,"yyyy-mm"))</f>
        <v>0</v>
      </c>
      <c r="J17" s="13">
        <f>IF(B17="","",IFERROR(INDEX(Materials!$H$5:$H$254,MATCH(B17,Materials!$A$5:$A$254,0)),"Add to Materials"))</f>
        <v>0</v>
      </c>
      <c r="K17" s="45">
        <f>IF(B17="","",IFERROR(INDEX(Materials!$S$5:$S$254,MATCH(B17,Materials!$A$5:$A$254,0)),""))</f>
        <v>0</v>
      </c>
      <c r="L17" s="20">
        <f>IF(A17="","",IF(OR(D17="",K17=""),"",ROUND(D17*K17,2)))</f>
        <v>0</v>
      </c>
      <c r="M17" s="33">
        <f>IF(A17="","",IFERROR(L17/SUMIFS('Waste Log'!$L$5:$L$204,'Waste Log'!$B$5:$B$204,B17),""))</f>
        <v>0</v>
      </c>
      <c r="N17" s="43">
        <f>IF(A17="","",IF(B17="","Add - which material?",IF(D17="","Add - how much?",IF(K17="","Check - that material has no price",IF(G17="Yes","Avoidable - worth a second look","Logged")))))</f>
        <v>0</v>
      </c>
    </row>
    <row r="18" spans="3:14">
      <c r="C18" s="13">
        <f>IF(B18="","",IFERROR(INDEX(Materials!$B$5:$B$254,MATCH(B18,Materials!$A$5:$A$254,0)),"Add to Materials"))</f>
        <v>0</v>
      </c>
      <c r="I18" s="13">
        <f>IF(A18="","",TEXT(A18,"yyyy-mm"))</f>
        <v>0</v>
      </c>
      <c r="J18" s="13">
        <f>IF(B18="","",IFERROR(INDEX(Materials!$H$5:$H$254,MATCH(B18,Materials!$A$5:$A$254,0)),"Add to Materials"))</f>
        <v>0</v>
      </c>
      <c r="K18" s="45">
        <f>IF(B18="","",IFERROR(INDEX(Materials!$S$5:$S$254,MATCH(B18,Materials!$A$5:$A$254,0)),""))</f>
        <v>0</v>
      </c>
      <c r="L18" s="20">
        <f>IF(A18="","",IF(OR(D18="",K18=""),"",ROUND(D18*K18,2)))</f>
        <v>0</v>
      </c>
      <c r="M18" s="33">
        <f>IF(A18="","",IFERROR(L18/SUMIFS('Waste Log'!$L$5:$L$204,'Waste Log'!$B$5:$B$204,B18),""))</f>
        <v>0</v>
      </c>
      <c r="N18" s="43">
        <f>IF(A18="","",IF(B18="","Add - which material?",IF(D18="","Add - how much?",IF(K18="","Check - that material has no price",IF(G18="Yes","Avoidable - worth a second look","Logged")))))</f>
        <v>0</v>
      </c>
    </row>
    <row r="19" spans="3:14">
      <c r="C19" s="13">
        <f>IF(B19="","",IFERROR(INDEX(Materials!$B$5:$B$254,MATCH(B19,Materials!$A$5:$A$254,0)),"Add to Materials"))</f>
        <v>0</v>
      </c>
      <c r="I19" s="13">
        <f>IF(A19="","",TEXT(A19,"yyyy-mm"))</f>
        <v>0</v>
      </c>
      <c r="J19" s="13">
        <f>IF(B19="","",IFERROR(INDEX(Materials!$H$5:$H$254,MATCH(B19,Materials!$A$5:$A$254,0)),"Add to Materials"))</f>
        <v>0</v>
      </c>
      <c r="K19" s="45">
        <f>IF(B19="","",IFERROR(INDEX(Materials!$S$5:$S$254,MATCH(B19,Materials!$A$5:$A$254,0)),""))</f>
        <v>0</v>
      </c>
      <c r="L19" s="20">
        <f>IF(A19="","",IF(OR(D19="",K19=""),"",ROUND(D19*K19,2)))</f>
        <v>0</v>
      </c>
      <c r="M19" s="33">
        <f>IF(A19="","",IFERROR(L19/SUMIFS('Waste Log'!$L$5:$L$204,'Waste Log'!$B$5:$B$204,B19),""))</f>
        <v>0</v>
      </c>
      <c r="N19" s="43">
        <f>IF(A19="","",IF(B19="","Add - which material?",IF(D19="","Add - how much?",IF(K19="","Check - that material has no price",IF(G19="Yes","Avoidable - worth a second look","Logged")))))</f>
        <v>0</v>
      </c>
    </row>
    <row r="20" spans="3:14">
      <c r="C20" s="13">
        <f>IF(B20="","",IFERROR(INDEX(Materials!$B$5:$B$254,MATCH(B20,Materials!$A$5:$A$254,0)),"Add to Materials"))</f>
        <v>0</v>
      </c>
      <c r="I20" s="13">
        <f>IF(A20="","",TEXT(A20,"yyyy-mm"))</f>
        <v>0</v>
      </c>
      <c r="J20" s="13">
        <f>IF(B20="","",IFERROR(INDEX(Materials!$H$5:$H$254,MATCH(B20,Materials!$A$5:$A$254,0)),"Add to Materials"))</f>
        <v>0</v>
      </c>
      <c r="K20" s="45">
        <f>IF(B20="","",IFERROR(INDEX(Materials!$S$5:$S$254,MATCH(B20,Materials!$A$5:$A$254,0)),""))</f>
        <v>0</v>
      </c>
      <c r="L20" s="20">
        <f>IF(A20="","",IF(OR(D20="",K20=""),"",ROUND(D20*K20,2)))</f>
        <v>0</v>
      </c>
      <c r="M20" s="33">
        <f>IF(A20="","",IFERROR(L20/SUMIFS('Waste Log'!$L$5:$L$204,'Waste Log'!$B$5:$B$204,B20),""))</f>
        <v>0</v>
      </c>
      <c r="N20" s="43">
        <f>IF(A20="","",IF(B20="","Add - which material?",IF(D20="","Add - how much?",IF(K20="","Check - that material has no price",IF(G20="Yes","Avoidable - worth a second look","Logged")))))</f>
        <v>0</v>
      </c>
    </row>
    <row r="21" spans="3:14">
      <c r="C21" s="13">
        <f>IF(B21="","",IFERROR(INDEX(Materials!$B$5:$B$254,MATCH(B21,Materials!$A$5:$A$254,0)),"Add to Materials"))</f>
        <v>0</v>
      </c>
      <c r="I21" s="13">
        <f>IF(A21="","",TEXT(A21,"yyyy-mm"))</f>
        <v>0</v>
      </c>
      <c r="J21" s="13">
        <f>IF(B21="","",IFERROR(INDEX(Materials!$H$5:$H$254,MATCH(B21,Materials!$A$5:$A$254,0)),"Add to Materials"))</f>
        <v>0</v>
      </c>
      <c r="K21" s="45">
        <f>IF(B21="","",IFERROR(INDEX(Materials!$S$5:$S$254,MATCH(B21,Materials!$A$5:$A$254,0)),""))</f>
        <v>0</v>
      </c>
      <c r="L21" s="20">
        <f>IF(A21="","",IF(OR(D21="",K21=""),"",ROUND(D21*K21,2)))</f>
        <v>0</v>
      </c>
      <c r="M21" s="33">
        <f>IF(A21="","",IFERROR(L21/SUMIFS('Waste Log'!$L$5:$L$204,'Waste Log'!$B$5:$B$204,B21),""))</f>
        <v>0</v>
      </c>
      <c r="N21" s="43">
        <f>IF(A21="","",IF(B21="","Add - which material?",IF(D21="","Add - how much?",IF(K21="","Check - that material has no price",IF(G21="Yes","Avoidable - worth a second look","Logged")))))</f>
        <v>0</v>
      </c>
    </row>
    <row r="22" spans="3:14">
      <c r="C22" s="13">
        <f>IF(B22="","",IFERROR(INDEX(Materials!$B$5:$B$254,MATCH(B22,Materials!$A$5:$A$254,0)),"Add to Materials"))</f>
        <v>0</v>
      </c>
      <c r="I22" s="13">
        <f>IF(A22="","",TEXT(A22,"yyyy-mm"))</f>
        <v>0</v>
      </c>
      <c r="J22" s="13">
        <f>IF(B22="","",IFERROR(INDEX(Materials!$H$5:$H$254,MATCH(B22,Materials!$A$5:$A$254,0)),"Add to Materials"))</f>
        <v>0</v>
      </c>
      <c r="K22" s="45">
        <f>IF(B22="","",IFERROR(INDEX(Materials!$S$5:$S$254,MATCH(B22,Materials!$A$5:$A$254,0)),""))</f>
        <v>0</v>
      </c>
      <c r="L22" s="20">
        <f>IF(A22="","",IF(OR(D22="",K22=""),"",ROUND(D22*K22,2)))</f>
        <v>0</v>
      </c>
      <c r="M22" s="33">
        <f>IF(A22="","",IFERROR(L22/SUMIFS('Waste Log'!$L$5:$L$204,'Waste Log'!$B$5:$B$204,B22),""))</f>
        <v>0</v>
      </c>
      <c r="N22" s="43">
        <f>IF(A22="","",IF(B22="","Add - which material?",IF(D22="","Add - how much?",IF(K22="","Check - that material has no price",IF(G22="Yes","Avoidable - worth a second look","Logged")))))</f>
        <v>0</v>
      </c>
    </row>
    <row r="23" spans="3:14">
      <c r="C23" s="13">
        <f>IF(B23="","",IFERROR(INDEX(Materials!$B$5:$B$254,MATCH(B23,Materials!$A$5:$A$254,0)),"Add to Materials"))</f>
        <v>0</v>
      </c>
      <c r="I23" s="13">
        <f>IF(A23="","",TEXT(A23,"yyyy-mm"))</f>
        <v>0</v>
      </c>
      <c r="J23" s="13">
        <f>IF(B23="","",IFERROR(INDEX(Materials!$H$5:$H$254,MATCH(B23,Materials!$A$5:$A$254,0)),"Add to Materials"))</f>
        <v>0</v>
      </c>
      <c r="K23" s="45">
        <f>IF(B23="","",IFERROR(INDEX(Materials!$S$5:$S$254,MATCH(B23,Materials!$A$5:$A$254,0)),""))</f>
        <v>0</v>
      </c>
      <c r="L23" s="20">
        <f>IF(A23="","",IF(OR(D23="",K23=""),"",ROUND(D23*K23,2)))</f>
        <v>0</v>
      </c>
      <c r="M23" s="33">
        <f>IF(A23="","",IFERROR(L23/SUMIFS('Waste Log'!$L$5:$L$204,'Waste Log'!$B$5:$B$204,B23),""))</f>
        <v>0</v>
      </c>
      <c r="N23" s="43">
        <f>IF(A23="","",IF(B23="","Add - which material?",IF(D23="","Add - how much?",IF(K23="","Check - that material has no price",IF(G23="Yes","Avoidable - worth a second look","Logged")))))</f>
        <v>0</v>
      </c>
    </row>
    <row r="24" spans="3:14">
      <c r="C24" s="13">
        <f>IF(B24="","",IFERROR(INDEX(Materials!$B$5:$B$254,MATCH(B24,Materials!$A$5:$A$254,0)),"Add to Materials"))</f>
        <v>0</v>
      </c>
      <c r="I24" s="13">
        <f>IF(A24="","",TEXT(A24,"yyyy-mm"))</f>
        <v>0</v>
      </c>
      <c r="J24" s="13">
        <f>IF(B24="","",IFERROR(INDEX(Materials!$H$5:$H$254,MATCH(B24,Materials!$A$5:$A$254,0)),"Add to Materials"))</f>
        <v>0</v>
      </c>
      <c r="K24" s="45">
        <f>IF(B24="","",IFERROR(INDEX(Materials!$S$5:$S$254,MATCH(B24,Materials!$A$5:$A$254,0)),""))</f>
        <v>0</v>
      </c>
      <c r="L24" s="20">
        <f>IF(A24="","",IF(OR(D24="",K24=""),"",ROUND(D24*K24,2)))</f>
        <v>0</v>
      </c>
      <c r="M24" s="33">
        <f>IF(A24="","",IFERROR(L24/SUMIFS('Waste Log'!$L$5:$L$204,'Waste Log'!$B$5:$B$204,B24),""))</f>
        <v>0</v>
      </c>
      <c r="N24" s="43">
        <f>IF(A24="","",IF(B24="","Add - which material?",IF(D24="","Add - how much?",IF(K24="","Check - that material has no price",IF(G24="Yes","Avoidable - worth a second look","Logged")))))</f>
        <v>0</v>
      </c>
    </row>
    <row r="25" spans="3:14">
      <c r="C25" s="13">
        <f>IF(B25="","",IFERROR(INDEX(Materials!$B$5:$B$254,MATCH(B25,Materials!$A$5:$A$254,0)),"Add to Materials"))</f>
        <v>0</v>
      </c>
      <c r="I25" s="13">
        <f>IF(A25="","",TEXT(A25,"yyyy-mm"))</f>
        <v>0</v>
      </c>
      <c r="J25" s="13">
        <f>IF(B25="","",IFERROR(INDEX(Materials!$H$5:$H$254,MATCH(B25,Materials!$A$5:$A$254,0)),"Add to Materials"))</f>
        <v>0</v>
      </c>
      <c r="K25" s="45">
        <f>IF(B25="","",IFERROR(INDEX(Materials!$S$5:$S$254,MATCH(B25,Materials!$A$5:$A$254,0)),""))</f>
        <v>0</v>
      </c>
      <c r="L25" s="20">
        <f>IF(A25="","",IF(OR(D25="",K25=""),"",ROUND(D25*K25,2)))</f>
        <v>0</v>
      </c>
      <c r="M25" s="33">
        <f>IF(A25="","",IFERROR(L25/SUMIFS('Waste Log'!$L$5:$L$204,'Waste Log'!$B$5:$B$204,B25),""))</f>
        <v>0</v>
      </c>
      <c r="N25" s="43">
        <f>IF(A25="","",IF(B25="","Add - which material?",IF(D25="","Add - how much?",IF(K25="","Check - that material has no price",IF(G25="Yes","Avoidable - worth a second look","Logged")))))</f>
        <v>0</v>
      </c>
    </row>
    <row r="26" spans="3:14">
      <c r="C26" s="13">
        <f>IF(B26="","",IFERROR(INDEX(Materials!$B$5:$B$254,MATCH(B26,Materials!$A$5:$A$254,0)),"Add to Materials"))</f>
        <v>0</v>
      </c>
      <c r="I26" s="13">
        <f>IF(A26="","",TEXT(A26,"yyyy-mm"))</f>
        <v>0</v>
      </c>
      <c r="J26" s="13">
        <f>IF(B26="","",IFERROR(INDEX(Materials!$H$5:$H$254,MATCH(B26,Materials!$A$5:$A$254,0)),"Add to Materials"))</f>
        <v>0</v>
      </c>
      <c r="K26" s="45">
        <f>IF(B26="","",IFERROR(INDEX(Materials!$S$5:$S$254,MATCH(B26,Materials!$A$5:$A$254,0)),""))</f>
        <v>0</v>
      </c>
      <c r="L26" s="20">
        <f>IF(A26="","",IF(OR(D26="",K26=""),"",ROUND(D26*K26,2)))</f>
        <v>0</v>
      </c>
      <c r="M26" s="33">
        <f>IF(A26="","",IFERROR(L26/SUMIFS('Waste Log'!$L$5:$L$204,'Waste Log'!$B$5:$B$204,B26),""))</f>
        <v>0</v>
      </c>
      <c r="N26" s="43">
        <f>IF(A26="","",IF(B26="","Add - which material?",IF(D26="","Add - how much?",IF(K26="","Check - that material has no price",IF(G26="Yes","Avoidable - worth a second look","Logged")))))</f>
        <v>0</v>
      </c>
    </row>
    <row r="27" spans="3:14">
      <c r="C27" s="13">
        <f>IF(B27="","",IFERROR(INDEX(Materials!$B$5:$B$254,MATCH(B27,Materials!$A$5:$A$254,0)),"Add to Materials"))</f>
        <v>0</v>
      </c>
      <c r="I27" s="13">
        <f>IF(A27="","",TEXT(A27,"yyyy-mm"))</f>
        <v>0</v>
      </c>
      <c r="J27" s="13">
        <f>IF(B27="","",IFERROR(INDEX(Materials!$H$5:$H$254,MATCH(B27,Materials!$A$5:$A$254,0)),"Add to Materials"))</f>
        <v>0</v>
      </c>
      <c r="K27" s="45">
        <f>IF(B27="","",IFERROR(INDEX(Materials!$S$5:$S$254,MATCH(B27,Materials!$A$5:$A$254,0)),""))</f>
        <v>0</v>
      </c>
      <c r="L27" s="20">
        <f>IF(A27="","",IF(OR(D27="",K27=""),"",ROUND(D27*K27,2)))</f>
        <v>0</v>
      </c>
      <c r="M27" s="33">
        <f>IF(A27="","",IFERROR(L27/SUMIFS('Waste Log'!$L$5:$L$204,'Waste Log'!$B$5:$B$204,B27),""))</f>
        <v>0</v>
      </c>
      <c r="N27" s="43">
        <f>IF(A27="","",IF(B27="","Add - which material?",IF(D27="","Add - how much?",IF(K27="","Check - that material has no price",IF(G27="Yes","Avoidable - worth a second look","Logged")))))</f>
        <v>0</v>
      </c>
    </row>
    <row r="28" spans="3:14">
      <c r="C28" s="13">
        <f>IF(B28="","",IFERROR(INDEX(Materials!$B$5:$B$254,MATCH(B28,Materials!$A$5:$A$254,0)),"Add to Materials"))</f>
        <v>0</v>
      </c>
      <c r="I28" s="13">
        <f>IF(A28="","",TEXT(A28,"yyyy-mm"))</f>
        <v>0</v>
      </c>
      <c r="J28" s="13">
        <f>IF(B28="","",IFERROR(INDEX(Materials!$H$5:$H$254,MATCH(B28,Materials!$A$5:$A$254,0)),"Add to Materials"))</f>
        <v>0</v>
      </c>
      <c r="K28" s="45">
        <f>IF(B28="","",IFERROR(INDEX(Materials!$S$5:$S$254,MATCH(B28,Materials!$A$5:$A$254,0)),""))</f>
        <v>0</v>
      </c>
      <c r="L28" s="20">
        <f>IF(A28="","",IF(OR(D28="",K28=""),"",ROUND(D28*K28,2)))</f>
        <v>0</v>
      </c>
      <c r="M28" s="33">
        <f>IF(A28="","",IFERROR(L28/SUMIFS('Waste Log'!$L$5:$L$204,'Waste Log'!$B$5:$B$204,B28),""))</f>
        <v>0</v>
      </c>
      <c r="N28" s="43">
        <f>IF(A28="","",IF(B28="","Add - which material?",IF(D28="","Add - how much?",IF(K28="","Check - that material has no price",IF(G28="Yes","Avoidable - worth a second look","Logged")))))</f>
        <v>0</v>
      </c>
    </row>
    <row r="29" spans="3:14">
      <c r="C29" s="13">
        <f>IF(B29="","",IFERROR(INDEX(Materials!$B$5:$B$254,MATCH(B29,Materials!$A$5:$A$254,0)),"Add to Materials"))</f>
        <v>0</v>
      </c>
      <c r="I29" s="13">
        <f>IF(A29="","",TEXT(A29,"yyyy-mm"))</f>
        <v>0</v>
      </c>
      <c r="J29" s="13">
        <f>IF(B29="","",IFERROR(INDEX(Materials!$H$5:$H$254,MATCH(B29,Materials!$A$5:$A$254,0)),"Add to Materials"))</f>
        <v>0</v>
      </c>
      <c r="K29" s="45">
        <f>IF(B29="","",IFERROR(INDEX(Materials!$S$5:$S$254,MATCH(B29,Materials!$A$5:$A$254,0)),""))</f>
        <v>0</v>
      </c>
      <c r="L29" s="20">
        <f>IF(A29="","",IF(OR(D29="",K29=""),"",ROUND(D29*K29,2)))</f>
        <v>0</v>
      </c>
      <c r="M29" s="33">
        <f>IF(A29="","",IFERROR(L29/SUMIFS('Waste Log'!$L$5:$L$204,'Waste Log'!$B$5:$B$204,B29),""))</f>
        <v>0</v>
      </c>
      <c r="N29" s="43">
        <f>IF(A29="","",IF(B29="","Add - which material?",IF(D29="","Add - how much?",IF(K29="","Check - that material has no price",IF(G29="Yes","Avoidable - worth a second look","Logged")))))</f>
        <v>0</v>
      </c>
    </row>
    <row r="30" spans="3:14">
      <c r="C30" s="13">
        <f>IF(B30="","",IFERROR(INDEX(Materials!$B$5:$B$254,MATCH(B30,Materials!$A$5:$A$254,0)),"Add to Materials"))</f>
        <v>0</v>
      </c>
      <c r="I30" s="13">
        <f>IF(A30="","",TEXT(A30,"yyyy-mm"))</f>
        <v>0</v>
      </c>
      <c r="J30" s="13">
        <f>IF(B30="","",IFERROR(INDEX(Materials!$H$5:$H$254,MATCH(B30,Materials!$A$5:$A$254,0)),"Add to Materials"))</f>
        <v>0</v>
      </c>
      <c r="K30" s="45">
        <f>IF(B30="","",IFERROR(INDEX(Materials!$S$5:$S$254,MATCH(B30,Materials!$A$5:$A$254,0)),""))</f>
        <v>0</v>
      </c>
      <c r="L30" s="20">
        <f>IF(A30="","",IF(OR(D30="",K30=""),"",ROUND(D30*K30,2)))</f>
        <v>0</v>
      </c>
      <c r="M30" s="33">
        <f>IF(A30="","",IFERROR(L30/SUMIFS('Waste Log'!$L$5:$L$204,'Waste Log'!$B$5:$B$204,B30),""))</f>
        <v>0</v>
      </c>
      <c r="N30" s="43">
        <f>IF(A30="","",IF(B30="","Add - which material?",IF(D30="","Add - how much?",IF(K30="","Check - that material has no price",IF(G30="Yes","Avoidable - worth a second look","Logged")))))</f>
        <v>0</v>
      </c>
    </row>
    <row r="31" spans="3:14">
      <c r="C31" s="13">
        <f>IF(B31="","",IFERROR(INDEX(Materials!$B$5:$B$254,MATCH(B31,Materials!$A$5:$A$254,0)),"Add to Materials"))</f>
        <v>0</v>
      </c>
      <c r="I31" s="13">
        <f>IF(A31="","",TEXT(A31,"yyyy-mm"))</f>
        <v>0</v>
      </c>
      <c r="J31" s="13">
        <f>IF(B31="","",IFERROR(INDEX(Materials!$H$5:$H$254,MATCH(B31,Materials!$A$5:$A$254,0)),"Add to Materials"))</f>
        <v>0</v>
      </c>
      <c r="K31" s="45">
        <f>IF(B31="","",IFERROR(INDEX(Materials!$S$5:$S$254,MATCH(B31,Materials!$A$5:$A$254,0)),""))</f>
        <v>0</v>
      </c>
      <c r="L31" s="20">
        <f>IF(A31="","",IF(OR(D31="",K31=""),"",ROUND(D31*K31,2)))</f>
        <v>0</v>
      </c>
      <c r="M31" s="33">
        <f>IF(A31="","",IFERROR(L31/SUMIFS('Waste Log'!$L$5:$L$204,'Waste Log'!$B$5:$B$204,B31),""))</f>
        <v>0</v>
      </c>
      <c r="N31" s="43">
        <f>IF(A31="","",IF(B31="","Add - which material?",IF(D31="","Add - how much?",IF(K31="","Check - that material has no price",IF(G31="Yes","Avoidable - worth a second look","Logged")))))</f>
        <v>0</v>
      </c>
    </row>
    <row r="32" spans="3:14">
      <c r="C32" s="13">
        <f>IF(B32="","",IFERROR(INDEX(Materials!$B$5:$B$254,MATCH(B32,Materials!$A$5:$A$254,0)),"Add to Materials"))</f>
        <v>0</v>
      </c>
      <c r="I32" s="13">
        <f>IF(A32="","",TEXT(A32,"yyyy-mm"))</f>
        <v>0</v>
      </c>
      <c r="J32" s="13">
        <f>IF(B32="","",IFERROR(INDEX(Materials!$H$5:$H$254,MATCH(B32,Materials!$A$5:$A$254,0)),"Add to Materials"))</f>
        <v>0</v>
      </c>
      <c r="K32" s="45">
        <f>IF(B32="","",IFERROR(INDEX(Materials!$S$5:$S$254,MATCH(B32,Materials!$A$5:$A$254,0)),""))</f>
        <v>0</v>
      </c>
      <c r="L32" s="20">
        <f>IF(A32="","",IF(OR(D32="",K32=""),"",ROUND(D32*K32,2)))</f>
        <v>0</v>
      </c>
      <c r="M32" s="33">
        <f>IF(A32="","",IFERROR(L32/SUMIFS('Waste Log'!$L$5:$L$204,'Waste Log'!$B$5:$B$204,B32),""))</f>
        <v>0</v>
      </c>
      <c r="N32" s="43">
        <f>IF(A32="","",IF(B32="","Add - which material?",IF(D32="","Add - how much?",IF(K32="","Check - that material has no price",IF(G32="Yes","Avoidable - worth a second look","Logged")))))</f>
        <v>0</v>
      </c>
    </row>
    <row r="33" spans="3:14">
      <c r="C33" s="13">
        <f>IF(B33="","",IFERROR(INDEX(Materials!$B$5:$B$254,MATCH(B33,Materials!$A$5:$A$254,0)),"Add to Materials"))</f>
        <v>0</v>
      </c>
      <c r="I33" s="13">
        <f>IF(A33="","",TEXT(A33,"yyyy-mm"))</f>
        <v>0</v>
      </c>
      <c r="J33" s="13">
        <f>IF(B33="","",IFERROR(INDEX(Materials!$H$5:$H$254,MATCH(B33,Materials!$A$5:$A$254,0)),"Add to Materials"))</f>
        <v>0</v>
      </c>
      <c r="K33" s="45">
        <f>IF(B33="","",IFERROR(INDEX(Materials!$S$5:$S$254,MATCH(B33,Materials!$A$5:$A$254,0)),""))</f>
        <v>0</v>
      </c>
      <c r="L33" s="20">
        <f>IF(A33="","",IF(OR(D33="",K33=""),"",ROUND(D33*K33,2)))</f>
        <v>0</v>
      </c>
      <c r="M33" s="33">
        <f>IF(A33="","",IFERROR(L33/SUMIFS('Waste Log'!$L$5:$L$204,'Waste Log'!$B$5:$B$204,B33),""))</f>
        <v>0</v>
      </c>
      <c r="N33" s="43">
        <f>IF(A33="","",IF(B33="","Add - which material?",IF(D33="","Add - how much?",IF(K33="","Check - that material has no price",IF(G33="Yes","Avoidable - worth a second look","Logged")))))</f>
        <v>0</v>
      </c>
    </row>
    <row r="34" spans="3:14">
      <c r="C34" s="13">
        <f>IF(B34="","",IFERROR(INDEX(Materials!$B$5:$B$254,MATCH(B34,Materials!$A$5:$A$254,0)),"Add to Materials"))</f>
        <v>0</v>
      </c>
      <c r="I34" s="13">
        <f>IF(A34="","",TEXT(A34,"yyyy-mm"))</f>
        <v>0</v>
      </c>
      <c r="J34" s="13">
        <f>IF(B34="","",IFERROR(INDEX(Materials!$H$5:$H$254,MATCH(B34,Materials!$A$5:$A$254,0)),"Add to Materials"))</f>
        <v>0</v>
      </c>
      <c r="K34" s="45">
        <f>IF(B34="","",IFERROR(INDEX(Materials!$S$5:$S$254,MATCH(B34,Materials!$A$5:$A$254,0)),""))</f>
        <v>0</v>
      </c>
      <c r="L34" s="20">
        <f>IF(A34="","",IF(OR(D34="",K34=""),"",ROUND(D34*K34,2)))</f>
        <v>0</v>
      </c>
      <c r="M34" s="33">
        <f>IF(A34="","",IFERROR(L34/SUMIFS('Waste Log'!$L$5:$L$204,'Waste Log'!$B$5:$B$204,B34),""))</f>
        <v>0</v>
      </c>
      <c r="N34" s="43">
        <f>IF(A34="","",IF(B34="","Add - which material?",IF(D34="","Add - how much?",IF(K34="","Check - that material has no price",IF(G34="Yes","Avoidable - worth a second look","Logged")))))</f>
        <v>0</v>
      </c>
    </row>
    <row r="35" spans="3:14">
      <c r="C35" s="13">
        <f>IF(B35="","",IFERROR(INDEX(Materials!$B$5:$B$254,MATCH(B35,Materials!$A$5:$A$254,0)),"Add to Materials"))</f>
        <v>0</v>
      </c>
      <c r="I35" s="13">
        <f>IF(A35="","",TEXT(A35,"yyyy-mm"))</f>
        <v>0</v>
      </c>
      <c r="J35" s="13">
        <f>IF(B35="","",IFERROR(INDEX(Materials!$H$5:$H$254,MATCH(B35,Materials!$A$5:$A$254,0)),"Add to Materials"))</f>
        <v>0</v>
      </c>
      <c r="K35" s="45">
        <f>IF(B35="","",IFERROR(INDEX(Materials!$S$5:$S$254,MATCH(B35,Materials!$A$5:$A$254,0)),""))</f>
        <v>0</v>
      </c>
      <c r="L35" s="20">
        <f>IF(A35="","",IF(OR(D35="",K35=""),"",ROUND(D35*K35,2)))</f>
        <v>0</v>
      </c>
      <c r="M35" s="33">
        <f>IF(A35="","",IFERROR(L35/SUMIFS('Waste Log'!$L$5:$L$204,'Waste Log'!$B$5:$B$204,B35),""))</f>
        <v>0</v>
      </c>
      <c r="N35" s="43">
        <f>IF(A35="","",IF(B35="","Add - which material?",IF(D35="","Add - how much?",IF(K35="","Check - that material has no price",IF(G35="Yes","Avoidable - worth a second look","Logged")))))</f>
        <v>0</v>
      </c>
    </row>
    <row r="36" spans="3:14">
      <c r="C36" s="13">
        <f>IF(B36="","",IFERROR(INDEX(Materials!$B$5:$B$254,MATCH(B36,Materials!$A$5:$A$254,0)),"Add to Materials"))</f>
        <v>0</v>
      </c>
      <c r="I36" s="13">
        <f>IF(A36="","",TEXT(A36,"yyyy-mm"))</f>
        <v>0</v>
      </c>
      <c r="J36" s="13">
        <f>IF(B36="","",IFERROR(INDEX(Materials!$H$5:$H$254,MATCH(B36,Materials!$A$5:$A$254,0)),"Add to Materials"))</f>
        <v>0</v>
      </c>
      <c r="K36" s="45">
        <f>IF(B36="","",IFERROR(INDEX(Materials!$S$5:$S$254,MATCH(B36,Materials!$A$5:$A$254,0)),""))</f>
        <v>0</v>
      </c>
      <c r="L36" s="20">
        <f>IF(A36="","",IF(OR(D36="",K36=""),"",ROUND(D36*K36,2)))</f>
        <v>0</v>
      </c>
      <c r="M36" s="33">
        <f>IF(A36="","",IFERROR(L36/SUMIFS('Waste Log'!$L$5:$L$204,'Waste Log'!$B$5:$B$204,B36),""))</f>
        <v>0</v>
      </c>
      <c r="N36" s="43">
        <f>IF(A36="","",IF(B36="","Add - which material?",IF(D36="","Add - how much?",IF(K36="","Check - that material has no price",IF(G36="Yes","Avoidable - worth a second look","Logged")))))</f>
        <v>0</v>
      </c>
    </row>
    <row r="37" spans="3:14">
      <c r="C37" s="13">
        <f>IF(B37="","",IFERROR(INDEX(Materials!$B$5:$B$254,MATCH(B37,Materials!$A$5:$A$254,0)),"Add to Materials"))</f>
        <v>0</v>
      </c>
      <c r="I37" s="13">
        <f>IF(A37="","",TEXT(A37,"yyyy-mm"))</f>
        <v>0</v>
      </c>
      <c r="J37" s="13">
        <f>IF(B37="","",IFERROR(INDEX(Materials!$H$5:$H$254,MATCH(B37,Materials!$A$5:$A$254,0)),"Add to Materials"))</f>
        <v>0</v>
      </c>
      <c r="K37" s="45">
        <f>IF(B37="","",IFERROR(INDEX(Materials!$S$5:$S$254,MATCH(B37,Materials!$A$5:$A$254,0)),""))</f>
        <v>0</v>
      </c>
      <c r="L37" s="20">
        <f>IF(A37="","",IF(OR(D37="",K37=""),"",ROUND(D37*K37,2)))</f>
        <v>0</v>
      </c>
      <c r="M37" s="33">
        <f>IF(A37="","",IFERROR(L37/SUMIFS('Waste Log'!$L$5:$L$204,'Waste Log'!$B$5:$B$204,B37),""))</f>
        <v>0</v>
      </c>
      <c r="N37" s="43">
        <f>IF(A37="","",IF(B37="","Add - which material?",IF(D37="","Add - how much?",IF(K37="","Check - that material has no price",IF(G37="Yes","Avoidable - worth a second look","Logged")))))</f>
        <v>0</v>
      </c>
    </row>
    <row r="38" spans="3:14">
      <c r="C38" s="13">
        <f>IF(B38="","",IFERROR(INDEX(Materials!$B$5:$B$254,MATCH(B38,Materials!$A$5:$A$254,0)),"Add to Materials"))</f>
        <v>0</v>
      </c>
      <c r="I38" s="13">
        <f>IF(A38="","",TEXT(A38,"yyyy-mm"))</f>
        <v>0</v>
      </c>
      <c r="J38" s="13">
        <f>IF(B38="","",IFERROR(INDEX(Materials!$H$5:$H$254,MATCH(B38,Materials!$A$5:$A$254,0)),"Add to Materials"))</f>
        <v>0</v>
      </c>
      <c r="K38" s="45">
        <f>IF(B38="","",IFERROR(INDEX(Materials!$S$5:$S$254,MATCH(B38,Materials!$A$5:$A$254,0)),""))</f>
        <v>0</v>
      </c>
      <c r="L38" s="20">
        <f>IF(A38="","",IF(OR(D38="",K38=""),"",ROUND(D38*K38,2)))</f>
        <v>0</v>
      </c>
      <c r="M38" s="33">
        <f>IF(A38="","",IFERROR(L38/SUMIFS('Waste Log'!$L$5:$L$204,'Waste Log'!$B$5:$B$204,B38),""))</f>
        <v>0</v>
      </c>
      <c r="N38" s="43">
        <f>IF(A38="","",IF(B38="","Add - which material?",IF(D38="","Add - how much?",IF(K38="","Check - that material has no price",IF(G38="Yes","Avoidable - worth a second look","Logged")))))</f>
        <v>0</v>
      </c>
    </row>
    <row r="39" spans="3:14">
      <c r="C39" s="13">
        <f>IF(B39="","",IFERROR(INDEX(Materials!$B$5:$B$254,MATCH(B39,Materials!$A$5:$A$254,0)),"Add to Materials"))</f>
        <v>0</v>
      </c>
      <c r="I39" s="13">
        <f>IF(A39="","",TEXT(A39,"yyyy-mm"))</f>
        <v>0</v>
      </c>
      <c r="J39" s="13">
        <f>IF(B39="","",IFERROR(INDEX(Materials!$H$5:$H$254,MATCH(B39,Materials!$A$5:$A$254,0)),"Add to Materials"))</f>
        <v>0</v>
      </c>
      <c r="K39" s="45">
        <f>IF(B39="","",IFERROR(INDEX(Materials!$S$5:$S$254,MATCH(B39,Materials!$A$5:$A$254,0)),""))</f>
        <v>0</v>
      </c>
      <c r="L39" s="20">
        <f>IF(A39="","",IF(OR(D39="",K39=""),"",ROUND(D39*K39,2)))</f>
        <v>0</v>
      </c>
      <c r="M39" s="33">
        <f>IF(A39="","",IFERROR(L39/SUMIFS('Waste Log'!$L$5:$L$204,'Waste Log'!$B$5:$B$204,B39),""))</f>
        <v>0</v>
      </c>
      <c r="N39" s="43">
        <f>IF(A39="","",IF(B39="","Add - which material?",IF(D39="","Add - how much?",IF(K39="","Check - that material has no price",IF(G39="Yes","Avoidable - worth a second look","Logged")))))</f>
        <v>0</v>
      </c>
    </row>
    <row r="40" spans="3:14">
      <c r="C40" s="13">
        <f>IF(B40="","",IFERROR(INDEX(Materials!$B$5:$B$254,MATCH(B40,Materials!$A$5:$A$254,0)),"Add to Materials"))</f>
        <v>0</v>
      </c>
      <c r="I40" s="13">
        <f>IF(A40="","",TEXT(A40,"yyyy-mm"))</f>
        <v>0</v>
      </c>
      <c r="J40" s="13">
        <f>IF(B40="","",IFERROR(INDEX(Materials!$H$5:$H$254,MATCH(B40,Materials!$A$5:$A$254,0)),"Add to Materials"))</f>
        <v>0</v>
      </c>
      <c r="K40" s="45">
        <f>IF(B40="","",IFERROR(INDEX(Materials!$S$5:$S$254,MATCH(B40,Materials!$A$5:$A$254,0)),""))</f>
        <v>0</v>
      </c>
      <c r="L40" s="20">
        <f>IF(A40="","",IF(OR(D40="",K40=""),"",ROUND(D40*K40,2)))</f>
        <v>0</v>
      </c>
      <c r="M40" s="33">
        <f>IF(A40="","",IFERROR(L40/SUMIFS('Waste Log'!$L$5:$L$204,'Waste Log'!$B$5:$B$204,B40),""))</f>
        <v>0</v>
      </c>
      <c r="N40" s="43">
        <f>IF(A40="","",IF(B40="","Add - which material?",IF(D40="","Add - how much?",IF(K40="","Check - that material has no price",IF(G40="Yes","Avoidable - worth a second look","Logged")))))</f>
        <v>0</v>
      </c>
    </row>
    <row r="41" spans="3:14">
      <c r="C41" s="13">
        <f>IF(B41="","",IFERROR(INDEX(Materials!$B$5:$B$254,MATCH(B41,Materials!$A$5:$A$254,0)),"Add to Materials"))</f>
        <v>0</v>
      </c>
      <c r="I41" s="13">
        <f>IF(A41="","",TEXT(A41,"yyyy-mm"))</f>
        <v>0</v>
      </c>
      <c r="J41" s="13">
        <f>IF(B41="","",IFERROR(INDEX(Materials!$H$5:$H$254,MATCH(B41,Materials!$A$5:$A$254,0)),"Add to Materials"))</f>
        <v>0</v>
      </c>
      <c r="K41" s="45">
        <f>IF(B41="","",IFERROR(INDEX(Materials!$S$5:$S$254,MATCH(B41,Materials!$A$5:$A$254,0)),""))</f>
        <v>0</v>
      </c>
      <c r="L41" s="20">
        <f>IF(A41="","",IF(OR(D41="",K41=""),"",ROUND(D41*K41,2)))</f>
        <v>0</v>
      </c>
      <c r="M41" s="33">
        <f>IF(A41="","",IFERROR(L41/SUMIFS('Waste Log'!$L$5:$L$204,'Waste Log'!$B$5:$B$204,B41),""))</f>
        <v>0</v>
      </c>
      <c r="N41" s="43">
        <f>IF(A41="","",IF(B41="","Add - which material?",IF(D41="","Add - how much?",IF(K41="","Check - that material has no price",IF(G41="Yes","Avoidable - worth a second look","Logged")))))</f>
        <v>0</v>
      </c>
    </row>
    <row r="42" spans="3:14">
      <c r="C42" s="13">
        <f>IF(B42="","",IFERROR(INDEX(Materials!$B$5:$B$254,MATCH(B42,Materials!$A$5:$A$254,0)),"Add to Materials"))</f>
        <v>0</v>
      </c>
      <c r="I42" s="13">
        <f>IF(A42="","",TEXT(A42,"yyyy-mm"))</f>
        <v>0</v>
      </c>
      <c r="J42" s="13">
        <f>IF(B42="","",IFERROR(INDEX(Materials!$H$5:$H$254,MATCH(B42,Materials!$A$5:$A$254,0)),"Add to Materials"))</f>
        <v>0</v>
      </c>
      <c r="K42" s="45">
        <f>IF(B42="","",IFERROR(INDEX(Materials!$S$5:$S$254,MATCH(B42,Materials!$A$5:$A$254,0)),""))</f>
        <v>0</v>
      </c>
      <c r="L42" s="20">
        <f>IF(A42="","",IF(OR(D42="",K42=""),"",ROUND(D42*K42,2)))</f>
        <v>0</v>
      </c>
      <c r="M42" s="33">
        <f>IF(A42="","",IFERROR(L42/SUMIFS('Waste Log'!$L$5:$L$204,'Waste Log'!$B$5:$B$204,B42),""))</f>
        <v>0</v>
      </c>
      <c r="N42" s="43">
        <f>IF(A42="","",IF(B42="","Add - which material?",IF(D42="","Add - how much?",IF(K42="","Check - that material has no price",IF(G42="Yes","Avoidable - worth a second look","Logged")))))</f>
        <v>0</v>
      </c>
    </row>
    <row r="43" spans="3:14">
      <c r="C43" s="13">
        <f>IF(B43="","",IFERROR(INDEX(Materials!$B$5:$B$254,MATCH(B43,Materials!$A$5:$A$254,0)),"Add to Materials"))</f>
        <v>0</v>
      </c>
      <c r="I43" s="13">
        <f>IF(A43="","",TEXT(A43,"yyyy-mm"))</f>
        <v>0</v>
      </c>
      <c r="J43" s="13">
        <f>IF(B43="","",IFERROR(INDEX(Materials!$H$5:$H$254,MATCH(B43,Materials!$A$5:$A$254,0)),"Add to Materials"))</f>
        <v>0</v>
      </c>
      <c r="K43" s="45">
        <f>IF(B43="","",IFERROR(INDEX(Materials!$S$5:$S$254,MATCH(B43,Materials!$A$5:$A$254,0)),""))</f>
        <v>0</v>
      </c>
      <c r="L43" s="20">
        <f>IF(A43="","",IF(OR(D43="",K43=""),"",ROUND(D43*K43,2)))</f>
        <v>0</v>
      </c>
      <c r="M43" s="33">
        <f>IF(A43="","",IFERROR(L43/SUMIFS('Waste Log'!$L$5:$L$204,'Waste Log'!$B$5:$B$204,B43),""))</f>
        <v>0</v>
      </c>
      <c r="N43" s="43">
        <f>IF(A43="","",IF(B43="","Add - which material?",IF(D43="","Add - how much?",IF(K43="","Check - that material has no price",IF(G43="Yes","Avoidable - worth a second look","Logged")))))</f>
        <v>0</v>
      </c>
    </row>
    <row r="44" spans="3:14">
      <c r="C44" s="13">
        <f>IF(B44="","",IFERROR(INDEX(Materials!$B$5:$B$254,MATCH(B44,Materials!$A$5:$A$254,0)),"Add to Materials"))</f>
        <v>0</v>
      </c>
      <c r="I44" s="13">
        <f>IF(A44="","",TEXT(A44,"yyyy-mm"))</f>
        <v>0</v>
      </c>
      <c r="J44" s="13">
        <f>IF(B44="","",IFERROR(INDEX(Materials!$H$5:$H$254,MATCH(B44,Materials!$A$5:$A$254,0)),"Add to Materials"))</f>
        <v>0</v>
      </c>
      <c r="K44" s="45">
        <f>IF(B44="","",IFERROR(INDEX(Materials!$S$5:$S$254,MATCH(B44,Materials!$A$5:$A$254,0)),""))</f>
        <v>0</v>
      </c>
      <c r="L44" s="20">
        <f>IF(A44="","",IF(OR(D44="",K44=""),"",ROUND(D44*K44,2)))</f>
        <v>0</v>
      </c>
      <c r="M44" s="33">
        <f>IF(A44="","",IFERROR(L44/SUMIFS('Waste Log'!$L$5:$L$204,'Waste Log'!$B$5:$B$204,B44),""))</f>
        <v>0</v>
      </c>
      <c r="N44" s="43">
        <f>IF(A44="","",IF(B44="","Add - which material?",IF(D44="","Add - how much?",IF(K44="","Check - that material has no price",IF(G44="Yes","Avoidable - worth a second look","Logged")))))</f>
        <v>0</v>
      </c>
    </row>
    <row r="45" spans="3:14">
      <c r="C45" s="13">
        <f>IF(B45="","",IFERROR(INDEX(Materials!$B$5:$B$254,MATCH(B45,Materials!$A$5:$A$254,0)),"Add to Materials"))</f>
        <v>0</v>
      </c>
      <c r="I45" s="13">
        <f>IF(A45="","",TEXT(A45,"yyyy-mm"))</f>
        <v>0</v>
      </c>
      <c r="J45" s="13">
        <f>IF(B45="","",IFERROR(INDEX(Materials!$H$5:$H$254,MATCH(B45,Materials!$A$5:$A$254,0)),"Add to Materials"))</f>
        <v>0</v>
      </c>
      <c r="K45" s="45">
        <f>IF(B45="","",IFERROR(INDEX(Materials!$S$5:$S$254,MATCH(B45,Materials!$A$5:$A$254,0)),""))</f>
        <v>0</v>
      </c>
      <c r="L45" s="20">
        <f>IF(A45="","",IF(OR(D45="",K45=""),"",ROUND(D45*K45,2)))</f>
        <v>0</v>
      </c>
      <c r="M45" s="33">
        <f>IF(A45="","",IFERROR(L45/SUMIFS('Waste Log'!$L$5:$L$204,'Waste Log'!$B$5:$B$204,B45),""))</f>
        <v>0</v>
      </c>
      <c r="N45" s="43">
        <f>IF(A45="","",IF(B45="","Add - which material?",IF(D45="","Add - how much?",IF(K45="","Check - that material has no price",IF(G45="Yes","Avoidable - worth a second look","Logged")))))</f>
        <v>0</v>
      </c>
    </row>
    <row r="46" spans="3:14">
      <c r="C46" s="13">
        <f>IF(B46="","",IFERROR(INDEX(Materials!$B$5:$B$254,MATCH(B46,Materials!$A$5:$A$254,0)),"Add to Materials"))</f>
        <v>0</v>
      </c>
      <c r="I46" s="13">
        <f>IF(A46="","",TEXT(A46,"yyyy-mm"))</f>
        <v>0</v>
      </c>
      <c r="J46" s="13">
        <f>IF(B46="","",IFERROR(INDEX(Materials!$H$5:$H$254,MATCH(B46,Materials!$A$5:$A$254,0)),"Add to Materials"))</f>
        <v>0</v>
      </c>
      <c r="K46" s="45">
        <f>IF(B46="","",IFERROR(INDEX(Materials!$S$5:$S$254,MATCH(B46,Materials!$A$5:$A$254,0)),""))</f>
        <v>0</v>
      </c>
      <c r="L46" s="20">
        <f>IF(A46="","",IF(OR(D46="",K46=""),"",ROUND(D46*K46,2)))</f>
        <v>0</v>
      </c>
      <c r="M46" s="33">
        <f>IF(A46="","",IFERROR(L46/SUMIFS('Waste Log'!$L$5:$L$204,'Waste Log'!$B$5:$B$204,B46),""))</f>
        <v>0</v>
      </c>
      <c r="N46" s="43">
        <f>IF(A46="","",IF(B46="","Add - which material?",IF(D46="","Add - how much?",IF(K46="","Check - that material has no price",IF(G46="Yes","Avoidable - worth a second look","Logged")))))</f>
        <v>0</v>
      </c>
    </row>
    <row r="47" spans="3:14">
      <c r="C47" s="13">
        <f>IF(B47="","",IFERROR(INDEX(Materials!$B$5:$B$254,MATCH(B47,Materials!$A$5:$A$254,0)),"Add to Materials"))</f>
        <v>0</v>
      </c>
      <c r="I47" s="13">
        <f>IF(A47="","",TEXT(A47,"yyyy-mm"))</f>
        <v>0</v>
      </c>
      <c r="J47" s="13">
        <f>IF(B47="","",IFERROR(INDEX(Materials!$H$5:$H$254,MATCH(B47,Materials!$A$5:$A$254,0)),"Add to Materials"))</f>
        <v>0</v>
      </c>
      <c r="K47" s="45">
        <f>IF(B47="","",IFERROR(INDEX(Materials!$S$5:$S$254,MATCH(B47,Materials!$A$5:$A$254,0)),""))</f>
        <v>0</v>
      </c>
      <c r="L47" s="20">
        <f>IF(A47="","",IF(OR(D47="",K47=""),"",ROUND(D47*K47,2)))</f>
        <v>0</v>
      </c>
      <c r="M47" s="33">
        <f>IF(A47="","",IFERROR(L47/SUMIFS('Waste Log'!$L$5:$L$204,'Waste Log'!$B$5:$B$204,B47),""))</f>
        <v>0</v>
      </c>
      <c r="N47" s="43">
        <f>IF(A47="","",IF(B47="","Add - which material?",IF(D47="","Add - how much?",IF(K47="","Check - that material has no price",IF(G47="Yes","Avoidable - worth a second look","Logged")))))</f>
        <v>0</v>
      </c>
    </row>
    <row r="48" spans="3:14">
      <c r="C48" s="13">
        <f>IF(B48="","",IFERROR(INDEX(Materials!$B$5:$B$254,MATCH(B48,Materials!$A$5:$A$254,0)),"Add to Materials"))</f>
        <v>0</v>
      </c>
      <c r="I48" s="13">
        <f>IF(A48="","",TEXT(A48,"yyyy-mm"))</f>
        <v>0</v>
      </c>
      <c r="J48" s="13">
        <f>IF(B48="","",IFERROR(INDEX(Materials!$H$5:$H$254,MATCH(B48,Materials!$A$5:$A$254,0)),"Add to Materials"))</f>
        <v>0</v>
      </c>
      <c r="K48" s="45">
        <f>IF(B48="","",IFERROR(INDEX(Materials!$S$5:$S$254,MATCH(B48,Materials!$A$5:$A$254,0)),""))</f>
        <v>0</v>
      </c>
      <c r="L48" s="20">
        <f>IF(A48="","",IF(OR(D48="",K48=""),"",ROUND(D48*K48,2)))</f>
        <v>0</v>
      </c>
      <c r="M48" s="33">
        <f>IF(A48="","",IFERROR(L48/SUMIFS('Waste Log'!$L$5:$L$204,'Waste Log'!$B$5:$B$204,B48),""))</f>
        <v>0</v>
      </c>
      <c r="N48" s="43">
        <f>IF(A48="","",IF(B48="","Add - which material?",IF(D48="","Add - how much?",IF(K48="","Check - that material has no price",IF(G48="Yes","Avoidable - worth a second look","Logged")))))</f>
        <v>0</v>
      </c>
    </row>
    <row r="49" spans="3:14">
      <c r="C49" s="13">
        <f>IF(B49="","",IFERROR(INDEX(Materials!$B$5:$B$254,MATCH(B49,Materials!$A$5:$A$254,0)),"Add to Materials"))</f>
        <v>0</v>
      </c>
      <c r="I49" s="13">
        <f>IF(A49="","",TEXT(A49,"yyyy-mm"))</f>
        <v>0</v>
      </c>
      <c r="J49" s="13">
        <f>IF(B49="","",IFERROR(INDEX(Materials!$H$5:$H$254,MATCH(B49,Materials!$A$5:$A$254,0)),"Add to Materials"))</f>
        <v>0</v>
      </c>
      <c r="K49" s="45">
        <f>IF(B49="","",IFERROR(INDEX(Materials!$S$5:$S$254,MATCH(B49,Materials!$A$5:$A$254,0)),""))</f>
        <v>0</v>
      </c>
      <c r="L49" s="20">
        <f>IF(A49="","",IF(OR(D49="",K49=""),"",ROUND(D49*K49,2)))</f>
        <v>0</v>
      </c>
      <c r="M49" s="33">
        <f>IF(A49="","",IFERROR(L49/SUMIFS('Waste Log'!$L$5:$L$204,'Waste Log'!$B$5:$B$204,B49),""))</f>
        <v>0</v>
      </c>
      <c r="N49" s="43">
        <f>IF(A49="","",IF(B49="","Add - which material?",IF(D49="","Add - how much?",IF(K49="","Check - that material has no price",IF(G49="Yes","Avoidable - worth a second look","Logged")))))</f>
        <v>0</v>
      </c>
    </row>
    <row r="50" spans="3:14">
      <c r="C50" s="13">
        <f>IF(B50="","",IFERROR(INDEX(Materials!$B$5:$B$254,MATCH(B50,Materials!$A$5:$A$254,0)),"Add to Materials"))</f>
        <v>0</v>
      </c>
      <c r="I50" s="13">
        <f>IF(A50="","",TEXT(A50,"yyyy-mm"))</f>
        <v>0</v>
      </c>
      <c r="J50" s="13">
        <f>IF(B50="","",IFERROR(INDEX(Materials!$H$5:$H$254,MATCH(B50,Materials!$A$5:$A$254,0)),"Add to Materials"))</f>
        <v>0</v>
      </c>
      <c r="K50" s="45">
        <f>IF(B50="","",IFERROR(INDEX(Materials!$S$5:$S$254,MATCH(B50,Materials!$A$5:$A$254,0)),""))</f>
        <v>0</v>
      </c>
      <c r="L50" s="20">
        <f>IF(A50="","",IF(OR(D50="",K50=""),"",ROUND(D50*K50,2)))</f>
        <v>0</v>
      </c>
      <c r="M50" s="33">
        <f>IF(A50="","",IFERROR(L50/SUMIFS('Waste Log'!$L$5:$L$204,'Waste Log'!$B$5:$B$204,B50),""))</f>
        <v>0</v>
      </c>
      <c r="N50" s="43">
        <f>IF(A50="","",IF(B50="","Add - which material?",IF(D50="","Add - how much?",IF(K50="","Check - that material has no price",IF(G50="Yes","Avoidable - worth a second look","Logged")))))</f>
        <v>0</v>
      </c>
    </row>
    <row r="51" spans="3:14">
      <c r="C51" s="13">
        <f>IF(B51="","",IFERROR(INDEX(Materials!$B$5:$B$254,MATCH(B51,Materials!$A$5:$A$254,0)),"Add to Materials"))</f>
        <v>0</v>
      </c>
      <c r="I51" s="13">
        <f>IF(A51="","",TEXT(A51,"yyyy-mm"))</f>
        <v>0</v>
      </c>
      <c r="J51" s="13">
        <f>IF(B51="","",IFERROR(INDEX(Materials!$H$5:$H$254,MATCH(B51,Materials!$A$5:$A$254,0)),"Add to Materials"))</f>
        <v>0</v>
      </c>
      <c r="K51" s="45">
        <f>IF(B51="","",IFERROR(INDEX(Materials!$S$5:$S$254,MATCH(B51,Materials!$A$5:$A$254,0)),""))</f>
        <v>0</v>
      </c>
      <c r="L51" s="20">
        <f>IF(A51="","",IF(OR(D51="",K51=""),"",ROUND(D51*K51,2)))</f>
        <v>0</v>
      </c>
      <c r="M51" s="33">
        <f>IF(A51="","",IFERROR(L51/SUMIFS('Waste Log'!$L$5:$L$204,'Waste Log'!$B$5:$B$204,B51),""))</f>
        <v>0</v>
      </c>
      <c r="N51" s="43">
        <f>IF(A51="","",IF(B51="","Add - which material?",IF(D51="","Add - how much?",IF(K51="","Check - that material has no price",IF(G51="Yes","Avoidable - worth a second look","Logged")))))</f>
        <v>0</v>
      </c>
    </row>
    <row r="52" spans="3:14">
      <c r="C52" s="13">
        <f>IF(B52="","",IFERROR(INDEX(Materials!$B$5:$B$254,MATCH(B52,Materials!$A$5:$A$254,0)),"Add to Materials"))</f>
        <v>0</v>
      </c>
      <c r="I52" s="13">
        <f>IF(A52="","",TEXT(A52,"yyyy-mm"))</f>
        <v>0</v>
      </c>
      <c r="J52" s="13">
        <f>IF(B52="","",IFERROR(INDEX(Materials!$H$5:$H$254,MATCH(B52,Materials!$A$5:$A$254,0)),"Add to Materials"))</f>
        <v>0</v>
      </c>
      <c r="K52" s="45">
        <f>IF(B52="","",IFERROR(INDEX(Materials!$S$5:$S$254,MATCH(B52,Materials!$A$5:$A$254,0)),""))</f>
        <v>0</v>
      </c>
      <c r="L52" s="20">
        <f>IF(A52="","",IF(OR(D52="",K52=""),"",ROUND(D52*K52,2)))</f>
        <v>0</v>
      </c>
      <c r="M52" s="33">
        <f>IF(A52="","",IFERROR(L52/SUMIFS('Waste Log'!$L$5:$L$204,'Waste Log'!$B$5:$B$204,B52),""))</f>
        <v>0</v>
      </c>
      <c r="N52" s="43">
        <f>IF(A52="","",IF(B52="","Add - which material?",IF(D52="","Add - how much?",IF(K52="","Check - that material has no price",IF(G52="Yes","Avoidable - worth a second look","Logged")))))</f>
        <v>0</v>
      </c>
    </row>
    <row r="53" spans="3:14">
      <c r="C53" s="13">
        <f>IF(B53="","",IFERROR(INDEX(Materials!$B$5:$B$254,MATCH(B53,Materials!$A$5:$A$254,0)),"Add to Materials"))</f>
        <v>0</v>
      </c>
      <c r="I53" s="13">
        <f>IF(A53="","",TEXT(A53,"yyyy-mm"))</f>
        <v>0</v>
      </c>
      <c r="J53" s="13">
        <f>IF(B53="","",IFERROR(INDEX(Materials!$H$5:$H$254,MATCH(B53,Materials!$A$5:$A$254,0)),"Add to Materials"))</f>
        <v>0</v>
      </c>
      <c r="K53" s="45">
        <f>IF(B53="","",IFERROR(INDEX(Materials!$S$5:$S$254,MATCH(B53,Materials!$A$5:$A$254,0)),""))</f>
        <v>0</v>
      </c>
      <c r="L53" s="20">
        <f>IF(A53="","",IF(OR(D53="",K53=""),"",ROUND(D53*K53,2)))</f>
        <v>0</v>
      </c>
      <c r="M53" s="33">
        <f>IF(A53="","",IFERROR(L53/SUMIFS('Waste Log'!$L$5:$L$204,'Waste Log'!$B$5:$B$204,B53),""))</f>
        <v>0</v>
      </c>
      <c r="N53" s="43">
        <f>IF(A53="","",IF(B53="","Add - which material?",IF(D53="","Add - how much?",IF(K53="","Check - that material has no price",IF(G53="Yes","Avoidable - worth a second look","Logged")))))</f>
        <v>0</v>
      </c>
    </row>
    <row r="54" spans="3:14">
      <c r="C54" s="13">
        <f>IF(B54="","",IFERROR(INDEX(Materials!$B$5:$B$254,MATCH(B54,Materials!$A$5:$A$254,0)),"Add to Materials"))</f>
        <v>0</v>
      </c>
      <c r="I54" s="13">
        <f>IF(A54="","",TEXT(A54,"yyyy-mm"))</f>
        <v>0</v>
      </c>
      <c r="J54" s="13">
        <f>IF(B54="","",IFERROR(INDEX(Materials!$H$5:$H$254,MATCH(B54,Materials!$A$5:$A$254,0)),"Add to Materials"))</f>
        <v>0</v>
      </c>
      <c r="K54" s="45">
        <f>IF(B54="","",IFERROR(INDEX(Materials!$S$5:$S$254,MATCH(B54,Materials!$A$5:$A$254,0)),""))</f>
        <v>0</v>
      </c>
      <c r="L54" s="20">
        <f>IF(A54="","",IF(OR(D54="",K54=""),"",ROUND(D54*K54,2)))</f>
        <v>0</v>
      </c>
      <c r="M54" s="33">
        <f>IF(A54="","",IFERROR(L54/SUMIFS('Waste Log'!$L$5:$L$204,'Waste Log'!$B$5:$B$204,B54),""))</f>
        <v>0</v>
      </c>
      <c r="N54" s="43">
        <f>IF(A54="","",IF(B54="","Add - which material?",IF(D54="","Add - how much?",IF(K54="","Check - that material has no price",IF(G54="Yes","Avoidable - worth a second look","Logged")))))</f>
        <v>0</v>
      </c>
    </row>
    <row r="55" spans="3:14">
      <c r="C55" s="13">
        <f>IF(B55="","",IFERROR(INDEX(Materials!$B$5:$B$254,MATCH(B55,Materials!$A$5:$A$254,0)),"Add to Materials"))</f>
        <v>0</v>
      </c>
      <c r="I55" s="13">
        <f>IF(A55="","",TEXT(A55,"yyyy-mm"))</f>
        <v>0</v>
      </c>
      <c r="J55" s="13">
        <f>IF(B55="","",IFERROR(INDEX(Materials!$H$5:$H$254,MATCH(B55,Materials!$A$5:$A$254,0)),"Add to Materials"))</f>
        <v>0</v>
      </c>
      <c r="K55" s="45">
        <f>IF(B55="","",IFERROR(INDEX(Materials!$S$5:$S$254,MATCH(B55,Materials!$A$5:$A$254,0)),""))</f>
        <v>0</v>
      </c>
      <c r="L55" s="20">
        <f>IF(A55="","",IF(OR(D55="",K55=""),"",ROUND(D55*K55,2)))</f>
        <v>0</v>
      </c>
      <c r="M55" s="33">
        <f>IF(A55="","",IFERROR(L55/SUMIFS('Waste Log'!$L$5:$L$204,'Waste Log'!$B$5:$B$204,B55),""))</f>
        <v>0</v>
      </c>
      <c r="N55" s="43">
        <f>IF(A55="","",IF(B55="","Add - which material?",IF(D55="","Add - how much?",IF(K55="","Check - that material has no price",IF(G55="Yes","Avoidable - worth a second look","Logged")))))</f>
        <v>0</v>
      </c>
    </row>
    <row r="56" spans="3:14">
      <c r="C56" s="13">
        <f>IF(B56="","",IFERROR(INDEX(Materials!$B$5:$B$254,MATCH(B56,Materials!$A$5:$A$254,0)),"Add to Materials"))</f>
        <v>0</v>
      </c>
      <c r="I56" s="13">
        <f>IF(A56="","",TEXT(A56,"yyyy-mm"))</f>
        <v>0</v>
      </c>
      <c r="J56" s="13">
        <f>IF(B56="","",IFERROR(INDEX(Materials!$H$5:$H$254,MATCH(B56,Materials!$A$5:$A$254,0)),"Add to Materials"))</f>
        <v>0</v>
      </c>
      <c r="K56" s="45">
        <f>IF(B56="","",IFERROR(INDEX(Materials!$S$5:$S$254,MATCH(B56,Materials!$A$5:$A$254,0)),""))</f>
        <v>0</v>
      </c>
      <c r="L56" s="20">
        <f>IF(A56="","",IF(OR(D56="",K56=""),"",ROUND(D56*K56,2)))</f>
        <v>0</v>
      </c>
      <c r="M56" s="33">
        <f>IF(A56="","",IFERROR(L56/SUMIFS('Waste Log'!$L$5:$L$204,'Waste Log'!$B$5:$B$204,B56),""))</f>
        <v>0</v>
      </c>
      <c r="N56" s="43">
        <f>IF(A56="","",IF(B56="","Add - which material?",IF(D56="","Add - how much?",IF(K56="","Check - that material has no price",IF(G56="Yes","Avoidable - worth a second look","Logged")))))</f>
        <v>0</v>
      </c>
    </row>
    <row r="57" spans="3:14">
      <c r="C57" s="13">
        <f>IF(B57="","",IFERROR(INDEX(Materials!$B$5:$B$254,MATCH(B57,Materials!$A$5:$A$254,0)),"Add to Materials"))</f>
        <v>0</v>
      </c>
      <c r="I57" s="13">
        <f>IF(A57="","",TEXT(A57,"yyyy-mm"))</f>
        <v>0</v>
      </c>
      <c r="J57" s="13">
        <f>IF(B57="","",IFERROR(INDEX(Materials!$H$5:$H$254,MATCH(B57,Materials!$A$5:$A$254,0)),"Add to Materials"))</f>
        <v>0</v>
      </c>
      <c r="K57" s="45">
        <f>IF(B57="","",IFERROR(INDEX(Materials!$S$5:$S$254,MATCH(B57,Materials!$A$5:$A$254,0)),""))</f>
        <v>0</v>
      </c>
      <c r="L57" s="20">
        <f>IF(A57="","",IF(OR(D57="",K57=""),"",ROUND(D57*K57,2)))</f>
        <v>0</v>
      </c>
      <c r="M57" s="33">
        <f>IF(A57="","",IFERROR(L57/SUMIFS('Waste Log'!$L$5:$L$204,'Waste Log'!$B$5:$B$204,B57),""))</f>
        <v>0</v>
      </c>
      <c r="N57" s="43">
        <f>IF(A57="","",IF(B57="","Add - which material?",IF(D57="","Add - how much?",IF(K57="","Check - that material has no price",IF(G57="Yes","Avoidable - worth a second look","Logged")))))</f>
        <v>0</v>
      </c>
    </row>
    <row r="58" spans="3:14">
      <c r="C58" s="13">
        <f>IF(B58="","",IFERROR(INDEX(Materials!$B$5:$B$254,MATCH(B58,Materials!$A$5:$A$254,0)),"Add to Materials"))</f>
        <v>0</v>
      </c>
      <c r="I58" s="13">
        <f>IF(A58="","",TEXT(A58,"yyyy-mm"))</f>
        <v>0</v>
      </c>
      <c r="J58" s="13">
        <f>IF(B58="","",IFERROR(INDEX(Materials!$H$5:$H$254,MATCH(B58,Materials!$A$5:$A$254,0)),"Add to Materials"))</f>
        <v>0</v>
      </c>
      <c r="K58" s="45">
        <f>IF(B58="","",IFERROR(INDEX(Materials!$S$5:$S$254,MATCH(B58,Materials!$A$5:$A$254,0)),""))</f>
        <v>0</v>
      </c>
      <c r="L58" s="20">
        <f>IF(A58="","",IF(OR(D58="",K58=""),"",ROUND(D58*K58,2)))</f>
        <v>0</v>
      </c>
      <c r="M58" s="33">
        <f>IF(A58="","",IFERROR(L58/SUMIFS('Waste Log'!$L$5:$L$204,'Waste Log'!$B$5:$B$204,B58),""))</f>
        <v>0</v>
      </c>
      <c r="N58" s="43">
        <f>IF(A58="","",IF(B58="","Add - which material?",IF(D58="","Add - how much?",IF(K58="","Check - that material has no price",IF(G58="Yes","Avoidable - worth a second look","Logged")))))</f>
        <v>0</v>
      </c>
    </row>
    <row r="59" spans="3:14">
      <c r="C59" s="13">
        <f>IF(B59="","",IFERROR(INDEX(Materials!$B$5:$B$254,MATCH(B59,Materials!$A$5:$A$254,0)),"Add to Materials"))</f>
        <v>0</v>
      </c>
      <c r="I59" s="13">
        <f>IF(A59="","",TEXT(A59,"yyyy-mm"))</f>
        <v>0</v>
      </c>
      <c r="J59" s="13">
        <f>IF(B59="","",IFERROR(INDEX(Materials!$H$5:$H$254,MATCH(B59,Materials!$A$5:$A$254,0)),"Add to Materials"))</f>
        <v>0</v>
      </c>
      <c r="K59" s="45">
        <f>IF(B59="","",IFERROR(INDEX(Materials!$S$5:$S$254,MATCH(B59,Materials!$A$5:$A$254,0)),""))</f>
        <v>0</v>
      </c>
      <c r="L59" s="20">
        <f>IF(A59="","",IF(OR(D59="",K59=""),"",ROUND(D59*K59,2)))</f>
        <v>0</v>
      </c>
      <c r="M59" s="33">
        <f>IF(A59="","",IFERROR(L59/SUMIFS('Waste Log'!$L$5:$L$204,'Waste Log'!$B$5:$B$204,B59),""))</f>
        <v>0</v>
      </c>
      <c r="N59" s="43">
        <f>IF(A59="","",IF(B59="","Add - which material?",IF(D59="","Add - how much?",IF(K59="","Check - that material has no price",IF(G59="Yes","Avoidable - worth a second look","Logged")))))</f>
        <v>0</v>
      </c>
    </row>
    <row r="60" spans="3:14">
      <c r="C60" s="13">
        <f>IF(B60="","",IFERROR(INDEX(Materials!$B$5:$B$254,MATCH(B60,Materials!$A$5:$A$254,0)),"Add to Materials"))</f>
        <v>0</v>
      </c>
      <c r="I60" s="13">
        <f>IF(A60="","",TEXT(A60,"yyyy-mm"))</f>
        <v>0</v>
      </c>
      <c r="J60" s="13">
        <f>IF(B60="","",IFERROR(INDEX(Materials!$H$5:$H$254,MATCH(B60,Materials!$A$5:$A$254,0)),"Add to Materials"))</f>
        <v>0</v>
      </c>
      <c r="K60" s="45">
        <f>IF(B60="","",IFERROR(INDEX(Materials!$S$5:$S$254,MATCH(B60,Materials!$A$5:$A$254,0)),""))</f>
        <v>0</v>
      </c>
      <c r="L60" s="20">
        <f>IF(A60="","",IF(OR(D60="",K60=""),"",ROUND(D60*K60,2)))</f>
        <v>0</v>
      </c>
      <c r="M60" s="33">
        <f>IF(A60="","",IFERROR(L60/SUMIFS('Waste Log'!$L$5:$L$204,'Waste Log'!$B$5:$B$204,B60),""))</f>
        <v>0</v>
      </c>
      <c r="N60" s="43">
        <f>IF(A60="","",IF(B60="","Add - which material?",IF(D60="","Add - how much?",IF(K60="","Check - that material has no price",IF(G60="Yes","Avoidable - worth a second look","Logged")))))</f>
        <v>0</v>
      </c>
    </row>
    <row r="61" spans="3:14">
      <c r="C61" s="13">
        <f>IF(B61="","",IFERROR(INDEX(Materials!$B$5:$B$254,MATCH(B61,Materials!$A$5:$A$254,0)),"Add to Materials"))</f>
        <v>0</v>
      </c>
      <c r="I61" s="13">
        <f>IF(A61="","",TEXT(A61,"yyyy-mm"))</f>
        <v>0</v>
      </c>
      <c r="J61" s="13">
        <f>IF(B61="","",IFERROR(INDEX(Materials!$H$5:$H$254,MATCH(B61,Materials!$A$5:$A$254,0)),"Add to Materials"))</f>
        <v>0</v>
      </c>
      <c r="K61" s="45">
        <f>IF(B61="","",IFERROR(INDEX(Materials!$S$5:$S$254,MATCH(B61,Materials!$A$5:$A$254,0)),""))</f>
        <v>0</v>
      </c>
      <c r="L61" s="20">
        <f>IF(A61="","",IF(OR(D61="",K61=""),"",ROUND(D61*K61,2)))</f>
        <v>0</v>
      </c>
      <c r="M61" s="33">
        <f>IF(A61="","",IFERROR(L61/SUMIFS('Waste Log'!$L$5:$L$204,'Waste Log'!$B$5:$B$204,B61),""))</f>
        <v>0</v>
      </c>
      <c r="N61" s="43">
        <f>IF(A61="","",IF(B61="","Add - which material?",IF(D61="","Add - how much?",IF(K61="","Check - that material has no price",IF(G61="Yes","Avoidable - worth a second look","Logged")))))</f>
        <v>0</v>
      </c>
    </row>
    <row r="62" spans="3:14">
      <c r="C62" s="13">
        <f>IF(B62="","",IFERROR(INDEX(Materials!$B$5:$B$254,MATCH(B62,Materials!$A$5:$A$254,0)),"Add to Materials"))</f>
        <v>0</v>
      </c>
      <c r="I62" s="13">
        <f>IF(A62="","",TEXT(A62,"yyyy-mm"))</f>
        <v>0</v>
      </c>
      <c r="J62" s="13">
        <f>IF(B62="","",IFERROR(INDEX(Materials!$H$5:$H$254,MATCH(B62,Materials!$A$5:$A$254,0)),"Add to Materials"))</f>
        <v>0</v>
      </c>
      <c r="K62" s="45">
        <f>IF(B62="","",IFERROR(INDEX(Materials!$S$5:$S$254,MATCH(B62,Materials!$A$5:$A$254,0)),""))</f>
        <v>0</v>
      </c>
      <c r="L62" s="20">
        <f>IF(A62="","",IF(OR(D62="",K62=""),"",ROUND(D62*K62,2)))</f>
        <v>0</v>
      </c>
      <c r="M62" s="33">
        <f>IF(A62="","",IFERROR(L62/SUMIFS('Waste Log'!$L$5:$L$204,'Waste Log'!$B$5:$B$204,B62),""))</f>
        <v>0</v>
      </c>
      <c r="N62" s="43">
        <f>IF(A62="","",IF(B62="","Add - which material?",IF(D62="","Add - how much?",IF(K62="","Check - that material has no price",IF(G62="Yes","Avoidable - worth a second look","Logged")))))</f>
        <v>0</v>
      </c>
    </row>
    <row r="63" spans="3:14">
      <c r="C63" s="13">
        <f>IF(B63="","",IFERROR(INDEX(Materials!$B$5:$B$254,MATCH(B63,Materials!$A$5:$A$254,0)),"Add to Materials"))</f>
        <v>0</v>
      </c>
      <c r="I63" s="13">
        <f>IF(A63="","",TEXT(A63,"yyyy-mm"))</f>
        <v>0</v>
      </c>
      <c r="J63" s="13">
        <f>IF(B63="","",IFERROR(INDEX(Materials!$H$5:$H$254,MATCH(B63,Materials!$A$5:$A$254,0)),"Add to Materials"))</f>
        <v>0</v>
      </c>
      <c r="K63" s="45">
        <f>IF(B63="","",IFERROR(INDEX(Materials!$S$5:$S$254,MATCH(B63,Materials!$A$5:$A$254,0)),""))</f>
        <v>0</v>
      </c>
      <c r="L63" s="20">
        <f>IF(A63="","",IF(OR(D63="",K63=""),"",ROUND(D63*K63,2)))</f>
        <v>0</v>
      </c>
      <c r="M63" s="33">
        <f>IF(A63="","",IFERROR(L63/SUMIFS('Waste Log'!$L$5:$L$204,'Waste Log'!$B$5:$B$204,B63),""))</f>
        <v>0</v>
      </c>
      <c r="N63" s="43">
        <f>IF(A63="","",IF(B63="","Add - which material?",IF(D63="","Add - how much?",IF(K63="","Check - that material has no price",IF(G63="Yes","Avoidable - worth a second look","Logged")))))</f>
        <v>0</v>
      </c>
    </row>
    <row r="64" spans="3:14">
      <c r="C64" s="13">
        <f>IF(B64="","",IFERROR(INDEX(Materials!$B$5:$B$254,MATCH(B64,Materials!$A$5:$A$254,0)),"Add to Materials"))</f>
        <v>0</v>
      </c>
      <c r="I64" s="13">
        <f>IF(A64="","",TEXT(A64,"yyyy-mm"))</f>
        <v>0</v>
      </c>
      <c r="J64" s="13">
        <f>IF(B64="","",IFERROR(INDEX(Materials!$H$5:$H$254,MATCH(B64,Materials!$A$5:$A$254,0)),"Add to Materials"))</f>
        <v>0</v>
      </c>
      <c r="K64" s="45">
        <f>IF(B64="","",IFERROR(INDEX(Materials!$S$5:$S$254,MATCH(B64,Materials!$A$5:$A$254,0)),""))</f>
        <v>0</v>
      </c>
      <c r="L64" s="20">
        <f>IF(A64="","",IF(OR(D64="",K64=""),"",ROUND(D64*K64,2)))</f>
        <v>0</v>
      </c>
      <c r="M64" s="33">
        <f>IF(A64="","",IFERROR(L64/SUMIFS('Waste Log'!$L$5:$L$204,'Waste Log'!$B$5:$B$204,B64),""))</f>
        <v>0</v>
      </c>
      <c r="N64" s="43">
        <f>IF(A64="","",IF(B64="","Add - which material?",IF(D64="","Add - how much?",IF(K64="","Check - that material has no price",IF(G64="Yes","Avoidable - worth a second look","Logged")))))</f>
        <v>0</v>
      </c>
    </row>
    <row r="65" spans="3:14">
      <c r="C65" s="13">
        <f>IF(B65="","",IFERROR(INDEX(Materials!$B$5:$B$254,MATCH(B65,Materials!$A$5:$A$254,0)),"Add to Materials"))</f>
        <v>0</v>
      </c>
      <c r="I65" s="13">
        <f>IF(A65="","",TEXT(A65,"yyyy-mm"))</f>
        <v>0</v>
      </c>
      <c r="J65" s="13">
        <f>IF(B65="","",IFERROR(INDEX(Materials!$H$5:$H$254,MATCH(B65,Materials!$A$5:$A$254,0)),"Add to Materials"))</f>
        <v>0</v>
      </c>
      <c r="K65" s="45">
        <f>IF(B65="","",IFERROR(INDEX(Materials!$S$5:$S$254,MATCH(B65,Materials!$A$5:$A$254,0)),""))</f>
        <v>0</v>
      </c>
      <c r="L65" s="20">
        <f>IF(A65="","",IF(OR(D65="",K65=""),"",ROUND(D65*K65,2)))</f>
        <v>0</v>
      </c>
      <c r="M65" s="33">
        <f>IF(A65="","",IFERROR(L65/SUMIFS('Waste Log'!$L$5:$L$204,'Waste Log'!$B$5:$B$204,B65),""))</f>
        <v>0</v>
      </c>
      <c r="N65" s="43">
        <f>IF(A65="","",IF(B65="","Add - which material?",IF(D65="","Add - how much?",IF(K65="","Check - that material has no price",IF(G65="Yes","Avoidable - worth a second look","Logged")))))</f>
        <v>0</v>
      </c>
    </row>
    <row r="66" spans="3:14">
      <c r="C66" s="13">
        <f>IF(B66="","",IFERROR(INDEX(Materials!$B$5:$B$254,MATCH(B66,Materials!$A$5:$A$254,0)),"Add to Materials"))</f>
        <v>0</v>
      </c>
      <c r="I66" s="13">
        <f>IF(A66="","",TEXT(A66,"yyyy-mm"))</f>
        <v>0</v>
      </c>
      <c r="J66" s="13">
        <f>IF(B66="","",IFERROR(INDEX(Materials!$H$5:$H$254,MATCH(B66,Materials!$A$5:$A$254,0)),"Add to Materials"))</f>
        <v>0</v>
      </c>
      <c r="K66" s="45">
        <f>IF(B66="","",IFERROR(INDEX(Materials!$S$5:$S$254,MATCH(B66,Materials!$A$5:$A$254,0)),""))</f>
        <v>0</v>
      </c>
      <c r="L66" s="20">
        <f>IF(A66="","",IF(OR(D66="",K66=""),"",ROUND(D66*K66,2)))</f>
        <v>0</v>
      </c>
      <c r="M66" s="33">
        <f>IF(A66="","",IFERROR(L66/SUMIFS('Waste Log'!$L$5:$L$204,'Waste Log'!$B$5:$B$204,B66),""))</f>
        <v>0</v>
      </c>
      <c r="N66" s="43">
        <f>IF(A66="","",IF(B66="","Add - which material?",IF(D66="","Add - how much?",IF(K66="","Check - that material has no price",IF(G66="Yes","Avoidable - worth a second look","Logged")))))</f>
        <v>0</v>
      </c>
    </row>
    <row r="67" spans="3:14">
      <c r="C67" s="13">
        <f>IF(B67="","",IFERROR(INDEX(Materials!$B$5:$B$254,MATCH(B67,Materials!$A$5:$A$254,0)),"Add to Materials"))</f>
        <v>0</v>
      </c>
      <c r="I67" s="13">
        <f>IF(A67="","",TEXT(A67,"yyyy-mm"))</f>
        <v>0</v>
      </c>
      <c r="J67" s="13">
        <f>IF(B67="","",IFERROR(INDEX(Materials!$H$5:$H$254,MATCH(B67,Materials!$A$5:$A$254,0)),"Add to Materials"))</f>
        <v>0</v>
      </c>
      <c r="K67" s="45">
        <f>IF(B67="","",IFERROR(INDEX(Materials!$S$5:$S$254,MATCH(B67,Materials!$A$5:$A$254,0)),""))</f>
        <v>0</v>
      </c>
      <c r="L67" s="20">
        <f>IF(A67="","",IF(OR(D67="",K67=""),"",ROUND(D67*K67,2)))</f>
        <v>0</v>
      </c>
      <c r="M67" s="33">
        <f>IF(A67="","",IFERROR(L67/SUMIFS('Waste Log'!$L$5:$L$204,'Waste Log'!$B$5:$B$204,B67),""))</f>
        <v>0</v>
      </c>
      <c r="N67" s="43">
        <f>IF(A67="","",IF(B67="","Add - which material?",IF(D67="","Add - how much?",IF(K67="","Check - that material has no price",IF(G67="Yes","Avoidable - worth a second look","Logged")))))</f>
        <v>0</v>
      </c>
    </row>
    <row r="68" spans="3:14">
      <c r="C68" s="13">
        <f>IF(B68="","",IFERROR(INDEX(Materials!$B$5:$B$254,MATCH(B68,Materials!$A$5:$A$254,0)),"Add to Materials"))</f>
        <v>0</v>
      </c>
      <c r="I68" s="13">
        <f>IF(A68="","",TEXT(A68,"yyyy-mm"))</f>
        <v>0</v>
      </c>
      <c r="J68" s="13">
        <f>IF(B68="","",IFERROR(INDEX(Materials!$H$5:$H$254,MATCH(B68,Materials!$A$5:$A$254,0)),"Add to Materials"))</f>
        <v>0</v>
      </c>
      <c r="K68" s="45">
        <f>IF(B68="","",IFERROR(INDEX(Materials!$S$5:$S$254,MATCH(B68,Materials!$A$5:$A$254,0)),""))</f>
        <v>0</v>
      </c>
      <c r="L68" s="20">
        <f>IF(A68="","",IF(OR(D68="",K68=""),"",ROUND(D68*K68,2)))</f>
        <v>0</v>
      </c>
      <c r="M68" s="33">
        <f>IF(A68="","",IFERROR(L68/SUMIFS('Waste Log'!$L$5:$L$204,'Waste Log'!$B$5:$B$204,B68),""))</f>
        <v>0</v>
      </c>
      <c r="N68" s="43">
        <f>IF(A68="","",IF(B68="","Add - which material?",IF(D68="","Add - how much?",IF(K68="","Check - that material has no price",IF(G68="Yes","Avoidable - worth a second look","Logged")))))</f>
        <v>0</v>
      </c>
    </row>
    <row r="69" spans="3:14">
      <c r="C69" s="13">
        <f>IF(B69="","",IFERROR(INDEX(Materials!$B$5:$B$254,MATCH(B69,Materials!$A$5:$A$254,0)),"Add to Materials"))</f>
        <v>0</v>
      </c>
      <c r="I69" s="13">
        <f>IF(A69="","",TEXT(A69,"yyyy-mm"))</f>
        <v>0</v>
      </c>
      <c r="J69" s="13">
        <f>IF(B69="","",IFERROR(INDEX(Materials!$H$5:$H$254,MATCH(B69,Materials!$A$5:$A$254,0)),"Add to Materials"))</f>
        <v>0</v>
      </c>
      <c r="K69" s="45">
        <f>IF(B69="","",IFERROR(INDEX(Materials!$S$5:$S$254,MATCH(B69,Materials!$A$5:$A$254,0)),""))</f>
        <v>0</v>
      </c>
      <c r="L69" s="20">
        <f>IF(A69="","",IF(OR(D69="",K69=""),"",ROUND(D69*K69,2)))</f>
        <v>0</v>
      </c>
      <c r="M69" s="33">
        <f>IF(A69="","",IFERROR(L69/SUMIFS('Waste Log'!$L$5:$L$204,'Waste Log'!$B$5:$B$204,B69),""))</f>
        <v>0</v>
      </c>
      <c r="N69" s="43">
        <f>IF(A69="","",IF(B69="","Add - which material?",IF(D69="","Add - how much?",IF(K69="","Check - that material has no price",IF(G69="Yes","Avoidable - worth a second look","Logged")))))</f>
        <v>0</v>
      </c>
    </row>
    <row r="70" spans="3:14">
      <c r="C70" s="13">
        <f>IF(B70="","",IFERROR(INDEX(Materials!$B$5:$B$254,MATCH(B70,Materials!$A$5:$A$254,0)),"Add to Materials"))</f>
        <v>0</v>
      </c>
      <c r="I70" s="13">
        <f>IF(A70="","",TEXT(A70,"yyyy-mm"))</f>
        <v>0</v>
      </c>
      <c r="J70" s="13">
        <f>IF(B70="","",IFERROR(INDEX(Materials!$H$5:$H$254,MATCH(B70,Materials!$A$5:$A$254,0)),"Add to Materials"))</f>
        <v>0</v>
      </c>
      <c r="K70" s="45">
        <f>IF(B70="","",IFERROR(INDEX(Materials!$S$5:$S$254,MATCH(B70,Materials!$A$5:$A$254,0)),""))</f>
        <v>0</v>
      </c>
      <c r="L70" s="20">
        <f>IF(A70="","",IF(OR(D70="",K70=""),"",ROUND(D70*K70,2)))</f>
        <v>0</v>
      </c>
      <c r="M70" s="33">
        <f>IF(A70="","",IFERROR(L70/SUMIFS('Waste Log'!$L$5:$L$204,'Waste Log'!$B$5:$B$204,B70),""))</f>
        <v>0</v>
      </c>
      <c r="N70" s="43">
        <f>IF(A70="","",IF(B70="","Add - which material?",IF(D70="","Add - how much?",IF(K70="","Check - that material has no price",IF(G70="Yes","Avoidable - worth a second look","Logged")))))</f>
        <v>0</v>
      </c>
    </row>
    <row r="71" spans="3:14">
      <c r="C71" s="13">
        <f>IF(B71="","",IFERROR(INDEX(Materials!$B$5:$B$254,MATCH(B71,Materials!$A$5:$A$254,0)),"Add to Materials"))</f>
        <v>0</v>
      </c>
      <c r="I71" s="13">
        <f>IF(A71="","",TEXT(A71,"yyyy-mm"))</f>
        <v>0</v>
      </c>
      <c r="J71" s="13">
        <f>IF(B71="","",IFERROR(INDEX(Materials!$H$5:$H$254,MATCH(B71,Materials!$A$5:$A$254,0)),"Add to Materials"))</f>
        <v>0</v>
      </c>
      <c r="K71" s="45">
        <f>IF(B71="","",IFERROR(INDEX(Materials!$S$5:$S$254,MATCH(B71,Materials!$A$5:$A$254,0)),""))</f>
        <v>0</v>
      </c>
      <c r="L71" s="20">
        <f>IF(A71="","",IF(OR(D71="",K71=""),"",ROUND(D71*K71,2)))</f>
        <v>0</v>
      </c>
      <c r="M71" s="33">
        <f>IF(A71="","",IFERROR(L71/SUMIFS('Waste Log'!$L$5:$L$204,'Waste Log'!$B$5:$B$204,B71),""))</f>
        <v>0</v>
      </c>
      <c r="N71" s="43">
        <f>IF(A71="","",IF(B71="","Add - which material?",IF(D71="","Add - how much?",IF(K71="","Check - that material has no price",IF(G71="Yes","Avoidable - worth a second look","Logged")))))</f>
        <v>0</v>
      </c>
    </row>
    <row r="72" spans="3:14">
      <c r="C72" s="13">
        <f>IF(B72="","",IFERROR(INDEX(Materials!$B$5:$B$254,MATCH(B72,Materials!$A$5:$A$254,0)),"Add to Materials"))</f>
        <v>0</v>
      </c>
      <c r="I72" s="13">
        <f>IF(A72="","",TEXT(A72,"yyyy-mm"))</f>
        <v>0</v>
      </c>
      <c r="J72" s="13">
        <f>IF(B72="","",IFERROR(INDEX(Materials!$H$5:$H$254,MATCH(B72,Materials!$A$5:$A$254,0)),"Add to Materials"))</f>
        <v>0</v>
      </c>
      <c r="K72" s="45">
        <f>IF(B72="","",IFERROR(INDEX(Materials!$S$5:$S$254,MATCH(B72,Materials!$A$5:$A$254,0)),""))</f>
        <v>0</v>
      </c>
      <c r="L72" s="20">
        <f>IF(A72="","",IF(OR(D72="",K72=""),"",ROUND(D72*K72,2)))</f>
        <v>0</v>
      </c>
      <c r="M72" s="33">
        <f>IF(A72="","",IFERROR(L72/SUMIFS('Waste Log'!$L$5:$L$204,'Waste Log'!$B$5:$B$204,B72),""))</f>
        <v>0</v>
      </c>
      <c r="N72" s="43">
        <f>IF(A72="","",IF(B72="","Add - which material?",IF(D72="","Add - how much?",IF(K72="","Check - that material has no price",IF(G72="Yes","Avoidable - worth a second look","Logged")))))</f>
        <v>0</v>
      </c>
    </row>
    <row r="73" spans="3:14">
      <c r="C73" s="13">
        <f>IF(B73="","",IFERROR(INDEX(Materials!$B$5:$B$254,MATCH(B73,Materials!$A$5:$A$254,0)),"Add to Materials"))</f>
        <v>0</v>
      </c>
      <c r="I73" s="13">
        <f>IF(A73="","",TEXT(A73,"yyyy-mm"))</f>
        <v>0</v>
      </c>
      <c r="J73" s="13">
        <f>IF(B73="","",IFERROR(INDEX(Materials!$H$5:$H$254,MATCH(B73,Materials!$A$5:$A$254,0)),"Add to Materials"))</f>
        <v>0</v>
      </c>
      <c r="K73" s="45">
        <f>IF(B73="","",IFERROR(INDEX(Materials!$S$5:$S$254,MATCH(B73,Materials!$A$5:$A$254,0)),""))</f>
        <v>0</v>
      </c>
      <c r="L73" s="20">
        <f>IF(A73="","",IF(OR(D73="",K73=""),"",ROUND(D73*K73,2)))</f>
        <v>0</v>
      </c>
      <c r="M73" s="33">
        <f>IF(A73="","",IFERROR(L73/SUMIFS('Waste Log'!$L$5:$L$204,'Waste Log'!$B$5:$B$204,B73),""))</f>
        <v>0</v>
      </c>
      <c r="N73" s="43">
        <f>IF(A73="","",IF(B73="","Add - which material?",IF(D73="","Add - how much?",IF(K73="","Check - that material has no price",IF(G73="Yes","Avoidable - worth a second look","Logged")))))</f>
        <v>0</v>
      </c>
    </row>
    <row r="74" spans="3:14">
      <c r="C74" s="13">
        <f>IF(B74="","",IFERROR(INDEX(Materials!$B$5:$B$254,MATCH(B74,Materials!$A$5:$A$254,0)),"Add to Materials"))</f>
        <v>0</v>
      </c>
      <c r="I74" s="13">
        <f>IF(A74="","",TEXT(A74,"yyyy-mm"))</f>
        <v>0</v>
      </c>
      <c r="J74" s="13">
        <f>IF(B74="","",IFERROR(INDEX(Materials!$H$5:$H$254,MATCH(B74,Materials!$A$5:$A$254,0)),"Add to Materials"))</f>
        <v>0</v>
      </c>
      <c r="K74" s="45">
        <f>IF(B74="","",IFERROR(INDEX(Materials!$S$5:$S$254,MATCH(B74,Materials!$A$5:$A$254,0)),""))</f>
        <v>0</v>
      </c>
      <c r="L74" s="20">
        <f>IF(A74="","",IF(OR(D74="",K74=""),"",ROUND(D74*K74,2)))</f>
        <v>0</v>
      </c>
      <c r="M74" s="33">
        <f>IF(A74="","",IFERROR(L74/SUMIFS('Waste Log'!$L$5:$L$204,'Waste Log'!$B$5:$B$204,B74),""))</f>
        <v>0</v>
      </c>
      <c r="N74" s="43">
        <f>IF(A74="","",IF(B74="","Add - which material?",IF(D74="","Add - how much?",IF(K74="","Check - that material has no price",IF(G74="Yes","Avoidable - worth a second look","Logged")))))</f>
        <v>0</v>
      </c>
    </row>
    <row r="75" spans="3:14">
      <c r="C75" s="13">
        <f>IF(B75="","",IFERROR(INDEX(Materials!$B$5:$B$254,MATCH(B75,Materials!$A$5:$A$254,0)),"Add to Materials"))</f>
        <v>0</v>
      </c>
      <c r="I75" s="13">
        <f>IF(A75="","",TEXT(A75,"yyyy-mm"))</f>
        <v>0</v>
      </c>
      <c r="J75" s="13">
        <f>IF(B75="","",IFERROR(INDEX(Materials!$H$5:$H$254,MATCH(B75,Materials!$A$5:$A$254,0)),"Add to Materials"))</f>
        <v>0</v>
      </c>
      <c r="K75" s="45">
        <f>IF(B75="","",IFERROR(INDEX(Materials!$S$5:$S$254,MATCH(B75,Materials!$A$5:$A$254,0)),""))</f>
        <v>0</v>
      </c>
      <c r="L75" s="20">
        <f>IF(A75="","",IF(OR(D75="",K75=""),"",ROUND(D75*K75,2)))</f>
        <v>0</v>
      </c>
      <c r="M75" s="33">
        <f>IF(A75="","",IFERROR(L75/SUMIFS('Waste Log'!$L$5:$L$204,'Waste Log'!$B$5:$B$204,B75),""))</f>
        <v>0</v>
      </c>
      <c r="N75" s="43">
        <f>IF(A75="","",IF(B75="","Add - which material?",IF(D75="","Add - how much?",IF(K75="","Check - that material has no price",IF(G75="Yes","Avoidable - worth a second look","Logged")))))</f>
        <v>0</v>
      </c>
    </row>
    <row r="76" spans="3:14">
      <c r="C76" s="13">
        <f>IF(B76="","",IFERROR(INDEX(Materials!$B$5:$B$254,MATCH(B76,Materials!$A$5:$A$254,0)),"Add to Materials"))</f>
        <v>0</v>
      </c>
      <c r="I76" s="13">
        <f>IF(A76="","",TEXT(A76,"yyyy-mm"))</f>
        <v>0</v>
      </c>
      <c r="J76" s="13">
        <f>IF(B76="","",IFERROR(INDEX(Materials!$H$5:$H$254,MATCH(B76,Materials!$A$5:$A$254,0)),"Add to Materials"))</f>
        <v>0</v>
      </c>
      <c r="K76" s="45">
        <f>IF(B76="","",IFERROR(INDEX(Materials!$S$5:$S$254,MATCH(B76,Materials!$A$5:$A$254,0)),""))</f>
        <v>0</v>
      </c>
      <c r="L76" s="20">
        <f>IF(A76="","",IF(OR(D76="",K76=""),"",ROUND(D76*K76,2)))</f>
        <v>0</v>
      </c>
      <c r="M76" s="33">
        <f>IF(A76="","",IFERROR(L76/SUMIFS('Waste Log'!$L$5:$L$204,'Waste Log'!$B$5:$B$204,B76),""))</f>
        <v>0</v>
      </c>
      <c r="N76" s="43">
        <f>IF(A76="","",IF(B76="","Add - which material?",IF(D76="","Add - how much?",IF(K76="","Check - that material has no price",IF(G76="Yes","Avoidable - worth a second look","Logged")))))</f>
        <v>0</v>
      </c>
    </row>
    <row r="77" spans="3:14">
      <c r="C77" s="13">
        <f>IF(B77="","",IFERROR(INDEX(Materials!$B$5:$B$254,MATCH(B77,Materials!$A$5:$A$254,0)),"Add to Materials"))</f>
        <v>0</v>
      </c>
      <c r="I77" s="13">
        <f>IF(A77="","",TEXT(A77,"yyyy-mm"))</f>
        <v>0</v>
      </c>
      <c r="J77" s="13">
        <f>IF(B77="","",IFERROR(INDEX(Materials!$H$5:$H$254,MATCH(B77,Materials!$A$5:$A$254,0)),"Add to Materials"))</f>
        <v>0</v>
      </c>
      <c r="K77" s="45">
        <f>IF(B77="","",IFERROR(INDEX(Materials!$S$5:$S$254,MATCH(B77,Materials!$A$5:$A$254,0)),""))</f>
        <v>0</v>
      </c>
      <c r="L77" s="20">
        <f>IF(A77="","",IF(OR(D77="",K77=""),"",ROUND(D77*K77,2)))</f>
        <v>0</v>
      </c>
      <c r="M77" s="33">
        <f>IF(A77="","",IFERROR(L77/SUMIFS('Waste Log'!$L$5:$L$204,'Waste Log'!$B$5:$B$204,B77),""))</f>
        <v>0</v>
      </c>
      <c r="N77" s="43">
        <f>IF(A77="","",IF(B77="","Add - which material?",IF(D77="","Add - how much?",IF(K77="","Check - that material has no price",IF(G77="Yes","Avoidable - worth a second look","Logged")))))</f>
        <v>0</v>
      </c>
    </row>
    <row r="78" spans="3:14">
      <c r="C78" s="13">
        <f>IF(B78="","",IFERROR(INDEX(Materials!$B$5:$B$254,MATCH(B78,Materials!$A$5:$A$254,0)),"Add to Materials"))</f>
        <v>0</v>
      </c>
      <c r="I78" s="13">
        <f>IF(A78="","",TEXT(A78,"yyyy-mm"))</f>
        <v>0</v>
      </c>
      <c r="J78" s="13">
        <f>IF(B78="","",IFERROR(INDEX(Materials!$H$5:$H$254,MATCH(B78,Materials!$A$5:$A$254,0)),"Add to Materials"))</f>
        <v>0</v>
      </c>
      <c r="K78" s="45">
        <f>IF(B78="","",IFERROR(INDEX(Materials!$S$5:$S$254,MATCH(B78,Materials!$A$5:$A$254,0)),""))</f>
        <v>0</v>
      </c>
      <c r="L78" s="20">
        <f>IF(A78="","",IF(OR(D78="",K78=""),"",ROUND(D78*K78,2)))</f>
        <v>0</v>
      </c>
      <c r="M78" s="33">
        <f>IF(A78="","",IFERROR(L78/SUMIFS('Waste Log'!$L$5:$L$204,'Waste Log'!$B$5:$B$204,B78),""))</f>
        <v>0</v>
      </c>
      <c r="N78" s="43">
        <f>IF(A78="","",IF(B78="","Add - which material?",IF(D78="","Add - how much?",IF(K78="","Check - that material has no price",IF(G78="Yes","Avoidable - worth a second look","Logged")))))</f>
        <v>0</v>
      </c>
    </row>
    <row r="79" spans="3:14">
      <c r="C79" s="13">
        <f>IF(B79="","",IFERROR(INDEX(Materials!$B$5:$B$254,MATCH(B79,Materials!$A$5:$A$254,0)),"Add to Materials"))</f>
        <v>0</v>
      </c>
      <c r="I79" s="13">
        <f>IF(A79="","",TEXT(A79,"yyyy-mm"))</f>
        <v>0</v>
      </c>
      <c r="J79" s="13">
        <f>IF(B79="","",IFERROR(INDEX(Materials!$H$5:$H$254,MATCH(B79,Materials!$A$5:$A$254,0)),"Add to Materials"))</f>
        <v>0</v>
      </c>
      <c r="K79" s="45">
        <f>IF(B79="","",IFERROR(INDEX(Materials!$S$5:$S$254,MATCH(B79,Materials!$A$5:$A$254,0)),""))</f>
        <v>0</v>
      </c>
      <c r="L79" s="20">
        <f>IF(A79="","",IF(OR(D79="",K79=""),"",ROUND(D79*K79,2)))</f>
        <v>0</v>
      </c>
      <c r="M79" s="33">
        <f>IF(A79="","",IFERROR(L79/SUMIFS('Waste Log'!$L$5:$L$204,'Waste Log'!$B$5:$B$204,B79),""))</f>
        <v>0</v>
      </c>
      <c r="N79" s="43">
        <f>IF(A79="","",IF(B79="","Add - which material?",IF(D79="","Add - how much?",IF(K79="","Check - that material has no price",IF(G79="Yes","Avoidable - worth a second look","Logged")))))</f>
        <v>0</v>
      </c>
    </row>
    <row r="80" spans="3:14">
      <c r="C80" s="13">
        <f>IF(B80="","",IFERROR(INDEX(Materials!$B$5:$B$254,MATCH(B80,Materials!$A$5:$A$254,0)),"Add to Materials"))</f>
        <v>0</v>
      </c>
      <c r="I80" s="13">
        <f>IF(A80="","",TEXT(A80,"yyyy-mm"))</f>
        <v>0</v>
      </c>
      <c r="J80" s="13">
        <f>IF(B80="","",IFERROR(INDEX(Materials!$H$5:$H$254,MATCH(B80,Materials!$A$5:$A$254,0)),"Add to Materials"))</f>
        <v>0</v>
      </c>
      <c r="K80" s="45">
        <f>IF(B80="","",IFERROR(INDEX(Materials!$S$5:$S$254,MATCH(B80,Materials!$A$5:$A$254,0)),""))</f>
        <v>0</v>
      </c>
      <c r="L80" s="20">
        <f>IF(A80="","",IF(OR(D80="",K80=""),"",ROUND(D80*K80,2)))</f>
        <v>0</v>
      </c>
      <c r="M80" s="33">
        <f>IF(A80="","",IFERROR(L80/SUMIFS('Waste Log'!$L$5:$L$204,'Waste Log'!$B$5:$B$204,B80),""))</f>
        <v>0</v>
      </c>
      <c r="N80" s="43">
        <f>IF(A80="","",IF(B80="","Add - which material?",IF(D80="","Add - how much?",IF(K80="","Check - that material has no price",IF(G80="Yes","Avoidable - worth a second look","Logged")))))</f>
        <v>0</v>
      </c>
    </row>
    <row r="81" spans="3:14">
      <c r="C81" s="13">
        <f>IF(B81="","",IFERROR(INDEX(Materials!$B$5:$B$254,MATCH(B81,Materials!$A$5:$A$254,0)),"Add to Materials"))</f>
        <v>0</v>
      </c>
      <c r="I81" s="13">
        <f>IF(A81="","",TEXT(A81,"yyyy-mm"))</f>
        <v>0</v>
      </c>
      <c r="J81" s="13">
        <f>IF(B81="","",IFERROR(INDEX(Materials!$H$5:$H$254,MATCH(B81,Materials!$A$5:$A$254,0)),"Add to Materials"))</f>
        <v>0</v>
      </c>
      <c r="K81" s="45">
        <f>IF(B81="","",IFERROR(INDEX(Materials!$S$5:$S$254,MATCH(B81,Materials!$A$5:$A$254,0)),""))</f>
        <v>0</v>
      </c>
      <c r="L81" s="20">
        <f>IF(A81="","",IF(OR(D81="",K81=""),"",ROUND(D81*K81,2)))</f>
        <v>0</v>
      </c>
      <c r="M81" s="33">
        <f>IF(A81="","",IFERROR(L81/SUMIFS('Waste Log'!$L$5:$L$204,'Waste Log'!$B$5:$B$204,B81),""))</f>
        <v>0</v>
      </c>
      <c r="N81" s="43">
        <f>IF(A81="","",IF(B81="","Add - which material?",IF(D81="","Add - how much?",IF(K81="","Check - that material has no price",IF(G81="Yes","Avoidable - worth a second look","Logged")))))</f>
        <v>0</v>
      </c>
    </row>
    <row r="82" spans="3:14">
      <c r="C82" s="13">
        <f>IF(B82="","",IFERROR(INDEX(Materials!$B$5:$B$254,MATCH(B82,Materials!$A$5:$A$254,0)),"Add to Materials"))</f>
        <v>0</v>
      </c>
      <c r="I82" s="13">
        <f>IF(A82="","",TEXT(A82,"yyyy-mm"))</f>
        <v>0</v>
      </c>
      <c r="J82" s="13">
        <f>IF(B82="","",IFERROR(INDEX(Materials!$H$5:$H$254,MATCH(B82,Materials!$A$5:$A$254,0)),"Add to Materials"))</f>
        <v>0</v>
      </c>
      <c r="K82" s="45">
        <f>IF(B82="","",IFERROR(INDEX(Materials!$S$5:$S$254,MATCH(B82,Materials!$A$5:$A$254,0)),""))</f>
        <v>0</v>
      </c>
      <c r="L82" s="20">
        <f>IF(A82="","",IF(OR(D82="",K82=""),"",ROUND(D82*K82,2)))</f>
        <v>0</v>
      </c>
      <c r="M82" s="33">
        <f>IF(A82="","",IFERROR(L82/SUMIFS('Waste Log'!$L$5:$L$204,'Waste Log'!$B$5:$B$204,B82),""))</f>
        <v>0</v>
      </c>
      <c r="N82" s="43">
        <f>IF(A82="","",IF(B82="","Add - which material?",IF(D82="","Add - how much?",IF(K82="","Check - that material has no price",IF(G82="Yes","Avoidable - worth a second look","Logged")))))</f>
        <v>0</v>
      </c>
    </row>
    <row r="83" spans="3:14">
      <c r="C83" s="13">
        <f>IF(B83="","",IFERROR(INDEX(Materials!$B$5:$B$254,MATCH(B83,Materials!$A$5:$A$254,0)),"Add to Materials"))</f>
        <v>0</v>
      </c>
      <c r="I83" s="13">
        <f>IF(A83="","",TEXT(A83,"yyyy-mm"))</f>
        <v>0</v>
      </c>
      <c r="J83" s="13">
        <f>IF(B83="","",IFERROR(INDEX(Materials!$H$5:$H$254,MATCH(B83,Materials!$A$5:$A$254,0)),"Add to Materials"))</f>
        <v>0</v>
      </c>
      <c r="K83" s="45">
        <f>IF(B83="","",IFERROR(INDEX(Materials!$S$5:$S$254,MATCH(B83,Materials!$A$5:$A$254,0)),""))</f>
        <v>0</v>
      </c>
      <c r="L83" s="20">
        <f>IF(A83="","",IF(OR(D83="",K83=""),"",ROUND(D83*K83,2)))</f>
        <v>0</v>
      </c>
      <c r="M83" s="33">
        <f>IF(A83="","",IFERROR(L83/SUMIFS('Waste Log'!$L$5:$L$204,'Waste Log'!$B$5:$B$204,B83),""))</f>
        <v>0</v>
      </c>
      <c r="N83" s="43">
        <f>IF(A83="","",IF(B83="","Add - which material?",IF(D83="","Add - how much?",IF(K83="","Check - that material has no price",IF(G83="Yes","Avoidable - worth a second look","Logged")))))</f>
        <v>0</v>
      </c>
    </row>
    <row r="84" spans="3:14">
      <c r="C84" s="13">
        <f>IF(B84="","",IFERROR(INDEX(Materials!$B$5:$B$254,MATCH(B84,Materials!$A$5:$A$254,0)),"Add to Materials"))</f>
        <v>0</v>
      </c>
      <c r="I84" s="13">
        <f>IF(A84="","",TEXT(A84,"yyyy-mm"))</f>
        <v>0</v>
      </c>
      <c r="J84" s="13">
        <f>IF(B84="","",IFERROR(INDEX(Materials!$H$5:$H$254,MATCH(B84,Materials!$A$5:$A$254,0)),"Add to Materials"))</f>
        <v>0</v>
      </c>
      <c r="K84" s="45">
        <f>IF(B84="","",IFERROR(INDEX(Materials!$S$5:$S$254,MATCH(B84,Materials!$A$5:$A$254,0)),""))</f>
        <v>0</v>
      </c>
      <c r="L84" s="20">
        <f>IF(A84="","",IF(OR(D84="",K84=""),"",ROUND(D84*K84,2)))</f>
        <v>0</v>
      </c>
      <c r="M84" s="33">
        <f>IF(A84="","",IFERROR(L84/SUMIFS('Waste Log'!$L$5:$L$204,'Waste Log'!$B$5:$B$204,B84),""))</f>
        <v>0</v>
      </c>
      <c r="N84" s="43">
        <f>IF(A84="","",IF(B84="","Add - which material?",IF(D84="","Add - how much?",IF(K84="","Check - that material has no price",IF(G84="Yes","Avoidable - worth a second look","Logged")))))</f>
        <v>0</v>
      </c>
    </row>
    <row r="85" spans="3:14">
      <c r="C85" s="13">
        <f>IF(B85="","",IFERROR(INDEX(Materials!$B$5:$B$254,MATCH(B85,Materials!$A$5:$A$254,0)),"Add to Materials"))</f>
        <v>0</v>
      </c>
      <c r="I85" s="13">
        <f>IF(A85="","",TEXT(A85,"yyyy-mm"))</f>
        <v>0</v>
      </c>
      <c r="J85" s="13">
        <f>IF(B85="","",IFERROR(INDEX(Materials!$H$5:$H$254,MATCH(B85,Materials!$A$5:$A$254,0)),"Add to Materials"))</f>
        <v>0</v>
      </c>
      <c r="K85" s="45">
        <f>IF(B85="","",IFERROR(INDEX(Materials!$S$5:$S$254,MATCH(B85,Materials!$A$5:$A$254,0)),""))</f>
        <v>0</v>
      </c>
      <c r="L85" s="20">
        <f>IF(A85="","",IF(OR(D85="",K85=""),"",ROUND(D85*K85,2)))</f>
        <v>0</v>
      </c>
      <c r="M85" s="33">
        <f>IF(A85="","",IFERROR(L85/SUMIFS('Waste Log'!$L$5:$L$204,'Waste Log'!$B$5:$B$204,B85),""))</f>
        <v>0</v>
      </c>
      <c r="N85" s="43">
        <f>IF(A85="","",IF(B85="","Add - which material?",IF(D85="","Add - how much?",IF(K85="","Check - that material has no price",IF(G85="Yes","Avoidable - worth a second look","Logged")))))</f>
        <v>0</v>
      </c>
    </row>
    <row r="86" spans="3:14">
      <c r="C86" s="13">
        <f>IF(B86="","",IFERROR(INDEX(Materials!$B$5:$B$254,MATCH(B86,Materials!$A$5:$A$254,0)),"Add to Materials"))</f>
        <v>0</v>
      </c>
      <c r="I86" s="13">
        <f>IF(A86="","",TEXT(A86,"yyyy-mm"))</f>
        <v>0</v>
      </c>
      <c r="J86" s="13">
        <f>IF(B86="","",IFERROR(INDEX(Materials!$H$5:$H$254,MATCH(B86,Materials!$A$5:$A$254,0)),"Add to Materials"))</f>
        <v>0</v>
      </c>
      <c r="K86" s="45">
        <f>IF(B86="","",IFERROR(INDEX(Materials!$S$5:$S$254,MATCH(B86,Materials!$A$5:$A$254,0)),""))</f>
        <v>0</v>
      </c>
      <c r="L86" s="20">
        <f>IF(A86="","",IF(OR(D86="",K86=""),"",ROUND(D86*K86,2)))</f>
        <v>0</v>
      </c>
      <c r="M86" s="33">
        <f>IF(A86="","",IFERROR(L86/SUMIFS('Waste Log'!$L$5:$L$204,'Waste Log'!$B$5:$B$204,B86),""))</f>
        <v>0</v>
      </c>
      <c r="N86" s="43">
        <f>IF(A86="","",IF(B86="","Add - which material?",IF(D86="","Add - how much?",IF(K86="","Check - that material has no price",IF(G86="Yes","Avoidable - worth a second look","Logged")))))</f>
        <v>0</v>
      </c>
    </row>
    <row r="87" spans="3:14">
      <c r="C87" s="13">
        <f>IF(B87="","",IFERROR(INDEX(Materials!$B$5:$B$254,MATCH(B87,Materials!$A$5:$A$254,0)),"Add to Materials"))</f>
        <v>0</v>
      </c>
      <c r="I87" s="13">
        <f>IF(A87="","",TEXT(A87,"yyyy-mm"))</f>
        <v>0</v>
      </c>
      <c r="J87" s="13">
        <f>IF(B87="","",IFERROR(INDEX(Materials!$H$5:$H$254,MATCH(B87,Materials!$A$5:$A$254,0)),"Add to Materials"))</f>
        <v>0</v>
      </c>
      <c r="K87" s="45">
        <f>IF(B87="","",IFERROR(INDEX(Materials!$S$5:$S$254,MATCH(B87,Materials!$A$5:$A$254,0)),""))</f>
        <v>0</v>
      </c>
      <c r="L87" s="20">
        <f>IF(A87="","",IF(OR(D87="",K87=""),"",ROUND(D87*K87,2)))</f>
        <v>0</v>
      </c>
      <c r="M87" s="33">
        <f>IF(A87="","",IFERROR(L87/SUMIFS('Waste Log'!$L$5:$L$204,'Waste Log'!$B$5:$B$204,B87),""))</f>
        <v>0</v>
      </c>
      <c r="N87" s="43">
        <f>IF(A87="","",IF(B87="","Add - which material?",IF(D87="","Add - how much?",IF(K87="","Check - that material has no price",IF(G87="Yes","Avoidable - worth a second look","Logged")))))</f>
        <v>0</v>
      </c>
    </row>
    <row r="88" spans="3:14">
      <c r="C88" s="13">
        <f>IF(B88="","",IFERROR(INDEX(Materials!$B$5:$B$254,MATCH(B88,Materials!$A$5:$A$254,0)),"Add to Materials"))</f>
        <v>0</v>
      </c>
      <c r="I88" s="13">
        <f>IF(A88="","",TEXT(A88,"yyyy-mm"))</f>
        <v>0</v>
      </c>
      <c r="J88" s="13">
        <f>IF(B88="","",IFERROR(INDEX(Materials!$H$5:$H$254,MATCH(B88,Materials!$A$5:$A$254,0)),"Add to Materials"))</f>
        <v>0</v>
      </c>
      <c r="K88" s="45">
        <f>IF(B88="","",IFERROR(INDEX(Materials!$S$5:$S$254,MATCH(B88,Materials!$A$5:$A$254,0)),""))</f>
        <v>0</v>
      </c>
      <c r="L88" s="20">
        <f>IF(A88="","",IF(OR(D88="",K88=""),"",ROUND(D88*K88,2)))</f>
        <v>0</v>
      </c>
      <c r="M88" s="33">
        <f>IF(A88="","",IFERROR(L88/SUMIFS('Waste Log'!$L$5:$L$204,'Waste Log'!$B$5:$B$204,B88),""))</f>
        <v>0</v>
      </c>
      <c r="N88" s="43">
        <f>IF(A88="","",IF(B88="","Add - which material?",IF(D88="","Add - how much?",IF(K88="","Check - that material has no price",IF(G88="Yes","Avoidable - worth a second look","Logged")))))</f>
        <v>0</v>
      </c>
    </row>
    <row r="89" spans="3:14">
      <c r="C89" s="13">
        <f>IF(B89="","",IFERROR(INDEX(Materials!$B$5:$B$254,MATCH(B89,Materials!$A$5:$A$254,0)),"Add to Materials"))</f>
        <v>0</v>
      </c>
      <c r="I89" s="13">
        <f>IF(A89="","",TEXT(A89,"yyyy-mm"))</f>
        <v>0</v>
      </c>
      <c r="J89" s="13">
        <f>IF(B89="","",IFERROR(INDEX(Materials!$H$5:$H$254,MATCH(B89,Materials!$A$5:$A$254,0)),"Add to Materials"))</f>
        <v>0</v>
      </c>
      <c r="K89" s="45">
        <f>IF(B89="","",IFERROR(INDEX(Materials!$S$5:$S$254,MATCH(B89,Materials!$A$5:$A$254,0)),""))</f>
        <v>0</v>
      </c>
      <c r="L89" s="20">
        <f>IF(A89="","",IF(OR(D89="",K89=""),"",ROUND(D89*K89,2)))</f>
        <v>0</v>
      </c>
      <c r="M89" s="33">
        <f>IF(A89="","",IFERROR(L89/SUMIFS('Waste Log'!$L$5:$L$204,'Waste Log'!$B$5:$B$204,B89),""))</f>
        <v>0</v>
      </c>
      <c r="N89" s="43">
        <f>IF(A89="","",IF(B89="","Add - which material?",IF(D89="","Add - how much?",IF(K89="","Check - that material has no price",IF(G89="Yes","Avoidable - worth a second look","Logged")))))</f>
        <v>0</v>
      </c>
    </row>
    <row r="90" spans="3:14">
      <c r="C90" s="13">
        <f>IF(B90="","",IFERROR(INDEX(Materials!$B$5:$B$254,MATCH(B90,Materials!$A$5:$A$254,0)),"Add to Materials"))</f>
        <v>0</v>
      </c>
      <c r="I90" s="13">
        <f>IF(A90="","",TEXT(A90,"yyyy-mm"))</f>
        <v>0</v>
      </c>
      <c r="J90" s="13">
        <f>IF(B90="","",IFERROR(INDEX(Materials!$H$5:$H$254,MATCH(B90,Materials!$A$5:$A$254,0)),"Add to Materials"))</f>
        <v>0</v>
      </c>
      <c r="K90" s="45">
        <f>IF(B90="","",IFERROR(INDEX(Materials!$S$5:$S$254,MATCH(B90,Materials!$A$5:$A$254,0)),""))</f>
        <v>0</v>
      </c>
      <c r="L90" s="20">
        <f>IF(A90="","",IF(OR(D90="",K90=""),"",ROUND(D90*K90,2)))</f>
        <v>0</v>
      </c>
      <c r="M90" s="33">
        <f>IF(A90="","",IFERROR(L90/SUMIFS('Waste Log'!$L$5:$L$204,'Waste Log'!$B$5:$B$204,B90),""))</f>
        <v>0</v>
      </c>
      <c r="N90" s="43">
        <f>IF(A90="","",IF(B90="","Add - which material?",IF(D90="","Add - how much?",IF(K90="","Check - that material has no price",IF(G90="Yes","Avoidable - worth a second look","Logged")))))</f>
        <v>0</v>
      </c>
    </row>
    <row r="91" spans="3:14">
      <c r="C91" s="13">
        <f>IF(B91="","",IFERROR(INDEX(Materials!$B$5:$B$254,MATCH(B91,Materials!$A$5:$A$254,0)),"Add to Materials"))</f>
        <v>0</v>
      </c>
      <c r="I91" s="13">
        <f>IF(A91="","",TEXT(A91,"yyyy-mm"))</f>
        <v>0</v>
      </c>
      <c r="J91" s="13">
        <f>IF(B91="","",IFERROR(INDEX(Materials!$H$5:$H$254,MATCH(B91,Materials!$A$5:$A$254,0)),"Add to Materials"))</f>
        <v>0</v>
      </c>
      <c r="K91" s="45">
        <f>IF(B91="","",IFERROR(INDEX(Materials!$S$5:$S$254,MATCH(B91,Materials!$A$5:$A$254,0)),""))</f>
        <v>0</v>
      </c>
      <c r="L91" s="20">
        <f>IF(A91="","",IF(OR(D91="",K91=""),"",ROUND(D91*K91,2)))</f>
        <v>0</v>
      </c>
      <c r="M91" s="33">
        <f>IF(A91="","",IFERROR(L91/SUMIFS('Waste Log'!$L$5:$L$204,'Waste Log'!$B$5:$B$204,B91),""))</f>
        <v>0</v>
      </c>
      <c r="N91" s="43">
        <f>IF(A91="","",IF(B91="","Add - which material?",IF(D91="","Add - how much?",IF(K91="","Check - that material has no price",IF(G91="Yes","Avoidable - worth a second look","Logged")))))</f>
        <v>0</v>
      </c>
    </row>
    <row r="92" spans="3:14">
      <c r="C92" s="13">
        <f>IF(B92="","",IFERROR(INDEX(Materials!$B$5:$B$254,MATCH(B92,Materials!$A$5:$A$254,0)),"Add to Materials"))</f>
        <v>0</v>
      </c>
      <c r="I92" s="13">
        <f>IF(A92="","",TEXT(A92,"yyyy-mm"))</f>
        <v>0</v>
      </c>
      <c r="J92" s="13">
        <f>IF(B92="","",IFERROR(INDEX(Materials!$H$5:$H$254,MATCH(B92,Materials!$A$5:$A$254,0)),"Add to Materials"))</f>
        <v>0</v>
      </c>
      <c r="K92" s="45">
        <f>IF(B92="","",IFERROR(INDEX(Materials!$S$5:$S$254,MATCH(B92,Materials!$A$5:$A$254,0)),""))</f>
        <v>0</v>
      </c>
      <c r="L92" s="20">
        <f>IF(A92="","",IF(OR(D92="",K92=""),"",ROUND(D92*K92,2)))</f>
        <v>0</v>
      </c>
      <c r="M92" s="33">
        <f>IF(A92="","",IFERROR(L92/SUMIFS('Waste Log'!$L$5:$L$204,'Waste Log'!$B$5:$B$204,B92),""))</f>
        <v>0</v>
      </c>
      <c r="N92" s="43">
        <f>IF(A92="","",IF(B92="","Add - which material?",IF(D92="","Add - how much?",IF(K92="","Check - that material has no price",IF(G92="Yes","Avoidable - worth a second look","Logged")))))</f>
        <v>0</v>
      </c>
    </row>
    <row r="93" spans="3:14">
      <c r="C93" s="13">
        <f>IF(B93="","",IFERROR(INDEX(Materials!$B$5:$B$254,MATCH(B93,Materials!$A$5:$A$254,0)),"Add to Materials"))</f>
        <v>0</v>
      </c>
      <c r="I93" s="13">
        <f>IF(A93="","",TEXT(A93,"yyyy-mm"))</f>
        <v>0</v>
      </c>
      <c r="J93" s="13">
        <f>IF(B93="","",IFERROR(INDEX(Materials!$H$5:$H$254,MATCH(B93,Materials!$A$5:$A$254,0)),"Add to Materials"))</f>
        <v>0</v>
      </c>
      <c r="K93" s="45">
        <f>IF(B93="","",IFERROR(INDEX(Materials!$S$5:$S$254,MATCH(B93,Materials!$A$5:$A$254,0)),""))</f>
        <v>0</v>
      </c>
      <c r="L93" s="20">
        <f>IF(A93="","",IF(OR(D93="",K93=""),"",ROUND(D93*K93,2)))</f>
        <v>0</v>
      </c>
      <c r="M93" s="33">
        <f>IF(A93="","",IFERROR(L93/SUMIFS('Waste Log'!$L$5:$L$204,'Waste Log'!$B$5:$B$204,B93),""))</f>
        <v>0</v>
      </c>
      <c r="N93" s="43">
        <f>IF(A93="","",IF(B93="","Add - which material?",IF(D93="","Add - how much?",IF(K93="","Check - that material has no price",IF(G93="Yes","Avoidable - worth a second look","Logged")))))</f>
        <v>0</v>
      </c>
    </row>
    <row r="94" spans="3:14">
      <c r="C94" s="13">
        <f>IF(B94="","",IFERROR(INDEX(Materials!$B$5:$B$254,MATCH(B94,Materials!$A$5:$A$254,0)),"Add to Materials"))</f>
        <v>0</v>
      </c>
      <c r="I94" s="13">
        <f>IF(A94="","",TEXT(A94,"yyyy-mm"))</f>
        <v>0</v>
      </c>
      <c r="J94" s="13">
        <f>IF(B94="","",IFERROR(INDEX(Materials!$H$5:$H$254,MATCH(B94,Materials!$A$5:$A$254,0)),"Add to Materials"))</f>
        <v>0</v>
      </c>
      <c r="K94" s="45">
        <f>IF(B94="","",IFERROR(INDEX(Materials!$S$5:$S$254,MATCH(B94,Materials!$A$5:$A$254,0)),""))</f>
        <v>0</v>
      </c>
      <c r="L94" s="20">
        <f>IF(A94="","",IF(OR(D94="",K94=""),"",ROUND(D94*K94,2)))</f>
        <v>0</v>
      </c>
      <c r="M94" s="33">
        <f>IF(A94="","",IFERROR(L94/SUMIFS('Waste Log'!$L$5:$L$204,'Waste Log'!$B$5:$B$204,B94),""))</f>
        <v>0</v>
      </c>
      <c r="N94" s="43">
        <f>IF(A94="","",IF(B94="","Add - which material?",IF(D94="","Add - how much?",IF(K94="","Check - that material has no price",IF(G94="Yes","Avoidable - worth a second look","Logged")))))</f>
        <v>0</v>
      </c>
    </row>
    <row r="95" spans="3:14">
      <c r="C95" s="13">
        <f>IF(B95="","",IFERROR(INDEX(Materials!$B$5:$B$254,MATCH(B95,Materials!$A$5:$A$254,0)),"Add to Materials"))</f>
        <v>0</v>
      </c>
      <c r="I95" s="13">
        <f>IF(A95="","",TEXT(A95,"yyyy-mm"))</f>
        <v>0</v>
      </c>
      <c r="J95" s="13">
        <f>IF(B95="","",IFERROR(INDEX(Materials!$H$5:$H$254,MATCH(B95,Materials!$A$5:$A$254,0)),"Add to Materials"))</f>
        <v>0</v>
      </c>
      <c r="K95" s="45">
        <f>IF(B95="","",IFERROR(INDEX(Materials!$S$5:$S$254,MATCH(B95,Materials!$A$5:$A$254,0)),""))</f>
        <v>0</v>
      </c>
      <c r="L95" s="20">
        <f>IF(A95="","",IF(OR(D95="",K95=""),"",ROUND(D95*K95,2)))</f>
        <v>0</v>
      </c>
      <c r="M95" s="33">
        <f>IF(A95="","",IFERROR(L95/SUMIFS('Waste Log'!$L$5:$L$204,'Waste Log'!$B$5:$B$204,B95),""))</f>
        <v>0</v>
      </c>
      <c r="N95" s="43">
        <f>IF(A95="","",IF(B95="","Add - which material?",IF(D95="","Add - how much?",IF(K95="","Check - that material has no price",IF(G95="Yes","Avoidable - worth a second look","Logged")))))</f>
        <v>0</v>
      </c>
    </row>
    <row r="96" spans="3:14">
      <c r="C96" s="13">
        <f>IF(B96="","",IFERROR(INDEX(Materials!$B$5:$B$254,MATCH(B96,Materials!$A$5:$A$254,0)),"Add to Materials"))</f>
        <v>0</v>
      </c>
      <c r="I96" s="13">
        <f>IF(A96="","",TEXT(A96,"yyyy-mm"))</f>
        <v>0</v>
      </c>
      <c r="J96" s="13">
        <f>IF(B96="","",IFERROR(INDEX(Materials!$H$5:$H$254,MATCH(B96,Materials!$A$5:$A$254,0)),"Add to Materials"))</f>
        <v>0</v>
      </c>
      <c r="K96" s="45">
        <f>IF(B96="","",IFERROR(INDEX(Materials!$S$5:$S$254,MATCH(B96,Materials!$A$5:$A$254,0)),""))</f>
        <v>0</v>
      </c>
      <c r="L96" s="20">
        <f>IF(A96="","",IF(OR(D96="",K96=""),"",ROUND(D96*K96,2)))</f>
        <v>0</v>
      </c>
      <c r="M96" s="33">
        <f>IF(A96="","",IFERROR(L96/SUMIFS('Waste Log'!$L$5:$L$204,'Waste Log'!$B$5:$B$204,B96),""))</f>
        <v>0</v>
      </c>
      <c r="N96" s="43">
        <f>IF(A96="","",IF(B96="","Add - which material?",IF(D96="","Add - how much?",IF(K96="","Check - that material has no price",IF(G96="Yes","Avoidable - worth a second look","Logged")))))</f>
        <v>0</v>
      </c>
    </row>
    <row r="97" spans="3:14">
      <c r="C97" s="13">
        <f>IF(B97="","",IFERROR(INDEX(Materials!$B$5:$B$254,MATCH(B97,Materials!$A$5:$A$254,0)),"Add to Materials"))</f>
        <v>0</v>
      </c>
      <c r="I97" s="13">
        <f>IF(A97="","",TEXT(A97,"yyyy-mm"))</f>
        <v>0</v>
      </c>
      <c r="J97" s="13">
        <f>IF(B97="","",IFERROR(INDEX(Materials!$H$5:$H$254,MATCH(B97,Materials!$A$5:$A$254,0)),"Add to Materials"))</f>
        <v>0</v>
      </c>
      <c r="K97" s="45">
        <f>IF(B97="","",IFERROR(INDEX(Materials!$S$5:$S$254,MATCH(B97,Materials!$A$5:$A$254,0)),""))</f>
        <v>0</v>
      </c>
      <c r="L97" s="20">
        <f>IF(A97="","",IF(OR(D97="",K97=""),"",ROUND(D97*K97,2)))</f>
        <v>0</v>
      </c>
      <c r="M97" s="33">
        <f>IF(A97="","",IFERROR(L97/SUMIFS('Waste Log'!$L$5:$L$204,'Waste Log'!$B$5:$B$204,B97),""))</f>
        <v>0</v>
      </c>
      <c r="N97" s="43">
        <f>IF(A97="","",IF(B97="","Add - which material?",IF(D97="","Add - how much?",IF(K97="","Check - that material has no price",IF(G97="Yes","Avoidable - worth a second look","Logged")))))</f>
        <v>0</v>
      </c>
    </row>
    <row r="98" spans="3:14">
      <c r="C98" s="13">
        <f>IF(B98="","",IFERROR(INDEX(Materials!$B$5:$B$254,MATCH(B98,Materials!$A$5:$A$254,0)),"Add to Materials"))</f>
        <v>0</v>
      </c>
      <c r="I98" s="13">
        <f>IF(A98="","",TEXT(A98,"yyyy-mm"))</f>
        <v>0</v>
      </c>
      <c r="J98" s="13">
        <f>IF(B98="","",IFERROR(INDEX(Materials!$H$5:$H$254,MATCH(B98,Materials!$A$5:$A$254,0)),"Add to Materials"))</f>
        <v>0</v>
      </c>
      <c r="K98" s="45">
        <f>IF(B98="","",IFERROR(INDEX(Materials!$S$5:$S$254,MATCH(B98,Materials!$A$5:$A$254,0)),""))</f>
        <v>0</v>
      </c>
      <c r="L98" s="20">
        <f>IF(A98="","",IF(OR(D98="",K98=""),"",ROUND(D98*K98,2)))</f>
        <v>0</v>
      </c>
      <c r="M98" s="33">
        <f>IF(A98="","",IFERROR(L98/SUMIFS('Waste Log'!$L$5:$L$204,'Waste Log'!$B$5:$B$204,B98),""))</f>
        <v>0</v>
      </c>
      <c r="N98" s="43">
        <f>IF(A98="","",IF(B98="","Add - which material?",IF(D98="","Add - how much?",IF(K98="","Check - that material has no price",IF(G98="Yes","Avoidable - worth a second look","Logged")))))</f>
        <v>0</v>
      </c>
    </row>
    <row r="99" spans="3:14">
      <c r="C99" s="13">
        <f>IF(B99="","",IFERROR(INDEX(Materials!$B$5:$B$254,MATCH(B99,Materials!$A$5:$A$254,0)),"Add to Materials"))</f>
        <v>0</v>
      </c>
      <c r="I99" s="13">
        <f>IF(A99="","",TEXT(A99,"yyyy-mm"))</f>
        <v>0</v>
      </c>
      <c r="J99" s="13">
        <f>IF(B99="","",IFERROR(INDEX(Materials!$H$5:$H$254,MATCH(B99,Materials!$A$5:$A$254,0)),"Add to Materials"))</f>
        <v>0</v>
      </c>
      <c r="K99" s="45">
        <f>IF(B99="","",IFERROR(INDEX(Materials!$S$5:$S$254,MATCH(B99,Materials!$A$5:$A$254,0)),""))</f>
        <v>0</v>
      </c>
      <c r="L99" s="20">
        <f>IF(A99="","",IF(OR(D99="",K99=""),"",ROUND(D99*K99,2)))</f>
        <v>0</v>
      </c>
      <c r="M99" s="33">
        <f>IF(A99="","",IFERROR(L99/SUMIFS('Waste Log'!$L$5:$L$204,'Waste Log'!$B$5:$B$204,B99),""))</f>
        <v>0</v>
      </c>
      <c r="N99" s="43">
        <f>IF(A99="","",IF(B99="","Add - which material?",IF(D99="","Add - how much?",IF(K99="","Check - that material has no price",IF(G99="Yes","Avoidable - worth a second look","Logged")))))</f>
        <v>0</v>
      </c>
    </row>
    <row r="100" spans="3:14">
      <c r="C100" s="13">
        <f>IF(B100="","",IFERROR(INDEX(Materials!$B$5:$B$254,MATCH(B100,Materials!$A$5:$A$254,0)),"Add to Materials"))</f>
        <v>0</v>
      </c>
      <c r="I100" s="13">
        <f>IF(A100="","",TEXT(A100,"yyyy-mm"))</f>
        <v>0</v>
      </c>
      <c r="J100" s="13">
        <f>IF(B100="","",IFERROR(INDEX(Materials!$H$5:$H$254,MATCH(B100,Materials!$A$5:$A$254,0)),"Add to Materials"))</f>
        <v>0</v>
      </c>
      <c r="K100" s="45">
        <f>IF(B100="","",IFERROR(INDEX(Materials!$S$5:$S$254,MATCH(B100,Materials!$A$5:$A$254,0)),""))</f>
        <v>0</v>
      </c>
      <c r="L100" s="20">
        <f>IF(A100="","",IF(OR(D100="",K100=""),"",ROUND(D100*K100,2)))</f>
        <v>0</v>
      </c>
      <c r="M100" s="33">
        <f>IF(A100="","",IFERROR(L100/SUMIFS('Waste Log'!$L$5:$L$204,'Waste Log'!$B$5:$B$204,B100),""))</f>
        <v>0</v>
      </c>
      <c r="N100" s="43">
        <f>IF(A100="","",IF(B100="","Add - which material?",IF(D100="","Add - how much?",IF(K100="","Check - that material has no price",IF(G100="Yes","Avoidable - worth a second look","Logged")))))</f>
        <v>0</v>
      </c>
    </row>
    <row r="101" spans="3:14">
      <c r="C101" s="13">
        <f>IF(B101="","",IFERROR(INDEX(Materials!$B$5:$B$254,MATCH(B101,Materials!$A$5:$A$254,0)),"Add to Materials"))</f>
        <v>0</v>
      </c>
      <c r="I101" s="13">
        <f>IF(A101="","",TEXT(A101,"yyyy-mm"))</f>
        <v>0</v>
      </c>
      <c r="J101" s="13">
        <f>IF(B101="","",IFERROR(INDEX(Materials!$H$5:$H$254,MATCH(B101,Materials!$A$5:$A$254,0)),"Add to Materials"))</f>
        <v>0</v>
      </c>
      <c r="K101" s="45">
        <f>IF(B101="","",IFERROR(INDEX(Materials!$S$5:$S$254,MATCH(B101,Materials!$A$5:$A$254,0)),""))</f>
        <v>0</v>
      </c>
      <c r="L101" s="20">
        <f>IF(A101="","",IF(OR(D101="",K101=""),"",ROUND(D101*K101,2)))</f>
        <v>0</v>
      </c>
      <c r="M101" s="33">
        <f>IF(A101="","",IFERROR(L101/SUMIFS('Waste Log'!$L$5:$L$204,'Waste Log'!$B$5:$B$204,B101),""))</f>
        <v>0</v>
      </c>
      <c r="N101" s="43">
        <f>IF(A101="","",IF(B101="","Add - which material?",IF(D101="","Add - how much?",IF(K101="","Check - that material has no price",IF(G101="Yes","Avoidable - worth a second look","Logged")))))</f>
        <v>0</v>
      </c>
    </row>
    <row r="102" spans="3:14">
      <c r="C102" s="13">
        <f>IF(B102="","",IFERROR(INDEX(Materials!$B$5:$B$254,MATCH(B102,Materials!$A$5:$A$254,0)),"Add to Materials"))</f>
        <v>0</v>
      </c>
      <c r="I102" s="13">
        <f>IF(A102="","",TEXT(A102,"yyyy-mm"))</f>
        <v>0</v>
      </c>
      <c r="J102" s="13">
        <f>IF(B102="","",IFERROR(INDEX(Materials!$H$5:$H$254,MATCH(B102,Materials!$A$5:$A$254,0)),"Add to Materials"))</f>
        <v>0</v>
      </c>
      <c r="K102" s="45">
        <f>IF(B102="","",IFERROR(INDEX(Materials!$S$5:$S$254,MATCH(B102,Materials!$A$5:$A$254,0)),""))</f>
        <v>0</v>
      </c>
      <c r="L102" s="20">
        <f>IF(A102="","",IF(OR(D102="",K102=""),"",ROUND(D102*K102,2)))</f>
        <v>0</v>
      </c>
      <c r="M102" s="33">
        <f>IF(A102="","",IFERROR(L102/SUMIFS('Waste Log'!$L$5:$L$204,'Waste Log'!$B$5:$B$204,B102),""))</f>
        <v>0</v>
      </c>
      <c r="N102" s="43">
        <f>IF(A102="","",IF(B102="","Add - which material?",IF(D102="","Add - how much?",IF(K102="","Check - that material has no price",IF(G102="Yes","Avoidable - worth a second look","Logged")))))</f>
        <v>0</v>
      </c>
    </row>
    <row r="103" spans="3:14">
      <c r="C103" s="13">
        <f>IF(B103="","",IFERROR(INDEX(Materials!$B$5:$B$254,MATCH(B103,Materials!$A$5:$A$254,0)),"Add to Materials"))</f>
        <v>0</v>
      </c>
      <c r="I103" s="13">
        <f>IF(A103="","",TEXT(A103,"yyyy-mm"))</f>
        <v>0</v>
      </c>
      <c r="J103" s="13">
        <f>IF(B103="","",IFERROR(INDEX(Materials!$H$5:$H$254,MATCH(B103,Materials!$A$5:$A$254,0)),"Add to Materials"))</f>
        <v>0</v>
      </c>
      <c r="K103" s="45">
        <f>IF(B103="","",IFERROR(INDEX(Materials!$S$5:$S$254,MATCH(B103,Materials!$A$5:$A$254,0)),""))</f>
        <v>0</v>
      </c>
      <c r="L103" s="20">
        <f>IF(A103="","",IF(OR(D103="",K103=""),"",ROUND(D103*K103,2)))</f>
        <v>0</v>
      </c>
      <c r="M103" s="33">
        <f>IF(A103="","",IFERROR(L103/SUMIFS('Waste Log'!$L$5:$L$204,'Waste Log'!$B$5:$B$204,B103),""))</f>
        <v>0</v>
      </c>
      <c r="N103" s="43">
        <f>IF(A103="","",IF(B103="","Add - which material?",IF(D103="","Add - how much?",IF(K103="","Check - that material has no price",IF(G103="Yes","Avoidable - worth a second look","Logged")))))</f>
        <v>0</v>
      </c>
    </row>
    <row r="104" spans="3:14">
      <c r="C104" s="13">
        <f>IF(B104="","",IFERROR(INDEX(Materials!$B$5:$B$254,MATCH(B104,Materials!$A$5:$A$254,0)),"Add to Materials"))</f>
        <v>0</v>
      </c>
      <c r="I104" s="13">
        <f>IF(A104="","",TEXT(A104,"yyyy-mm"))</f>
        <v>0</v>
      </c>
      <c r="J104" s="13">
        <f>IF(B104="","",IFERROR(INDEX(Materials!$H$5:$H$254,MATCH(B104,Materials!$A$5:$A$254,0)),"Add to Materials"))</f>
        <v>0</v>
      </c>
      <c r="K104" s="45">
        <f>IF(B104="","",IFERROR(INDEX(Materials!$S$5:$S$254,MATCH(B104,Materials!$A$5:$A$254,0)),""))</f>
        <v>0</v>
      </c>
      <c r="L104" s="20">
        <f>IF(A104="","",IF(OR(D104="",K104=""),"",ROUND(D104*K104,2)))</f>
        <v>0</v>
      </c>
      <c r="M104" s="33">
        <f>IF(A104="","",IFERROR(L104/SUMIFS('Waste Log'!$L$5:$L$204,'Waste Log'!$B$5:$B$204,B104),""))</f>
        <v>0</v>
      </c>
      <c r="N104" s="43">
        <f>IF(A104="","",IF(B104="","Add - which material?",IF(D104="","Add - how much?",IF(K104="","Check - that material has no price",IF(G104="Yes","Avoidable - worth a second look","Logged")))))</f>
        <v>0</v>
      </c>
    </row>
    <row r="105" spans="3:14">
      <c r="C105" s="13">
        <f>IF(B105="","",IFERROR(INDEX(Materials!$B$5:$B$254,MATCH(B105,Materials!$A$5:$A$254,0)),"Add to Materials"))</f>
        <v>0</v>
      </c>
      <c r="I105" s="13">
        <f>IF(A105="","",TEXT(A105,"yyyy-mm"))</f>
        <v>0</v>
      </c>
      <c r="J105" s="13">
        <f>IF(B105="","",IFERROR(INDEX(Materials!$H$5:$H$254,MATCH(B105,Materials!$A$5:$A$254,0)),"Add to Materials"))</f>
        <v>0</v>
      </c>
      <c r="K105" s="45">
        <f>IF(B105="","",IFERROR(INDEX(Materials!$S$5:$S$254,MATCH(B105,Materials!$A$5:$A$254,0)),""))</f>
        <v>0</v>
      </c>
      <c r="L105" s="20">
        <f>IF(A105="","",IF(OR(D105="",K105=""),"",ROUND(D105*K105,2)))</f>
        <v>0</v>
      </c>
      <c r="M105" s="33">
        <f>IF(A105="","",IFERROR(L105/SUMIFS('Waste Log'!$L$5:$L$204,'Waste Log'!$B$5:$B$204,B105),""))</f>
        <v>0</v>
      </c>
      <c r="N105" s="43">
        <f>IF(A105="","",IF(B105="","Add - which material?",IF(D105="","Add - how much?",IF(K105="","Check - that material has no price",IF(G105="Yes","Avoidable - worth a second look","Logged")))))</f>
        <v>0</v>
      </c>
    </row>
    <row r="106" spans="3:14">
      <c r="C106" s="13">
        <f>IF(B106="","",IFERROR(INDEX(Materials!$B$5:$B$254,MATCH(B106,Materials!$A$5:$A$254,0)),"Add to Materials"))</f>
        <v>0</v>
      </c>
      <c r="I106" s="13">
        <f>IF(A106="","",TEXT(A106,"yyyy-mm"))</f>
        <v>0</v>
      </c>
      <c r="J106" s="13">
        <f>IF(B106="","",IFERROR(INDEX(Materials!$H$5:$H$254,MATCH(B106,Materials!$A$5:$A$254,0)),"Add to Materials"))</f>
        <v>0</v>
      </c>
      <c r="K106" s="45">
        <f>IF(B106="","",IFERROR(INDEX(Materials!$S$5:$S$254,MATCH(B106,Materials!$A$5:$A$254,0)),""))</f>
        <v>0</v>
      </c>
      <c r="L106" s="20">
        <f>IF(A106="","",IF(OR(D106="",K106=""),"",ROUND(D106*K106,2)))</f>
        <v>0</v>
      </c>
      <c r="M106" s="33">
        <f>IF(A106="","",IFERROR(L106/SUMIFS('Waste Log'!$L$5:$L$204,'Waste Log'!$B$5:$B$204,B106),""))</f>
        <v>0</v>
      </c>
      <c r="N106" s="43">
        <f>IF(A106="","",IF(B106="","Add - which material?",IF(D106="","Add - how much?",IF(K106="","Check - that material has no price",IF(G106="Yes","Avoidable - worth a second look","Logged")))))</f>
        <v>0</v>
      </c>
    </row>
    <row r="107" spans="3:14">
      <c r="C107" s="13">
        <f>IF(B107="","",IFERROR(INDEX(Materials!$B$5:$B$254,MATCH(B107,Materials!$A$5:$A$254,0)),"Add to Materials"))</f>
        <v>0</v>
      </c>
      <c r="I107" s="13">
        <f>IF(A107="","",TEXT(A107,"yyyy-mm"))</f>
        <v>0</v>
      </c>
      <c r="J107" s="13">
        <f>IF(B107="","",IFERROR(INDEX(Materials!$H$5:$H$254,MATCH(B107,Materials!$A$5:$A$254,0)),"Add to Materials"))</f>
        <v>0</v>
      </c>
      <c r="K107" s="45">
        <f>IF(B107="","",IFERROR(INDEX(Materials!$S$5:$S$254,MATCH(B107,Materials!$A$5:$A$254,0)),""))</f>
        <v>0</v>
      </c>
      <c r="L107" s="20">
        <f>IF(A107="","",IF(OR(D107="",K107=""),"",ROUND(D107*K107,2)))</f>
        <v>0</v>
      </c>
      <c r="M107" s="33">
        <f>IF(A107="","",IFERROR(L107/SUMIFS('Waste Log'!$L$5:$L$204,'Waste Log'!$B$5:$B$204,B107),""))</f>
        <v>0</v>
      </c>
      <c r="N107" s="43">
        <f>IF(A107="","",IF(B107="","Add - which material?",IF(D107="","Add - how much?",IF(K107="","Check - that material has no price",IF(G107="Yes","Avoidable - worth a second look","Logged")))))</f>
        <v>0</v>
      </c>
    </row>
    <row r="108" spans="3:14">
      <c r="C108" s="13">
        <f>IF(B108="","",IFERROR(INDEX(Materials!$B$5:$B$254,MATCH(B108,Materials!$A$5:$A$254,0)),"Add to Materials"))</f>
        <v>0</v>
      </c>
      <c r="I108" s="13">
        <f>IF(A108="","",TEXT(A108,"yyyy-mm"))</f>
        <v>0</v>
      </c>
      <c r="J108" s="13">
        <f>IF(B108="","",IFERROR(INDEX(Materials!$H$5:$H$254,MATCH(B108,Materials!$A$5:$A$254,0)),"Add to Materials"))</f>
        <v>0</v>
      </c>
      <c r="K108" s="45">
        <f>IF(B108="","",IFERROR(INDEX(Materials!$S$5:$S$254,MATCH(B108,Materials!$A$5:$A$254,0)),""))</f>
        <v>0</v>
      </c>
      <c r="L108" s="20">
        <f>IF(A108="","",IF(OR(D108="",K108=""),"",ROUND(D108*K108,2)))</f>
        <v>0</v>
      </c>
      <c r="M108" s="33">
        <f>IF(A108="","",IFERROR(L108/SUMIFS('Waste Log'!$L$5:$L$204,'Waste Log'!$B$5:$B$204,B108),""))</f>
        <v>0</v>
      </c>
      <c r="N108" s="43">
        <f>IF(A108="","",IF(B108="","Add - which material?",IF(D108="","Add - how much?",IF(K108="","Check - that material has no price",IF(G108="Yes","Avoidable - worth a second look","Logged")))))</f>
        <v>0</v>
      </c>
    </row>
    <row r="109" spans="3:14">
      <c r="C109" s="13">
        <f>IF(B109="","",IFERROR(INDEX(Materials!$B$5:$B$254,MATCH(B109,Materials!$A$5:$A$254,0)),"Add to Materials"))</f>
        <v>0</v>
      </c>
      <c r="I109" s="13">
        <f>IF(A109="","",TEXT(A109,"yyyy-mm"))</f>
        <v>0</v>
      </c>
      <c r="J109" s="13">
        <f>IF(B109="","",IFERROR(INDEX(Materials!$H$5:$H$254,MATCH(B109,Materials!$A$5:$A$254,0)),"Add to Materials"))</f>
        <v>0</v>
      </c>
      <c r="K109" s="45">
        <f>IF(B109="","",IFERROR(INDEX(Materials!$S$5:$S$254,MATCH(B109,Materials!$A$5:$A$254,0)),""))</f>
        <v>0</v>
      </c>
      <c r="L109" s="20">
        <f>IF(A109="","",IF(OR(D109="",K109=""),"",ROUND(D109*K109,2)))</f>
        <v>0</v>
      </c>
      <c r="M109" s="33">
        <f>IF(A109="","",IFERROR(L109/SUMIFS('Waste Log'!$L$5:$L$204,'Waste Log'!$B$5:$B$204,B109),""))</f>
        <v>0</v>
      </c>
      <c r="N109" s="43">
        <f>IF(A109="","",IF(B109="","Add - which material?",IF(D109="","Add - how much?",IF(K109="","Check - that material has no price",IF(G109="Yes","Avoidable - worth a second look","Logged")))))</f>
        <v>0</v>
      </c>
    </row>
    <row r="110" spans="3:14">
      <c r="C110" s="13">
        <f>IF(B110="","",IFERROR(INDEX(Materials!$B$5:$B$254,MATCH(B110,Materials!$A$5:$A$254,0)),"Add to Materials"))</f>
        <v>0</v>
      </c>
      <c r="I110" s="13">
        <f>IF(A110="","",TEXT(A110,"yyyy-mm"))</f>
        <v>0</v>
      </c>
      <c r="J110" s="13">
        <f>IF(B110="","",IFERROR(INDEX(Materials!$H$5:$H$254,MATCH(B110,Materials!$A$5:$A$254,0)),"Add to Materials"))</f>
        <v>0</v>
      </c>
      <c r="K110" s="45">
        <f>IF(B110="","",IFERROR(INDEX(Materials!$S$5:$S$254,MATCH(B110,Materials!$A$5:$A$254,0)),""))</f>
        <v>0</v>
      </c>
      <c r="L110" s="20">
        <f>IF(A110="","",IF(OR(D110="",K110=""),"",ROUND(D110*K110,2)))</f>
        <v>0</v>
      </c>
      <c r="M110" s="33">
        <f>IF(A110="","",IFERROR(L110/SUMIFS('Waste Log'!$L$5:$L$204,'Waste Log'!$B$5:$B$204,B110),""))</f>
        <v>0</v>
      </c>
      <c r="N110" s="43">
        <f>IF(A110="","",IF(B110="","Add - which material?",IF(D110="","Add - how much?",IF(K110="","Check - that material has no price",IF(G110="Yes","Avoidable - worth a second look","Logged")))))</f>
        <v>0</v>
      </c>
    </row>
    <row r="111" spans="3:14">
      <c r="C111" s="13">
        <f>IF(B111="","",IFERROR(INDEX(Materials!$B$5:$B$254,MATCH(B111,Materials!$A$5:$A$254,0)),"Add to Materials"))</f>
        <v>0</v>
      </c>
      <c r="I111" s="13">
        <f>IF(A111="","",TEXT(A111,"yyyy-mm"))</f>
        <v>0</v>
      </c>
      <c r="J111" s="13">
        <f>IF(B111="","",IFERROR(INDEX(Materials!$H$5:$H$254,MATCH(B111,Materials!$A$5:$A$254,0)),"Add to Materials"))</f>
        <v>0</v>
      </c>
      <c r="K111" s="45">
        <f>IF(B111="","",IFERROR(INDEX(Materials!$S$5:$S$254,MATCH(B111,Materials!$A$5:$A$254,0)),""))</f>
        <v>0</v>
      </c>
      <c r="L111" s="20">
        <f>IF(A111="","",IF(OR(D111="",K111=""),"",ROUND(D111*K111,2)))</f>
        <v>0</v>
      </c>
      <c r="M111" s="33">
        <f>IF(A111="","",IFERROR(L111/SUMIFS('Waste Log'!$L$5:$L$204,'Waste Log'!$B$5:$B$204,B111),""))</f>
        <v>0</v>
      </c>
      <c r="N111" s="43">
        <f>IF(A111="","",IF(B111="","Add - which material?",IF(D111="","Add - how much?",IF(K111="","Check - that material has no price",IF(G111="Yes","Avoidable - worth a second look","Logged")))))</f>
        <v>0</v>
      </c>
    </row>
    <row r="112" spans="3:14">
      <c r="C112" s="13">
        <f>IF(B112="","",IFERROR(INDEX(Materials!$B$5:$B$254,MATCH(B112,Materials!$A$5:$A$254,0)),"Add to Materials"))</f>
        <v>0</v>
      </c>
      <c r="I112" s="13">
        <f>IF(A112="","",TEXT(A112,"yyyy-mm"))</f>
        <v>0</v>
      </c>
      <c r="J112" s="13">
        <f>IF(B112="","",IFERROR(INDEX(Materials!$H$5:$H$254,MATCH(B112,Materials!$A$5:$A$254,0)),"Add to Materials"))</f>
        <v>0</v>
      </c>
      <c r="K112" s="45">
        <f>IF(B112="","",IFERROR(INDEX(Materials!$S$5:$S$254,MATCH(B112,Materials!$A$5:$A$254,0)),""))</f>
        <v>0</v>
      </c>
      <c r="L112" s="20">
        <f>IF(A112="","",IF(OR(D112="",K112=""),"",ROUND(D112*K112,2)))</f>
        <v>0</v>
      </c>
      <c r="M112" s="33">
        <f>IF(A112="","",IFERROR(L112/SUMIFS('Waste Log'!$L$5:$L$204,'Waste Log'!$B$5:$B$204,B112),""))</f>
        <v>0</v>
      </c>
      <c r="N112" s="43">
        <f>IF(A112="","",IF(B112="","Add - which material?",IF(D112="","Add - how much?",IF(K112="","Check - that material has no price",IF(G112="Yes","Avoidable - worth a second look","Logged")))))</f>
        <v>0</v>
      </c>
    </row>
    <row r="113" spans="3:14">
      <c r="C113" s="13">
        <f>IF(B113="","",IFERROR(INDEX(Materials!$B$5:$B$254,MATCH(B113,Materials!$A$5:$A$254,0)),"Add to Materials"))</f>
        <v>0</v>
      </c>
      <c r="I113" s="13">
        <f>IF(A113="","",TEXT(A113,"yyyy-mm"))</f>
        <v>0</v>
      </c>
      <c r="J113" s="13">
        <f>IF(B113="","",IFERROR(INDEX(Materials!$H$5:$H$254,MATCH(B113,Materials!$A$5:$A$254,0)),"Add to Materials"))</f>
        <v>0</v>
      </c>
      <c r="K113" s="45">
        <f>IF(B113="","",IFERROR(INDEX(Materials!$S$5:$S$254,MATCH(B113,Materials!$A$5:$A$254,0)),""))</f>
        <v>0</v>
      </c>
      <c r="L113" s="20">
        <f>IF(A113="","",IF(OR(D113="",K113=""),"",ROUND(D113*K113,2)))</f>
        <v>0</v>
      </c>
      <c r="M113" s="33">
        <f>IF(A113="","",IFERROR(L113/SUMIFS('Waste Log'!$L$5:$L$204,'Waste Log'!$B$5:$B$204,B113),""))</f>
        <v>0</v>
      </c>
      <c r="N113" s="43">
        <f>IF(A113="","",IF(B113="","Add - which material?",IF(D113="","Add - how much?",IF(K113="","Check - that material has no price",IF(G113="Yes","Avoidable - worth a second look","Logged")))))</f>
        <v>0</v>
      </c>
    </row>
    <row r="114" spans="3:14">
      <c r="C114" s="13">
        <f>IF(B114="","",IFERROR(INDEX(Materials!$B$5:$B$254,MATCH(B114,Materials!$A$5:$A$254,0)),"Add to Materials"))</f>
        <v>0</v>
      </c>
      <c r="I114" s="13">
        <f>IF(A114="","",TEXT(A114,"yyyy-mm"))</f>
        <v>0</v>
      </c>
      <c r="J114" s="13">
        <f>IF(B114="","",IFERROR(INDEX(Materials!$H$5:$H$254,MATCH(B114,Materials!$A$5:$A$254,0)),"Add to Materials"))</f>
        <v>0</v>
      </c>
      <c r="K114" s="45">
        <f>IF(B114="","",IFERROR(INDEX(Materials!$S$5:$S$254,MATCH(B114,Materials!$A$5:$A$254,0)),""))</f>
        <v>0</v>
      </c>
      <c r="L114" s="20">
        <f>IF(A114="","",IF(OR(D114="",K114=""),"",ROUND(D114*K114,2)))</f>
        <v>0</v>
      </c>
      <c r="M114" s="33">
        <f>IF(A114="","",IFERROR(L114/SUMIFS('Waste Log'!$L$5:$L$204,'Waste Log'!$B$5:$B$204,B114),""))</f>
        <v>0</v>
      </c>
      <c r="N114" s="43">
        <f>IF(A114="","",IF(B114="","Add - which material?",IF(D114="","Add - how much?",IF(K114="","Check - that material has no price",IF(G114="Yes","Avoidable - worth a second look","Logged")))))</f>
        <v>0</v>
      </c>
    </row>
    <row r="115" spans="3:14">
      <c r="C115" s="13">
        <f>IF(B115="","",IFERROR(INDEX(Materials!$B$5:$B$254,MATCH(B115,Materials!$A$5:$A$254,0)),"Add to Materials"))</f>
        <v>0</v>
      </c>
      <c r="I115" s="13">
        <f>IF(A115="","",TEXT(A115,"yyyy-mm"))</f>
        <v>0</v>
      </c>
      <c r="J115" s="13">
        <f>IF(B115="","",IFERROR(INDEX(Materials!$H$5:$H$254,MATCH(B115,Materials!$A$5:$A$254,0)),"Add to Materials"))</f>
        <v>0</v>
      </c>
      <c r="K115" s="45">
        <f>IF(B115="","",IFERROR(INDEX(Materials!$S$5:$S$254,MATCH(B115,Materials!$A$5:$A$254,0)),""))</f>
        <v>0</v>
      </c>
      <c r="L115" s="20">
        <f>IF(A115="","",IF(OR(D115="",K115=""),"",ROUND(D115*K115,2)))</f>
        <v>0</v>
      </c>
      <c r="M115" s="33">
        <f>IF(A115="","",IFERROR(L115/SUMIFS('Waste Log'!$L$5:$L$204,'Waste Log'!$B$5:$B$204,B115),""))</f>
        <v>0</v>
      </c>
      <c r="N115" s="43">
        <f>IF(A115="","",IF(B115="","Add - which material?",IF(D115="","Add - how much?",IF(K115="","Check - that material has no price",IF(G115="Yes","Avoidable - worth a second look","Logged")))))</f>
        <v>0</v>
      </c>
    </row>
    <row r="116" spans="3:14">
      <c r="C116" s="13">
        <f>IF(B116="","",IFERROR(INDEX(Materials!$B$5:$B$254,MATCH(B116,Materials!$A$5:$A$254,0)),"Add to Materials"))</f>
        <v>0</v>
      </c>
      <c r="I116" s="13">
        <f>IF(A116="","",TEXT(A116,"yyyy-mm"))</f>
        <v>0</v>
      </c>
      <c r="J116" s="13">
        <f>IF(B116="","",IFERROR(INDEX(Materials!$H$5:$H$254,MATCH(B116,Materials!$A$5:$A$254,0)),"Add to Materials"))</f>
        <v>0</v>
      </c>
      <c r="K116" s="45">
        <f>IF(B116="","",IFERROR(INDEX(Materials!$S$5:$S$254,MATCH(B116,Materials!$A$5:$A$254,0)),""))</f>
        <v>0</v>
      </c>
      <c r="L116" s="20">
        <f>IF(A116="","",IF(OR(D116="",K116=""),"",ROUND(D116*K116,2)))</f>
        <v>0</v>
      </c>
      <c r="M116" s="33">
        <f>IF(A116="","",IFERROR(L116/SUMIFS('Waste Log'!$L$5:$L$204,'Waste Log'!$B$5:$B$204,B116),""))</f>
        <v>0</v>
      </c>
      <c r="N116" s="43">
        <f>IF(A116="","",IF(B116="","Add - which material?",IF(D116="","Add - how much?",IF(K116="","Check - that material has no price",IF(G116="Yes","Avoidable - worth a second look","Logged")))))</f>
        <v>0</v>
      </c>
    </row>
    <row r="117" spans="3:14">
      <c r="C117" s="13">
        <f>IF(B117="","",IFERROR(INDEX(Materials!$B$5:$B$254,MATCH(B117,Materials!$A$5:$A$254,0)),"Add to Materials"))</f>
        <v>0</v>
      </c>
      <c r="I117" s="13">
        <f>IF(A117="","",TEXT(A117,"yyyy-mm"))</f>
        <v>0</v>
      </c>
      <c r="J117" s="13">
        <f>IF(B117="","",IFERROR(INDEX(Materials!$H$5:$H$254,MATCH(B117,Materials!$A$5:$A$254,0)),"Add to Materials"))</f>
        <v>0</v>
      </c>
      <c r="K117" s="45">
        <f>IF(B117="","",IFERROR(INDEX(Materials!$S$5:$S$254,MATCH(B117,Materials!$A$5:$A$254,0)),""))</f>
        <v>0</v>
      </c>
      <c r="L117" s="20">
        <f>IF(A117="","",IF(OR(D117="",K117=""),"",ROUND(D117*K117,2)))</f>
        <v>0</v>
      </c>
      <c r="M117" s="33">
        <f>IF(A117="","",IFERROR(L117/SUMIFS('Waste Log'!$L$5:$L$204,'Waste Log'!$B$5:$B$204,B117),""))</f>
        <v>0</v>
      </c>
      <c r="N117" s="43">
        <f>IF(A117="","",IF(B117="","Add - which material?",IF(D117="","Add - how much?",IF(K117="","Check - that material has no price",IF(G117="Yes","Avoidable - worth a second look","Logged")))))</f>
        <v>0</v>
      </c>
    </row>
    <row r="118" spans="3:14">
      <c r="C118" s="13">
        <f>IF(B118="","",IFERROR(INDEX(Materials!$B$5:$B$254,MATCH(B118,Materials!$A$5:$A$254,0)),"Add to Materials"))</f>
        <v>0</v>
      </c>
      <c r="I118" s="13">
        <f>IF(A118="","",TEXT(A118,"yyyy-mm"))</f>
        <v>0</v>
      </c>
      <c r="J118" s="13">
        <f>IF(B118="","",IFERROR(INDEX(Materials!$H$5:$H$254,MATCH(B118,Materials!$A$5:$A$254,0)),"Add to Materials"))</f>
        <v>0</v>
      </c>
      <c r="K118" s="45">
        <f>IF(B118="","",IFERROR(INDEX(Materials!$S$5:$S$254,MATCH(B118,Materials!$A$5:$A$254,0)),""))</f>
        <v>0</v>
      </c>
      <c r="L118" s="20">
        <f>IF(A118="","",IF(OR(D118="",K118=""),"",ROUND(D118*K118,2)))</f>
        <v>0</v>
      </c>
      <c r="M118" s="33">
        <f>IF(A118="","",IFERROR(L118/SUMIFS('Waste Log'!$L$5:$L$204,'Waste Log'!$B$5:$B$204,B118),""))</f>
        <v>0</v>
      </c>
      <c r="N118" s="43">
        <f>IF(A118="","",IF(B118="","Add - which material?",IF(D118="","Add - how much?",IF(K118="","Check - that material has no price",IF(G118="Yes","Avoidable - worth a second look","Logged")))))</f>
        <v>0</v>
      </c>
    </row>
    <row r="119" spans="3:14">
      <c r="C119" s="13">
        <f>IF(B119="","",IFERROR(INDEX(Materials!$B$5:$B$254,MATCH(B119,Materials!$A$5:$A$254,0)),"Add to Materials"))</f>
        <v>0</v>
      </c>
      <c r="I119" s="13">
        <f>IF(A119="","",TEXT(A119,"yyyy-mm"))</f>
        <v>0</v>
      </c>
      <c r="J119" s="13">
        <f>IF(B119="","",IFERROR(INDEX(Materials!$H$5:$H$254,MATCH(B119,Materials!$A$5:$A$254,0)),"Add to Materials"))</f>
        <v>0</v>
      </c>
      <c r="K119" s="45">
        <f>IF(B119="","",IFERROR(INDEX(Materials!$S$5:$S$254,MATCH(B119,Materials!$A$5:$A$254,0)),""))</f>
        <v>0</v>
      </c>
      <c r="L119" s="20">
        <f>IF(A119="","",IF(OR(D119="",K119=""),"",ROUND(D119*K119,2)))</f>
        <v>0</v>
      </c>
      <c r="M119" s="33">
        <f>IF(A119="","",IFERROR(L119/SUMIFS('Waste Log'!$L$5:$L$204,'Waste Log'!$B$5:$B$204,B119),""))</f>
        <v>0</v>
      </c>
      <c r="N119" s="43">
        <f>IF(A119="","",IF(B119="","Add - which material?",IF(D119="","Add - how much?",IF(K119="","Check - that material has no price",IF(G119="Yes","Avoidable - worth a second look","Logged")))))</f>
        <v>0</v>
      </c>
    </row>
    <row r="120" spans="3:14">
      <c r="C120" s="13">
        <f>IF(B120="","",IFERROR(INDEX(Materials!$B$5:$B$254,MATCH(B120,Materials!$A$5:$A$254,0)),"Add to Materials"))</f>
        <v>0</v>
      </c>
      <c r="I120" s="13">
        <f>IF(A120="","",TEXT(A120,"yyyy-mm"))</f>
        <v>0</v>
      </c>
      <c r="J120" s="13">
        <f>IF(B120="","",IFERROR(INDEX(Materials!$H$5:$H$254,MATCH(B120,Materials!$A$5:$A$254,0)),"Add to Materials"))</f>
        <v>0</v>
      </c>
      <c r="K120" s="45">
        <f>IF(B120="","",IFERROR(INDEX(Materials!$S$5:$S$254,MATCH(B120,Materials!$A$5:$A$254,0)),""))</f>
        <v>0</v>
      </c>
      <c r="L120" s="20">
        <f>IF(A120="","",IF(OR(D120="",K120=""),"",ROUND(D120*K120,2)))</f>
        <v>0</v>
      </c>
      <c r="M120" s="33">
        <f>IF(A120="","",IFERROR(L120/SUMIFS('Waste Log'!$L$5:$L$204,'Waste Log'!$B$5:$B$204,B120),""))</f>
        <v>0</v>
      </c>
      <c r="N120" s="43">
        <f>IF(A120="","",IF(B120="","Add - which material?",IF(D120="","Add - how much?",IF(K120="","Check - that material has no price",IF(G120="Yes","Avoidable - worth a second look","Logged")))))</f>
        <v>0</v>
      </c>
    </row>
    <row r="121" spans="3:14">
      <c r="C121" s="13">
        <f>IF(B121="","",IFERROR(INDEX(Materials!$B$5:$B$254,MATCH(B121,Materials!$A$5:$A$254,0)),"Add to Materials"))</f>
        <v>0</v>
      </c>
      <c r="I121" s="13">
        <f>IF(A121="","",TEXT(A121,"yyyy-mm"))</f>
        <v>0</v>
      </c>
      <c r="J121" s="13">
        <f>IF(B121="","",IFERROR(INDEX(Materials!$H$5:$H$254,MATCH(B121,Materials!$A$5:$A$254,0)),"Add to Materials"))</f>
        <v>0</v>
      </c>
      <c r="K121" s="45">
        <f>IF(B121="","",IFERROR(INDEX(Materials!$S$5:$S$254,MATCH(B121,Materials!$A$5:$A$254,0)),""))</f>
        <v>0</v>
      </c>
      <c r="L121" s="20">
        <f>IF(A121="","",IF(OR(D121="",K121=""),"",ROUND(D121*K121,2)))</f>
        <v>0</v>
      </c>
      <c r="M121" s="33">
        <f>IF(A121="","",IFERROR(L121/SUMIFS('Waste Log'!$L$5:$L$204,'Waste Log'!$B$5:$B$204,B121),""))</f>
        <v>0</v>
      </c>
      <c r="N121" s="43">
        <f>IF(A121="","",IF(B121="","Add - which material?",IF(D121="","Add - how much?",IF(K121="","Check - that material has no price",IF(G121="Yes","Avoidable - worth a second look","Logged")))))</f>
        <v>0</v>
      </c>
    </row>
    <row r="122" spans="3:14">
      <c r="C122" s="13">
        <f>IF(B122="","",IFERROR(INDEX(Materials!$B$5:$B$254,MATCH(B122,Materials!$A$5:$A$254,0)),"Add to Materials"))</f>
        <v>0</v>
      </c>
      <c r="I122" s="13">
        <f>IF(A122="","",TEXT(A122,"yyyy-mm"))</f>
        <v>0</v>
      </c>
      <c r="J122" s="13">
        <f>IF(B122="","",IFERROR(INDEX(Materials!$H$5:$H$254,MATCH(B122,Materials!$A$5:$A$254,0)),"Add to Materials"))</f>
        <v>0</v>
      </c>
      <c r="K122" s="45">
        <f>IF(B122="","",IFERROR(INDEX(Materials!$S$5:$S$254,MATCH(B122,Materials!$A$5:$A$254,0)),""))</f>
        <v>0</v>
      </c>
      <c r="L122" s="20">
        <f>IF(A122="","",IF(OR(D122="",K122=""),"",ROUND(D122*K122,2)))</f>
        <v>0</v>
      </c>
      <c r="M122" s="33">
        <f>IF(A122="","",IFERROR(L122/SUMIFS('Waste Log'!$L$5:$L$204,'Waste Log'!$B$5:$B$204,B122),""))</f>
        <v>0</v>
      </c>
      <c r="N122" s="43">
        <f>IF(A122="","",IF(B122="","Add - which material?",IF(D122="","Add - how much?",IF(K122="","Check - that material has no price",IF(G122="Yes","Avoidable - worth a second look","Logged")))))</f>
        <v>0</v>
      </c>
    </row>
    <row r="123" spans="3:14">
      <c r="C123" s="13">
        <f>IF(B123="","",IFERROR(INDEX(Materials!$B$5:$B$254,MATCH(B123,Materials!$A$5:$A$254,0)),"Add to Materials"))</f>
        <v>0</v>
      </c>
      <c r="I123" s="13">
        <f>IF(A123="","",TEXT(A123,"yyyy-mm"))</f>
        <v>0</v>
      </c>
      <c r="J123" s="13">
        <f>IF(B123="","",IFERROR(INDEX(Materials!$H$5:$H$254,MATCH(B123,Materials!$A$5:$A$254,0)),"Add to Materials"))</f>
        <v>0</v>
      </c>
      <c r="K123" s="45">
        <f>IF(B123="","",IFERROR(INDEX(Materials!$S$5:$S$254,MATCH(B123,Materials!$A$5:$A$254,0)),""))</f>
        <v>0</v>
      </c>
      <c r="L123" s="20">
        <f>IF(A123="","",IF(OR(D123="",K123=""),"",ROUND(D123*K123,2)))</f>
        <v>0</v>
      </c>
      <c r="M123" s="33">
        <f>IF(A123="","",IFERROR(L123/SUMIFS('Waste Log'!$L$5:$L$204,'Waste Log'!$B$5:$B$204,B123),""))</f>
        <v>0</v>
      </c>
      <c r="N123" s="43">
        <f>IF(A123="","",IF(B123="","Add - which material?",IF(D123="","Add - how much?",IF(K123="","Check - that material has no price",IF(G123="Yes","Avoidable - worth a second look","Logged")))))</f>
        <v>0</v>
      </c>
    </row>
    <row r="124" spans="3:14">
      <c r="C124" s="13">
        <f>IF(B124="","",IFERROR(INDEX(Materials!$B$5:$B$254,MATCH(B124,Materials!$A$5:$A$254,0)),"Add to Materials"))</f>
        <v>0</v>
      </c>
      <c r="I124" s="13">
        <f>IF(A124="","",TEXT(A124,"yyyy-mm"))</f>
        <v>0</v>
      </c>
      <c r="J124" s="13">
        <f>IF(B124="","",IFERROR(INDEX(Materials!$H$5:$H$254,MATCH(B124,Materials!$A$5:$A$254,0)),"Add to Materials"))</f>
        <v>0</v>
      </c>
      <c r="K124" s="45">
        <f>IF(B124="","",IFERROR(INDEX(Materials!$S$5:$S$254,MATCH(B124,Materials!$A$5:$A$254,0)),""))</f>
        <v>0</v>
      </c>
      <c r="L124" s="20">
        <f>IF(A124="","",IF(OR(D124="",K124=""),"",ROUND(D124*K124,2)))</f>
        <v>0</v>
      </c>
      <c r="M124" s="33">
        <f>IF(A124="","",IFERROR(L124/SUMIFS('Waste Log'!$L$5:$L$204,'Waste Log'!$B$5:$B$204,B124),""))</f>
        <v>0</v>
      </c>
      <c r="N124" s="43">
        <f>IF(A124="","",IF(B124="","Add - which material?",IF(D124="","Add - how much?",IF(K124="","Check - that material has no price",IF(G124="Yes","Avoidable - worth a second look","Logged")))))</f>
        <v>0</v>
      </c>
    </row>
    <row r="125" spans="3:14">
      <c r="C125" s="13">
        <f>IF(B125="","",IFERROR(INDEX(Materials!$B$5:$B$254,MATCH(B125,Materials!$A$5:$A$254,0)),"Add to Materials"))</f>
        <v>0</v>
      </c>
      <c r="I125" s="13">
        <f>IF(A125="","",TEXT(A125,"yyyy-mm"))</f>
        <v>0</v>
      </c>
      <c r="J125" s="13">
        <f>IF(B125="","",IFERROR(INDEX(Materials!$H$5:$H$254,MATCH(B125,Materials!$A$5:$A$254,0)),"Add to Materials"))</f>
        <v>0</v>
      </c>
      <c r="K125" s="45">
        <f>IF(B125="","",IFERROR(INDEX(Materials!$S$5:$S$254,MATCH(B125,Materials!$A$5:$A$254,0)),""))</f>
        <v>0</v>
      </c>
      <c r="L125" s="20">
        <f>IF(A125="","",IF(OR(D125="",K125=""),"",ROUND(D125*K125,2)))</f>
        <v>0</v>
      </c>
      <c r="M125" s="33">
        <f>IF(A125="","",IFERROR(L125/SUMIFS('Waste Log'!$L$5:$L$204,'Waste Log'!$B$5:$B$204,B125),""))</f>
        <v>0</v>
      </c>
      <c r="N125" s="43">
        <f>IF(A125="","",IF(B125="","Add - which material?",IF(D125="","Add - how much?",IF(K125="","Check - that material has no price",IF(G125="Yes","Avoidable - worth a second look","Logged")))))</f>
        <v>0</v>
      </c>
    </row>
    <row r="126" spans="3:14">
      <c r="C126" s="13">
        <f>IF(B126="","",IFERROR(INDEX(Materials!$B$5:$B$254,MATCH(B126,Materials!$A$5:$A$254,0)),"Add to Materials"))</f>
        <v>0</v>
      </c>
      <c r="I126" s="13">
        <f>IF(A126="","",TEXT(A126,"yyyy-mm"))</f>
        <v>0</v>
      </c>
      <c r="J126" s="13">
        <f>IF(B126="","",IFERROR(INDEX(Materials!$H$5:$H$254,MATCH(B126,Materials!$A$5:$A$254,0)),"Add to Materials"))</f>
        <v>0</v>
      </c>
      <c r="K126" s="45">
        <f>IF(B126="","",IFERROR(INDEX(Materials!$S$5:$S$254,MATCH(B126,Materials!$A$5:$A$254,0)),""))</f>
        <v>0</v>
      </c>
      <c r="L126" s="20">
        <f>IF(A126="","",IF(OR(D126="",K126=""),"",ROUND(D126*K126,2)))</f>
        <v>0</v>
      </c>
      <c r="M126" s="33">
        <f>IF(A126="","",IFERROR(L126/SUMIFS('Waste Log'!$L$5:$L$204,'Waste Log'!$B$5:$B$204,B126),""))</f>
        <v>0</v>
      </c>
      <c r="N126" s="43">
        <f>IF(A126="","",IF(B126="","Add - which material?",IF(D126="","Add - how much?",IF(K126="","Check - that material has no price",IF(G126="Yes","Avoidable - worth a second look","Logged")))))</f>
        <v>0</v>
      </c>
    </row>
    <row r="127" spans="3:14">
      <c r="C127" s="13">
        <f>IF(B127="","",IFERROR(INDEX(Materials!$B$5:$B$254,MATCH(B127,Materials!$A$5:$A$254,0)),"Add to Materials"))</f>
        <v>0</v>
      </c>
      <c r="I127" s="13">
        <f>IF(A127="","",TEXT(A127,"yyyy-mm"))</f>
        <v>0</v>
      </c>
      <c r="J127" s="13">
        <f>IF(B127="","",IFERROR(INDEX(Materials!$H$5:$H$254,MATCH(B127,Materials!$A$5:$A$254,0)),"Add to Materials"))</f>
        <v>0</v>
      </c>
      <c r="K127" s="45">
        <f>IF(B127="","",IFERROR(INDEX(Materials!$S$5:$S$254,MATCH(B127,Materials!$A$5:$A$254,0)),""))</f>
        <v>0</v>
      </c>
      <c r="L127" s="20">
        <f>IF(A127="","",IF(OR(D127="",K127=""),"",ROUND(D127*K127,2)))</f>
        <v>0</v>
      </c>
      <c r="M127" s="33">
        <f>IF(A127="","",IFERROR(L127/SUMIFS('Waste Log'!$L$5:$L$204,'Waste Log'!$B$5:$B$204,B127),""))</f>
        <v>0</v>
      </c>
      <c r="N127" s="43">
        <f>IF(A127="","",IF(B127="","Add - which material?",IF(D127="","Add - how much?",IF(K127="","Check - that material has no price",IF(G127="Yes","Avoidable - worth a second look","Logged")))))</f>
        <v>0</v>
      </c>
    </row>
    <row r="128" spans="3:14">
      <c r="C128" s="13">
        <f>IF(B128="","",IFERROR(INDEX(Materials!$B$5:$B$254,MATCH(B128,Materials!$A$5:$A$254,0)),"Add to Materials"))</f>
        <v>0</v>
      </c>
      <c r="I128" s="13">
        <f>IF(A128="","",TEXT(A128,"yyyy-mm"))</f>
        <v>0</v>
      </c>
      <c r="J128" s="13">
        <f>IF(B128="","",IFERROR(INDEX(Materials!$H$5:$H$254,MATCH(B128,Materials!$A$5:$A$254,0)),"Add to Materials"))</f>
        <v>0</v>
      </c>
      <c r="K128" s="45">
        <f>IF(B128="","",IFERROR(INDEX(Materials!$S$5:$S$254,MATCH(B128,Materials!$A$5:$A$254,0)),""))</f>
        <v>0</v>
      </c>
      <c r="L128" s="20">
        <f>IF(A128="","",IF(OR(D128="",K128=""),"",ROUND(D128*K128,2)))</f>
        <v>0</v>
      </c>
      <c r="M128" s="33">
        <f>IF(A128="","",IFERROR(L128/SUMIFS('Waste Log'!$L$5:$L$204,'Waste Log'!$B$5:$B$204,B128),""))</f>
        <v>0</v>
      </c>
      <c r="N128" s="43">
        <f>IF(A128="","",IF(B128="","Add - which material?",IF(D128="","Add - how much?",IF(K128="","Check - that material has no price",IF(G128="Yes","Avoidable - worth a second look","Logged")))))</f>
        <v>0</v>
      </c>
    </row>
    <row r="129" spans="3:14">
      <c r="C129" s="13">
        <f>IF(B129="","",IFERROR(INDEX(Materials!$B$5:$B$254,MATCH(B129,Materials!$A$5:$A$254,0)),"Add to Materials"))</f>
        <v>0</v>
      </c>
      <c r="I129" s="13">
        <f>IF(A129="","",TEXT(A129,"yyyy-mm"))</f>
        <v>0</v>
      </c>
      <c r="J129" s="13">
        <f>IF(B129="","",IFERROR(INDEX(Materials!$H$5:$H$254,MATCH(B129,Materials!$A$5:$A$254,0)),"Add to Materials"))</f>
        <v>0</v>
      </c>
      <c r="K129" s="45">
        <f>IF(B129="","",IFERROR(INDEX(Materials!$S$5:$S$254,MATCH(B129,Materials!$A$5:$A$254,0)),""))</f>
        <v>0</v>
      </c>
      <c r="L129" s="20">
        <f>IF(A129="","",IF(OR(D129="",K129=""),"",ROUND(D129*K129,2)))</f>
        <v>0</v>
      </c>
      <c r="M129" s="33">
        <f>IF(A129="","",IFERROR(L129/SUMIFS('Waste Log'!$L$5:$L$204,'Waste Log'!$B$5:$B$204,B129),""))</f>
        <v>0</v>
      </c>
      <c r="N129" s="43">
        <f>IF(A129="","",IF(B129="","Add - which material?",IF(D129="","Add - how much?",IF(K129="","Check - that material has no price",IF(G129="Yes","Avoidable - worth a second look","Logged")))))</f>
        <v>0</v>
      </c>
    </row>
    <row r="130" spans="3:14">
      <c r="C130" s="13">
        <f>IF(B130="","",IFERROR(INDEX(Materials!$B$5:$B$254,MATCH(B130,Materials!$A$5:$A$254,0)),"Add to Materials"))</f>
        <v>0</v>
      </c>
      <c r="I130" s="13">
        <f>IF(A130="","",TEXT(A130,"yyyy-mm"))</f>
        <v>0</v>
      </c>
      <c r="J130" s="13">
        <f>IF(B130="","",IFERROR(INDEX(Materials!$H$5:$H$254,MATCH(B130,Materials!$A$5:$A$254,0)),"Add to Materials"))</f>
        <v>0</v>
      </c>
      <c r="K130" s="45">
        <f>IF(B130="","",IFERROR(INDEX(Materials!$S$5:$S$254,MATCH(B130,Materials!$A$5:$A$254,0)),""))</f>
        <v>0</v>
      </c>
      <c r="L130" s="20">
        <f>IF(A130="","",IF(OR(D130="",K130=""),"",ROUND(D130*K130,2)))</f>
        <v>0</v>
      </c>
      <c r="M130" s="33">
        <f>IF(A130="","",IFERROR(L130/SUMIFS('Waste Log'!$L$5:$L$204,'Waste Log'!$B$5:$B$204,B130),""))</f>
        <v>0</v>
      </c>
      <c r="N130" s="43">
        <f>IF(A130="","",IF(B130="","Add - which material?",IF(D130="","Add - how much?",IF(K130="","Check - that material has no price",IF(G130="Yes","Avoidable - worth a second look","Logged")))))</f>
        <v>0</v>
      </c>
    </row>
    <row r="131" spans="3:14">
      <c r="C131" s="13">
        <f>IF(B131="","",IFERROR(INDEX(Materials!$B$5:$B$254,MATCH(B131,Materials!$A$5:$A$254,0)),"Add to Materials"))</f>
        <v>0</v>
      </c>
      <c r="I131" s="13">
        <f>IF(A131="","",TEXT(A131,"yyyy-mm"))</f>
        <v>0</v>
      </c>
      <c r="J131" s="13">
        <f>IF(B131="","",IFERROR(INDEX(Materials!$H$5:$H$254,MATCH(B131,Materials!$A$5:$A$254,0)),"Add to Materials"))</f>
        <v>0</v>
      </c>
      <c r="K131" s="45">
        <f>IF(B131="","",IFERROR(INDEX(Materials!$S$5:$S$254,MATCH(B131,Materials!$A$5:$A$254,0)),""))</f>
        <v>0</v>
      </c>
      <c r="L131" s="20">
        <f>IF(A131="","",IF(OR(D131="",K131=""),"",ROUND(D131*K131,2)))</f>
        <v>0</v>
      </c>
      <c r="M131" s="33">
        <f>IF(A131="","",IFERROR(L131/SUMIFS('Waste Log'!$L$5:$L$204,'Waste Log'!$B$5:$B$204,B131),""))</f>
        <v>0</v>
      </c>
      <c r="N131" s="43">
        <f>IF(A131="","",IF(B131="","Add - which material?",IF(D131="","Add - how much?",IF(K131="","Check - that material has no price",IF(G131="Yes","Avoidable - worth a second look","Logged")))))</f>
        <v>0</v>
      </c>
    </row>
    <row r="132" spans="3:14">
      <c r="C132" s="13">
        <f>IF(B132="","",IFERROR(INDEX(Materials!$B$5:$B$254,MATCH(B132,Materials!$A$5:$A$254,0)),"Add to Materials"))</f>
        <v>0</v>
      </c>
      <c r="I132" s="13">
        <f>IF(A132="","",TEXT(A132,"yyyy-mm"))</f>
        <v>0</v>
      </c>
      <c r="J132" s="13">
        <f>IF(B132="","",IFERROR(INDEX(Materials!$H$5:$H$254,MATCH(B132,Materials!$A$5:$A$254,0)),"Add to Materials"))</f>
        <v>0</v>
      </c>
      <c r="K132" s="45">
        <f>IF(B132="","",IFERROR(INDEX(Materials!$S$5:$S$254,MATCH(B132,Materials!$A$5:$A$254,0)),""))</f>
        <v>0</v>
      </c>
      <c r="L132" s="20">
        <f>IF(A132="","",IF(OR(D132="",K132=""),"",ROUND(D132*K132,2)))</f>
        <v>0</v>
      </c>
      <c r="M132" s="33">
        <f>IF(A132="","",IFERROR(L132/SUMIFS('Waste Log'!$L$5:$L$204,'Waste Log'!$B$5:$B$204,B132),""))</f>
        <v>0</v>
      </c>
      <c r="N132" s="43">
        <f>IF(A132="","",IF(B132="","Add - which material?",IF(D132="","Add - how much?",IF(K132="","Check - that material has no price",IF(G132="Yes","Avoidable - worth a second look","Logged")))))</f>
        <v>0</v>
      </c>
    </row>
    <row r="133" spans="3:14">
      <c r="C133" s="13">
        <f>IF(B133="","",IFERROR(INDEX(Materials!$B$5:$B$254,MATCH(B133,Materials!$A$5:$A$254,0)),"Add to Materials"))</f>
        <v>0</v>
      </c>
      <c r="I133" s="13">
        <f>IF(A133="","",TEXT(A133,"yyyy-mm"))</f>
        <v>0</v>
      </c>
      <c r="J133" s="13">
        <f>IF(B133="","",IFERROR(INDEX(Materials!$H$5:$H$254,MATCH(B133,Materials!$A$5:$A$254,0)),"Add to Materials"))</f>
        <v>0</v>
      </c>
      <c r="K133" s="45">
        <f>IF(B133="","",IFERROR(INDEX(Materials!$S$5:$S$254,MATCH(B133,Materials!$A$5:$A$254,0)),""))</f>
        <v>0</v>
      </c>
      <c r="L133" s="20">
        <f>IF(A133="","",IF(OR(D133="",K133=""),"",ROUND(D133*K133,2)))</f>
        <v>0</v>
      </c>
      <c r="M133" s="33">
        <f>IF(A133="","",IFERROR(L133/SUMIFS('Waste Log'!$L$5:$L$204,'Waste Log'!$B$5:$B$204,B133),""))</f>
        <v>0</v>
      </c>
      <c r="N133" s="43">
        <f>IF(A133="","",IF(B133="","Add - which material?",IF(D133="","Add - how much?",IF(K133="","Check - that material has no price",IF(G133="Yes","Avoidable - worth a second look","Logged")))))</f>
        <v>0</v>
      </c>
    </row>
    <row r="134" spans="3:14">
      <c r="C134" s="13">
        <f>IF(B134="","",IFERROR(INDEX(Materials!$B$5:$B$254,MATCH(B134,Materials!$A$5:$A$254,0)),"Add to Materials"))</f>
        <v>0</v>
      </c>
      <c r="I134" s="13">
        <f>IF(A134="","",TEXT(A134,"yyyy-mm"))</f>
        <v>0</v>
      </c>
      <c r="J134" s="13">
        <f>IF(B134="","",IFERROR(INDEX(Materials!$H$5:$H$254,MATCH(B134,Materials!$A$5:$A$254,0)),"Add to Materials"))</f>
        <v>0</v>
      </c>
      <c r="K134" s="45">
        <f>IF(B134="","",IFERROR(INDEX(Materials!$S$5:$S$254,MATCH(B134,Materials!$A$5:$A$254,0)),""))</f>
        <v>0</v>
      </c>
      <c r="L134" s="20">
        <f>IF(A134="","",IF(OR(D134="",K134=""),"",ROUND(D134*K134,2)))</f>
        <v>0</v>
      </c>
      <c r="M134" s="33">
        <f>IF(A134="","",IFERROR(L134/SUMIFS('Waste Log'!$L$5:$L$204,'Waste Log'!$B$5:$B$204,B134),""))</f>
        <v>0</v>
      </c>
      <c r="N134" s="43">
        <f>IF(A134="","",IF(B134="","Add - which material?",IF(D134="","Add - how much?",IF(K134="","Check - that material has no price",IF(G134="Yes","Avoidable - worth a second look","Logged")))))</f>
        <v>0</v>
      </c>
    </row>
    <row r="135" spans="3:14">
      <c r="C135" s="13">
        <f>IF(B135="","",IFERROR(INDEX(Materials!$B$5:$B$254,MATCH(B135,Materials!$A$5:$A$254,0)),"Add to Materials"))</f>
        <v>0</v>
      </c>
      <c r="I135" s="13">
        <f>IF(A135="","",TEXT(A135,"yyyy-mm"))</f>
        <v>0</v>
      </c>
      <c r="J135" s="13">
        <f>IF(B135="","",IFERROR(INDEX(Materials!$H$5:$H$254,MATCH(B135,Materials!$A$5:$A$254,0)),"Add to Materials"))</f>
        <v>0</v>
      </c>
      <c r="K135" s="45">
        <f>IF(B135="","",IFERROR(INDEX(Materials!$S$5:$S$254,MATCH(B135,Materials!$A$5:$A$254,0)),""))</f>
        <v>0</v>
      </c>
      <c r="L135" s="20">
        <f>IF(A135="","",IF(OR(D135="",K135=""),"",ROUND(D135*K135,2)))</f>
        <v>0</v>
      </c>
      <c r="M135" s="33">
        <f>IF(A135="","",IFERROR(L135/SUMIFS('Waste Log'!$L$5:$L$204,'Waste Log'!$B$5:$B$204,B135),""))</f>
        <v>0</v>
      </c>
      <c r="N135" s="43">
        <f>IF(A135="","",IF(B135="","Add - which material?",IF(D135="","Add - how much?",IF(K135="","Check - that material has no price",IF(G135="Yes","Avoidable - worth a second look","Logged")))))</f>
        <v>0</v>
      </c>
    </row>
    <row r="136" spans="3:14">
      <c r="C136" s="13">
        <f>IF(B136="","",IFERROR(INDEX(Materials!$B$5:$B$254,MATCH(B136,Materials!$A$5:$A$254,0)),"Add to Materials"))</f>
        <v>0</v>
      </c>
      <c r="I136" s="13">
        <f>IF(A136="","",TEXT(A136,"yyyy-mm"))</f>
        <v>0</v>
      </c>
      <c r="J136" s="13">
        <f>IF(B136="","",IFERROR(INDEX(Materials!$H$5:$H$254,MATCH(B136,Materials!$A$5:$A$254,0)),"Add to Materials"))</f>
        <v>0</v>
      </c>
      <c r="K136" s="45">
        <f>IF(B136="","",IFERROR(INDEX(Materials!$S$5:$S$254,MATCH(B136,Materials!$A$5:$A$254,0)),""))</f>
        <v>0</v>
      </c>
      <c r="L136" s="20">
        <f>IF(A136="","",IF(OR(D136="",K136=""),"",ROUND(D136*K136,2)))</f>
        <v>0</v>
      </c>
      <c r="M136" s="33">
        <f>IF(A136="","",IFERROR(L136/SUMIFS('Waste Log'!$L$5:$L$204,'Waste Log'!$B$5:$B$204,B136),""))</f>
        <v>0</v>
      </c>
      <c r="N136" s="43">
        <f>IF(A136="","",IF(B136="","Add - which material?",IF(D136="","Add - how much?",IF(K136="","Check - that material has no price",IF(G136="Yes","Avoidable - worth a second look","Logged")))))</f>
        <v>0</v>
      </c>
    </row>
    <row r="137" spans="3:14">
      <c r="C137" s="13">
        <f>IF(B137="","",IFERROR(INDEX(Materials!$B$5:$B$254,MATCH(B137,Materials!$A$5:$A$254,0)),"Add to Materials"))</f>
        <v>0</v>
      </c>
      <c r="I137" s="13">
        <f>IF(A137="","",TEXT(A137,"yyyy-mm"))</f>
        <v>0</v>
      </c>
      <c r="J137" s="13">
        <f>IF(B137="","",IFERROR(INDEX(Materials!$H$5:$H$254,MATCH(B137,Materials!$A$5:$A$254,0)),"Add to Materials"))</f>
        <v>0</v>
      </c>
      <c r="K137" s="45">
        <f>IF(B137="","",IFERROR(INDEX(Materials!$S$5:$S$254,MATCH(B137,Materials!$A$5:$A$254,0)),""))</f>
        <v>0</v>
      </c>
      <c r="L137" s="20">
        <f>IF(A137="","",IF(OR(D137="",K137=""),"",ROUND(D137*K137,2)))</f>
        <v>0</v>
      </c>
      <c r="M137" s="33">
        <f>IF(A137="","",IFERROR(L137/SUMIFS('Waste Log'!$L$5:$L$204,'Waste Log'!$B$5:$B$204,B137),""))</f>
        <v>0</v>
      </c>
      <c r="N137" s="43">
        <f>IF(A137="","",IF(B137="","Add - which material?",IF(D137="","Add - how much?",IF(K137="","Check - that material has no price",IF(G137="Yes","Avoidable - worth a second look","Logged")))))</f>
        <v>0</v>
      </c>
    </row>
    <row r="138" spans="3:14">
      <c r="C138" s="13">
        <f>IF(B138="","",IFERROR(INDEX(Materials!$B$5:$B$254,MATCH(B138,Materials!$A$5:$A$254,0)),"Add to Materials"))</f>
        <v>0</v>
      </c>
      <c r="I138" s="13">
        <f>IF(A138="","",TEXT(A138,"yyyy-mm"))</f>
        <v>0</v>
      </c>
      <c r="J138" s="13">
        <f>IF(B138="","",IFERROR(INDEX(Materials!$H$5:$H$254,MATCH(B138,Materials!$A$5:$A$254,0)),"Add to Materials"))</f>
        <v>0</v>
      </c>
      <c r="K138" s="45">
        <f>IF(B138="","",IFERROR(INDEX(Materials!$S$5:$S$254,MATCH(B138,Materials!$A$5:$A$254,0)),""))</f>
        <v>0</v>
      </c>
      <c r="L138" s="20">
        <f>IF(A138="","",IF(OR(D138="",K138=""),"",ROUND(D138*K138,2)))</f>
        <v>0</v>
      </c>
      <c r="M138" s="33">
        <f>IF(A138="","",IFERROR(L138/SUMIFS('Waste Log'!$L$5:$L$204,'Waste Log'!$B$5:$B$204,B138),""))</f>
        <v>0</v>
      </c>
      <c r="N138" s="43">
        <f>IF(A138="","",IF(B138="","Add - which material?",IF(D138="","Add - how much?",IF(K138="","Check - that material has no price",IF(G138="Yes","Avoidable - worth a second look","Logged")))))</f>
        <v>0</v>
      </c>
    </row>
    <row r="139" spans="3:14">
      <c r="C139" s="13">
        <f>IF(B139="","",IFERROR(INDEX(Materials!$B$5:$B$254,MATCH(B139,Materials!$A$5:$A$254,0)),"Add to Materials"))</f>
        <v>0</v>
      </c>
      <c r="I139" s="13">
        <f>IF(A139="","",TEXT(A139,"yyyy-mm"))</f>
        <v>0</v>
      </c>
      <c r="J139" s="13">
        <f>IF(B139="","",IFERROR(INDEX(Materials!$H$5:$H$254,MATCH(B139,Materials!$A$5:$A$254,0)),"Add to Materials"))</f>
        <v>0</v>
      </c>
      <c r="K139" s="45">
        <f>IF(B139="","",IFERROR(INDEX(Materials!$S$5:$S$254,MATCH(B139,Materials!$A$5:$A$254,0)),""))</f>
        <v>0</v>
      </c>
      <c r="L139" s="20">
        <f>IF(A139="","",IF(OR(D139="",K139=""),"",ROUND(D139*K139,2)))</f>
        <v>0</v>
      </c>
      <c r="M139" s="33">
        <f>IF(A139="","",IFERROR(L139/SUMIFS('Waste Log'!$L$5:$L$204,'Waste Log'!$B$5:$B$204,B139),""))</f>
        <v>0</v>
      </c>
      <c r="N139" s="43">
        <f>IF(A139="","",IF(B139="","Add - which material?",IF(D139="","Add - how much?",IF(K139="","Check - that material has no price",IF(G139="Yes","Avoidable - worth a second look","Logged")))))</f>
        <v>0</v>
      </c>
    </row>
    <row r="140" spans="3:14">
      <c r="C140" s="13">
        <f>IF(B140="","",IFERROR(INDEX(Materials!$B$5:$B$254,MATCH(B140,Materials!$A$5:$A$254,0)),"Add to Materials"))</f>
        <v>0</v>
      </c>
      <c r="I140" s="13">
        <f>IF(A140="","",TEXT(A140,"yyyy-mm"))</f>
        <v>0</v>
      </c>
      <c r="J140" s="13">
        <f>IF(B140="","",IFERROR(INDEX(Materials!$H$5:$H$254,MATCH(B140,Materials!$A$5:$A$254,0)),"Add to Materials"))</f>
        <v>0</v>
      </c>
      <c r="K140" s="45">
        <f>IF(B140="","",IFERROR(INDEX(Materials!$S$5:$S$254,MATCH(B140,Materials!$A$5:$A$254,0)),""))</f>
        <v>0</v>
      </c>
      <c r="L140" s="20">
        <f>IF(A140="","",IF(OR(D140="",K140=""),"",ROUND(D140*K140,2)))</f>
        <v>0</v>
      </c>
      <c r="M140" s="33">
        <f>IF(A140="","",IFERROR(L140/SUMIFS('Waste Log'!$L$5:$L$204,'Waste Log'!$B$5:$B$204,B140),""))</f>
        <v>0</v>
      </c>
      <c r="N140" s="43">
        <f>IF(A140="","",IF(B140="","Add - which material?",IF(D140="","Add - how much?",IF(K140="","Check - that material has no price",IF(G140="Yes","Avoidable - worth a second look","Logged")))))</f>
        <v>0</v>
      </c>
    </row>
    <row r="141" spans="3:14">
      <c r="C141" s="13">
        <f>IF(B141="","",IFERROR(INDEX(Materials!$B$5:$B$254,MATCH(B141,Materials!$A$5:$A$254,0)),"Add to Materials"))</f>
        <v>0</v>
      </c>
      <c r="I141" s="13">
        <f>IF(A141="","",TEXT(A141,"yyyy-mm"))</f>
        <v>0</v>
      </c>
      <c r="J141" s="13">
        <f>IF(B141="","",IFERROR(INDEX(Materials!$H$5:$H$254,MATCH(B141,Materials!$A$5:$A$254,0)),"Add to Materials"))</f>
        <v>0</v>
      </c>
      <c r="K141" s="45">
        <f>IF(B141="","",IFERROR(INDEX(Materials!$S$5:$S$254,MATCH(B141,Materials!$A$5:$A$254,0)),""))</f>
        <v>0</v>
      </c>
      <c r="L141" s="20">
        <f>IF(A141="","",IF(OR(D141="",K141=""),"",ROUND(D141*K141,2)))</f>
        <v>0</v>
      </c>
      <c r="M141" s="33">
        <f>IF(A141="","",IFERROR(L141/SUMIFS('Waste Log'!$L$5:$L$204,'Waste Log'!$B$5:$B$204,B141),""))</f>
        <v>0</v>
      </c>
      <c r="N141" s="43">
        <f>IF(A141="","",IF(B141="","Add - which material?",IF(D141="","Add - how much?",IF(K141="","Check - that material has no price",IF(G141="Yes","Avoidable - worth a second look","Logged")))))</f>
        <v>0</v>
      </c>
    </row>
    <row r="142" spans="3:14">
      <c r="C142" s="13">
        <f>IF(B142="","",IFERROR(INDEX(Materials!$B$5:$B$254,MATCH(B142,Materials!$A$5:$A$254,0)),"Add to Materials"))</f>
        <v>0</v>
      </c>
      <c r="I142" s="13">
        <f>IF(A142="","",TEXT(A142,"yyyy-mm"))</f>
        <v>0</v>
      </c>
      <c r="J142" s="13">
        <f>IF(B142="","",IFERROR(INDEX(Materials!$H$5:$H$254,MATCH(B142,Materials!$A$5:$A$254,0)),"Add to Materials"))</f>
        <v>0</v>
      </c>
      <c r="K142" s="45">
        <f>IF(B142="","",IFERROR(INDEX(Materials!$S$5:$S$254,MATCH(B142,Materials!$A$5:$A$254,0)),""))</f>
        <v>0</v>
      </c>
      <c r="L142" s="20">
        <f>IF(A142="","",IF(OR(D142="",K142=""),"",ROUND(D142*K142,2)))</f>
        <v>0</v>
      </c>
      <c r="M142" s="33">
        <f>IF(A142="","",IFERROR(L142/SUMIFS('Waste Log'!$L$5:$L$204,'Waste Log'!$B$5:$B$204,B142),""))</f>
        <v>0</v>
      </c>
      <c r="N142" s="43">
        <f>IF(A142="","",IF(B142="","Add - which material?",IF(D142="","Add - how much?",IF(K142="","Check - that material has no price",IF(G142="Yes","Avoidable - worth a second look","Logged")))))</f>
        <v>0</v>
      </c>
    </row>
    <row r="143" spans="3:14">
      <c r="C143" s="13">
        <f>IF(B143="","",IFERROR(INDEX(Materials!$B$5:$B$254,MATCH(B143,Materials!$A$5:$A$254,0)),"Add to Materials"))</f>
        <v>0</v>
      </c>
      <c r="I143" s="13">
        <f>IF(A143="","",TEXT(A143,"yyyy-mm"))</f>
        <v>0</v>
      </c>
      <c r="J143" s="13">
        <f>IF(B143="","",IFERROR(INDEX(Materials!$H$5:$H$254,MATCH(B143,Materials!$A$5:$A$254,0)),"Add to Materials"))</f>
        <v>0</v>
      </c>
      <c r="K143" s="45">
        <f>IF(B143="","",IFERROR(INDEX(Materials!$S$5:$S$254,MATCH(B143,Materials!$A$5:$A$254,0)),""))</f>
        <v>0</v>
      </c>
      <c r="L143" s="20">
        <f>IF(A143="","",IF(OR(D143="",K143=""),"",ROUND(D143*K143,2)))</f>
        <v>0</v>
      </c>
      <c r="M143" s="33">
        <f>IF(A143="","",IFERROR(L143/SUMIFS('Waste Log'!$L$5:$L$204,'Waste Log'!$B$5:$B$204,B143),""))</f>
        <v>0</v>
      </c>
      <c r="N143" s="43">
        <f>IF(A143="","",IF(B143="","Add - which material?",IF(D143="","Add - how much?",IF(K143="","Check - that material has no price",IF(G143="Yes","Avoidable - worth a second look","Logged")))))</f>
        <v>0</v>
      </c>
    </row>
    <row r="144" spans="3:14">
      <c r="C144" s="13">
        <f>IF(B144="","",IFERROR(INDEX(Materials!$B$5:$B$254,MATCH(B144,Materials!$A$5:$A$254,0)),"Add to Materials"))</f>
        <v>0</v>
      </c>
      <c r="I144" s="13">
        <f>IF(A144="","",TEXT(A144,"yyyy-mm"))</f>
        <v>0</v>
      </c>
      <c r="J144" s="13">
        <f>IF(B144="","",IFERROR(INDEX(Materials!$H$5:$H$254,MATCH(B144,Materials!$A$5:$A$254,0)),"Add to Materials"))</f>
        <v>0</v>
      </c>
      <c r="K144" s="45">
        <f>IF(B144="","",IFERROR(INDEX(Materials!$S$5:$S$254,MATCH(B144,Materials!$A$5:$A$254,0)),""))</f>
        <v>0</v>
      </c>
      <c r="L144" s="20">
        <f>IF(A144="","",IF(OR(D144="",K144=""),"",ROUND(D144*K144,2)))</f>
        <v>0</v>
      </c>
      <c r="M144" s="33">
        <f>IF(A144="","",IFERROR(L144/SUMIFS('Waste Log'!$L$5:$L$204,'Waste Log'!$B$5:$B$204,B144),""))</f>
        <v>0</v>
      </c>
      <c r="N144" s="43">
        <f>IF(A144="","",IF(B144="","Add - which material?",IF(D144="","Add - how much?",IF(K144="","Check - that material has no price",IF(G144="Yes","Avoidable - worth a second look","Logged")))))</f>
        <v>0</v>
      </c>
    </row>
    <row r="145" spans="3:14">
      <c r="C145" s="13">
        <f>IF(B145="","",IFERROR(INDEX(Materials!$B$5:$B$254,MATCH(B145,Materials!$A$5:$A$254,0)),"Add to Materials"))</f>
        <v>0</v>
      </c>
      <c r="I145" s="13">
        <f>IF(A145="","",TEXT(A145,"yyyy-mm"))</f>
        <v>0</v>
      </c>
      <c r="J145" s="13">
        <f>IF(B145="","",IFERROR(INDEX(Materials!$H$5:$H$254,MATCH(B145,Materials!$A$5:$A$254,0)),"Add to Materials"))</f>
        <v>0</v>
      </c>
      <c r="K145" s="45">
        <f>IF(B145="","",IFERROR(INDEX(Materials!$S$5:$S$254,MATCH(B145,Materials!$A$5:$A$254,0)),""))</f>
        <v>0</v>
      </c>
      <c r="L145" s="20">
        <f>IF(A145="","",IF(OR(D145="",K145=""),"",ROUND(D145*K145,2)))</f>
        <v>0</v>
      </c>
      <c r="M145" s="33">
        <f>IF(A145="","",IFERROR(L145/SUMIFS('Waste Log'!$L$5:$L$204,'Waste Log'!$B$5:$B$204,B145),""))</f>
        <v>0</v>
      </c>
      <c r="N145" s="43">
        <f>IF(A145="","",IF(B145="","Add - which material?",IF(D145="","Add - how much?",IF(K145="","Check - that material has no price",IF(G145="Yes","Avoidable - worth a second look","Logged")))))</f>
        <v>0</v>
      </c>
    </row>
    <row r="146" spans="3:14">
      <c r="C146" s="13">
        <f>IF(B146="","",IFERROR(INDEX(Materials!$B$5:$B$254,MATCH(B146,Materials!$A$5:$A$254,0)),"Add to Materials"))</f>
        <v>0</v>
      </c>
      <c r="I146" s="13">
        <f>IF(A146="","",TEXT(A146,"yyyy-mm"))</f>
        <v>0</v>
      </c>
      <c r="J146" s="13">
        <f>IF(B146="","",IFERROR(INDEX(Materials!$H$5:$H$254,MATCH(B146,Materials!$A$5:$A$254,0)),"Add to Materials"))</f>
        <v>0</v>
      </c>
      <c r="K146" s="45">
        <f>IF(B146="","",IFERROR(INDEX(Materials!$S$5:$S$254,MATCH(B146,Materials!$A$5:$A$254,0)),""))</f>
        <v>0</v>
      </c>
      <c r="L146" s="20">
        <f>IF(A146="","",IF(OR(D146="",K146=""),"",ROUND(D146*K146,2)))</f>
        <v>0</v>
      </c>
      <c r="M146" s="33">
        <f>IF(A146="","",IFERROR(L146/SUMIFS('Waste Log'!$L$5:$L$204,'Waste Log'!$B$5:$B$204,B146),""))</f>
        <v>0</v>
      </c>
      <c r="N146" s="43">
        <f>IF(A146="","",IF(B146="","Add - which material?",IF(D146="","Add - how much?",IF(K146="","Check - that material has no price",IF(G146="Yes","Avoidable - worth a second look","Logged")))))</f>
        <v>0</v>
      </c>
    </row>
    <row r="147" spans="3:14">
      <c r="C147" s="13">
        <f>IF(B147="","",IFERROR(INDEX(Materials!$B$5:$B$254,MATCH(B147,Materials!$A$5:$A$254,0)),"Add to Materials"))</f>
        <v>0</v>
      </c>
      <c r="I147" s="13">
        <f>IF(A147="","",TEXT(A147,"yyyy-mm"))</f>
        <v>0</v>
      </c>
      <c r="J147" s="13">
        <f>IF(B147="","",IFERROR(INDEX(Materials!$H$5:$H$254,MATCH(B147,Materials!$A$5:$A$254,0)),"Add to Materials"))</f>
        <v>0</v>
      </c>
      <c r="K147" s="45">
        <f>IF(B147="","",IFERROR(INDEX(Materials!$S$5:$S$254,MATCH(B147,Materials!$A$5:$A$254,0)),""))</f>
        <v>0</v>
      </c>
      <c r="L147" s="20">
        <f>IF(A147="","",IF(OR(D147="",K147=""),"",ROUND(D147*K147,2)))</f>
        <v>0</v>
      </c>
      <c r="M147" s="33">
        <f>IF(A147="","",IFERROR(L147/SUMIFS('Waste Log'!$L$5:$L$204,'Waste Log'!$B$5:$B$204,B147),""))</f>
        <v>0</v>
      </c>
      <c r="N147" s="43">
        <f>IF(A147="","",IF(B147="","Add - which material?",IF(D147="","Add - how much?",IF(K147="","Check - that material has no price",IF(G147="Yes","Avoidable - worth a second look","Logged")))))</f>
        <v>0</v>
      </c>
    </row>
    <row r="148" spans="3:14">
      <c r="C148" s="13">
        <f>IF(B148="","",IFERROR(INDEX(Materials!$B$5:$B$254,MATCH(B148,Materials!$A$5:$A$254,0)),"Add to Materials"))</f>
        <v>0</v>
      </c>
      <c r="I148" s="13">
        <f>IF(A148="","",TEXT(A148,"yyyy-mm"))</f>
        <v>0</v>
      </c>
      <c r="J148" s="13">
        <f>IF(B148="","",IFERROR(INDEX(Materials!$H$5:$H$254,MATCH(B148,Materials!$A$5:$A$254,0)),"Add to Materials"))</f>
        <v>0</v>
      </c>
      <c r="K148" s="45">
        <f>IF(B148="","",IFERROR(INDEX(Materials!$S$5:$S$254,MATCH(B148,Materials!$A$5:$A$254,0)),""))</f>
        <v>0</v>
      </c>
      <c r="L148" s="20">
        <f>IF(A148="","",IF(OR(D148="",K148=""),"",ROUND(D148*K148,2)))</f>
        <v>0</v>
      </c>
      <c r="M148" s="33">
        <f>IF(A148="","",IFERROR(L148/SUMIFS('Waste Log'!$L$5:$L$204,'Waste Log'!$B$5:$B$204,B148),""))</f>
        <v>0</v>
      </c>
      <c r="N148" s="43">
        <f>IF(A148="","",IF(B148="","Add - which material?",IF(D148="","Add - how much?",IF(K148="","Check - that material has no price",IF(G148="Yes","Avoidable - worth a second look","Logged")))))</f>
        <v>0</v>
      </c>
    </row>
    <row r="149" spans="3:14">
      <c r="C149" s="13">
        <f>IF(B149="","",IFERROR(INDEX(Materials!$B$5:$B$254,MATCH(B149,Materials!$A$5:$A$254,0)),"Add to Materials"))</f>
        <v>0</v>
      </c>
      <c r="I149" s="13">
        <f>IF(A149="","",TEXT(A149,"yyyy-mm"))</f>
        <v>0</v>
      </c>
      <c r="J149" s="13">
        <f>IF(B149="","",IFERROR(INDEX(Materials!$H$5:$H$254,MATCH(B149,Materials!$A$5:$A$254,0)),"Add to Materials"))</f>
        <v>0</v>
      </c>
      <c r="K149" s="45">
        <f>IF(B149="","",IFERROR(INDEX(Materials!$S$5:$S$254,MATCH(B149,Materials!$A$5:$A$254,0)),""))</f>
        <v>0</v>
      </c>
      <c r="L149" s="20">
        <f>IF(A149="","",IF(OR(D149="",K149=""),"",ROUND(D149*K149,2)))</f>
        <v>0</v>
      </c>
      <c r="M149" s="33">
        <f>IF(A149="","",IFERROR(L149/SUMIFS('Waste Log'!$L$5:$L$204,'Waste Log'!$B$5:$B$204,B149),""))</f>
        <v>0</v>
      </c>
      <c r="N149" s="43">
        <f>IF(A149="","",IF(B149="","Add - which material?",IF(D149="","Add - how much?",IF(K149="","Check - that material has no price",IF(G149="Yes","Avoidable - worth a second look","Logged")))))</f>
        <v>0</v>
      </c>
    </row>
    <row r="150" spans="3:14">
      <c r="C150" s="13">
        <f>IF(B150="","",IFERROR(INDEX(Materials!$B$5:$B$254,MATCH(B150,Materials!$A$5:$A$254,0)),"Add to Materials"))</f>
        <v>0</v>
      </c>
      <c r="I150" s="13">
        <f>IF(A150="","",TEXT(A150,"yyyy-mm"))</f>
        <v>0</v>
      </c>
      <c r="J150" s="13">
        <f>IF(B150="","",IFERROR(INDEX(Materials!$H$5:$H$254,MATCH(B150,Materials!$A$5:$A$254,0)),"Add to Materials"))</f>
        <v>0</v>
      </c>
      <c r="K150" s="45">
        <f>IF(B150="","",IFERROR(INDEX(Materials!$S$5:$S$254,MATCH(B150,Materials!$A$5:$A$254,0)),""))</f>
        <v>0</v>
      </c>
      <c r="L150" s="20">
        <f>IF(A150="","",IF(OR(D150="",K150=""),"",ROUND(D150*K150,2)))</f>
        <v>0</v>
      </c>
      <c r="M150" s="33">
        <f>IF(A150="","",IFERROR(L150/SUMIFS('Waste Log'!$L$5:$L$204,'Waste Log'!$B$5:$B$204,B150),""))</f>
        <v>0</v>
      </c>
      <c r="N150" s="43">
        <f>IF(A150="","",IF(B150="","Add - which material?",IF(D150="","Add - how much?",IF(K150="","Check - that material has no price",IF(G150="Yes","Avoidable - worth a second look","Logged")))))</f>
        <v>0</v>
      </c>
    </row>
    <row r="151" spans="3:14">
      <c r="C151" s="13">
        <f>IF(B151="","",IFERROR(INDEX(Materials!$B$5:$B$254,MATCH(B151,Materials!$A$5:$A$254,0)),"Add to Materials"))</f>
        <v>0</v>
      </c>
      <c r="I151" s="13">
        <f>IF(A151="","",TEXT(A151,"yyyy-mm"))</f>
        <v>0</v>
      </c>
      <c r="J151" s="13">
        <f>IF(B151="","",IFERROR(INDEX(Materials!$H$5:$H$254,MATCH(B151,Materials!$A$5:$A$254,0)),"Add to Materials"))</f>
        <v>0</v>
      </c>
      <c r="K151" s="45">
        <f>IF(B151="","",IFERROR(INDEX(Materials!$S$5:$S$254,MATCH(B151,Materials!$A$5:$A$254,0)),""))</f>
        <v>0</v>
      </c>
      <c r="L151" s="20">
        <f>IF(A151="","",IF(OR(D151="",K151=""),"",ROUND(D151*K151,2)))</f>
        <v>0</v>
      </c>
      <c r="M151" s="33">
        <f>IF(A151="","",IFERROR(L151/SUMIFS('Waste Log'!$L$5:$L$204,'Waste Log'!$B$5:$B$204,B151),""))</f>
        <v>0</v>
      </c>
      <c r="N151" s="43">
        <f>IF(A151="","",IF(B151="","Add - which material?",IF(D151="","Add - how much?",IF(K151="","Check - that material has no price",IF(G151="Yes","Avoidable - worth a second look","Logged")))))</f>
        <v>0</v>
      </c>
    </row>
    <row r="152" spans="3:14">
      <c r="C152" s="13">
        <f>IF(B152="","",IFERROR(INDEX(Materials!$B$5:$B$254,MATCH(B152,Materials!$A$5:$A$254,0)),"Add to Materials"))</f>
        <v>0</v>
      </c>
      <c r="I152" s="13">
        <f>IF(A152="","",TEXT(A152,"yyyy-mm"))</f>
        <v>0</v>
      </c>
      <c r="J152" s="13">
        <f>IF(B152="","",IFERROR(INDEX(Materials!$H$5:$H$254,MATCH(B152,Materials!$A$5:$A$254,0)),"Add to Materials"))</f>
        <v>0</v>
      </c>
      <c r="K152" s="45">
        <f>IF(B152="","",IFERROR(INDEX(Materials!$S$5:$S$254,MATCH(B152,Materials!$A$5:$A$254,0)),""))</f>
        <v>0</v>
      </c>
      <c r="L152" s="20">
        <f>IF(A152="","",IF(OR(D152="",K152=""),"",ROUND(D152*K152,2)))</f>
        <v>0</v>
      </c>
      <c r="M152" s="33">
        <f>IF(A152="","",IFERROR(L152/SUMIFS('Waste Log'!$L$5:$L$204,'Waste Log'!$B$5:$B$204,B152),""))</f>
        <v>0</v>
      </c>
      <c r="N152" s="43">
        <f>IF(A152="","",IF(B152="","Add - which material?",IF(D152="","Add - how much?",IF(K152="","Check - that material has no price",IF(G152="Yes","Avoidable - worth a second look","Logged")))))</f>
        <v>0</v>
      </c>
    </row>
    <row r="153" spans="3:14">
      <c r="C153" s="13">
        <f>IF(B153="","",IFERROR(INDEX(Materials!$B$5:$B$254,MATCH(B153,Materials!$A$5:$A$254,0)),"Add to Materials"))</f>
        <v>0</v>
      </c>
      <c r="I153" s="13">
        <f>IF(A153="","",TEXT(A153,"yyyy-mm"))</f>
        <v>0</v>
      </c>
      <c r="J153" s="13">
        <f>IF(B153="","",IFERROR(INDEX(Materials!$H$5:$H$254,MATCH(B153,Materials!$A$5:$A$254,0)),"Add to Materials"))</f>
        <v>0</v>
      </c>
      <c r="K153" s="45">
        <f>IF(B153="","",IFERROR(INDEX(Materials!$S$5:$S$254,MATCH(B153,Materials!$A$5:$A$254,0)),""))</f>
        <v>0</v>
      </c>
      <c r="L153" s="20">
        <f>IF(A153="","",IF(OR(D153="",K153=""),"",ROUND(D153*K153,2)))</f>
        <v>0</v>
      </c>
      <c r="M153" s="33">
        <f>IF(A153="","",IFERROR(L153/SUMIFS('Waste Log'!$L$5:$L$204,'Waste Log'!$B$5:$B$204,B153),""))</f>
        <v>0</v>
      </c>
      <c r="N153" s="43">
        <f>IF(A153="","",IF(B153="","Add - which material?",IF(D153="","Add - how much?",IF(K153="","Check - that material has no price",IF(G153="Yes","Avoidable - worth a second look","Logged")))))</f>
        <v>0</v>
      </c>
    </row>
    <row r="154" spans="3:14">
      <c r="C154" s="13">
        <f>IF(B154="","",IFERROR(INDEX(Materials!$B$5:$B$254,MATCH(B154,Materials!$A$5:$A$254,0)),"Add to Materials"))</f>
        <v>0</v>
      </c>
      <c r="I154" s="13">
        <f>IF(A154="","",TEXT(A154,"yyyy-mm"))</f>
        <v>0</v>
      </c>
      <c r="J154" s="13">
        <f>IF(B154="","",IFERROR(INDEX(Materials!$H$5:$H$254,MATCH(B154,Materials!$A$5:$A$254,0)),"Add to Materials"))</f>
        <v>0</v>
      </c>
      <c r="K154" s="45">
        <f>IF(B154="","",IFERROR(INDEX(Materials!$S$5:$S$254,MATCH(B154,Materials!$A$5:$A$254,0)),""))</f>
        <v>0</v>
      </c>
      <c r="L154" s="20">
        <f>IF(A154="","",IF(OR(D154="",K154=""),"",ROUND(D154*K154,2)))</f>
        <v>0</v>
      </c>
      <c r="M154" s="33">
        <f>IF(A154="","",IFERROR(L154/SUMIFS('Waste Log'!$L$5:$L$204,'Waste Log'!$B$5:$B$204,B154),""))</f>
        <v>0</v>
      </c>
      <c r="N154" s="43">
        <f>IF(A154="","",IF(B154="","Add - which material?",IF(D154="","Add - how much?",IF(K154="","Check - that material has no price",IF(G154="Yes","Avoidable - worth a second look","Logged")))))</f>
        <v>0</v>
      </c>
    </row>
    <row r="155" spans="3:14">
      <c r="C155" s="13">
        <f>IF(B155="","",IFERROR(INDEX(Materials!$B$5:$B$254,MATCH(B155,Materials!$A$5:$A$254,0)),"Add to Materials"))</f>
        <v>0</v>
      </c>
      <c r="I155" s="13">
        <f>IF(A155="","",TEXT(A155,"yyyy-mm"))</f>
        <v>0</v>
      </c>
      <c r="J155" s="13">
        <f>IF(B155="","",IFERROR(INDEX(Materials!$H$5:$H$254,MATCH(B155,Materials!$A$5:$A$254,0)),"Add to Materials"))</f>
        <v>0</v>
      </c>
      <c r="K155" s="45">
        <f>IF(B155="","",IFERROR(INDEX(Materials!$S$5:$S$254,MATCH(B155,Materials!$A$5:$A$254,0)),""))</f>
        <v>0</v>
      </c>
      <c r="L155" s="20">
        <f>IF(A155="","",IF(OR(D155="",K155=""),"",ROUND(D155*K155,2)))</f>
        <v>0</v>
      </c>
      <c r="M155" s="33">
        <f>IF(A155="","",IFERROR(L155/SUMIFS('Waste Log'!$L$5:$L$204,'Waste Log'!$B$5:$B$204,B155),""))</f>
        <v>0</v>
      </c>
      <c r="N155" s="43">
        <f>IF(A155="","",IF(B155="","Add - which material?",IF(D155="","Add - how much?",IF(K155="","Check - that material has no price",IF(G155="Yes","Avoidable - worth a second look","Logged")))))</f>
        <v>0</v>
      </c>
    </row>
    <row r="156" spans="3:14">
      <c r="C156" s="13">
        <f>IF(B156="","",IFERROR(INDEX(Materials!$B$5:$B$254,MATCH(B156,Materials!$A$5:$A$254,0)),"Add to Materials"))</f>
        <v>0</v>
      </c>
      <c r="I156" s="13">
        <f>IF(A156="","",TEXT(A156,"yyyy-mm"))</f>
        <v>0</v>
      </c>
      <c r="J156" s="13">
        <f>IF(B156="","",IFERROR(INDEX(Materials!$H$5:$H$254,MATCH(B156,Materials!$A$5:$A$254,0)),"Add to Materials"))</f>
        <v>0</v>
      </c>
      <c r="K156" s="45">
        <f>IF(B156="","",IFERROR(INDEX(Materials!$S$5:$S$254,MATCH(B156,Materials!$A$5:$A$254,0)),""))</f>
        <v>0</v>
      </c>
      <c r="L156" s="20">
        <f>IF(A156="","",IF(OR(D156="",K156=""),"",ROUND(D156*K156,2)))</f>
        <v>0</v>
      </c>
      <c r="M156" s="33">
        <f>IF(A156="","",IFERROR(L156/SUMIFS('Waste Log'!$L$5:$L$204,'Waste Log'!$B$5:$B$204,B156),""))</f>
        <v>0</v>
      </c>
      <c r="N156" s="43">
        <f>IF(A156="","",IF(B156="","Add - which material?",IF(D156="","Add - how much?",IF(K156="","Check - that material has no price",IF(G156="Yes","Avoidable - worth a second look","Logged")))))</f>
        <v>0</v>
      </c>
    </row>
    <row r="157" spans="3:14">
      <c r="C157" s="13">
        <f>IF(B157="","",IFERROR(INDEX(Materials!$B$5:$B$254,MATCH(B157,Materials!$A$5:$A$254,0)),"Add to Materials"))</f>
        <v>0</v>
      </c>
      <c r="I157" s="13">
        <f>IF(A157="","",TEXT(A157,"yyyy-mm"))</f>
        <v>0</v>
      </c>
      <c r="J157" s="13">
        <f>IF(B157="","",IFERROR(INDEX(Materials!$H$5:$H$254,MATCH(B157,Materials!$A$5:$A$254,0)),"Add to Materials"))</f>
        <v>0</v>
      </c>
      <c r="K157" s="45">
        <f>IF(B157="","",IFERROR(INDEX(Materials!$S$5:$S$254,MATCH(B157,Materials!$A$5:$A$254,0)),""))</f>
        <v>0</v>
      </c>
      <c r="L157" s="20">
        <f>IF(A157="","",IF(OR(D157="",K157=""),"",ROUND(D157*K157,2)))</f>
        <v>0</v>
      </c>
      <c r="M157" s="33">
        <f>IF(A157="","",IFERROR(L157/SUMIFS('Waste Log'!$L$5:$L$204,'Waste Log'!$B$5:$B$204,B157),""))</f>
        <v>0</v>
      </c>
      <c r="N157" s="43">
        <f>IF(A157="","",IF(B157="","Add - which material?",IF(D157="","Add - how much?",IF(K157="","Check - that material has no price",IF(G157="Yes","Avoidable - worth a second look","Logged")))))</f>
        <v>0</v>
      </c>
    </row>
    <row r="158" spans="3:14">
      <c r="C158" s="13">
        <f>IF(B158="","",IFERROR(INDEX(Materials!$B$5:$B$254,MATCH(B158,Materials!$A$5:$A$254,0)),"Add to Materials"))</f>
        <v>0</v>
      </c>
      <c r="I158" s="13">
        <f>IF(A158="","",TEXT(A158,"yyyy-mm"))</f>
        <v>0</v>
      </c>
      <c r="J158" s="13">
        <f>IF(B158="","",IFERROR(INDEX(Materials!$H$5:$H$254,MATCH(B158,Materials!$A$5:$A$254,0)),"Add to Materials"))</f>
        <v>0</v>
      </c>
      <c r="K158" s="45">
        <f>IF(B158="","",IFERROR(INDEX(Materials!$S$5:$S$254,MATCH(B158,Materials!$A$5:$A$254,0)),""))</f>
        <v>0</v>
      </c>
      <c r="L158" s="20">
        <f>IF(A158="","",IF(OR(D158="",K158=""),"",ROUND(D158*K158,2)))</f>
        <v>0</v>
      </c>
      <c r="M158" s="33">
        <f>IF(A158="","",IFERROR(L158/SUMIFS('Waste Log'!$L$5:$L$204,'Waste Log'!$B$5:$B$204,B158),""))</f>
        <v>0</v>
      </c>
      <c r="N158" s="43">
        <f>IF(A158="","",IF(B158="","Add - which material?",IF(D158="","Add - how much?",IF(K158="","Check - that material has no price",IF(G158="Yes","Avoidable - worth a second look","Logged")))))</f>
        <v>0</v>
      </c>
    </row>
    <row r="159" spans="3:14">
      <c r="C159" s="13">
        <f>IF(B159="","",IFERROR(INDEX(Materials!$B$5:$B$254,MATCH(B159,Materials!$A$5:$A$254,0)),"Add to Materials"))</f>
        <v>0</v>
      </c>
      <c r="I159" s="13">
        <f>IF(A159="","",TEXT(A159,"yyyy-mm"))</f>
        <v>0</v>
      </c>
      <c r="J159" s="13">
        <f>IF(B159="","",IFERROR(INDEX(Materials!$H$5:$H$254,MATCH(B159,Materials!$A$5:$A$254,0)),"Add to Materials"))</f>
        <v>0</v>
      </c>
      <c r="K159" s="45">
        <f>IF(B159="","",IFERROR(INDEX(Materials!$S$5:$S$254,MATCH(B159,Materials!$A$5:$A$254,0)),""))</f>
        <v>0</v>
      </c>
      <c r="L159" s="20">
        <f>IF(A159="","",IF(OR(D159="",K159=""),"",ROUND(D159*K159,2)))</f>
        <v>0</v>
      </c>
      <c r="M159" s="33">
        <f>IF(A159="","",IFERROR(L159/SUMIFS('Waste Log'!$L$5:$L$204,'Waste Log'!$B$5:$B$204,B159),""))</f>
        <v>0</v>
      </c>
      <c r="N159" s="43">
        <f>IF(A159="","",IF(B159="","Add - which material?",IF(D159="","Add - how much?",IF(K159="","Check - that material has no price",IF(G159="Yes","Avoidable - worth a second look","Logged")))))</f>
        <v>0</v>
      </c>
    </row>
    <row r="160" spans="3:14">
      <c r="C160" s="13">
        <f>IF(B160="","",IFERROR(INDEX(Materials!$B$5:$B$254,MATCH(B160,Materials!$A$5:$A$254,0)),"Add to Materials"))</f>
        <v>0</v>
      </c>
      <c r="I160" s="13">
        <f>IF(A160="","",TEXT(A160,"yyyy-mm"))</f>
        <v>0</v>
      </c>
      <c r="J160" s="13">
        <f>IF(B160="","",IFERROR(INDEX(Materials!$H$5:$H$254,MATCH(B160,Materials!$A$5:$A$254,0)),"Add to Materials"))</f>
        <v>0</v>
      </c>
      <c r="K160" s="45">
        <f>IF(B160="","",IFERROR(INDEX(Materials!$S$5:$S$254,MATCH(B160,Materials!$A$5:$A$254,0)),""))</f>
        <v>0</v>
      </c>
      <c r="L160" s="20">
        <f>IF(A160="","",IF(OR(D160="",K160=""),"",ROUND(D160*K160,2)))</f>
        <v>0</v>
      </c>
      <c r="M160" s="33">
        <f>IF(A160="","",IFERROR(L160/SUMIFS('Waste Log'!$L$5:$L$204,'Waste Log'!$B$5:$B$204,B160),""))</f>
        <v>0</v>
      </c>
      <c r="N160" s="43">
        <f>IF(A160="","",IF(B160="","Add - which material?",IF(D160="","Add - how much?",IF(K160="","Check - that material has no price",IF(G160="Yes","Avoidable - worth a second look","Logged")))))</f>
        <v>0</v>
      </c>
    </row>
    <row r="161" spans="3:14">
      <c r="C161" s="13">
        <f>IF(B161="","",IFERROR(INDEX(Materials!$B$5:$B$254,MATCH(B161,Materials!$A$5:$A$254,0)),"Add to Materials"))</f>
        <v>0</v>
      </c>
      <c r="I161" s="13">
        <f>IF(A161="","",TEXT(A161,"yyyy-mm"))</f>
        <v>0</v>
      </c>
      <c r="J161" s="13">
        <f>IF(B161="","",IFERROR(INDEX(Materials!$H$5:$H$254,MATCH(B161,Materials!$A$5:$A$254,0)),"Add to Materials"))</f>
        <v>0</v>
      </c>
      <c r="K161" s="45">
        <f>IF(B161="","",IFERROR(INDEX(Materials!$S$5:$S$254,MATCH(B161,Materials!$A$5:$A$254,0)),""))</f>
        <v>0</v>
      </c>
      <c r="L161" s="20">
        <f>IF(A161="","",IF(OR(D161="",K161=""),"",ROUND(D161*K161,2)))</f>
        <v>0</v>
      </c>
      <c r="M161" s="33">
        <f>IF(A161="","",IFERROR(L161/SUMIFS('Waste Log'!$L$5:$L$204,'Waste Log'!$B$5:$B$204,B161),""))</f>
        <v>0</v>
      </c>
      <c r="N161" s="43">
        <f>IF(A161="","",IF(B161="","Add - which material?",IF(D161="","Add - how much?",IF(K161="","Check - that material has no price",IF(G161="Yes","Avoidable - worth a second look","Logged")))))</f>
        <v>0</v>
      </c>
    </row>
    <row r="162" spans="3:14">
      <c r="C162" s="13">
        <f>IF(B162="","",IFERROR(INDEX(Materials!$B$5:$B$254,MATCH(B162,Materials!$A$5:$A$254,0)),"Add to Materials"))</f>
        <v>0</v>
      </c>
      <c r="I162" s="13">
        <f>IF(A162="","",TEXT(A162,"yyyy-mm"))</f>
        <v>0</v>
      </c>
      <c r="J162" s="13">
        <f>IF(B162="","",IFERROR(INDEX(Materials!$H$5:$H$254,MATCH(B162,Materials!$A$5:$A$254,0)),"Add to Materials"))</f>
        <v>0</v>
      </c>
      <c r="K162" s="45">
        <f>IF(B162="","",IFERROR(INDEX(Materials!$S$5:$S$254,MATCH(B162,Materials!$A$5:$A$254,0)),""))</f>
        <v>0</v>
      </c>
      <c r="L162" s="20">
        <f>IF(A162="","",IF(OR(D162="",K162=""),"",ROUND(D162*K162,2)))</f>
        <v>0</v>
      </c>
      <c r="M162" s="33">
        <f>IF(A162="","",IFERROR(L162/SUMIFS('Waste Log'!$L$5:$L$204,'Waste Log'!$B$5:$B$204,B162),""))</f>
        <v>0</v>
      </c>
      <c r="N162" s="43">
        <f>IF(A162="","",IF(B162="","Add - which material?",IF(D162="","Add - how much?",IF(K162="","Check - that material has no price",IF(G162="Yes","Avoidable - worth a second look","Logged")))))</f>
        <v>0</v>
      </c>
    </row>
    <row r="163" spans="3:14">
      <c r="C163" s="13">
        <f>IF(B163="","",IFERROR(INDEX(Materials!$B$5:$B$254,MATCH(B163,Materials!$A$5:$A$254,0)),"Add to Materials"))</f>
        <v>0</v>
      </c>
      <c r="I163" s="13">
        <f>IF(A163="","",TEXT(A163,"yyyy-mm"))</f>
        <v>0</v>
      </c>
      <c r="J163" s="13">
        <f>IF(B163="","",IFERROR(INDEX(Materials!$H$5:$H$254,MATCH(B163,Materials!$A$5:$A$254,0)),"Add to Materials"))</f>
        <v>0</v>
      </c>
      <c r="K163" s="45">
        <f>IF(B163="","",IFERROR(INDEX(Materials!$S$5:$S$254,MATCH(B163,Materials!$A$5:$A$254,0)),""))</f>
        <v>0</v>
      </c>
      <c r="L163" s="20">
        <f>IF(A163="","",IF(OR(D163="",K163=""),"",ROUND(D163*K163,2)))</f>
        <v>0</v>
      </c>
      <c r="M163" s="33">
        <f>IF(A163="","",IFERROR(L163/SUMIFS('Waste Log'!$L$5:$L$204,'Waste Log'!$B$5:$B$204,B163),""))</f>
        <v>0</v>
      </c>
      <c r="N163" s="43">
        <f>IF(A163="","",IF(B163="","Add - which material?",IF(D163="","Add - how much?",IF(K163="","Check - that material has no price",IF(G163="Yes","Avoidable - worth a second look","Logged")))))</f>
        <v>0</v>
      </c>
    </row>
    <row r="164" spans="3:14">
      <c r="C164" s="13">
        <f>IF(B164="","",IFERROR(INDEX(Materials!$B$5:$B$254,MATCH(B164,Materials!$A$5:$A$254,0)),"Add to Materials"))</f>
        <v>0</v>
      </c>
      <c r="I164" s="13">
        <f>IF(A164="","",TEXT(A164,"yyyy-mm"))</f>
        <v>0</v>
      </c>
      <c r="J164" s="13">
        <f>IF(B164="","",IFERROR(INDEX(Materials!$H$5:$H$254,MATCH(B164,Materials!$A$5:$A$254,0)),"Add to Materials"))</f>
        <v>0</v>
      </c>
      <c r="K164" s="45">
        <f>IF(B164="","",IFERROR(INDEX(Materials!$S$5:$S$254,MATCH(B164,Materials!$A$5:$A$254,0)),""))</f>
        <v>0</v>
      </c>
      <c r="L164" s="20">
        <f>IF(A164="","",IF(OR(D164="",K164=""),"",ROUND(D164*K164,2)))</f>
        <v>0</v>
      </c>
      <c r="M164" s="33">
        <f>IF(A164="","",IFERROR(L164/SUMIFS('Waste Log'!$L$5:$L$204,'Waste Log'!$B$5:$B$204,B164),""))</f>
        <v>0</v>
      </c>
      <c r="N164" s="43">
        <f>IF(A164="","",IF(B164="","Add - which material?",IF(D164="","Add - how much?",IF(K164="","Check - that material has no price",IF(G164="Yes","Avoidable - worth a second look","Logged")))))</f>
        <v>0</v>
      </c>
    </row>
    <row r="165" spans="3:14">
      <c r="C165" s="13">
        <f>IF(B165="","",IFERROR(INDEX(Materials!$B$5:$B$254,MATCH(B165,Materials!$A$5:$A$254,0)),"Add to Materials"))</f>
        <v>0</v>
      </c>
      <c r="I165" s="13">
        <f>IF(A165="","",TEXT(A165,"yyyy-mm"))</f>
        <v>0</v>
      </c>
      <c r="J165" s="13">
        <f>IF(B165="","",IFERROR(INDEX(Materials!$H$5:$H$254,MATCH(B165,Materials!$A$5:$A$254,0)),"Add to Materials"))</f>
        <v>0</v>
      </c>
      <c r="K165" s="45">
        <f>IF(B165="","",IFERROR(INDEX(Materials!$S$5:$S$254,MATCH(B165,Materials!$A$5:$A$254,0)),""))</f>
        <v>0</v>
      </c>
      <c r="L165" s="20">
        <f>IF(A165="","",IF(OR(D165="",K165=""),"",ROUND(D165*K165,2)))</f>
        <v>0</v>
      </c>
      <c r="M165" s="33">
        <f>IF(A165="","",IFERROR(L165/SUMIFS('Waste Log'!$L$5:$L$204,'Waste Log'!$B$5:$B$204,B165),""))</f>
        <v>0</v>
      </c>
      <c r="N165" s="43">
        <f>IF(A165="","",IF(B165="","Add - which material?",IF(D165="","Add - how much?",IF(K165="","Check - that material has no price",IF(G165="Yes","Avoidable - worth a second look","Logged")))))</f>
        <v>0</v>
      </c>
    </row>
    <row r="166" spans="3:14">
      <c r="C166" s="13">
        <f>IF(B166="","",IFERROR(INDEX(Materials!$B$5:$B$254,MATCH(B166,Materials!$A$5:$A$254,0)),"Add to Materials"))</f>
        <v>0</v>
      </c>
      <c r="I166" s="13">
        <f>IF(A166="","",TEXT(A166,"yyyy-mm"))</f>
        <v>0</v>
      </c>
      <c r="J166" s="13">
        <f>IF(B166="","",IFERROR(INDEX(Materials!$H$5:$H$254,MATCH(B166,Materials!$A$5:$A$254,0)),"Add to Materials"))</f>
        <v>0</v>
      </c>
      <c r="K166" s="45">
        <f>IF(B166="","",IFERROR(INDEX(Materials!$S$5:$S$254,MATCH(B166,Materials!$A$5:$A$254,0)),""))</f>
        <v>0</v>
      </c>
      <c r="L166" s="20">
        <f>IF(A166="","",IF(OR(D166="",K166=""),"",ROUND(D166*K166,2)))</f>
        <v>0</v>
      </c>
      <c r="M166" s="33">
        <f>IF(A166="","",IFERROR(L166/SUMIFS('Waste Log'!$L$5:$L$204,'Waste Log'!$B$5:$B$204,B166),""))</f>
        <v>0</v>
      </c>
      <c r="N166" s="43">
        <f>IF(A166="","",IF(B166="","Add - which material?",IF(D166="","Add - how much?",IF(K166="","Check - that material has no price",IF(G166="Yes","Avoidable - worth a second look","Logged")))))</f>
        <v>0</v>
      </c>
    </row>
    <row r="167" spans="3:14">
      <c r="C167" s="13">
        <f>IF(B167="","",IFERROR(INDEX(Materials!$B$5:$B$254,MATCH(B167,Materials!$A$5:$A$254,0)),"Add to Materials"))</f>
        <v>0</v>
      </c>
      <c r="I167" s="13">
        <f>IF(A167="","",TEXT(A167,"yyyy-mm"))</f>
        <v>0</v>
      </c>
      <c r="J167" s="13">
        <f>IF(B167="","",IFERROR(INDEX(Materials!$H$5:$H$254,MATCH(B167,Materials!$A$5:$A$254,0)),"Add to Materials"))</f>
        <v>0</v>
      </c>
      <c r="K167" s="45">
        <f>IF(B167="","",IFERROR(INDEX(Materials!$S$5:$S$254,MATCH(B167,Materials!$A$5:$A$254,0)),""))</f>
        <v>0</v>
      </c>
      <c r="L167" s="20">
        <f>IF(A167="","",IF(OR(D167="",K167=""),"",ROUND(D167*K167,2)))</f>
        <v>0</v>
      </c>
      <c r="M167" s="33">
        <f>IF(A167="","",IFERROR(L167/SUMIFS('Waste Log'!$L$5:$L$204,'Waste Log'!$B$5:$B$204,B167),""))</f>
        <v>0</v>
      </c>
      <c r="N167" s="43">
        <f>IF(A167="","",IF(B167="","Add - which material?",IF(D167="","Add - how much?",IF(K167="","Check - that material has no price",IF(G167="Yes","Avoidable - worth a second look","Logged")))))</f>
        <v>0</v>
      </c>
    </row>
    <row r="168" spans="3:14">
      <c r="C168" s="13">
        <f>IF(B168="","",IFERROR(INDEX(Materials!$B$5:$B$254,MATCH(B168,Materials!$A$5:$A$254,0)),"Add to Materials"))</f>
        <v>0</v>
      </c>
      <c r="I168" s="13">
        <f>IF(A168="","",TEXT(A168,"yyyy-mm"))</f>
        <v>0</v>
      </c>
      <c r="J168" s="13">
        <f>IF(B168="","",IFERROR(INDEX(Materials!$H$5:$H$254,MATCH(B168,Materials!$A$5:$A$254,0)),"Add to Materials"))</f>
        <v>0</v>
      </c>
      <c r="K168" s="45">
        <f>IF(B168="","",IFERROR(INDEX(Materials!$S$5:$S$254,MATCH(B168,Materials!$A$5:$A$254,0)),""))</f>
        <v>0</v>
      </c>
      <c r="L168" s="20">
        <f>IF(A168="","",IF(OR(D168="",K168=""),"",ROUND(D168*K168,2)))</f>
        <v>0</v>
      </c>
      <c r="M168" s="33">
        <f>IF(A168="","",IFERROR(L168/SUMIFS('Waste Log'!$L$5:$L$204,'Waste Log'!$B$5:$B$204,B168),""))</f>
        <v>0</v>
      </c>
      <c r="N168" s="43">
        <f>IF(A168="","",IF(B168="","Add - which material?",IF(D168="","Add - how much?",IF(K168="","Check - that material has no price",IF(G168="Yes","Avoidable - worth a second look","Logged")))))</f>
        <v>0</v>
      </c>
    </row>
    <row r="169" spans="3:14">
      <c r="C169" s="13">
        <f>IF(B169="","",IFERROR(INDEX(Materials!$B$5:$B$254,MATCH(B169,Materials!$A$5:$A$254,0)),"Add to Materials"))</f>
        <v>0</v>
      </c>
      <c r="I169" s="13">
        <f>IF(A169="","",TEXT(A169,"yyyy-mm"))</f>
        <v>0</v>
      </c>
      <c r="J169" s="13">
        <f>IF(B169="","",IFERROR(INDEX(Materials!$H$5:$H$254,MATCH(B169,Materials!$A$5:$A$254,0)),"Add to Materials"))</f>
        <v>0</v>
      </c>
      <c r="K169" s="45">
        <f>IF(B169="","",IFERROR(INDEX(Materials!$S$5:$S$254,MATCH(B169,Materials!$A$5:$A$254,0)),""))</f>
        <v>0</v>
      </c>
      <c r="L169" s="20">
        <f>IF(A169="","",IF(OR(D169="",K169=""),"",ROUND(D169*K169,2)))</f>
        <v>0</v>
      </c>
      <c r="M169" s="33">
        <f>IF(A169="","",IFERROR(L169/SUMIFS('Waste Log'!$L$5:$L$204,'Waste Log'!$B$5:$B$204,B169),""))</f>
        <v>0</v>
      </c>
      <c r="N169" s="43">
        <f>IF(A169="","",IF(B169="","Add - which material?",IF(D169="","Add - how much?",IF(K169="","Check - that material has no price",IF(G169="Yes","Avoidable - worth a second look","Logged")))))</f>
        <v>0</v>
      </c>
    </row>
    <row r="170" spans="3:14">
      <c r="C170" s="13">
        <f>IF(B170="","",IFERROR(INDEX(Materials!$B$5:$B$254,MATCH(B170,Materials!$A$5:$A$254,0)),"Add to Materials"))</f>
        <v>0</v>
      </c>
      <c r="I170" s="13">
        <f>IF(A170="","",TEXT(A170,"yyyy-mm"))</f>
        <v>0</v>
      </c>
      <c r="J170" s="13">
        <f>IF(B170="","",IFERROR(INDEX(Materials!$H$5:$H$254,MATCH(B170,Materials!$A$5:$A$254,0)),"Add to Materials"))</f>
        <v>0</v>
      </c>
      <c r="K170" s="45">
        <f>IF(B170="","",IFERROR(INDEX(Materials!$S$5:$S$254,MATCH(B170,Materials!$A$5:$A$254,0)),""))</f>
        <v>0</v>
      </c>
      <c r="L170" s="20">
        <f>IF(A170="","",IF(OR(D170="",K170=""),"",ROUND(D170*K170,2)))</f>
        <v>0</v>
      </c>
      <c r="M170" s="33">
        <f>IF(A170="","",IFERROR(L170/SUMIFS('Waste Log'!$L$5:$L$204,'Waste Log'!$B$5:$B$204,B170),""))</f>
        <v>0</v>
      </c>
      <c r="N170" s="43">
        <f>IF(A170="","",IF(B170="","Add - which material?",IF(D170="","Add - how much?",IF(K170="","Check - that material has no price",IF(G170="Yes","Avoidable - worth a second look","Logged")))))</f>
        <v>0</v>
      </c>
    </row>
    <row r="171" spans="3:14">
      <c r="C171" s="13">
        <f>IF(B171="","",IFERROR(INDEX(Materials!$B$5:$B$254,MATCH(B171,Materials!$A$5:$A$254,0)),"Add to Materials"))</f>
        <v>0</v>
      </c>
      <c r="I171" s="13">
        <f>IF(A171="","",TEXT(A171,"yyyy-mm"))</f>
        <v>0</v>
      </c>
      <c r="J171" s="13">
        <f>IF(B171="","",IFERROR(INDEX(Materials!$H$5:$H$254,MATCH(B171,Materials!$A$5:$A$254,0)),"Add to Materials"))</f>
        <v>0</v>
      </c>
      <c r="K171" s="45">
        <f>IF(B171="","",IFERROR(INDEX(Materials!$S$5:$S$254,MATCH(B171,Materials!$A$5:$A$254,0)),""))</f>
        <v>0</v>
      </c>
      <c r="L171" s="20">
        <f>IF(A171="","",IF(OR(D171="",K171=""),"",ROUND(D171*K171,2)))</f>
        <v>0</v>
      </c>
      <c r="M171" s="33">
        <f>IF(A171="","",IFERROR(L171/SUMIFS('Waste Log'!$L$5:$L$204,'Waste Log'!$B$5:$B$204,B171),""))</f>
        <v>0</v>
      </c>
      <c r="N171" s="43">
        <f>IF(A171="","",IF(B171="","Add - which material?",IF(D171="","Add - how much?",IF(K171="","Check - that material has no price",IF(G171="Yes","Avoidable - worth a second look","Logged")))))</f>
        <v>0</v>
      </c>
    </row>
    <row r="172" spans="3:14">
      <c r="C172" s="13">
        <f>IF(B172="","",IFERROR(INDEX(Materials!$B$5:$B$254,MATCH(B172,Materials!$A$5:$A$254,0)),"Add to Materials"))</f>
        <v>0</v>
      </c>
      <c r="I172" s="13">
        <f>IF(A172="","",TEXT(A172,"yyyy-mm"))</f>
        <v>0</v>
      </c>
      <c r="J172" s="13">
        <f>IF(B172="","",IFERROR(INDEX(Materials!$H$5:$H$254,MATCH(B172,Materials!$A$5:$A$254,0)),"Add to Materials"))</f>
        <v>0</v>
      </c>
      <c r="K172" s="45">
        <f>IF(B172="","",IFERROR(INDEX(Materials!$S$5:$S$254,MATCH(B172,Materials!$A$5:$A$254,0)),""))</f>
        <v>0</v>
      </c>
      <c r="L172" s="20">
        <f>IF(A172="","",IF(OR(D172="",K172=""),"",ROUND(D172*K172,2)))</f>
        <v>0</v>
      </c>
      <c r="M172" s="33">
        <f>IF(A172="","",IFERROR(L172/SUMIFS('Waste Log'!$L$5:$L$204,'Waste Log'!$B$5:$B$204,B172),""))</f>
        <v>0</v>
      </c>
      <c r="N172" s="43">
        <f>IF(A172="","",IF(B172="","Add - which material?",IF(D172="","Add - how much?",IF(K172="","Check - that material has no price",IF(G172="Yes","Avoidable - worth a second look","Logged")))))</f>
        <v>0</v>
      </c>
    </row>
    <row r="173" spans="3:14">
      <c r="C173" s="13">
        <f>IF(B173="","",IFERROR(INDEX(Materials!$B$5:$B$254,MATCH(B173,Materials!$A$5:$A$254,0)),"Add to Materials"))</f>
        <v>0</v>
      </c>
      <c r="I173" s="13">
        <f>IF(A173="","",TEXT(A173,"yyyy-mm"))</f>
        <v>0</v>
      </c>
      <c r="J173" s="13">
        <f>IF(B173="","",IFERROR(INDEX(Materials!$H$5:$H$254,MATCH(B173,Materials!$A$5:$A$254,0)),"Add to Materials"))</f>
        <v>0</v>
      </c>
      <c r="K173" s="45">
        <f>IF(B173="","",IFERROR(INDEX(Materials!$S$5:$S$254,MATCH(B173,Materials!$A$5:$A$254,0)),""))</f>
        <v>0</v>
      </c>
      <c r="L173" s="20">
        <f>IF(A173="","",IF(OR(D173="",K173=""),"",ROUND(D173*K173,2)))</f>
        <v>0</v>
      </c>
      <c r="M173" s="33">
        <f>IF(A173="","",IFERROR(L173/SUMIFS('Waste Log'!$L$5:$L$204,'Waste Log'!$B$5:$B$204,B173),""))</f>
        <v>0</v>
      </c>
      <c r="N173" s="43">
        <f>IF(A173="","",IF(B173="","Add - which material?",IF(D173="","Add - how much?",IF(K173="","Check - that material has no price",IF(G173="Yes","Avoidable - worth a second look","Logged")))))</f>
        <v>0</v>
      </c>
    </row>
    <row r="174" spans="3:14">
      <c r="C174" s="13">
        <f>IF(B174="","",IFERROR(INDEX(Materials!$B$5:$B$254,MATCH(B174,Materials!$A$5:$A$254,0)),"Add to Materials"))</f>
        <v>0</v>
      </c>
      <c r="I174" s="13">
        <f>IF(A174="","",TEXT(A174,"yyyy-mm"))</f>
        <v>0</v>
      </c>
      <c r="J174" s="13">
        <f>IF(B174="","",IFERROR(INDEX(Materials!$H$5:$H$254,MATCH(B174,Materials!$A$5:$A$254,0)),"Add to Materials"))</f>
        <v>0</v>
      </c>
      <c r="K174" s="45">
        <f>IF(B174="","",IFERROR(INDEX(Materials!$S$5:$S$254,MATCH(B174,Materials!$A$5:$A$254,0)),""))</f>
        <v>0</v>
      </c>
      <c r="L174" s="20">
        <f>IF(A174="","",IF(OR(D174="",K174=""),"",ROUND(D174*K174,2)))</f>
        <v>0</v>
      </c>
      <c r="M174" s="33">
        <f>IF(A174="","",IFERROR(L174/SUMIFS('Waste Log'!$L$5:$L$204,'Waste Log'!$B$5:$B$204,B174),""))</f>
        <v>0</v>
      </c>
      <c r="N174" s="43">
        <f>IF(A174="","",IF(B174="","Add - which material?",IF(D174="","Add - how much?",IF(K174="","Check - that material has no price",IF(G174="Yes","Avoidable - worth a second look","Logged")))))</f>
        <v>0</v>
      </c>
    </row>
    <row r="175" spans="3:14">
      <c r="C175" s="13">
        <f>IF(B175="","",IFERROR(INDEX(Materials!$B$5:$B$254,MATCH(B175,Materials!$A$5:$A$254,0)),"Add to Materials"))</f>
        <v>0</v>
      </c>
      <c r="I175" s="13">
        <f>IF(A175="","",TEXT(A175,"yyyy-mm"))</f>
        <v>0</v>
      </c>
      <c r="J175" s="13">
        <f>IF(B175="","",IFERROR(INDEX(Materials!$H$5:$H$254,MATCH(B175,Materials!$A$5:$A$254,0)),"Add to Materials"))</f>
        <v>0</v>
      </c>
      <c r="K175" s="45">
        <f>IF(B175="","",IFERROR(INDEX(Materials!$S$5:$S$254,MATCH(B175,Materials!$A$5:$A$254,0)),""))</f>
        <v>0</v>
      </c>
      <c r="L175" s="20">
        <f>IF(A175="","",IF(OR(D175="",K175=""),"",ROUND(D175*K175,2)))</f>
        <v>0</v>
      </c>
      <c r="M175" s="33">
        <f>IF(A175="","",IFERROR(L175/SUMIFS('Waste Log'!$L$5:$L$204,'Waste Log'!$B$5:$B$204,B175),""))</f>
        <v>0</v>
      </c>
      <c r="N175" s="43">
        <f>IF(A175="","",IF(B175="","Add - which material?",IF(D175="","Add - how much?",IF(K175="","Check - that material has no price",IF(G175="Yes","Avoidable - worth a second look","Logged")))))</f>
        <v>0</v>
      </c>
    </row>
    <row r="176" spans="3:14">
      <c r="C176" s="13">
        <f>IF(B176="","",IFERROR(INDEX(Materials!$B$5:$B$254,MATCH(B176,Materials!$A$5:$A$254,0)),"Add to Materials"))</f>
        <v>0</v>
      </c>
      <c r="I176" s="13">
        <f>IF(A176="","",TEXT(A176,"yyyy-mm"))</f>
        <v>0</v>
      </c>
      <c r="J176" s="13">
        <f>IF(B176="","",IFERROR(INDEX(Materials!$H$5:$H$254,MATCH(B176,Materials!$A$5:$A$254,0)),"Add to Materials"))</f>
        <v>0</v>
      </c>
      <c r="K176" s="45">
        <f>IF(B176="","",IFERROR(INDEX(Materials!$S$5:$S$254,MATCH(B176,Materials!$A$5:$A$254,0)),""))</f>
        <v>0</v>
      </c>
      <c r="L176" s="20">
        <f>IF(A176="","",IF(OR(D176="",K176=""),"",ROUND(D176*K176,2)))</f>
        <v>0</v>
      </c>
      <c r="M176" s="33">
        <f>IF(A176="","",IFERROR(L176/SUMIFS('Waste Log'!$L$5:$L$204,'Waste Log'!$B$5:$B$204,B176),""))</f>
        <v>0</v>
      </c>
      <c r="N176" s="43">
        <f>IF(A176="","",IF(B176="","Add - which material?",IF(D176="","Add - how much?",IF(K176="","Check - that material has no price",IF(G176="Yes","Avoidable - worth a second look","Logged")))))</f>
        <v>0</v>
      </c>
    </row>
    <row r="177" spans="3:14">
      <c r="C177" s="13">
        <f>IF(B177="","",IFERROR(INDEX(Materials!$B$5:$B$254,MATCH(B177,Materials!$A$5:$A$254,0)),"Add to Materials"))</f>
        <v>0</v>
      </c>
      <c r="I177" s="13">
        <f>IF(A177="","",TEXT(A177,"yyyy-mm"))</f>
        <v>0</v>
      </c>
      <c r="J177" s="13">
        <f>IF(B177="","",IFERROR(INDEX(Materials!$H$5:$H$254,MATCH(B177,Materials!$A$5:$A$254,0)),"Add to Materials"))</f>
        <v>0</v>
      </c>
      <c r="K177" s="45">
        <f>IF(B177="","",IFERROR(INDEX(Materials!$S$5:$S$254,MATCH(B177,Materials!$A$5:$A$254,0)),""))</f>
        <v>0</v>
      </c>
      <c r="L177" s="20">
        <f>IF(A177="","",IF(OR(D177="",K177=""),"",ROUND(D177*K177,2)))</f>
        <v>0</v>
      </c>
      <c r="M177" s="33">
        <f>IF(A177="","",IFERROR(L177/SUMIFS('Waste Log'!$L$5:$L$204,'Waste Log'!$B$5:$B$204,B177),""))</f>
        <v>0</v>
      </c>
      <c r="N177" s="43">
        <f>IF(A177="","",IF(B177="","Add - which material?",IF(D177="","Add - how much?",IF(K177="","Check - that material has no price",IF(G177="Yes","Avoidable - worth a second look","Logged")))))</f>
        <v>0</v>
      </c>
    </row>
    <row r="178" spans="3:14">
      <c r="C178" s="13">
        <f>IF(B178="","",IFERROR(INDEX(Materials!$B$5:$B$254,MATCH(B178,Materials!$A$5:$A$254,0)),"Add to Materials"))</f>
        <v>0</v>
      </c>
      <c r="I178" s="13">
        <f>IF(A178="","",TEXT(A178,"yyyy-mm"))</f>
        <v>0</v>
      </c>
      <c r="J178" s="13">
        <f>IF(B178="","",IFERROR(INDEX(Materials!$H$5:$H$254,MATCH(B178,Materials!$A$5:$A$254,0)),"Add to Materials"))</f>
        <v>0</v>
      </c>
      <c r="K178" s="45">
        <f>IF(B178="","",IFERROR(INDEX(Materials!$S$5:$S$254,MATCH(B178,Materials!$A$5:$A$254,0)),""))</f>
        <v>0</v>
      </c>
      <c r="L178" s="20">
        <f>IF(A178="","",IF(OR(D178="",K178=""),"",ROUND(D178*K178,2)))</f>
        <v>0</v>
      </c>
      <c r="M178" s="33">
        <f>IF(A178="","",IFERROR(L178/SUMIFS('Waste Log'!$L$5:$L$204,'Waste Log'!$B$5:$B$204,B178),""))</f>
        <v>0</v>
      </c>
      <c r="N178" s="43">
        <f>IF(A178="","",IF(B178="","Add - which material?",IF(D178="","Add - how much?",IF(K178="","Check - that material has no price",IF(G178="Yes","Avoidable - worth a second look","Logged")))))</f>
        <v>0</v>
      </c>
    </row>
    <row r="179" spans="3:14">
      <c r="C179" s="13">
        <f>IF(B179="","",IFERROR(INDEX(Materials!$B$5:$B$254,MATCH(B179,Materials!$A$5:$A$254,0)),"Add to Materials"))</f>
        <v>0</v>
      </c>
      <c r="I179" s="13">
        <f>IF(A179="","",TEXT(A179,"yyyy-mm"))</f>
        <v>0</v>
      </c>
      <c r="J179" s="13">
        <f>IF(B179="","",IFERROR(INDEX(Materials!$H$5:$H$254,MATCH(B179,Materials!$A$5:$A$254,0)),"Add to Materials"))</f>
        <v>0</v>
      </c>
      <c r="K179" s="45">
        <f>IF(B179="","",IFERROR(INDEX(Materials!$S$5:$S$254,MATCH(B179,Materials!$A$5:$A$254,0)),""))</f>
        <v>0</v>
      </c>
      <c r="L179" s="20">
        <f>IF(A179="","",IF(OR(D179="",K179=""),"",ROUND(D179*K179,2)))</f>
        <v>0</v>
      </c>
      <c r="M179" s="33">
        <f>IF(A179="","",IFERROR(L179/SUMIFS('Waste Log'!$L$5:$L$204,'Waste Log'!$B$5:$B$204,B179),""))</f>
        <v>0</v>
      </c>
      <c r="N179" s="43">
        <f>IF(A179="","",IF(B179="","Add - which material?",IF(D179="","Add - how much?",IF(K179="","Check - that material has no price",IF(G179="Yes","Avoidable - worth a second look","Logged")))))</f>
        <v>0</v>
      </c>
    </row>
    <row r="180" spans="3:14">
      <c r="C180" s="13">
        <f>IF(B180="","",IFERROR(INDEX(Materials!$B$5:$B$254,MATCH(B180,Materials!$A$5:$A$254,0)),"Add to Materials"))</f>
        <v>0</v>
      </c>
      <c r="I180" s="13">
        <f>IF(A180="","",TEXT(A180,"yyyy-mm"))</f>
        <v>0</v>
      </c>
      <c r="J180" s="13">
        <f>IF(B180="","",IFERROR(INDEX(Materials!$H$5:$H$254,MATCH(B180,Materials!$A$5:$A$254,0)),"Add to Materials"))</f>
        <v>0</v>
      </c>
      <c r="K180" s="45">
        <f>IF(B180="","",IFERROR(INDEX(Materials!$S$5:$S$254,MATCH(B180,Materials!$A$5:$A$254,0)),""))</f>
        <v>0</v>
      </c>
      <c r="L180" s="20">
        <f>IF(A180="","",IF(OR(D180="",K180=""),"",ROUND(D180*K180,2)))</f>
        <v>0</v>
      </c>
      <c r="M180" s="33">
        <f>IF(A180="","",IFERROR(L180/SUMIFS('Waste Log'!$L$5:$L$204,'Waste Log'!$B$5:$B$204,B180),""))</f>
        <v>0</v>
      </c>
      <c r="N180" s="43">
        <f>IF(A180="","",IF(B180="","Add - which material?",IF(D180="","Add - how much?",IF(K180="","Check - that material has no price",IF(G180="Yes","Avoidable - worth a second look","Logged")))))</f>
        <v>0</v>
      </c>
    </row>
    <row r="181" spans="3:14">
      <c r="C181" s="13">
        <f>IF(B181="","",IFERROR(INDEX(Materials!$B$5:$B$254,MATCH(B181,Materials!$A$5:$A$254,0)),"Add to Materials"))</f>
        <v>0</v>
      </c>
      <c r="I181" s="13">
        <f>IF(A181="","",TEXT(A181,"yyyy-mm"))</f>
        <v>0</v>
      </c>
      <c r="J181" s="13">
        <f>IF(B181="","",IFERROR(INDEX(Materials!$H$5:$H$254,MATCH(B181,Materials!$A$5:$A$254,0)),"Add to Materials"))</f>
        <v>0</v>
      </c>
      <c r="K181" s="45">
        <f>IF(B181="","",IFERROR(INDEX(Materials!$S$5:$S$254,MATCH(B181,Materials!$A$5:$A$254,0)),""))</f>
        <v>0</v>
      </c>
      <c r="L181" s="20">
        <f>IF(A181="","",IF(OR(D181="",K181=""),"",ROUND(D181*K181,2)))</f>
        <v>0</v>
      </c>
      <c r="M181" s="33">
        <f>IF(A181="","",IFERROR(L181/SUMIFS('Waste Log'!$L$5:$L$204,'Waste Log'!$B$5:$B$204,B181),""))</f>
        <v>0</v>
      </c>
      <c r="N181" s="43">
        <f>IF(A181="","",IF(B181="","Add - which material?",IF(D181="","Add - how much?",IF(K181="","Check - that material has no price",IF(G181="Yes","Avoidable - worth a second look","Logged")))))</f>
        <v>0</v>
      </c>
    </row>
    <row r="182" spans="3:14">
      <c r="C182" s="13">
        <f>IF(B182="","",IFERROR(INDEX(Materials!$B$5:$B$254,MATCH(B182,Materials!$A$5:$A$254,0)),"Add to Materials"))</f>
        <v>0</v>
      </c>
      <c r="I182" s="13">
        <f>IF(A182="","",TEXT(A182,"yyyy-mm"))</f>
        <v>0</v>
      </c>
      <c r="J182" s="13">
        <f>IF(B182="","",IFERROR(INDEX(Materials!$H$5:$H$254,MATCH(B182,Materials!$A$5:$A$254,0)),"Add to Materials"))</f>
        <v>0</v>
      </c>
      <c r="K182" s="45">
        <f>IF(B182="","",IFERROR(INDEX(Materials!$S$5:$S$254,MATCH(B182,Materials!$A$5:$A$254,0)),""))</f>
        <v>0</v>
      </c>
      <c r="L182" s="20">
        <f>IF(A182="","",IF(OR(D182="",K182=""),"",ROUND(D182*K182,2)))</f>
        <v>0</v>
      </c>
      <c r="M182" s="33">
        <f>IF(A182="","",IFERROR(L182/SUMIFS('Waste Log'!$L$5:$L$204,'Waste Log'!$B$5:$B$204,B182),""))</f>
        <v>0</v>
      </c>
      <c r="N182" s="43">
        <f>IF(A182="","",IF(B182="","Add - which material?",IF(D182="","Add - how much?",IF(K182="","Check - that material has no price",IF(G182="Yes","Avoidable - worth a second look","Logged")))))</f>
        <v>0</v>
      </c>
    </row>
    <row r="183" spans="3:14">
      <c r="C183" s="13">
        <f>IF(B183="","",IFERROR(INDEX(Materials!$B$5:$B$254,MATCH(B183,Materials!$A$5:$A$254,0)),"Add to Materials"))</f>
        <v>0</v>
      </c>
      <c r="I183" s="13">
        <f>IF(A183="","",TEXT(A183,"yyyy-mm"))</f>
        <v>0</v>
      </c>
      <c r="J183" s="13">
        <f>IF(B183="","",IFERROR(INDEX(Materials!$H$5:$H$254,MATCH(B183,Materials!$A$5:$A$254,0)),"Add to Materials"))</f>
        <v>0</v>
      </c>
      <c r="K183" s="45">
        <f>IF(B183="","",IFERROR(INDEX(Materials!$S$5:$S$254,MATCH(B183,Materials!$A$5:$A$254,0)),""))</f>
        <v>0</v>
      </c>
      <c r="L183" s="20">
        <f>IF(A183="","",IF(OR(D183="",K183=""),"",ROUND(D183*K183,2)))</f>
        <v>0</v>
      </c>
      <c r="M183" s="33">
        <f>IF(A183="","",IFERROR(L183/SUMIFS('Waste Log'!$L$5:$L$204,'Waste Log'!$B$5:$B$204,B183),""))</f>
        <v>0</v>
      </c>
      <c r="N183" s="43">
        <f>IF(A183="","",IF(B183="","Add - which material?",IF(D183="","Add - how much?",IF(K183="","Check - that material has no price",IF(G183="Yes","Avoidable - worth a second look","Logged")))))</f>
        <v>0</v>
      </c>
    </row>
    <row r="184" spans="3:14">
      <c r="C184" s="13">
        <f>IF(B184="","",IFERROR(INDEX(Materials!$B$5:$B$254,MATCH(B184,Materials!$A$5:$A$254,0)),"Add to Materials"))</f>
        <v>0</v>
      </c>
      <c r="I184" s="13">
        <f>IF(A184="","",TEXT(A184,"yyyy-mm"))</f>
        <v>0</v>
      </c>
      <c r="J184" s="13">
        <f>IF(B184="","",IFERROR(INDEX(Materials!$H$5:$H$254,MATCH(B184,Materials!$A$5:$A$254,0)),"Add to Materials"))</f>
        <v>0</v>
      </c>
      <c r="K184" s="45">
        <f>IF(B184="","",IFERROR(INDEX(Materials!$S$5:$S$254,MATCH(B184,Materials!$A$5:$A$254,0)),""))</f>
        <v>0</v>
      </c>
      <c r="L184" s="20">
        <f>IF(A184="","",IF(OR(D184="",K184=""),"",ROUND(D184*K184,2)))</f>
        <v>0</v>
      </c>
      <c r="M184" s="33">
        <f>IF(A184="","",IFERROR(L184/SUMIFS('Waste Log'!$L$5:$L$204,'Waste Log'!$B$5:$B$204,B184),""))</f>
        <v>0</v>
      </c>
      <c r="N184" s="43">
        <f>IF(A184="","",IF(B184="","Add - which material?",IF(D184="","Add - how much?",IF(K184="","Check - that material has no price",IF(G184="Yes","Avoidable - worth a second look","Logged")))))</f>
        <v>0</v>
      </c>
    </row>
    <row r="185" spans="3:14">
      <c r="C185" s="13">
        <f>IF(B185="","",IFERROR(INDEX(Materials!$B$5:$B$254,MATCH(B185,Materials!$A$5:$A$254,0)),"Add to Materials"))</f>
        <v>0</v>
      </c>
      <c r="I185" s="13">
        <f>IF(A185="","",TEXT(A185,"yyyy-mm"))</f>
        <v>0</v>
      </c>
      <c r="J185" s="13">
        <f>IF(B185="","",IFERROR(INDEX(Materials!$H$5:$H$254,MATCH(B185,Materials!$A$5:$A$254,0)),"Add to Materials"))</f>
        <v>0</v>
      </c>
      <c r="K185" s="45">
        <f>IF(B185="","",IFERROR(INDEX(Materials!$S$5:$S$254,MATCH(B185,Materials!$A$5:$A$254,0)),""))</f>
        <v>0</v>
      </c>
      <c r="L185" s="20">
        <f>IF(A185="","",IF(OR(D185="",K185=""),"",ROUND(D185*K185,2)))</f>
        <v>0</v>
      </c>
      <c r="M185" s="33">
        <f>IF(A185="","",IFERROR(L185/SUMIFS('Waste Log'!$L$5:$L$204,'Waste Log'!$B$5:$B$204,B185),""))</f>
        <v>0</v>
      </c>
      <c r="N185" s="43">
        <f>IF(A185="","",IF(B185="","Add - which material?",IF(D185="","Add - how much?",IF(K185="","Check - that material has no price",IF(G185="Yes","Avoidable - worth a second look","Logged")))))</f>
        <v>0</v>
      </c>
    </row>
    <row r="186" spans="3:14">
      <c r="C186" s="13">
        <f>IF(B186="","",IFERROR(INDEX(Materials!$B$5:$B$254,MATCH(B186,Materials!$A$5:$A$254,0)),"Add to Materials"))</f>
        <v>0</v>
      </c>
      <c r="I186" s="13">
        <f>IF(A186="","",TEXT(A186,"yyyy-mm"))</f>
        <v>0</v>
      </c>
      <c r="J186" s="13">
        <f>IF(B186="","",IFERROR(INDEX(Materials!$H$5:$H$254,MATCH(B186,Materials!$A$5:$A$254,0)),"Add to Materials"))</f>
        <v>0</v>
      </c>
      <c r="K186" s="45">
        <f>IF(B186="","",IFERROR(INDEX(Materials!$S$5:$S$254,MATCH(B186,Materials!$A$5:$A$254,0)),""))</f>
        <v>0</v>
      </c>
      <c r="L186" s="20">
        <f>IF(A186="","",IF(OR(D186="",K186=""),"",ROUND(D186*K186,2)))</f>
        <v>0</v>
      </c>
      <c r="M186" s="33">
        <f>IF(A186="","",IFERROR(L186/SUMIFS('Waste Log'!$L$5:$L$204,'Waste Log'!$B$5:$B$204,B186),""))</f>
        <v>0</v>
      </c>
      <c r="N186" s="43">
        <f>IF(A186="","",IF(B186="","Add - which material?",IF(D186="","Add - how much?",IF(K186="","Check - that material has no price",IF(G186="Yes","Avoidable - worth a second look","Logged")))))</f>
        <v>0</v>
      </c>
    </row>
    <row r="187" spans="3:14">
      <c r="C187" s="13">
        <f>IF(B187="","",IFERROR(INDEX(Materials!$B$5:$B$254,MATCH(B187,Materials!$A$5:$A$254,0)),"Add to Materials"))</f>
        <v>0</v>
      </c>
      <c r="I187" s="13">
        <f>IF(A187="","",TEXT(A187,"yyyy-mm"))</f>
        <v>0</v>
      </c>
      <c r="J187" s="13">
        <f>IF(B187="","",IFERROR(INDEX(Materials!$H$5:$H$254,MATCH(B187,Materials!$A$5:$A$254,0)),"Add to Materials"))</f>
        <v>0</v>
      </c>
      <c r="K187" s="45">
        <f>IF(B187="","",IFERROR(INDEX(Materials!$S$5:$S$254,MATCH(B187,Materials!$A$5:$A$254,0)),""))</f>
        <v>0</v>
      </c>
      <c r="L187" s="20">
        <f>IF(A187="","",IF(OR(D187="",K187=""),"",ROUND(D187*K187,2)))</f>
        <v>0</v>
      </c>
      <c r="M187" s="33">
        <f>IF(A187="","",IFERROR(L187/SUMIFS('Waste Log'!$L$5:$L$204,'Waste Log'!$B$5:$B$204,B187),""))</f>
        <v>0</v>
      </c>
      <c r="N187" s="43">
        <f>IF(A187="","",IF(B187="","Add - which material?",IF(D187="","Add - how much?",IF(K187="","Check - that material has no price",IF(G187="Yes","Avoidable - worth a second look","Logged")))))</f>
        <v>0</v>
      </c>
    </row>
    <row r="188" spans="3:14">
      <c r="C188" s="13">
        <f>IF(B188="","",IFERROR(INDEX(Materials!$B$5:$B$254,MATCH(B188,Materials!$A$5:$A$254,0)),"Add to Materials"))</f>
        <v>0</v>
      </c>
      <c r="I188" s="13">
        <f>IF(A188="","",TEXT(A188,"yyyy-mm"))</f>
        <v>0</v>
      </c>
      <c r="J188" s="13">
        <f>IF(B188="","",IFERROR(INDEX(Materials!$H$5:$H$254,MATCH(B188,Materials!$A$5:$A$254,0)),"Add to Materials"))</f>
        <v>0</v>
      </c>
      <c r="K188" s="45">
        <f>IF(B188="","",IFERROR(INDEX(Materials!$S$5:$S$254,MATCH(B188,Materials!$A$5:$A$254,0)),""))</f>
        <v>0</v>
      </c>
      <c r="L188" s="20">
        <f>IF(A188="","",IF(OR(D188="",K188=""),"",ROUND(D188*K188,2)))</f>
        <v>0</v>
      </c>
      <c r="M188" s="33">
        <f>IF(A188="","",IFERROR(L188/SUMIFS('Waste Log'!$L$5:$L$204,'Waste Log'!$B$5:$B$204,B188),""))</f>
        <v>0</v>
      </c>
      <c r="N188" s="43">
        <f>IF(A188="","",IF(B188="","Add - which material?",IF(D188="","Add - how much?",IF(K188="","Check - that material has no price",IF(G188="Yes","Avoidable - worth a second look","Logged")))))</f>
        <v>0</v>
      </c>
    </row>
    <row r="189" spans="3:14">
      <c r="C189" s="13">
        <f>IF(B189="","",IFERROR(INDEX(Materials!$B$5:$B$254,MATCH(B189,Materials!$A$5:$A$254,0)),"Add to Materials"))</f>
        <v>0</v>
      </c>
      <c r="I189" s="13">
        <f>IF(A189="","",TEXT(A189,"yyyy-mm"))</f>
        <v>0</v>
      </c>
      <c r="J189" s="13">
        <f>IF(B189="","",IFERROR(INDEX(Materials!$H$5:$H$254,MATCH(B189,Materials!$A$5:$A$254,0)),"Add to Materials"))</f>
        <v>0</v>
      </c>
      <c r="K189" s="45">
        <f>IF(B189="","",IFERROR(INDEX(Materials!$S$5:$S$254,MATCH(B189,Materials!$A$5:$A$254,0)),""))</f>
        <v>0</v>
      </c>
      <c r="L189" s="20">
        <f>IF(A189="","",IF(OR(D189="",K189=""),"",ROUND(D189*K189,2)))</f>
        <v>0</v>
      </c>
      <c r="M189" s="33">
        <f>IF(A189="","",IFERROR(L189/SUMIFS('Waste Log'!$L$5:$L$204,'Waste Log'!$B$5:$B$204,B189),""))</f>
        <v>0</v>
      </c>
      <c r="N189" s="43">
        <f>IF(A189="","",IF(B189="","Add - which material?",IF(D189="","Add - how much?",IF(K189="","Check - that material has no price",IF(G189="Yes","Avoidable - worth a second look","Logged")))))</f>
        <v>0</v>
      </c>
    </row>
    <row r="190" spans="3:14">
      <c r="C190" s="13">
        <f>IF(B190="","",IFERROR(INDEX(Materials!$B$5:$B$254,MATCH(B190,Materials!$A$5:$A$254,0)),"Add to Materials"))</f>
        <v>0</v>
      </c>
      <c r="I190" s="13">
        <f>IF(A190="","",TEXT(A190,"yyyy-mm"))</f>
        <v>0</v>
      </c>
      <c r="J190" s="13">
        <f>IF(B190="","",IFERROR(INDEX(Materials!$H$5:$H$254,MATCH(B190,Materials!$A$5:$A$254,0)),"Add to Materials"))</f>
        <v>0</v>
      </c>
      <c r="K190" s="45">
        <f>IF(B190="","",IFERROR(INDEX(Materials!$S$5:$S$254,MATCH(B190,Materials!$A$5:$A$254,0)),""))</f>
        <v>0</v>
      </c>
      <c r="L190" s="20">
        <f>IF(A190="","",IF(OR(D190="",K190=""),"",ROUND(D190*K190,2)))</f>
        <v>0</v>
      </c>
      <c r="M190" s="33">
        <f>IF(A190="","",IFERROR(L190/SUMIFS('Waste Log'!$L$5:$L$204,'Waste Log'!$B$5:$B$204,B190),""))</f>
        <v>0</v>
      </c>
      <c r="N190" s="43">
        <f>IF(A190="","",IF(B190="","Add - which material?",IF(D190="","Add - how much?",IF(K190="","Check - that material has no price",IF(G190="Yes","Avoidable - worth a second look","Logged")))))</f>
        <v>0</v>
      </c>
    </row>
    <row r="191" spans="3:14">
      <c r="C191" s="13">
        <f>IF(B191="","",IFERROR(INDEX(Materials!$B$5:$B$254,MATCH(B191,Materials!$A$5:$A$254,0)),"Add to Materials"))</f>
        <v>0</v>
      </c>
      <c r="I191" s="13">
        <f>IF(A191="","",TEXT(A191,"yyyy-mm"))</f>
        <v>0</v>
      </c>
      <c r="J191" s="13">
        <f>IF(B191="","",IFERROR(INDEX(Materials!$H$5:$H$254,MATCH(B191,Materials!$A$5:$A$254,0)),"Add to Materials"))</f>
        <v>0</v>
      </c>
      <c r="K191" s="45">
        <f>IF(B191="","",IFERROR(INDEX(Materials!$S$5:$S$254,MATCH(B191,Materials!$A$5:$A$254,0)),""))</f>
        <v>0</v>
      </c>
      <c r="L191" s="20">
        <f>IF(A191="","",IF(OR(D191="",K191=""),"",ROUND(D191*K191,2)))</f>
        <v>0</v>
      </c>
      <c r="M191" s="33">
        <f>IF(A191="","",IFERROR(L191/SUMIFS('Waste Log'!$L$5:$L$204,'Waste Log'!$B$5:$B$204,B191),""))</f>
        <v>0</v>
      </c>
      <c r="N191" s="43">
        <f>IF(A191="","",IF(B191="","Add - which material?",IF(D191="","Add - how much?",IF(K191="","Check - that material has no price",IF(G191="Yes","Avoidable - worth a second look","Logged")))))</f>
        <v>0</v>
      </c>
    </row>
    <row r="192" spans="3:14">
      <c r="C192" s="13">
        <f>IF(B192="","",IFERROR(INDEX(Materials!$B$5:$B$254,MATCH(B192,Materials!$A$5:$A$254,0)),"Add to Materials"))</f>
        <v>0</v>
      </c>
      <c r="I192" s="13">
        <f>IF(A192="","",TEXT(A192,"yyyy-mm"))</f>
        <v>0</v>
      </c>
      <c r="J192" s="13">
        <f>IF(B192="","",IFERROR(INDEX(Materials!$H$5:$H$254,MATCH(B192,Materials!$A$5:$A$254,0)),"Add to Materials"))</f>
        <v>0</v>
      </c>
      <c r="K192" s="45">
        <f>IF(B192="","",IFERROR(INDEX(Materials!$S$5:$S$254,MATCH(B192,Materials!$A$5:$A$254,0)),""))</f>
        <v>0</v>
      </c>
      <c r="L192" s="20">
        <f>IF(A192="","",IF(OR(D192="",K192=""),"",ROUND(D192*K192,2)))</f>
        <v>0</v>
      </c>
      <c r="M192" s="33">
        <f>IF(A192="","",IFERROR(L192/SUMIFS('Waste Log'!$L$5:$L$204,'Waste Log'!$B$5:$B$204,B192),""))</f>
        <v>0</v>
      </c>
      <c r="N192" s="43">
        <f>IF(A192="","",IF(B192="","Add - which material?",IF(D192="","Add - how much?",IF(K192="","Check - that material has no price",IF(G192="Yes","Avoidable - worth a second look","Logged")))))</f>
        <v>0</v>
      </c>
    </row>
    <row r="193" spans="1:14">
      <c r="C193" s="13">
        <f>IF(B193="","",IFERROR(INDEX(Materials!$B$5:$B$254,MATCH(B193,Materials!$A$5:$A$254,0)),"Add to Materials"))</f>
        <v>0</v>
      </c>
      <c r="I193" s="13">
        <f>IF(A193="","",TEXT(A193,"yyyy-mm"))</f>
        <v>0</v>
      </c>
      <c r="J193" s="13">
        <f>IF(B193="","",IFERROR(INDEX(Materials!$H$5:$H$254,MATCH(B193,Materials!$A$5:$A$254,0)),"Add to Materials"))</f>
        <v>0</v>
      </c>
      <c r="K193" s="45">
        <f>IF(B193="","",IFERROR(INDEX(Materials!$S$5:$S$254,MATCH(B193,Materials!$A$5:$A$254,0)),""))</f>
        <v>0</v>
      </c>
      <c r="L193" s="20">
        <f>IF(A193="","",IF(OR(D193="",K193=""),"",ROUND(D193*K193,2)))</f>
        <v>0</v>
      </c>
      <c r="M193" s="33">
        <f>IF(A193="","",IFERROR(L193/SUMIFS('Waste Log'!$L$5:$L$204,'Waste Log'!$B$5:$B$204,B193),""))</f>
        <v>0</v>
      </c>
      <c r="N193" s="43">
        <f>IF(A193="","",IF(B193="","Add - which material?",IF(D193="","Add - how much?",IF(K193="","Check - that material has no price",IF(G193="Yes","Avoidable - worth a second look","Logged")))))</f>
        <v>0</v>
      </c>
    </row>
    <row r="194" spans="1:14">
      <c r="C194" s="13">
        <f>IF(B194="","",IFERROR(INDEX(Materials!$B$5:$B$254,MATCH(B194,Materials!$A$5:$A$254,0)),"Add to Materials"))</f>
        <v>0</v>
      </c>
      <c r="I194" s="13">
        <f>IF(A194="","",TEXT(A194,"yyyy-mm"))</f>
        <v>0</v>
      </c>
      <c r="J194" s="13">
        <f>IF(B194="","",IFERROR(INDEX(Materials!$H$5:$H$254,MATCH(B194,Materials!$A$5:$A$254,0)),"Add to Materials"))</f>
        <v>0</v>
      </c>
      <c r="K194" s="45">
        <f>IF(B194="","",IFERROR(INDEX(Materials!$S$5:$S$254,MATCH(B194,Materials!$A$5:$A$254,0)),""))</f>
        <v>0</v>
      </c>
      <c r="L194" s="20">
        <f>IF(A194="","",IF(OR(D194="",K194=""),"",ROUND(D194*K194,2)))</f>
        <v>0</v>
      </c>
      <c r="M194" s="33">
        <f>IF(A194="","",IFERROR(L194/SUMIFS('Waste Log'!$L$5:$L$204,'Waste Log'!$B$5:$B$204,B194),""))</f>
        <v>0</v>
      </c>
      <c r="N194" s="43">
        <f>IF(A194="","",IF(B194="","Add - which material?",IF(D194="","Add - how much?",IF(K194="","Check - that material has no price",IF(G194="Yes","Avoidable - worth a second look","Logged")))))</f>
        <v>0</v>
      </c>
    </row>
    <row r="195" spans="1:14">
      <c r="C195" s="13">
        <f>IF(B195="","",IFERROR(INDEX(Materials!$B$5:$B$254,MATCH(B195,Materials!$A$5:$A$254,0)),"Add to Materials"))</f>
        <v>0</v>
      </c>
      <c r="I195" s="13">
        <f>IF(A195="","",TEXT(A195,"yyyy-mm"))</f>
        <v>0</v>
      </c>
      <c r="J195" s="13">
        <f>IF(B195="","",IFERROR(INDEX(Materials!$H$5:$H$254,MATCH(B195,Materials!$A$5:$A$254,0)),"Add to Materials"))</f>
        <v>0</v>
      </c>
      <c r="K195" s="45">
        <f>IF(B195="","",IFERROR(INDEX(Materials!$S$5:$S$254,MATCH(B195,Materials!$A$5:$A$254,0)),""))</f>
        <v>0</v>
      </c>
      <c r="L195" s="20">
        <f>IF(A195="","",IF(OR(D195="",K195=""),"",ROUND(D195*K195,2)))</f>
        <v>0</v>
      </c>
      <c r="M195" s="33">
        <f>IF(A195="","",IFERROR(L195/SUMIFS('Waste Log'!$L$5:$L$204,'Waste Log'!$B$5:$B$204,B195),""))</f>
        <v>0</v>
      </c>
      <c r="N195" s="43">
        <f>IF(A195="","",IF(B195="","Add - which material?",IF(D195="","Add - how much?",IF(K195="","Check - that material has no price",IF(G195="Yes","Avoidable - worth a second look","Logged")))))</f>
        <v>0</v>
      </c>
    </row>
    <row r="196" spans="1:14">
      <c r="C196" s="13">
        <f>IF(B196="","",IFERROR(INDEX(Materials!$B$5:$B$254,MATCH(B196,Materials!$A$5:$A$254,0)),"Add to Materials"))</f>
        <v>0</v>
      </c>
      <c r="I196" s="13">
        <f>IF(A196="","",TEXT(A196,"yyyy-mm"))</f>
        <v>0</v>
      </c>
      <c r="J196" s="13">
        <f>IF(B196="","",IFERROR(INDEX(Materials!$H$5:$H$254,MATCH(B196,Materials!$A$5:$A$254,0)),"Add to Materials"))</f>
        <v>0</v>
      </c>
      <c r="K196" s="45">
        <f>IF(B196="","",IFERROR(INDEX(Materials!$S$5:$S$254,MATCH(B196,Materials!$A$5:$A$254,0)),""))</f>
        <v>0</v>
      </c>
      <c r="L196" s="20">
        <f>IF(A196="","",IF(OR(D196="",K196=""),"",ROUND(D196*K196,2)))</f>
        <v>0</v>
      </c>
      <c r="M196" s="33">
        <f>IF(A196="","",IFERROR(L196/SUMIFS('Waste Log'!$L$5:$L$204,'Waste Log'!$B$5:$B$204,B196),""))</f>
        <v>0</v>
      </c>
      <c r="N196" s="43">
        <f>IF(A196="","",IF(B196="","Add - which material?",IF(D196="","Add - how much?",IF(K196="","Check - that material has no price",IF(G196="Yes","Avoidable - worth a second look","Logged")))))</f>
        <v>0</v>
      </c>
    </row>
    <row r="197" spans="1:14">
      <c r="C197" s="13">
        <f>IF(B197="","",IFERROR(INDEX(Materials!$B$5:$B$254,MATCH(B197,Materials!$A$5:$A$254,0)),"Add to Materials"))</f>
        <v>0</v>
      </c>
      <c r="I197" s="13">
        <f>IF(A197="","",TEXT(A197,"yyyy-mm"))</f>
        <v>0</v>
      </c>
      <c r="J197" s="13">
        <f>IF(B197="","",IFERROR(INDEX(Materials!$H$5:$H$254,MATCH(B197,Materials!$A$5:$A$254,0)),"Add to Materials"))</f>
        <v>0</v>
      </c>
      <c r="K197" s="45">
        <f>IF(B197="","",IFERROR(INDEX(Materials!$S$5:$S$254,MATCH(B197,Materials!$A$5:$A$254,0)),""))</f>
        <v>0</v>
      </c>
      <c r="L197" s="20">
        <f>IF(A197="","",IF(OR(D197="",K197=""),"",ROUND(D197*K197,2)))</f>
        <v>0</v>
      </c>
      <c r="M197" s="33">
        <f>IF(A197="","",IFERROR(L197/SUMIFS('Waste Log'!$L$5:$L$204,'Waste Log'!$B$5:$B$204,B197),""))</f>
        <v>0</v>
      </c>
      <c r="N197" s="43">
        <f>IF(A197="","",IF(B197="","Add - which material?",IF(D197="","Add - how much?",IF(K197="","Check - that material has no price",IF(G197="Yes","Avoidable - worth a second look","Logged")))))</f>
        <v>0</v>
      </c>
    </row>
    <row r="198" spans="1:14">
      <c r="C198" s="13">
        <f>IF(B198="","",IFERROR(INDEX(Materials!$B$5:$B$254,MATCH(B198,Materials!$A$5:$A$254,0)),"Add to Materials"))</f>
        <v>0</v>
      </c>
      <c r="I198" s="13">
        <f>IF(A198="","",TEXT(A198,"yyyy-mm"))</f>
        <v>0</v>
      </c>
      <c r="J198" s="13">
        <f>IF(B198="","",IFERROR(INDEX(Materials!$H$5:$H$254,MATCH(B198,Materials!$A$5:$A$254,0)),"Add to Materials"))</f>
        <v>0</v>
      </c>
      <c r="K198" s="45">
        <f>IF(B198="","",IFERROR(INDEX(Materials!$S$5:$S$254,MATCH(B198,Materials!$A$5:$A$254,0)),""))</f>
        <v>0</v>
      </c>
      <c r="L198" s="20">
        <f>IF(A198="","",IF(OR(D198="",K198=""),"",ROUND(D198*K198,2)))</f>
        <v>0</v>
      </c>
      <c r="M198" s="33">
        <f>IF(A198="","",IFERROR(L198/SUMIFS('Waste Log'!$L$5:$L$204,'Waste Log'!$B$5:$B$204,B198),""))</f>
        <v>0</v>
      </c>
      <c r="N198" s="43">
        <f>IF(A198="","",IF(B198="","Add - which material?",IF(D198="","Add - how much?",IF(K198="","Check - that material has no price",IF(G198="Yes","Avoidable - worth a second look","Logged")))))</f>
        <v>0</v>
      </c>
    </row>
    <row r="199" spans="1:14">
      <c r="C199" s="13">
        <f>IF(B199="","",IFERROR(INDEX(Materials!$B$5:$B$254,MATCH(B199,Materials!$A$5:$A$254,0)),"Add to Materials"))</f>
        <v>0</v>
      </c>
      <c r="I199" s="13">
        <f>IF(A199="","",TEXT(A199,"yyyy-mm"))</f>
        <v>0</v>
      </c>
      <c r="J199" s="13">
        <f>IF(B199="","",IFERROR(INDEX(Materials!$H$5:$H$254,MATCH(B199,Materials!$A$5:$A$254,0)),"Add to Materials"))</f>
        <v>0</v>
      </c>
      <c r="K199" s="45">
        <f>IF(B199="","",IFERROR(INDEX(Materials!$S$5:$S$254,MATCH(B199,Materials!$A$5:$A$254,0)),""))</f>
        <v>0</v>
      </c>
      <c r="L199" s="20">
        <f>IF(A199="","",IF(OR(D199="",K199=""),"",ROUND(D199*K199,2)))</f>
        <v>0</v>
      </c>
      <c r="M199" s="33">
        <f>IF(A199="","",IFERROR(L199/SUMIFS('Waste Log'!$L$5:$L$204,'Waste Log'!$B$5:$B$204,B199),""))</f>
        <v>0</v>
      </c>
      <c r="N199" s="43">
        <f>IF(A199="","",IF(B199="","Add - which material?",IF(D199="","Add - how much?",IF(K199="","Check - that material has no price",IF(G199="Yes","Avoidable - worth a second look","Logged")))))</f>
        <v>0</v>
      </c>
    </row>
    <row r="200" spans="1:14">
      <c r="C200" s="13">
        <f>IF(B200="","",IFERROR(INDEX(Materials!$B$5:$B$254,MATCH(B200,Materials!$A$5:$A$254,0)),"Add to Materials"))</f>
        <v>0</v>
      </c>
      <c r="I200" s="13">
        <f>IF(A200="","",TEXT(A200,"yyyy-mm"))</f>
        <v>0</v>
      </c>
      <c r="J200" s="13">
        <f>IF(B200="","",IFERROR(INDEX(Materials!$H$5:$H$254,MATCH(B200,Materials!$A$5:$A$254,0)),"Add to Materials"))</f>
        <v>0</v>
      </c>
      <c r="K200" s="45">
        <f>IF(B200="","",IFERROR(INDEX(Materials!$S$5:$S$254,MATCH(B200,Materials!$A$5:$A$254,0)),""))</f>
        <v>0</v>
      </c>
      <c r="L200" s="20">
        <f>IF(A200="","",IF(OR(D200="",K200=""),"",ROUND(D200*K200,2)))</f>
        <v>0</v>
      </c>
      <c r="M200" s="33">
        <f>IF(A200="","",IFERROR(L200/SUMIFS('Waste Log'!$L$5:$L$204,'Waste Log'!$B$5:$B$204,B200),""))</f>
        <v>0</v>
      </c>
      <c r="N200" s="43">
        <f>IF(A200="","",IF(B200="","Add - which material?",IF(D200="","Add - how much?",IF(K200="","Check - that material has no price",IF(G200="Yes","Avoidable - worth a second look","Logged")))))</f>
        <v>0</v>
      </c>
    </row>
    <row r="201" spans="1:14">
      <c r="C201" s="13">
        <f>IF(B201="","",IFERROR(INDEX(Materials!$B$5:$B$254,MATCH(B201,Materials!$A$5:$A$254,0)),"Add to Materials"))</f>
        <v>0</v>
      </c>
      <c r="I201" s="13">
        <f>IF(A201="","",TEXT(A201,"yyyy-mm"))</f>
        <v>0</v>
      </c>
      <c r="J201" s="13">
        <f>IF(B201="","",IFERROR(INDEX(Materials!$H$5:$H$254,MATCH(B201,Materials!$A$5:$A$254,0)),"Add to Materials"))</f>
        <v>0</v>
      </c>
      <c r="K201" s="45">
        <f>IF(B201="","",IFERROR(INDEX(Materials!$S$5:$S$254,MATCH(B201,Materials!$A$5:$A$254,0)),""))</f>
        <v>0</v>
      </c>
      <c r="L201" s="20">
        <f>IF(A201="","",IF(OR(D201="",K201=""),"",ROUND(D201*K201,2)))</f>
        <v>0</v>
      </c>
      <c r="M201" s="33">
        <f>IF(A201="","",IFERROR(L201/SUMIFS('Waste Log'!$L$5:$L$204,'Waste Log'!$B$5:$B$204,B201),""))</f>
        <v>0</v>
      </c>
      <c r="N201" s="43">
        <f>IF(A201="","",IF(B201="","Add - which material?",IF(D201="","Add - how much?",IF(K201="","Check - that material has no price",IF(G201="Yes","Avoidable - worth a second look","Logged")))))</f>
        <v>0</v>
      </c>
    </row>
    <row r="202" spans="1:14">
      <c r="C202" s="13">
        <f>IF(B202="","",IFERROR(INDEX(Materials!$B$5:$B$254,MATCH(B202,Materials!$A$5:$A$254,0)),"Add to Materials"))</f>
        <v>0</v>
      </c>
      <c r="I202" s="13">
        <f>IF(A202="","",TEXT(A202,"yyyy-mm"))</f>
        <v>0</v>
      </c>
      <c r="J202" s="13">
        <f>IF(B202="","",IFERROR(INDEX(Materials!$H$5:$H$254,MATCH(B202,Materials!$A$5:$A$254,0)),"Add to Materials"))</f>
        <v>0</v>
      </c>
      <c r="K202" s="45">
        <f>IF(B202="","",IFERROR(INDEX(Materials!$S$5:$S$254,MATCH(B202,Materials!$A$5:$A$254,0)),""))</f>
        <v>0</v>
      </c>
      <c r="L202" s="20">
        <f>IF(A202="","",IF(OR(D202="",K202=""),"",ROUND(D202*K202,2)))</f>
        <v>0</v>
      </c>
      <c r="M202" s="33">
        <f>IF(A202="","",IFERROR(L202/SUMIFS('Waste Log'!$L$5:$L$204,'Waste Log'!$B$5:$B$204,B202),""))</f>
        <v>0</v>
      </c>
      <c r="N202" s="43">
        <f>IF(A202="","",IF(B202="","Add - which material?",IF(D202="","Add - how much?",IF(K202="","Check - that material has no price",IF(G202="Yes","Avoidable - worth a second look","Logged")))))</f>
        <v>0</v>
      </c>
    </row>
    <row r="203" spans="1:14">
      <c r="C203" s="13">
        <f>IF(B203="","",IFERROR(INDEX(Materials!$B$5:$B$254,MATCH(B203,Materials!$A$5:$A$254,0)),"Add to Materials"))</f>
        <v>0</v>
      </c>
      <c r="I203" s="13">
        <f>IF(A203="","",TEXT(A203,"yyyy-mm"))</f>
        <v>0</v>
      </c>
      <c r="J203" s="13">
        <f>IF(B203="","",IFERROR(INDEX(Materials!$H$5:$H$254,MATCH(B203,Materials!$A$5:$A$254,0)),"Add to Materials"))</f>
        <v>0</v>
      </c>
      <c r="K203" s="45">
        <f>IF(B203="","",IFERROR(INDEX(Materials!$S$5:$S$254,MATCH(B203,Materials!$A$5:$A$254,0)),""))</f>
        <v>0</v>
      </c>
      <c r="L203" s="20">
        <f>IF(A203="","",IF(OR(D203="",K203=""),"",ROUND(D203*K203,2)))</f>
        <v>0</v>
      </c>
      <c r="M203" s="33">
        <f>IF(A203="","",IFERROR(L203/SUMIFS('Waste Log'!$L$5:$L$204,'Waste Log'!$B$5:$B$204,B203),""))</f>
        <v>0</v>
      </c>
      <c r="N203" s="43">
        <f>IF(A203="","",IF(B203="","Add - which material?",IF(D203="","Add - how much?",IF(K203="","Check - that material has no price",IF(G203="Yes","Avoidable - worth a second look","Logged")))))</f>
        <v>0</v>
      </c>
    </row>
    <row r="204" spans="1:14">
      <c r="C204" s="13">
        <f>IF(B204="","",IFERROR(INDEX(Materials!$B$5:$B$254,MATCH(B204,Materials!$A$5:$A$254,0)),"Add to Materials"))</f>
        <v>0</v>
      </c>
      <c r="I204" s="13">
        <f>IF(A204="","",TEXT(A204,"yyyy-mm"))</f>
        <v>0</v>
      </c>
      <c r="J204" s="13">
        <f>IF(B204="","",IFERROR(INDEX(Materials!$H$5:$H$254,MATCH(B204,Materials!$A$5:$A$254,0)),"Add to Materials"))</f>
        <v>0</v>
      </c>
      <c r="K204" s="45">
        <f>IF(B204="","",IFERROR(INDEX(Materials!$S$5:$S$254,MATCH(B204,Materials!$A$5:$A$254,0)),""))</f>
        <v>0</v>
      </c>
      <c r="L204" s="20">
        <f>IF(A204="","",IF(OR(D204="",K204=""),"",ROUND(D204*K204,2)))</f>
        <v>0</v>
      </c>
      <c r="M204" s="33">
        <f>IF(A204="","",IFERROR(L204/SUMIFS('Waste Log'!$L$5:$L$204,'Waste Log'!$B$5:$B$204,B204),""))</f>
        <v>0</v>
      </c>
      <c r="N204" s="43">
        <f>IF(A204="","",IF(B204="","Add - which material?",IF(D204="","Add - how much?",IF(K204="","Check - that material has no price",IF(G204="Yes","Avoidable - worth a second look","Logged")))))</f>
        <v>0</v>
      </c>
    </row>
    <row r="206" spans="1:14" ht="20" customHeight="1">
      <c r="A206" s="7" t="s">
        <v>1798</v>
      </c>
      <c r="B206" s="7"/>
      <c r="C206" s="7"/>
      <c r="D206" s="7"/>
      <c r="E206" s="7"/>
      <c r="F206" s="7"/>
      <c r="G206" s="7"/>
      <c r="H206" s="7"/>
      <c r="I206" s="7"/>
      <c r="J206" s="7"/>
      <c r="K206" s="7"/>
      <c r="L206" s="7"/>
      <c r="M206" s="7"/>
      <c r="N206" s="7"/>
    </row>
    <row r="207" spans="1:14" ht="26" customHeight="1">
      <c r="A207" s="8" t="s">
        <v>1799</v>
      </c>
      <c r="B207" s="9" t="s">
        <v>1379</v>
      </c>
      <c r="C207" s="9" t="s">
        <v>1800</v>
      </c>
      <c r="D207" s="9" t="s">
        <v>1213</v>
      </c>
      <c r="E207" s="9" t="s">
        <v>1801</v>
      </c>
    </row>
    <row r="208" spans="1:14">
      <c r="A208" s="32">
        <f>COUNTIF('Waste Log'!$A$5:$A$204,"&lt;&gt;")</f>
        <v>0</v>
      </c>
      <c r="B208" s="20">
        <f>ROUND(SUM('Waste Log'!$L$5:$L$204),2)</f>
        <v>0</v>
      </c>
      <c r="C208" s="20">
        <f>ROUND(SUMIFS('Waste Log'!$L$5:$L$204,'Waste Log'!$G$5:$G$204,"Yes"),2)</f>
        <v>0</v>
      </c>
      <c r="D208" s="20">
        <f>ROUND(SUMIFS('Waste Log'!$L$5:$L$204,'Waste Log'!$A$5:$A$204,"&gt;="&amp;MonthStart),2)</f>
        <v>0</v>
      </c>
      <c r="E208" s="33">
        <f>IFERROR(SUM('Waste Log'!$L$5:$L$204)/SUM(Materials!$AB$5:$AB$254),"")</f>
        <v>0</v>
      </c>
    </row>
  </sheetData>
  <sheetProtection password="EC7C" sheet="1" objects="1" scenarios="1" formatCells="0" formatColumns="0" formatRows="0" insertRows="0" insertHyperlinks="0" deleteRows="0" autoFilter="0"/>
  <autoFilter ref="A4:N204"/>
  <mergeCells count="11">
    <mergeCell ref="A1:K1"/>
    <mergeCell ref="L1:N1"/>
    <mergeCell ref="A2:N2"/>
    <mergeCell ref="A3:B3"/>
    <mergeCell ref="C3:D3"/>
    <mergeCell ref="E3:F3"/>
    <mergeCell ref="G3:H3"/>
    <mergeCell ref="I3:J3"/>
    <mergeCell ref="K3:L3"/>
    <mergeCell ref="M3:N3"/>
    <mergeCell ref="A206:N206"/>
  </mergeCells>
  <conditionalFormatting sqref="G5:G204">
    <cfRule type="containsText" dxfId="0" priority="1" operator="containsText" text="No">
      <formula>NOT(ISERROR(SEARCH("No",G5)))</formula>
    </cfRule>
    <cfRule type="containsText" dxfId="1" priority="2" operator="containsText" text="Yes">
      <formula>NOT(ISERROR(SEARCH("Yes",G5)))</formula>
    </cfRule>
  </conditionalFormatting>
  <conditionalFormatting sqref="N5:N204">
    <cfRule type="beginsWith" dxfId="1" priority="3" operator="beginsWith" text="OK">
      <formula>LEFT(N5,2)="OK"</formula>
    </cfRule>
    <cfRule type="containsText" dxfId="2" priority="4" operator="containsText" text="Overdue">
      <formula>NOT(ISERROR(SEARCH("Overdue",N5)))</formula>
    </cfRule>
    <cfRule type="containsText" dxfId="2" priority="5" operator="containsText" text="Late">
      <formula>NOT(ISERROR(SEARCH("Late",N5)))</formula>
    </cfRule>
    <cfRule type="containsText" dxfId="2" priority="6" operator="containsText" text="Missing">
      <formula>NOT(ISERROR(SEARCH("Missing",N5)))</formula>
    </cfRule>
    <cfRule type="containsText" dxfId="2" priority="7" operator="containsText" text="Conflict">
      <formula>NOT(ISERROR(SEARCH("Conflict",N5)))</formula>
    </cfRule>
    <cfRule type="containsText" dxfId="2" priority="8" operator="containsText" text="Clash">
      <formula>NOT(ISERROR(SEARCH("Clash",N5)))</formula>
    </cfRule>
    <cfRule type="containsText" dxfId="2" priority="9" operator="containsText" text="Expired">
      <formula>NOT(ISERROR(SEARCH("Expired",N5)))</formula>
    </cfRule>
    <cfRule type="containsText" dxfId="2" priority="10" operator="containsText" text="Duplicate">
      <formula>NOT(ISERROR(SEARCH("Duplicate",N5)))</formula>
    </cfRule>
    <cfRule type="containsText" dxfId="2" priority="11" operator="containsText" text="Unpaid">
      <formula>NOT(ISERROR(SEARCH("Unpaid",N5)))</formula>
    </cfRule>
    <cfRule type="containsText" dxfId="2" priority="12" operator="containsText" text="Loss">
      <formula>NOT(ISERROR(SEARCH("Loss",N5)))</formula>
    </cfRule>
    <cfRule type="containsText" dxfId="2" priority="13" operator="containsText" text="Below">
      <formula>NOT(ISERROR(SEARCH("Below",N5)))</formula>
    </cfRule>
    <cfRule type="containsText" dxfId="0" priority="14" operator="containsText" text="Action">
      <formula>NOT(ISERROR(SEARCH("Action",N5)))</formula>
    </cfRule>
    <cfRule type="containsText" dxfId="0" priority="15" operator="containsText" text="Due">
      <formula>NOT(ISERROR(SEARCH("Due",N5)))</formula>
    </cfRule>
    <cfRule type="containsText" dxfId="0" priority="16" operator="containsText" text="Check">
      <formula>NOT(ISERROR(SEARCH("Check",N5)))</formula>
    </cfRule>
    <cfRule type="containsText" dxfId="0" priority="17" operator="containsText" text="Chase">
      <formula>NOT(ISERROR(SEARCH("Chase",N5)))</formula>
    </cfRule>
    <cfRule type="containsText" dxfId="0" priority="18" operator="containsText" text="Assign">
      <formula>NOT(ISERROR(SEARCH("Assign",N5)))</formula>
    </cfRule>
    <cfRule type="containsText" dxfId="0" priority="19" operator="containsText" text="Confirm">
      <formula>NOT(ISERROR(SEARCH("Confirm",N5)))</formula>
    </cfRule>
    <cfRule type="containsText" dxfId="0" priority="20" operator="containsText" text="Order">
      <formula>NOT(ISERROR(SEARCH("Order",N5)))</formula>
    </cfRule>
    <cfRule type="containsText" dxfId="3" priority="21" operator="containsText" text="Today">
      <formula>NOT(ISERROR(SEARCH("Today",N5)))</formula>
    </cfRule>
    <cfRule type="containsText" dxfId="3" priority="22" operator="containsText" text="Upcoming">
      <formula>NOT(ISERROR(SEARCH("Upcoming",N5)))</formula>
    </cfRule>
    <cfRule type="containsText" dxfId="3" priority="23" operator="containsText" text="Tomorrow">
      <formula>NOT(ISERROR(SEARCH("Tomorrow",N5)))</formula>
    </cfRule>
  </conditionalFormatting>
  <dataValidations count="6">
    <dataValidation type="date" allowBlank="1" showInputMessage="1" showErrorMessage="1" errorTitle="Check the date" error="Enter a real date between 2000 and 2100." sqref="A5:A204">
      <formula1>36526</formula1>
      <formula2>73415</formula2>
    </dataValidation>
    <dataValidation type="list" allowBlank="1" showInputMessage="1" showErrorMessage="1" sqref="B5:B204">
      <formula1>MaterialIDs</formula1>
    </dataValidation>
    <dataValidation type="decimal" allowBlank="1" showInputMessage="1" showErrorMessage="1" errorTitle="Check the value" error="Enter a number between 0 and 1000000." promptTitle="Quantity lost" prompt="In the material's own unit." sqref="D5:D204">
      <formula1>0</formula1>
      <formula2>1000000</formula2>
    </dataValidation>
    <dataValidation type="list" allowBlank="1" showInputMessage="1" showErrorMessage="1" sqref="E5:E204">
      <formula1>WasteReasonList</formula1>
    </dataValidation>
    <dataValidation type="list" allowBlank="1" showInputMessage="1" showErrorMessage="1" promptTitle="On which product" prompt="Optional. Useful when one design keeps going wrong." sqref="F5:F204">
      <formula1>ProductIDs</formula1>
    </dataValidation>
    <dataValidation type="list" allowBlank="1" showInputMessage="1" showErrorMessage="1" promptTitle="Avoidable?" prompt="Trim waste is not avoidable. A miscut is. Be honest and the totals become useful." sqref="G5:G2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s>
  <pageMargins left="0.4" right="0.4" top="0.6" bottom="0.5" header="0.3" footer="0.3"/>
  <pageSetup paperSize="9" fitToHeight="0" orientation="landscape"/>
  <headerFooter>
    <oddHeader>&amp;L&amp;"Calibri,Bold"&amp;12&amp;C&amp;"Calibri,Bold"&amp;11Waste Log&amp;R&amp;"Calibri,Italic"&amp;9Handmade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0.xml><?xml version="1.0" encoding="utf-8"?>
<worksheet xmlns="http://schemas.openxmlformats.org/spreadsheetml/2006/main" xmlns:r="http://schemas.openxmlformats.org/officeDocument/2006/relationships">
  <sheetPr>
    <tabColor rgb="FFB5704F"/>
    <pageSetUpPr fitToPage="1"/>
  </sheetPr>
  <dimension ref="A1:V8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28.7109375" style="15" customWidth="1"/>
    <col min="3" max="3" width="12.7109375" style="46" customWidth="1"/>
    <col min="4" max="4" width="16.7109375" style="15" customWidth="1"/>
    <col min="5" max="5" width="11.7109375" style="22" customWidth="1"/>
    <col min="6" max="6" width="11.7109375" style="52" customWidth="1"/>
    <col min="7" max="7" width="11.7109375" style="52" customWidth="1"/>
    <col min="8" max="8" width="15.7109375" style="52" customWidth="1"/>
    <col min="9" max="9" width="13.7109375" style="18" customWidth="1"/>
    <col min="10" max="10" width="11.7109375" style="18" customWidth="1"/>
    <col min="11" max="11" width="13.7109375" style="18" customWidth="1"/>
    <col min="12" max="12" width="11.7109375" style="22" customWidth="1"/>
    <col min="13" max="13" width="28.7109375" style="40" customWidth="1"/>
    <col min="14" max="14" width="9.7109375" style="41" hidden="1" customWidth="1"/>
    <col min="15" max="15" width="13.7109375" style="20" customWidth="1"/>
    <col min="16" max="16" width="11.7109375" style="20" hidden="1" customWidth="1"/>
    <col min="17" max="17" width="10.7109375" style="32" customWidth="1"/>
    <col min="18" max="18" width="11.7109375" style="20" customWidth="1"/>
    <col min="19" max="19" width="10.7109375" style="33" customWidth="1"/>
    <col min="20" max="20" width="14.7109375" style="32" customWidth="1"/>
    <col min="21" max="21" width="13.7109375" style="20" hidden="1" customWidth="1"/>
    <col min="22" max="22" width="30.7109375" style="43" customWidth="1"/>
  </cols>
  <sheetData>
    <row r="1" spans="1:22" ht="34" customHeight="1">
      <c r="A1" s="2" t="s">
        <v>1802</v>
      </c>
      <c r="B1" s="2"/>
      <c r="C1" s="2"/>
      <c r="D1" s="2"/>
      <c r="E1" s="2"/>
      <c r="F1" s="2"/>
      <c r="G1" s="2"/>
      <c r="H1" s="2"/>
      <c r="I1" s="2"/>
      <c r="J1" s="2"/>
      <c r="K1" s="2"/>
      <c r="L1" s="2"/>
      <c r="M1" s="2"/>
      <c r="N1" s="2"/>
      <c r="O1" s="2"/>
      <c r="P1" s="2"/>
      <c r="Q1" s="2"/>
      <c r="R1" s="2"/>
      <c r="S1" s="2"/>
      <c r="T1" s="3" t="s">
        <v>1</v>
      </c>
      <c r="U1" s="3"/>
      <c r="V1" s="3"/>
    </row>
    <row r="2" spans="1:22" ht="18" customHeight="1">
      <c r="A2" s="4" t="s">
        <v>1803</v>
      </c>
      <c r="B2" s="4"/>
      <c r="C2" s="4"/>
      <c r="D2" s="4"/>
      <c r="E2" s="4"/>
      <c r="F2" s="4"/>
      <c r="G2" s="4"/>
      <c r="H2" s="4"/>
      <c r="I2" s="4"/>
      <c r="J2" s="4"/>
      <c r="K2" s="4"/>
      <c r="L2" s="4"/>
      <c r="M2" s="4"/>
      <c r="N2" s="4"/>
      <c r="O2" s="4"/>
      <c r="P2" s="4"/>
      <c r="Q2" s="4"/>
      <c r="R2" s="4"/>
      <c r="S2" s="4"/>
      <c r="T2" s="4"/>
      <c r="U2" s="4"/>
      <c r="V2" s="4"/>
    </row>
    <row r="3" spans="1:22" ht="16" customHeight="1">
      <c r="A3" s="5" t="s">
        <v>3</v>
      </c>
      <c r="B3" s="5"/>
      <c r="C3" s="5" t="s">
        <v>4</v>
      </c>
      <c r="D3" s="5"/>
      <c r="E3" s="5" t="s">
        <v>5</v>
      </c>
      <c r="F3" s="5"/>
      <c r="G3" s="5" t="s">
        <v>6</v>
      </c>
      <c r="H3" s="5"/>
      <c r="I3" s="5" t="s">
        <v>7</v>
      </c>
      <c r="J3" s="5"/>
      <c r="K3" s="5" t="s">
        <v>367</v>
      </c>
      <c r="L3" s="5"/>
      <c r="M3" s="5" t="s">
        <v>368</v>
      </c>
      <c r="N3" s="5"/>
      <c r="O3" s="5" t="s">
        <v>448</v>
      </c>
      <c r="P3" s="5"/>
      <c r="Q3" s="5" t="s">
        <v>449</v>
      </c>
      <c r="R3" s="5"/>
      <c r="S3" s="14"/>
      <c r="T3" s="14"/>
      <c r="U3" s="14"/>
      <c r="V3" s="14"/>
    </row>
    <row r="4" spans="1:22" ht="30" customHeight="1">
      <c r="A4" s="8" t="s">
        <v>451</v>
      </c>
      <c r="B4" s="8" t="s">
        <v>1804</v>
      </c>
      <c r="C4" s="9" t="s">
        <v>1805</v>
      </c>
      <c r="D4" s="9" t="s">
        <v>765</v>
      </c>
      <c r="E4" s="9" t="s">
        <v>914</v>
      </c>
      <c r="F4" s="9" t="s">
        <v>1428</v>
      </c>
      <c r="G4" s="9" t="s">
        <v>1806</v>
      </c>
      <c r="H4" s="9" t="s">
        <v>1807</v>
      </c>
      <c r="I4" s="9" t="s">
        <v>1808</v>
      </c>
      <c r="J4" s="9" t="s">
        <v>1037</v>
      </c>
      <c r="K4" s="9" t="s">
        <v>1809</v>
      </c>
      <c r="L4" s="9" t="s">
        <v>1810</v>
      </c>
      <c r="M4" s="9" t="s">
        <v>466</v>
      </c>
      <c r="N4" s="9" t="s">
        <v>471</v>
      </c>
      <c r="O4" s="9" t="s">
        <v>1439</v>
      </c>
      <c r="P4" s="9" t="s">
        <v>1811</v>
      </c>
      <c r="Q4" s="9" t="s">
        <v>1812</v>
      </c>
      <c r="R4" s="9" t="s">
        <v>1813</v>
      </c>
      <c r="S4" s="9" t="s">
        <v>1813</v>
      </c>
      <c r="T4" s="9" t="s">
        <v>1814</v>
      </c>
      <c r="U4" s="9" t="s">
        <v>1815</v>
      </c>
      <c r="V4" s="9" t="s">
        <v>510</v>
      </c>
    </row>
    <row r="5" spans="1:22">
      <c r="A5" s="38">
        <f>IF(B5="","",DevPrefix&amp;TEXT(ROW()-4,"0000"))</f>
        <v>0</v>
      </c>
      <c r="B5" s="15" t="s">
        <v>511</v>
      </c>
      <c r="C5" s="46" t="s">
        <v>1256</v>
      </c>
      <c r="D5" s="15" t="s">
        <v>1816</v>
      </c>
      <c r="E5" s="22">
        <v>45887</v>
      </c>
      <c r="F5" s="52">
        <v>6</v>
      </c>
      <c r="G5" s="52">
        <v>5</v>
      </c>
      <c r="H5" s="52">
        <v>3</v>
      </c>
      <c r="I5" s="18">
        <v>18.6</v>
      </c>
      <c r="J5" s="18">
        <v>0</v>
      </c>
      <c r="K5" s="18">
        <v>2</v>
      </c>
      <c r="L5" s="22">
        <v>45917</v>
      </c>
      <c r="M5" s="40" t="s">
        <v>1817</v>
      </c>
      <c r="N5" s="41">
        <f>IF(B5="","",IF(F5="",0,F5)+IF(G5="",0,G5)+IF(H5="",0,H5))</f>
        <v>0</v>
      </c>
      <c r="O5" s="20">
        <f>IF(B5="","",ROUND(N5*LaborCostHour+IF(I5="",0,I5)+IF(J5="",0,J5)-IF(K5="",0,K5),2))</f>
        <v>0</v>
      </c>
      <c r="P5" s="20">
        <f>IF(C5="","",IFERROR(INDEX(Products!$AV$5:$AV$304,MATCH(C5,Products!$A$5:$A$304,0)),""))</f>
        <v>0</v>
      </c>
      <c r="Q5" s="32">
        <f>IF(B5="","",IF(C5="",0,SUMIFS(Sales!$D$5:$D$804,Sales!$C$5:$C$804,C5)))</f>
        <v>0</v>
      </c>
      <c r="R5" s="20">
        <f>IF(B5="","",IF(P5="",0,ROUND(Q5*P5,2)))</f>
        <v>0</v>
      </c>
      <c r="S5" s="33">
        <f>IF(B5="","",IF(O5&lt;=0,"",R5/O5))</f>
        <v>0</v>
      </c>
      <c r="T5" s="32">
        <f>IF(B5="","",IF(OR(P5="",P5&lt;=0),"Needs a profitable price",ROUNDUP(MAX(0,O5-R5)/P5,0)))</f>
        <v>0</v>
      </c>
      <c r="U5" s="20">
        <f>IF(B5="","",IF(OR(Q5=0,O5&lt;=0),"",ROUND(O5/Q5,2)))</f>
        <v>0</v>
      </c>
      <c r="V5" s="43">
        <f>IF(B5="","",IF(O5&lt;=0,"Add - hours and sample costs",IF(C5="","Idea - not listed yet",IF(S5&gt;=1,"Recovered - this one paid for itself",IF(AND(Q5=0,E5&lt;&gt;"",TodayDate-E5&gt;90),"Check - three months, no sales",IF(S5&lt;0.5,"Watch - under half recovered","OK"))))))</f>
        <v>0</v>
      </c>
    </row>
    <row r="6" spans="1:22">
      <c r="A6" s="38">
        <f>IF(B6="","",DevPrefix&amp;TEXT(ROW()-4,"0000"))</f>
        <v>0</v>
      </c>
      <c r="B6" s="15" t="s">
        <v>526</v>
      </c>
      <c r="C6" s="46" t="s">
        <v>735</v>
      </c>
      <c r="D6" s="15" t="s">
        <v>1818</v>
      </c>
      <c r="E6" s="22">
        <v>45987</v>
      </c>
      <c r="F6" s="52">
        <v>11</v>
      </c>
      <c r="G6" s="52">
        <v>9</v>
      </c>
      <c r="H6" s="52">
        <v>4</v>
      </c>
      <c r="I6" s="18">
        <v>14.2</v>
      </c>
      <c r="J6" s="18">
        <v>0</v>
      </c>
      <c r="K6" s="18">
        <v>1</v>
      </c>
      <c r="L6" s="22">
        <v>46017</v>
      </c>
      <c r="M6" s="40" t="s">
        <v>1819</v>
      </c>
      <c r="N6" s="41">
        <f>IF(B6="","",IF(F6="",0,F6)+IF(G6="",0,G6)+IF(H6="",0,H6))</f>
        <v>0</v>
      </c>
      <c r="O6" s="20">
        <f>IF(B6="","",ROUND(N6*LaborCostHour+IF(I6="",0,I6)+IF(J6="",0,J6)-IF(K6="",0,K6),2))</f>
        <v>0</v>
      </c>
      <c r="P6" s="20">
        <f>IF(C6="","",IFERROR(INDEX(Products!$AV$5:$AV$304,MATCH(C6,Products!$A$5:$A$304,0)),""))</f>
        <v>0</v>
      </c>
      <c r="Q6" s="32">
        <f>IF(B6="","",IF(C6="",0,SUMIFS(Sales!$D$5:$D$804,Sales!$C$5:$C$804,C6)))</f>
        <v>0</v>
      </c>
      <c r="R6" s="20">
        <f>IF(B6="","",IF(P6="",0,ROUND(Q6*P6,2)))</f>
        <v>0</v>
      </c>
      <c r="S6" s="33">
        <f>IF(B6="","",IF(O6&lt;=0,"",R6/O6))</f>
        <v>0</v>
      </c>
      <c r="T6" s="32">
        <f>IF(B6="","",IF(OR(P6="",P6&lt;=0),"Needs a profitable price",ROUNDUP(MAX(0,O6-R6)/P6,0)))</f>
        <v>0</v>
      </c>
      <c r="U6" s="20">
        <f>IF(B6="","",IF(OR(Q6=0,O6&lt;=0),"",ROUND(O6/Q6,2)))</f>
        <v>0</v>
      </c>
      <c r="V6" s="43">
        <f>IF(B6="","",IF(O6&lt;=0,"Add - hours and sample costs",IF(C6="","Idea - not listed yet",IF(S6&gt;=1,"Recovered - this one paid for itself",IF(AND(Q6=0,E6&lt;&gt;"",TodayDate-E6&gt;90),"Check - three months, no sales",IF(S6&lt;0.5,"Watch - under half recovered","OK"))))))</f>
        <v>0</v>
      </c>
    </row>
    <row r="7" spans="1:22">
      <c r="A7" s="38">
        <f>IF(B7="","",DevPrefix&amp;TEXT(ROW()-4,"0000"))</f>
        <v>0</v>
      </c>
      <c r="B7" s="15" t="s">
        <v>541</v>
      </c>
      <c r="C7" s="46" t="s">
        <v>741</v>
      </c>
      <c r="D7" s="15" t="s">
        <v>1818</v>
      </c>
      <c r="E7" s="22">
        <v>46097</v>
      </c>
      <c r="F7" s="52">
        <v>9</v>
      </c>
      <c r="G7" s="52">
        <v>12</v>
      </c>
      <c r="H7" s="52">
        <v>4</v>
      </c>
      <c r="I7" s="18">
        <v>42.8</v>
      </c>
      <c r="J7" s="18">
        <v>16</v>
      </c>
      <c r="K7" s="18">
        <v>1</v>
      </c>
      <c r="L7" s="22">
        <v>46137</v>
      </c>
      <c r="M7" s="40" t="s">
        <v>1820</v>
      </c>
      <c r="N7" s="41">
        <f>IF(B7="","",IF(F7="",0,F7)+IF(G7="",0,G7)+IF(H7="",0,H7))</f>
        <v>0</v>
      </c>
      <c r="O7" s="20">
        <f>IF(B7="","",ROUND(N7*LaborCostHour+IF(I7="",0,I7)+IF(J7="",0,J7)-IF(K7="",0,K7),2))</f>
        <v>0</v>
      </c>
      <c r="P7" s="20">
        <f>IF(C7="","",IFERROR(INDEX(Products!$AV$5:$AV$304,MATCH(C7,Products!$A$5:$A$304,0)),""))</f>
        <v>0</v>
      </c>
      <c r="Q7" s="32">
        <f>IF(B7="","",IF(C7="",0,SUMIFS(Sales!$D$5:$D$804,Sales!$C$5:$C$804,C7)))</f>
        <v>0</v>
      </c>
      <c r="R7" s="20">
        <f>IF(B7="","",IF(P7="",0,ROUND(Q7*P7,2)))</f>
        <v>0</v>
      </c>
      <c r="S7" s="33">
        <f>IF(B7="","",IF(O7&lt;=0,"",R7/O7))</f>
        <v>0</v>
      </c>
      <c r="T7" s="32">
        <f>IF(B7="","",IF(OR(P7="",P7&lt;=0),"Needs a profitable price",ROUNDUP(MAX(0,O7-R7)/P7,0)))</f>
        <v>0</v>
      </c>
      <c r="U7" s="20">
        <f>IF(B7="","",IF(OR(Q7=0,O7&lt;=0),"",ROUND(O7/Q7,2)))</f>
        <v>0</v>
      </c>
      <c r="V7" s="43">
        <f>IF(B7="","",IF(O7&lt;=0,"Add - hours and sample costs",IF(C7="","Idea - not listed yet",IF(S7&gt;=1,"Recovered - this one paid for itself",IF(AND(Q7=0,E7&lt;&gt;"",TodayDate-E7&gt;90),"Check - three months, no sales",IF(S7&lt;0.5,"Watch - under half recovered","OK"))))))</f>
        <v>0</v>
      </c>
    </row>
    <row r="8" spans="1:22">
      <c r="A8" s="38">
        <f>IF(B8="","",DevPrefix&amp;TEXT(ROW()-4,"0000"))</f>
        <v>0</v>
      </c>
      <c r="B8" s="15" t="s">
        <v>1821</v>
      </c>
      <c r="C8" s="46" t="s">
        <v>1822</v>
      </c>
      <c r="D8" s="15" t="s">
        <v>1823</v>
      </c>
      <c r="E8" s="22">
        <v>46277</v>
      </c>
      <c r="F8" s="52">
        <v>3</v>
      </c>
      <c r="G8" s="52">
        <v>4</v>
      </c>
      <c r="H8" s="52">
        <v>0</v>
      </c>
      <c r="I8" s="18">
        <v>22.4</v>
      </c>
      <c r="J8" s="18">
        <v>0</v>
      </c>
      <c r="K8" s="18">
        <v>0</v>
      </c>
      <c r="M8" s="40" t="s">
        <v>1824</v>
      </c>
      <c r="N8" s="41">
        <f>IF(B8="","",IF(F8="",0,F8)+IF(G8="",0,G8)+IF(H8="",0,H8))</f>
        <v>0</v>
      </c>
      <c r="O8" s="20">
        <f>IF(B8="","",ROUND(N8*LaborCostHour+IF(I8="",0,I8)+IF(J8="",0,J8)-IF(K8="",0,K8),2))</f>
        <v>0</v>
      </c>
      <c r="P8" s="20">
        <f>IF(C8="","",IFERROR(INDEX(Products!$AV$5:$AV$304,MATCH(C8,Products!$A$5:$A$304,0)),""))</f>
        <v>0</v>
      </c>
      <c r="Q8" s="32">
        <f>IF(B8="","",IF(C8="",0,SUMIFS(Sales!$D$5:$D$804,Sales!$C$5:$C$804,C8)))</f>
        <v>0</v>
      </c>
      <c r="R8" s="20">
        <f>IF(B8="","",IF(P8="",0,ROUND(Q8*P8,2)))</f>
        <v>0</v>
      </c>
      <c r="S8" s="33">
        <f>IF(B8="","",IF(O8&lt;=0,"",R8/O8))</f>
        <v>0</v>
      </c>
      <c r="T8" s="32">
        <f>IF(B8="","",IF(OR(P8="",P8&lt;=0),"Needs a profitable price",ROUNDUP(MAX(0,O8-R8)/P8,0)))</f>
        <v>0</v>
      </c>
      <c r="U8" s="20">
        <f>IF(B8="","",IF(OR(Q8=0,O8&lt;=0),"",ROUND(O8/Q8,2)))</f>
        <v>0</v>
      </c>
      <c r="V8" s="43">
        <f>IF(B8="","",IF(O8&lt;=0,"Add - hours and sample costs",IF(C8="","Idea - not listed yet",IF(S8&gt;=1,"Recovered - this one paid for itself",IF(AND(Q8=0,E8&lt;&gt;"",TodayDate-E8&gt;90),"Check - three months, no sales",IF(S8&lt;0.5,"Watch - under half recovered","OK"))))))</f>
        <v>0</v>
      </c>
    </row>
    <row r="9" spans="1:22">
      <c r="A9" s="38">
        <f>IF(B9="","",DevPrefix&amp;TEXT(ROW()-4,"0000"))</f>
        <v>0</v>
      </c>
      <c r="B9" s="15" t="s">
        <v>1825</v>
      </c>
      <c r="D9" s="15" t="s">
        <v>1826</v>
      </c>
      <c r="E9" s="22">
        <v>46167</v>
      </c>
      <c r="F9" s="52">
        <v>5</v>
      </c>
      <c r="G9" s="52">
        <v>6</v>
      </c>
      <c r="H9" s="52">
        <v>0</v>
      </c>
      <c r="I9" s="18">
        <v>38</v>
      </c>
      <c r="J9" s="18">
        <v>0</v>
      </c>
      <c r="K9" s="18">
        <v>0</v>
      </c>
      <c r="L9" s="22">
        <v>46197</v>
      </c>
      <c r="M9" s="40" t="s">
        <v>1827</v>
      </c>
      <c r="N9" s="41">
        <f>IF(B9="","",IF(F9="",0,F9)+IF(G9="",0,G9)+IF(H9="",0,H9))</f>
        <v>0</v>
      </c>
      <c r="O9" s="20">
        <f>IF(B9="","",ROUND(N9*LaborCostHour+IF(I9="",0,I9)+IF(J9="",0,J9)-IF(K9="",0,K9),2))</f>
        <v>0</v>
      </c>
      <c r="P9" s="20">
        <f>IF(C9="","",IFERROR(INDEX(Products!$AV$5:$AV$304,MATCH(C9,Products!$A$5:$A$304,0)),""))</f>
        <v>0</v>
      </c>
      <c r="Q9" s="32">
        <f>IF(B9="","",IF(C9="",0,SUMIFS(Sales!$D$5:$D$804,Sales!$C$5:$C$804,C9)))</f>
        <v>0</v>
      </c>
      <c r="R9" s="20">
        <f>IF(B9="","",IF(P9="",0,ROUND(Q9*P9,2)))</f>
        <v>0</v>
      </c>
      <c r="S9" s="33">
        <f>IF(B9="","",IF(O9&lt;=0,"",R9/O9))</f>
        <v>0</v>
      </c>
      <c r="T9" s="32">
        <f>IF(B9="","",IF(OR(P9="",P9&lt;=0),"Needs a profitable price",ROUNDUP(MAX(0,O9-R9)/P9,0)))</f>
        <v>0</v>
      </c>
      <c r="U9" s="20">
        <f>IF(B9="","",IF(OR(Q9=0,O9&lt;=0),"",ROUND(O9/Q9,2)))</f>
        <v>0</v>
      </c>
      <c r="V9" s="43">
        <f>IF(B9="","",IF(O9&lt;=0,"Add - hours and sample costs",IF(C9="","Idea - not listed yet",IF(S9&gt;=1,"Recovered - this one paid for itself",IF(AND(Q9=0,E9&lt;&gt;"",TodayDate-E9&gt;90),"Check - three months, no sales",IF(S9&lt;0.5,"Watch - under half recovered","OK"))))))</f>
        <v>0</v>
      </c>
    </row>
    <row r="10" spans="1:22">
      <c r="A10" s="38">
        <f>IF(B10="","",DevPrefix&amp;TEXT(ROW()-4,"0000"))</f>
        <v>0</v>
      </c>
      <c r="B10" s="15" t="s">
        <v>1456</v>
      </c>
      <c r="D10" s="15" t="s">
        <v>1828</v>
      </c>
      <c r="E10" s="22">
        <v>46292</v>
      </c>
      <c r="F10" s="52">
        <v>12</v>
      </c>
      <c r="G10" s="52">
        <v>2</v>
      </c>
      <c r="H10" s="52">
        <v>2</v>
      </c>
      <c r="I10" s="18">
        <v>0</v>
      </c>
      <c r="J10" s="18">
        <v>24</v>
      </c>
      <c r="K10" s="18">
        <v>0</v>
      </c>
      <c r="M10" s="40" t="s">
        <v>1829</v>
      </c>
      <c r="N10" s="41">
        <f>IF(B10="","",IF(F10="",0,F10)+IF(G10="",0,G10)+IF(H10="",0,H10))</f>
        <v>0</v>
      </c>
      <c r="O10" s="20">
        <f>IF(B10="","",ROUND(N10*LaborCostHour+IF(I10="",0,I10)+IF(J10="",0,J10)-IF(K10="",0,K10),2))</f>
        <v>0</v>
      </c>
      <c r="P10" s="20">
        <f>IF(C10="","",IFERROR(INDEX(Products!$AV$5:$AV$304,MATCH(C10,Products!$A$5:$A$304,0)),""))</f>
        <v>0</v>
      </c>
      <c r="Q10" s="32">
        <f>IF(B10="","",IF(C10="",0,SUMIFS(Sales!$D$5:$D$804,Sales!$C$5:$C$804,C10)))</f>
        <v>0</v>
      </c>
      <c r="R10" s="20">
        <f>IF(B10="","",IF(P10="",0,ROUND(Q10*P10,2)))</f>
        <v>0</v>
      </c>
      <c r="S10" s="33">
        <f>IF(B10="","",IF(O10&lt;=0,"",R10/O10))</f>
        <v>0</v>
      </c>
      <c r="T10" s="32">
        <f>IF(B10="","",IF(OR(P10="",P10&lt;=0),"Needs a profitable price",ROUNDUP(MAX(0,O10-R10)/P10,0)))</f>
        <v>0</v>
      </c>
      <c r="U10" s="20">
        <f>IF(B10="","",IF(OR(Q10=0,O10&lt;=0),"",ROUND(O10/Q10,2)))</f>
        <v>0</v>
      </c>
      <c r="V10" s="43">
        <f>IF(B10="","",IF(O10&lt;=0,"Add - hours and sample costs",IF(C10="","Idea - not listed yet",IF(S10&gt;=1,"Recovered - this one paid for itself",IF(AND(Q10=0,E10&lt;&gt;"",TodayDate-E10&gt;90),"Check - three months, no sales",IF(S10&lt;0.5,"Watch - under half recovered","OK"))))))</f>
        <v>0</v>
      </c>
    </row>
    <row r="11" spans="1:22">
      <c r="A11" s="38">
        <f>IF(B11="","",DevPrefix&amp;TEXT(ROW()-4,"0000"))</f>
        <v>0</v>
      </c>
      <c r="N11" s="41">
        <f>IF(B11="","",IF(F11="",0,F11)+IF(G11="",0,G11)+IF(H11="",0,H11))</f>
        <v>0</v>
      </c>
      <c r="O11" s="20">
        <f>IF(B11="","",ROUND(N11*LaborCostHour+IF(I11="",0,I11)+IF(J11="",0,J11)-IF(K11="",0,K11),2))</f>
        <v>0</v>
      </c>
      <c r="P11" s="20">
        <f>IF(C11="","",IFERROR(INDEX(Products!$AV$5:$AV$304,MATCH(C11,Products!$A$5:$A$304,0)),""))</f>
        <v>0</v>
      </c>
      <c r="Q11" s="32">
        <f>IF(B11="","",IF(C11="",0,SUMIFS(Sales!$D$5:$D$804,Sales!$C$5:$C$804,C11)))</f>
        <v>0</v>
      </c>
      <c r="R11" s="20">
        <f>IF(B11="","",IF(P11="",0,ROUND(Q11*P11,2)))</f>
        <v>0</v>
      </c>
      <c r="S11" s="33">
        <f>IF(B11="","",IF(O11&lt;=0,"",R11/O11))</f>
        <v>0</v>
      </c>
      <c r="T11" s="32">
        <f>IF(B11="","",IF(OR(P11="",P11&lt;=0),"Needs a profitable price",ROUNDUP(MAX(0,O11-R11)/P11,0)))</f>
        <v>0</v>
      </c>
      <c r="U11" s="20">
        <f>IF(B11="","",IF(OR(Q11=0,O11&lt;=0),"",ROUND(O11/Q11,2)))</f>
        <v>0</v>
      </c>
      <c r="V11" s="43">
        <f>IF(B11="","",IF(O11&lt;=0,"Add - hours and sample costs",IF(C11="","Idea - not listed yet",IF(S11&gt;=1,"Recovered - this one paid for itself",IF(AND(Q11=0,E11&lt;&gt;"",TodayDate-E11&gt;90),"Check - three months, no sales",IF(S11&lt;0.5,"Watch - under half recovered","OK"))))))</f>
        <v>0</v>
      </c>
    </row>
    <row r="12" spans="1:22">
      <c r="A12" s="38">
        <f>IF(B12="","",DevPrefix&amp;TEXT(ROW()-4,"0000"))</f>
        <v>0</v>
      </c>
      <c r="N12" s="41">
        <f>IF(B12="","",IF(F12="",0,F12)+IF(G12="",0,G12)+IF(H12="",0,H12))</f>
        <v>0</v>
      </c>
      <c r="O12" s="20">
        <f>IF(B12="","",ROUND(N12*LaborCostHour+IF(I12="",0,I12)+IF(J12="",0,J12)-IF(K12="",0,K12),2))</f>
        <v>0</v>
      </c>
      <c r="P12" s="20">
        <f>IF(C12="","",IFERROR(INDEX(Products!$AV$5:$AV$304,MATCH(C12,Products!$A$5:$A$304,0)),""))</f>
        <v>0</v>
      </c>
      <c r="Q12" s="32">
        <f>IF(B12="","",IF(C12="",0,SUMIFS(Sales!$D$5:$D$804,Sales!$C$5:$C$804,C12)))</f>
        <v>0</v>
      </c>
      <c r="R12" s="20">
        <f>IF(B12="","",IF(P12="",0,ROUND(Q12*P12,2)))</f>
        <v>0</v>
      </c>
      <c r="S12" s="33">
        <f>IF(B12="","",IF(O12&lt;=0,"",R12/O12))</f>
        <v>0</v>
      </c>
      <c r="T12" s="32">
        <f>IF(B12="","",IF(OR(P12="",P12&lt;=0),"Needs a profitable price",ROUNDUP(MAX(0,O12-R12)/P12,0)))</f>
        <v>0</v>
      </c>
      <c r="U12" s="20">
        <f>IF(B12="","",IF(OR(Q12=0,O12&lt;=0),"",ROUND(O12/Q12,2)))</f>
        <v>0</v>
      </c>
      <c r="V12" s="43">
        <f>IF(B12="","",IF(O12&lt;=0,"Add - hours and sample costs",IF(C12="","Idea - not listed yet",IF(S12&gt;=1,"Recovered - this one paid for itself",IF(AND(Q12=0,E12&lt;&gt;"",TodayDate-E12&gt;90),"Check - three months, no sales",IF(S12&lt;0.5,"Watch - under half recovered","OK"))))))</f>
        <v>0</v>
      </c>
    </row>
    <row r="13" spans="1:22">
      <c r="A13" s="38">
        <f>IF(B13="","",DevPrefix&amp;TEXT(ROW()-4,"0000"))</f>
        <v>0</v>
      </c>
      <c r="N13" s="41">
        <f>IF(B13="","",IF(F13="",0,F13)+IF(G13="",0,G13)+IF(H13="",0,H13))</f>
        <v>0</v>
      </c>
      <c r="O13" s="20">
        <f>IF(B13="","",ROUND(N13*LaborCostHour+IF(I13="",0,I13)+IF(J13="",0,J13)-IF(K13="",0,K13),2))</f>
        <v>0</v>
      </c>
      <c r="P13" s="20">
        <f>IF(C13="","",IFERROR(INDEX(Products!$AV$5:$AV$304,MATCH(C13,Products!$A$5:$A$304,0)),""))</f>
        <v>0</v>
      </c>
      <c r="Q13" s="32">
        <f>IF(B13="","",IF(C13="",0,SUMIFS(Sales!$D$5:$D$804,Sales!$C$5:$C$804,C13)))</f>
        <v>0</v>
      </c>
      <c r="R13" s="20">
        <f>IF(B13="","",IF(P13="",0,ROUND(Q13*P13,2)))</f>
        <v>0</v>
      </c>
      <c r="S13" s="33">
        <f>IF(B13="","",IF(O13&lt;=0,"",R13/O13))</f>
        <v>0</v>
      </c>
      <c r="T13" s="32">
        <f>IF(B13="","",IF(OR(P13="",P13&lt;=0),"Needs a profitable price",ROUNDUP(MAX(0,O13-R13)/P13,0)))</f>
        <v>0</v>
      </c>
      <c r="U13" s="20">
        <f>IF(B13="","",IF(OR(Q13=0,O13&lt;=0),"",ROUND(O13/Q13,2)))</f>
        <v>0</v>
      </c>
      <c r="V13" s="43">
        <f>IF(B13="","",IF(O13&lt;=0,"Add - hours and sample costs",IF(C13="","Idea - not listed yet",IF(S13&gt;=1,"Recovered - this one paid for itself",IF(AND(Q13=0,E13&lt;&gt;"",TodayDate-E13&gt;90),"Check - three months, no sales",IF(S13&lt;0.5,"Watch - under half recovered","OK"))))))</f>
        <v>0</v>
      </c>
    </row>
    <row r="14" spans="1:22">
      <c r="A14" s="38">
        <f>IF(B14="","",DevPrefix&amp;TEXT(ROW()-4,"0000"))</f>
        <v>0</v>
      </c>
      <c r="N14" s="41">
        <f>IF(B14="","",IF(F14="",0,F14)+IF(G14="",0,G14)+IF(H14="",0,H14))</f>
        <v>0</v>
      </c>
      <c r="O14" s="20">
        <f>IF(B14="","",ROUND(N14*LaborCostHour+IF(I14="",0,I14)+IF(J14="",0,J14)-IF(K14="",0,K14),2))</f>
        <v>0</v>
      </c>
      <c r="P14" s="20">
        <f>IF(C14="","",IFERROR(INDEX(Products!$AV$5:$AV$304,MATCH(C14,Products!$A$5:$A$304,0)),""))</f>
        <v>0</v>
      </c>
      <c r="Q14" s="32">
        <f>IF(B14="","",IF(C14="",0,SUMIFS(Sales!$D$5:$D$804,Sales!$C$5:$C$804,C14)))</f>
        <v>0</v>
      </c>
      <c r="R14" s="20">
        <f>IF(B14="","",IF(P14="",0,ROUND(Q14*P14,2)))</f>
        <v>0</v>
      </c>
      <c r="S14" s="33">
        <f>IF(B14="","",IF(O14&lt;=0,"",R14/O14))</f>
        <v>0</v>
      </c>
      <c r="T14" s="32">
        <f>IF(B14="","",IF(OR(P14="",P14&lt;=0),"Needs a profitable price",ROUNDUP(MAX(0,O14-R14)/P14,0)))</f>
        <v>0</v>
      </c>
      <c r="U14" s="20">
        <f>IF(B14="","",IF(OR(Q14=0,O14&lt;=0),"",ROUND(O14/Q14,2)))</f>
        <v>0</v>
      </c>
      <c r="V14" s="43">
        <f>IF(B14="","",IF(O14&lt;=0,"Add - hours and sample costs",IF(C14="","Idea - not listed yet",IF(S14&gt;=1,"Recovered - this one paid for itself",IF(AND(Q14=0,E14&lt;&gt;"",TodayDate-E14&gt;90),"Check - three months, no sales",IF(S14&lt;0.5,"Watch - under half recovered","OK"))))))</f>
        <v>0</v>
      </c>
    </row>
    <row r="15" spans="1:22">
      <c r="A15" s="38">
        <f>IF(B15="","",DevPrefix&amp;TEXT(ROW()-4,"0000"))</f>
        <v>0</v>
      </c>
      <c r="N15" s="41">
        <f>IF(B15="","",IF(F15="",0,F15)+IF(G15="",0,G15)+IF(H15="",0,H15))</f>
        <v>0</v>
      </c>
      <c r="O15" s="20">
        <f>IF(B15="","",ROUND(N15*LaborCostHour+IF(I15="",0,I15)+IF(J15="",0,J15)-IF(K15="",0,K15),2))</f>
        <v>0</v>
      </c>
      <c r="P15" s="20">
        <f>IF(C15="","",IFERROR(INDEX(Products!$AV$5:$AV$304,MATCH(C15,Products!$A$5:$A$304,0)),""))</f>
        <v>0</v>
      </c>
      <c r="Q15" s="32">
        <f>IF(B15="","",IF(C15="",0,SUMIFS(Sales!$D$5:$D$804,Sales!$C$5:$C$804,C15)))</f>
        <v>0</v>
      </c>
      <c r="R15" s="20">
        <f>IF(B15="","",IF(P15="",0,ROUND(Q15*P15,2)))</f>
        <v>0</v>
      </c>
      <c r="S15" s="33">
        <f>IF(B15="","",IF(O15&lt;=0,"",R15/O15))</f>
        <v>0</v>
      </c>
      <c r="T15" s="32">
        <f>IF(B15="","",IF(OR(P15="",P15&lt;=0),"Needs a profitable price",ROUNDUP(MAX(0,O15-R15)/P15,0)))</f>
        <v>0</v>
      </c>
      <c r="U15" s="20">
        <f>IF(B15="","",IF(OR(Q15=0,O15&lt;=0),"",ROUND(O15/Q15,2)))</f>
        <v>0</v>
      </c>
      <c r="V15" s="43">
        <f>IF(B15="","",IF(O15&lt;=0,"Add - hours and sample costs",IF(C15="","Idea - not listed yet",IF(S15&gt;=1,"Recovered - this one paid for itself",IF(AND(Q15=0,E15&lt;&gt;"",TodayDate-E15&gt;90),"Check - three months, no sales",IF(S15&lt;0.5,"Watch - under half recovered","OK"))))))</f>
        <v>0</v>
      </c>
    </row>
    <row r="16" spans="1:22">
      <c r="A16" s="38">
        <f>IF(B16="","",DevPrefix&amp;TEXT(ROW()-4,"0000"))</f>
        <v>0</v>
      </c>
      <c r="N16" s="41">
        <f>IF(B16="","",IF(F16="",0,F16)+IF(G16="",0,G16)+IF(H16="",0,H16))</f>
        <v>0</v>
      </c>
      <c r="O16" s="20">
        <f>IF(B16="","",ROUND(N16*LaborCostHour+IF(I16="",0,I16)+IF(J16="",0,J16)-IF(K16="",0,K16),2))</f>
        <v>0</v>
      </c>
      <c r="P16" s="20">
        <f>IF(C16="","",IFERROR(INDEX(Products!$AV$5:$AV$304,MATCH(C16,Products!$A$5:$A$304,0)),""))</f>
        <v>0</v>
      </c>
      <c r="Q16" s="32">
        <f>IF(B16="","",IF(C16="",0,SUMIFS(Sales!$D$5:$D$804,Sales!$C$5:$C$804,C16)))</f>
        <v>0</v>
      </c>
      <c r="R16" s="20">
        <f>IF(B16="","",IF(P16="",0,ROUND(Q16*P16,2)))</f>
        <v>0</v>
      </c>
      <c r="S16" s="33">
        <f>IF(B16="","",IF(O16&lt;=0,"",R16/O16))</f>
        <v>0</v>
      </c>
      <c r="T16" s="32">
        <f>IF(B16="","",IF(OR(P16="",P16&lt;=0),"Needs a profitable price",ROUNDUP(MAX(0,O16-R16)/P16,0)))</f>
        <v>0</v>
      </c>
      <c r="U16" s="20">
        <f>IF(B16="","",IF(OR(Q16=0,O16&lt;=0),"",ROUND(O16/Q16,2)))</f>
        <v>0</v>
      </c>
      <c r="V16" s="43">
        <f>IF(B16="","",IF(O16&lt;=0,"Add - hours and sample costs",IF(C16="","Idea - not listed yet",IF(S16&gt;=1,"Recovered - this one paid for itself",IF(AND(Q16=0,E16&lt;&gt;"",TodayDate-E16&gt;90),"Check - three months, no sales",IF(S16&lt;0.5,"Watch - under half recovered","OK"))))))</f>
        <v>0</v>
      </c>
    </row>
    <row r="17" spans="1:22">
      <c r="A17" s="38">
        <f>IF(B17="","",DevPrefix&amp;TEXT(ROW()-4,"0000"))</f>
        <v>0</v>
      </c>
      <c r="N17" s="41">
        <f>IF(B17="","",IF(F17="",0,F17)+IF(G17="",0,G17)+IF(H17="",0,H17))</f>
        <v>0</v>
      </c>
      <c r="O17" s="20">
        <f>IF(B17="","",ROUND(N17*LaborCostHour+IF(I17="",0,I17)+IF(J17="",0,J17)-IF(K17="",0,K17),2))</f>
        <v>0</v>
      </c>
      <c r="P17" s="20">
        <f>IF(C17="","",IFERROR(INDEX(Products!$AV$5:$AV$304,MATCH(C17,Products!$A$5:$A$304,0)),""))</f>
        <v>0</v>
      </c>
      <c r="Q17" s="32">
        <f>IF(B17="","",IF(C17="",0,SUMIFS(Sales!$D$5:$D$804,Sales!$C$5:$C$804,C17)))</f>
        <v>0</v>
      </c>
      <c r="R17" s="20">
        <f>IF(B17="","",IF(P17="",0,ROUND(Q17*P17,2)))</f>
        <v>0</v>
      </c>
      <c r="S17" s="33">
        <f>IF(B17="","",IF(O17&lt;=0,"",R17/O17))</f>
        <v>0</v>
      </c>
      <c r="T17" s="32">
        <f>IF(B17="","",IF(OR(P17="",P17&lt;=0),"Needs a profitable price",ROUNDUP(MAX(0,O17-R17)/P17,0)))</f>
        <v>0</v>
      </c>
      <c r="U17" s="20">
        <f>IF(B17="","",IF(OR(Q17=0,O17&lt;=0),"",ROUND(O17/Q17,2)))</f>
        <v>0</v>
      </c>
      <c r="V17" s="43">
        <f>IF(B17="","",IF(O17&lt;=0,"Add - hours and sample costs",IF(C17="","Idea - not listed yet",IF(S17&gt;=1,"Recovered - this one paid for itself",IF(AND(Q17=0,E17&lt;&gt;"",TodayDate-E17&gt;90),"Check - three months, no sales",IF(S17&lt;0.5,"Watch - under half recovered","OK"))))))</f>
        <v>0</v>
      </c>
    </row>
    <row r="18" spans="1:22">
      <c r="A18" s="38">
        <f>IF(B18="","",DevPrefix&amp;TEXT(ROW()-4,"0000"))</f>
        <v>0</v>
      </c>
      <c r="N18" s="41">
        <f>IF(B18="","",IF(F18="",0,F18)+IF(G18="",0,G18)+IF(H18="",0,H18))</f>
        <v>0</v>
      </c>
      <c r="O18" s="20">
        <f>IF(B18="","",ROUND(N18*LaborCostHour+IF(I18="",0,I18)+IF(J18="",0,J18)-IF(K18="",0,K18),2))</f>
        <v>0</v>
      </c>
      <c r="P18" s="20">
        <f>IF(C18="","",IFERROR(INDEX(Products!$AV$5:$AV$304,MATCH(C18,Products!$A$5:$A$304,0)),""))</f>
        <v>0</v>
      </c>
      <c r="Q18" s="32">
        <f>IF(B18="","",IF(C18="",0,SUMIFS(Sales!$D$5:$D$804,Sales!$C$5:$C$804,C18)))</f>
        <v>0</v>
      </c>
      <c r="R18" s="20">
        <f>IF(B18="","",IF(P18="",0,ROUND(Q18*P18,2)))</f>
        <v>0</v>
      </c>
      <c r="S18" s="33">
        <f>IF(B18="","",IF(O18&lt;=0,"",R18/O18))</f>
        <v>0</v>
      </c>
      <c r="T18" s="32">
        <f>IF(B18="","",IF(OR(P18="",P18&lt;=0),"Needs a profitable price",ROUNDUP(MAX(0,O18-R18)/P18,0)))</f>
        <v>0</v>
      </c>
      <c r="U18" s="20">
        <f>IF(B18="","",IF(OR(Q18=0,O18&lt;=0),"",ROUND(O18/Q18,2)))</f>
        <v>0</v>
      </c>
      <c r="V18" s="43">
        <f>IF(B18="","",IF(O18&lt;=0,"Add - hours and sample costs",IF(C18="","Idea - not listed yet",IF(S18&gt;=1,"Recovered - this one paid for itself",IF(AND(Q18=0,E18&lt;&gt;"",TodayDate-E18&gt;90),"Check - three months, no sales",IF(S18&lt;0.5,"Watch - under half recovered","OK"))))))</f>
        <v>0</v>
      </c>
    </row>
    <row r="19" spans="1:22">
      <c r="A19" s="38">
        <f>IF(B19="","",DevPrefix&amp;TEXT(ROW()-4,"0000"))</f>
        <v>0</v>
      </c>
      <c r="N19" s="41">
        <f>IF(B19="","",IF(F19="",0,F19)+IF(G19="",0,G19)+IF(H19="",0,H19))</f>
        <v>0</v>
      </c>
      <c r="O19" s="20">
        <f>IF(B19="","",ROUND(N19*LaborCostHour+IF(I19="",0,I19)+IF(J19="",0,J19)-IF(K19="",0,K19),2))</f>
        <v>0</v>
      </c>
      <c r="P19" s="20">
        <f>IF(C19="","",IFERROR(INDEX(Products!$AV$5:$AV$304,MATCH(C19,Products!$A$5:$A$304,0)),""))</f>
        <v>0</v>
      </c>
      <c r="Q19" s="32">
        <f>IF(B19="","",IF(C19="",0,SUMIFS(Sales!$D$5:$D$804,Sales!$C$5:$C$804,C19)))</f>
        <v>0</v>
      </c>
      <c r="R19" s="20">
        <f>IF(B19="","",IF(P19="",0,ROUND(Q19*P19,2)))</f>
        <v>0</v>
      </c>
      <c r="S19" s="33">
        <f>IF(B19="","",IF(O19&lt;=0,"",R19/O19))</f>
        <v>0</v>
      </c>
      <c r="T19" s="32">
        <f>IF(B19="","",IF(OR(P19="",P19&lt;=0),"Needs a profitable price",ROUNDUP(MAX(0,O19-R19)/P19,0)))</f>
        <v>0</v>
      </c>
      <c r="U19" s="20">
        <f>IF(B19="","",IF(OR(Q19=0,O19&lt;=0),"",ROUND(O19/Q19,2)))</f>
        <v>0</v>
      </c>
      <c r="V19" s="43">
        <f>IF(B19="","",IF(O19&lt;=0,"Add - hours and sample costs",IF(C19="","Idea - not listed yet",IF(S19&gt;=1,"Recovered - this one paid for itself",IF(AND(Q19=0,E19&lt;&gt;"",TodayDate-E19&gt;90),"Check - three months, no sales",IF(S19&lt;0.5,"Watch - under half recovered","OK"))))))</f>
        <v>0</v>
      </c>
    </row>
    <row r="20" spans="1:22">
      <c r="A20" s="38">
        <f>IF(B20="","",DevPrefix&amp;TEXT(ROW()-4,"0000"))</f>
        <v>0</v>
      </c>
      <c r="N20" s="41">
        <f>IF(B20="","",IF(F20="",0,F20)+IF(G20="",0,G20)+IF(H20="",0,H20))</f>
        <v>0</v>
      </c>
      <c r="O20" s="20">
        <f>IF(B20="","",ROUND(N20*LaborCostHour+IF(I20="",0,I20)+IF(J20="",0,J20)-IF(K20="",0,K20),2))</f>
        <v>0</v>
      </c>
      <c r="P20" s="20">
        <f>IF(C20="","",IFERROR(INDEX(Products!$AV$5:$AV$304,MATCH(C20,Products!$A$5:$A$304,0)),""))</f>
        <v>0</v>
      </c>
      <c r="Q20" s="32">
        <f>IF(B20="","",IF(C20="",0,SUMIFS(Sales!$D$5:$D$804,Sales!$C$5:$C$804,C20)))</f>
        <v>0</v>
      </c>
      <c r="R20" s="20">
        <f>IF(B20="","",IF(P20="",0,ROUND(Q20*P20,2)))</f>
        <v>0</v>
      </c>
      <c r="S20" s="33">
        <f>IF(B20="","",IF(O20&lt;=0,"",R20/O20))</f>
        <v>0</v>
      </c>
      <c r="T20" s="32">
        <f>IF(B20="","",IF(OR(P20="",P20&lt;=0),"Needs a profitable price",ROUNDUP(MAX(0,O20-R20)/P20,0)))</f>
        <v>0</v>
      </c>
      <c r="U20" s="20">
        <f>IF(B20="","",IF(OR(Q20=0,O20&lt;=0),"",ROUND(O20/Q20,2)))</f>
        <v>0</v>
      </c>
      <c r="V20" s="43">
        <f>IF(B20="","",IF(O20&lt;=0,"Add - hours and sample costs",IF(C20="","Idea - not listed yet",IF(S20&gt;=1,"Recovered - this one paid for itself",IF(AND(Q20=0,E20&lt;&gt;"",TodayDate-E20&gt;90),"Check - three months, no sales",IF(S20&lt;0.5,"Watch - under half recovered","OK"))))))</f>
        <v>0</v>
      </c>
    </row>
    <row r="21" spans="1:22">
      <c r="A21" s="38">
        <f>IF(B21="","",DevPrefix&amp;TEXT(ROW()-4,"0000"))</f>
        <v>0</v>
      </c>
      <c r="N21" s="41">
        <f>IF(B21="","",IF(F21="",0,F21)+IF(G21="",0,G21)+IF(H21="",0,H21))</f>
        <v>0</v>
      </c>
      <c r="O21" s="20">
        <f>IF(B21="","",ROUND(N21*LaborCostHour+IF(I21="",0,I21)+IF(J21="",0,J21)-IF(K21="",0,K21),2))</f>
        <v>0</v>
      </c>
      <c r="P21" s="20">
        <f>IF(C21="","",IFERROR(INDEX(Products!$AV$5:$AV$304,MATCH(C21,Products!$A$5:$A$304,0)),""))</f>
        <v>0</v>
      </c>
      <c r="Q21" s="32">
        <f>IF(B21="","",IF(C21="",0,SUMIFS(Sales!$D$5:$D$804,Sales!$C$5:$C$804,C21)))</f>
        <v>0</v>
      </c>
      <c r="R21" s="20">
        <f>IF(B21="","",IF(P21="",0,ROUND(Q21*P21,2)))</f>
        <v>0</v>
      </c>
      <c r="S21" s="33">
        <f>IF(B21="","",IF(O21&lt;=0,"",R21/O21))</f>
        <v>0</v>
      </c>
      <c r="T21" s="32">
        <f>IF(B21="","",IF(OR(P21="",P21&lt;=0),"Needs a profitable price",ROUNDUP(MAX(0,O21-R21)/P21,0)))</f>
        <v>0</v>
      </c>
      <c r="U21" s="20">
        <f>IF(B21="","",IF(OR(Q21=0,O21&lt;=0),"",ROUND(O21/Q21,2)))</f>
        <v>0</v>
      </c>
      <c r="V21" s="43">
        <f>IF(B21="","",IF(O21&lt;=0,"Add - hours and sample costs",IF(C21="","Idea - not listed yet",IF(S21&gt;=1,"Recovered - this one paid for itself",IF(AND(Q21=0,E21&lt;&gt;"",TodayDate-E21&gt;90),"Check - three months, no sales",IF(S21&lt;0.5,"Watch - under half recovered","OK"))))))</f>
        <v>0</v>
      </c>
    </row>
    <row r="22" spans="1:22">
      <c r="A22" s="38">
        <f>IF(B22="","",DevPrefix&amp;TEXT(ROW()-4,"0000"))</f>
        <v>0</v>
      </c>
      <c r="N22" s="41">
        <f>IF(B22="","",IF(F22="",0,F22)+IF(G22="",0,G22)+IF(H22="",0,H22))</f>
        <v>0</v>
      </c>
      <c r="O22" s="20">
        <f>IF(B22="","",ROUND(N22*LaborCostHour+IF(I22="",0,I22)+IF(J22="",0,J22)-IF(K22="",0,K22),2))</f>
        <v>0</v>
      </c>
      <c r="P22" s="20">
        <f>IF(C22="","",IFERROR(INDEX(Products!$AV$5:$AV$304,MATCH(C22,Products!$A$5:$A$304,0)),""))</f>
        <v>0</v>
      </c>
      <c r="Q22" s="32">
        <f>IF(B22="","",IF(C22="",0,SUMIFS(Sales!$D$5:$D$804,Sales!$C$5:$C$804,C22)))</f>
        <v>0</v>
      </c>
      <c r="R22" s="20">
        <f>IF(B22="","",IF(P22="",0,ROUND(Q22*P22,2)))</f>
        <v>0</v>
      </c>
      <c r="S22" s="33">
        <f>IF(B22="","",IF(O22&lt;=0,"",R22/O22))</f>
        <v>0</v>
      </c>
      <c r="T22" s="32">
        <f>IF(B22="","",IF(OR(P22="",P22&lt;=0),"Needs a profitable price",ROUNDUP(MAX(0,O22-R22)/P22,0)))</f>
        <v>0</v>
      </c>
      <c r="U22" s="20">
        <f>IF(B22="","",IF(OR(Q22=0,O22&lt;=0),"",ROUND(O22/Q22,2)))</f>
        <v>0</v>
      </c>
      <c r="V22" s="43">
        <f>IF(B22="","",IF(O22&lt;=0,"Add - hours and sample costs",IF(C22="","Idea - not listed yet",IF(S22&gt;=1,"Recovered - this one paid for itself",IF(AND(Q22=0,E22&lt;&gt;"",TodayDate-E22&gt;90),"Check - three months, no sales",IF(S22&lt;0.5,"Watch - under half recovered","OK"))))))</f>
        <v>0</v>
      </c>
    </row>
    <row r="23" spans="1:22">
      <c r="A23" s="38">
        <f>IF(B23="","",DevPrefix&amp;TEXT(ROW()-4,"0000"))</f>
        <v>0</v>
      </c>
      <c r="N23" s="41">
        <f>IF(B23="","",IF(F23="",0,F23)+IF(G23="",0,G23)+IF(H23="",0,H23))</f>
        <v>0</v>
      </c>
      <c r="O23" s="20">
        <f>IF(B23="","",ROUND(N23*LaborCostHour+IF(I23="",0,I23)+IF(J23="",0,J23)-IF(K23="",0,K23),2))</f>
        <v>0</v>
      </c>
      <c r="P23" s="20">
        <f>IF(C23="","",IFERROR(INDEX(Products!$AV$5:$AV$304,MATCH(C23,Products!$A$5:$A$304,0)),""))</f>
        <v>0</v>
      </c>
      <c r="Q23" s="32">
        <f>IF(B23="","",IF(C23="",0,SUMIFS(Sales!$D$5:$D$804,Sales!$C$5:$C$804,C23)))</f>
        <v>0</v>
      </c>
      <c r="R23" s="20">
        <f>IF(B23="","",IF(P23="",0,ROUND(Q23*P23,2)))</f>
        <v>0</v>
      </c>
      <c r="S23" s="33">
        <f>IF(B23="","",IF(O23&lt;=0,"",R23/O23))</f>
        <v>0</v>
      </c>
      <c r="T23" s="32">
        <f>IF(B23="","",IF(OR(P23="",P23&lt;=0),"Needs a profitable price",ROUNDUP(MAX(0,O23-R23)/P23,0)))</f>
        <v>0</v>
      </c>
      <c r="U23" s="20">
        <f>IF(B23="","",IF(OR(Q23=0,O23&lt;=0),"",ROUND(O23/Q23,2)))</f>
        <v>0</v>
      </c>
      <c r="V23" s="43">
        <f>IF(B23="","",IF(O23&lt;=0,"Add - hours and sample costs",IF(C23="","Idea - not listed yet",IF(S23&gt;=1,"Recovered - this one paid for itself",IF(AND(Q23=0,E23&lt;&gt;"",TodayDate-E23&gt;90),"Check - three months, no sales",IF(S23&lt;0.5,"Watch - under half recovered","OK"))))))</f>
        <v>0</v>
      </c>
    </row>
    <row r="24" spans="1:22">
      <c r="A24" s="38">
        <f>IF(B24="","",DevPrefix&amp;TEXT(ROW()-4,"0000"))</f>
        <v>0</v>
      </c>
      <c r="N24" s="41">
        <f>IF(B24="","",IF(F24="",0,F24)+IF(G24="",0,G24)+IF(H24="",0,H24))</f>
        <v>0</v>
      </c>
      <c r="O24" s="20">
        <f>IF(B24="","",ROUND(N24*LaborCostHour+IF(I24="",0,I24)+IF(J24="",0,J24)-IF(K24="",0,K24),2))</f>
        <v>0</v>
      </c>
      <c r="P24" s="20">
        <f>IF(C24="","",IFERROR(INDEX(Products!$AV$5:$AV$304,MATCH(C24,Products!$A$5:$A$304,0)),""))</f>
        <v>0</v>
      </c>
      <c r="Q24" s="32">
        <f>IF(B24="","",IF(C24="",0,SUMIFS(Sales!$D$5:$D$804,Sales!$C$5:$C$804,C24)))</f>
        <v>0</v>
      </c>
      <c r="R24" s="20">
        <f>IF(B24="","",IF(P24="",0,ROUND(Q24*P24,2)))</f>
        <v>0</v>
      </c>
      <c r="S24" s="33">
        <f>IF(B24="","",IF(O24&lt;=0,"",R24/O24))</f>
        <v>0</v>
      </c>
      <c r="T24" s="32">
        <f>IF(B24="","",IF(OR(P24="",P24&lt;=0),"Needs a profitable price",ROUNDUP(MAX(0,O24-R24)/P24,0)))</f>
        <v>0</v>
      </c>
      <c r="U24" s="20">
        <f>IF(B24="","",IF(OR(Q24=0,O24&lt;=0),"",ROUND(O24/Q24,2)))</f>
        <v>0</v>
      </c>
      <c r="V24" s="43">
        <f>IF(B24="","",IF(O24&lt;=0,"Add - hours and sample costs",IF(C24="","Idea - not listed yet",IF(S24&gt;=1,"Recovered - this one paid for itself",IF(AND(Q24=0,E24&lt;&gt;"",TodayDate-E24&gt;90),"Check - three months, no sales",IF(S24&lt;0.5,"Watch - under half recovered","OK"))))))</f>
        <v>0</v>
      </c>
    </row>
    <row r="25" spans="1:22">
      <c r="A25" s="38">
        <f>IF(B25="","",DevPrefix&amp;TEXT(ROW()-4,"0000"))</f>
        <v>0</v>
      </c>
      <c r="N25" s="41">
        <f>IF(B25="","",IF(F25="",0,F25)+IF(G25="",0,G25)+IF(H25="",0,H25))</f>
        <v>0</v>
      </c>
      <c r="O25" s="20">
        <f>IF(B25="","",ROUND(N25*LaborCostHour+IF(I25="",0,I25)+IF(J25="",0,J25)-IF(K25="",0,K25),2))</f>
        <v>0</v>
      </c>
      <c r="P25" s="20">
        <f>IF(C25="","",IFERROR(INDEX(Products!$AV$5:$AV$304,MATCH(C25,Products!$A$5:$A$304,0)),""))</f>
        <v>0</v>
      </c>
      <c r="Q25" s="32">
        <f>IF(B25="","",IF(C25="",0,SUMIFS(Sales!$D$5:$D$804,Sales!$C$5:$C$804,C25)))</f>
        <v>0</v>
      </c>
      <c r="R25" s="20">
        <f>IF(B25="","",IF(P25="",0,ROUND(Q25*P25,2)))</f>
        <v>0</v>
      </c>
      <c r="S25" s="33">
        <f>IF(B25="","",IF(O25&lt;=0,"",R25/O25))</f>
        <v>0</v>
      </c>
      <c r="T25" s="32">
        <f>IF(B25="","",IF(OR(P25="",P25&lt;=0),"Needs a profitable price",ROUNDUP(MAX(0,O25-R25)/P25,0)))</f>
        <v>0</v>
      </c>
      <c r="U25" s="20">
        <f>IF(B25="","",IF(OR(Q25=0,O25&lt;=0),"",ROUND(O25/Q25,2)))</f>
        <v>0</v>
      </c>
      <c r="V25" s="43">
        <f>IF(B25="","",IF(O25&lt;=0,"Add - hours and sample costs",IF(C25="","Idea - not listed yet",IF(S25&gt;=1,"Recovered - this one paid for itself",IF(AND(Q25=0,E25&lt;&gt;"",TodayDate-E25&gt;90),"Check - three months, no sales",IF(S25&lt;0.5,"Watch - under half recovered","OK"))))))</f>
        <v>0</v>
      </c>
    </row>
    <row r="26" spans="1:22">
      <c r="A26" s="38">
        <f>IF(B26="","",DevPrefix&amp;TEXT(ROW()-4,"0000"))</f>
        <v>0</v>
      </c>
      <c r="N26" s="41">
        <f>IF(B26="","",IF(F26="",0,F26)+IF(G26="",0,G26)+IF(H26="",0,H26))</f>
        <v>0</v>
      </c>
      <c r="O26" s="20">
        <f>IF(B26="","",ROUND(N26*LaborCostHour+IF(I26="",0,I26)+IF(J26="",0,J26)-IF(K26="",0,K26),2))</f>
        <v>0</v>
      </c>
      <c r="P26" s="20">
        <f>IF(C26="","",IFERROR(INDEX(Products!$AV$5:$AV$304,MATCH(C26,Products!$A$5:$A$304,0)),""))</f>
        <v>0</v>
      </c>
      <c r="Q26" s="32">
        <f>IF(B26="","",IF(C26="",0,SUMIFS(Sales!$D$5:$D$804,Sales!$C$5:$C$804,C26)))</f>
        <v>0</v>
      </c>
      <c r="R26" s="20">
        <f>IF(B26="","",IF(P26="",0,ROUND(Q26*P26,2)))</f>
        <v>0</v>
      </c>
      <c r="S26" s="33">
        <f>IF(B26="","",IF(O26&lt;=0,"",R26/O26))</f>
        <v>0</v>
      </c>
      <c r="T26" s="32">
        <f>IF(B26="","",IF(OR(P26="",P26&lt;=0),"Needs a profitable price",ROUNDUP(MAX(0,O26-R26)/P26,0)))</f>
        <v>0</v>
      </c>
      <c r="U26" s="20">
        <f>IF(B26="","",IF(OR(Q26=0,O26&lt;=0),"",ROUND(O26/Q26,2)))</f>
        <v>0</v>
      </c>
      <c r="V26" s="43">
        <f>IF(B26="","",IF(O26&lt;=0,"Add - hours and sample costs",IF(C26="","Idea - not listed yet",IF(S26&gt;=1,"Recovered - this one paid for itself",IF(AND(Q26=0,E26&lt;&gt;"",TodayDate-E26&gt;90),"Check - three months, no sales",IF(S26&lt;0.5,"Watch - under half recovered","OK"))))))</f>
        <v>0</v>
      </c>
    </row>
    <row r="27" spans="1:22">
      <c r="A27" s="38">
        <f>IF(B27="","",DevPrefix&amp;TEXT(ROW()-4,"0000"))</f>
        <v>0</v>
      </c>
      <c r="N27" s="41">
        <f>IF(B27="","",IF(F27="",0,F27)+IF(G27="",0,G27)+IF(H27="",0,H27))</f>
        <v>0</v>
      </c>
      <c r="O27" s="20">
        <f>IF(B27="","",ROUND(N27*LaborCostHour+IF(I27="",0,I27)+IF(J27="",0,J27)-IF(K27="",0,K27),2))</f>
        <v>0</v>
      </c>
      <c r="P27" s="20">
        <f>IF(C27="","",IFERROR(INDEX(Products!$AV$5:$AV$304,MATCH(C27,Products!$A$5:$A$304,0)),""))</f>
        <v>0</v>
      </c>
      <c r="Q27" s="32">
        <f>IF(B27="","",IF(C27="",0,SUMIFS(Sales!$D$5:$D$804,Sales!$C$5:$C$804,C27)))</f>
        <v>0</v>
      </c>
      <c r="R27" s="20">
        <f>IF(B27="","",IF(P27="",0,ROUND(Q27*P27,2)))</f>
        <v>0</v>
      </c>
      <c r="S27" s="33">
        <f>IF(B27="","",IF(O27&lt;=0,"",R27/O27))</f>
        <v>0</v>
      </c>
      <c r="T27" s="32">
        <f>IF(B27="","",IF(OR(P27="",P27&lt;=0),"Needs a profitable price",ROUNDUP(MAX(0,O27-R27)/P27,0)))</f>
        <v>0</v>
      </c>
      <c r="U27" s="20">
        <f>IF(B27="","",IF(OR(Q27=0,O27&lt;=0),"",ROUND(O27/Q27,2)))</f>
        <v>0</v>
      </c>
      <c r="V27" s="43">
        <f>IF(B27="","",IF(O27&lt;=0,"Add - hours and sample costs",IF(C27="","Idea - not listed yet",IF(S27&gt;=1,"Recovered - this one paid for itself",IF(AND(Q27=0,E27&lt;&gt;"",TodayDate-E27&gt;90),"Check - three months, no sales",IF(S27&lt;0.5,"Watch - under half recovered","OK"))))))</f>
        <v>0</v>
      </c>
    </row>
    <row r="28" spans="1:22">
      <c r="A28" s="38">
        <f>IF(B28="","",DevPrefix&amp;TEXT(ROW()-4,"0000"))</f>
        <v>0</v>
      </c>
      <c r="N28" s="41">
        <f>IF(B28="","",IF(F28="",0,F28)+IF(G28="",0,G28)+IF(H28="",0,H28))</f>
        <v>0</v>
      </c>
      <c r="O28" s="20">
        <f>IF(B28="","",ROUND(N28*LaborCostHour+IF(I28="",0,I28)+IF(J28="",0,J28)-IF(K28="",0,K28),2))</f>
        <v>0</v>
      </c>
      <c r="P28" s="20">
        <f>IF(C28="","",IFERROR(INDEX(Products!$AV$5:$AV$304,MATCH(C28,Products!$A$5:$A$304,0)),""))</f>
        <v>0</v>
      </c>
      <c r="Q28" s="32">
        <f>IF(B28="","",IF(C28="",0,SUMIFS(Sales!$D$5:$D$804,Sales!$C$5:$C$804,C28)))</f>
        <v>0</v>
      </c>
      <c r="R28" s="20">
        <f>IF(B28="","",IF(P28="",0,ROUND(Q28*P28,2)))</f>
        <v>0</v>
      </c>
      <c r="S28" s="33">
        <f>IF(B28="","",IF(O28&lt;=0,"",R28/O28))</f>
        <v>0</v>
      </c>
      <c r="T28" s="32">
        <f>IF(B28="","",IF(OR(P28="",P28&lt;=0),"Needs a profitable price",ROUNDUP(MAX(0,O28-R28)/P28,0)))</f>
        <v>0</v>
      </c>
      <c r="U28" s="20">
        <f>IF(B28="","",IF(OR(Q28=0,O28&lt;=0),"",ROUND(O28/Q28,2)))</f>
        <v>0</v>
      </c>
      <c r="V28" s="43">
        <f>IF(B28="","",IF(O28&lt;=0,"Add - hours and sample costs",IF(C28="","Idea - not listed yet",IF(S28&gt;=1,"Recovered - this one paid for itself",IF(AND(Q28=0,E28&lt;&gt;"",TodayDate-E28&gt;90),"Check - three months, no sales",IF(S28&lt;0.5,"Watch - under half recovered","OK"))))))</f>
        <v>0</v>
      </c>
    </row>
    <row r="29" spans="1:22">
      <c r="A29" s="38">
        <f>IF(B29="","",DevPrefix&amp;TEXT(ROW()-4,"0000"))</f>
        <v>0</v>
      </c>
      <c r="N29" s="41">
        <f>IF(B29="","",IF(F29="",0,F29)+IF(G29="",0,G29)+IF(H29="",0,H29))</f>
        <v>0</v>
      </c>
      <c r="O29" s="20">
        <f>IF(B29="","",ROUND(N29*LaborCostHour+IF(I29="",0,I29)+IF(J29="",0,J29)-IF(K29="",0,K29),2))</f>
        <v>0</v>
      </c>
      <c r="P29" s="20">
        <f>IF(C29="","",IFERROR(INDEX(Products!$AV$5:$AV$304,MATCH(C29,Products!$A$5:$A$304,0)),""))</f>
        <v>0</v>
      </c>
      <c r="Q29" s="32">
        <f>IF(B29="","",IF(C29="",0,SUMIFS(Sales!$D$5:$D$804,Sales!$C$5:$C$804,C29)))</f>
        <v>0</v>
      </c>
      <c r="R29" s="20">
        <f>IF(B29="","",IF(P29="",0,ROUND(Q29*P29,2)))</f>
        <v>0</v>
      </c>
      <c r="S29" s="33">
        <f>IF(B29="","",IF(O29&lt;=0,"",R29/O29))</f>
        <v>0</v>
      </c>
      <c r="T29" s="32">
        <f>IF(B29="","",IF(OR(P29="",P29&lt;=0),"Needs a profitable price",ROUNDUP(MAX(0,O29-R29)/P29,0)))</f>
        <v>0</v>
      </c>
      <c r="U29" s="20">
        <f>IF(B29="","",IF(OR(Q29=0,O29&lt;=0),"",ROUND(O29/Q29,2)))</f>
        <v>0</v>
      </c>
      <c r="V29" s="43">
        <f>IF(B29="","",IF(O29&lt;=0,"Add - hours and sample costs",IF(C29="","Idea - not listed yet",IF(S29&gt;=1,"Recovered - this one paid for itself",IF(AND(Q29=0,E29&lt;&gt;"",TodayDate-E29&gt;90),"Check - three months, no sales",IF(S29&lt;0.5,"Watch - under half recovered","OK"))))))</f>
        <v>0</v>
      </c>
    </row>
    <row r="30" spans="1:22">
      <c r="A30" s="38">
        <f>IF(B30="","",DevPrefix&amp;TEXT(ROW()-4,"0000"))</f>
        <v>0</v>
      </c>
      <c r="N30" s="41">
        <f>IF(B30="","",IF(F30="",0,F30)+IF(G30="",0,G30)+IF(H30="",0,H30))</f>
        <v>0</v>
      </c>
      <c r="O30" s="20">
        <f>IF(B30="","",ROUND(N30*LaborCostHour+IF(I30="",0,I30)+IF(J30="",0,J30)-IF(K30="",0,K30),2))</f>
        <v>0</v>
      </c>
      <c r="P30" s="20">
        <f>IF(C30="","",IFERROR(INDEX(Products!$AV$5:$AV$304,MATCH(C30,Products!$A$5:$A$304,0)),""))</f>
        <v>0</v>
      </c>
      <c r="Q30" s="32">
        <f>IF(B30="","",IF(C30="",0,SUMIFS(Sales!$D$5:$D$804,Sales!$C$5:$C$804,C30)))</f>
        <v>0</v>
      </c>
      <c r="R30" s="20">
        <f>IF(B30="","",IF(P30="",0,ROUND(Q30*P30,2)))</f>
        <v>0</v>
      </c>
      <c r="S30" s="33">
        <f>IF(B30="","",IF(O30&lt;=0,"",R30/O30))</f>
        <v>0</v>
      </c>
      <c r="T30" s="32">
        <f>IF(B30="","",IF(OR(P30="",P30&lt;=0),"Needs a profitable price",ROUNDUP(MAX(0,O30-R30)/P30,0)))</f>
        <v>0</v>
      </c>
      <c r="U30" s="20">
        <f>IF(B30="","",IF(OR(Q30=0,O30&lt;=0),"",ROUND(O30/Q30,2)))</f>
        <v>0</v>
      </c>
      <c r="V30" s="43">
        <f>IF(B30="","",IF(O30&lt;=0,"Add - hours and sample costs",IF(C30="","Idea - not listed yet",IF(S30&gt;=1,"Recovered - this one paid for itself",IF(AND(Q30=0,E30&lt;&gt;"",TodayDate-E30&gt;90),"Check - three months, no sales",IF(S30&lt;0.5,"Watch - under half recovered","OK"))))))</f>
        <v>0</v>
      </c>
    </row>
    <row r="31" spans="1:22">
      <c r="A31" s="38">
        <f>IF(B31="","",DevPrefix&amp;TEXT(ROW()-4,"0000"))</f>
        <v>0</v>
      </c>
      <c r="N31" s="41">
        <f>IF(B31="","",IF(F31="",0,F31)+IF(G31="",0,G31)+IF(H31="",0,H31))</f>
        <v>0</v>
      </c>
      <c r="O31" s="20">
        <f>IF(B31="","",ROUND(N31*LaborCostHour+IF(I31="",0,I31)+IF(J31="",0,J31)-IF(K31="",0,K31),2))</f>
        <v>0</v>
      </c>
      <c r="P31" s="20">
        <f>IF(C31="","",IFERROR(INDEX(Products!$AV$5:$AV$304,MATCH(C31,Products!$A$5:$A$304,0)),""))</f>
        <v>0</v>
      </c>
      <c r="Q31" s="32">
        <f>IF(B31="","",IF(C31="",0,SUMIFS(Sales!$D$5:$D$804,Sales!$C$5:$C$804,C31)))</f>
        <v>0</v>
      </c>
      <c r="R31" s="20">
        <f>IF(B31="","",IF(P31="",0,ROUND(Q31*P31,2)))</f>
        <v>0</v>
      </c>
      <c r="S31" s="33">
        <f>IF(B31="","",IF(O31&lt;=0,"",R31/O31))</f>
        <v>0</v>
      </c>
      <c r="T31" s="32">
        <f>IF(B31="","",IF(OR(P31="",P31&lt;=0),"Needs a profitable price",ROUNDUP(MAX(0,O31-R31)/P31,0)))</f>
        <v>0</v>
      </c>
      <c r="U31" s="20">
        <f>IF(B31="","",IF(OR(Q31=0,O31&lt;=0),"",ROUND(O31/Q31,2)))</f>
        <v>0</v>
      </c>
      <c r="V31" s="43">
        <f>IF(B31="","",IF(O31&lt;=0,"Add - hours and sample costs",IF(C31="","Idea - not listed yet",IF(S31&gt;=1,"Recovered - this one paid for itself",IF(AND(Q31=0,E31&lt;&gt;"",TodayDate-E31&gt;90),"Check - three months, no sales",IF(S31&lt;0.5,"Watch - under half recovered","OK"))))))</f>
        <v>0</v>
      </c>
    </row>
    <row r="32" spans="1:22">
      <c r="A32" s="38">
        <f>IF(B32="","",DevPrefix&amp;TEXT(ROW()-4,"0000"))</f>
        <v>0</v>
      </c>
      <c r="N32" s="41">
        <f>IF(B32="","",IF(F32="",0,F32)+IF(G32="",0,G32)+IF(H32="",0,H32))</f>
        <v>0</v>
      </c>
      <c r="O32" s="20">
        <f>IF(B32="","",ROUND(N32*LaborCostHour+IF(I32="",0,I32)+IF(J32="",0,J32)-IF(K32="",0,K32),2))</f>
        <v>0</v>
      </c>
      <c r="P32" s="20">
        <f>IF(C32="","",IFERROR(INDEX(Products!$AV$5:$AV$304,MATCH(C32,Products!$A$5:$A$304,0)),""))</f>
        <v>0</v>
      </c>
      <c r="Q32" s="32">
        <f>IF(B32="","",IF(C32="",0,SUMIFS(Sales!$D$5:$D$804,Sales!$C$5:$C$804,C32)))</f>
        <v>0</v>
      </c>
      <c r="R32" s="20">
        <f>IF(B32="","",IF(P32="",0,ROUND(Q32*P32,2)))</f>
        <v>0</v>
      </c>
      <c r="S32" s="33">
        <f>IF(B32="","",IF(O32&lt;=0,"",R32/O32))</f>
        <v>0</v>
      </c>
      <c r="T32" s="32">
        <f>IF(B32="","",IF(OR(P32="",P32&lt;=0),"Needs a profitable price",ROUNDUP(MAX(0,O32-R32)/P32,0)))</f>
        <v>0</v>
      </c>
      <c r="U32" s="20">
        <f>IF(B32="","",IF(OR(Q32=0,O32&lt;=0),"",ROUND(O32/Q32,2)))</f>
        <v>0</v>
      </c>
      <c r="V32" s="43">
        <f>IF(B32="","",IF(O32&lt;=0,"Add - hours and sample costs",IF(C32="","Idea - not listed yet",IF(S32&gt;=1,"Recovered - this one paid for itself",IF(AND(Q32=0,E32&lt;&gt;"",TodayDate-E32&gt;90),"Check - three months, no sales",IF(S32&lt;0.5,"Watch - under half recovered","OK"))))))</f>
        <v>0</v>
      </c>
    </row>
    <row r="33" spans="1:22">
      <c r="A33" s="38">
        <f>IF(B33="","",DevPrefix&amp;TEXT(ROW()-4,"0000"))</f>
        <v>0</v>
      </c>
      <c r="N33" s="41">
        <f>IF(B33="","",IF(F33="",0,F33)+IF(G33="",0,G33)+IF(H33="",0,H33))</f>
        <v>0</v>
      </c>
      <c r="O33" s="20">
        <f>IF(B33="","",ROUND(N33*LaborCostHour+IF(I33="",0,I33)+IF(J33="",0,J33)-IF(K33="",0,K33),2))</f>
        <v>0</v>
      </c>
      <c r="P33" s="20">
        <f>IF(C33="","",IFERROR(INDEX(Products!$AV$5:$AV$304,MATCH(C33,Products!$A$5:$A$304,0)),""))</f>
        <v>0</v>
      </c>
      <c r="Q33" s="32">
        <f>IF(B33="","",IF(C33="",0,SUMIFS(Sales!$D$5:$D$804,Sales!$C$5:$C$804,C33)))</f>
        <v>0</v>
      </c>
      <c r="R33" s="20">
        <f>IF(B33="","",IF(P33="",0,ROUND(Q33*P33,2)))</f>
        <v>0</v>
      </c>
      <c r="S33" s="33">
        <f>IF(B33="","",IF(O33&lt;=0,"",R33/O33))</f>
        <v>0</v>
      </c>
      <c r="T33" s="32">
        <f>IF(B33="","",IF(OR(P33="",P33&lt;=0),"Needs a profitable price",ROUNDUP(MAX(0,O33-R33)/P33,0)))</f>
        <v>0</v>
      </c>
      <c r="U33" s="20">
        <f>IF(B33="","",IF(OR(Q33=0,O33&lt;=0),"",ROUND(O33/Q33,2)))</f>
        <v>0</v>
      </c>
      <c r="V33" s="43">
        <f>IF(B33="","",IF(O33&lt;=0,"Add - hours and sample costs",IF(C33="","Idea - not listed yet",IF(S33&gt;=1,"Recovered - this one paid for itself",IF(AND(Q33=0,E33&lt;&gt;"",TodayDate-E33&gt;90),"Check - three months, no sales",IF(S33&lt;0.5,"Watch - under half recovered","OK"))))))</f>
        <v>0</v>
      </c>
    </row>
    <row r="34" spans="1:22">
      <c r="A34" s="38">
        <f>IF(B34="","",DevPrefix&amp;TEXT(ROW()-4,"0000"))</f>
        <v>0</v>
      </c>
      <c r="N34" s="41">
        <f>IF(B34="","",IF(F34="",0,F34)+IF(G34="",0,G34)+IF(H34="",0,H34))</f>
        <v>0</v>
      </c>
      <c r="O34" s="20">
        <f>IF(B34="","",ROUND(N34*LaborCostHour+IF(I34="",0,I34)+IF(J34="",0,J34)-IF(K34="",0,K34),2))</f>
        <v>0</v>
      </c>
      <c r="P34" s="20">
        <f>IF(C34="","",IFERROR(INDEX(Products!$AV$5:$AV$304,MATCH(C34,Products!$A$5:$A$304,0)),""))</f>
        <v>0</v>
      </c>
      <c r="Q34" s="32">
        <f>IF(B34="","",IF(C34="",0,SUMIFS(Sales!$D$5:$D$804,Sales!$C$5:$C$804,C34)))</f>
        <v>0</v>
      </c>
      <c r="R34" s="20">
        <f>IF(B34="","",IF(P34="",0,ROUND(Q34*P34,2)))</f>
        <v>0</v>
      </c>
      <c r="S34" s="33">
        <f>IF(B34="","",IF(O34&lt;=0,"",R34/O34))</f>
        <v>0</v>
      </c>
      <c r="T34" s="32">
        <f>IF(B34="","",IF(OR(P34="",P34&lt;=0),"Needs a profitable price",ROUNDUP(MAX(0,O34-R34)/P34,0)))</f>
        <v>0</v>
      </c>
      <c r="U34" s="20">
        <f>IF(B34="","",IF(OR(Q34=0,O34&lt;=0),"",ROUND(O34/Q34,2)))</f>
        <v>0</v>
      </c>
      <c r="V34" s="43">
        <f>IF(B34="","",IF(O34&lt;=0,"Add - hours and sample costs",IF(C34="","Idea - not listed yet",IF(S34&gt;=1,"Recovered - this one paid for itself",IF(AND(Q34=0,E34&lt;&gt;"",TodayDate-E34&gt;90),"Check - three months, no sales",IF(S34&lt;0.5,"Watch - under half recovered","OK"))))))</f>
        <v>0</v>
      </c>
    </row>
    <row r="35" spans="1:22">
      <c r="A35" s="38">
        <f>IF(B35="","",DevPrefix&amp;TEXT(ROW()-4,"0000"))</f>
        <v>0</v>
      </c>
      <c r="N35" s="41">
        <f>IF(B35="","",IF(F35="",0,F35)+IF(G35="",0,G35)+IF(H35="",0,H35))</f>
        <v>0</v>
      </c>
      <c r="O35" s="20">
        <f>IF(B35="","",ROUND(N35*LaborCostHour+IF(I35="",0,I35)+IF(J35="",0,J35)-IF(K35="",0,K35),2))</f>
        <v>0</v>
      </c>
      <c r="P35" s="20">
        <f>IF(C35="","",IFERROR(INDEX(Products!$AV$5:$AV$304,MATCH(C35,Products!$A$5:$A$304,0)),""))</f>
        <v>0</v>
      </c>
      <c r="Q35" s="32">
        <f>IF(B35="","",IF(C35="",0,SUMIFS(Sales!$D$5:$D$804,Sales!$C$5:$C$804,C35)))</f>
        <v>0</v>
      </c>
      <c r="R35" s="20">
        <f>IF(B35="","",IF(P35="",0,ROUND(Q35*P35,2)))</f>
        <v>0</v>
      </c>
      <c r="S35" s="33">
        <f>IF(B35="","",IF(O35&lt;=0,"",R35/O35))</f>
        <v>0</v>
      </c>
      <c r="T35" s="32">
        <f>IF(B35="","",IF(OR(P35="",P35&lt;=0),"Needs a profitable price",ROUNDUP(MAX(0,O35-R35)/P35,0)))</f>
        <v>0</v>
      </c>
      <c r="U35" s="20">
        <f>IF(B35="","",IF(OR(Q35=0,O35&lt;=0),"",ROUND(O35/Q35,2)))</f>
        <v>0</v>
      </c>
      <c r="V35" s="43">
        <f>IF(B35="","",IF(O35&lt;=0,"Add - hours and sample costs",IF(C35="","Idea - not listed yet",IF(S35&gt;=1,"Recovered - this one paid for itself",IF(AND(Q35=0,E35&lt;&gt;"",TodayDate-E35&gt;90),"Check - three months, no sales",IF(S35&lt;0.5,"Watch - under half recovered","OK"))))))</f>
        <v>0</v>
      </c>
    </row>
    <row r="36" spans="1:22">
      <c r="A36" s="38">
        <f>IF(B36="","",DevPrefix&amp;TEXT(ROW()-4,"0000"))</f>
        <v>0</v>
      </c>
      <c r="N36" s="41">
        <f>IF(B36="","",IF(F36="",0,F36)+IF(G36="",0,G36)+IF(H36="",0,H36))</f>
        <v>0</v>
      </c>
      <c r="O36" s="20">
        <f>IF(B36="","",ROUND(N36*LaborCostHour+IF(I36="",0,I36)+IF(J36="",0,J36)-IF(K36="",0,K36),2))</f>
        <v>0</v>
      </c>
      <c r="P36" s="20">
        <f>IF(C36="","",IFERROR(INDEX(Products!$AV$5:$AV$304,MATCH(C36,Products!$A$5:$A$304,0)),""))</f>
        <v>0</v>
      </c>
      <c r="Q36" s="32">
        <f>IF(B36="","",IF(C36="",0,SUMIFS(Sales!$D$5:$D$804,Sales!$C$5:$C$804,C36)))</f>
        <v>0</v>
      </c>
      <c r="R36" s="20">
        <f>IF(B36="","",IF(P36="",0,ROUND(Q36*P36,2)))</f>
        <v>0</v>
      </c>
      <c r="S36" s="33">
        <f>IF(B36="","",IF(O36&lt;=0,"",R36/O36))</f>
        <v>0</v>
      </c>
      <c r="T36" s="32">
        <f>IF(B36="","",IF(OR(P36="",P36&lt;=0),"Needs a profitable price",ROUNDUP(MAX(0,O36-R36)/P36,0)))</f>
        <v>0</v>
      </c>
      <c r="U36" s="20">
        <f>IF(B36="","",IF(OR(Q36=0,O36&lt;=0),"",ROUND(O36/Q36,2)))</f>
        <v>0</v>
      </c>
      <c r="V36" s="43">
        <f>IF(B36="","",IF(O36&lt;=0,"Add - hours and sample costs",IF(C36="","Idea - not listed yet",IF(S36&gt;=1,"Recovered - this one paid for itself",IF(AND(Q36=0,E36&lt;&gt;"",TodayDate-E36&gt;90),"Check - three months, no sales",IF(S36&lt;0.5,"Watch - under half recovered","OK"))))))</f>
        <v>0</v>
      </c>
    </row>
    <row r="37" spans="1:22">
      <c r="A37" s="38">
        <f>IF(B37="","",DevPrefix&amp;TEXT(ROW()-4,"0000"))</f>
        <v>0</v>
      </c>
      <c r="N37" s="41">
        <f>IF(B37="","",IF(F37="",0,F37)+IF(G37="",0,G37)+IF(H37="",0,H37))</f>
        <v>0</v>
      </c>
      <c r="O37" s="20">
        <f>IF(B37="","",ROUND(N37*LaborCostHour+IF(I37="",0,I37)+IF(J37="",0,J37)-IF(K37="",0,K37),2))</f>
        <v>0</v>
      </c>
      <c r="P37" s="20">
        <f>IF(C37="","",IFERROR(INDEX(Products!$AV$5:$AV$304,MATCH(C37,Products!$A$5:$A$304,0)),""))</f>
        <v>0</v>
      </c>
      <c r="Q37" s="32">
        <f>IF(B37="","",IF(C37="",0,SUMIFS(Sales!$D$5:$D$804,Sales!$C$5:$C$804,C37)))</f>
        <v>0</v>
      </c>
      <c r="R37" s="20">
        <f>IF(B37="","",IF(P37="",0,ROUND(Q37*P37,2)))</f>
        <v>0</v>
      </c>
      <c r="S37" s="33">
        <f>IF(B37="","",IF(O37&lt;=0,"",R37/O37))</f>
        <v>0</v>
      </c>
      <c r="T37" s="32">
        <f>IF(B37="","",IF(OR(P37="",P37&lt;=0),"Needs a profitable price",ROUNDUP(MAX(0,O37-R37)/P37,0)))</f>
        <v>0</v>
      </c>
      <c r="U37" s="20">
        <f>IF(B37="","",IF(OR(Q37=0,O37&lt;=0),"",ROUND(O37/Q37,2)))</f>
        <v>0</v>
      </c>
      <c r="V37" s="43">
        <f>IF(B37="","",IF(O37&lt;=0,"Add - hours and sample costs",IF(C37="","Idea - not listed yet",IF(S37&gt;=1,"Recovered - this one paid for itself",IF(AND(Q37=0,E37&lt;&gt;"",TodayDate-E37&gt;90),"Check - three months, no sales",IF(S37&lt;0.5,"Watch - under half recovered","OK"))))))</f>
        <v>0</v>
      </c>
    </row>
    <row r="38" spans="1:22">
      <c r="A38" s="38">
        <f>IF(B38="","",DevPrefix&amp;TEXT(ROW()-4,"0000"))</f>
        <v>0</v>
      </c>
      <c r="N38" s="41">
        <f>IF(B38="","",IF(F38="",0,F38)+IF(G38="",0,G38)+IF(H38="",0,H38))</f>
        <v>0</v>
      </c>
      <c r="O38" s="20">
        <f>IF(B38="","",ROUND(N38*LaborCostHour+IF(I38="",0,I38)+IF(J38="",0,J38)-IF(K38="",0,K38),2))</f>
        <v>0</v>
      </c>
      <c r="P38" s="20">
        <f>IF(C38="","",IFERROR(INDEX(Products!$AV$5:$AV$304,MATCH(C38,Products!$A$5:$A$304,0)),""))</f>
        <v>0</v>
      </c>
      <c r="Q38" s="32">
        <f>IF(B38="","",IF(C38="",0,SUMIFS(Sales!$D$5:$D$804,Sales!$C$5:$C$804,C38)))</f>
        <v>0</v>
      </c>
      <c r="R38" s="20">
        <f>IF(B38="","",IF(P38="",0,ROUND(Q38*P38,2)))</f>
        <v>0</v>
      </c>
      <c r="S38" s="33">
        <f>IF(B38="","",IF(O38&lt;=0,"",R38/O38))</f>
        <v>0</v>
      </c>
      <c r="T38" s="32">
        <f>IF(B38="","",IF(OR(P38="",P38&lt;=0),"Needs a profitable price",ROUNDUP(MAX(0,O38-R38)/P38,0)))</f>
        <v>0</v>
      </c>
      <c r="U38" s="20">
        <f>IF(B38="","",IF(OR(Q38=0,O38&lt;=0),"",ROUND(O38/Q38,2)))</f>
        <v>0</v>
      </c>
      <c r="V38" s="43">
        <f>IF(B38="","",IF(O38&lt;=0,"Add - hours and sample costs",IF(C38="","Idea - not listed yet",IF(S38&gt;=1,"Recovered - this one paid for itself",IF(AND(Q38=0,E38&lt;&gt;"",TodayDate-E38&gt;90),"Check - three months, no sales",IF(S38&lt;0.5,"Watch - under half recovered","OK"))))))</f>
        <v>0</v>
      </c>
    </row>
    <row r="39" spans="1:22">
      <c r="A39" s="38">
        <f>IF(B39="","",DevPrefix&amp;TEXT(ROW()-4,"0000"))</f>
        <v>0</v>
      </c>
      <c r="N39" s="41">
        <f>IF(B39="","",IF(F39="",0,F39)+IF(G39="",0,G39)+IF(H39="",0,H39))</f>
        <v>0</v>
      </c>
      <c r="O39" s="20">
        <f>IF(B39="","",ROUND(N39*LaborCostHour+IF(I39="",0,I39)+IF(J39="",0,J39)-IF(K39="",0,K39),2))</f>
        <v>0</v>
      </c>
      <c r="P39" s="20">
        <f>IF(C39="","",IFERROR(INDEX(Products!$AV$5:$AV$304,MATCH(C39,Products!$A$5:$A$304,0)),""))</f>
        <v>0</v>
      </c>
      <c r="Q39" s="32">
        <f>IF(B39="","",IF(C39="",0,SUMIFS(Sales!$D$5:$D$804,Sales!$C$5:$C$804,C39)))</f>
        <v>0</v>
      </c>
      <c r="R39" s="20">
        <f>IF(B39="","",IF(P39="",0,ROUND(Q39*P39,2)))</f>
        <v>0</v>
      </c>
      <c r="S39" s="33">
        <f>IF(B39="","",IF(O39&lt;=0,"",R39/O39))</f>
        <v>0</v>
      </c>
      <c r="T39" s="32">
        <f>IF(B39="","",IF(OR(P39="",P39&lt;=0),"Needs a profitable price",ROUNDUP(MAX(0,O39-R39)/P39,0)))</f>
        <v>0</v>
      </c>
      <c r="U39" s="20">
        <f>IF(B39="","",IF(OR(Q39=0,O39&lt;=0),"",ROUND(O39/Q39,2)))</f>
        <v>0</v>
      </c>
      <c r="V39" s="43">
        <f>IF(B39="","",IF(O39&lt;=0,"Add - hours and sample costs",IF(C39="","Idea - not listed yet",IF(S39&gt;=1,"Recovered - this one paid for itself",IF(AND(Q39=0,E39&lt;&gt;"",TodayDate-E39&gt;90),"Check - three months, no sales",IF(S39&lt;0.5,"Watch - under half recovered","OK"))))))</f>
        <v>0</v>
      </c>
    </row>
    <row r="40" spans="1:22">
      <c r="A40" s="38">
        <f>IF(B40="","",DevPrefix&amp;TEXT(ROW()-4,"0000"))</f>
        <v>0</v>
      </c>
      <c r="N40" s="41">
        <f>IF(B40="","",IF(F40="",0,F40)+IF(G40="",0,G40)+IF(H40="",0,H40))</f>
        <v>0</v>
      </c>
      <c r="O40" s="20">
        <f>IF(B40="","",ROUND(N40*LaborCostHour+IF(I40="",0,I40)+IF(J40="",0,J40)-IF(K40="",0,K40),2))</f>
        <v>0</v>
      </c>
      <c r="P40" s="20">
        <f>IF(C40="","",IFERROR(INDEX(Products!$AV$5:$AV$304,MATCH(C40,Products!$A$5:$A$304,0)),""))</f>
        <v>0</v>
      </c>
      <c r="Q40" s="32">
        <f>IF(B40="","",IF(C40="",0,SUMIFS(Sales!$D$5:$D$804,Sales!$C$5:$C$804,C40)))</f>
        <v>0</v>
      </c>
      <c r="R40" s="20">
        <f>IF(B40="","",IF(P40="",0,ROUND(Q40*P40,2)))</f>
        <v>0</v>
      </c>
      <c r="S40" s="33">
        <f>IF(B40="","",IF(O40&lt;=0,"",R40/O40))</f>
        <v>0</v>
      </c>
      <c r="T40" s="32">
        <f>IF(B40="","",IF(OR(P40="",P40&lt;=0),"Needs a profitable price",ROUNDUP(MAX(0,O40-R40)/P40,0)))</f>
        <v>0</v>
      </c>
      <c r="U40" s="20">
        <f>IF(B40="","",IF(OR(Q40=0,O40&lt;=0),"",ROUND(O40/Q40,2)))</f>
        <v>0</v>
      </c>
      <c r="V40" s="43">
        <f>IF(B40="","",IF(O40&lt;=0,"Add - hours and sample costs",IF(C40="","Idea - not listed yet",IF(S40&gt;=1,"Recovered - this one paid for itself",IF(AND(Q40=0,E40&lt;&gt;"",TodayDate-E40&gt;90),"Check - three months, no sales",IF(S40&lt;0.5,"Watch - under half recovered","OK"))))))</f>
        <v>0</v>
      </c>
    </row>
    <row r="41" spans="1:22">
      <c r="A41" s="38">
        <f>IF(B41="","",DevPrefix&amp;TEXT(ROW()-4,"0000"))</f>
        <v>0</v>
      </c>
      <c r="N41" s="41">
        <f>IF(B41="","",IF(F41="",0,F41)+IF(G41="",0,G41)+IF(H41="",0,H41))</f>
        <v>0</v>
      </c>
      <c r="O41" s="20">
        <f>IF(B41="","",ROUND(N41*LaborCostHour+IF(I41="",0,I41)+IF(J41="",0,J41)-IF(K41="",0,K41),2))</f>
        <v>0</v>
      </c>
      <c r="P41" s="20">
        <f>IF(C41="","",IFERROR(INDEX(Products!$AV$5:$AV$304,MATCH(C41,Products!$A$5:$A$304,0)),""))</f>
        <v>0</v>
      </c>
      <c r="Q41" s="32">
        <f>IF(B41="","",IF(C41="",0,SUMIFS(Sales!$D$5:$D$804,Sales!$C$5:$C$804,C41)))</f>
        <v>0</v>
      </c>
      <c r="R41" s="20">
        <f>IF(B41="","",IF(P41="",0,ROUND(Q41*P41,2)))</f>
        <v>0</v>
      </c>
      <c r="S41" s="33">
        <f>IF(B41="","",IF(O41&lt;=0,"",R41/O41))</f>
        <v>0</v>
      </c>
      <c r="T41" s="32">
        <f>IF(B41="","",IF(OR(P41="",P41&lt;=0),"Needs a profitable price",ROUNDUP(MAX(0,O41-R41)/P41,0)))</f>
        <v>0</v>
      </c>
      <c r="U41" s="20">
        <f>IF(B41="","",IF(OR(Q41=0,O41&lt;=0),"",ROUND(O41/Q41,2)))</f>
        <v>0</v>
      </c>
      <c r="V41" s="43">
        <f>IF(B41="","",IF(O41&lt;=0,"Add - hours and sample costs",IF(C41="","Idea - not listed yet",IF(S41&gt;=1,"Recovered - this one paid for itself",IF(AND(Q41=0,E41&lt;&gt;"",TodayDate-E41&gt;90),"Check - three months, no sales",IF(S41&lt;0.5,"Watch - under half recovered","OK"))))))</f>
        <v>0</v>
      </c>
    </row>
    <row r="42" spans="1:22">
      <c r="A42" s="38">
        <f>IF(B42="","",DevPrefix&amp;TEXT(ROW()-4,"0000"))</f>
        <v>0</v>
      </c>
      <c r="N42" s="41">
        <f>IF(B42="","",IF(F42="",0,F42)+IF(G42="",0,G42)+IF(H42="",0,H42))</f>
        <v>0</v>
      </c>
      <c r="O42" s="20">
        <f>IF(B42="","",ROUND(N42*LaborCostHour+IF(I42="",0,I42)+IF(J42="",0,J42)-IF(K42="",0,K42),2))</f>
        <v>0</v>
      </c>
      <c r="P42" s="20">
        <f>IF(C42="","",IFERROR(INDEX(Products!$AV$5:$AV$304,MATCH(C42,Products!$A$5:$A$304,0)),""))</f>
        <v>0</v>
      </c>
      <c r="Q42" s="32">
        <f>IF(B42="","",IF(C42="",0,SUMIFS(Sales!$D$5:$D$804,Sales!$C$5:$C$804,C42)))</f>
        <v>0</v>
      </c>
      <c r="R42" s="20">
        <f>IF(B42="","",IF(P42="",0,ROUND(Q42*P42,2)))</f>
        <v>0</v>
      </c>
      <c r="S42" s="33">
        <f>IF(B42="","",IF(O42&lt;=0,"",R42/O42))</f>
        <v>0</v>
      </c>
      <c r="T42" s="32">
        <f>IF(B42="","",IF(OR(P42="",P42&lt;=0),"Needs a profitable price",ROUNDUP(MAX(0,O42-R42)/P42,0)))</f>
        <v>0</v>
      </c>
      <c r="U42" s="20">
        <f>IF(B42="","",IF(OR(Q42=0,O42&lt;=0),"",ROUND(O42/Q42,2)))</f>
        <v>0</v>
      </c>
      <c r="V42" s="43">
        <f>IF(B42="","",IF(O42&lt;=0,"Add - hours and sample costs",IF(C42="","Idea - not listed yet",IF(S42&gt;=1,"Recovered - this one paid for itself",IF(AND(Q42=0,E42&lt;&gt;"",TodayDate-E42&gt;90),"Check - three months, no sales",IF(S42&lt;0.5,"Watch - under half recovered","OK"))))))</f>
        <v>0</v>
      </c>
    </row>
    <row r="43" spans="1:22">
      <c r="A43" s="38">
        <f>IF(B43="","",DevPrefix&amp;TEXT(ROW()-4,"0000"))</f>
        <v>0</v>
      </c>
      <c r="N43" s="41">
        <f>IF(B43="","",IF(F43="",0,F43)+IF(G43="",0,G43)+IF(H43="",0,H43))</f>
        <v>0</v>
      </c>
      <c r="O43" s="20">
        <f>IF(B43="","",ROUND(N43*LaborCostHour+IF(I43="",0,I43)+IF(J43="",0,J43)-IF(K43="",0,K43),2))</f>
        <v>0</v>
      </c>
      <c r="P43" s="20">
        <f>IF(C43="","",IFERROR(INDEX(Products!$AV$5:$AV$304,MATCH(C43,Products!$A$5:$A$304,0)),""))</f>
        <v>0</v>
      </c>
      <c r="Q43" s="32">
        <f>IF(B43="","",IF(C43="",0,SUMIFS(Sales!$D$5:$D$804,Sales!$C$5:$C$804,C43)))</f>
        <v>0</v>
      </c>
      <c r="R43" s="20">
        <f>IF(B43="","",IF(P43="",0,ROUND(Q43*P43,2)))</f>
        <v>0</v>
      </c>
      <c r="S43" s="33">
        <f>IF(B43="","",IF(O43&lt;=0,"",R43/O43))</f>
        <v>0</v>
      </c>
      <c r="T43" s="32">
        <f>IF(B43="","",IF(OR(P43="",P43&lt;=0),"Needs a profitable price",ROUNDUP(MAX(0,O43-R43)/P43,0)))</f>
        <v>0</v>
      </c>
      <c r="U43" s="20">
        <f>IF(B43="","",IF(OR(Q43=0,O43&lt;=0),"",ROUND(O43/Q43,2)))</f>
        <v>0</v>
      </c>
      <c r="V43" s="43">
        <f>IF(B43="","",IF(O43&lt;=0,"Add - hours and sample costs",IF(C43="","Idea - not listed yet",IF(S43&gt;=1,"Recovered - this one paid for itself",IF(AND(Q43=0,E43&lt;&gt;"",TodayDate-E43&gt;90),"Check - three months, no sales",IF(S43&lt;0.5,"Watch - under half recovered","OK"))))))</f>
        <v>0</v>
      </c>
    </row>
    <row r="44" spans="1:22">
      <c r="A44" s="38">
        <f>IF(B44="","",DevPrefix&amp;TEXT(ROW()-4,"0000"))</f>
        <v>0</v>
      </c>
      <c r="N44" s="41">
        <f>IF(B44="","",IF(F44="",0,F44)+IF(G44="",0,G44)+IF(H44="",0,H44))</f>
        <v>0</v>
      </c>
      <c r="O44" s="20">
        <f>IF(B44="","",ROUND(N44*LaborCostHour+IF(I44="",0,I44)+IF(J44="",0,J44)-IF(K44="",0,K44),2))</f>
        <v>0</v>
      </c>
      <c r="P44" s="20">
        <f>IF(C44="","",IFERROR(INDEX(Products!$AV$5:$AV$304,MATCH(C44,Products!$A$5:$A$304,0)),""))</f>
        <v>0</v>
      </c>
      <c r="Q44" s="32">
        <f>IF(B44="","",IF(C44="",0,SUMIFS(Sales!$D$5:$D$804,Sales!$C$5:$C$804,C44)))</f>
        <v>0</v>
      </c>
      <c r="R44" s="20">
        <f>IF(B44="","",IF(P44="",0,ROUND(Q44*P44,2)))</f>
        <v>0</v>
      </c>
      <c r="S44" s="33">
        <f>IF(B44="","",IF(O44&lt;=0,"",R44/O44))</f>
        <v>0</v>
      </c>
      <c r="T44" s="32">
        <f>IF(B44="","",IF(OR(P44="",P44&lt;=0),"Needs a profitable price",ROUNDUP(MAX(0,O44-R44)/P44,0)))</f>
        <v>0</v>
      </c>
      <c r="U44" s="20">
        <f>IF(B44="","",IF(OR(Q44=0,O44&lt;=0),"",ROUND(O44/Q44,2)))</f>
        <v>0</v>
      </c>
      <c r="V44" s="43">
        <f>IF(B44="","",IF(O44&lt;=0,"Add - hours and sample costs",IF(C44="","Idea - not listed yet",IF(S44&gt;=1,"Recovered - this one paid for itself",IF(AND(Q44=0,E44&lt;&gt;"",TodayDate-E44&gt;90),"Check - three months, no sales",IF(S44&lt;0.5,"Watch - under half recovered","OK"))))))</f>
        <v>0</v>
      </c>
    </row>
    <row r="45" spans="1:22">
      <c r="A45" s="38">
        <f>IF(B45="","",DevPrefix&amp;TEXT(ROW()-4,"0000"))</f>
        <v>0</v>
      </c>
      <c r="N45" s="41">
        <f>IF(B45="","",IF(F45="",0,F45)+IF(G45="",0,G45)+IF(H45="",0,H45))</f>
        <v>0</v>
      </c>
      <c r="O45" s="20">
        <f>IF(B45="","",ROUND(N45*LaborCostHour+IF(I45="",0,I45)+IF(J45="",0,J45)-IF(K45="",0,K45),2))</f>
        <v>0</v>
      </c>
      <c r="P45" s="20">
        <f>IF(C45="","",IFERROR(INDEX(Products!$AV$5:$AV$304,MATCH(C45,Products!$A$5:$A$304,0)),""))</f>
        <v>0</v>
      </c>
      <c r="Q45" s="32">
        <f>IF(B45="","",IF(C45="",0,SUMIFS(Sales!$D$5:$D$804,Sales!$C$5:$C$804,C45)))</f>
        <v>0</v>
      </c>
      <c r="R45" s="20">
        <f>IF(B45="","",IF(P45="",0,ROUND(Q45*P45,2)))</f>
        <v>0</v>
      </c>
      <c r="S45" s="33">
        <f>IF(B45="","",IF(O45&lt;=0,"",R45/O45))</f>
        <v>0</v>
      </c>
      <c r="T45" s="32">
        <f>IF(B45="","",IF(OR(P45="",P45&lt;=0),"Needs a profitable price",ROUNDUP(MAX(0,O45-R45)/P45,0)))</f>
        <v>0</v>
      </c>
      <c r="U45" s="20">
        <f>IF(B45="","",IF(OR(Q45=0,O45&lt;=0),"",ROUND(O45/Q45,2)))</f>
        <v>0</v>
      </c>
      <c r="V45" s="43">
        <f>IF(B45="","",IF(O45&lt;=0,"Add - hours and sample costs",IF(C45="","Idea - not listed yet",IF(S45&gt;=1,"Recovered - this one paid for itself",IF(AND(Q45=0,E45&lt;&gt;"",TodayDate-E45&gt;90),"Check - three months, no sales",IF(S45&lt;0.5,"Watch - under half recovered","OK"))))))</f>
        <v>0</v>
      </c>
    </row>
    <row r="46" spans="1:22">
      <c r="A46" s="38">
        <f>IF(B46="","",DevPrefix&amp;TEXT(ROW()-4,"0000"))</f>
        <v>0</v>
      </c>
      <c r="N46" s="41">
        <f>IF(B46="","",IF(F46="",0,F46)+IF(G46="",0,G46)+IF(H46="",0,H46))</f>
        <v>0</v>
      </c>
      <c r="O46" s="20">
        <f>IF(B46="","",ROUND(N46*LaborCostHour+IF(I46="",0,I46)+IF(J46="",0,J46)-IF(K46="",0,K46),2))</f>
        <v>0</v>
      </c>
      <c r="P46" s="20">
        <f>IF(C46="","",IFERROR(INDEX(Products!$AV$5:$AV$304,MATCH(C46,Products!$A$5:$A$304,0)),""))</f>
        <v>0</v>
      </c>
      <c r="Q46" s="32">
        <f>IF(B46="","",IF(C46="",0,SUMIFS(Sales!$D$5:$D$804,Sales!$C$5:$C$804,C46)))</f>
        <v>0</v>
      </c>
      <c r="R46" s="20">
        <f>IF(B46="","",IF(P46="",0,ROUND(Q46*P46,2)))</f>
        <v>0</v>
      </c>
      <c r="S46" s="33">
        <f>IF(B46="","",IF(O46&lt;=0,"",R46/O46))</f>
        <v>0</v>
      </c>
      <c r="T46" s="32">
        <f>IF(B46="","",IF(OR(P46="",P46&lt;=0),"Needs a profitable price",ROUNDUP(MAX(0,O46-R46)/P46,0)))</f>
        <v>0</v>
      </c>
      <c r="U46" s="20">
        <f>IF(B46="","",IF(OR(Q46=0,O46&lt;=0),"",ROUND(O46/Q46,2)))</f>
        <v>0</v>
      </c>
      <c r="V46" s="43">
        <f>IF(B46="","",IF(O46&lt;=0,"Add - hours and sample costs",IF(C46="","Idea - not listed yet",IF(S46&gt;=1,"Recovered - this one paid for itself",IF(AND(Q46=0,E46&lt;&gt;"",TodayDate-E46&gt;90),"Check - three months, no sales",IF(S46&lt;0.5,"Watch - under half recovered","OK"))))))</f>
        <v>0</v>
      </c>
    </row>
    <row r="47" spans="1:22">
      <c r="A47" s="38">
        <f>IF(B47="","",DevPrefix&amp;TEXT(ROW()-4,"0000"))</f>
        <v>0</v>
      </c>
      <c r="N47" s="41">
        <f>IF(B47="","",IF(F47="",0,F47)+IF(G47="",0,G47)+IF(H47="",0,H47))</f>
        <v>0</v>
      </c>
      <c r="O47" s="20">
        <f>IF(B47="","",ROUND(N47*LaborCostHour+IF(I47="",0,I47)+IF(J47="",0,J47)-IF(K47="",0,K47),2))</f>
        <v>0</v>
      </c>
      <c r="P47" s="20">
        <f>IF(C47="","",IFERROR(INDEX(Products!$AV$5:$AV$304,MATCH(C47,Products!$A$5:$A$304,0)),""))</f>
        <v>0</v>
      </c>
      <c r="Q47" s="32">
        <f>IF(B47="","",IF(C47="",0,SUMIFS(Sales!$D$5:$D$804,Sales!$C$5:$C$804,C47)))</f>
        <v>0</v>
      </c>
      <c r="R47" s="20">
        <f>IF(B47="","",IF(P47="",0,ROUND(Q47*P47,2)))</f>
        <v>0</v>
      </c>
      <c r="S47" s="33">
        <f>IF(B47="","",IF(O47&lt;=0,"",R47/O47))</f>
        <v>0</v>
      </c>
      <c r="T47" s="32">
        <f>IF(B47="","",IF(OR(P47="",P47&lt;=0),"Needs a profitable price",ROUNDUP(MAX(0,O47-R47)/P47,0)))</f>
        <v>0</v>
      </c>
      <c r="U47" s="20">
        <f>IF(B47="","",IF(OR(Q47=0,O47&lt;=0),"",ROUND(O47/Q47,2)))</f>
        <v>0</v>
      </c>
      <c r="V47" s="43">
        <f>IF(B47="","",IF(O47&lt;=0,"Add - hours and sample costs",IF(C47="","Idea - not listed yet",IF(S47&gt;=1,"Recovered - this one paid for itself",IF(AND(Q47=0,E47&lt;&gt;"",TodayDate-E47&gt;90),"Check - three months, no sales",IF(S47&lt;0.5,"Watch - under half recovered","OK"))))))</f>
        <v>0</v>
      </c>
    </row>
    <row r="48" spans="1:22">
      <c r="A48" s="38">
        <f>IF(B48="","",DevPrefix&amp;TEXT(ROW()-4,"0000"))</f>
        <v>0</v>
      </c>
      <c r="N48" s="41">
        <f>IF(B48="","",IF(F48="",0,F48)+IF(G48="",0,G48)+IF(H48="",0,H48))</f>
        <v>0</v>
      </c>
      <c r="O48" s="20">
        <f>IF(B48="","",ROUND(N48*LaborCostHour+IF(I48="",0,I48)+IF(J48="",0,J48)-IF(K48="",0,K48),2))</f>
        <v>0</v>
      </c>
      <c r="P48" s="20">
        <f>IF(C48="","",IFERROR(INDEX(Products!$AV$5:$AV$304,MATCH(C48,Products!$A$5:$A$304,0)),""))</f>
        <v>0</v>
      </c>
      <c r="Q48" s="32">
        <f>IF(B48="","",IF(C48="",0,SUMIFS(Sales!$D$5:$D$804,Sales!$C$5:$C$804,C48)))</f>
        <v>0</v>
      </c>
      <c r="R48" s="20">
        <f>IF(B48="","",IF(P48="",0,ROUND(Q48*P48,2)))</f>
        <v>0</v>
      </c>
      <c r="S48" s="33">
        <f>IF(B48="","",IF(O48&lt;=0,"",R48/O48))</f>
        <v>0</v>
      </c>
      <c r="T48" s="32">
        <f>IF(B48="","",IF(OR(P48="",P48&lt;=0),"Needs a profitable price",ROUNDUP(MAX(0,O48-R48)/P48,0)))</f>
        <v>0</v>
      </c>
      <c r="U48" s="20">
        <f>IF(B48="","",IF(OR(Q48=0,O48&lt;=0),"",ROUND(O48/Q48,2)))</f>
        <v>0</v>
      </c>
      <c r="V48" s="43">
        <f>IF(B48="","",IF(O48&lt;=0,"Add - hours and sample costs",IF(C48="","Idea - not listed yet",IF(S48&gt;=1,"Recovered - this one paid for itself",IF(AND(Q48=0,E48&lt;&gt;"",TodayDate-E48&gt;90),"Check - three months, no sales",IF(S48&lt;0.5,"Watch - under half recovered","OK"))))))</f>
        <v>0</v>
      </c>
    </row>
    <row r="49" spans="1:22">
      <c r="A49" s="38">
        <f>IF(B49="","",DevPrefix&amp;TEXT(ROW()-4,"0000"))</f>
        <v>0</v>
      </c>
      <c r="N49" s="41">
        <f>IF(B49="","",IF(F49="",0,F49)+IF(G49="",0,G49)+IF(H49="",0,H49))</f>
        <v>0</v>
      </c>
      <c r="O49" s="20">
        <f>IF(B49="","",ROUND(N49*LaborCostHour+IF(I49="",0,I49)+IF(J49="",0,J49)-IF(K49="",0,K49),2))</f>
        <v>0</v>
      </c>
      <c r="P49" s="20">
        <f>IF(C49="","",IFERROR(INDEX(Products!$AV$5:$AV$304,MATCH(C49,Products!$A$5:$A$304,0)),""))</f>
        <v>0</v>
      </c>
      <c r="Q49" s="32">
        <f>IF(B49="","",IF(C49="",0,SUMIFS(Sales!$D$5:$D$804,Sales!$C$5:$C$804,C49)))</f>
        <v>0</v>
      </c>
      <c r="R49" s="20">
        <f>IF(B49="","",IF(P49="",0,ROUND(Q49*P49,2)))</f>
        <v>0</v>
      </c>
      <c r="S49" s="33">
        <f>IF(B49="","",IF(O49&lt;=0,"",R49/O49))</f>
        <v>0</v>
      </c>
      <c r="T49" s="32">
        <f>IF(B49="","",IF(OR(P49="",P49&lt;=0),"Needs a profitable price",ROUNDUP(MAX(0,O49-R49)/P49,0)))</f>
        <v>0</v>
      </c>
      <c r="U49" s="20">
        <f>IF(B49="","",IF(OR(Q49=0,O49&lt;=0),"",ROUND(O49/Q49,2)))</f>
        <v>0</v>
      </c>
      <c r="V49" s="43">
        <f>IF(B49="","",IF(O49&lt;=0,"Add - hours and sample costs",IF(C49="","Idea - not listed yet",IF(S49&gt;=1,"Recovered - this one paid for itself",IF(AND(Q49=0,E49&lt;&gt;"",TodayDate-E49&gt;90),"Check - three months, no sales",IF(S49&lt;0.5,"Watch - under half recovered","OK"))))))</f>
        <v>0</v>
      </c>
    </row>
    <row r="50" spans="1:22">
      <c r="A50" s="38">
        <f>IF(B50="","",DevPrefix&amp;TEXT(ROW()-4,"0000"))</f>
        <v>0</v>
      </c>
      <c r="N50" s="41">
        <f>IF(B50="","",IF(F50="",0,F50)+IF(G50="",0,G50)+IF(H50="",0,H50))</f>
        <v>0</v>
      </c>
      <c r="O50" s="20">
        <f>IF(B50="","",ROUND(N50*LaborCostHour+IF(I50="",0,I50)+IF(J50="",0,J50)-IF(K50="",0,K50),2))</f>
        <v>0</v>
      </c>
      <c r="P50" s="20">
        <f>IF(C50="","",IFERROR(INDEX(Products!$AV$5:$AV$304,MATCH(C50,Products!$A$5:$A$304,0)),""))</f>
        <v>0</v>
      </c>
      <c r="Q50" s="32">
        <f>IF(B50="","",IF(C50="",0,SUMIFS(Sales!$D$5:$D$804,Sales!$C$5:$C$804,C50)))</f>
        <v>0</v>
      </c>
      <c r="R50" s="20">
        <f>IF(B50="","",IF(P50="",0,ROUND(Q50*P50,2)))</f>
        <v>0</v>
      </c>
      <c r="S50" s="33">
        <f>IF(B50="","",IF(O50&lt;=0,"",R50/O50))</f>
        <v>0</v>
      </c>
      <c r="T50" s="32">
        <f>IF(B50="","",IF(OR(P50="",P50&lt;=0),"Needs a profitable price",ROUNDUP(MAX(0,O50-R50)/P50,0)))</f>
        <v>0</v>
      </c>
      <c r="U50" s="20">
        <f>IF(B50="","",IF(OR(Q50=0,O50&lt;=0),"",ROUND(O50/Q50,2)))</f>
        <v>0</v>
      </c>
      <c r="V50" s="43">
        <f>IF(B50="","",IF(O50&lt;=0,"Add - hours and sample costs",IF(C50="","Idea - not listed yet",IF(S50&gt;=1,"Recovered - this one paid for itself",IF(AND(Q50=0,E50&lt;&gt;"",TodayDate-E50&gt;90),"Check - three months, no sales",IF(S50&lt;0.5,"Watch - under half recovered","OK"))))))</f>
        <v>0</v>
      </c>
    </row>
    <row r="51" spans="1:22">
      <c r="A51" s="38">
        <f>IF(B51="","",DevPrefix&amp;TEXT(ROW()-4,"0000"))</f>
        <v>0</v>
      </c>
      <c r="N51" s="41">
        <f>IF(B51="","",IF(F51="",0,F51)+IF(G51="",0,G51)+IF(H51="",0,H51))</f>
        <v>0</v>
      </c>
      <c r="O51" s="20">
        <f>IF(B51="","",ROUND(N51*LaborCostHour+IF(I51="",0,I51)+IF(J51="",0,J51)-IF(K51="",0,K51),2))</f>
        <v>0</v>
      </c>
      <c r="P51" s="20">
        <f>IF(C51="","",IFERROR(INDEX(Products!$AV$5:$AV$304,MATCH(C51,Products!$A$5:$A$304,0)),""))</f>
        <v>0</v>
      </c>
      <c r="Q51" s="32">
        <f>IF(B51="","",IF(C51="",0,SUMIFS(Sales!$D$5:$D$804,Sales!$C$5:$C$804,C51)))</f>
        <v>0</v>
      </c>
      <c r="R51" s="20">
        <f>IF(B51="","",IF(P51="",0,ROUND(Q51*P51,2)))</f>
        <v>0</v>
      </c>
      <c r="S51" s="33">
        <f>IF(B51="","",IF(O51&lt;=0,"",R51/O51))</f>
        <v>0</v>
      </c>
      <c r="T51" s="32">
        <f>IF(B51="","",IF(OR(P51="",P51&lt;=0),"Needs a profitable price",ROUNDUP(MAX(0,O51-R51)/P51,0)))</f>
        <v>0</v>
      </c>
      <c r="U51" s="20">
        <f>IF(B51="","",IF(OR(Q51=0,O51&lt;=0),"",ROUND(O51/Q51,2)))</f>
        <v>0</v>
      </c>
      <c r="V51" s="43">
        <f>IF(B51="","",IF(O51&lt;=0,"Add - hours and sample costs",IF(C51="","Idea - not listed yet",IF(S51&gt;=1,"Recovered - this one paid for itself",IF(AND(Q51=0,E51&lt;&gt;"",TodayDate-E51&gt;90),"Check - three months, no sales",IF(S51&lt;0.5,"Watch - under half recovered","OK"))))))</f>
        <v>0</v>
      </c>
    </row>
    <row r="52" spans="1:22">
      <c r="A52" s="38">
        <f>IF(B52="","",DevPrefix&amp;TEXT(ROW()-4,"0000"))</f>
        <v>0</v>
      </c>
      <c r="N52" s="41">
        <f>IF(B52="","",IF(F52="",0,F52)+IF(G52="",0,G52)+IF(H52="",0,H52))</f>
        <v>0</v>
      </c>
      <c r="O52" s="20">
        <f>IF(B52="","",ROUND(N52*LaborCostHour+IF(I52="",0,I52)+IF(J52="",0,J52)-IF(K52="",0,K52),2))</f>
        <v>0</v>
      </c>
      <c r="P52" s="20">
        <f>IF(C52="","",IFERROR(INDEX(Products!$AV$5:$AV$304,MATCH(C52,Products!$A$5:$A$304,0)),""))</f>
        <v>0</v>
      </c>
      <c r="Q52" s="32">
        <f>IF(B52="","",IF(C52="",0,SUMIFS(Sales!$D$5:$D$804,Sales!$C$5:$C$804,C52)))</f>
        <v>0</v>
      </c>
      <c r="R52" s="20">
        <f>IF(B52="","",IF(P52="",0,ROUND(Q52*P52,2)))</f>
        <v>0</v>
      </c>
      <c r="S52" s="33">
        <f>IF(B52="","",IF(O52&lt;=0,"",R52/O52))</f>
        <v>0</v>
      </c>
      <c r="T52" s="32">
        <f>IF(B52="","",IF(OR(P52="",P52&lt;=0),"Needs a profitable price",ROUNDUP(MAX(0,O52-R52)/P52,0)))</f>
        <v>0</v>
      </c>
      <c r="U52" s="20">
        <f>IF(B52="","",IF(OR(Q52=0,O52&lt;=0),"",ROUND(O52/Q52,2)))</f>
        <v>0</v>
      </c>
      <c r="V52" s="43">
        <f>IF(B52="","",IF(O52&lt;=0,"Add - hours and sample costs",IF(C52="","Idea - not listed yet",IF(S52&gt;=1,"Recovered - this one paid for itself",IF(AND(Q52=0,E52&lt;&gt;"",TodayDate-E52&gt;90),"Check - three months, no sales",IF(S52&lt;0.5,"Watch - under half recovered","OK"))))))</f>
        <v>0</v>
      </c>
    </row>
    <row r="53" spans="1:22">
      <c r="A53" s="38">
        <f>IF(B53="","",DevPrefix&amp;TEXT(ROW()-4,"0000"))</f>
        <v>0</v>
      </c>
      <c r="N53" s="41">
        <f>IF(B53="","",IF(F53="",0,F53)+IF(G53="",0,G53)+IF(H53="",0,H53))</f>
        <v>0</v>
      </c>
      <c r="O53" s="20">
        <f>IF(B53="","",ROUND(N53*LaborCostHour+IF(I53="",0,I53)+IF(J53="",0,J53)-IF(K53="",0,K53),2))</f>
        <v>0</v>
      </c>
      <c r="P53" s="20">
        <f>IF(C53="","",IFERROR(INDEX(Products!$AV$5:$AV$304,MATCH(C53,Products!$A$5:$A$304,0)),""))</f>
        <v>0</v>
      </c>
      <c r="Q53" s="32">
        <f>IF(B53="","",IF(C53="",0,SUMIFS(Sales!$D$5:$D$804,Sales!$C$5:$C$804,C53)))</f>
        <v>0</v>
      </c>
      <c r="R53" s="20">
        <f>IF(B53="","",IF(P53="",0,ROUND(Q53*P53,2)))</f>
        <v>0</v>
      </c>
      <c r="S53" s="33">
        <f>IF(B53="","",IF(O53&lt;=0,"",R53/O53))</f>
        <v>0</v>
      </c>
      <c r="T53" s="32">
        <f>IF(B53="","",IF(OR(P53="",P53&lt;=0),"Needs a profitable price",ROUNDUP(MAX(0,O53-R53)/P53,0)))</f>
        <v>0</v>
      </c>
      <c r="U53" s="20">
        <f>IF(B53="","",IF(OR(Q53=0,O53&lt;=0),"",ROUND(O53/Q53,2)))</f>
        <v>0</v>
      </c>
      <c r="V53" s="43">
        <f>IF(B53="","",IF(O53&lt;=0,"Add - hours and sample costs",IF(C53="","Idea - not listed yet",IF(S53&gt;=1,"Recovered - this one paid for itself",IF(AND(Q53=0,E53&lt;&gt;"",TodayDate-E53&gt;90),"Check - three months, no sales",IF(S53&lt;0.5,"Watch - under half recovered","OK"))))))</f>
        <v>0</v>
      </c>
    </row>
    <row r="54" spans="1:22">
      <c r="A54" s="38">
        <f>IF(B54="","",DevPrefix&amp;TEXT(ROW()-4,"0000"))</f>
        <v>0</v>
      </c>
      <c r="N54" s="41">
        <f>IF(B54="","",IF(F54="",0,F54)+IF(G54="",0,G54)+IF(H54="",0,H54))</f>
        <v>0</v>
      </c>
      <c r="O54" s="20">
        <f>IF(B54="","",ROUND(N54*LaborCostHour+IF(I54="",0,I54)+IF(J54="",0,J54)-IF(K54="",0,K54),2))</f>
        <v>0</v>
      </c>
      <c r="P54" s="20">
        <f>IF(C54="","",IFERROR(INDEX(Products!$AV$5:$AV$304,MATCH(C54,Products!$A$5:$A$304,0)),""))</f>
        <v>0</v>
      </c>
      <c r="Q54" s="32">
        <f>IF(B54="","",IF(C54="",0,SUMIFS(Sales!$D$5:$D$804,Sales!$C$5:$C$804,C54)))</f>
        <v>0</v>
      </c>
      <c r="R54" s="20">
        <f>IF(B54="","",IF(P54="",0,ROUND(Q54*P54,2)))</f>
        <v>0</v>
      </c>
      <c r="S54" s="33">
        <f>IF(B54="","",IF(O54&lt;=0,"",R54/O54))</f>
        <v>0</v>
      </c>
      <c r="T54" s="32">
        <f>IF(B54="","",IF(OR(P54="",P54&lt;=0),"Needs a profitable price",ROUNDUP(MAX(0,O54-R54)/P54,0)))</f>
        <v>0</v>
      </c>
      <c r="U54" s="20">
        <f>IF(B54="","",IF(OR(Q54=0,O54&lt;=0),"",ROUND(O54/Q54,2)))</f>
        <v>0</v>
      </c>
      <c r="V54" s="43">
        <f>IF(B54="","",IF(O54&lt;=0,"Add - hours and sample costs",IF(C54="","Idea - not listed yet",IF(S54&gt;=1,"Recovered - this one paid for itself",IF(AND(Q54=0,E54&lt;&gt;"",TodayDate-E54&gt;90),"Check - three months, no sales",IF(S54&lt;0.5,"Watch - under half recovered","OK"))))))</f>
        <v>0</v>
      </c>
    </row>
    <row r="55" spans="1:22">
      <c r="A55" s="38">
        <f>IF(B55="","",DevPrefix&amp;TEXT(ROW()-4,"0000"))</f>
        <v>0</v>
      </c>
      <c r="N55" s="41">
        <f>IF(B55="","",IF(F55="",0,F55)+IF(G55="",0,G55)+IF(H55="",0,H55))</f>
        <v>0</v>
      </c>
      <c r="O55" s="20">
        <f>IF(B55="","",ROUND(N55*LaborCostHour+IF(I55="",0,I55)+IF(J55="",0,J55)-IF(K55="",0,K55),2))</f>
        <v>0</v>
      </c>
      <c r="P55" s="20">
        <f>IF(C55="","",IFERROR(INDEX(Products!$AV$5:$AV$304,MATCH(C55,Products!$A$5:$A$304,0)),""))</f>
        <v>0</v>
      </c>
      <c r="Q55" s="32">
        <f>IF(B55="","",IF(C55="",0,SUMIFS(Sales!$D$5:$D$804,Sales!$C$5:$C$804,C55)))</f>
        <v>0</v>
      </c>
      <c r="R55" s="20">
        <f>IF(B55="","",IF(P55="",0,ROUND(Q55*P55,2)))</f>
        <v>0</v>
      </c>
      <c r="S55" s="33">
        <f>IF(B55="","",IF(O55&lt;=0,"",R55/O55))</f>
        <v>0</v>
      </c>
      <c r="T55" s="32">
        <f>IF(B55="","",IF(OR(P55="",P55&lt;=0),"Needs a profitable price",ROUNDUP(MAX(0,O55-R55)/P55,0)))</f>
        <v>0</v>
      </c>
      <c r="U55" s="20">
        <f>IF(B55="","",IF(OR(Q55=0,O55&lt;=0),"",ROUND(O55/Q55,2)))</f>
        <v>0</v>
      </c>
      <c r="V55" s="43">
        <f>IF(B55="","",IF(O55&lt;=0,"Add - hours and sample costs",IF(C55="","Idea - not listed yet",IF(S55&gt;=1,"Recovered - this one paid for itself",IF(AND(Q55=0,E55&lt;&gt;"",TodayDate-E55&gt;90),"Check - three months, no sales",IF(S55&lt;0.5,"Watch - under half recovered","OK"))))))</f>
        <v>0</v>
      </c>
    </row>
    <row r="56" spans="1:22">
      <c r="A56" s="38">
        <f>IF(B56="","",DevPrefix&amp;TEXT(ROW()-4,"0000"))</f>
        <v>0</v>
      </c>
      <c r="N56" s="41">
        <f>IF(B56="","",IF(F56="",0,F56)+IF(G56="",0,G56)+IF(H56="",0,H56))</f>
        <v>0</v>
      </c>
      <c r="O56" s="20">
        <f>IF(B56="","",ROUND(N56*LaborCostHour+IF(I56="",0,I56)+IF(J56="",0,J56)-IF(K56="",0,K56),2))</f>
        <v>0</v>
      </c>
      <c r="P56" s="20">
        <f>IF(C56="","",IFERROR(INDEX(Products!$AV$5:$AV$304,MATCH(C56,Products!$A$5:$A$304,0)),""))</f>
        <v>0</v>
      </c>
      <c r="Q56" s="32">
        <f>IF(B56="","",IF(C56="",0,SUMIFS(Sales!$D$5:$D$804,Sales!$C$5:$C$804,C56)))</f>
        <v>0</v>
      </c>
      <c r="R56" s="20">
        <f>IF(B56="","",IF(P56="",0,ROUND(Q56*P56,2)))</f>
        <v>0</v>
      </c>
      <c r="S56" s="33">
        <f>IF(B56="","",IF(O56&lt;=0,"",R56/O56))</f>
        <v>0</v>
      </c>
      <c r="T56" s="32">
        <f>IF(B56="","",IF(OR(P56="",P56&lt;=0),"Needs a profitable price",ROUNDUP(MAX(0,O56-R56)/P56,0)))</f>
        <v>0</v>
      </c>
      <c r="U56" s="20">
        <f>IF(B56="","",IF(OR(Q56=0,O56&lt;=0),"",ROUND(O56/Q56,2)))</f>
        <v>0</v>
      </c>
      <c r="V56" s="43">
        <f>IF(B56="","",IF(O56&lt;=0,"Add - hours and sample costs",IF(C56="","Idea - not listed yet",IF(S56&gt;=1,"Recovered - this one paid for itself",IF(AND(Q56=0,E56&lt;&gt;"",TodayDate-E56&gt;90),"Check - three months, no sales",IF(S56&lt;0.5,"Watch - under half recovered","OK"))))))</f>
        <v>0</v>
      </c>
    </row>
    <row r="57" spans="1:22">
      <c r="A57" s="38">
        <f>IF(B57="","",DevPrefix&amp;TEXT(ROW()-4,"0000"))</f>
        <v>0</v>
      </c>
      <c r="N57" s="41">
        <f>IF(B57="","",IF(F57="",0,F57)+IF(G57="",0,G57)+IF(H57="",0,H57))</f>
        <v>0</v>
      </c>
      <c r="O57" s="20">
        <f>IF(B57="","",ROUND(N57*LaborCostHour+IF(I57="",0,I57)+IF(J57="",0,J57)-IF(K57="",0,K57),2))</f>
        <v>0</v>
      </c>
      <c r="P57" s="20">
        <f>IF(C57="","",IFERROR(INDEX(Products!$AV$5:$AV$304,MATCH(C57,Products!$A$5:$A$304,0)),""))</f>
        <v>0</v>
      </c>
      <c r="Q57" s="32">
        <f>IF(B57="","",IF(C57="",0,SUMIFS(Sales!$D$5:$D$804,Sales!$C$5:$C$804,C57)))</f>
        <v>0</v>
      </c>
      <c r="R57" s="20">
        <f>IF(B57="","",IF(P57="",0,ROUND(Q57*P57,2)))</f>
        <v>0</v>
      </c>
      <c r="S57" s="33">
        <f>IF(B57="","",IF(O57&lt;=0,"",R57/O57))</f>
        <v>0</v>
      </c>
      <c r="T57" s="32">
        <f>IF(B57="","",IF(OR(P57="",P57&lt;=0),"Needs a profitable price",ROUNDUP(MAX(0,O57-R57)/P57,0)))</f>
        <v>0</v>
      </c>
      <c r="U57" s="20">
        <f>IF(B57="","",IF(OR(Q57=0,O57&lt;=0),"",ROUND(O57/Q57,2)))</f>
        <v>0</v>
      </c>
      <c r="V57" s="43">
        <f>IF(B57="","",IF(O57&lt;=0,"Add - hours and sample costs",IF(C57="","Idea - not listed yet",IF(S57&gt;=1,"Recovered - this one paid for itself",IF(AND(Q57=0,E57&lt;&gt;"",TodayDate-E57&gt;90),"Check - three months, no sales",IF(S57&lt;0.5,"Watch - under half recovered","OK"))))))</f>
        <v>0</v>
      </c>
    </row>
    <row r="58" spans="1:22">
      <c r="A58" s="38">
        <f>IF(B58="","",DevPrefix&amp;TEXT(ROW()-4,"0000"))</f>
        <v>0</v>
      </c>
      <c r="N58" s="41">
        <f>IF(B58="","",IF(F58="",0,F58)+IF(G58="",0,G58)+IF(H58="",0,H58))</f>
        <v>0</v>
      </c>
      <c r="O58" s="20">
        <f>IF(B58="","",ROUND(N58*LaborCostHour+IF(I58="",0,I58)+IF(J58="",0,J58)-IF(K58="",0,K58),2))</f>
        <v>0</v>
      </c>
      <c r="P58" s="20">
        <f>IF(C58="","",IFERROR(INDEX(Products!$AV$5:$AV$304,MATCH(C58,Products!$A$5:$A$304,0)),""))</f>
        <v>0</v>
      </c>
      <c r="Q58" s="32">
        <f>IF(B58="","",IF(C58="",0,SUMIFS(Sales!$D$5:$D$804,Sales!$C$5:$C$804,C58)))</f>
        <v>0</v>
      </c>
      <c r="R58" s="20">
        <f>IF(B58="","",IF(P58="",0,ROUND(Q58*P58,2)))</f>
        <v>0</v>
      </c>
      <c r="S58" s="33">
        <f>IF(B58="","",IF(O58&lt;=0,"",R58/O58))</f>
        <v>0</v>
      </c>
      <c r="T58" s="32">
        <f>IF(B58="","",IF(OR(P58="",P58&lt;=0),"Needs a profitable price",ROUNDUP(MAX(0,O58-R58)/P58,0)))</f>
        <v>0</v>
      </c>
      <c r="U58" s="20">
        <f>IF(B58="","",IF(OR(Q58=0,O58&lt;=0),"",ROUND(O58/Q58,2)))</f>
        <v>0</v>
      </c>
      <c r="V58" s="43">
        <f>IF(B58="","",IF(O58&lt;=0,"Add - hours and sample costs",IF(C58="","Idea - not listed yet",IF(S58&gt;=1,"Recovered - this one paid for itself",IF(AND(Q58=0,E58&lt;&gt;"",TodayDate-E58&gt;90),"Check - three months, no sales",IF(S58&lt;0.5,"Watch - under half recovered","OK"))))))</f>
        <v>0</v>
      </c>
    </row>
    <row r="59" spans="1:22">
      <c r="A59" s="38">
        <f>IF(B59="","",DevPrefix&amp;TEXT(ROW()-4,"0000"))</f>
        <v>0</v>
      </c>
      <c r="N59" s="41">
        <f>IF(B59="","",IF(F59="",0,F59)+IF(G59="",0,G59)+IF(H59="",0,H59))</f>
        <v>0</v>
      </c>
      <c r="O59" s="20">
        <f>IF(B59="","",ROUND(N59*LaborCostHour+IF(I59="",0,I59)+IF(J59="",0,J59)-IF(K59="",0,K59),2))</f>
        <v>0</v>
      </c>
      <c r="P59" s="20">
        <f>IF(C59="","",IFERROR(INDEX(Products!$AV$5:$AV$304,MATCH(C59,Products!$A$5:$A$304,0)),""))</f>
        <v>0</v>
      </c>
      <c r="Q59" s="32">
        <f>IF(B59="","",IF(C59="",0,SUMIFS(Sales!$D$5:$D$804,Sales!$C$5:$C$804,C59)))</f>
        <v>0</v>
      </c>
      <c r="R59" s="20">
        <f>IF(B59="","",IF(P59="",0,ROUND(Q59*P59,2)))</f>
        <v>0</v>
      </c>
      <c r="S59" s="33">
        <f>IF(B59="","",IF(O59&lt;=0,"",R59/O59))</f>
        <v>0</v>
      </c>
      <c r="T59" s="32">
        <f>IF(B59="","",IF(OR(P59="",P59&lt;=0),"Needs a profitable price",ROUNDUP(MAX(0,O59-R59)/P59,0)))</f>
        <v>0</v>
      </c>
      <c r="U59" s="20">
        <f>IF(B59="","",IF(OR(Q59=0,O59&lt;=0),"",ROUND(O59/Q59,2)))</f>
        <v>0</v>
      </c>
      <c r="V59" s="43">
        <f>IF(B59="","",IF(O59&lt;=0,"Add - hours and sample costs",IF(C59="","Idea - not listed yet",IF(S59&gt;=1,"Recovered - this one paid for itself",IF(AND(Q59=0,E59&lt;&gt;"",TodayDate-E59&gt;90),"Check - three months, no sales",IF(S59&lt;0.5,"Watch - under half recovered","OK"))))))</f>
        <v>0</v>
      </c>
    </row>
    <row r="60" spans="1:22">
      <c r="A60" s="38">
        <f>IF(B60="","",DevPrefix&amp;TEXT(ROW()-4,"0000"))</f>
        <v>0</v>
      </c>
      <c r="N60" s="41">
        <f>IF(B60="","",IF(F60="",0,F60)+IF(G60="",0,G60)+IF(H60="",0,H60))</f>
        <v>0</v>
      </c>
      <c r="O60" s="20">
        <f>IF(B60="","",ROUND(N60*LaborCostHour+IF(I60="",0,I60)+IF(J60="",0,J60)-IF(K60="",0,K60),2))</f>
        <v>0</v>
      </c>
      <c r="P60" s="20">
        <f>IF(C60="","",IFERROR(INDEX(Products!$AV$5:$AV$304,MATCH(C60,Products!$A$5:$A$304,0)),""))</f>
        <v>0</v>
      </c>
      <c r="Q60" s="32">
        <f>IF(B60="","",IF(C60="",0,SUMIFS(Sales!$D$5:$D$804,Sales!$C$5:$C$804,C60)))</f>
        <v>0</v>
      </c>
      <c r="R60" s="20">
        <f>IF(B60="","",IF(P60="",0,ROUND(Q60*P60,2)))</f>
        <v>0</v>
      </c>
      <c r="S60" s="33">
        <f>IF(B60="","",IF(O60&lt;=0,"",R60/O60))</f>
        <v>0</v>
      </c>
      <c r="T60" s="32">
        <f>IF(B60="","",IF(OR(P60="",P60&lt;=0),"Needs a profitable price",ROUNDUP(MAX(0,O60-R60)/P60,0)))</f>
        <v>0</v>
      </c>
      <c r="U60" s="20">
        <f>IF(B60="","",IF(OR(Q60=0,O60&lt;=0),"",ROUND(O60/Q60,2)))</f>
        <v>0</v>
      </c>
      <c r="V60" s="43">
        <f>IF(B60="","",IF(O60&lt;=0,"Add - hours and sample costs",IF(C60="","Idea - not listed yet",IF(S60&gt;=1,"Recovered - this one paid for itself",IF(AND(Q60=0,E60&lt;&gt;"",TodayDate-E60&gt;90),"Check - three months, no sales",IF(S60&lt;0.5,"Watch - under half recovered","OK"))))))</f>
        <v>0</v>
      </c>
    </row>
    <row r="61" spans="1:22">
      <c r="A61" s="38">
        <f>IF(B61="","",DevPrefix&amp;TEXT(ROW()-4,"0000"))</f>
        <v>0</v>
      </c>
      <c r="N61" s="41">
        <f>IF(B61="","",IF(F61="",0,F61)+IF(G61="",0,G61)+IF(H61="",0,H61))</f>
        <v>0</v>
      </c>
      <c r="O61" s="20">
        <f>IF(B61="","",ROUND(N61*LaborCostHour+IF(I61="",0,I61)+IF(J61="",0,J61)-IF(K61="",0,K61),2))</f>
        <v>0</v>
      </c>
      <c r="P61" s="20">
        <f>IF(C61="","",IFERROR(INDEX(Products!$AV$5:$AV$304,MATCH(C61,Products!$A$5:$A$304,0)),""))</f>
        <v>0</v>
      </c>
      <c r="Q61" s="32">
        <f>IF(B61="","",IF(C61="",0,SUMIFS(Sales!$D$5:$D$804,Sales!$C$5:$C$804,C61)))</f>
        <v>0</v>
      </c>
      <c r="R61" s="20">
        <f>IF(B61="","",IF(P61="",0,ROUND(Q61*P61,2)))</f>
        <v>0</v>
      </c>
      <c r="S61" s="33">
        <f>IF(B61="","",IF(O61&lt;=0,"",R61/O61))</f>
        <v>0</v>
      </c>
      <c r="T61" s="32">
        <f>IF(B61="","",IF(OR(P61="",P61&lt;=0),"Needs a profitable price",ROUNDUP(MAX(0,O61-R61)/P61,0)))</f>
        <v>0</v>
      </c>
      <c r="U61" s="20">
        <f>IF(B61="","",IF(OR(Q61=0,O61&lt;=0),"",ROUND(O61/Q61,2)))</f>
        <v>0</v>
      </c>
      <c r="V61" s="43">
        <f>IF(B61="","",IF(O61&lt;=0,"Add - hours and sample costs",IF(C61="","Idea - not listed yet",IF(S61&gt;=1,"Recovered - this one paid for itself",IF(AND(Q61=0,E61&lt;&gt;"",TodayDate-E61&gt;90),"Check - three months, no sales",IF(S61&lt;0.5,"Watch - under half recovered","OK"))))))</f>
        <v>0</v>
      </c>
    </row>
    <row r="62" spans="1:22">
      <c r="A62" s="38">
        <f>IF(B62="","",DevPrefix&amp;TEXT(ROW()-4,"0000"))</f>
        <v>0</v>
      </c>
      <c r="N62" s="41">
        <f>IF(B62="","",IF(F62="",0,F62)+IF(G62="",0,G62)+IF(H62="",0,H62))</f>
        <v>0</v>
      </c>
      <c r="O62" s="20">
        <f>IF(B62="","",ROUND(N62*LaborCostHour+IF(I62="",0,I62)+IF(J62="",0,J62)-IF(K62="",0,K62),2))</f>
        <v>0</v>
      </c>
      <c r="P62" s="20">
        <f>IF(C62="","",IFERROR(INDEX(Products!$AV$5:$AV$304,MATCH(C62,Products!$A$5:$A$304,0)),""))</f>
        <v>0</v>
      </c>
      <c r="Q62" s="32">
        <f>IF(B62="","",IF(C62="",0,SUMIFS(Sales!$D$5:$D$804,Sales!$C$5:$C$804,C62)))</f>
        <v>0</v>
      </c>
      <c r="R62" s="20">
        <f>IF(B62="","",IF(P62="",0,ROUND(Q62*P62,2)))</f>
        <v>0</v>
      </c>
      <c r="S62" s="33">
        <f>IF(B62="","",IF(O62&lt;=0,"",R62/O62))</f>
        <v>0</v>
      </c>
      <c r="T62" s="32">
        <f>IF(B62="","",IF(OR(P62="",P62&lt;=0),"Needs a profitable price",ROUNDUP(MAX(0,O62-R62)/P62,0)))</f>
        <v>0</v>
      </c>
      <c r="U62" s="20">
        <f>IF(B62="","",IF(OR(Q62=0,O62&lt;=0),"",ROUND(O62/Q62,2)))</f>
        <v>0</v>
      </c>
      <c r="V62" s="43">
        <f>IF(B62="","",IF(O62&lt;=0,"Add - hours and sample costs",IF(C62="","Idea - not listed yet",IF(S62&gt;=1,"Recovered - this one paid for itself",IF(AND(Q62=0,E62&lt;&gt;"",TodayDate-E62&gt;90),"Check - three months, no sales",IF(S62&lt;0.5,"Watch - under half recovered","OK"))))))</f>
        <v>0</v>
      </c>
    </row>
    <row r="63" spans="1:22">
      <c r="A63" s="38">
        <f>IF(B63="","",DevPrefix&amp;TEXT(ROW()-4,"0000"))</f>
        <v>0</v>
      </c>
      <c r="N63" s="41">
        <f>IF(B63="","",IF(F63="",0,F63)+IF(G63="",0,G63)+IF(H63="",0,H63))</f>
        <v>0</v>
      </c>
      <c r="O63" s="20">
        <f>IF(B63="","",ROUND(N63*LaborCostHour+IF(I63="",0,I63)+IF(J63="",0,J63)-IF(K63="",0,K63),2))</f>
        <v>0</v>
      </c>
      <c r="P63" s="20">
        <f>IF(C63="","",IFERROR(INDEX(Products!$AV$5:$AV$304,MATCH(C63,Products!$A$5:$A$304,0)),""))</f>
        <v>0</v>
      </c>
      <c r="Q63" s="32">
        <f>IF(B63="","",IF(C63="",0,SUMIFS(Sales!$D$5:$D$804,Sales!$C$5:$C$804,C63)))</f>
        <v>0</v>
      </c>
      <c r="R63" s="20">
        <f>IF(B63="","",IF(P63="",0,ROUND(Q63*P63,2)))</f>
        <v>0</v>
      </c>
      <c r="S63" s="33">
        <f>IF(B63="","",IF(O63&lt;=0,"",R63/O63))</f>
        <v>0</v>
      </c>
      <c r="T63" s="32">
        <f>IF(B63="","",IF(OR(P63="",P63&lt;=0),"Needs a profitable price",ROUNDUP(MAX(0,O63-R63)/P63,0)))</f>
        <v>0</v>
      </c>
      <c r="U63" s="20">
        <f>IF(B63="","",IF(OR(Q63=0,O63&lt;=0),"",ROUND(O63/Q63,2)))</f>
        <v>0</v>
      </c>
      <c r="V63" s="43">
        <f>IF(B63="","",IF(O63&lt;=0,"Add - hours and sample costs",IF(C63="","Idea - not listed yet",IF(S63&gt;=1,"Recovered - this one paid for itself",IF(AND(Q63=0,E63&lt;&gt;"",TodayDate-E63&gt;90),"Check - three months, no sales",IF(S63&lt;0.5,"Watch - under half recovered","OK"))))))</f>
        <v>0</v>
      </c>
    </row>
    <row r="64" spans="1:22">
      <c r="A64" s="38">
        <f>IF(B64="","",DevPrefix&amp;TEXT(ROW()-4,"0000"))</f>
        <v>0</v>
      </c>
      <c r="N64" s="41">
        <f>IF(B64="","",IF(F64="",0,F64)+IF(G64="",0,G64)+IF(H64="",0,H64))</f>
        <v>0</v>
      </c>
      <c r="O64" s="20">
        <f>IF(B64="","",ROUND(N64*LaborCostHour+IF(I64="",0,I64)+IF(J64="",0,J64)-IF(K64="",0,K64),2))</f>
        <v>0</v>
      </c>
      <c r="P64" s="20">
        <f>IF(C64="","",IFERROR(INDEX(Products!$AV$5:$AV$304,MATCH(C64,Products!$A$5:$A$304,0)),""))</f>
        <v>0</v>
      </c>
      <c r="Q64" s="32">
        <f>IF(B64="","",IF(C64="",0,SUMIFS(Sales!$D$5:$D$804,Sales!$C$5:$C$804,C64)))</f>
        <v>0</v>
      </c>
      <c r="R64" s="20">
        <f>IF(B64="","",IF(P64="",0,ROUND(Q64*P64,2)))</f>
        <v>0</v>
      </c>
      <c r="S64" s="33">
        <f>IF(B64="","",IF(O64&lt;=0,"",R64/O64))</f>
        <v>0</v>
      </c>
      <c r="T64" s="32">
        <f>IF(B64="","",IF(OR(P64="",P64&lt;=0),"Needs a profitable price",ROUNDUP(MAX(0,O64-R64)/P64,0)))</f>
        <v>0</v>
      </c>
      <c r="U64" s="20">
        <f>IF(B64="","",IF(OR(Q64=0,O64&lt;=0),"",ROUND(O64/Q64,2)))</f>
        <v>0</v>
      </c>
      <c r="V64" s="43">
        <f>IF(B64="","",IF(O64&lt;=0,"Add - hours and sample costs",IF(C64="","Idea - not listed yet",IF(S64&gt;=1,"Recovered - this one paid for itself",IF(AND(Q64=0,E64&lt;&gt;"",TodayDate-E64&gt;90),"Check - three months, no sales",IF(S64&lt;0.5,"Watch - under half recovered","OK"))))))</f>
        <v>0</v>
      </c>
    </row>
    <row r="65" spans="1:22">
      <c r="A65" s="38">
        <f>IF(B65="","",DevPrefix&amp;TEXT(ROW()-4,"0000"))</f>
        <v>0</v>
      </c>
      <c r="N65" s="41">
        <f>IF(B65="","",IF(F65="",0,F65)+IF(G65="",0,G65)+IF(H65="",0,H65))</f>
        <v>0</v>
      </c>
      <c r="O65" s="20">
        <f>IF(B65="","",ROUND(N65*LaborCostHour+IF(I65="",0,I65)+IF(J65="",0,J65)-IF(K65="",0,K65),2))</f>
        <v>0</v>
      </c>
      <c r="P65" s="20">
        <f>IF(C65="","",IFERROR(INDEX(Products!$AV$5:$AV$304,MATCH(C65,Products!$A$5:$A$304,0)),""))</f>
        <v>0</v>
      </c>
      <c r="Q65" s="32">
        <f>IF(B65="","",IF(C65="",0,SUMIFS(Sales!$D$5:$D$804,Sales!$C$5:$C$804,C65)))</f>
        <v>0</v>
      </c>
      <c r="R65" s="20">
        <f>IF(B65="","",IF(P65="",0,ROUND(Q65*P65,2)))</f>
        <v>0</v>
      </c>
      <c r="S65" s="33">
        <f>IF(B65="","",IF(O65&lt;=0,"",R65/O65))</f>
        <v>0</v>
      </c>
      <c r="T65" s="32">
        <f>IF(B65="","",IF(OR(P65="",P65&lt;=0),"Needs a profitable price",ROUNDUP(MAX(0,O65-R65)/P65,0)))</f>
        <v>0</v>
      </c>
      <c r="U65" s="20">
        <f>IF(B65="","",IF(OR(Q65=0,O65&lt;=0),"",ROUND(O65/Q65,2)))</f>
        <v>0</v>
      </c>
      <c r="V65" s="43">
        <f>IF(B65="","",IF(O65&lt;=0,"Add - hours and sample costs",IF(C65="","Idea - not listed yet",IF(S65&gt;=1,"Recovered - this one paid for itself",IF(AND(Q65=0,E65&lt;&gt;"",TodayDate-E65&gt;90),"Check - three months, no sales",IF(S65&lt;0.5,"Watch - under half recovered","OK"))))))</f>
        <v>0</v>
      </c>
    </row>
    <row r="66" spans="1:22">
      <c r="A66" s="38">
        <f>IF(B66="","",DevPrefix&amp;TEXT(ROW()-4,"0000"))</f>
        <v>0</v>
      </c>
      <c r="N66" s="41">
        <f>IF(B66="","",IF(F66="",0,F66)+IF(G66="",0,G66)+IF(H66="",0,H66))</f>
        <v>0</v>
      </c>
      <c r="O66" s="20">
        <f>IF(B66="","",ROUND(N66*LaborCostHour+IF(I66="",0,I66)+IF(J66="",0,J66)-IF(K66="",0,K66),2))</f>
        <v>0</v>
      </c>
      <c r="P66" s="20">
        <f>IF(C66="","",IFERROR(INDEX(Products!$AV$5:$AV$304,MATCH(C66,Products!$A$5:$A$304,0)),""))</f>
        <v>0</v>
      </c>
      <c r="Q66" s="32">
        <f>IF(B66="","",IF(C66="",0,SUMIFS(Sales!$D$5:$D$804,Sales!$C$5:$C$804,C66)))</f>
        <v>0</v>
      </c>
      <c r="R66" s="20">
        <f>IF(B66="","",IF(P66="",0,ROUND(Q66*P66,2)))</f>
        <v>0</v>
      </c>
      <c r="S66" s="33">
        <f>IF(B66="","",IF(O66&lt;=0,"",R66/O66))</f>
        <v>0</v>
      </c>
      <c r="T66" s="32">
        <f>IF(B66="","",IF(OR(P66="",P66&lt;=0),"Needs a profitable price",ROUNDUP(MAX(0,O66-R66)/P66,0)))</f>
        <v>0</v>
      </c>
      <c r="U66" s="20">
        <f>IF(B66="","",IF(OR(Q66=0,O66&lt;=0),"",ROUND(O66/Q66,2)))</f>
        <v>0</v>
      </c>
      <c r="V66" s="43">
        <f>IF(B66="","",IF(O66&lt;=0,"Add - hours and sample costs",IF(C66="","Idea - not listed yet",IF(S66&gt;=1,"Recovered - this one paid for itself",IF(AND(Q66=0,E66&lt;&gt;"",TodayDate-E66&gt;90),"Check - three months, no sales",IF(S66&lt;0.5,"Watch - under half recovered","OK"))))))</f>
        <v>0</v>
      </c>
    </row>
    <row r="67" spans="1:22">
      <c r="A67" s="38">
        <f>IF(B67="","",DevPrefix&amp;TEXT(ROW()-4,"0000"))</f>
        <v>0</v>
      </c>
      <c r="N67" s="41">
        <f>IF(B67="","",IF(F67="",0,F67)+IF(G67="",0,G67)+IF(H67="",0,H67))</f>
        <v>0</v>
      </c>
      <c r="O67" s="20">
        <f>IF(B67="","",ROUND(N67*LaborCostHour+IF(I67="",0,I67)+IF(J67="",0,J67)-IF(K67="",0,K67),2))</f>
        <v>0</v>
      </c>
      <c r="P67" s="20">
        <f>IF(C67="","",IFERROR(INDEX(Products!$AV$5:$AV$304,MATCH(C67,Products!$A$5:$A$304,0)),""))</f>
        <v>0</v>
      </c>
      <c r="Q67" s="32">
        <f>IF(B67="","",IF(C67="",0,SUMIFS(Sales!$D$5:$D$804,Sales!$C$5:$C$804,C67)))</f>
        <v>0</v>
      </c>
      <c r="R67" s="20">
        <f>IF(B67="","",IF(P67="",0,ROUND(Q67*P67,2)))</f>
        <v>0</v>
      </c>
      <c r="S67" s="33">
        <f>IF(B67="","",IF(O67&lt;=0,"",R67/O67))</f>
        <v>0</v>
      </c>
      <c r="T67" s="32">
        <f>IF(B67="","",IF(OR(P67="",P67&lt;=0),"Needs a profitable price",ROUNDUP(MAX(0,O67-R67)/P67,0)))</f>
        <v>0</v>
      </c>
      <c r="U67" s="20">
        <f>IF(B67="","",IF(OR(Q67=0,O67&lt;=0),"",ROUND(O67/Q67,2)))</f>
        <v>0</v>
      </c>
      <c r="V67" s="43">
        <f>IF(B67="","",IF(O67&lt;=0,"Add - hours and sample costs",IF(C67="","Idea - not listed yet",IF(S67&gt;=1,"Recovered - this one paid for itself",IF(AND(Q67=0,E67&lt;&gt;"",TodayDate-E67&gt;90),"Check - three months, no sales",IF(S67&lt;0.5,"Watch - under half recovered","OK"))))))</f>
        <v>0</v>
      </c>
    </row>
    <row r="68" spans="1:22">
      <c r="A68" s="38">
        <f>IF(B68="","",DevPrefix&amp;TEXT(ROW()-4,"0000"))</f>
        <v>0</v>
      </c>
      <c r="N68" s="41">
        <f>IF(B68="","",IF(F68="",0,F68)+IF(G68="",0,G68)+IF(H68="",0,H68))</f>
        <v>0</v>
      </c>
      <c r="O68" s="20">
        <f>IF(B68="","",ROUND(N68*LaborCostHour+IF(I68="",0,I68)+IF(J68="",0,J68)-IF(K68="",0,K68),2))</f>
        <v>0</v>
      </c>
      <c r="P68" s="20">
        <f>IF(C68="","",IFERROR(INDEX(Products!$AV$5:$AV$304,MATCH(C68,Products!$A$5:$A$304,0)),""))</f>
        <v>0</v>
      </c>
      <c r="Q68" s="32">
        <f>IF(B68="","",IF(C68="",0,SUMIFS(Sales!$D$5:$D$804,Sales!$C$5:$C$804,C68)))</f>
        <v>0</v>
      </c>
      <c r="R68" s="20">
        <f>IF(B68="","",IF(P68="",0,ROUND(Q68*P68,2)))</f>
        <v>0</v>
      </c>
      <c r="S68" s="33">
        <f>IF(B68="","",IF(O68&lt;=0,"",R68/O68))</f>
        <v>0</v>
      </c>
      <c r="T68" s="32">
        <f>IF(B68="","",IF(OR(P68="",P68&lt;=0),"Needs a profitable price",ROUNDUP(MAX(0,O68-R68)/P68,0)))</f>
        <v>0</v>
      </c>
      <c r="U68" s="20">
        <f>IF(B68="","",IF(OR(Q68=0,O68&lt;=0),"",ROUND(O68/Q68,2)))</f>
        <v>0</v>
      </c>
      <c r="V68" s="43">
        <f>IF(B68="","",IF(O68&lt;=0,"Add - hours and sample costs",IF(C68="","Idea - not listed yet",IF(S68&gt;=1,"Recovered - this one paid for itself",IF(AND(Q68=0,E68&lt;&gt;"",TodayDate-E68&gt;90),"Check - three months, no sales",IF(S68&lt;0.5,"Watch - under half recovered","OK"))))))</f>
        <v>0</v>
      </c>
    </row>
    <row r="69" spans="1:22">
      <c r="A69" s="38">
        <f>IF(B69="","",DevPrefix&amp;TEXT(ROW()-4,"0000"))</f>
        <v>0</v>
      </c>
      <c r="N69" s="41">
        <f>IF(B69="","",IF(F69="",0,F69)+IF(G69="",0,G69)+IF(H69="",0,H69))</f>
        <v>0</v>
      </c>
      <c r="O69" s="20">
        <f>IF(B69="","",ROUND(N69*LaborCostHour+IF(I69="",0,I69)+IF(J69="",0,J69)-IF(K69="",0,K69),2))</f>
        <v>0</v>
      </c>
      <c r="P69" s="20">
        <f>IF(C69="","",IFERROR(INDEX(Products!$AV$5:$AV$304,MATCH(C69,Products!$A$5:$A$304,0)),""))</f>
        <v>0</v>
      </c>
      <c r="Q69" s="32">
        <f>IF(B69="","",IF(C69="",0,SUMIFS(Sales!$D$5:$D$804,Sales!$C$5:$C$804,C69)))</f>
        <v>0</v>
      </c>
      <c r="R69" s="20">
        <f>IF(B69="","",IF(P69="",0,ROUND(Q69*P69,2)))</f>
        <v>0</v>
      </c>
      <c r="S69" s="33">
        <f>IF(B69="","",IF(O69&lt;=0,"",R69/O69))</f>
        <v>0</v>
      </c>
      <c r="T69" s="32">
        <f>IF(B69="","",IF(OR(P69="",P69&lt;=0),"Needs a profitable price",ROUNDUP(MAX(0,O69-R69)/P69,0)))</f>
        <v>0</v>
      </c>
      <c r="U69" s="20">
        <f>IF(B69="","",IF(OR(Q69=0,O69&lt;=0),"",ROUND(O69/Q69,2)))</f>
        <v>0</v>
      </c>
      <c r="V69" s="43">
        <f>IF(B69="","",IF(O69&lt;=0,"Add - hours and sample costs",IF(C69="","Idea - not listed yet",IF(S69&gt;=1,"Recovered - this one paid for itself",IF(AND(Q69=0,E69&lt;&gt;"",TodayDate-E69&gt;90),"Check - three months, no sales",IF(S69&lt;0.5,"Watch - under half recovered","OK"))))))</f>
        <v>0</v>
      </c>
    </row>
    <row r="70" spans="1:22">
      <c r="A70" s="38">
        <f>IF(B70="","",DevPrefix&amp;TEXT(ROW()-4,"0000"))</f>
        <v>0</v>
      </c>
      <c r="N70" s="41">
        <f>IF(B70="","",IF(F70="",0,F70)+IF(G70="",0,G70)+IF(H70="",0,H70))</f>
        <v>0</v>
      </c>
      <c r="O70" s="20">
        <f>IF(B70="","",ROUND(N70*LaborCostHour+IF(I70="",0,I70)+IF(J70="",0,J70)-IF(K70="",0,K70),2))</f>
        <v>0</v>
      </c>
      <c r="P70" s="20">
        <f>IF(C70="","",IFERROR(INDEX(Products!$AV$5:$AV$304,MATCH(C70,Products!$A$5:$A$304,0)),""))</f>
        <v>0</v>
      </c>
      <c r="Q70" s="32">
        <f>IF(B70="","",IF(C70="",0,SUMIFS(Sales!$D$5:$D$804,Sales!$C$5:$C$804,C70)))</f>
        <v>0</v>
      </c>
      <c r="R70" s="20">
        <f>IF(B70="","",IF(P70="",0,ROUND(Q70*P70,2)))</f>
        <v>0</v>
      </c>
      <c r="S70" s="33">
        <f>IF(B70="","",IF(O70&lt;=0,"",R70/O70))</f>
        <v>0</v>
      </c>
      <c r="T70" s="32">
        <f>IF(B70="","",IF(OR(P70="",P70&lt;=0),"Needs a profitable price",ROUNDUP(MAX(0,O70-R70)/P70,0)))</f>
        <v>0</v>
      </c>
      <c r="U70" s="20">
        <f>IF(B70="","",IF(OR(Q70=0,O70&lt;=0),"",ROUND(O70/Q70,2)))</f>
        <v>0</v>
      </c>
      <c r="V70" s="43">
        <f>IF(B70="","",IF(O70&lt;=0,"Add - hours and sample costs",IF(C70="","Idea - not listed yet",IF(S70&gt;=1,"Recovered - this one paid for itself",IF(AND(Q70=0,E70&lt;&gt;"",TodayDate-E70&gt;90),"Check - three months, no sales",IF(S70&lt;0.5,"Watch - under half recovered","OK"))))))</f>
        <v>0</v>
      </c>
    </row>
    <row r="71" spans="1:22">
      <c r="A71" s="38">
        <f>IF(B71="","",DevPrefix&amp;TEXT(ROW()-4,"0000"))</f>
        <v>0</v>
      </c>
      <c r="N71" s="41">
        <f>IF(B71="","",IF(F71="",0,F71)+IF(G71="",0,G71)+IF(H71="",0,H71))</f>
        <v>0</v>
      </c>
      <c r="O71" s="20">
        <f>IF(B71="","",ROUND(N71*LaborCostHour+IF(I71="",0,I71)+IF(J71="",0,J71)-IF(K71="",0,K71),2))</f>
        <v>0</v>
      </c>
      <c r="P71" s="20">
        <f>IF(C71="","",IFERROR(INDEX(Products!$AV$5:$AV$304,MATCH(C71,Products!$A$5:$A$304,0)),""))</f>
        <v>0</v>
      </c>
      <c r="Q71" s="32">
        <f>IF(B71="","",IF(C71="",0,SUMIFS(Sales!$D$5:$D$804,Sales!$C$5:$C$804,C71)))</f>
        <v>0</v>
      </c>
      <c r="R71" s="20">
        <f>IF(B71="","",IF(P71="",0,ROUND(Q71*P71,2)))</f>
        <v>0</v>
      </c>
      <c r="S71" s="33">
        <f>IF(B71="","",IF(O71&lt;=0,"",R71/O71))</f>
        <v>0</v>
      </c>
      <c r="T71" s="32">
        <f>IF(B71="","",IF(OR(P71="",P71&lt;=0),"Needs a profitable price",ROUNDUP(MAX(0,O71-R71)/P71,0)))</f>
        <v>0</v>
      </c>
      <c r="U71" s="20">
        <f>IF(B71="","",IF(OR(Q71=0,O71&lt;=0),"",ROUND(O71/Q71,2)))</f>
        <v>0</v>
      </c>
      <c r="V71" s="43">
        <f>IF(B71="","",IF(O71&lt;=0,"Add - hours and sample costs",IF(C71="","Idea - not listed yet",IF(S71&gt;=1,"Recovered - this one paid for itself",IF(AND(Q71=0,E71&lt;&gt;"",TodayDate-E71&gt;90),"Check - three months, no sales",IF(S71&lt;0.5,"Watch - under half recovered","OK"))))))</f>
        <v>0</v>
      </c>
    </row>
    <row r="72" spans="1:22">
      <c r="A72" s="38">
        <f>IF(B72="","",DevPrefix&amp;TEXT(ROW()-4,"0000"))</f>
        <v>0</v>
      </c>
      <c r="N72" s="41">
        <f>IF(B72="","",IF(F72="",0,F72)+IF(G72="",0,G72)+IF(H72="",0,H72))</f>
        <v>0</v>
      </c>
      <c r="O72" s="20">
        <f>IF(B72="","",ROUND(N72*LaborCostHour+IF(I72="",0,I72)+IF(J72="",0,J72)-IF(K72="",0,K72),2))</f>
        <v>0</v>
      </c>
      <c r="P72" s="20">
        <f>IF(C72="","",IFERROR(INDEX(Products!$AV$5:$AV$304,MATCH(C72,Products!$A$5:$A$304,0)),""))</f>
        <v>0</v>
      </c>
      <c r="Q72" s="32">
        <f>IF(B72="","",IF(C72="",0,SUMIFS(Sales!$D$5:$D$804,Sales!$C$5:$C$804,C72)))</f>
        <v>0</v>
      </c>
      <c r="R72" s="20">
        <f>IF(B72="","",IF(P72="",0,ROUND(Q72*P72,2)))</f>
        <v>0</v>
      </c>
      <c r="S72" s="33">
        <f>IF(B72="","",IF(O72&lt;=0,"",R72/O72))</f>
        <v>0</v>
      </c>
      <c r="T72" s="32">
        <f>IF(B72="","",IF(OR(P72="",P72&lt;=0),"Needs a profitable price",ROUNDUP(MAX(0,O72-R72)/P72,0)))</f>
        <v>0</v>
      </c>
      <c r="U72" s="20">
        <f>IF(B72="","",IF(OR(Q72=0,O72&lt;=0),"",ROUND(O72/Q72,2)))</f>
        <v>0</v>
      </c>
      <c r="V72" s="43">
        <f>IF(B72="","",IF(O72&lt;=0,"Add - hours and sample costs",IF(C72="","Idea - not listed yet",IF(S72&gt;=1,"Recovered - this one paid for itself",IF(AND(Q72=0,E72&lt;&gt;"",TodayDate-E72&gt;90),"Check - three months, no sales",IF(S72&lt;0.5,"Watch - under half recovered","OK"))))))</f>
        <v>0</v>
      </c>
    </row>
    <row r="73" spans="1:22">
      <c r="A73" s="38">
        <f>IF(B73="","",DevPrefix&amp;TEXT(ROW()-4,"0000"))</f>
        <v>0</v>
      </c>
      <c r="N73" s="41">
        <f>IF(B73="","",IF(F73="",0,F73)+IF(G73="",0,G73)+IF(H73="",0,H73))</f>
        <v>0</v>
      </c>
      <c r="O73" s="20">
        <f>IF(B73="","",ROUND(N73*LaborCostHour+IF(I73="",0,I73)+IF(J73="",0,J73)-IF(K73="",0,K73),2))</f>
        <v>0</v>
      </c>
      <c r="P73" s="20">
        <f>IF(C73="","",IFERROR(INDEX(Products!$AV$5:$AV$304,MATCH(C73,Products!$A$5:$A$304,0)),""))</f>
        <v>0</v>
      </c>
      <c r="Q73" s="32">
        <f>IF(B73="","",IF(C73="",0,SUMIFS(Sales!$D$5:$D$804,Sales!$C$5:$C$804,C73)))</f>
        <v>0</v>
      </c>
      <c r="R73" s="20">
        <f>IF(B73="","",IF(P73="",0,ROUND(Q73*P73,2)))</f>
        <v>0</v>
      </c>
      <c r="S73" s="33">
        <f>IF(B73="","",IF(O73&lt;=0,"",R73/O73))</f>
        <v>0</v>
      </c>
      <c r="T73" s="32">
        <f>IF(B73="","",IF(OR(P73="",P73&lt;=0),"Needs a profitable price",ROUNDUP(MAX(0,O73-R73)/P73,0)))</f>
        <v>0</v>
      </c>
      <c r="U73" s="20">
        <f>IF(B73="","",IF(OR(Q73=0,O73&lt;=0),"",ROUND(O73/Q73,2)))</f>
        <v>0</v>
      </c>
      <c r="V73" s="43">
        <f>IF(B73="","",IF(O73&lt;=0,"Add - hours and sample costs",IF(C73="","Idea - not listed yet",IF(S73&gt;=1,"Recovered - this one paid for itself",IF(AND(Q73=0,E73&lt;&gt;"",TodayDate-E73&gt;90),"Check - three months, no sales",IF(S73&lt;0.5,"Watch - under half recovered","OK"))))))</f>
        <v>0</v>
      </c>
    </row>
    <row r="74" spans="1:22">
      <c r="A74" s="38">
        <f>IF(B74="","",DevPrefix&amp;TEXT(ROW()-4,"0000"))</f>
        <v>0</v>
      </c>
      <c r="N74" s="41">
        <f>IF(B74="","",IF(F74="",0,F74)+IF(G74="",0,G74)+IF(H74="",0,H74))</f>
        <v>0</v>
      </c>
      <c r="O74" s="20">
        <f>IF(B74="","",ROUND(N74*LaborCostHour+IF(I74="",0,I74)+IF(J74="",0,J74)-IF(K74="",0,K74),2))</f>
        <v>0</v>
      </c>
      <c r="P74" s="20">
        <f>IF(C74="","",IFERROR(INDEX(Products!$AV$5:$AV$304,MATCH(C74,Products!$A$5:$A$304,0)),""))</f>
        <v>0</v>
      </c>
      <c r="Q74" s="32">
        <f>IF(B74="","",IF(C74="",0,SUMIFS(Sales!$D$5:$D$804,Sales!$C$5:$C$804,C74)))</f>
        <v>0</v>
      </c>
      <c r="R74" s="20">
        <f>IF(B74="","",IF(P74="",0,ROUND(Q74*P74,2)))</f>
        <v>0</v>
      </c>
      <c r="S74" s="33">
        <f>IF(B74="","",IF(O74&lt;=0,"",R74/O74))</f>
        <v>0</v>
      </c>
      <c r="T74" s="32">
        <f>IF(B74="","",IF(OR(P74="",P74&lt;=0),"Needs a profitable price",ROUNDUP(MAX(0,O74-R74)/P74,0)))</f>
        <v>0</v>
      </c>
      <c r="U74" s="20">
        <f>IF(B74="","",IF(OR(Q74=0,O74&lt;=0),"",ROUND(O74/Q74,2)))</f>
        <v>0</v>
      </c>
      <c r="V74" s="43">
        <f>IF(B74="","",IF(O74&lt;=0,"Add - hours and sample costs",IF(C74="","Idea - not listed yet",IF(S74&gt;=1,"Recovered - this one paid for itself",IF(AND(Q74=0,E74&lt;&gt;"",TodayDate-E74&gt;90),"Check - three months, no sales",IF(S74&lt;0.5,"Watch - under half recovered","OK"))))))</f>
        <v>0</v>
      </c>
    </row>
    <row r="75" spans="1:22">
      <c r="A75" s="38">
        <f>IF(B75="","",DevPrefix&amp;TEXT(ROW()-4,"0000"))</f>
        <v>0</v>
      </c>
      <c r="N75" s="41">
        <f>IF(B75="","",IF(F75="",0,F75)+IF(G75="",0,G75)+IF(H75="",0,H75))</f>
        <v>0</v>
      </c>
      <c r="O75" s="20">
        <f>IF(B75="","",ROUND(N75*LaborCostHour+IF(I75="",0,I75)+IF(J75="",0,J75)-IF(K75="",0,K75),2))</f>
        <v>0</v>
      </c>
      <c r="P75" s="20">
        <f>IF(C75="","",IFERROR(INDEX(Products!$AV$5:$AV$304,MATCH(C75,Products!$A$5:$A$304,0)),""))</f>
        <v>0</v>
      </c>
      <c r="Q75" s="32">
        <f>IF(B75="","",IF(C75="",0,SUMIFS(Sales!$D$5:$D$804,Sales!$C$5:$C$804,C75)))</f>
        <v>0</v>
      </c>
      <c r="R75" s="20">
        <f>IF(B75="","",IF(P75="",0,ROUND(Q75*P75,2)))</f>
        <v>0</v>
      </c>
      <c r="S75" s="33">
        <f>IF(B75="","",IF(O75&lt;=0,"",R75/O75))</f>
        <v>0</v>
      </c>
      <c r="T75" s="32">
        <f>IF(B75="","",IF(OR(P75="",P75&lt;=0),"Needs a profitable price",ROUNDUP(MAX(0,O75-R75)/P75,0)))</f>
        <v>0</v>
      </c>
      <c r="U75" s="20">
        <f>IF(B75="","",IF(OR(Q75=0,O75&lt;=0),"",ROUND(O75/Q75,2)))</f>
        <v>0</v>
      </c>
      <c r="V75" s="43">
        <f>IF(B75="","",IF(O75&lt;=0,"Add - hours and sample costs",IF(C75="","Idea - not listed yet",IF(S75&gt;=1,"Recovered - this one paid for itself",IF(AND(Q75=0,E75&lt;&gt;"",TodayDate-E75&gt;90),"Check - three months, no sales",IF(S75&lt;0.5,"Watch - under half recovered","OK"))))))</f>
        <v>0</v>
      </c>
    </row>
    <row r="76" spans="1:22">
      <c r="A76" s="38">
        <f>IF(B76="","",DevPrefix&amp;TEXT(ROW()-4,"0000"))</f>
        <v>0</v>
      </c>
      <c r="N76" s="41">
        <f>IF(B76="","",IF(F76="",0,F76)+IF(G76="",0,G76)+IF(H76="",0,H76))</f>
        <v>0</v>
      </c>
      <c r="O76" s="20">
        <f>IF(B76="","",ROUND(N76*LaborCostHour+IF(I76="",0,I76)+IF(J76="",0,J76)-IF(K76="",0,K76),2))</f>
        <v>0</v>
      </c>
      <c r="P76" s="20">
        <f>IF(C76="","",IFERROR(INDEX(Products!$AV$5:$AV$304,MATCH(C76,Products!$A$5:$A$304,0)),""))</f>
        <v>0</v>
      </c>
      <c r="Q76" s="32">
        <f>IF(B76="","",IF(C76="",0,SUMIFS(Sales!$D$5:$D$804,Sales!$C$5:$C$804,C76)))</f>
        <v>0</v>
      </c>
      <c r="R76" s="20">
        <f>IF(B76="","",IF(P76="",0,ROUND(Q76*P76,2)))</f>
        <v>0</v>
      </c>
      <c r="S76" s="33">
        <f>IF(B76="","",IF(O76&lt;=0,"",R76/O76))</f>
        <v>0</v>
      </c>
      <c r="T76" s="32">
        <f>IF(B76="","",IF(OR(P76="",P76&lt;=0),"Needs a profitable price",ROUNDUP(MAX(0,O76-R76)/P76,0)))</f>
        <v>0</v>
      </c>
      <c r="U76" s="20">
        <f>IF(B76="","",IF(OR(Q76=0,O76&lt;=0),"",ROUND(O76/Q76,2)))</f>
        <v>0</v>
      </c>
      <c r="V76" s="43">
        <f>IF(B76="","",IF(O76&lt;=0,"Add - hours and sample costs",IF(C76="","Idea - not listed yet",IF(S76&gt;=1,"Recovered - this one paid for itself",IF(AND(Q76=0,E76&lt;&gt;"",TodayDate-E76&gt;90),"Check - three months, no sales",IF(S76&lt;0.5,"Watch - under half recovered","OK"))))))</f>
        <v>0</v>
      </c>
    </row>
    <row r="77" spans="1:22">
      <c r="A77" s="38">
        <f>IF(B77="","",DevPrefix&amp;TEXT(ROW()-4,"0000"))</f>
        <v>0</v>
      </c>
      <c r="N77" s="41">
        <f>IF(B77="","",IF(F77="",0,F77)+IF(G77="",0,G77)+IF(H77="",0,H77))</f>
        <v>0</v>
      </c>
      <c r="O77" s="20">
        <f>IF(B77="","",ROUND(N77*LaborCostHour+IF(I77="",0,I77)+IF(J77="",0,J77)-IF(K77="",0,K77),2))</f>
        <v>0</v>
      </c>
      <c r="P77" s="20">
        <f>IF(C77="","",IFERROR(INDEX(Products!$AV$5:$AV$304,MATCH(C77,Products!$A$5:$A$304,0)),""))</f>
        <v>0</v>
      </c>
      <c r="Q77" s="32">
        <f>IF(B77="","",IF(C77="",0,SUMIFS(Sales!$D$5:$D$804,Sales!$C$5:$C$804,C77)))</f>
        <v>0</v>
      </c>
      <c r="R77" s="20">
        <f>IF(B77="","",IF(P77="",0,ROUND(Q77*P77,2)))</f>
        <v>0</v>
      </c>
      <c r="S77" s="33">
        <f>IF(B77="","",IF(O77&lt;=0,"",R77/O77))</f>
        <v>0</v>
      </c>
      <c r="T77" s="32">
        <f>IF(B77="","",IF(OR(P77="",P77&lt;=0),"Needs a profitable price",ROUNDUP(MAX(0,O77-R77)/P77,0)))</f>
        <v>0</v>
      </c>
      <c r="U77" s="20">
        <f>IF(B77="","",IF(OR(Q77=0,O77&lt;=0),"",ROUND(O77/Q77,2)))</f>
        <v>0</v>
      </c>
      <c r="V77" s="43">
        <f>IF(B77="","",IF(O77&lt;=0,"Add - hours and sample costs",IF(C77="","Idea - not listed yet",IF(S77&gt;=1,"Recovered - this one paid for itself",IF(AND(Q77=0,E77&lt;&gt;"",TodayDate-E77&gt;90),"Check - three months, no sales",IF(S77&lt;0.5,"Watch - under half recovered","OK"))))))</f>
        <v>0</v>
      </c>
    </row>
    <row r="78" spans="1:22">
      <c r="A78" s="38">
        <f>IF(B78="","",DevPrefix&amp;TEXT(ROW()-4,"0000"))</f>
        <v>0</v>
      </c>
      <c r="N78" s="41">
        <f>IF(B78="","",IF(F78="",0,F78)+IF(G78="",0,G78)+IF(H78="",0,H78))</f>
        <v>0</v>
      </c>
      <c r="O78" s="20">
        <f>IF(B78="","",ROUND(N78*LaborCostHour+IF(I78="",0,I78)+IF(J78="",0,J78)-IF(K78="",0,K78),2))</f>
        <v>0</v>
      </c>
      <c r="P78" s="20">
        <f>IF(C78="","",IFERROR(INDEX(Products!$AV$5:$AV$304,MATCH(C78,Products!$A$5:$A$304,0)),""))</f>
        <v>0</v>
      </c>
      <c r="Q78" s="32">
        <f>IF(B78="","",IF(C78="",0,SUMIFS(Sales!$D$5:$D$804,Sales!$C$5:$C$804,C78)))</f>
        <v>0</v>
      </c>
      <c r="R78" s="20">
        <f>IF(B78="","",IF(P78="",0,ROUND(Q78*P78,2)))</f>
        <v>0</v>
      </c>
      <c r="S78" s="33">
        <f>IF(B78="","",IF(O78&lt;=0,"",R78/O78))</f>
        <v>0</v>
      </c>
      <c r="T78" s="32">
        <f>IF(B78="","",IF(OR(P78="",P78&lt;=0),"Needs a profitable price",ROUNDUP(MAX(0,O78-R78)/P78,0)))</f>
        <v>0</v>
      </c>
      <c r="U78" s="20">
        <f>IF(B78="","",IF(OR(Q78=0,O78&lt;=0),"",ROUND(O78/Q78,2)))</f>
        <v>0</v>
      </c>
      <c r="V78" s="43">
        <f>IF(B78="","",IF(O78&lt;=0,"Add - hours and sample costs",IF(C78="","Idea - not listed yet",IF(S78&gt;=1,"Recovered - this one paid for itself",IF(AND(Q78=0,E78&lt;&gt;"",TodayDate-E78&gt;90),"Check - three months, no sales",IF(S78&lt;0.5,"Watch - under half recovered","OK"))))))</f>
        <v>0</v>
      </c>
    </row>
    <row r="79" spans="1:22">
      <c r="A79" s="38">
        <f>IF(B79="","",DevPrefix&amp;TEXT(ROW()-4,"0000"))</f>
        <v>0</v>
      </c>
      <c r="N79" s="41">
        <f>IF(B79="","",IF(F79="",0,F79)+IF(G79="",0,G79)+IF(H79="",0,H79))</f>
        <v>0</v>
      </c>
      <c r="O79" s="20">
        <f>IF(B79="","",ROUND(N79*LaborCostHour+IF(I79="",0,I79)+IF(J79="",0,J79)-IF(K79="",0,K79),2))</f>
        <v>0</v>
      </c>
      <c r="P79" s="20">
        <f>IF(C79="","",IFERROR(INDEX(Products!$AV$5:$AV$304,MATCH(C79,Products!$A$5:$A$304,0)),""))</f>
        <v>0</v>
      </c>
      <c r="Q79" s="32">
        <f>IF(B79="","",IF(C79="",0,SUMIFS(Sales!$D$5:$D$804,Sales!$C$5:$C$804,C79)))</f>
        <v>0</v>
      </c>
      <c r="R79" s="20">
        <f>IF(B79="","",IF(P79="",0,ROUND(Q79*P79,2)))</f>
        <v>0</v>
      </c>
      <c r="S79" s="33">
        <f>IF(B79="","",IF(O79&lt;=0,"",R79/O79))</f>
        <v>0</v>
      </c>
      <c r="T79" s="32">
        <f>IF(B79="","",IF(OR(P79="",P79&lt;=0),"Needs a profitable price",ROUNDUP(MAX(0,O79-R79)/P79,0)))</f>
        <v>0</v>
      </c>
      <c r="U79" s="20">
        <f>IF(B79="","",IF(OR(Q79=0,O79&lt;=0),"",ROUND(O79/Q79,2)))</f>
        <v>0</v>
      </c>
      <c r="V79" s="43">
        <f>IF(B79="","",IF(O79&lt;=0,"Add - hours and sample costs",IF(C79="","Idea - not listed yet",IF(S79&gt;=1,"Recovered - this one paid for itself",IF(AND(Q79=0,E79&lt;&gt;"",TodayDate-E79&gt;90),"Check - three months, no sales",IF(S79&lt;0.5,"Watch - under half recovered","OK"))))))</f>
        <v>0</v>
      </c>
    </row>
    <row r="80" spans="1:22">
      <c r="A80" s="38">
        <f>IF(B80="","",DevPrefix&amp;TEXT(ROW()-4,"0000"))</f>
        <v>0</v>
      </c>
      <c r="N80" s="41">
        <f>IF(B80="","",IF(F80="",0,F80)+IF(G80="",0,G80)+IF(H80="",0,H80))</f>
        <v>0</v>
      </c>
      <c r="O80" s="20">
        <f>IF(B80="","",ROUND(N80*LaborCostHour+IF(I80="",0,I80)+IF(J80="",0,J80)-IF(K80="",0,K80),2))</f>
        <v>0</v>
      </c>
      <c r="P80" s="20">
        <f>IF(C80="","",IFERROR(INDEX(Products!$AV$5:$AV$304,MATCH(C80,Products!$A$5:$A$304,0)),""))</f>
        <v>0</v>
      </c>
      <c r="Q80" s="32">
        <f>IF(B80="","",IF(C80="",0,SUMIFS(Sales!$D$5:$D$804,Sales!$C$5:$C$804,C80)))</f>
        <v>0</v>
      </c>
      <c r="R80" s="20">
        <f>IF(B80="","",IF(P80="",0,ROUND(Q80*P80,2)))</f>
        <v>0</v>
      </c>
      <c r="S80" s="33">
        <f>IF(B80="","",IF(O80&lt;=0,"",R80/O80))</f>
        <v>0</v>
      </c>
      <c r="T80" s="32">
        <f>IF(B80="","",IF(OR(P80="",P80&lt;=0),"Needs a profitable price",ROUNDUP(MAX(0,O80-R80)/P80,0)))</f>
        <v>0</v>
      </c>
      <c r="U80" s="20">
        <f>IF(B80="","",IF(OR(Q80=0,O80&lt;=0),"",ROUND(O80/Q80,2)))</f>
        <v>0</v>
      </c>
      <c r="V80" s="43">
        <f>IF(B80="","",IF(O80&lt;=0,"Add - hours and sample costs",IF(C80="","Idea - not listed yet",IF(S80&gt;=1,"Recovered - this one paid for itself",IF(AND(Q80=0,E80&lt;&gt;"",TodayDate-E80&gt;90),"Check - three months, no sales",IF(S80&lt;0.5,"Watch - under half recovered","OK"))))))</f>
        <v>0</v>
      </c>
    </row>
    <row r="81" spans="1:22">
      <c r="A81" s="38">
        <f>IF(B81="","",DevPrefix&amp;TEXT(ROW()-4,"0000"))</f>
        <v>0</v>
      </c>
      <c r="N81" s="41">
        <f>IF(B81="","",IF(F81="",0,F81)+IF(G81="",0,G81)+IF(H81="",0,H81))</f>
        <v>0</v>
      </c>
      <c r="O81" s="20">
        <f>IF(B81="","",ROUND(N81*LaborCostHour+IF(I81="",0,I81)+IF(J81="",0,J81)-IF(K81="",0,K81),2))</f>
        <v>0</v>
      </c>
      <c r="P81" s="20">
        <f>IF(C81="","",IFERROR(INDEX(Products!$AV$5:$AV$304,MATCH(C81,Products!$A$5:$A$304,0)),""))</f>
        <v>0</v>
      </c>
      <c r="Q81" s="32">
        <f>IF(B81="","",IF(C81="",0,SUMIFS(Sales!$D$5:$D$804,Sales!$C$5:$C$804,C81)))</f>
        <v>0</v>
      </c>
      <c r="R81" s="20">
        <f>IF(B81="","",IF(P81="",0,ROUND(Q81*P81,2)))</f>
        <v>0</v>
      </c>
      <c r="S81" s="33">
        <f>IF(B81="","",IF(O81&lt;=0,"",R81/O81))</f>
        <v>0</v>
      </c>
      <c r="T81" s="32">
        <f>IF(B81="","",IF(OR(P81="",P81&lt;=0),"Needs a profitable price",ROUNDUP(MAX(0,O81-R81)/P81,0)))</f>
        <v>0</v>
      </c>
      <c r="U81" s="20">
        <f>IF(B81="","",IF(OR(Q81=0,O81&lt;=0),"",ROUND(O81/Q81,2)))</f>
        <v>0</v>
      </c>
      <c r="V81" s="43">
        <f>IF(B81="","",IF(O81&lt;=0,"Add - hours and sample costs",IF(C81="","Idea - not listed yet",IF(S81&gt;=1,"Recovered - this one paid for itself",IF(AND(Q81=0,E81&lt;&gt;"",TodayDate-E81&gt;90),"Check - three months, no sales",IF(S81&lt;0.5,"Watch - under half recovered","OK"))))))</f>
        <v>0</v>
      </c>
    </row>
    <row r="82" spans="1:22">
      <c r="A82" s="38">
        <f>IF(B82="","",DevPrefix&amp;TEXT(ROW()-4,"0000"))</f>
        <v>0</v>
      </c>
      <c r="N82" s="41">
        <f>IF(B82="","",IF(F82="",0,F82)+IF(G82="",0,G82)+IF(H82="",0,H82))</f>
        <v>0</v>
      </c>
      <c r="O82" s="20">
        <f>IF(B82="","",ROUND(N82*LaborCostHour+IF(I82="",0,I82)+IF(J82="",0,J82)-IF(K82="",0,K82),2))</f>
        <v>0</v>
      </c>
      <c r="P82" s="20">
        <f>IF(C82="","",IFERROR(INDEX(Products!$AV$5:$AV$304,MATCH(C82,Products!$A$5:$A$304,0)),""))</f>
        <v>0</v>
      </c>
      <c r="Q82" s="32">
        <f>IF(B82="","",IF(C82="",0,SUMIFS(Sales!$D$5:$D$804,Sales!$C$5:$C$804,C82)))</f>
        <v>0</v>
      </c>
      <c r="R82" s="20">
        <f>IF(B82="","",IF(P82="",0,ROUND(Q82*P82,2)))</f>
        <v>0</v>
      </c>
      <c r="S82" s="33">
        <f>IF(B82="","",IF(O82&lt;=0,"",R82/O82))</f>
        <v>0</v>
      </c>
      <c r="T82" s="32">
        <f>IF(B82="","",IF(OR(P82="",P82&lt;=0),"Needs a profitable price",ROUNDUP(MAX(0,O82-R82)/P82,0)))</f>
        <v>0</v>
      </c>
      <c r="U82" s="20">
        <f>IF(B82="","",IF(OR(Q82=0,O82&lt;=0),"",ROUND(O82/Q82,2)))</f>
        <v>0</v>
      </c>
      <c r="V82" s="43">
        <f>IF(B82="","",IF(O82&lt;=0,"Add - hours and sample costs",IF(C82="","Idea - not listed yet",IF(S82&gt;=1,"Recovered - this one paid for itself",IF(AND(Q82=0,E82&lt;&gt;"",TodayDate-E82&gt;90),"Check - three months, no sales",IF(S82&lt;0.5,"Watch - under half recovered","OK"))))))</f>
        <v>0</v>
      </c>
    </row>
    <row r="83" spans="1:22">
      <c r="A83" s="38">
        <f>IF(B83="","",DevPrefix&amp;TEXT(ROW()-4,"0000"))</f>
        <v>0</v>
      </c>
      <c r="N83" s="41">
        <f>IF(B83="","",IF(F83="",0,F83)+IF(G83="",0,G83)+IF(H83="",0,H83))</f>
        <v>0</v>
      </c>
      <c r="O83" s="20">
        <f>IF(B83="","",ROUND(N83*LaborCostHour+IF(I83="",0,I83)+IF(J83="",0,J83)-IF(K83="",0,K83),2))</f>
        <v>0</v>
      </c>
      <c r="P83" s="20">
        <f>IF(C83="","",IFERROR(INDEX(Products!$AV$5:$AV$304,MATCH(C83,Products!$A$5:$A$304,0)),""))</f>
        <v>0</v>
      </c>
      <c r="Q83" s="32">
        <f>IF(B83="","",IF(C83="",0,SUMIFS(Sales!$D$5:$D$804,Sales!$C$5:$C$804,C83)))</f>
        <v>0</v>
      </c>
      <c r="R83" s="20">
        <f>IF(B83="","",IF(P83="",0,ROUND(Q83*P83,2)))</f>
        <v>0</v>
      </c>
      <c r="S83" s="33">
        <f>IF(B83="","",IF(O83&lt;=0,"",R83/O83))</f>
        <v>0</v>
      </c>
      <c r="T83" s="32">
        <f>IF(B83="","",IF(OR(P83="",P83&lt;=0),"Needs a profitable price",ROUNDUP(MAX(0,O83-R83)/P83,0)))</f>
        <v>0</v>
      </c>
      <c r="U83" s="20">
        <f>IF(B83="","",IF(OR(Q83=0,O83&lt;=0),"",ROUND(O83/Q83,2)))</f>
        <v>0</v>
      </c>
      <c r="V83" s="43">
        <f>IF(B83="","",IF(O83&lt;=0,"Add - hours and sample costs",IF(C83="","Idea - not listed yet",IF(S83&gt;=1,"Recovered - this one paid for itself",IF(AND(Q83=0,E83&lt;&gt;"",TodayDate-E83&gt;90),"Check - three months, no sales",IF(S83&lt;0.5,"Watch - under half recovered","OK"))))))</f>
        <v>0</v>
      </c>
    </row>
    <row r="84" spans="1:22">
      <c r="A84" s="38">
        <f>IF(B84="","",DevPrefix&amp;TEXT(ROW()-4,"0000"))</f>
        <v>0</v>
      </c>
      <c r="N84" s="41">
        <f>IF(B84="","",IF(F84="",0,F84)+IF(G84="",0,G84)+IF(H84="",0,H84))</f>
        <v>0</v>
      </c>
      <c r="O84" s="20">
        <f>IF(B84="","",ROUND(N84*LaborCostHour+IF(I84="",0,I84)+IF(J84="",0,J84)-IF(K84="",0,K84),2))</f>
        <v>0</v>
      </c>
      <c r="P84" s="20">
        <f>IF(C84="","",IFERROR(INDEX(Products!$AV$5:$AV$304,MATCH(C84,Products!$A$5:$A$304,0)),""))</f>
        <v>0</v>
      </c>
      <c r="Q84" s="32">
        <f>IF(B84="","",IF(C84="",0,SUMIFS(Sales!$D$5:$D$804,Sales!$C$5:$C$804,C84)))</f>
        <v>0</v>
      </c>
      <c r="R84" s="20">
        <f>IF(B84="","",IF(P84="",0,ROUND(Q84*P84,2)))</f>
        <v>0</v>
      </c>
      <c r="S84" s="33">
        <f>IF(B84="","",IF(O84&lt;=0,"",R84/O84))</f>
        <v>0</v>
      </c>
      <c r="T84" s="32">
        <f>IF(B84="","",IF(OR(P84="",P84&lt;=0),"Needs a profitable price",ROUNDUP(MAX(0,O84-R84)/P84,0)))</f>
        <v>0</v>
      </c>
      <c r="U84" s="20">
        <f>IF(B84="","",IF(OR(Q84=0,O84&lt;=0),"",ROUND(O84/Q84,2)))</f>
        <v>0</v>
      </c>
      <c r="V84" s="43">
        <f>IF(B84="","",IF(O84&lt;=0,"Add - hours and sample costs",IF(C84="","Idea - not listed yet",IF(S84&gt;=1,"Recovered - this one paid for itself",IF(AND(Q84=0,E84&lt;&gt;"",TodayDate-E84&gt;90),"Check - three months, no sales",IF(S84&lt;0.5,"Watch - under half recovered","OK"))))))</f>
        <v>0</v>
      </c>
    </row>
  </sheetData>
  <sheetProtection password="EC7C" sheet="1" objects="1" scenarios="1" formatCells="0" formatColumns="0" formatRows="0" insertRows="0" insertHyperlinks="0" deleteRows="0" autoFilter="0"/>
  <autoFilter ref="A4:V8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D5:D84">
    <cfRule type="containsText" dxfId="1" priority="1" operator="containsText" text="Completed">
      <formula>NOT(ISERROR(SEARCH("Completed",D5)))</formula>
    </cfRule>
    <cfRule type="containsText" dxfId="1" priority="2" operator="containsText" text="Complete">
      <formula>NOT(ISERROR(SEARCH("Complete",D5)))</formula>
    </cfRule>
    <cfRule type="containsText" dxfId="1" priority="3" operator="containsText" text="Done">
      <formula>NOT(ISERROR(SEARCH("Done",D5)))</formula>
    </cfRule>
    <cfRule type="containsText" dxfId="1" priority="4" operator="containsText" text="Paid">
      <formula>NOT(ISERROR(SEARCH("Paid",D5)))</formula>
    </cfRule>
    <cfRule type="containsText" dxfId="1" priority="5" operator="containsText" text="Accepted">
      <formula>NOT(ISERROR(SEARCH("Accepted",D5)))</formula>
    </cfRule>
    <cfRule type="containsText" dxfId="1" priority="6" operator="containsText" text="Won">
      <formula>NOT(ISERROR(SEARCH("Won",D5)))</formula>
    </cfRule>
    <cfRule type="containsText" dxfId="1" priority="7" operator="containsText" text="Active">
      <formula>NOT(ISERROR(SEARCH("Active",D5)))</formula>
    </cfRule>
    <cfRule type="containsText" dxfId="1" priority="8" operator="containsText" text="In stock">
      <formula>NOT(ISERROR(SEARCH("In stock",D5)))</formula>
    </cfRule>
    <cfRule type="containsText" dxfId="1" priority="9" operator="containsText" text="Resolved">
      <formula>NOT(ISERROR(SEARCH("Resolved",D5)))</formula>
    </cfRule>
    <cfRule type="containsText" dxfId="1" priority="10" operator="containsText" text="Signed">
      <formula>NOT(ISERROR(SEARCH("Signed",D5)))</formula>
    </cfRule>
    <cfRule type="containsText" dxfId="1" priority="11" operator="containsText" text="Yes">
      <formula>NOT(ISERROR(SEARCH("Yes",D5)))</formula>
    </cfRule>
    <cfRule type="containsText" dxfId="3" priority="12" operator="containsText" text="Booked">
      <formula>NOT(ISERROR(SEARCH("Booked",D5)))</formula>
    </cfRule>
    <cfRule type="containsText" dxfId="3" priority="13" operator="containsText" text="Confirmed">
      <formula>NOT(ISERROR(SEARCH("Confirmed",D5)))</formula>
    </cfRule>
    <cfRule type="containsText" dxfId="3" priority="14" operator="containsText" text="Scheduled">
      <formula>NOT(ISERROR(SEARCH("Scheduled",D5)))</formula>
    </cfRule>
    <cfRule type="containsText" dxfId="3" priority="15" operator="containsText" text="In progress">
      <formula>NOT(ISERROR(SEARCH("In progress",D5)))</formula>
    </cfRule>
    <cfRule type="containsText" dxfId="3" priority="16" operator="containsText" text="Sent">
      <formula>NOT(ISERROR(SEARCH("Sent",D5)))</formula>
    </cfRule>
    <cfRule type="containsText" dxfId="3" priority="17" operator="containsText" text="Invoiced">
      <formula>NOT(ISERROR(SEARCH("Invoiced",D5)))</formula>
    </cfRule>
    <cfRule type="containsText" dxfId="3" priority="18" operator="containsText" text="Quoted">
      <formula>NOT(ISERROR(SEARCH("Quoted",D5)))</formula>
    </cfRule>
    <cfRule type="containsText" dxfId="3" priority="19" operator="containsText" text="Prospect">
      <formula>NOT(ISERROR(SEARCH("Prospect",D5)))</formula>
    </cfRule>
    <cfRule type="containsText" dxfId="0" priority="20" operator="containsText" text="Draft">
      <formula>NOT(ISERROR(SEARCH("Draft",D5)))</formula>
    </cfRule>
    <cfRule type="containsText" dxfId="0" priority="21" operator="containsText" text="Enquiry">
      <formula>NOT(ISERROR(SEARCH("Enquiry",D5)))</formula>
    </cfRule>
    <cfRule type="containsText" dxfId="0" priority="22" operator="containsText" text="Pending">
      <formula>NOT(ISERROR(SEARCH("Pending",D5)))</formula>
    </cfRule>
    <cfRule type="containsText" dxfId="0" priority="23" operator="containsText" text="Part paid">
      <formula>NOT(ISERROR(SEARCH("Part paid",D5)))</formula>
    </cfRule>
    <cfRule type="containsText" dxfId="0" priority="24" operator="containsText" text="Followed up">
      <formula>NOT(ISERROR(SEARCH("Followed up",D5)))</formula>
    </cfRule>
    <cfRule type="containsText" dxfId="0" priority="25" operator="containsText" text="Low stock">
      <formula>NOT(ISERROR(SEARCH("Low stock",D5)))</formula>
    </cfRule>
    <cfRule type="containsText" dxfId="0" priority="26" operator="containsText" text="Due soon">
      <formula>NOT(ISERROR(SEARCH("Due soon",D5)))</formula>
    </cfRule>
    <cfRule type="containsText" dxfId="0" priority="27" operator="containsText" text="On hold">
      <formula>NOT(ISERROR(SEARCH("On hold",D5)))</formula>
    </cfRule>
    <cfRule type="containsText" dxfId="0" priority="28" operator="containsText" text="Unassigned">
      <formula>NOT(ISERROR(SEARCH("Unassigned",D5)))</formula>
    </cfRule>
    <cfRule type="containsText" dxfId="2" priority="29" operator="containsText" text="Overdue">
      <formula>NOT(ISERROR(SEARCH("Overdue",D5)))</formula>
    </cfRule>
    <cfRule type="containsText" dxfId="2" priority="30" operator="containsText" text="Cancelled">
      <formula>NOT(ISERROR(SEARCH("Cancelled",D5)))</formula>
    </cfRule>
    <cfRule type="containsText" dxfId="2" priority="31" operator="containsText" text="Declined">
      <formula>NOT(ISERROR(SEARCH("Declined",D5)))</formula>
    </cfRule>
    <cfRule type="containsText" dxfId="2" priority="32" operator="containsText" text="Lost">
      <formula>NOT(ISERROR(SEARCH("Lost",D5)))</formula>
    </cfRule>
    <cfRule type="containsText" dxfId="2" priority="33" operator="containsText" text="No access">
      <formula>NOT(ISERROR(SEARCH("No access",D5)))</formula>
    </cfRule>
    <cfRule type="containsText" dxfId="2" priority="34" operator="containsText" text="Out of stock">
      <formula>NOT(ISERROR(SEARCH("Out of stock",D5)))</formula>
    </cfRule>
    <cfRule type="containsText" dxfId="2" priority="35" operator="containsText" text="Written off">
      <formula>NOT(ISERROR(SEARCH("Written off",D5)))</formula>
    </cfRule>
    <cfRule type="containsText" dxfId="2" priority="36" operator="containsText" text="Expired">
      <formula>NOT(ISERROR(SEARCH("Expired",D5)))</formula>
    </cfRule>
    <cfRule type="containsText" dxfId="4" priority="37" operator="containsText" text="Discontinued">
      <formula>NOT(ISERROR(SEARCH("Discontinued",D5)))</formula>
    </cfRule>
    <cfRule type="containsText" dxfId="4" priority="38" operator="containsText" text="Idea">
      <formula>NOT(ISERROR(SEARCH("Idea",D5)))</formula>
    </cfRule>
    <cfRule type="containsText" dxfId="0" priority="39" operator="containsText" text="Prototype">
      <formula>NOT(ISERROR(SEARCH("Prototype",D5)))</formula>
    </cfRule>
    <cfRule type="containsText" dxfId="3" priority="40" operator="containsText" text="Made to order">
      <formula>NOT(ISERROR(SEARCH("Made to order",D5)))</formula>
    </cfRule>
    <cfRule type="containsText" dxfId="3" priority="41" operator="containsText" text="Seasonal">
      <formula>NOT(ISERROR(SEARCH("Seasonal",D5)))</formula>
    </cfRule>
    <cfRule type="containsText" dxfId="0" priority="42" operator="containsText" text="Review">
      <formula>NOT(ISERROR(SEARCH("Review",D5)))</formula>
    </cfRule>
    <cfRule type="containsText" dxfId="0" priority="43" operator="containsText" text="Raise price">
      <formula>NOT(ISERROR(SEARCH("Raise price",D5)))</formula>
    </cfRule>
    <cfRule type="containsText" dxfId="4" priority="44" operator="containsText" text="Inactive">
      <formula>NOT(ISERROR(SEARCH("Inactive",D5)))</formula>
    </cfRule>
    <cfRule type="containsText" dxfId="4" priority="45" operator="containsText" text="Archived">
      <formula>NOT(ISERROR(SEARCH("Archived",D5)))</formula>
    </cfRule>
    <cfRule type="containsText" dxfId="4" priority="46" operator="containsText" text="Not needed">
      <formula>NOT(ISERROR(SEARCH("Not needed",D5)))</formula>
    </cfRule>
  </conditionalFormatting>
  <conditionalFormatting sqref="S5:S84">
    <cfRule type="cellIs" dxfId="1" priority="47" operator="greaterThanOrEqual">
      <formula>1</formula>
    </cfRule>
    <cfRule type="cellIs" dxfId="0" priority="48" operator="lessThan">
      <formula>0.5</formula>
    </cfRule>
  </conditionalFormatting>
  <conditionalFormatting sqref="V5:V84">
    <cfRule type="beginsWith" dxfId="1" priority="49" operator="beginsWith" text="OK">
      <formula>LEFT(V5,2)="OK"</formula>
    </cfRule>
    <cfRule type="containsText" dxfId="2" priority="50" operator="containsText" text="Overdue">
      <formula>NOT(ISERROR(SEARCH("Overdue",V5)))</formula>
    </cfRule>
    <cfRule type="containsText" dxfId="2" priority="51" operator="containsText" text="Late">
      <formula>NOT(ISERROR(SEARCH("Late",V5)))</formula>
    </cfRule>
    <cfRule type="containsText" dxfId="2" priority="52" operator="containsText" text="Missing">
      <formula>NOT(ISERROR(SEARCH("Missing",V5)))</formula>
    </cfRule>
    <cfRule type="containsText" dxfId="2" priority="53" operator="containsText" text="Conflict">
      <formula>NOT(ISERROR(SEARCH("Conflict",V5)))</formula>
    </cfRule>
    <cfRule type="containsText" dxfId="2" priority="54" operator="containsText" text="Clash">
      <formula>NOT(ISERROR(SEARCH("Clash",V5)))</formula>
    </cfRule>
    <cfRule type="containsText" dxfId="2" priority="55" operator="containsText" text="Expired">
      <formula>NOT(ISERROR(SEARCH("Expired",V5)))</formula>
    </cfRule>
    <cfRule type="containsText" dxfId="2" priority="56" operator="containsText" text="Duplicate">
      <formula>NOT(ISERROR(SEARCH("Duplicate",V5)))</formula>
    </cfRule>
    <cfRule type="containsText" dxfId="2" priority="57" operator="containsText" text="Unpaid">
      <formula>NOT(ISERROR(SEARCH("Unpaid",V5)))</formula>
    </cfRule>
    <cfRule type="containsText" dxfId="2" priority="58" operator="containsText" text="Loss">
      <formula>NOT(ISERROR(SEARCH("Loss",V5)))</formula>
    </cfRule>
    <cfRule type="containsText" dxfId="2" priority="59" operator="containsText" text="Below">
      <formula>NOT(ISERROR(SEARCH("Below",V5)))</formula>
    </cfRule>
    <cfRule type="containsText" dxfId="0" priority="60" operator="containsText" text="Action">
      <formula>NOT(ISERROR(SEARCH("Action",V5)))</formula>
    </cfRule>
    <cfRule type="containsText" dxfId="0" priority="61" operator="containsText" text="Due">
      <formula>NOT(ISERROR(SEARCH("Due",V5)))</formula>
    </cfRule>
    <cfRule type="containsText" dxfId="0" priority="62" operator="containsText" text="Check">
      <formula>NOT(ISERROR(SEARCH("Check",V5)))</formula>
    </cfRule>
    <cfRule type="containsText" dxfId="0" priority="63" operator="containsText" text="Chase">
      <formula>NOT(ISERROR(SEARCH("Chase",V5)))</formula>
    </cfRule>
    <cfRule type="containsText" dxfId="0" priority="64" operator="containsText" text="Assign">
      <formula>NOT(ISERROR(SEARCH("Assign",V5)))</formula>
    </cfRule>
    <cfRule type="containsText" dxfId="0" priority="65" operator="containsText" text="Confirm">
      <formula>NOT(ISERROR(SEARCH("Confirm",V5)))</formula>
    </cfRule>
    <cfRule type="containsText" dxfId="0" priority="66" operator="containsText" text="Order">
      <formula>NOT(ISERROR(SEARCH("Order",V5)))</formula>
    </cfRule>
    <cfRule type="containsText" dxfId="3" priority="67" operator="containsText" text="Today">
      <formula>NOT(ISERROR(SEARCH("Today",V5)))</formula>
    </cfRule>
    <cfRule type="containsText" dxfId="3" priority="68" operator="containsText" text="Upcoming">
      <formula>NOT(ISERROR(SEARCH("Upcoming",V5)))</formula>
    </cfRule>
    <cfRule type="containsText" dxfId="3" priority="69" operator="containsText" text="Tomorrow">
      <formula>NOT(ISERROR(SEARCH("Tomorrow",V5)))</formula>
    </cfRule>
  </conditionalFormatting>
  <dataValidations count="10">
    <dataValidation type="list" allowBlank="1" showInputMessage="1" showErrorMessage="1" promptTitle="Became product" prompt="Link it once the design is listed." sqref="C5:C84">
      <formula1>ProductIDs</formula1>
    </dataValidation>
    <dataValidation type="list" allowBlank="1" showInputMessage="1" showErrorMessage="1" sqref="D5:D84">
      <formula1>DevStageList</formula1>
    </dataValidation>
    <dataValidation type="date" allowBlank="1" showInputMessage="1" showErrorMessage="1" errorTitle="Check the date" error="Enter a real date between 2000 and 2100." sqref="E5:E84">
      <formula1>36526</formula1>
      <formula2>73415</formula2>
    </dataValidation>
    <dataValidation type="decimal" allowBlank="1" showInputMessage="1" showErrorMessage="1" errorTitle="Check the value" error="Enter a number between 0 and 10000." sqref="F5:F84">
      <formula1>0</formula1>
      <formula2>10000</formula2>
    </dataValidation>
    <dataValidation type="decimal" allowBlank="1" showInputMessage="1" showErrorMessage="1" errorTitle="Check the value" error="Enter a number between 0 and 10000." promptTitle="Sample hours" prompt="Making the prototypes, including the ones that went in the bin." sqref="G5:G84">
      <formula1>0</formula1>
      <formula2>10000</formula2>
    </dataValidation>
    <dataValidation type="decimal" allowBlank="1" showInputMessage="1" showErrorMessage="1" errorTitle="Check the value" error="Enter a number between 0 and 10000." promptTitle="Photo &amp; listing hours" prompt="Shooting, editing, writing the listing, keywords. Hours that never feel like work and always are." sqref="H5:H84">
      <formula1>0</formula1>
      <formula2>10000</formula2>
    </dataValidation>
    <dataValidation type="decimal" allowBlank="1" showInputMessage="1" showErrorMessage="1" errorTitle="Check the value" error="Enter a number between 0 and 1000000." sqref="I5:I84">
      <formula1>0</formula1>
      <formula2>1000000</formula2>
    </dataValidation>
    <dataValidation type="decimal" allowBlank="1" showInputMessage="1" showErrorMessage="1" errorTitle="Check the value" error="Enter a number between 0 and 1000000." promptTitle="Other costs" prompt="A pattern you bought to learn from, a tool you needed, a model you paid." sqref="J5:J84">
      <formula1>0</formula1>
      <formula2>1000000</formula2>
    </dataValidation>
    <dataValidation type="decimal" allowBlank="1" showInputMessage="1" showErrorMessage="1" errorTitle="Check the value" error="Enter a number between 0 and 1000000." promptTitle="Samples sold for" prompt="Prototypes often sell as seconds. Credited back." sqref="K5:K84">
      <formula1>0</formula1>
      <formula2>1000000</formula2>
    </dataValidation>
    <dataValidation type="date" allowBlank="1" showInputMessage="1" showErrorMessage="1" errorTitle="Check the date" error="Enter a real date between 2000 and 2100." sqref="L5:L84">
      <formula1>36526</formula1>
      <formula2>73415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&amp;L&amp;"Calibri,Bold"&amp;12&amp;C&amp;"Calibri,Bold"&amp;11Development&amp;R&amp;"Calibri,Italic"&amp;9Handmade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1.xml><?xml version="1.0" encoding="utf-8"?>
<worksheet xmlns="http://schemas.openxmlformats.org/spreadsheetml/2006/main" xmlns:r="http://schemas.openxmlformats.org/officeDocument/2006/relationships">
  <sheetPr>
    <tabColor rgb="FFB5704F"/>
    <pageSetUpPr fitToPage="1"/>
  </sheetPr>
  <dimension ref="A1:AB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style="15" customWidth="1"/>
    <col min="2" max="2" width="18.7109375" style="15" customWidth="1"/>
    <col min="3" max="3" width="11.7109375" style="22" customWidth="1"/>
    <col min="4" max="4" width="7.7109375" style="21" customWidth="1"/>
    <col min="5" max="5" width="11.7109375" style="18" customWidth="1"/>
    <col min="6" max="6" width="13.7109375" style="18" customWidth="1"/>
    <col min="7" max="7" width="13.7109375" style="18" customWidth="1"/>
    <col min="8" max="8" width="15.7109375" style="18" customWidth="1"/>
    <col min="9" max="9" width="11.7109375" style="52" customWidth="1"/>
    <col min="10" max="10" width="14.7109375" style="52" customWidth="1"/>
    <col min="11" max="11" width="11.7109375" style="18" customWidth="1"/>
    <col min="12" max="12" width="10.7109375" style="16" customWidth="1"/>
    <col min="13" max="13" width="28.7109375" style="40" customWidth="1"/>
    <col min="14" max="14" width="11.7109375" style="20" customWidth="1"/>
    <col min="15" max="15" width="9.7109375" style="41" hidden="1" customWidth="1"/>
    <col min="16" max="16" width="11.7109375" style="20" customWidth="1"/>
    <col min="17" max="17" width="11.7109375" style="20" customWidth="1"/>
    <col min="18" max="18" width="15.7109375" style="20" customWidth="1"/>
    <col min="19" max="19" width="13.7109375" style="20" hidden="1" customWidth="1"/>
    <col min="20" max="20" width="11.7109375" style="20" customWidth="1"/>
    <col min="21" max="21" width="8.7109375" style="32" customWidth="1"/>
    <col min="22" max="22" width="14.7109375" style="20" hidden="1" customWidth="1"/>
    <col min="23" max="23" width="15.7109375" style="20" customWidth="1"/>
    <col min="24" max="24" width="11.7109375" style="20" customWidth="1"/>
    <col min="25" max="25" width="11.7109375" style="20" hidden="1" customWidth="1"/>
    <col min="26" max="26" width="15.7109375" style="33" hidden="1" customWidth="1"/>
    <col min="27" max="27" width="13.7109375" style="43" customWidth="1"/>
    <col min="28" max="28" width="30.7109375" style="43" customWidth="1"/>
  </cols>
  <sheetData>
    <row r="1" spans="1:28" ht="34" customHeight="1">
      <c r="A1" s="2" t="s">
        <v>1830</v>
      </c>
      <c r="B1" s="2"/>
      <c r="C1" s="2"/>
      <c r="D1" s="2"/>
      <c r="E1" s="2"/>
      <c r="F1" s="2"/>
      <c r="G1" s="2"/>
      <c r="H1" s="2"/>
      <c r="I1" s="2"/>
      <c r="J1" s="2"/>
      <c r="K1" s="2"/>
      <c r="L1" s="2"/>
      <c r="M1" s="2"/>
      <c r="N1" s="2"/>
      <c r="O1" s="2"/>
      <c r="P1" s="2"/>
      <c r="Q1" s="2"/>
      <c r="R1" s="2"/>
      <c r="S1" s="2"/>
      <c r="T1" s="2"/>
      <c r="U1" s="2"/>
      <c r="V1" s="2"/>
      <c r="W1" s="2"/>
      <c r="X1" s="2"/>
      <c r="Y1" s="2"/>
      <c r="Z1" s="3" t="s">
        <v>1</v>
      </c>
      <c r="AA1" s="3"/>
      <c r="AB1" s="3"/>
    </row>
    <row r="2" spans="1:28" ht="18" customHeight="1">
      <c r="A2" s="4" t="s">
        <v>1831</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1832</v>
      </c>
      <c r="T3" s="44"/>
      <c r="U3" s="44"/>
      <c r="V3" s="44"/>
      <c r="W3" s="44"/>
      <c r="X3" s="44"/>
      <c r="Y3" s="44"/>
      <c r="Z3" s="44"/>
      <c r="AA3" s="44"/>
      <c r="AB3" s="44"/>
    </row>
    <row r="4" spans="1:28" ht="30" customHeight="1">
      <c r="A4" s="8" t="s">
        <v>1574</v>
      </c>
      <c r="B4" s="8" t="s">
        <v>569</v>
      </c>
      <c r="C4" s="9" t="s">
        <v>1565</v>
      </c>
      <c r="D4" s="9" t="s">
        <v>874</v>
      </c>
      <c r="E4" s="9" t="s">
        <v>1833</v>
      </c>
      <c r="F4" s="9" t="s">
        <v>1834</v>
      </c>
      <c r="G4" s="9" t="s">
        <v>1835</v>
      </c>
      <c r="H4" s="9" t="s">
        <v>1836</v>
      </c>
      <c r="I4" s="9" t="s">
        <v>1837</v>
      </c>
      <c r="J4" s="9" t="s">
        <v>1838</v>
      </c>
      <c r="K4" s="9" t="s">
        <v>1839</v>
      </c>
      <c r="L4" s="9" t="s">
        <v>1840</v>
      </c>
      <c r="M4" s="9" t="s">
        <v>466</v>
      </c>
      <c r="N4" s="9" t="s">
        <v>1841</v>
      </c>
      <c r="O4" s="9" t="s">
        <v>471</v>
      </c>
      <c r="P4" s="9" t="s">
        <v>1842</v>
      </c>
      <c r="Q4" s="9" t="s">
        <v>489</v>
      </c>
      <c r="R4" s="9" t="s">
        <v>1446</v>
      </c>
      <c r="S4" s="9" t="s">
        <v>1843</v>
      </c>
      <c r="T4" s="9" t="s">
        <v>1844</v>
      </c>
      <c r="U4" s="9" t="s">
        <v>442</v>
      </c>
      <c r="V4" s="9" t="s">
        <v>1845</v>
      </c>
      <c r="W4" s="9" t="s">
        <v>1846</v>
      </c>
      <c r="X4" s="9" t="s">
        <v>1847</v>
      </c>
      <c r="Y4" s="9" t="s">
        <v>1848</v>
      </c>
      <c r="Z4" s="9" t="s">
        <v>1849</v>
      </c>
      <c r="AA4" s="9" t="s">
        <v>453</v>
      </c>
      <c r="AB4" s="9" t="s">
        <v>1096</v>
      </c>
    </row>
    <row r="5" spans="1:28">
      <c r="A5" s="15" t="s">
        <v>1640</v>
      </c>
      <c r="B5" s="15" t="s">
        <v>995</v>
      </c>
      <c r="C5" s="22">
        <v>46247</v>
      </c>
      <c r="D5" s="21">
        <v>1</v>
      </c>
      <c r="E5" s="18">
        <v>45</v>
      </c>
      <c r="F5" s="18">
        <v>18</v>
      </c>
      <c r="G5" s="18">
        <v>0</v>
      </c>
      <c r="H5" s="18">
        <v>22</v>
      </c>
      <c r="I5" s="52">
        <v>9</v>
      </c>
      <c r="J5" s="52">
        <v>8</v>
      </c>
      <c r="K5" s="18">
        <v>350</v>
      </c>
      <c r="L5" s="16">
        <v>900</v>
      </c>
      <c r="M5" s="40" t="s">
        <v>1850</v>
      </c>
      <c r="N5" s="20">
        <f>IF(A5="","",ROUND(IF(E5="",0,E5)+IF(F5="",0,F5)+IF(G5="",0,G5)+IF(H5="",0,H5),2))</f>
        <v>0</v>
      </c>
      <c r="O5" s="41">
        <f>IF(A5="","",IF(I5="",0,I5)+IF(J5="",0,J5))</f>
        <v>0</v>
      </c>
      <c r="P5" s="20">
        <f>IF(A5="","",ROUND(O5*LaborCostHour,2))</f>
        <v>0</v>
      </c>
      <c r="Q5" s="20">
        <f>IF(A5="","",ROUND(N5+P5,2))</f>
        <v>0</v>
      </c>
      <c r="R5" s="20">
        <f>IF(A5="","",IF(TargetRetailMargin&lt;=0,"",ROUND(Q5/TargetRetailMargin,2)))</f>
        <v>0</v>
      </c>
      <c r="S5" s="20">
        <f>IF(A5="","",IF(TargetRetailMargin&lt;=0,"",ROUND(N5/TargetRetailMargin,2)))</f>
        <v>0</v>
      </c>
      <c r="T5" s="20">
        <f>IF(A5="","",ROUND(SUMIFS(Sales!$V$5:$V$804,Sales!$O$5:$O$804,A5),2))</f>
        <v>0</v>
      </c>
      <c r="U5" s="32">
        <f>IF(A5="","",COUNTIFS(Sales!$O$5:$O$804,A5))</f>
        <v>0</v>
      </c>
      <c r="V5" s="20">
        <f>IF(A5="","",ROUND(SUMIFS(Sales!$AG$5:$AG$804,Sales!$O$5:$O$804,A5),2))</f>
        <v>0</v>
      </c>
      <c r="W5" s="20">
        <f>IF(A5="","",IF(T5=0,"",ROUND(V5-Q5,2)))</f>
        <v>0</v>
      </c>
      <c r="X5" s="20">
        <f>IF(A5="","",IF(OR(O5=0,T5=0),"",ROUND((V5-N5)/O5,2)))</f>
        <v>0</v>
      </c>
      <c r="Y5" s="20">
        <f>IF(A5="","",IF(U5=0,"",ROUND(T5/U5,2)))</f>
        <v>0</v>
      </c>
      <c r="Z5" s="33">
        <f>IF(A5="","",IF(OR(L5="",L5=0),"",U5/L5))</f>
        <v>0</v>
      </c>
      <c r="AA5" s="43">
        <f>IF(A5="","",IF(AND(C5&lt;&gt;"",C5&gt;TodayDate),"Booked",IF(T5=0,"No sales logged","Done")))</f>
        <v>0</v>
      </c>
      <c r="AB5" s="43">
        <f>IF(A5="","",IF(AA5="Booked","Coming up - take enough stock",IF(T5=0,"Add - log the sales against this event",IF(W5&lt;0,"Loss - the stall cost more than it made",IF(AND(X5&lt;&gt;"",X5&lt;MinimumWage),"Below - paid under minimum wage for the day",IF(W5&gt;Q5,"Worth repeating - book it again","OK"))))))</f>
        <v>0</v>
      </c>
    </row>
    <row r="6" spans="1:28">
      <c r="A6" s="15" t="s">
        <v>1623</v>
      </c>
      <c r="B6" s="15" t="s">
        <v>1851</v>
      </c>
      <c r="C6" s="22">
        <v>46282</v>
      </c>
      <c r="D6" s="21">
        <v>1</v>
      </c>
      <c r="E6" s="18">
        <v>30</v>
      </c>
      <c r="F6" s="18">
        <v>12</v>
      </c>
      <c r="G6" s="18">
        <v>0</v>
      </c>
      <c r="H6" s="18">
        <v>8</v>
      </c>
      <c r="I6" s="52">
        <v>5</v>
      </c>
      <c r="J6" s="52">
        <v>6</v>
      </c>
      <c r="K6" s="18">
        <v>240</v>
      </c>
      <c r="L6" s="16">
        <v>520</v>
      </c>
      <c r="M6" s="40" t="s">
        <v>1852</v>
      </c>
      <c r="N6" s="20">
        <f>IF(A6="","",ROUND(IF(E6="",0,E6)+IF(F6="",0,F6)+IF(G6="",0,G6)+IF(H6="",0,H6),2))</f>
        <v>0</v>
      </c>
      <c r="O6" s="41">
        <f>IF(A6="","",IF(I6="",0,I6)+IF(J6="",0,J6))</f>
        <v>0</v>
      </c>
      <c r="P6" s="20">
        <f>IF(A6="","",ROUND(O6*LaborCostHour,2))</f>
        <v>0</v>
      </c>
      <c r="Q6" s="20">
        <f>IF(A6="","",ROUND(N6+P6,2))</f>
        <v>0</v>
      </c>
      <c r="R6" s="20">
        <f>IF(A6="","",IF(TargetRetailMargin&lt;=0,"",ROUND(Q6/TargetRetailMargin,2)))</f>
        <v>0</v>
      </c>
      <c r="S6" s="20">
        <f>IF(A6="","",IF(TargetRetailMargin&lt;=0,"",ROUND(N6/TargetRetailMargin,2)))</f>
        <v>0</v>
      </c>
      <c r="T6" s="20">
        <f>IF(A6="","",ROUND(SUMIFS(Sales!$V$5:$V$804,Sales!$O$5:$O$804,A6),2))</f>
        <v>0</v>
      </c>
      <c r="U6" s="32">
        <f>IF(A6="","",COUNTIFS(Sales!$O$5:$O$804,A6))</f>
        <v>0</v>
      </c>
      <c r="V6" s="20">
        <f>IF(A6="","",ROUND(SUMIFS(Sales!$AG$5:$AG$804,Sales!$O$5:$O$804,A6),2))</f>
        <v>0</v>
      </c>
      <c r="W6" s="20">
        <f>IF(A6="","",IF(T6=0,"",ROUND(V6-Q6,2)))</f>
        <v>0</v>
      </c>
      <c r="X6" s="20">
        <f>IF(A6="","",IF(OR(O6=0,T6=0),"",ROUND((V6-N6)/O6,2)))</f>
        <v>0</v>
      </c>
      <c r="Y6" s="20">
        <f>IF(A6="","",IF(U6=0,"",ROUND(T6/U6,2)))</f>
        <v>0</v>
      </c>
      <c r="Z6" s="33">
        <f>IF(A6="","",IF(OR(L6="",L6=0),"",U6/L6))</f>
        <v>0</v>
      </c>
      <c r="AA6" s="43">
        <f>IF(A6="","",IF(AND(C6&lt;&gt;"",C6&gt;TodayDate),"Booked",IF(T6=0,"No sales logged","Done")))</f>
        <v>0</v>
      </c>
      <c r="AB6" s="43">
        <f>IF(A6="","",IF(AA6="Booked","Coming up - take enough stock",IF(T6=0,"Add - log the sales against this event",IF(W6&lt;0,"Loss - the stall cost more than it made",IF(AND(X6&lt;&gt;"",X6&lt;MinimumWage),"Below - paid under minimum wage for the day",IF(W6&gt;Q6,"Worth repeating - book it again","OK"))))))</f>
        <v>0</v>
      </c>
    </row>
    <row r="7" spans="1:28">
      <c r="A7" s="15" t="s">
        <v>1600</v>
      </c>
      <c r="B7" s="15" t="s">
        <v>1853</v>
      </c>
      <c r="C7" s="22">
        <v>46309</v>
      </c>
      <c r="D7" s="21">
        <v>1</v>
      </c>
      <c r="E7" s="18">
        <v>60</v>
      </c>
      <c r="F7" s="18">
        <v>15</v>
      </c>
      <c r="G7" s="18">
        <v>0</v>
      </c>
      <c r="H7" s="18">
        <v>10</v>
      </c>
      <c r="I7" s="52">
        <v>6</v>
      </c>
      <c r="J7" s="52">
        <v>7</v>
      </c>
      <c r="K7" s="18">
        <v>320</v>
      </c>
      <c r="L7" s="16">
        <v>700</v>
      </c>
      <c r="N7" s="20">
        <f>IF(A7="","",ROUND(IF(E7="",0,E7)+IF(F7="",0,F7)+IF(G7="",0,G7)+IF(H7="",0,H7),2))</f>
        <v>0</v>
      </c>
      <c r="O7" s="41">
        <f>IF(A7="","",IF(I7="",0,I7)+IF(J7="",0,J7))</f>
        <v>0</v>
      </c>
      <c r="P7" s="20">
        <f>IF(A7="","",ROUND(O7*LaborCostHour,2))</f>
        <v>0</v>
      </c>
      <c r="Q7" s="20">
        <f>IF(A7="","",ROUND(N7+P7,2))</f>
        <v>0</v>
      </c>
      <c r="R7" s="20">
        <f>IF(A7="","",IF(TargetRetailMargin&lt;=0,"",ROUND(Q7/TargetRetailMargin,2)))</f>
        <v>0</v>
      </c>
      <c r="S7" s="20">
        <f>IF(A7="","",IF(TargetRetailMargin&lt;=0,"",ROUND(N7/TargetRetailMargin,2)))</f>
        <v>0</v>
      </c>
      <c r="T7" s="20">
        <f>IF(A7="","",ROUND(SUMIFS(Sales!$V$5:$V$804,Sales!$O$5:$O$804,A7),2))</f>
        <v>0</v>
      </c>
      <c r="U7" s="32">
        <f>IF(A7="","",COUNTIFS(Sales!$O$5:$O$804,A7))</f>
        <v>0</v>
      </c>
      <c r="V7" s="20">
        <f>IF(A7="","",ROUND(SUMIFS(Sales!$AG$5:$AG$804,Sales!$O$5:$O$804,A7),2))</f>
        <v>0</v>
      </c>
      <c r="W7" s="20">
        <f>IF(A7="","",IF(T7=0,"",ROUND(V7-Q7,2)))</f>
        <v>0</v>
      </c>
      <c r="X7" s="20">
        <f>IF(A7="","",IF(OR(O7=0,T7=0),"",ROUND((V7-N7)/O7,2)))</f>
        <v>0</v>
      </c>
      <c r="Y7" s="20">
        <f>IF(A7="","",IF(U7=0,"",ROUND(T7/U7,2)))</f>
        <v>0</v>
      </c>
      <c r="Z7" s="33">
        <f>IF(A7="","",IF(OR(L7="",L7=0),"",U7/L7))</f>
        <v>0</v>
      </c>
      <c r="AA7" s="43">
        <f>IF(A7="","",IF(AND(C7&lt;&gt;"",C7&gt;TodayDate),"Booked",IF(T7=0,"No sales logged","Done")))</f>
        <v>0</v>
      </c>
      <c r="AB7" s="43">
        <f>IF(A7="","",IF(AA7="Booked","Coming up - take enough stock",IF(T7=0,"Add - log the sales against this event",IF(W7&lt;0,"Loss - the stall cost more than it made",IF(AND(X7&lt;&gt;"",X7&lt;MinimumWage),"Below - paid under minimum wage for the day",IF(W7&gt;Q7,"Worth repeating - book it again","OK"))))))</f>
        <v>0</v>
      </c>
    </row>
    <row r="8" spans="1:28">
      <c r="A8" s="15" t="s">
        <v>1854</v>
      </c>
      <c r="B8" s="15" t="s">
        <v>1855</v>
      </c>
      <c r="C8" s="22">
        <v>46341</v>
      </c>
      <c r="D8" s="21">
        <v>2</v>
      </c>
      <c r="E8" s="18">
        <v>120</v>
      </c>
      <c r="F8" s="18">
        <v>40</v>
      </c>
      <c r="G8" s="18">
        <v>95</v>
      </c>
      <c r="H8" s="18">
        <v>35</v>
      </c>
      <c r="I8" s="52">
        <v>16</v>
      </c>
      <c r="J8" s="52">
        <v>14</v>
      </c>
      <c r="K8" s="18">
        <v>1400</v>
      </c>
      <c r="L8" s="16">
        <v>2600</v>
      </c>
      <c r="M8" s="40" t="s">
        <v>1856</v>
      </c>
      <c r="N8" s="20">
        <f>IF(A8="","",ROUND(IF(E8="",0,E8)+IF(F8="",0,F8)+IF(G8="",0,G8)+IF(H8="",0,H8),2))</f>
        <v>0</v>
      </c>
      <c r="O8" s="41">
        <f>IF(A8="","",IF(I8="",0,I8)+IF(J8="",0,J8))</f>
        <v>0</v>
      </c>
      <c r="P8" s="20">
        <f>IF(A8="","",ROUND(O8*LaborCostHour,2))</f>
        <v>0</v>
      </c>
      <c r="Q8" s="20">
        <f>IF(A8="","",ROUND(N8+P8,2))</f>
        <v>0</v>
      </c>
      <c r="R8" s="20">
        <f>IF(A8="","",IF(TargetRetailMargin&lt;=0,"",ROUND(Q8/TargetRetailMargin,2)))</f>
        <v>0</v>
      </c>
      <c r="S8" s="20">
        <f>IF(A8="","",IF(TargetRetailMargin&lt;=0,"",ROUND(N8/TargetRetailMargin,2)))</f>
        <v>0</v>
      </c>
      <c r="T8" s="20">
        <f>IF(A8="","",ROUND(SUMIFS(Sales!$V$5:$V$804,Sales!$O$5:$O$804,A8),2))</f>
        <v>0</v>
      </c>
      <c r="U8" s="32">
        <f>IF(A8="","",COUNTIFS(Sales!$O$5:$O$804,A8))</f>
        <v>0</v>
      </c>
      <c r="V8" s="20">
        <f>IF(A8="","",ROUND(SUMIFS(Sales!$AG$5:$AG$804,Sales!$O$5:$O$804,A8),2))</f>
        <v>0</v>
      </c>
      <c r="W8" s="20">
        <f>IF(A8="","",IF(T8=0,"",ROUND(V8-Q8,2)))</f>
        <v>0</v>
      </c>
      <c r="X8" s="20">
        <f>IF(A8="","",IF(OR(O8=0,T8=0),"",ROUND((V8-N8)/O8,2)))</f>
        <v>0</v>
      </c>
      <c r="Y8" s="20">
        <f>IF(A8="","",IF(U8=0,"",ROUND(T8/U8,2)))</f>
        <v>0</v>
      </c>
      <c r="Z8" s="33">
        <f>IF(A8="","",IF(OR(L8="",L8=0),"",U8/L8))</f>
        <v>0</v>
      </c>
      <c r="AA8" s="43">
        <f>IF(A8="","",IF(AND(C8&lt;&gt;"",C8&gt;TodayDate),"Booked",IF(T8=0,"No sales logged","Done")))</f>
        <v>0</v>
      </c>
      <c r="AB8" s="43">
        <f>IF(A8="","",IF(AA8="Booked","Coming up - take enough stock",IF(T8=0,"Add - log the sales against this event",IF(W8&lt;0,"Loss - the stall cost more than it made",IF(AND(X8&lt;&gt;"",X8&lt;MinimumWage),"Below - paid under minimum wage for the day",IF(W8&gt;Q8,"Worth repeating - book it again","OK"))))))</f>
        <v>0</v>
      </c>
    </row>
    <row r="9" spans="1:28">
      <c r="N9" s="20">
        <f>IF(A9="","",ROUND(IF(E9="",0,E9)+IF(F9="",0,F9)+IF(G9="",0,G9)+IF(H9="",0,H9),2))</f>
        <v>0</v>
      </c>
      <c r="O9" s="41">
        <f>IF(A9="","",IF(I9="",0,I9)+IF(J9="",0,J9))</f>
        <v>0</v>
      </c>
      <c r="P9" s="20">
        <f>IF(A9="","",ROUND(O9*LaborCostHour,2))</f>
        <v>0</v>
      </c>
      <c r="Q9" s="20">
        <f>IF(A9="","",ROUND(N9+P9,2))</f>
        <v>0</v>
      </c>
      <c r="R9" s="20">
        <f>IF(A9="","",IF(TargetRetailMargin&lt;=0,"",ROUND(Q9/TargetRetailMargin,2)))</f>
        <v>0</v>
      </c>
      <c r="S9" s="20">
        <f>IF(A9="","",IF(TargetRetailMargin&lt;=0,"",ROUND(N9/TargetRetailMargin,2)))</f>
        <v>0</v>
      </c>
      <c r="T9" s="20">
        <f>IF(A9="","",ROUND(SUMIFS(Sales!$V$5:$V$804,Sales!$O$5:$O$804,A9),2))</f>
        <v>0</v>
      </c>
      <c r="U9" s="32">
        <f>IF(A9="","",COUNTIFS(Sales!$O$5:$O$804,A9))</f>
        <v>0</v>
      </c>
      <c r="V9" s="20">
        <f>IF(A9="","",ROUND(SUMIFS(Sales!$AG$5:$AG$804,Sales!$O$5:$O$804,A9),2))</f>
        <v>0</v>
      </c>
      <c r="W9" s="20">
        <f>IF(A9="","",IF(T9=0,"",ROUND(V9-Q9,2)))</f>
        <v>0</v>
      </c>
      <c r="X9" s="20">
        <f>IF(A9="","",IF(OR(O9=0,T9=0),"",ROUND((V9-N9)/O9,2)))</f>
        <v>0</v>
      </c>
      <c r="Y9" s="20">
        <f>IF(A9="","",IF(U9=0,"",ROUND(T9/U9,2)))</f>
        <v>0</v>
      </c>
      <c r="Z9" s="33">
        <f>IF(A9="","",IF(OR(L9="",L9=0),"",U9/L9))</f>
        <v>0</v>
      </c>
      <c r="AA9" s="43">
        <f>IF(A9="","",IF(AND(C9&lt;&gt;"",C9&gt;TodayDate),"Booked",IF(T9=0,"No sales logged","Done")))</f>
        <v>0</v>
      </c>
      <c r="AB9" s="43">
        <f>IF(A9="","",IF(AA9="Booked","Coming up - take enough stock",IF(T9=0,"Add - log the sales against this event",IF(W9&lt;0,"Loss - the stall cost more than it made",IF(AND(X9&lt;&gt;"",X9&lt;MinimumWage),"Below - paid under minimum wage for the day",IF(W9&gt;Q9,"Worth repeating - book it again","OK"))))))</f>
        <v>0</v>
      </c>
    </row>
    <row r="10" spans="1:28">
      <c r="N10" s="20">
        <f>IF(A10="","",ROUND(IF(E10="",0,E10)+IF(F10="",0,F10)+IF(G10="",0,G10)+IF(H10="",0,H10),2))</f>
        <v>0</v>
      </c>
      <c r="O10" s="41">
        <f>IF(A10="","",IF(I10="",0,I10)+IF(J10="",0,J10))</f>
        <v>0</v>
      </c>
      <c r="P10" s="20">
        <f>IF(A10="","",ROUND(O10*LaborCostHour,2))</f>
        <v>0</v>
      </c>
      <c r="Q10" s="20">
        <f>IF(A10="","",ROUND(N10+P10,2))</f>
        <v>0</v>
      </c>
      <c r="R10" s="20">
        <f>IF(A10="","",IF(TargetRetailMargin&lt;=0,"",ROUND(Q10/TargetRetailMargin,2)))</f>
        <v>0</v>
      </c>
      <c r="S10" s="20">
        <f>IF(A10="","",IF(TargetRetailMargin&lt;=0,"",ROUND(N10/TargetRetailMargin,2)))</f>
        <v>0</v>
      </c>
      <c r="T10" s="20">
        <f>IF(A10="","",ROUND(SUMIFS(Sales!$V$5:$V$804,Sales!$O$5:$O$804,A10),2))</f>
        <v>0</v>
      </c>
      <c r="U10" s="32">
        <f>IF(A10="","",COUNTIFS(Sales!$O$5:$O$804,A10))</f>
        <v>0</v>
      </c>
      <c r="V10" s="20">
        <f>IF(A10="","",ROUND(SUMIFS(Sales!$AG$5:$AG$804,Sales!$O$5:$O$804,A10),2))</f>
        <v>0</v>
      </c>
      <c r="W10" s="20">
        <f>IF(A10="","",IF(T10=0,"",ROUND(V10-Q10,2)))</f>
        <v>0</v>
      </c>
      <c r="X10" s="20">
        <f>IF(A10="","",IF(OR(O10=0,T10=0),"",ROUND((V10-N10)/O10,2)))</f>
        <v>0</v>
      </c>
      <c r="Y10" s="20">
        <f>IF(A10="","",IF(U10=0,"",ROUND(T10/U10,2)))</f>
        <v>0</v>
      </c>
      <c r="Z10" s="33">
        <f>IF(A10="","",IF(OR(L10="",L10=0),"",U10/L10))</f>
        <v>0</v>
      </c>
      <c r="AA10" s="43">
        <f>IF(A10="","",IF(AND(C10&lt;&gt;"",C10&gt;TodayDate),"Booked",IF(T10=0,"No sales logged","Done")))</f>
        <v>0</v>
      </c>
      <c r="AB10" s="43">
        <f>IF(A10="","",IF(AA10="Booked","Coming up - take enough stock",IF(T10=0,"Add - log the sales against this event",IF(W10&lt;0,"Loss - the stall cost more than it made",IF(AND(X10&lt;&gt;"",X10&lt;MinimumWage),"Below - paid under minimum wage for the day",IF(W10&gt;Q10,"Worth repeating - book it again","OK"))))))</f>
        <v>0</v>
      </c>
    </row>
    <row r="11" spans="1:28">
      <c r="N11" s="20">
        <f>IF(A11="","",ROUND(IF(E11="",0,E11)+IF(F11="",0,F11)+IF(G11="",0,G11)+IF(H11="",0,H11),2))</f>
        <v>0</v>
      </c>
      <c r="O11" s="41">
        <f>IF(A11="","",IF(I11="",0,I11)+IF(J11="",0,J11))</f>
        <v>0</v>
      </c>
      <c r="P11" s="20">
        <f>IF(A11="","",ROUND(O11*LaborCostHour,2))</f>
        <v>0</v>
      </c>
      <c r="Q11" s="20">
        <f>IF(A11="","",ROUND(N11+P11,2))</f>
        <v>0</v>
      </c>
      <c r="R11" s="20">
        <f>IF(A11="","",IF(TargetRetailMargin&lt;=0,"",ROUND(Q11/TargetRetailMargin,2)))</f>
        <v>0</v>
      </c>
      <c r="S11" s="20">
        <f>IF(A11="","",IF(TargetRetailMargin&lt;=0,"",ROUND(N11/TargetRetailMargin,2)))</f>
        <v>0</v>
      </c>
      <c r="T11" s="20">
        <f>IF(A11="","",ROUND(SUMIFS(Sales!$V$5:$V$804,Sales!$O$5:$O$804,A11),2))</f>
        <v>0</v>
      </c>
      <c r="U11" s="32">
        <f>IF(A11="","",COUNTIFS(Sales!$O$5:$O$804,A11))</f>
        <v>0</v>
      </c>
      <c r="V11" s="20">
        <f>IF(A11="","",ROUND(SUMIFS(Sales!$AG$5:$AG$804,Sales!$O$5:$O$804,A11),2))</f>
        <v>0</v>
      </c>
      <c r="W11" s="20">
        <f>IF(A11="","",IF(T11=0,"",ROUND(V11-Q11,2)))</f>
        <v>0</v>
      </c>
      <c r="X11" s="20">
        <f>IF(A11="","",IF(OR(O11=0,T11=0),"",ROUND((V11-N11)/O11,2)))</f>
        <v>0</v>
      </c>
      <c r="Y11" s="20">
        <f>IF(A11="","",IF(U11=0,"",ROUND(T11/U11,2)))</f>
        <v>0</v>
      </c>
      <c r="Z11" s="33">
        <f>IF(A11="","",IF(OR(L11="",L11=0),"",U11/L11))</f>
        <v>0</v>
      </c>
      <c r="AA11" s="43">
        <f>IF(A11="","",IF(AND(C11&lt;&gt;"",C11&gt;TodayDate),"Booked",IF(T11=0,"No sales logged","Done")))</f>
        <v>0</v>
      </c>
      <c r="AB11" s="43">
        <f>IF(A11="","",IF(AA11="Booked","Coming up - take enough stock",IF(T11=0,"Add - log the sales against this event",IF(W11&lt;0,"Loss - the stall cost more than it made",IF(AND(X11&lt;&gt;"",X11&lt;MinimumWage),"Below - paid under minimum wage for the day",IF(W11&gt;Q11,"Worth repeating - book it again","OK"))))))</f>
        <v>0</v>
      </c>
    </row>
    <row r="12" spans="1:28">
      <c r="N12" s="20">
        <f>IF(A12="","",ROUND(IF(E12="",0,E12)+IF(F12="",0,F12)+IF(G12="",0,G12)+IF(H12="",0,H12),2))</f>
        <v>0</v>
      </c>
      <c r="O12" s="41">
        <f>IF(A12="","",IF(I12="",0,I12)+IF(J12="",0,J12))</f>
        <v>0</v>
      </c>
      <c r="P12" s="20">
        <f>IF(A12="","",ROUND(O12*LaborCostHour,2))</f>
        <v>0</v>
      </c>
      <c r="Q12" s="20">
        <f>IF(A12="","",ROUND(N12+P12,2))</f>
        <v>0</v>
      </c>
      <c r="R12" s="20">
        <f>IF(A12="","",IF(TargetRetailMargin&lt;=0,"",ROUND(Q12/TargetRetailMargin,2)))</f>
        <v>0</v>
      </c>
      <c r="S12" s="20">
        <f>IF(A12="","",IF(TargetRetailMargin&lt;=0,"",ROUND(N12/TargetRetailMargin,2)))</f>
        <v>0</v>
      </c>
      <c r="T12" s="20">
        <f>IF(A12="","",ROUND(SUMIFS(Sales!$V$5:$V$804,Sales!$O$5:$O$804,A12),2))</f>
        <v>0</v>
      </c>
      <c r="U12" s="32">
        <f>IF(A12="","",COUNTIFS(Sales!$O$5:$O$804,A12))</f>
        <v>0</v>
      </c>
      <c r="V12" s="20">
        <f>IF(A12="","",ROUND(SUMIFS(Sales!$AG$5:$AG$804,Sales!$O$5:$O$804,A12),2))</f>
        <v>0</v>
      </c>
      <c r="W12" s="20">
        <f>IF(A12="","",IF(T12=0,"",ROUND(V12-Q12,2)))</f>
        <v>0</v>
      </c>
      <c r="X12" s="20">
        <f>IF(A12="","",IF(OR(O12=0,T12=0),"",ROUND((V12-N12)/O12,2)))</f>
        <v>0</v>
      </c>
      <c r="Y12" s="20">
        <f>IF(A12="","",IF(U12=0,"",ROUND(T12/U12,2)))</f>
        <v>0</v>
      </c>
      <c r="Z12" s="33">
        <f>IF(A12="","",IF(OR(L12="",L12=0),"",U12/L12))</f>
        <v>0</v>
      </c>
      <c r="AA12" s="43">
        <f>IF(A12="","",IF(AND(C12&lt;&gt;"",C12&gt;TodayDate),"Booked",IF(T12=0,"No sales logged","Done")))</f>
        <v>0</v>
      </c>
      <c r="AB12" s="43">
        <f>IF(A12="","",IF(AA12="Booked","Coming up - take enough stock",IF(T12=0,"Add - log the sales against this event",IF(W12&lt;0,"Loss - the stall cost more than it made",IF(AND(X12&lt;&gt;"",X12&lt;MinimumWage),"Below - paid under minimum wage for the day",IF(W12&gt;Q12,"Worth repeating - book it again","OK"))))))</f>
        <v>0</v>
      </c>
    </row>
    <row r="13" spans="1:28">
      <c r="N13" s="20">
        <f>IF(A13="","",ROUND(IF(E13="",0,E13)+IF(F13="",0,F13)+IF(G13="",0,G13)+IF(H13="",0,H13),2))</f>
        <v>0</v>
      </c>
      <c r="O13" s="41">
        <f>IF(A13="","",IF(I13="",0,I13)+IF(J13="",0,J13))</f>
        <v>0</v>
      </c>
      <c r="P13" s="20">
        <f>IF(A13="","",ROUND(O13*LaborCostHour,2))</f>
        <v>0</v>
      </c>
      <c r="Q13" s="20">
        <f>IF(A13="","",ROUND(N13+P13,2))</f>
        <v>0</v>
      </c>
      <c r="R13" s="20">
        <f>IF(A13="","",IF(TargetRetailMargin&lt;=0,"",ROUND(Q13/TargetRetailMargin,2)))</f>
        <v>0</v>
      </c>
      <c r="S13" s="20">
        <f>IF(A13="","",IF(TargetRetailMargin&lt;=0,"",ROUND(N13/TargetRetailMargin,2)))</f>
        <v>0</v>
      </c>
      <c r="T13" s="20">
        <f>IF(A13="","",ROUND(SUMIFS(Sales!$V$5:$V$804,Sales!$O$5:$O$804,A13),2))</f>
        <v>0</v>
      </c>
      <c r="U13" s="32">
        <f>IF(A13="","",COUNTIFS(Sales!$O$5:$O$804,A13))</f>
        <v>0</v>
      </c>
      <c r="V13" s="20">
        <f>IF(A13="","",ROUND(SUMIFS(Sales!$AG$5:$AG$804,Sales!$O$5:$O$804,A13),2))</f>
        <v>0</v>
      </c>
      <c r="W13" s="20">
        <f>IF(A13="","",IF(T13=0,"",ROUND(V13-Q13,2)))</f>
        <v>0</v>
      </c>
      <c r="X13" s="20">
        <f>IF(A13="","",IF(OR(O13=0,T13=0),"",ROUND((V13-N13)/O13,2)))</f>
        <v>0</v>
      </c>
      <c r="Y13" s="20">
        <f>IF(A13="","",IF(U13=0,"",ROUND(T13/U13,2)))</f>
        <v>0</v>
      </c>
      <c r="Z13" s="33">
        <f>IF(A13="","",IF(OR(L13="",L13=0),"",U13/L13))</f>
        <v>0</v>
      </c>
      <c r="AA13" s="43">
        <f>IF(A13="","",IF(AND(C13&lt;&gt;"",C13&gt;TodayDate),"Booked",IF(T13=0,"No sales logged","Done")))</f>
        <v>0</v>
      </c>
      <c r="AB13" s="43">
        <f>IF(A13="","",IF(AA13="Booked","Coming up - take enough stock",IF(T13=0,"Add - log the sales against this event",IF(W13&lt;0,"Loss - the stall cost more than it made",IF(AND(X13&lt;&gt;"",X13&lt;MinimumWage),"Below - paid under minimum wage for the day",IF(W13&gt;Q13,"Worth repeating - book it again","OK"))))))</f>
        <v>0</v>
      </c>
    </row>
    <row r="14" spans="1:28">
      <c r="N14" s="20">
        <f>IF(A14="","",ROUND(IF(E14="",0,E14)+IF(F14="",0,F14)+IF(G14="",0,G14)+IF(H14="",0,H14),2))</f>
        <v>0</v>
      </c>
      <c r="O14" s="41">
        <f>IF(A14="","",IF(I14="",0,I14)+IF(J14="",0,J14))</f>
        <v>0</v>
      </c>
      <c r="P14" s="20">
        <f>IF(A14="","",ROUND(O14*LaborCostHour,2))</f>
        <v>0</v>
      </c>
      <c r="Q14" s="20">
        <f>IF(A14="","",ROUND(N14+P14,2))</f>
        <v>0</v>
      </c>
      <c r="R14" s="20">
        <f>IF(A14="","",IF(TargetRetailMargin&lt;=0,"",ROUND(Q14/TargetRetailMargin,2)))</f>
        <v>0</v>
      </c>
      <c r="S14" s="20">
        <f>IF(A14="","",IF(TargetRetailMargin&lt;=0,"",ROUND(N14/TargetRetailMargin,2)))</f>
        <v>0</v>
      </c>
      <c r="T14" s="20">
        <f>IF(A14="","",ROUND(SUMIFS(Sales!$V$5:$V$804,Sales!$O$5:$O$804,A14),2))</f>
        <v>0</v>
      </c>
      <c r="U14" s="32">
        <f>IF(A14="","",COUNTIFS(Sales!$O$5:$O$804,A14))</f>
        <v>0</v>
      </c>
      <c r="V14" s="20">
        <f>IF(A14="","",ROUND(SUMIFS(Sales!$AG$5:$AG$804,Sales!$O$5:$O$804,A14),2))</f>
        <v>0</v>
      </c>
      <c r="W14" s="20">
        <f>IF(A14="","",IF(T14=0,"",ROUND(V14-Q14,2)))</f>
        <v>0</v>
      </c>
      <c r="X14" s="20">
        <f>IF(A14="","",IF(OR(O14=0,T14=0),"",ROUND((V14-N14)/O14,2)))</f>
        <v>0</v>
      </c>
      <c r="Y14" s="20">
        <f>IF(A14="","",IF(U14=0,"",ROUND(T14/U14,2)))</f>
        <v>0</v>
      </c>
      <c r="Z14" s="33">
        <f>IF(A14="","",IF(OR(L14="",L14=0),"",U14/L14))</f>
        <v>0</v>
      </c>
      <c r="AA14" s="43">
        <f>IF(A14="","",IF(AND(C14&lt;&gt;"",C14&gt;TodayDate),"Booked",IF(T14=0,"No sales logged","Done")))</f>
        <v>0</v>
      </c>
      <c r="AB14" s="43">
        <f>IF(A14="","",IF(AA14="Booked","Coming up - take enough stock",IF(T14=0,"Add - log the sales against this event",IF(W14&lt;0,"Loss - the stall cost more than it made",IF(AND(X14&lt;&gt;"",X14&lt;MinimumWage),"Below - paid under minimum wage for the day",IF(W14&gt;Q14,"Worth repeating - book it again","OK"))))))</f>
        <v>0</v>
      </c>
    </row>
    <row r="15" spans="1:28">
      <c r="N15" s="20">
        <f>IF(A15="","",ROUND(IF(E15="",0,E15)+IF(F15="",0,F15)+IF(G15="",0,G15)+IF(H15="",0,H15),2))</f>
        <v>0</v>
      </c>
      <c r="O15" s="41">
        <f>IF(A15="","",IF(I15="",0,I15)+IF(J15="",0,J15))</f>
        <v>0</v>
      </c>
      <c r="P15" s="20">
        <f>IF(A15="","",ROUND(O15*LaborCostHour,2))</f>
        <v>0</v>
      </c>
      <c r="Q15" s="20">
        <f>IF(A15="","",ROUND(N15+P15,2))</f>
        <v>0</v>
      </c>
      <c r="R15" s="20">
        <f>IF(A15="","",IF(TargetRetailMargin&lt;=0,"",ROUND(Q15/TargetRetailMargin,2)))</f>
        <v>0</v>
      </c>
      <c r="S15" s="20">
        <f>IF(A15="","",IF(TargetRetailMargin&lt;=0,"",ROUND(N15/TargetRetailMargin,2)))</f>
        <v>0</v>
      </c>
      <c r="T15" s="20">
        <f>IF(A15="","",ROUND(SUMIFS(Sales!$V$5:$V$804,Sales!$O$5:$O$804,A15),2))</f>
        <v>0</v>
      </c>
      <c r="U15" s="32">
        <f>IF(A15="","",COUNTIFS(Sales!$O$5:$O$804,A15))</f>
        <v>0</v>
      </c>
      <c r="V15" s="20">
        <f>IF(A15="","",ROUND(SUMIFS(Sales!$AG$5:$AG$804,Sales!$O$5:$O$804,A15),2))</f>
        <v>0</v>
      </c>
      <c r="W15" s="20">
        <f>IF(A15="","",IF(T15=0,"",ROUND(V15-Q15,2)))</f>
        <v>0</v>
      </c>
      <c r="X15" s="20">
        <f>IF(A15="","",IF(OR(O15=0,T15=0),"",ROUND((V15-N15)/O15,2)))</f>
        <v>0</v>
      </c>
      <c r="Y15" s="20">
        <f>IF(A15="","",IF(U15=0,"",ROUND(T15/U15,2)))</f>
        <v>0</v>
      </c>
      <c r="Z15" s="33">
        <f>IF(A15="","",IF(OR(L15="",L15=0),"",U15/L15))</f>
        <v>0</v>
      </c>
      <c r="AA15" s="43">
        <f>IF(A15="","",IF(AND(C15&lt;&gt;"",C15&gt;TodayDate),"Booked",IF(T15=0,"No sales logged","Done")))</f>
        <v>0</v>
      </c>
      <c r="AB15" s="43">
        <f>IF(A15="","",IF(AA15="Booked","Coming up - take enough stock",IF(T15=0,"Add - log the sales against this event",IF(W15&lt;0,"Loss - the stall cost more than it made",IF(AND(X15&lt;&gt;"",X15&lt;MinimumWage),"Below - paid under minimum wage for the day",IF(W15&gt;Q15,"Worth repeating - book it again","OK"))))))</f>
        <v>0</v>
      </c>
    </row>
    <row r="16" spans="1:28">
      <c r="N16" s="20">
        <f>IF(A16="","",ROUND(IF(E16="",0,E16)+IF(F16="",0,F16)+IF(G16="",0,G16)+IF(H16="",0,H16),2))</f>
        <v>0</v>
      </c>
      <c r="O16" s="41">
        <f>IF(A16="","",IF(I16="",0,I16)+IF(J16="",0,J16))</f>
        <v>0</v>
      </c>
      <c r="P16" s="20">
        <f>IF(A16="","",ROUND(O16*LaborCostHour,2))</f>
        <v>0</v>
      </c>
      <c r="Q16" s="20">
        <f>IF(A16="","",ROUND(N16+P16,2))</f>
        <v>0</v>
      </c>
      <c r="R16" s="20">
        <f>IF(A16="","",IF(TargetRetailMargin&lt;=0,"",ROUND(Q16/TargetRetailMargin,2)))</f>
        <v>0</v>
      </c>
      <c r="S16" s="20">
        <f>IF(A16="","",IF(TargetRetailMargin&lt;=0,"",ROUND(N16/TargetRetailMargin,2)))</f>
        <v>0</v>
      </c>
      <c r="T16" s="20">
        <f>IF(A16="","",ROUND(SUMIFS(Sales!$V$5:$V$804,Sales!$O$5:$O$804,A16),2))</f>
        <v>0</v>
      </c>
      <c r="U16" s="32">
        <f>IF(A16="","",COUNTIFS(Sales!$O$5:$O$804,A16))</f>
        <v>0</v>
      </c>
      <c r="V16" s="20">
        <f>IF(A16="","",ROUND(SUMIFS(Sales!$AG$5:$AG$804,Sales!$O$5:$O$804,A16),2))</f>
        <v>0</v>
      </c>
      <c r="W16" s="20">
        <f>IF(A16="","",IF(T16=0,"",ROUND(V16-Q16,2)))</f>
        <v>0</v>
      </c>
      <c r="X16" s="20">
        <f>IF(A16="","",IF(OR(O16=0,T16=0),"",ROUND((V16-N16)/O16,2)))</f>
        <v>0</v>
      </c>
      <c r="Y16" s="20">
        <f>IF(A16="","",IF(U16=0,"",ROUND(T16/U16,2)))</f>
        <v>0</v>
      </c>
      <c r="Z16" s="33">
        <f>IF(A16="","",IF(OR(L16="",L16=0),"",U16/L16))</f>
        <v>0</v>
      </c>
      <c r="AA16" s="43">
        <f>IF(A16="","",IF(AND(C16&lt;&gt;"",C16&gt;TodayDate),"Booked",IF(T16=0,"No sales logged","Done")))</f>
        <v>0</v>
      </c>
      <c r="AB16" s="43">
        <f>IF(A16="","",IF(AA16="Booked","Coming up - take enough stock",IF(T16=0,"Add - log the sales against this event",IF(W16&lt;0,"Loss - the stall cost more than it made",IF(AND(X16&lt;&gt;"",X16&lt;MinimumWage),"Below - paid under minimum wage for the day",IF(W16&gt;Q16,"Worth repeating - book it again","OK"))))))</f>
        <v>0</v>
      </c>
    </row>
    <row r="17" spans="14:28">
      <c r="N17" s="20">
        <f>IF(A17="","",ROUND(IF(E17="",0,E17)+IF(F17="",0,F17)+IF(G17="",0,G17)+IF(H17="",0,H17),2))</f>
        <v>0</v>
      </c>
      <c r="O17" s="41">
        <f>IF(A17="","",IF(I17="",0,I17)+IF(J17="",0,J17))</f>
        <v>0</v>
      </c>
      <c r="P17" s="20">
        <f>IF(A17="","",ROUND(O17*LaborCostHour,2))</f>
        <v>0</v>
      </c>
      <c r="Q17" s="20">
        <f>IF(A17="","",ROUND(N17+P17,2))</f>
        <v>0</v>
      </c>
      <c r="R17" s="20">
        <f>IF(A17="","",IF(TargetRetailMargin&lt;=0,"",ROUND(Q17/TargetRetailMargin,2)))</f>
        <v>0</v>
      </c>
      <c r="S17" s="20">
        <f>IF(A17="","",IF(TargetRetailMargin&lt;=0,"",ROUND(N17/TargetRetailMargin,2)))</f>
        <v>0</v>
      </c>
      <c r="T17" s="20">
        <f>IF(A17="","",ROUND(SUMIFS(Sales!$V$5:$V$804,Sales!$O$5:$O$804,A17),2))</f>
        <v>0</v>
      </c>
      <c r="U17" s="32">
        <f>IF(A17="","",COUNTIFS(Sales!$O$5:$O$804,A17))</f>
        <v>0</v>
      </c>
      <c r="V17" s="20">
        <f>IF(A17="","",ROUND(SUMIFS(Sales!$AG$5:$AG$804,Sales!$O$5:$O$804,A17),2))</f>
        <v>0</v>
      </c>
      <c r="W17" s="20">
        <f>IF(A17="","",IF(T17=0,"",ROUND(V17-Q17,2)))</f>
        <v>0</v>
      </c>
      <c r="X17" s="20">
        <f>IF(A17="","",IF(OR(O17=0,T17=0),"",ROUND((V17-N17)/O17,2)))</f>
        <v>0</v>
      </c>
      <c r="Y17" s="20">
        <f>IF(A17="","",IF(U17=0,"",ROUND(T17/U17,2)))</f>
        <v>0</v>
      </c>
      <c r="Z17" s="33">
        <f>IF(A17="","",IF(OR(L17="",L17=0),"",U17/L17))</f>
        <v>0</v>
      </c>
      <c r="AA17" s="43">
        <f>IF(A17="","",IF(AND(C17&lt;&gt;"",C17&gt;TodayDate),"Booked",IF(T17=0,"No sales logged","Done")))</f>
        <v>0</v>
      </c>
      <c r="AB17" s="43">
        <f>IF(A17="","",IF(AA17="Booked","Coming up - take enough stock",IF(T17=0,"Add - log the sales against this event",IF(W17&lt;0,"Loss - the stall cost more than it made",IF(AND(X17&lt;&gt;"",X17&lt;MinimumWage),"Below - paid under minimum wage for the day",IF(W17&gt;Q17,"Worth repeating - book it again","OK"))))))</f>
        <v>0</v>
      </c>
    </row>
    <row r="18" spans="14:28">
      <c r="N18" s="20">
        <f>IF(A18="","",ROUND(IF(E18="",0,E18)+IF(F18="",0,F18)+IF(G18="",0,G18)+IF(H18="",0,H18),2))</f>
        <v>0</v>
      </c>
      <c r="O18" s="41">
        <f>IF(A18="","",IF(I18="",0,I18)+IF(J18="",0,J18))</f>
        <v>0</v>
      </c>
      <c r="P18" s="20">
        <f>IF(A18="","",ROUND(O18*LaborCostHour,2))</f>
        <v>0</v>
      </c>
      <c r="Q18" s="20">
        <f>IF(A18="","",ROUND(N18+P18,2))</f>
        <v>0</v>
      </c>
      <c r="R18" s="20">
        <f>IF(A18="","",IF(TargetRetailMargin&lt;=0,"",ROUND(Q18/TargetRetailMargin,2)))</f>
        <v>0</v>
      </c>
      <c r="S18" s="20">
        <f>IF(A18="","",IF(TargetRetailMargin&lt;=0,"",ROUND(N18/TargetRetailMargin,2)))</f>
        <v>0</v>
      </c>
      <c r="T18" s="20">
        <f>IF(A18="","",ROUND(SUMIFS(Sales!$V$5:$V$804,Sales!$O$5:$O$804,A18),2))</f>
        <v>0</v>
      </c>
      <c r="U18" s="32">
        <f>IF(A18="","",COUNTIFS(Sales!$O$5:$O$804,A18))</f>
        <v>0</v>
      </c>
      <c r="V18" s="20">
        <f>IF(A18="","",ROUND(SUMIFS(Sales!$AG$5:$AG$804,Sales!$O$5:$O$804,A18),2))</f>
        <v>0</v>
      </c>
      <c r="W18" s="20">
        <f>IF(A18="","",IF(T18=0,"",ROUND(V18-Q18,2)))</f>
        <v>0</v>
      </c>
      <c r="X18" s="20">
        <f>IF(A18="","",IF(OR(O18=0,T18=0),"",ROUND((V18-N18)/O18,2)))</f>
        <v>0</v>
      </c>
      <c r="Y18" s="20">
        <f>IF(A18="","",IF(U18=0,"",ROUND(T18/U18,2)))</f>
        <v>0</v>
      </c>
      <c r="Z18" s="33">
        <f>IF(A18="","",IF(OR(L18="",L18=0),"",U18/L18))</f>
        <v>0</v>
      </c>
      <c r="AA18" s="43">
        <f>IF(A18="","",IF(AND(C18&lt;&gt;"",C18&gt;TodayDate),"Booked",IF(T18=0,"No sales logged","Done")))</f>
        <v>0</v>
      </c>
      <c r="AB18" s="43">
        <f>IF(A18="","",IF(AA18="Booked","Coming up - take enough stock",IF(T18=0,"Add - log the sales against this event",IF(W18&lt;0,"Loss - the stall cost more than it made",IF(AND(X18&lt;&gt;"",X18&lt;MinimumWage),"Below - paid under minimum wage for the day",IF(W18&gt;Q18,"Worth repeating - book it again","OK"))))))</f>
        <v>0</v>
      </c>
    </row>
    <row r="19" spans="14:28">
      <c r="N19" s="20">
        <f>IF(A19="","",ROUND(IF(E19="",0,E19)+IF(F19="",0,F19)+IF(G19="",0,G19)+IF(H19="",0,H19),2))</f>
        <v>0</v>
      </c>
      <c r="O19" s="41">
        <f>IF(A19="","",IF(I19="",0,I19)+IF(J19="",0,J19))</f>
        <v>0</v>
      </c>
      <c r="P19" s="20">
        <f>IF(A19="","",ROUND(O19*LaborCostHour,2))</f>
        <v>0</v>
      </c>
      <c r="Q19" s="20">
        <f>IF(A19="","",ROUND(N19+P19,2))</f>
        <v>0</v>
      </c>
      <c r="R19" s="20">
        <f>IF(A19="","",IF(TargetRetailMargin&lt;=0,"",ROUND(Q19/TargetRetailMargin,2)))</f>
        <v>0</v>
      </c>
      <c r="S19" s="20">
        <f>IF(A19="","",IF(TargetRetailMargin&lt;=0,"",ROUND(N19/TargetRetailMargin,2)))</f>
        <v>0</v>
      </c>
      <c r="T19" s="20">
        <f>IF(A19="","",ROUND(SUMIFS(Sales!$V$5:$V$804,Sales!$O$5:$O$804,A19),2))</f>
        <v>0</v>
      </c>
      <c r="U19" s="32">
        <f>IF(A19="","",COUNTIFS(Sales!$O$5:$O$804,A19))</f>
        <v>0</v>
      </c>
      <c r="V19" s="20">
        <f>IF(A19="","",ROUND(SUMIFS(Sales!$AG$5:$AG$804,Sales!$O$5:$O$804,A19),2))</f>
        <v>0</v>
      </c>
      <c r="W19" s="20">
        <f>IF(A19="","",IF(T19=0,"",ROUND(V19-Q19,2)))</f>
        <v>0</v>
      </c>
      <c r="X19" s="20">
        <f>IF(A19="","",IF(OR(O19=0,T19=0),"",ROUND((V19-N19)/O19,2)))</f>
        <v>0</v>
      </c>
      <c r="Y19" s="20">
        <f>IF(A19="","",IF(U19=0,"",ROUND(T19/U19,2)))</f>
        <v>0</v>
      </c>
      <c r="Z19" s="33">
        <f>IF(A19="","",IF(OR(L19="",L19=0),"",U19/L19))</f>
        <v>0</v>
      </c>
      <c r="AA19" s="43">
        <f>IF(A19="","",IF(AND(C19&lt;&gt;"",C19&gt;TodayDate),"Booked",IF(T19=0,"No sales logged","Done")))</f>
        <v>0</v>
      </c>
      <c r="AB19" s="43">
        <f>IF(A19="","",IF(AA19="Booked","Coming up - take enough stock",IF(T19=0,"Add - log the sales against this event",IF(W19&lt;0,"Loss - the stall cost more than it made",IF(AND(X19&lt;&gt;"",X19&lt;MinimumWage),"Below - paid under minimum wage for the day",IF(W19&gt;Q19,"Worth repeating - book it again","OK"))))))</f>
        <v>0</v>
      </c>
    </row>
    <row r="20" spans="14:28">
      <c r="N20" s="20">
        <f>IF(A20="","",ROUND(IF(E20="",0,E20)+IF(F20="",0,F20)+IF(G20="",0,G20)+IF(H20="",0,H20),2))</f>
        <v>0</v>
      </c>
      <c r="O20" s="41">
        <f>IF(A20="","",IF(I20="",0,I20)+IF(J20="",0,J20))</f>
        <v>0</v>
      </c>
      <c r="P20" s="20">
        <f>IF(A20="","",ROUND(O20*LaborCostHour,2))</f>
        <v>0</v>
      </c>
      <c r="Q20" s="20">
        <f>IF(A20="","",ROUND(N20+P20,2))</f>
        <v>0</v>
      </c>
      <c r="R20" s="20">
        <f>IF(A20="","",IF(TargetRetailMargin&lt;=0,"",ROUND(Q20/TargetRetailMargin,2)))</f>
        <v>0</v>
      </c>
      <c r="S20" s="20">
        <f>IF(A20="","",IF(TargetRetailMargin&lt;=0,"",ROUND(N20/TargetRetailMargin,2)))</f>
        <v>0</v>
      </c>
      <c r="T20" s="20">
        <f>IF(A20="","",ROUND(SUMIFS(Sales!$V$5:$V$804,Sales!$O$5:$O$804,A20),2))</f>
        <v>0</v>
      </c>
      <c r="U20" s="32">
        <f>IF(A20="","",COUNTIFS(Sales!$O$5:$O$804,A20))</f>
        <v>0</v>
      </c>
      <c r="V20" s="20">
        <f>IF(A20="","",ROUND(SUMIFS(Sales!$AG$5:$AG$804,Sales!$O$5:$O$804,A20),2))</f>
        <v>0</v>
      </c>
      <c r="W20" s="20">
        <f>IF(A20="","",IF(T20=0,"",ROUND(V20-Q20,2)))</f>
        <v>0</v>
      </c>
      <c r="X20" s="20">
        <f>IF(A20="","",IF(OR(O20=0,T20=0),"",ROUND((V20-N20)/O20,2)))</f>
        <v>0</v>
      </c>
      <c r="Y20" s="20">
        <f>IF(A20="","",IF(U20=0,"",ROUND(T20/U20,2)))</f>
        <v>0</v>
      </c>
      <c r="Z20" s="33">
        <f>IF(A20="","",IF(OR(L20="",L20=0),"",U20/L20))</f>
        <v>0</v>
      </c>
      <c r="AA20" s="43">
        <f>IF(A20="","",IF(AND(C20&lt;&gt;"",C20&gt;TodayDate),"Booked",IF(T20=0,"No sales logged","Done")))</f>
        <v>0</v>
      </c>
      <c r="AB20" s="43">
        <f>IF(A20="","",IF(AA20="Booked","Coming up - take enough stock",IF(T20=0,"Add - log the sales against this event",IF(W20&lt;0,"Loss - the stall cost more than it made",IF(AND(X20&lt;&gt;"",X20&lt;MinimumWage),"Below - paid under minimum wage for the day",IF(W20&gt;Q20,"Worth repeating - book it again","OK"))))))</f>
        <v>0</v>
      </c>
    </row>
    <row r="21" spans="14:28">
      <c r="N21" s="20">
        <f>IF(A21="","",ROUND(IF(E21="",0,E21)+IF(F21="",0,F21)+IF(G21="",0,G21)+IF(H21="",0,H21),2))</f>
        <v>0</v>
      </c>
      <c r="O21" s="41">
        <f>IF(A21="","",IF(I21="",0,I21)+IF(J21="",0,J21))</f>
        <v>0</v>
      </c>
      <c r="P21" s="20">
        <f>IF(A21="","",ROUND(O21*LaborCostHour,2))</f>
        <v>0</v>
      </c>
      <c r="Q21" s="20">
        <f>IF(A21="","",ROUND(N21+P21,2))</f>
        <v>0</v>
      </c>
      <c r="R21" s="20">
        <f>IF(A21="","",IF(TargetRetailMargin&lt;=0,"",ROUND(Q21/TargetRetailMargin,2)))</f>
        <v>0</v>
      </c>
      <c r="S21" s="20">
        <f>IF(A21="","",IF(TargetRetailMargin&lt;=0,"",ROUND(N21/TargetRetailMargin,2)))</f>
        <v>0</v>
      </c>
      <c r="T21" s="20">
        <f>IF(A21="","",ROUND(SUMIFS(Sales!$V$5:$V$804,Sales!$O$5:$O$804,A21),2))</f>
        <v>0</v>
      </c>
      <c r="U21" s="32">
        <f>IF(A21="","",COUNTIFS(Sales!$O$5:$O$804,A21))</f>
        <v>0</v>
      </c>
      <c r="V21" s="20">
        <f>IF(A21="","",ROUND(SUMIFS(Sales!$AG$5:$AG$804,Sales!$O$5:$O$804,A21),2))</f>
        <v>0</v>
      </c>
      <c r="W21" s="20">
        <f>IF(A21="","",IF(T21=0,"",ROUND(V21-Q21,2)))</f>
        <v>0</v>
      </c>
      <c r="X21" s="20">
        <f>IF(A21="","",IF(OR(O21=0,T21=0),"",ROUND((V21-N21)/O21,2)))</f>
        <v>0</v>
      </c>
      <c r="Y21" s="20">
        <f>IF(A21="","",IF(U21=0,"",ROUND(T21/U21,2)))</f>
        <v>0</v>
      </c>
      <c r="Z21" s="33">
        <f>IF(A21="","",IF(OR(L21="",L21=0),"",U21/L21))</f>
        <v>0</v>
      </c>
      <c r="AA21" s="43">
        <f>IF(A21="","",IF(AND(C21&lt;&gt;"",C21&gt;TodayDate),"Booked",IF(T21=0,"No sales logged","Done")))</f>
        <v>0</v>
      </c>
      <c r="AB21" s="43">
        <f>IF(A21="","",IF(AA21="Booked","Coming up - take enough stock",IF(T21=0,"Add - log the sales against this event",IF(W21&lt;0,"Loss - the stall cost more than it made",IF(AND(X21&lt;&gt;"",X21&lt;MinimumWage),"Below - paid under minimum wage for the day",IF(W21&gt;Q21,"Worth repeating - book it again","OK"))))))</f>
        <v>0</v>
      </c>
    </row>
    <row r="22" spans="14:28">
      <c r="N22" s="20">
        <f>IF(A22="","",ROUND(IF(E22="",0,E22)+IF(F22="",0,F22)+IF(G22="",0,G22)+IF(H22="",0,H22),2))</f>
        <v>0</v>
      </c>
      <c r="O22" s="41">
        <f>IF(A22="","",IF(I22="",0,I22)+IF(J22="",0,J22))</f>
        <v>0</v>
      </c>
      <c r="P22" s="20">
        <f>IF(A22="","",ROUND(O22*LaborCostHour,2))</f>
        <v>0</v>
      </c>
      <c r="Q22" s="20">
        <f>IF(A22="","",ROUND(N22+P22,2))</f>
        <v>0</v>
      </c>
      <c r="R22" s="20">
        <f>IF(A22="","",IF(TargetRetailMargin&lt;=0,"",ROUND(Q22/TargetRetailMargin,2)))</f>
        <v>0</v>
      </c>
      <c r="S22" s="20">
        <f>IF(A22="","",IF(TargetRetailMargin&lt;=0,"",ROUND(N22/TargetRetailMargin,2)))</f>
        <v>0</v>
      </c>
      <c r="T22" s="20">
        <f>IF(A22="","",ROUND(SUMIFS(Sales!$V$5:$V$804,Sales!$O$5:$O$804,A22),2))</f>
        <v>0</v>
      </c>
      <c r="U22" s="32">
        <f>IF(A22="","",COUNTIFS(Sales!$O$5:$O$804,A22))</f>
        <v>0</v>
      </c>
      <c r="V22" s="20">
        <f>IF(A22="","",ROUND(SUMIFS(Sales!$AG$5:$AG$804,Sales!$O$5:$O$804,A22),2))</f>
        <v>0</v>
      </c>
      <c r="W22" s="20">
        <f>IF(A22="","",IF(T22=0,"",ROUND(V22-Q22,2)))</f>
        <v>0</v>
      </c>
      <c r="X22" s="20">
        <f>IF(A22="","",IF(OR(O22=0,T22=0),"",ROUND((V22-N22)/O22,2)))</f>
        <v>0</v>
      </c>
      <c r="Y22" s="20">
        <f>IF(A22="","",IF(U22=0,"",ROUND(T22/U22,2)))</f>
        <v>0</v>
      </c>
      <c r="Z22" s="33">
        <f>IF(A22="","",IF(OR(L22="",L22=0),"",U22/L22))</f>
        <v>0</v>
      </c>
      <c r="AA22" s="43">
        <f>IF(A22="","",IF(AND(C22&lt;&gt;"",C22&gt;TodayDate),"Booked",IF(T22=0,"No sales logged","Done")))</f>
        <v>0</v>
      </c>
      <c r="AB22" s="43">
        <f>IF(A22="","",IF(AA22="Booked","Coming up - take enough stock",IF(T22=0,"Add - log the sales against this event",IF(W22&lt;0,"Loss - the stall cost more than it made",IF(AND(X22&lt;&gt;"",X22&lt;MinimumWage),"Below - paid under minimum wage for the day",IF(W22&gt;Q22,"Worth repeating - book it again","OK"))))))</f>
        <v>0</v>
      </c>
    </row>
    <row r="23" spans="14:28">
      <c r="N23" s="20">
        <f>IF(A23="","",ROUND(IF(E23="",0,E23)+IF(F23="",0,F23)+IF(G23="",0,G23)+IF(H23="",0,H23),2))</f>
        <v>0</v>
      </c>
      <c r="O23" s="41">
        <f>IF(A23="","",IF(I23="",0,I23)+IF(J23="",0,J23))</f>
        <v>0</v>
      </c>
      <c r="P23" s="20">
        <f>IF(A23="","",ROUND(O23*LaborCostHour,2))</f>
        <v>0</v>
      </c>
      <c r="Q23" s="20">
        <f>IF(A23="","",ROUND(N23+P23,2))</f>
        <v>0</v>
      </c>
      <c r="R23" s="20">
        <f>IF(A23="","",IF(TargetRetailMargin&lt;=0,"",ROUND(Q23/TargetRetailMargin,2)))</f>
        <v>0</v>
      </c>
      <c r="S23" s="20">
        <f>IF(A23="","",IF(TargetRetailMargin&lt;=0,"",ROUND(N23/TargetRetailMargin,2)))</f>
        <v>0</v>
      </c>
      <c r="T23" s="20">
        <f>IF(A23="","",ROUND(SUMIFS(Sales!$V$5:$V$804,Sales!$O$5:$O$804,A23),2))</f>
        <v>0</v>
      </c>
      <c r="U23" s="32">
        <f>IF(A23="","",COUNTIFS(Sales!$O$5:$O$804,A23))</f>
        <v>0</v>
      </c>
      <c r="V23" s="20">
        <f>IF(A23="","",ROUND(SUMIFS(Sales!$AG$5:$AG$804,Sales!$O$5:$O$804,A23),2))</f>
        <v>0</v>
      </c>
      <c r="W23" s="20">
        <f>IF(A23="","",IF(T23=0,"",ROUND(V23-Q23,2)))</f>
        <v>0</v>
      </c>
      <c r="X23" s="20">
        <f>IF(A23="","",IF(OR(O23=0,T23=0),"",ROUND((V23-N23)/O23,2)))</f>
        <v>0</v>
      </c>
      <c r="Y23" s="20">
        <f>IF(A23="","",IF(U23=0,"",ROUND(T23/U23,2)))</f>
        <v>0</v>
      </c>
      <c r="Z23" s="33">
        <f>IF(A23="","",IF(OR(L23="",L23=0),"",U23/L23))</f>
        <v>0</v>
      </c>
      <c r="AA23" s="43">
        <f>IF(A23="","",IF(AND(C23&lt;&gt;"",C23&gt;TodayDate),"Booked",IF(T23=0,"No sales logged","Done")))</f>
        <v>0</v>
      </c>
      <c r="AB23" s="43">
        <f>IF(A23="","",IF(AA23="Booked","Coming up - take enough stock",IF(T23=0,"Add - log the sales against this event",IF(W23&lt;0,"Loss - the stall cost more than it made",IF(AND(X23&lt;&gt;"",X23&lt;MinimumWage),"Below - paid under minimum wage for the day",IF(W23&gt;Q23,"Worth repeating - book it again","OK"))))))</f>
        <v>0</v>
      </c>
    </row>
    <row r="24" spans="14:28">
      <c r="N24" s="20">
        <f>IF(A24="","",ROUND(IF(E24="",0,E24)+IF(F24="",0,F24)+IF(G24="",0,G24)+IF(H24="",0,H24),2))</f>
        <v>0</v>
      </c>
      <c r="O24" s="41">
        <f>IF(A24="","",IF(I24="",0,I24)+IF(J24="",0,J24))</f>
        <v>0</v>
      </c>
      <c r="P24" s="20">
        <f>IF(A24="","",ROUND(O24*LaborCostHour,2))</f>
        <v>0</v>
      </c>
      <c r="Q24" s="20">
        <f>IF(A24="","",ROUND(N24+P24,2))</f>
        <v>0</v>
      </c>
      <c r="R24" s="20">
        <f>IF(A24="","",IF(TargetRetailMargin&lt;=0,"",ROUND(Q24/TargetRetailMargin,2)))</f>
        <v>0</v>
      </c>
      <c r="S24" s="20">
        <f>IF(A24="","",IF(TargetRetailMargin&lt;=0,"",ROUND(N24/TargetRetailMargin,2)))</f>
        <v>0</v>
      </c>
      <c r="T24" s="20">
        <f>IF(A24="","",ROUND(SUMIFS(Sales!$V$5:$V$804,Sales!$O$5:$O$804,A24),2))</f>
        <v>0</v>
      </c>
      <c r="U24" s="32">
        <f>IF(A24="","",COUNTIFS(Sales!$O$5:$O$804,A24))</f>
        <v>0</v>
      </c>
      <c r="V24" s="20">
        <f>IF(A24="","",ROUND(SUMIFS(Sales!$AG$5:$AG$804,Sales!$O$5:$O$804,A24),2))</f>
        <v>0</v>
      </c>
      <c r="W24" s="20">
        <f>IF(A24="","",IF(T24=0,"",ROUND(V24-Q24,2)))</f>
        <v>0</v>
      </c>
      <c r="X24" s="20">
        <f>IF(A24="","",IF(OR(O24=0,T24=0),"",ROUND((V24-N24)/O24,2)))</f>
        <v>0</v>
      </c>
      <c r="Y24" s="20">
        <f>IF(A24="","",IF(U24=0,"",ROUND(T24/U24,2)))</f>
        <v>0</v>
      </c>
      <c r="Z24" s="33">
        <f>IF(A24="","",IF(OR(L24="",L24=0),"",U24/L24))</f>
        <v>0</v>
      </c>
      <c r="AA24" s="43">
        <f>IF(A24="","",IF(AND(C24&lt;&gt;"",C24&gt;TodayDate),"Booked",IF(T24=0,"No sales logged","Done")))</f>
        <v>0</v>
      </c>
      <c r="AB24" s="43">
        <f>IF(A24="","",IF(AA24="Booked","Coming up - take enough stock",IF(T24=0,"Add - log the sales against this event",IF(W24&lt;0,"Loss - the stall cost more than it made",IF(AND(X24&lt;&gt;"",X24&lt;MinimumWage),"Below - paid under minimum wage for the day",IF(W24&gt;Q24,"Worth repeating - book it again","OK"))))))</f>
        <v>0</v>
      </c>
    </row>
    <row r="25" spans="14:28">
      <c r="N25" s="20">
        <f>IF(A25="","",ROUND(IF(E25="",0,E25)+IF(F25="",0,F25)+IF(G25="",0,G25)+IF(H25="",0,H25),2))</f>
        <v>0</v>
      </c>
      <c r="O25" s="41">
        <f>IF(A25="","",IF(I25="",0,I25)+IF(J25="",0,J25))</f>
        <v>0</v>
      </c>
      <c r="P25" s="20">
        <f>IF(A25="","",ROUND(O25*LaborCostHour,2))</f>
        <v>0</v>
      </c>
      <c r="Q25" s="20">
        <f>IF(A25="","",ROUND(N25+P25,2))</f>
        <v>0</v>
      </c>
      <c r="R25" s="20">
        <f>IF(A25="","",IF(TargetRetailMargin&lt;=0,"",ROUND(Q25/TargetRetailMargin,2)))</f>
        <v>0</v>
      </c>
      <c r="S25" s="20">
        <f>IF(A25="","",IF(TargetRetailMargin&lt;=0,"",ROUND(N25/TargetRetailMargin,2)))</f>
        <v>0</v>
      </c>
      <c r="T25" s="20">
        <f>IF(A25="","",ROUND(SUMIFS(Sales!$V$5:$V$804,Sales!$O$5:$O$804,A25),2))</f>
        <v>0</v>
      </c>
      <c r="U25" s="32">
        <f>IF(A25="","",COUNTIFS(Sales!$O$5:$O$804,A25))</f>
        <v>0</v>
      </c>
      <c r="V25" s="20">
        <f>IF(A25="","",ROUND(SUMIFS(Sales!$AG$5:$AG$804,Sales!$O$5:$O$804,A25),2))</f>
        <v>0</v>
      </c>
      <c r="W25" s="20">
        <f>IF(A25="","",IF(T25=0,"",ROUND(V25-Q25,2)))</f>
        <v>0</v>
      </c>
      <c r="X25" s="20">
        <f>IF(A25="","",IF(OR(O25=0,T25=0),"",ROUND((V25-N25)/O25,2)))</f>
        <v>0</v>
      </c>
      <c r="Y25" s="20">
        <f>IF(A25="","",IF(U25=0,"",ROUND(T25/U25,2)))</f>
        <v>0</v>
      </c>
      <c r="Z25" s="33">
        <f>IF(A25="","",IF(OR(L25="",L25=0),"",U25/L25))</f>
        <v>0</v>
      </c>
      <c r="AA25" s="43">
        <f>IF(A25="","",IF(AND(C25&lt;&gt;"",C25&gt;TodayDate),"Booked",IF(T25=0,"No sales logged","Done")))</f>
        <v>0</v>
      </c>
      <c r="AB25" s="43">
        <f>IF(A25="","",IF(AA25="Booked","Coming up - take enough stock",IF(T25=0,"Add - log the sales against this event",IF(W25&lt;0,"Loss - the stall cost more than it made",IF(AND(X25&lt;&gt;"",X25&lt;MinimumWage),"Below - paid under minimum wage for the day",IF(W25&gt;Q25,"Worth repeating - book it again","OK"))))))</f>
        <v>0</v>
      </c>
    </row>
    <row r="26" spans="14:28">
      <c r="N26" s="20">
        <f>IF(A26="","",ROUND(IF(E26="",0,E26)+IF(F26="",0,F26)+IF(G26="",0,G26)+IF(H26="",0,H26),2))</f>
        <v>0</v>
      </c>
      <c r="O26" s="41">
        <f>IF(A26="","",IF(I26="",0,I26)+IF(J26="",0,J26))</f>
        <v>0</v>
      </c>
      <c r="P26" s="20">
        <f>IF(A26="","",ROUND(O26*LaborCostHour,2))</f>
        <v>0</v>
      </c>
      <c r="Q26" s="20">
        <f>IF(A26="","",ROUND(N26+P26,2))</f>
        <v>0</v>
      </c>
      <c r="R26" s="20">
        <f>IF(A26="","",IF(TargetRetailMargin&lt;=0,"",ROUND(Q26/TargetRetailMargin,2)))</f>
        <v>0</v>
      </c>
      <c r="S26" s="20">
        <f>IF(A26="","",IF(TargetRetailMargin&lt;=0,"",ROUND(N26/TargetRetailMargin,2)))</f>
        <v>0</v>
      </c>
      <c r="T26" s="20">
        <f>IF(A26="","",ROUND(SUMIFS(Sales!$V$5:$V$804,Sales!$O$5:$O$804,A26),2))</f>
        <v>0</v>
      </c>
      <c r="U26" s="32">
        <f>IF(A26="","",COUNTIFS(Sales!$O$5:$O$804,A26))</f>
        <v>0</v>
      </c>
      <c r="V26" s="20">
        <f>IF(A26="","",ROUND(SUMIFS(Sales!$AG$5:$AG$804,Sales!$O$5:$O$804,A26),2))</f>
        <v>0</v>
      </c>
      <c r="W26" s="20">
        <f>IF(A26="","",IF(T26=0,"",ROUND(V26-Q26,2)))</f>
        <v>0</v>
      </c>
      <c r="X26" s="20">
        <f>IF(A26="","",IF(OR(O26=0,T26=0),"",ROUND((V26-N26)/O26,2)))</f>
        <v>0</v>
      </c>
      <c r="Y26" s="20">
        <f>IF(A26="","",IF(U26=0,"",ROUND(T26/U26,2)))</f>
        <v>0</v>
      </c>
      <c r="Z26" s="33">
        <f>IF(A26="","",IF(OR(L26="",L26=0),"",U26/L26))</f>
        <v>0</v>
      </c>
      <c r="AA26" s="43">
        <f>IF(A26="","",IF(AND(C26&lt;&gt;"",C26&gt;TodayDate),"Booked",IF(T26=0,"No sales logged","Done")))</f>
        <v>0</v>
      </c>
      <c r="AB26" s="43">
        <f>IF(A26="","",IF(AA26="Booked","Coming up - take enough stock",IF(T26=0,"Add - log the sales against this event",IF(W26&lt;0,"Loss - the stall cost more than it made",IF(AND(X26&lt;&gt;"",X26&lt;MinimumWage),"Below - paid under minimum wage for the day",IF(W26&gt;Q26,"Worth repeating - book it again","OK"))))))</f>
        <v>0</v>
      </c>
    </row>
    <row r="27" spans="14:28">
      <c r="N27" s="20">
        <f>IF(A27="","",ROUND(IF(E27="",0,E27)+IF(F27="",0,F27)+IF(G27="",0,G27)+IF(H27="",0,H27),2))</f>
        <v>0</v>
      </c>
      <c r="O27" s="41">
        <f>IF(A27="","",IF(I27="",0,I27)+IF(J27="",0,J27))</f>
        <v>0</v>
      </c>
      <c r="P27" s="20">
        <f>IF(A27="","",ROUND(O27*LaborCostHour,2))</f>
        <v>0</v>
      </c>
      <c r="Q27" s="20">
        <f>IF(A27="","",ROUND(N27+P27,2))</f>
        <v>0</v>
      </c>
      <c r="R27" s="20">
        <f>IF(A27="","",IF(TargetRetailMargin&lt;=0,"",ROUND(Q27/TargetRetailMargin,2)))</f>
        <v>0</v>
      </c>
      <c r="S27" s="20">
        <f>IF(A27="","",IF(TargetRetailMargin&lt;=0,"",ROUND(N27/TargetRetailMargin,2)))</f>
        <v>0</v>
      </c>
      <c r="T27" s="20">
        <f>IF(A27="","",ROUND(SUMIFS(Sales!$V$5:$V$804,Sales!$O$5:$O$804,A27),2))</f>
        <v>0</v>
      </c>
      <c r="U27" s="32">
        <f>IF(A27="","",COUNTIFS(Sales!$O$5:$O$804,A27))</f>
        <v>0</v>
      </c>
      <c r="V27" s="20">
        <f>IF(A27="","",ROUND(SUMIFS(Sales!$AG$5:$AG$804,Sales!$O$5:$O$804,A27),2))</f>
        <v>0</v>
      </c>
      <c r="W27" s="20">
        <f>IF(A27="","",IF(T27=0,"",ROUND(V27-Q27,2)))</f>
        <v>0</v>
      </c>
      <c r="X27" s="20">
        <f>IF(A27="","",IF(OR(O27=0,T27=0),"",ROUND((V27-N27)/O27,2)))</f>
        <v>0</v>
      </c>
      <c r="Y27" s="20">
        <f>IF(A27="","",IF(U27=0,"",ROUND(T27/U27,2)))</f>
        <v>0</v>
      </c>
      <c r="Z27" s="33">
        <f>IF(A27="","",IF(OR(L27="",L27=0),"",U27/L27))</f>
        <v>0</v>
      </c>
      <c r="AA27" s="43">
        <f>IF(A27="","",IF(AND(C27&lt;&gt;"",C27&gt;TodayDate),"Booked",IF(T27=0,"No sales logged","Done")))</f>
        <v>0</v>
      </c>
      <c r="AB27" s="43">
        <f>IF(A27="","",IF(AA27="Booked","Coming up - take enough stock",IF(T27=0,"Add - log the sales against this event",IF(W27&lt;0,"Loss - the stall cost more than it made",IF(AND(X27&lt;&gt;"",X27&lt;MinimumWage),"Below - paid under minimum wage for the day",IF(W27&gt;Q27,"Worth repeating - book it again","OK"))))))</f>
        <v>0</v>
      </c>
    </row>
    <row r="28" spans="14:28">
      <c r="N28" s="20">
        <f>IF(A28="","",ROUND(IF(E28="",0,E28)+IF(F28="",0,F28)+IF(G28="",0,G28)+IF(H28="",0,H28),2))</f>
        <v>0</v>
      </c>
      <c r="O28" s="41">
        <f>IF(A28="","",IF(I28="",0,I28)+IF(J28="",0,J28))</f>
        <v>0</v>
      </c>
      <c r="P28" s="20">
        <f>IF(A28="","",ROUND(O28*LaborCostHour,2))</f>
        <v>0</v>
      </c>
      <c r="Q28" s="20">
        <f>IF(A28="","",ROUND(N28+P28,2))</f>
        <v>0</v>
      </c>
      <c r="R28" s="20">
        <f>IF(A28="","",IF(TargetRetailMargin&lt;=0,"",ROUND(Q28/TargetRetailMargin,2)))</f>
        <v>0</v>
      </c>
      <c r="S28" s="20">
        <f>IF(A28="","",IF(TargetRetailMargin&lt;=0,"",ROUND(N28/TargetRetailMargin,2)))</f>
        <v>0</v>
      </c>
      <c r="T28" s="20">
        <f>IF(A28="","",ROUND(SUMIFS(Sales!$V$5:$V$804,Sales!$O$5:$O$804,A28),2))</f>
        <v>0</v>
      </c>
      <c r="U28" s="32">
        <f>IF(A28="","",COUNTIFS(Sales!$O$5:$O$804,A28))</f>
        <v>0</v>
      </c>
      <c r="V28" s="20">
        <f>IF(A28="","",ROUND(SUMIFS(Sales!$AG$5:$AG$804,Sales!$O$5:$O$804,A28),2))</f>
        <v>0</v>
      </c>
      <c r="W28" s="20">
        <f>IF(A28="","",IF(T28=0,"",ROUND(V28-Q28,2)))</f>
        <v>0</v>
      </c>
      <c r="X28" s="20">
        <f>IF(A28="","",IF(OR(O28=0,T28=0),"",ROUND((V28-N28)/O28,2)))</f>
        <v>0</v>
      </c>
      <c r="Y28" s="20">
        <f>IF(A28="","",IF(U28=0,"",ROUND(T28/U28,2)))</f>
        <v>0</v>
      </c>
      <c r="Z28" s="33">
        <f>IF(A28="","",IF(OR(L28="",L28=0),"",U28/L28))</f>
        <v>0</v>
      </c>
      <c r="AA28" s="43">
        <f>IF(A28="","",IF(AND(C28&lt;&gt;"",C28&gt;TodayDate),"Booked",IF(T28=0,"No sales logged","Done")))</f>
        <v>0</v>
      </c>
      <c r="AB28" s="43">
        <f>IF(A28="","",IF(AA28="Booked","Coming up - take enough stock",IF(T28=0,"Add - log the sales against this event",IF(W28&lt;0,"Loss - the stall cost more than it made",IF(AND(X28&lt;&gt;"",X28&lt;MinimumWage),"Below - paid under minimum wage for the day",IF(W28&gt;Q28,"Worth repeating - book it again","OK"))))))</f>
        <v>0</v>
      </c>
    </row>
    <row r="29" spans="14:28">
      <c r="N29" s="20">
        <f>IF(A29="","",ROUND(IF(E29="",0,E29)+IF(F29="",0,F29)+IF(G29="",0,G29)+IF(H29="",0,H29),2))</f>
        <v>0</v>
      </c>
      <c r="O29" s="41">
        <f>IF(A29="","",IF(I29="",0,I29)+IF(J29="",0,J29))</f>
        <v>0</v>
      </c>
      <c r="P29" s="20">
        <f>IF(A29="","",ROUND(O29*LaborCostHour,2))</f>
        <v>0</v>
      </c>
      <c r="Q29" s="20">
        <f>IF(A29="","",ROUND(N29+P29,2))</f>
        <v>0</v>
      </c>
      <c r="R29" s="20">
        <f>IF(A29="","",IF(TargetRetailMargin&lt;=0,"",ROUND(Q29/TargetRetailMargin,2)))</f>
        <v>0</v>
      </c>
      <c r="S29" s="20">
        <f>IF(A29="","",IF(TargetRetailMargin&lt;=0,"",ROUND(N29/TargetRetailMargin,2)))</f>
        <v>0</v>
      </c>
      <c r="T29" s="20">
        <f>IF(A29="","",ROUND(SUMIFS(Sales!$V$5:$V$804,Sales!$O$5:$O$804,A29),2))</f>
        <v>0</v>
      </c>
      <c r="U29" s="32">
        <f>IF(A29="","",COUNTIFS(Sales!$O$5:$O$804,A29))</f>
        <v>0</v>
      </c>
      <c r="V29" s="20">
        <f>IF(A29="","",ROUND(SUMIFS(Sales!$AG$5:$AG$804,Sales!$O$5:$O$804,A29),2))</f>
        <v>0</v>
      </c>
      <c r="W29" s="20">
        <f>IF(A29="","",IF(T29=0,"",ROUND(V29-Q29,2)))</f>
        <v>0</v>
      </c>
      <c r="X29" s="20">
        <f>IF(A29="","",IF(OR(O29=0,T29=0),"",ROUND((V29-N29)/O29,2)))</f>
        <v>0</v>
      </c>
      <c r="Y29" s="20">
        <f>IF(A29="","",IF(U29=0,"",ROUND(T29/U29,2)))</f>
        <v>0</v>
      </c>
      <c r="Z29" s="33">
        <f>IF(A29="","",IF(OR(L29="",L29=0),"",U29/L29))</f>
        <v>0</v>
      </c>
      <c r="AA29" s="43">
        <f>IF(A29="","",IF(AND(C29&lt;&gt;"",C29&gt;TodayDate),"Booked",IF(T29=0,"No sales logged","Done")))</f>
        <v>0</v>
      </c>
      <c r="AB29" s="43">
        <f>IF(A29="","",IF(AA29="Booked","Coming up - take enough stock",IF(T29=0,"Add - log the sales against this event",IF(W29&lt;0,"Loss - the stall cost more than it made",IF(AND(X29&lt;&gt;"",X29&lt;MinimumWage),"Below - paid under minimum wage for the day",IF(W29&gt;Q29,"Worth repeating - book it again","OK"))))))</f>
        <v>0</v>
      </c>
    </row>
    <row r="30" spans="14:28">
      <c r="N30" s="20">
        <f>IF(A30="","",ROUND(IF(E30="",0,E30)+IF(F30="",0,F30)+IF(G30="",0,G30)+IF(H30="",0,H30),2))</f>
        <v>0</v>
      </c>
      <c r="O30" s="41">
        <f>IF(A30="","",IF(I30="",0,I30)+IF(J30="",0,J30))</f>
        <v>0</v>
      </c>
      <c r="P30" s="20">
        <f>IF(A30="","",ROUND(O30*LaborCostHour,2))</f>
        <v>0</v>
      </c>
      <c r="Q30" s="20">
        <f>IF(A30="","",ROUND(N30+P30,2))</f>
        <v>0</v>
      </c>
      <c r="R30" s="20">
        <f>IF(A30="","",IF(TargetRetailMargin&lt;=0,"",ROUND(Q30/TargetRetailMargin,2)))</f>
        <v>0</v>
      </c>
      <c r="S30" s="20">
        <f>IF(A30="","",IF(TargetRetailMargin&lt;=0,"",ROUND(N30/TargetRetailMargin,2)))</f>
        <v>0</v>
      </c>
      <c r="T30" s="20">
        <f>IF(A30="","",ROUND(SUMIFS(Sales!$V$5:$V$804,Sales!$O$5:$O$804,A30),2))</f>
        <v>0</v>
      </c>
      <c r="U30" s="32">
        <f>IF(A30="","",COUNTIFS(Sales!$O$5:$O$804,A30))</f>
        <v>0</v>
      </c>
      <c r="V30" s="20">
        <f>IF(A30="","",ROUND(SUMIFS(Sales!$AG$5:$AG$804,Sales!$O$5:$O$804,A30),2))</f>
        <v>0</v>
      </c>
      <c r="W30" s="20">
        <f>IF(A30="","",IF(T30=0,"",ROUND(V30-Q30,2)))</f>
        <v>0</v>
      </c>
      <c r="X30" s="20">
        <f>IF(A30="","",IF(OR(O30=0,T30=0),"",ROUND((V30-N30)/O30,2)))</f>
        <v>0</v>
      </c>
      <c r="Y30" s="20">
        <f>IF(A30="","",IF(U30=0,"",ROUND(T30/U30,2)))</f>
        <v>0</v>
      </c>
      <c r="Z30" s="33">
        <f>IF(A30="","",IF(OR(L30="",L30=0),"",U30/L30))</f>
        <v>0</v>
      </c>
      <c r="AA30" s="43">
        <f>IF(A30="","",IF(AND(C30&lt;&gt;"",C30&gt;TodayDate),"Booked",IF(T30=0,"No sales logged","Done")))</f>
        <v>0</v>
      </c>
      <c r="AB30" s="43">
        <f>IF(A30="","",IF(AA30="Booked","Coming up - take enough stock",IF(T30=0,"Add - log the sales against this event",IF(W30&lt;0,"Loss - the stall cost more than it made",IF(AND(X30&lt;&gt;"",X30&lt;MinimumWage),"Below - paid under minimum wage for the day",IF(W30&gt;Q30,"Worth repeating - book it again","OK"))))))</f>
        <v>0</v>
      </c>
    </row>
    <row r="31" spans="14:28">
      <c r="N31" s="20">
        <f>IF(A31="","",ROUND(IF(E31="",0,E31)+IF(F31="",0,F31)+IF(G31="",0,G31)+IF(H31="",0,H31),2))</f>
        <v>0</v>
      </c>
      <c r="O31" s="41">
        <f>IF(A31="","",IF(I31="",0,I31)+IF(J31="",0,J31))</f>
        <v>0</v>
      </c>
      <c r="P31" s="20">
        <f>IF(A31="","",ROUND(O31*LaborCostHour,2))</f>
        <v>0</v>
      </c>
      <c r="Q31" s="20">
        <f>IF(A31="","",ROUND(N31+P31,2))</f>
        <v>0</v>
      </c>
      <c r="R31" s="20">
        <f>IF(A31="","",IF(TargetRetailMargin&lt;=0,"",ROUND(Q31/TargetRetailMargin,2)))</f>
        <v>0</v>
      </c>
      <c r="S31" s="20">
        <f>IF(A31="","",IF(TargetRetailMargin&lt;=0,"",ROUND(N31/TargetRetailMargin,2)))</f>
        <v>0</v>
      </c>
      <c r="T31" s="20">
        <f>IF(A31="","",ROUND(SUMIFS(Sales!$V$5:$V$804,Sales!$O$5:$O$804,A31),2))</f>
        <v>0</v>
      </c>
      <c r="U31" s="32">
        <f>IF(A31="","",COUNTIFS(Sales!$O$5:$O$804,A31))</f>
        <v>0</v>
      </c>
      <c r="V31" s="20">
        <f>IF(A31="","",ROUND(SUMIFS(Sales!$AG$5:$AG$804,Sales!$O$5:$O$804,A31),2))</f>
        <v>0</v>
      </c>
      <c r="W31" s="20">
        <f>IF(A31="","",IF(T31=0,"",ROUND(V31-Q31,2)))</f>
        <v>0</v>
      </c>
      <c r="X31" s="20">
        <f>IF(A31="","",IF(OR(O31=0,T31=0),"",ROUND((V31-N31)/O31,2)))</f>
        <v>0</v>
      </c>
      <c r="Y31" s="20">
        <f>IF(A31="","",IF(U31=0,"",ROUND(T31/U31,2)))</f>
        <v>0</v>
      </c>
      <c r="Z31" s="33">
        <f>IF(A31="","",IF(OR(L31="",L31=0),"",U31/L31))</f>
        <v>0</v>
      </c>
      <c r="AA31" s="43">
        <f>IF(A31="","",IF(AND(C31&lt;&gt;"",C31&gt;TodayDate),"Booked",IF(T31=0,"No sales logged","Done")))</f>
        <v>0</v>
      </c>
      <c r="AB31" s="43">
        <f>IF(A31="","",IF(AA31="Booked","Coming up - take enough stock",IF(T31=0,"Add - log the sales against this event",IF(W31&lt;0,"Loss - the stall cost more than it made",IF(AND(X31&lt;&gt;"",X31&lt;MinimumWage),"Below - paid under minimum wage for the day",IF(W31&gt;Q31,"Worth repeating - book it again","OK"))))))</f>
        <v>0</v>
      </c>
    </row>
    <row r="32" spans="14:28">
      <c r="N32" s="20">
        <f>IF(A32="","",ROUND(IF(E32="",0,E32)+IF(F32="",0,F32)+IF(G32="",0,G32)+IF(H32="",0,H32),2))</f>
        <v>0</v>
      </c>
      <c r="O32" s="41">
        <f>IF(A32="","",IF(I32="",0,I32)+IF(J32="",0,J32))</f>
        <v>0</v>
      </c>
      <c r="P32" s="20">
        <f>IF(A32="","",ROUND(O32*LaborCostHour,2))</f>
        <v>0</v>
      </c>
      <c r="Q32" s="20">
        <f>IF(A32="","",ROUND(N32+P32,2))</f>
        <v>0</v>
      </c>
      <c r="R32" s="20">
        <f>IF(A32="","",IF(TargetRetailMargin&lt;=0,"",ROUND(Q32/TargetRetailMargin,2)))</f>
        <v>0</v>
      </c>
      <c r="S32" s="20">
        <f>IF(A32="","",IF(TargetRetailMargin&lt;=0,"",ROUND(N32/TargetRetailMargin,2)))</f>
        <v>0</v>
      </c>
      <c r="T32" s="20">
        <f>IF(A32="","",ROUND(SUMIFS(Sales!$V$5:$V$804,Sales!$O$5:$O$804,A32),2))</f>
        <v>0</v>
      </c>
      <c r="U32" s="32">
        <f>IF(A32="","",COUNTIFS(Sales!$O$5:$O$804,A32))</f>
        <v>0</v>
      </c>
      <c r="V32" s="20">
        <f>IF(A32="","",ROUND(SUMIFS(Sales!$AG$5:$AG$804,Sales!$O$5:$O$804,A32),2))</f>
        <v>0</v>
      </c>
      <c r="W32" s="20">
        <f>IF(A32="","",IF(T32=0,"",ROUND(V32-Q32,2)))</f>
        <v>0</v>
      </c>
      <c r="X32" s="20">
        <f>IF(A32="","",IF(OR(O32=0,T32=0),"",ROUND((V32-N32)/O32,2)))</f>
        <v>0</v>
      </c>
      <c r="Y32" s="20">
        <f>IF(A32="","",IF(U32=0,"",ROUND(T32/U32,2)))</f>
        <v>0</v>
      </c>
      <c r="Z32" s="33">
        <f>IF(A32="","",IF(OR(L32="",L32=0),"",U32/L32))</f>
        <v>0</v>
      </c>
      <c r="AA32" s="43">
        <f>IF(A32="","",IF(AND(C32&lt;&gt;"",C32&gt;TodayDate),"Booked",IF(T32=0,"No sales logged","Done")))</f>
        <v>0</v>
      </c>
      <c r="AB32" s="43">
        <f>IF(A32="","",IF(AA32="Booked","Coming up - take enough stock",IF(T32=0,"Add - log the sales against this event",IF(W32&lt;0,"Loss - the stall cost more than it made",IF(AND(X32&lt;&gt;"",X32&lt;MinimumWage),"Below - paid under minimum wage for the day",IF(W32&gt;Q32,"Worth repeating - book it again","OK"))))))</f>
        <v>0</v>
      </c>
    </row>
    <row r="33" spans="14:28">
      <c r="N33" s="20">
        <f>IF(A33="","",ROUND(IF(E33="",0,E33)+IF(F33="",0,F33)+IF(G33="",0,G33)+IF(H33="",0,H33),2))</f>
        <v>0</v>
      </c>
      <c r="O33" s="41">
        <f>IF(A33="","",IF(I33="",0,I33)+IF(J33="",0,J33))</f>
        <v>0</v>
      </c>
      <c r="P33" s="20">
        <f>IF(A33="","",ROUND(O33*LaborCostHour,2))</f>
        <v>0</v>
      </c>
      <c r="Q33" s="20">
        <f>IF(A33="","",ROUND(N33+P33,2))</f>
        <v>0</v>
      </c>
      <c r="R33" s="20">
        <f>IF(A33="","",IF(TargetRetailMargin&lt;=0,"",ROUND(Q33/TargetRetailMargin,2)))</f>
        <v>0</v>
      </c>
      <c r="S33" s="20">
        <f>IF(A33="","",IF(TargetRetailMargin&lt;=0,"",ROUND(N33/TargetRetailMargin,2)))</f>
        <v>0</v>
      </c>
      <c r="T33" s="20">
        <f>IF(A33="","",ROUND(SUMIFS(Sales!$V$5:$V$804,Sales!$O$5:$O$804,A33),2))</f>
        <v>0</v>
      </c>
      <c r="U33" s="32">
        <f>IF(A33="","",COUNTIFS(Sales!$O$5:$O$804,A33))</f>
        <v>0</v>
      </c>
      <c r="V33" s="20">
        <f>IF(A33="","",ROUND(SUMIFS(Sales!$AG$5:$AG$804,Sales!$O$5:$O$804,A33),2))</f>
        <v>0</v>
      </c>
      <c r="W33" s="20">
        <f>IF(A33="","",IF(T33=0,"",ROUND(V33-Q33,2)))</f>
        <v>0</v>
      </c>
      <c r="X33" s="20">
        <f>IF(A33="","",IF(OR(O33=0,T33=0),"",ROUND((V33-N33)/O33,2)))</f>
        <v>0</v>
      </c>
      <c r="Y33" s="20">
        <f>IF(A33="","",IF(U33=0,"",ROUND(T33/U33,2)))</f>
        <v>0</v>
      </c>
      <c r="Z33" s="33">
        <f>IF(A33="","",IF(OR(L33="",L33=0),"",U33/L33))</f>
        <v>0</v>
      </c>
      <c r="AA33" s="43">
        <f>IF(A33="","",IF(AND(C33&lt;&gt;"",C33&gt;TodayDate),"Booked",IF(T33=0,"No sales logged","Done")))</f>
        <v>0</v>
      </c>
      <c r="AB33" s="43">
        <f>IF(A33="","",IF(AA33="Booked","Coming up - take enough stock",IF(T33=0,"Add - log the sales against this event",IF(W33&lt;0,"Loss - the stall cost more than it made",IF(AND(X33&lt;&gt;"",X33&lt;MinimumWage),"Below - paid under minimum wage for the day",IF(W33&gt;Q33,"Worth repeating - book it again","OK"))))))</f>
        <v>0</v>
      </c>
    </row>
    <row r="34" spans="14:28">
      <c r="N34" s="20">
        <f>IF(A34="","",ROUND(IF(E34="",0,E34)+IF(F34="",0,F34)+IF(G34="",0,G34)+IF(H34="",0,H34),2))</f>
        <v>0</v>
      </c>
      <c r="O34" s="41">
        <f>IF(A34="","",IF(I34="",0,I34)+IF(J34="",0,J34))</f>
        <v>0</v>
      </c>
      <c r="P34" s="20">
        <f>IF(A34="","",ROUND(O34*LaborCostHour,2))</f>
        <v>0</v>
      </c>
      <c r="Q34" s="20">
        <f>IF(A34="","",ROUND(N34+P34,2))</f>
        <v>0</v>
      </c>
      <c r="R34" s="20">
        <f>IF(A34="","",IF(TargetRetailMargin&lt;=0,"",ROUND(Q34/TargetRetailMargin,2)))</f>
        <v>0</v>
      </c>
      <c r="S34" s="20">
        <f>IF(A34="","",IF(TargetRetailMargin&lt;=0,"",ROUND(N34/TargetRetailMargin,2)))</f>
        <v>0</v>
      </c>
      <c r="T34" s="20">
        <f>IF(A34="","",ROUND(SUMIFS(Sales!$V$5:$V$804,Sales!$O$5:$O$804,A34),2))</f>
        <v>0</v>
      </c>
      <c r="U34" s="32">
        <f>IF(A34="","",COUNTIFS(Sales!$O$5:$O$804,A34))</f>
        <v>0</v>
      </c>
      <c r="V34" s="20">
        <f>IF(A34="","",ROUND(SUMIFS(Sales!$AG$5:$AG$804,Sales!$O$5:$O$804,A34),2))</f>
        <v>0</v>
      </c>
      <c r="W34" s="20">
        <f>IF(A34="","",IF(T34=0,"",ROUND(V34-Q34,2)))</f>
        <v>0</v>
      </c>
      <c r="X34" s="20">
        <f>IF(A34="","",IF(OR(O34=0,T34=0),"",ROUND((V34-N34)/O34,2)))</f>
        <v>0</v>
      </c>
      <c r="Y34" s="20">
        <f>IF(A34="","",IF(U34=0,"",ROUND(T34/U34,2)))</f>
        <v>0</v>
      </c>
      <c r="Z34" s="33">
        <f>IF(A34="","",IF(OR(L34="",L34=0),"",U34/L34))</f>
        <v>0</v>
      </c>
      <c r="AA34" s="43">
        <f>IF(A34="","",IF(AND(C34&lt;&gt;"",C34&gt;TodayDate),"Booked",IF(T34=0,"No sales logged","Done")))</f>
        <v>0</v>
      </c>
      <c r="AB34" s="43">
        <f>IF(A34="","",IF(AA34="Booked","Coming up - take enough stock",IF(T34=0,"Add - log the sales against this event",IF(W34&lt;0,"Loss - the stall cost more than it made",IF(AND(X34&lt;&gt;"",X34&lt;MinimumWage),"Below - paid under minimum wage for the day",IF(W34&gt;Q34,"Worth repeating - book it again","OK"))))))</f>
        <v>0</v>
      </c>
    </row>
    <row r="35" spans="14:28">
      <c r="N35" s="20">
        <f>IF(A35="","",ROUND(IF(E35="",0,E35)+IF(F35="",0,F35)+IF(G35="",0,G35)+IF(H35="",0,H35),2))</f>
        <v>0</v>
      </c>
      <c r="O35" s="41">
        <f>IF(A35="","",IF(I35="",0,I35)+IF(J35="",0,J35))</f>
        <v>0</v>
      </c>
      <c r="P35" s="20">
        <f>IF(A35="","",ROUND(O35*LaborCostHour,2))</f>
        <v>0</v>
      </c>
      <c r="Q35" s="20">
        <f>IF(A35="","",ROUND(N35+P35,2))</f>
        <v>0</v>
      </c>
      <c r="R35" s="20">
        <f>IF(A35="","",IF(TargetRetailMargin&lt;=0,"",ROUND(Q35/TargetRetailMargin,2)))</f>
        <v>0</v>
      </c>
      <c r="S35" s="20">
        <f>IF(A35="","",IF(TargetRetailMargin&lt;=0,"",ROUND(N35/TargetRetailMargin,2)))</f>
        <v>0</v>
      </c>
      <c r="T35" s="20">
        <f>IF(A35="","",ROUND(SUMIFS(Sales!$V$5:$V$804,Sales!$O$5:$O$804,A35),2))</f>
        <v>0</v>
      </c>
      <c r="U35" s="32">
        <f>IF(A35="","",COUNTIFS(Sales!$O$5:$O$804,A35))</f>
        <v>0</v>
      </c>
      <c r="V35" s="20">
        <f>IF(A35="","",ROUND(SUMIFS(Sales!$AG$5:$AG$804,Sales!$O$5:$O$804,A35),2))</f>
        <v>0</v>
      </c>
      <c r="W35" s="20">
        <f>IF(A35="","",IF(T35=0,"",ROUND(V35-Q35,2)))</f>
        <v>0</v>
      </c>
      <c r="X35" s="20">
        <f>IF(A35="","",IF(OR(O35=0,T35=0),"",ROUND((V35-N35)/O35,2)))</f>
        <v>0</v>
      </c>
      <c r="Y35" s="20">
        <f>IF(A35="","",IF(U35=0,"",ROUND(T35/U35,2)))</f>
        <v>0</v>
      </c>
      <c r="Z35" s="33">
        <f>IF(A35="","",IF(OR(L35="",L35=0),"",U35/L35))</f>
        <v>0</v>
      </c>
      <c r="AA35" s="43">
        <f>IF(A35="","",IF(AND(C35&lt;&gt;"",C35&gt;TodayDate),"Booked",IF(T35=0,"No sales logged","Done")))</f>
        <v>0</v>
      </c>
      <c r="AB35" s="43">
        <f>IF(A35="","",IF(AA35="Booked","Coming up - take enough stock",IF(T35=0,"Add - log the sales against this event",IF(W35&lt;0,"Loss - the stall cost more than it made",IF(AND(X35&lt;&gt;"",X35&lt;MinimumWage),"Below - paid under minimum wage for the day",IF(W35&gt;Q35,"Worth repeating - book it again","OK"))))))</f>
        <v>0</v>
      </c>
    </row>
    <row r="36" spans="14:28">
      <c r="N36" s="20">
        <f>IF(A36="","",ROUND(IF(E36="",0,E36)+IF(F36="",0,F36)+IF(G36="",0,G36)+IF(H36="",0,H36),2))</f>
        <v>0</v>
      </c>
      <c r="O36" s="41">
        <f>IF(A36="","",IF(I36="",0,I36)+IF(J36="",0,J36))</f>
        <v>0</v>
      </c>
      <c r="P36" s="20">
        <f>IF(A36="","",ROUND(O36*LaborCostHour,2))</f>
        <v>0</v>
      </c>
      <c r="Q36" s="20">
        <f>IF(A36="","",ROUND(N36+P36,2))</f>
        <v>0</v>
      </c>
      <c r="R36" s="20">
        <f>IF(A36="","",IF(TargetRetailMargin&lt;=0,"",ROUND(Q36/TargetRetailMargin,2)))</f>
        <v>0</v>
      </c>
      <c r="S36" s="20">
        <f>IF(A36="","",IF(TargetRetailMargin&lt;=0,"",ROUND(N36/TargetRetailMargin,2)))</f>
        <v>0</v>
      </c>
      <c r="T36" s="20">
        <f>IF(A36="","",ROUND(SUMIFS(Sales!$V$5:$V$804,Sales!$O$5:$O$804,A36),2))</f>
        <v>0</v>
      </c>
      <c r="U36" s="32">
        <f>IF(A36="","",COUNTIFS(Sales!$O$5:$O$804,A36))</f>
        <v>0</v>
      </c>
      <c r="V36" s="20">
        <f>IF(A36="","",ROUND(SUMIFS(Sales!$AG$5:$AG$804,Sales!$O$5:$O$804,A36),2))</f>
        <v>0</v>
      </c>
      <c r="W36" s="20">
        <f>IF(A36="","",IF(T36=0,"",ROUND(V36-Q36,2)))</f>
        <v>0</v>
      </c>
      <c r="X36" s="20">
        <f>IF(A36="","",IF(OR(O36=0,T36=0),"",ROUND((V36-N36)/O36,2)))</f>
        <v>0</v>
      </c>
      <c r="Y36" s="20">
        <f>IF(A36="","",IF(U36=0,"",ROUND(T36/U36,2)))</f>
        <v>0</v>
      </c>
      <c r="Z36" s="33">
        <f>IF(A36="","",IF(OR(L36="",L36=0),"",U36/L36))</f>
        <v>0</v>
      </c>
      <c r="AA36" s="43">
        <f>IF(A36="","",IF(AND(C36&lt;&gt;"",C36&gt;TodayDate),"Booked",IF(T36=0,"No sales logged","Done")))</f>
        <v>0</v>
      </c>
      <c r="AB36" s="43">
        <f>IF(A36="","",IF(AA36="Booked","Coming up - take enough stock",IF(T36=0,"Add - log the sales against this event",IF(W36&lt;0,"Loss - the stall cost more than it made",IF(AND(X36&lt;&gt;"",X36&lt;MinimumWage),"Below - paid under minimum wage for the day",IF(W36&gt;Q36,"Worth repeating - book it again","OK"))))))</f>
        <v>0</v>
      </c>
    </row>
    <row r="37" spans="14:28">
      <c r="N37" s="20">
        <f>IF(A37="","",ROUND(IF(E37="",0,E37)+IF(F37="",0,F37)+IF(G37="",0,G37)+IF(H37="",0,H37),2))</f>
        <v>0</v>
      </c>
      <c r="O37" s="41">
        <f>IF(A37="","",IF(I37="",0,I37)+IF(J37="",0,J37))</f>
        <v>0</v>
      </c>
      <c r="P37" s="20">
        <f>IF(A37="","",ROUND(O37*LaborCostHour,2))</f>
        <v>0</v>
      </c>
      <c r="Q37" s="20">
        <f>IF(A37="","",ROUND(N37+P37,2))</f>
        <v>0</v>
      </c>
      <c r="R37" s="20">
        <f>IF(A37="","",IF(TargetRetailMargin&lt;=0,"",ROUND(Q37/TargetRetailMargin,2)))</f>
        <v>0</v>
      </c>
      <c r="S37" s="20">
        <f>IF(A37="","",IF(TargetRetailMargin&lt;=0,"",ROUND(N37/TargetRetailMargin,2)))</f>
        <v>0</v>
      </c>
      <c r="T37" s="20">
        <f>IF(A37="","",ROUND(SUMIFS(Sales!$V$5:$V$804,Sales!$O$5:$O$804,A37),2))</f>
        <v>0</v>
      </c>
      <c r="U37" s="32">
        <f>IF(A37="","",COUNTIFS(Sales!$O$5:$O$804,A37))</f>
        <v>0</v>
      </c>
      <c r="V37" s="20">
        <f>IF(A37="","",ROUND(SUMIFS(Sales!$AG$5:$AG$804,Sales!$O$5:$O$804,A37),2))</f>
        <v>0</v>
      </c>
      <c r="W37" s="20">
        <f>IF(A37="","",IF(T37=0,"",ROUND(V37-Q37,2)))</f>
        <v>0</v>
      </c>
      <c r="X37" s="20">
        <f>IF(A37="","",IF(OR(O37=0,T37=0),"",ROUND((V37-N37)/O37,2)))</f>
        <v>0</v>
      </c>
      <c r="Y37" s="20">
        <f>IF(A37="","",IF(U37=0,"",ROUND(T37/U37,2)))</f>
        <v>0</v>
      </c>
      <c r="Z37" s="33">
        <f>IF(A37="","",IF(OR(L37="",L37=0),"",U37/L37))</f>
        <v>0</v>
      </c>
      <c r="AA37" s="43">
        <f>IF(A37="","",IF(AND(C37&lt;&gt;"",C37&gt;TodayDate),"Booked",IF(T37=0,"No sales logged","Done")))</f>
        <v>0</v>
      </c>
      <c r="AB37" s="43">
        <f>IF(A37="","",IF(AA37="Booked","Coming up - take enough stock",IF(T37=0,"Add - log the sales against this event",IF(W37&lt;0,"Loss - the stall cost more than it made",IF(AND(X37&lt;&gt;"",X37&lt;MinimumWage),"Below - paid under minimum wage for the day",IF(W37&gt;Q37,"Worth repeating - book it again","OK"))))))</f>
        <v>0</v>
      </c>
    </row>
    <row r="38" spans="14:28">
      <c r="N38" s="20">
        <f>IF(A38="","",ROUND(IF(E38="",0,E38)+IF(F38="",0,F38)+IF(G38="",0,G38)+IF(H38="",0,H38),2))</f>
        <v>0</v>
      </c>
      <c r="O38" s="41">
        <f>IF(A38="","",IF(I38="",0,I38)+IF(J38="",0,J38))</f>
        <v>0</v>
      </c>
      <c r="P38" s="20">
        <f>IF(A38="","",ROUND(O38*LaborCostHour,2))</f>
        <v>0</v>
      </c>
      <c r="Q38" s="20">
        <f>IF(A38="","",ROUND(N38+P38,2))</f>
        <v>0</v>
      </c>
      <c r="R38" s="20">
        <f>IF(A38="","",IF(TargetRetailMargin&lt;=0,"",ROUND(Q38/TargetRetailMargin,2)))</f>
        <v>0</v>
      </c>
      <c r="S38" s="20">
        <f>IF(A38="","",IF(TargetRetailMargin&lt;=0,"",ROUND(N38/TargetRetailMargin,2)))</f>
        <v>0</v>
      </c>
      <c r="T38" s="20">
        <f>IF(A38="","",ROUND(SUMIFS(Sales!$V$5:$V$804,Sales!$O$5:$O$804,A38),2))</f>
        <v>0</v>
      </c>
      <c r="U38" s="32">
        <f>IF(A38="","",COUNTIFS(Sales!$O$5:$O$804,A38))</f>
        <v>0</v>
      </c>
      <c r="V38" s="20">
        <f>IF(A38="","",ROUND(SUMIFS(Sales!$AG$5:$AG$804,Sales!$O$5:$O$804,A38),2))</f>
        <v>0</v>
      </c>
      <c r="W38" s="20">
        <f>IF(A38="","",IF(T38=0,"",ROUND(V38-Q38,2)))</f>
        <v>0</v>
      </c>
      <c r="X38" s="20">
        <f>IF(A38="","",IF(OR(O38=0,T38=0),"",ROUND((V38-N38)/O38,2)))</f>
        <v>0</v>
      </c>
      <c r="Y38" s="20">
        <f>IF(A38="","",IF(U38=0,"",ROUND(T38/U38,2)))</f>
        <v>0</v>
      </c>
      <c r="Z38" s="33">
        <f>IF(A38="","",IF(OR(L38="",L38=0),"",U38/L38))</f>
        <v>0</v>
      </c>
      <c r="AA38" s="43">
        <f>IF(A38="","",IF(AND(C38&lt;&gt;"",C38&gt;TodayDate),"Booked",IF(T38=0,"No sales logged","Done")))</f>
        <v>0</v>
      </c>
      <c r="AB38" s="43">
        <f>IF(A38="","",IF(AA38="Booked","Coming up - take enough stock",IF(T38=0,"Add - log the sales against this event",IF(W38&lt;0,"Loss - the stall cost more than it made",IF(AND(X38&lt;&gt;"",X38&lt;MinimumWage),"Below - paid under minimum wage for the day",IF(W38&gt;Q38,"Worth repeating - book it again","OK"))))))</f>
        <v>0</v>
      </c>
    </row>
    <row r="39" spans="14:28">
      <c r="N39" s="20">
        <f>IF(A39="","",ROUND(IF(E39="",0,E39)+IF(F39="",0,F39)+IF(G39="",0,G39)+IF(H39="",0,H39),2))</f>
        <v>0</v>
      </c>
      <c r="O39" s="41">
        <f>IF(A39="","",IF(I39="",0,I39)+IF(J39="",0,J39))</f>
        <v>0</v>
      </c>
      <c r="P39" s="20">
        <f>IF(A39="","",ROUND(O39*LaborCostHour,2))</f>
        <v>0</v>
      </c>
      <c r="Q39" s="20">
        <f>IF(A39="","",ROUND(N39+P39,2))</f>
        <v>0</v>
      </c>
      <c r="R39" s="20">
        <f>IF(A39="","",IF(TargetRetailMargin&lt;=0,"",ROUND(Q39/TargetRetailMargin,2)))</f>
        <v>0</v>
      </c>
      <c r="S39" s="20">
        <f>IF(A39="","",IF(TargetRetailMargin&lt;=0,"",ROUND(N39/TargetRetailMargin,2)))</f>
        <v>0</v>
      </c>
      <c r="T39" s="20">
        <f>IF(A39="","",ROUND(SUMIFS(Sales!$V$5:$V$804,Sales!$O$5:$O$804,A39),2))</f>
        <v>0</v>
      </c>
      <c r="U39" s="32">
        <f>IF(A39="","",COUNTIFS(Sales!$O$5:$O$804,A39))</f>
        <v>0</v>
      </c>
      <c r="V39" s="20">
        <f>IF(A39="","",ROUND(SUMIFS(Sales!$AG$5:$AG$804,Sales!$O$5:$O$804,A39),2))</f>
        <v>0</v>
      </c>
      <c r="W39" s="20">
        <f>IF(A39="","",IF(T39=0,"",ROUND(V39-Q39,2)))</f>
        <v>0</v>
      </c>
      <c r="X39" s="20">
        <f>IF(A39="","",IF(OR(O39=0,T39=0),"",ROUND((V39-N39)/O39,2)))</f>
        <v>0</v>
      </c>
      <c r="Y39" s="20">
        <f>IF(A39="","",IF(U39=0,"",ROUND(T39/U39,2)))</f>
        <v>0</v>
      </c>
      <c r="Z39" s="33">
        <f>IF(A39="","",IF(OR(L39="",L39=0),"",U39/L39))</f>
        <v>0</v>
      </c>
      <c r="AA39" s="43">
        <f>IF(A39="","",IF(AND(C39&lt;&gt;"",C39&gt;TodayDate),"Booked",IF(T39=0,"No sales logged","Done")))</f>
        <v>0</v>
      </c>
      <c r="AB39" s="43">
        <f>IF(A39="","",IF(AA39="Booked","Coming up - take enough stock",IF(T39=0,"Add - log the sales against this event",IF(W39&lt;0,"Loss - the stall cost more than it made",IF(AND(X39&lt;&gt;"",X39&lt;MinimumWage),"Below - paid under minimum wage for the day",IF(W39&gt;Q39,"Worth repeating - book it again","OK"))))))</f>
        <v>0</v>
      </c>
    </row>
    <row r="40" spans="14:28">
      <c r="N40" s="20">
        <f>IF(A40="","",ROUND(IF(E40="",0,E40)+IF(F40="",0,F40)+IF(G40="",0,G40)+IF(H40="",0,H40),2))</f>
        <v>0</v>
      </c>
      <c r="O40" s="41">
        <f>IF(A40="","",IF(I40="",0,I40)+IF(J40="",0,J40))</f>
        <v>0</v>
      </c>
      <c r="P40" s="20">
        <f>IF(A40="","",ROUND(O40*LaborCostHour,2))</f>
        <v>0</v>
      </c>
      <c r="Q40" s="20">
        <f>IF(A40="","",ROUND(N40+P40,2))</f>
        <v>0</v>
      </c>
      <c r="R40" s="20">
        <f>IF(A40="","",IF(TargetRetailMargin&lt;=0,"",ROUND(Q40/TargetRetailMargin,2)))</f>
        <v>0</v>
      </c>
      <c r="S40" s="20">
        <f>IF(A40="","",IF(TargetRetailMargin&lt;=0,"",ROUND(N40/TargetRetailMargin,2)))</f>
        <v>0</v>
      </c>
      <c r="T40" s="20">
        <f>IF(A40="","",ROUND(SUMIFS(Sales!$V$5:$V$804,Sales!$O$5:$O$804,A40),2))</f>
        <v>0</v>
      </c>
      <c r="U40" s="32">
        <f>IF(A40="","",COUNTIFS(Sales!$O$5:$O$804,A40))</f>
        <v>0</v>
      </c>
      <c r="V40" s="20">
        <f>IF(A40="","",ROUND(SUMIFS(Sales!$AG$5:$AG$804,Sales!$O$5:$O$804,A40),2))</f>
        <v>0</v>
      </c>
      <c r="W40" s="20">
        <f>IF(A40="","",IF(T40=0,"",ROUND(V40-Q40,2)))</f>
        <v>0</v>
      </c>
      <c r="X40" s="20">
        <f>IF(A40="","",IF(OR(O40=0,T40=0),"",ROUND((V40-N40)/O40,2)))</f>
        <v>0</v>
      </c>
      <c r="Y40" s="20">
        <f>IF(A40="","",IF(U40=0,"",ROUND(T40/U40,2)))</f>
        <v>0</v>
      </c>
      <c r="Z40" s="33">
        <f>IF(A40="","",IF(OR(L40="",L40=0),"",U40/L40))</f>
        <v>0</v>
      </c>
      <c r="AA40" s="43">
        <f>IF(A40="","",IF(AND(C40&lt;&gt;"",C40&gt;TodayDate),"Booked",IF(T40=0,"No sales logged","Done")))</f>
        <v>0</v>
      </c>
      <c r="AB40" s="43">
        <f>IF(A40="","",IF(AA40="Booked","Coming up - take enough stock",IF(T40=0,"Add - log the sales against this event",IF(W40&lt;0,"Loss - the stall cost more than it made",IF(AND(X40&lt;&gt;"",X40&lt;MinimumWage),"Below - paid under minimum wage for the day",IF(W40&gt;Q40,"Worth repeating - book it again","OK"))))))</f>
        <v>0</v>
      </c>
    </row>
    <row r="41" spans="14:28">
      <c r="N41" s="20">
        <f>IF(A41="","",ROUND(IF(E41="",0,E41)+IF(F41="",0,F41)+IF(G41="",0,G41)+IF(H41="",0,H41),2))</f>
        <v>0</v>
      </c>
      <c r="O41" s="41">
        <f>IF(A41="","",IF(I41="",0,I41)+IF(J41="",0,J41))</f>
        <v>0</v>
      </c>
      <c r="P41" s="20">
        <f>IF(A41="","",ROUND(O41*LaborCostHour,2))</f>
        <v>0</v>
      </c>
      <c r="Q41" s="20">
        <f>IF(A41="","",ROUND(N41+P41,2))</f>
        <v>0</v>
      </c>
      <c r="R41" s="20">
        <f>IF(A41="","",IF(TargetRetailMargin&lt;=0,"",ROUND(Q41/TargetRetailMargin,2)))</f>
        <v>0</v>
      </c>
      <c r="S41" s="20">
        <f>IF(A41="","",IF(TargetRetailMargin&lt;=0,"",ROUND(N41/TargetRetailMargin,2)))</f>
        <v>0</v>
      </c>
      <c r="T41" s="20">
        <f>IF(A41="","",ROUND(SUMIFS(Sales!$V$5:$V$804,Sales!$O$5:$O$804,A41),2))</f>
        <v>0</v>
      </c>
      <c r="U41" s="32">
        <f>IF(A41="","",COUNTIFS(Sales!$O$5:$O$804,A41))</f>
        <v>0</v>
      </c>
      <c r="V41" s="20">
        <f>IF(A41="","",ROUND(SUMIFS(Sales!$AG$5:$AG$804,Sales!$O$5:$O$804,A41),2))</f>
        <v>0</v>
      </c>
      <c r="W41" s="20">
        <f>IF(A41="","",IF(T41=0,"",ROUND(V41-Q41,2)))</f>
        <v>0</v>
      </c>
      <c r="X41" s="20">
        <f>IF(A41="","",IF(OR(O41=0,T41=0),"",ROUND((V41-N41)/O41,2)))</f>
        <v>0</v>
      </c>
      <c r="Y41" s="20">
        <f>IF(A41="","",IF(U41=0,"",ROUND(T41/U41,2)))</f>
        <v>0</v>
      </c>
      <c r="Z41" s="33">
        <f>IF(A41="","",IF(OR(L41="",L41=0),"",U41/L41))</f>
        <v>0</v>
      </c>
      <c r="AA41" s="43">
        <f>IF(A41="","",IF(AND(C41&lt;&gt;"",C41&gt;TodayDate),"Booked",IF(T41=0,"No sales logged","Done")))</f>
        <v>0</v>
      </c>
      <c r="AB41" s="43">
        <f>IF(A41="","",IF(AA41="Booked","Coming up - take enough stock",IF(T41=0,"Add - log the sales against this event",IF(W41&lt;0,"Loss - the stall cost more than it made",IF(AND(X41&lt;&gt;"",X41&lt;MinimumWage),"Below - paid under minimum wage for the day",IF(W41&gt;Q41,"Worth repeating - book it again","OK"))))))</f>
        <v>0</v>
      </c>
    </row>
    <row r="42" spans="14:28">
      <c r="N42" s="20">
        <f>IF(A42="","",ROUND(IF(E42="",0,E42)+IF(F42="",0,F42)+IF(G42="",0,G42)+IF(H42="",0,H42),2))</f>
        <v>0</v>
      </c>
      <c r="O42" s="41">
        <f>IF(A42="","",IF(I42="",0,I42)+IF(J42="",0,J42))</f>
        <v>0</v>
      </c>
      <c r="P42" s="20">
        <f>IF(A42="","",ROUND(O42*LaborCostHour,2))</f>
        <v>0</v>
      </c>
      <c r="Q42" s="20">
        <f>IF(A42="","",ROUND(N42+P42,2))</f>
        <v>0</v>
      </c>
      <c r="R42" s="20">
        <f>IF(A42="","",IF(TargetRetailMargin&lt;=0,"",ROUND(Q42/TargetRetailMargin,2)))</f>
        <v>0</v>
      </c>
      <c r="S42" s="20">
        <f>IF(A42="","",IF(TargetRetailMargin&lt;=0,"",ROUND(N42/TargetRetailMargin,2)))</f>
        <v>0</v>
      </c>
      <c r="T42" s="20">
        <f>IF(A42="","",ROUND(SUMIFS(Sales!$V$5:$V$804,Sales!$O$5:$O$804,A42),2))</f>
        <v>0</v>
      </c>
      <c r="U42" s="32">
        <f>IF(A42="","",COUNTIFS(Sales!$O$5:$O$804,A42))</f>
        <v>0</v>
      </c>
      <c r="V42" s="20">
        <f>IF(A42="","",ROUND(SUMIFS(Sales!$AG$5:$AG$804,Sales!$O$5:$O$804,A42),2))</f>
        <v>0</v>
      </c>
      <c r="W42" s="20">
        <f>IF(A42="","",IF(T42=0,"",ROUND(V42-Q42,2)))</f>
        <v>0</v>
      </c>
      <c r="X42" s="20">
        <f>IF(A42="","",IF(OR(O42=0,T42=0),"",ROUND((V42-N42)/O42,2)))</f>
        <v>0</v>
      </c>
      <c r="Y42" s="20">
        <f>IF(A42="","",IF(U42=0,"",ROUND(T42/U42,2)))</f>
        <v>0</v>
      </c>
      <c r="Z42" s="33">
        <f>IF(A42="","",IF(OR(L42="",L42=0),"",U42/L42))</f>
        <v>0</v>
      </c>
      <c r="AA42" s="43">
        <f>IF(A42="","",IF(AND(C42&lt;&gt;"",C42&gt;TodayDate),"Booked",IF(T42=0,"No sales logged","Done")))</f>
        <v>0</v>
      </c>
      <c r="AB42" s="43">
        <f>IF(A42="","",IF(AA42="Booked","Coming up - take enough stock",IF(T42=0,"Add - log the sales against this event",IF(W42&lt;0,"Loss - the stall cost more than it made",IF(AND(X42&lt;&gt;"",X42&lt;MinimumWage),"Below - paid under minimum wage for the day",IF(W42&gt;Q42,"Worth repeating - book it again","OK"))))))</f>
        <v>0</v>
      </c>
    </row>
    <row r="43" spans="14:28">
      <c r="N43" s="20">
        <f>IF(A43="","",ROUND(IF(E43="",0,E43)+IF(F43="",0,F43)+IF(G43="",0,G43)+IF(H43="",0,H43),2))</f>
        <v>0</v>
      </c>
      <c r="O43" s="41">
        <f>IF(A43="","",IF(I43="",0,I43)+IF(J43="",0,J43))</f>
        <v>0</v>
      </c>
      <c r="P43" s="20">
        <f>IF(A43="","",ROUND(O43*LaborCostHour,2))</f>
        <v>0</v>
      </c>
      <c r="Q43" s="20">
        <f>IF(A43="","",ROUND(N43+P43,2))</f>
        <v>0</v>
      </c>
      <c r="R43" s="20">
        <f>IF(A43="","",IF(TargetRetailMargin&lt;=0,"",ROUND(Q43/TargetRetailMargin,2)))</f>
        <v>0</v>
      </c>
      <c r="S43" s="20">
        <f>IF(A43="","",IF(TargetRetailMargin&lt;=0,"",ROUND(N43/TargetRetailMargin,2)))</f>
        <v>0</v>
      </c>
      <c r="T43" s="20">
        <f>IF(A43="","",ROUND(SUMIFS(Sales!$V$5:$V$804,Sales!$O$5:$O$804,A43),2))</f>
        <v>0</v>
      </c>
      <c r="U43" s="32">
        <f>IF(A43="","",COUNTIFS(Sales!$O$5:$O$804,A43))</f>
        <v>0</v>
      </c>
      <c r="V43" s="20">
        <f>IF(A43="","",ROUND(SUMIFS(Sales!$AG$5:$AG$804,Sales!$O$5:$O$804,A43),2))</f>
        <v>0</v>
      </c>
      <c r="W43" s="20">
        <f>IF(A43="","",IF(T43=0,"",ROUND(V43-Q43,2)))</f>
        <v>0</v>
      </c>
      <c r="X43" s="20">
        <f>IF(A43="","",IF(OR(O43=0,T43=0),"",ROUND((V43-N43)/O43,2)))</f>
        <v>0</v>
      </c>
      <c r="Y43" s="20">
        <f>IF(A43="","",IF(U43=0,"",ROUND(T43/U43,2)))</f>
        <v>0</v>
      </c>
      <c r="Z43" s="33">
        <f>IF(A43="","",IF(OR(L43="",L43=0),"",U43/L43))</f>
        <v>0</v>
      </c>
      <c r="AA43" s="43">
        <f>IF(A43="","",IF(AND(C43&lt;&gt;"",C43&gt;TodayDate),"Booked",IF(T43=0,"No sales logged","Done")))</f>
        <v>0</v>
      </c>
      <c r="AB43" s="43">
        <f>IF(A43="","",IF(AA43="Booked","Coming up - take enough stock",IF(T43=0,"Add - log the sales against this event",IF(W43&lt;0,"Loss - the stall cost more than it made",IF(AND(X43&lt;&gt;"",X43&lt;MinimumWage),"Below - paid under minimum wage for the day",IF(W43&gt;Q43,"Worth repeating - book it again","OK"))))))</f>
        <v>0</v>
      </c>
    </row>
    <row r="44" spans="14:28">
      <c r="N44" s="20">
        <f>IF(A44="","",ROUND(IF(E44="",0,E44)+IF(F44="",0,F44)+IF(G44="",0,G44)+IF(H44="",0,H44),2))</f>
        <v>0</v>
      </c>
      <c r="O44" s="41">
        <f>IF(A44="","",IF(I44="",0,I44)+IF(J44="",0,J44))</f>
        <v>0</v>
      </c>
      <c r="P44" s="20">
        <f>IF(A44="","",ROUND(O44*LaborCostHour,2))</f>
        <v>0</v>
      </c>
      <c r="Q44" s="20">
        <f>IF(A44="","",ROUND(N44+P44,2))</f>
        <v>0</v>
      </c>
      <c r="R44" s="20">
        <f>IF(A44="","",IF(TargetRetailMargin&lt;=0,"",ROUND(Q44/TargetRetailMargin,2)))</f>
        <v>0</v>
      </c>
      <c r="S44" s="20">
        <f>IF(A44="","",IF(TargetRetailMargin&lt;=0,"",ROUND(N44/TargetRetailMargin,2)))</f>
        <v>0</v>
      </c>
      <c r="T44" s="20">
        <f>IF(A44="","",ROUND(SUMIFS(Sales!$V$5:$V$804,Sales!$O$5:$O$804,A44),2))</f>
        <v>0</v>
      </c>
      <c r="U44" s="32">
        <f>IF(A44="","",COUNTIFS(Sales!$O$5:$O$804,A44))</f>
        <v>0</v>
      </c>
      <c r="V44" s="20">
        <f>IF(A44="","",ROUND(SUMIFS(Sales!$AG$5:$AG$804,Sales!$O$5:$O$804,A44),2))</f>
        <v>0</v>
      </c>
      <c r="W44" s="20">
        <f>IF(A44="","",IF(T44=0,"",ROUND(V44-Q44,2)))</f>
        <v>0</v>
      </c>
      <c r="X44" s="20">
        <f>IF(A44="","",IF(OR(O44=0,T44=0),"",ROUND((V44-N44)/O44,2)))</f>
        <v>0</v>
      </c>
      <c r="Y44" s="20">
        <f>IF(A44="","",IF(U44=0,"",ROUND(T44/U44,2)))</f>
        <v>0</v>
      </c>
      <c r="Z44" s="33">
        <f>IF(A44="","",IF(OR(L44="",L44=0),"",U44/L44))</f>
        <v>0</v>
      </c>
      <c r="AA44" s="43">
        <f>IF(A44="","",IF(AND(C44&lt;&gt;"",C44&gt;TodayDate),"Booked",IF(T44=0,"No sales logged","Done")))</f>
        <v>0</v>
      </c>
      <c r="AB44" s="43">
        <f>IF(A44="","",IF(AA44="Booked","Coming up - take enough stock",IF(T44=0,"Add - log the sales against this event",IF(W44&lt;0,"Loss - the stall cost more than it made",IF(AND(X44&lt;&gt;"",X44&lt;MinimumWage),"Below - paid under minimum wage for the day",IF(W44&gt;Q44,"Worth repeating - book it again","OK"))))))</f>
        <v>0</v>
      </c>
    </row>
  </sheetData>
  <sheetProtection password="EC7C" sheet="1" objects="1" scenarios="1" formatCells="0" formatColumns="0" formatRows="0" insertRows="0" insertHyperlinks="0" deleteRows="0" autoFilter="0"/>
  <autoFilter ref="A4:AB4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A5:AA44">
    <cfRule type="containsText" dxfId="1" priority="4" operator="containsText" text="Completed">
      <formula>NOT(ISERROR(SEARCH("Completed",AA5)))</formula>
    </cfRule>
    <cfRule type="containsText" dxfId="1" priority="5" operator="containsText" text="Complete">
      <formula>NOT(ISERROR(SEARCH("Complete",AA5)))</formula>
    </cfRule>
    <cfRule type="containsText" dxfId="1" priority="6" operator="containsText" text="Done">
      <formula>NOT(ISERROR(SEARCH("Done",AA5)))</formula>
    </cfRule>
    <cfRule type="containsText" dxfId="1" priority="7" operator="containsText" text="Paid">
      <formula>NOT(ISERROR(SEARCH("Paid",AA5)))</formula>
    </cfRule>
    <cfRule type="containsText" dxfId="1" priority="8" operator="containsText" text="Accepted">
      <formula>NOT(ISERROR(SEARCH("Accepted",AA5)))</formula>
    </cfRule>
    <cfRule type="containsText" dxfId="1" priority="9" operator="containsText" text="Won">
      <formula>NOT(ISERROR(SEARCH("Won",AA5)))</formula>
    </cfRule>
    <cfRule type="containsText" dxfId="1" priority="10" operator="containsText" text="Active">
      <formula>NOT(ISERROR(SEARCH("Active",AA5)))</formula>
    </cfRule>
    <cfRule type="containsText" dxfId="1" priority="11" operator="containsText" text="In stock">
      <formula>NOT(ISERROR(SEARCH("In stock",AA5)))</formula>
    </cfRule>
    <cfRule type="containsText" dxfId="1" priority="12" operator="containsText" text="Resolved">
      <formula>NOT(ISERROR(SEARCH("Resolved",AA5)))</formula>
    </cfRule>
    <cfRule type="containsText" dxfId="1" priority="13" operator="containsText" text="Signed">
      <formula>NOT(ISERROR(SEARCH("Signed",AA5)))</formula>
    </cfRule>
    <cfRule type="containsText" dxfId="1" priority="14" operator="containsText" text="Yes">
      <formula>NOT(ISERROR(SEARCH("Yes",AA5)))</formula>
    </cfRule>
    <cfRule type="containsText" dxfId="3" priority="15" operator="containsText" text="Booked">
      <formula>NOT(ISERROR(SEARCH("Booked",AA5)))</formula>
    </cfRule>
    <cfRule type="containsText" dxfId="3" priority="16" operator="containsText" text="Confirmed">
      <formula>NOT(ISERROR(SEARCH("Confirmed",AA5)))</formula>
    </cfRule>
    <cfRule type="containsText" dxfId="3" priority="17" operator="containsText" text="Scheduled">
      <formula>NOT(ISERROR(SEARCH("Scheduled",AA5)))</formula>
    </cfRule>
    <cfRule type="containsText" dxfId="3" priority="18" operator="containsText" text="In progress">
      <formula>NOT(ISERROR(SEARCH("In progress",AA5)))</formula>
    </cfRule>
    <cfRule type="containsText" dxfId="3" priority="19" operator="containsText" text="Sent">
      <formula>NOT(ISERROR(SEARCH("Sent",AA5)))</formula>
    </cfRule>
    <cfRule type="containsText" dxfId="3" priority="20" operator="containsText" text="Invoiced">
      <formula>NOT(ISERROR(SEARCH("Invoiced",AA5)))</formula>
    </cfRule>
    <cfRule type="containsText" dxfId="3" priority="21" operator="containsText" text="Quoted">
      <formula>NOT(ISERROR(SEARCH("Quoted",AA5)))</formula>
    </cfRule>
    <cfRule type="containsText" dxfId="3" priority="22" operator="containsText" text="Prospect">
      <formula>NOT(ISERROR(SEARCH("Prospect",AA5)))</formula>
    </cfRule>
    <cfRule type="containsText" dxfId="0" priority="23" operator="containsText" text="Draft">
      <formula>NOT(ISERROR(SEARCH("Draft",AA5)))</formula>
    </cfRule>
    <cfRule type="containsText" dxfId="0" priority="24" operator="containsText" text="Enquiry">
      <formula>NOT(ISERROR(SEARCH("Enquiry",AA5)))</formula>
    </cfRule>
    <cfRule type="containsText" dxfId="0" priority="25" operator="containsText" text="Pending">
      <formula>NOT(ISERROR(SEARCH("Pending",AA5)))</formula>
    </cfRule>
    <cfRule type="containsText" dxfId="0" priority="26" operator="containsText" text="Part paid">
      <formula>NOT(ISERROR(SEARCH("Part paid",AA5)))</formula>
    </cfRule>
    <cfRule type="containsText" dxfId="0" priority="27" operator="containsText" text="Followed up">
      <formula>NOT(ISERROR(SEARCH("Followed up",AA5)))</formula>
    </cfRule>
    <cfRule type="containsText" dxfId="0" priority="28" operator="containsText" text="Low stock">
      <formula>NOT(ISERROR(SEARCH("Low stock",AA5)))</formula>
    </cfRule>
    <cfRule type="containsText" dxfId="0" priority="29" operator="containsText" text="Due soon">
      <formula>NOT(ISERROR(SEARCH("Due soon",AA5)))</formula>
    </cfRule>
    <cfRule type="containsText" dxfId="0" priority="30" operator="containsText" text="On hold">
      <formula>NOT(ISERROR(SEARCH("On hold",AA5)))</formula>
    </cfRule>
    <cfRule type="containsText" dxfId="0" priority="31" operator="containsText" text="Unassigned">
      <formula>NOT(ISERROR(SEARCH("Unassigned",AA5)))</formula>
    </cfRule>
    <cfRule type="containsText" dxfId="2" priority="32" operator="containsText" text="Overdue">
      <formula>NOT(ISERROR(SEARCH("Overdue",AA5)))</formula>
    </cfRule>
    <cfRule type="containsText" dxfId="2" priority="33" operator="containsText" text="Cancelled">
      <formula>NOT(ISERROR(SEARCH("Cancelled",AA5)))</formula>
    </cfRule>
    <cfRule type="containsText" dxfId="2" priority="34" operator="containsText" text="Declined">
      <formula>NOT(ISERROR(SEARCH("Declined",AA5)))</formula>
    </cfRule>
    <cfRule type="containsText" dxfId="2" priority="35" operator="containsText" text="Lost">
      <formula>NOT(ISERROR(SEARCH("Lost",AA5)))</formula>
    </cfRule>
    <cfRule type="containsText" dxfId="2" priority="36" operator="containsText" text="No access">
      <formula>NOT(ISERROR(SEARCH("No access",AA5)))</formula>
    </cfRule>
    <cfRule type="containsText" dxfId="2" priority="37" operator="containsText" text="Out of stock">
      <formula>NOT(ISERROR(SEARCH("Out of stock",AA5)))</formula>
    </cfRule>
    <cfRule type="containsText" dxfId="2" priority="38" operator="containsText" text="Written off">
      <formula>NOT(ISERROR(SEARCH("Written off",AA5)))</formula>
    </cfRule>
    <cfRule type="containsText" dxfId="2" priority="39" operator="containsText" text="Expired">
      <formula>NOT(ISERROR(SEARCH("Expired",AA5)))</formula>
    </cfRule>
    <cfRule type="containsText" dxfId="4" priority="40" operator="containsText" text="Discontinued">
      <formula>NOT(ISERROR(SEARCH("Discontinued",AA5)))</formula>
    </cfRule>
    <cfRule type="containsText" dxfId="4" priority="41" operator="containsText" text="Idea">
      <formula>NOT(ISERROR(SEARCH("Idea",AA5)))</formula>
    </cfRule>
    <cfRule type="containsText" dxfId="0" priority="42" operator="containsText" text="Prototype">
      <formula>NOT(ISERROR(SEARCH("Prototype",AA5)))</formula>
    </cfRule>
    <cfRule type="containsText" dxfId="3" priority="43" operator="containsText" text="Made to order">
      <formula>NOT(ISERROR(SEARCH("Made to order",AA5)))</formula>
    </cfRule>
    <cfRule type="containsText" dxfId="3" priority="44" operator="containsText" text="Seasonal">
      <formula>NOT(ISERROR(SEARCH("Seasonal",AA5)))</formula>
    </cfRule>
    <cfRule type="containsText" dxfId="0" priority="45" operator="containsText" text="Review">
      <formula>NOT(ISERROR(SEARCH("Review",AA5)))</formula>
    </cfRule>
    <cfRule type="containsText" dxfId="0" priority="46" operator="containsText" text="Raise price">
      <formula>NOT(ISERROR(SEARCH("Raise price",AA5)))</formula>
    </cfRule>
    <cfRule type="containsText" dxfId="4" priority="47" operator="containsText" text="Inactive">
      <formula>NOT(ISERROR(SEARCH("Inactive",AA5)))</formula>
    </cfRule>
    <cfRule type="containsText" dxfId="4" priority="48" operator="containsText" text="Archived">
      <formula>NOT(ISERROR(SEARCH("Archived",AA5)))</formula>
    </cfRule>
    <cfRule type="containsText" dxfId="4" priority="49" operator="containsText" text="Not needed">
      <formula>NOT(ISERROR(SEARCH("Not needed",AA5)))</formula>
    </cfRule>
  </conditionalFormatting>
  <conditionalFormatting sqref="AB5:AB44">
    <cfRule type="beginsWith" dxfId="1" priority="50" operator="beginsWith" text="OK">
      <formula>LEFT(AB5,2)="OK"</formula>
    </cfRule>
    <cfRule type="containsText" dxfId="2" priority="51" operator="containsText" text="Overdue">
      <formula>NOT(ISERROR(SEARCH("Overdue",AB5)))</formula>
    </cfRule>
    <cfRule type="containsText" dxfId="2" priority="52" operator="containsText" text="Late">
      <formula>NOT(ISERROR(SEARCH("Late",AB5)))</formula>
    </cfRule>
    <cfRule type="containsText" dxfId="2" priority="53" operator="containsText" text="Missing">
      <formula>NOT(ISERROR(SEARCH("Missing",AB5)))</formula>
    </cfRule>
    <cfRule type="containsText" dxfId="2" priority="54" operator="containsText" text="Conflict">
      <formula>NOT(ISERROR(SEARCH("Conflict",AB5)))</formula>
    </cfRule>
    <cfRule type="containsText" dxfId="2" priority="55" operator="containsText" text="Clash">
      <formula>NOT(ISERROR(SEARCH("Clash",AB5)))</formula>
    </cfRule>
    <cfRule type="containsText" dxfId="2" priority="56" operator="containsText" text="Expired">
      <formula>NOT(ISERROR(SEARCH("Expired",AB5)))</formula>
    </cfRule>
    <cfRule type="containsText" dxfId="2" priority="57" operator="containsText" text="Duplicate">
      <formula>NOT(ISERROR(SEARCH("Duplicate",AB5)))</formula>
    </cfRule>
    <cfRule type="containsText" dxfId="2" priority="58" operator="containsText" text="Unpaid">
      <formula>NOT(ISERROR(SEARCH("Unpaid",AB5)))</formula>
    </cfRule>
    <cfRule type="containsText" dxfId="2" priority="59" operator="containsText" text="Loss">
      <formula>NOT(ISERROR(SEARCH("Loss",AB5)))</formula>
    </cfRule>
    <cfRule type="containsText" dxfId="2" priority="60" operator="containsText" text="Below">
      <formula>NOT(ISERROR(SEARCH("Below",AB5)))</formula>
    </cfRule>
    <cfRule type="containsText" dxfId="0" priority="61" operator="containsText" text="Action">
      <formula>NOT(ISERROR(SEARCH("Action",AB5)))</formula>
    </cfRule>
    <cfRule type="containsText" dxfId="0" priority="62" operator="containsText" text="Due">
      <formula>NOT(ISERROR(SEARCH("Due",AB5)))</formula>
    </cfRule>
    <cfRule type="containsText" dxfId="0" priority="63" operator="containsText" text="Check">
      <formula>NOT(ISERROR(SEARCH("Check",AB5)))</formula>
    </cfRule>
    <cfRule type="containsText" dxfId="0" priority="64" operator="containsText" text="Chase">
      <formula>NOT(ISERROR(SEARCH("Chase",AB5)))</formula>
    </cfRule>
    <cfRule type="containsText" dxfId="0" priority="65" operator="containsText" text="Assign">
      <formula>NOT(ISERROR(SEARCH("Assign",AB5)))</formula>
    </cfRule>
    <cfRule type="containsText" dxfId="0" priority="66" operator="containsText" text="Confirm">
      <formula>NOT(ISERROR(SEARCH("Confirm",AB5)))</formula>
    </cfRule>
    <cfRule type="containsText" dxfId="0" priority="67" operator="containsText" text="Order">
      <formula>NOT(ISERROR(SEARCH("Order",AB5)))</formula>
    </cfRule>
    <cfRule type="containsText" dxfId="3" priority="68" operator="containsText" text="Today">
      <formula>NOT(ISERROR(SEARCH("Today",AB5)))</formula>
    </cfRule>
    <cfRule type="containsText" dxfId="3" priority="69" operator="containsText" text="Upcoming">
      <formula>NOT(ISERROR(SEARCH("Upcoming",AB5)))</formula>
    </cfRule>
    <cfRule type="containsText" dxfId="3" priority="70" operator="containsText" text="Tomorrow">
      <formula>NOT(ISERROR(SEARCH("Tomorrow",AB5)))</formula>
    </cfRule>
  </conditionalFormatting>
  <conditionalFormatting sqref="W5:W44">
    <cfRule type="cellIs" dxfId="5" priority="1" operator="lessThan">
      <formula>0</formula>
    </cfRule>
    <cfRule type="cellIs" dxfId="1" priority="2" operator="greaterThan">
      <formula>0</formula>
    </cfRule>
  </conditionalFormatting>
  <conditionalFormatting sqref="X5:X44">
    <cfRule type="cellIs" dxfId="2" priority="3" operator="lessThan">
      <formula>MinimumWage</formula>
    </cfRule>
  </conditionalFormatting>
  <dataValidations count="11">
    <dataValidation type="list" allowBlank="1" showInputMessage="1" showErrorMessage="1" sqref="B5:B44">
      <formula1>EventTypeList</formula1>
    </dataValidation>
    <dataValidation type="date" allowBlank="1" showInputMessage="1" showErrorMessage="1" errorTitle="Check the date" error="Enter a real date between 2000 and 2100." sqref="C5:C44">
      <formula1>36526</formula1>
      <formula2>73415</formula2>
    </dataValidation>
    <dataValidation type="decimal" allowBlank="1" showInputMessage="1" showErrorMessage="1" errorTitle="Check the value" error="Enter a number between 0 and 60." sqref="D5:D44">
      <formula1>0</formula1>
      <formula2>60</formula2>
    </dataValidation>
    <dataValidation type="decimal" allowBlank="1" showInputMessage="1" showErrorMessage="1" errorTitle="Check the value" error="Enter a number between 0 and 100000." sqref="E5:E44">
      <formula1>0</formula1>
      <formula2>100000</formula2>
    </dataValidation>
    <dataValidation type="decimal" allowBlank="1" showInputMessage="1" showErrorMessage="1" errorTitle="Check the value" error="Enter a number between 0 and 100000." sqref="F5:F44">
      <formula1>0</formula1>
      <formula2>100000</formula2>
    </dataValidation>
    <dataValidation type="decimal" allowBlank="1" showInputMessage="1" showErrorMessage="1" errorTitle="Check the value" error="Enter a number between 0 and 100000." sqref="G5:G44">
      <formula1>0</formula1>
      <formula2>100000</formula2>
    </dataValidation>
    <dataValidation type="decimal" allowBlank="1" showInputMessage="1" showErrorMessage="1" errorTitle="Check the value" error="Enter a number between 0 and 100000." promptTitle="Stock, display, other" prompt="Banners, a new table cover, card reader fees, the coffee." sqref="H5:H44">
      <formula1>0</formula1>
      <formula2>100000</formula2>
    </dataValidation>
    <dataValidation type="decimal" allowBlank="1" showInputMessage="1" showErrorMessage="1" errorTitle="Check the value" error="Enter a number between 0 and 1000." promptTitle="Prep hours" prompt="Making extra stock, pricing, packing the car." sqref="I5:I44">
      <formula1>0</formula1>
      <formula2>1000</formula2>
    </dataValidation>
    <dataValidation type="decimal" allowBlank="1" showInputMessage="1" showErrorMessage="1" errorTitle="Check the value" error="Enter a number between 0 and 1000." promptTitle="Hours on the stall" prompt="Including setting up and packing down. They count." sqref="J5:J44">
      <formula1>0</formula1>
      <formula2>1000</formula2>
    </dataValidation>
    <dataValidation type="decimal" allowBlank="1" showInputMessage="1" showErrorMessage="1" errorTitle="Check the value" error="Enter a number between 0 and 1000000." sqref="K5:K44">
      <formula1>0</formula1>
      <formula2>1000000</formula2>
    </dataValidation>
    <dataValidation type="whole" allowBlank="1" showInputMessage="1" showErrorMessage="1" errorTitle="Check the value" error="Enter a number between 0 and 10000000." sqref="L5:L44">
      <formula1>0</formula1>
      <formula2>10000000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&amp;L&amp;"Calibri,Bold"&amp;12&amp;C&amp;"Calibri,Bold"&amp;11Events&amp;R&amp;"Calibri,Italic"&amp;9Handmade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2.xml><?xml version="1.0" encoding="utf-8"?>
<worksheet xmlns="http://schemas.openxmlformats.org/spreadsheetml/2006/main" xmlns:r="http://schemas.openxmlformats.org/officeDocument/2006/relationships">
  <sheetPr>
    <tabColor rgb="FFB5704F"/>
    <pageSetUpPr fitToPage="1"/>
  </sheetPr>
  <dimension ref="A1:AA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style="38" customWidth="1"/>
    <col min="2" max="2" width="26.7109375" style="15" customWidth="1"/>
    <col min="3" max="3" width="18.7109375" style="15" customWidth="1"/>
    <col min="4" max="4" width="18.7109375" style="15" customWidth="1"/>
    <col min="5" max="5" width="24.7109375" style="15" customWidth="1"/>
    <col min="6" max="6" width="15.7109375" style="15" customWidth="1"/>
    <col min="7" max="7" width="16.7109375" style="15" customWidth="1"/>
    <col min="8" max="8" width="22.7109375" style="15" customWidth="1"/>
    <col min="9" max="9" width="11.7109375" style="19" customWidth="1"/>
    <col min="10" max="10" width="11.7109375" style="18" hidden="1" customWidth="1"/>
    <col min="11" max="11" width="11.7109375" style="22" customWidth="1"/>
    <col min="12" max="12" width="12.7109375" style="22" hidden="1" customWidth="1"/>
    <col min="13" max="13" width="12.7109375" style="47" customWidth="1"/>
    <col min="14" max="14" width="11.7109375" style="47" customWidth="1"/>
    <col min="15" max="15" width="28.7109375" style="40" customWidth="1"/>
    <col min="16" max="16" width="11.7109375" style="33" hidden="1" customWidth="1"/>
    <col min="17" max="17" width="9.7109375" style="32" customWidth="1"/>
    <col min="18" max="18" width="11.7109375" style="32" customWidth="1"/>
    <col min="19" max="19" width="12.7109375" style="20" customWidth="1"/>
    <col min="20" max="20" width="13.7109375" style="20" customWidth="1"/>
    <col min="21" max="21" width="9.7109375" style="33" customWidth="1"/>
    <col min="22" max="22" width="11.7109375" style="20" customWidth="1"/>
    <col min="23" max="23" width="11.7109375" style="17" customWidth="1"/>
    <col min="24" max="24" width="10.7109375" style="32" hidden="1" customWidth="1"/>
    <col min="25" max="25" width="11.7109375" style="20" customWidth="1"/>
    <col min="26" max="26" width="13.7109375" style="43" customWidth="1"/>
    <col min="27" max="27" width="30.7109375" style="43" customWidth="1"/>
  </cols>
  <sheetData>
    <row r="1" spans="1:27" ht="34" customHeight="1">
      <c r="A1" s="2" t="s">
        <v>416</v>
      </c>
      <c r="B1" s="2"/>
      <c r="C1" s="2"/>
      <c r="D1" s="2"/>
      <c r="E1" s="2"/>
      <c r="F1" s="2"/>
      <c r="G1" s="2"/>
      <c r="H1" s="2"/>
      <c r="I1" s="2"/>
      <c r="J1" s="2"/>
      <c r="K1" s="2"/>
      <c r="L1" s="2"/>
      <c r="M1" s="2"/>
      <c r="N1" s="2"/>
      <c r="O1" s="2"/>
      <c r="P1" s="2"/>
      <c r="Q1" s="2"/>
      <c r="R1" s="2"/>
      <c r="S1" s="2"/>
      <c r="T1" s="2"/>
      <c r="U1" s="2"/>
      <c r="V1" s="2"/>
      <c r="W1" s="2"/>
      <c r="X1" s="2"/>
      <c r="Y1" s="3" t="s">
        <v>1</v>
      </c>
      <c r="Z1" s="3"/>
      <c r="AA1" s="3"/>
    </row>
    <row r="2" spans="1:27" ht="18" customHeight="1">
      <c r="A2" s="4" t="s">
        <v>1857</v>
      </c>
      <c r="B2" s="4"/>
      <c r="C2" s="4"/>
      <c r="D2" s="4"/>
      <c r="E2" s="4"/>
      <c r="F2" s="4"/>
      <c r="G2" s="4"/>
      <c r="H2" s="4"/>
      <c r="I2" s="4"/>
      <c r="J2" s="4"/>
      <c r="K2" s="4"/>
      <c r="L2" s="4"/>
      <c r="M2" s="4"/>
      <c r="N2" s="4"/>
      <c r="O2" s="4"/>
      <c r="P2" s="4"/>
      <c r="Q2" s="4"/>
      <c r="R2" s="4"/>
      <c r="S2" s="4"/>
      <c r="T2" s="4"/>
      <c r="U2" s="4"/>
      <c r="V2" s="4"/>
      <c r="W2" s="4"/>
      <c r="X2" s="4"/>
      <c r="Y2" s="4"/>
      <c r="Z2" s="4"/>
      <c r="AA2" s="4"/>
    </row>
    <row r="3" spans="1:27"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1858</v>
      </c>
      <c r="T3" s="44"/>
      <c r="U3" s="44"/>
      <c r="V3" s="44"/>
      <c r="W3" s="44"/>
      <c r="X3" s="44"/>
      <c r="Y3" s="44"/>
      <c r="Z3" s="44"/>
      <c r="AA3" s="44"/>
    </row>
    <row r="4" spans="1:27" ht="30" customHeight="1">
      <c r="A4" s="8" t="s">
        <v>451</v>
      </c>
      <c r="B4" s="8" t="s">
        <v>369</v>
      </c>
      <c r="C4" s="9" t="s">
        <v>569</v>
      </c>
      <c r="D4" s="9" t="s">
        <v>1859</v>
      </c>
      <c r="E4" s="9" t="s">
        <v>191</v>
      </c>
      <c r="F4" s="9" t="s">
        <v>193</v>
      </c>
      <c r="G4" s="9" t="s">
        <v>1860</v>
      </c>
      <c r="H4" s="9" t="s">
        <v>1861</v>
      </c>
      <c r="I4" s="9" t="s">
        <v>1862</v>
      </c>
      <c r="J4" s="9" t="s">
        <v>1863</v>
      </c>
      <c r="K4" s="9" t="s">
        <v>1864</v>
      </c>
      <c r="L4" s="9" t="s">
        <v>1865</v>
      </c>
      <c r="M4" s="9" t="s">
        <v>1866</v>
      </c>
      <c r="N4" s="9" t="s">
        <v>1867</v>
      </c>
      <c r="O4" s="9" t="s">
        <v>466</v>
      </c>
      <c r="P4" s="9" t="s">
        <v>1868</v>
      </c>
      <c r="Q4" s="9" t="s">
        <v>442</v>
      </c>
      <c r="R4" s="9" t="s">
        <v>1869</v>
      </c>
      <c r="S4" s="9" t="s">
        <v>1870</v>
      </c>
      <c r="T4" s="9" t="s">
        <v>1871</v>
      </c>
      <c r="U4" s="9" t="s">
        <v>42</v>
      </c>
      <c r="V4" s="9" t="s">
        <v>1676</v>
      </c>
      <c r="W4" s="9" t="s">
        <v>1872</v>
      </c>
      <c r="X4" s="9" t="s">
        <v>1707</v>
      </c>
      <c r="Y4" s="9" t="s">
        <v>1873</v>
      </c>
      <c r="Z4" s="9" t="s">
        <v>453</v>
      </c>
      <c r="AA4" s="9" t="s">
        <v>510</v>
      </c>
    </row>
    <row r="5" spans="1:27">
      <c r="A5" s="38">
        <f>IF(B5="","",CustomerPrefix&amp;TEXT(ROW()-4,"0000"))</f>
        <v>0</v>
      </c>
      <c r="B5" s="15" t="s">
        <v>1874</v>
      </c>
      <c r="C5" s="15" t="s">
        <v>1875</v>
      </c>
      <c r="D5" s="15" t="s">
        <v>1876</v>
      </c>
      <c r="E5" s="15" t="s">
        <v>1877</v>
      </c>
      <c r="F5" s="15" t="s">
        <v>1878</v>
      </c>
      <c r="G5" s="15" t="s">
        <v>1879</v>
      </c>
      <c r="H5" s="15" t="s">
        <v>1880</v>
      </c>
      <c r="I5" s="19">
        <v>0.5</v>
      </c>
      <c r="J5" s="18">
        <v>250</v>
      </c>
      <c r="K5" s="22">
        <v>46077</v>
      </c>
      <c r="L5" s="22">
        <v>46077</v>
      </c>
      <c r="M5" s="47" t="s">
        <v>281</v>
      </c>
      <c r="N5" s="47" t="s">
        <v>278</v>
      </c>
      <c r="O5" s="40" t="s">
        <v>1881</v>
      </c>
      <c r="P5" s="33">
        <f>IF(B5="","",IF(I5&lt;&gt;"",I5,WholesaleDiscount))</f>
        <v>0</v>
      </c>
      <c r="Q5" s="32">
        <f>IF(B5="","",COUNTIFS('Wholesale Orders'!$C$5:$C$204,A5))</f>
        <v>0</v>
      </c>
      <c r="R5" s="32">
        <f>IF(B5="","",SUMIFS('Wholesale Orders'!$F$5:$F$204,'Wholesale Orders'!$C$5:$C$204,A5))</f>
        <v>0</v>
      </c>
      <c r="S5" s="20">
        <f>IF(B5="","",ROUND(SUMIFS('Wholesale Orders'!$V$5:$V$204,'Wholesale Orders'!$C$5:$C$204,A5),2))</f>
        <v>0</v>
      </c>
      <c r="T5" s="20">
        <f>IF(B5="","",ROUND(SUMIFS('Wholesale Orders'!$X$5:$X$204,'Wholesale Orders'!$C$5:$C$204,A5),2))</f>
        <v>0</v>
      </c>
      <c r="U5" s="33">
        <f>IF(B5="","",IF(OR(S5="",S5=0),"",T5/S5))</f>
        <v>0</v>
      </c>
      <c r="V5" s="20">
        <f>IF(B5="","",IF(Q5=0,"",ROUND(S5/Q5,2)))</f>
        <v>0</v>
      </c>
      <c r="W5" s="17">
        <f>IF(B5="","",IF(SUMPRODUCT(MAX(('Wholesale Orders'!$C$5:$C$204=A5)*'Wholesale Orders'!$B$5:$B$204))=0,"",SUMPRODUCT(MAX(('Wholesale Orders'!$C$5:$C$204=A5)*'Wholesale Orders'!$B$5:$B$204))))</f>
        <v>0</v>
      </c>
      <c r="X5" s="32">
        <f>IF(B5="","",IF(W5="","",TodayDate-W5))</f>
        <v>0</v>
      </c>
      <c r="Y5" s="20">
        <f>IF(B5="","",ROUND(SUMIFS('Wholesale Orders'!$V$5:$V$204,'Wholesale Orders'!$C$5:$C$204,A5,'Wholesale Orders'!$M$5:$M$204,"No"),2))</f>
        <v>0</v>
      </c>
      <c r="Z5" s="43">
        <f>IF(B5="","",IF(Q5=0,"Prospect",IF(N5="No","Inactive",IF(AND(X5&lt;&gt;"",X5&gt;180),"Going quiet","Active"))))</f>
        <v>0</v>
      </c>
      <c r="AA5" s="43">
        <f>IF(B5="","",IF(Q5=0,"New - no orders yet",IF(Y5&gt;0,"Chase - money outstanding",IF(U5&lt;0,"Loss - this stockist costs you money",IF(AND(U5&lt;&gt;"",U5&lt;TargetWholesaleMargin),"Low margin - their discount is too deep",IF(Z5="Going quiet","Chase - six months without an order","OK"))))))</f>
        <v>0</v>
      </c>
    </row>
    <row r="6" spans="1:27">
      <c r="A6" s="38">
        <f>IF(B6="","",CustomerPrefix&amp;TEXT(ROW()-4,"0000"))</f>
        <v>0</v>
      </c>
      <c r="B6" s="15" t="s">
        <v>1882</v>
      </c>
      <c r="C6" s="15" t="s">
        <v>1883</v>
      </c>
      <c r="D6" s="15" t="s">
        <v>1884</v>
      </c>
      <c r="E6" s="15" t="s">
        <v>1885</v>
      </c>
      <c r="F6" s="15" t="s">
        <v>1886</v>
      </c>
      <c r="G6" s="15" t="s">
        <v>1887</v>
      </c>
      <c r="H6" s="15" t="s">
        <v>1888</v>
      </c>
      <c r="I6" s="19">
        <v>0.45</v>
      </c>
      <c r="J6" s="18">
        <v>200</v>
      </c>
      <c r="K6" s="22">
        <v>46167</v>
      </c>
      <c r="L6" s="22">
        <v>46167</v>
      </c>
      <c r="M6" s="47" t="s">
        <v>281</v>
      </c>
      <c r="N6" s="47" t="s">
        <v>278</v>
      </c>
      <c r="O6" s="40" t="s">
        <v>1889</v>
      </c>
      <c r="P6" s="33">
        <f>IF(B6="","",IF(I6&lt;&gt;"",I6,WholesaleDiscount))</f>
        <v>0</v>
      </c>
      <c r="Q6" s="32">
        <f>IF(B6="","",COUNTIFS('Wholesale Orders'!$C$5:$C$204,A6))</f>
        <v>0</v>
      </c>
      <c r="R6" s="32">
        <f>IF(B6="","",SUMIFS('Wholesale Orders'!$F$5:$F$204,'Wholesale Orders'!$C$5:$C$204,A6))</f>
        <v>0</v>
      </c>
      <c r="S6" s="20">
        <f>IF(B6="","",ROUND(SUMIFS('Wholesale Orders'!$V$5:$V$204,'Wholesale Orders'!$C$5:$C$204,A6),2))</f>
        <v>0</v>
      </c>
      <c r="T6" s="20">
        <f>IF(B6="","",ROUND(SUMIFS('Wholesale Orders'!$X$5:$X$204,'Wholesale Orders'!$C$5:$C$204,A6),2))</f>
        <v>0</v>
      </c>
      <c r="U6" s="33">
        <f>IF(B6="","",IF(OR(S6="",S6=0),"",T6/S6))</f>
        <v>0</v>
      </c>
      <c r="V6" s="20">
        <f>IF(B6="","",IF(Q6=0,"",ROUND(S6/Q6,2)))</f>
        <v>0</v>
      </c>
      <c r="W6" s="17">
        <f>IF(B6="","",IF(SUMPRODUCT(MAX(('Wholesale Orders'!$C$5:$C$204=A6)*'Wholesale Orders'!$B$5:$B$204))=0,"",SUMPRODUCT(MAX(('Wholesale Orders'!$C$5:$C$204=A6)*'Wholesale Orders'!$B$5:$B$204))))</f>
        <v>0</v>
      </c>
      <c r="X6" s="32">
        <f>IF(B6="","",IF(W6="","",TodayDate-W6))</f>
        <v>0</v>
      </c>
      <c r="Y6" s="20">
        <f>IF(B6="","",ROUND(SUMIFS('Wholesale Orders'!$V$5:$V$204,'Wholesale Orders'!$C$5:$C$204,A6,'Wholesale Orders'!$M$5:$M$204,"No"),2))</f>
        <v>0</v>
      </c>
      <c r="Z6" s="43">
        <f>IF(B6="","",IF(Q6=0,"Prospect",IF(N6="No","Inactive",IF(AND(X6&lt;&gt;"",X6&gt;180),"Going quiet","Active"))))</f>
        <v>0</v>
      </c>
      <c r="AA6" s="43">
        <f>IF(B6="","",IF(Q6=0,"New - no orders yet",IF(Y6&gt;0,"Chase - money outstanding",IF(U6&lt;0,"Loss - this stockist costs you money",IF(AND(U6&lt;&gt;"",U6&lt;TargetWholesaleMargin),"Low margin - their discount is too deep",IF(Z6="Going quiet","Chase - six months without an order","OK"))))))</f>
        <v>0</v>
      </c>
    </row>
    <row r="7" spans="1:27">
      <c r="A7" s="38">
        <f>IF(B7="","",CustomerPrefix&amp;TEXT(ROW()-4,"0000"))</f>
        <v>0</v>
      </c>
      <c r="B7" s="15" t="s">
        <v>1890</v>
      </c>
      <c r="C7" s="15" t="s">
        <v>1891</v>
      </c>
      <c r="D7" s="15" t="s">
        <v>1892</v>
      </c>
      <c r="E7" s="15" t="s">
        <v>1893</v>
      </c>
      <c r="F7" s="15" t="s">
        <v>1894</v>
      </c>
      <c r="G7" s="15" t="s">
        <v>1879</v>
      </c>
      <c r="H7" s="15" t="s">
        <v>1895</v>
      </c>
      <c r="I7" s="19">
        <v>0.5</v>
      </c>
      <c r="J7" s="18">
        <v>250</v>
      </c>
      <c r="K7" s="22">
        <v>46227</v>
      </c>
      <c r="L7" s="22">
        <v>46227</v>
      </c>
      <c r="M7" s="47" t="s">
        <v>281</v>
      </c>
      <c r="N7" s="47" t="s">
        <v>278</v>
      </c>
      <c r="P7" s="33">
        <f>IF(B7="","",IF(I7&lt;&gt;"",I7,WholesaleDiscount))</f>
        <v>0</v>
      </c>
      <c r="Q7" s="32">
        <f>IF(B7="","",COUNTIFS('Wholesale Orders'!$C$5:$C$204,A7))</f>
        <v>0</v>
      </c>
      <c r="R7" s="32">
        <f>IF(B7="","",SUMIFS('Wholesale Orders'!$F$5:$F$204,'Wholesale Orders'!$C$5:$C$204,A7))</f>
        <v>0</v>
      </c>
      <c r="S7" s="20">
        <f>IF(B7="","",ROUND(SUMIFS('Wholesale Orders'!$V$5:$V$204,'Wholesale Orders'!$C$5:$C$204,A7),2))</f>
        <v>0</v>
      </c>
      <c r="T7" s="20">
        <f>IF(B7="","",ROUND(SUMIFS('Wholesale Orders'!$X$5:$X$204,'Wholesale Orders'!$C$5:$C$204,A7),2))</f>
        <v>0</v>
      </c>
      <c r="U7" s="33">
        <f>IF(B7="","",IF(OR(S7="",S7=0),"",T7/S7))</f>
        <v>0</v>
      </c>
      <c r="V7" s="20">
        <f>IF(B7="","",IF(Q7=0,"",ROUND(S7/Q7,2)))</f>
        <v>0</v>
      </c>
      <c r="W7" s="17">
        <f>IF(B7="","",IF(SUMPRODUCT(MAX(('Wholesale Orders'!$C$5:$C$204=A7)*'Wholesale Orders'!$B$5:$B$204))=0,"",SUMPRODUCT(MAX(('Wholesale Orders'!$C$5:$C$204=A7)*'Wholesale Orders'!$B$5:$B$204))))</f>
        <v>0</v>
      </c>
      <c r="X7" s="32">
        <f>IF(B7="","",IF(W7="","",TodayDate-W7))</f>
        <v>0</v>
      </c>
      <c r="Y7" s="20">
        <f>IF(B7="","",ROUND(SUMIFS('Wholesale Orders'!$V$5:$V$204,'Wholesale Orders'!$C$5:$C$204,A7,'Wholesale Orders'!$M$5:$M$204,"No"),2))</f>
        <v>0</v>
      </c>
      <c r="Z7" s="43">
        <f>IF(B7="","",IF(Q7=0,"Prospect",IF(N7="No","Inactive",IF(AND(X7&lt;&gt;"",X7&gt;180),"Going quiet","Active"))))</f>
        <v>0</v>
      </c>
      <c r="AA7" s="43">
        <f>IF(B7="","",IF(Q7=0,"New - no orders yet",IF(Y7&gt;0,"Chase - money outstanding",IF(U7&lt;0,"Loss - this stockist costs you money",IF(AND(U7&lt;&gt;"",U7&lt;TargetWholesaleMargin),"Low margin - their discount is too deep",IF(Z7="Going quiet","Chase - six months without an order","OK"))))))</f>
        <v>0</v>
      </c>
    </row>
    <row r="8" spans="1:27">
      <c r="A8" s="38">
        <f>IF(B8="","",CustomerPrefix&amp;TEXT(ROW()-4,"0000"))</f>
        <v>0</v>
      </c>
      <c r="B8" s="15" t="s">
        <v>1896</v>
      </c>
      <c r="C8" s="15" t="s">
        <v>1897</v>
      </c>
      <c r="D8" s="15" t="s">
        <v>1898</v>
      </c>
      <c r="E8" s="15" t="s">
        <v>1899</v>
      </c>
      <c r="F8" s="15" t="s">
        <v>1900</v>
      </c>
      <c r="G8" s="15" t="s">
        <v>1879</v>
      </c>
      <c r="H8" s="15" t="s">
        <v>1901</v>
      </c>
      <c r="I8" s="19">
        <v>0.4</v>
      </c>
      <c r="J8" s="18">
        <v>0</v>
      </c>
      <c r="K8" s="22">
        <v>46017</v>
      </c>
      <c r="L8" s="22">
        <v>46017</v>
      </c>
      <c r="M8" s="47" t="s">
        <v>281</v>
      </c>
      <c r="N8" s="47" t="s">
        <v>281</v>
      </c>
      <c r="O8" s="40" t="s">
        <v>1902</v>
      </c>
      <c r="P8" s="33">
        <f>IF(B8="","",IF(I8&lt;&gt;"",I8,WholesaleDiscount))</f>
        <v>0</v>
      </c>
      <c r="Q8" s="32">
        <f>IF(B8="","",COUNTIFS('Wholesale Orders'!$C$5:$C$204,A8))</f>
        <v>0</v>
      </c>
      <c r="R8" s="32">
        <f>IF(B8="","",SUMIFS('Wholesale Orders'!$F$5:$F$204,'Wholesale Orders'!$C$5:$C$204,A8))</f>
        <v>0</v>
      </c>
      <c r="S8" s="20">
        <f>IF(B8="","",ROUND(SUMIFS('Wholesale Orders'!$V$5:$V$204,'Wholesale Orders'!$C$5:$C$204,A8),2))</f>
        <v>0</v>
      </c>
      <c r="T8" s="20">
        <f>IF(B8="","",ROUND(SUMIFS('Wholesale Orders'!$X$5:$X$204,'Wholesale Orders'!$C$5:$C$204,A8),2))</f>
        <v>0</v>
      </c>
      <c r="U8" s="33">
        <f>IF(B8="","",IF(OR(S8="",S8=0),"",T8/S8))</f>
        <v>0</v>
      </c>
      <c r="V8" s="20">
        <f>IF(B8="","",IF(Q8=0,"",ROUND(S8/Q8,2)))</f>
        <v>0</v>
      </c>
      <c r="W8" s="17">
        <f>IF(B8="","",IF(SUMPRODUCT(MAX(('Wholesale Orders'!$C$5:$C$204=A8)*'Wholesale Orders'!$B$5:$B$204))=0,"",SUMPRODUCT(MAX(('Wholesale Orders'!$C$5:$C$204=A8)*'Wholesale Orders'!$B$5:$B$204))))</f>
        <v>0</v>
      </c>
      <c r="X8" s="32">
        <f>IF(B8="","",IF(W8="","",TodayDate-W8))</f>
        <v>0</v>
      </c>
      <c r="Y8" s="20">
        <f>IF(B8="","",ROUND(SUMIFS('Wholesale Orders'!$V$5:$V$204,'Wholesale Orders'!$C$5:$C$204,A8,'Wholesale Orders'!$M$5:$M$204,"No"),2))</f>
        <v>0</v>
      </c>
      <c r="Z8" s="43">
        <f>IF(B8="","",IF(Q8=0,"Prospect",IF(N8="No","Inactive",IF(AND(X8&lt;&gt;"",X8&gt;180),"Going quiet","Active"))))</f>
        <v>0</v>
      </c>
      <c r="AA8" s="43">
        <f>IF(B8="","",IF(Q8=0,"New - no orders yet",IF(Y8&gt;0,"Chase - money outstanding",IF(U8&lt;0,"Loss - this stockist costs you money",IF(AND(U8&lt;&gt;"",U8&lt;TargetWholesaleMargin),"Low margin - their discount is too deep",IF(Z8="Going quiet","Chase - six months without an order","OK"))))))</f>
        <v>0</v>
      </c>
    </row>
    <row r="9" spans="1:27">
      <c r="A9" s="38">
        <f>IF(B9="","",CustomerPrefix&amp;TEXT(ROW()-4,"0000"))</f>
        <v>0</v>
      </c>
      <c r="B9" s="15" t="s">
        <v>1903</v>
      </c>
      <c r="C9" s="15" t="s">
        <v>1904</v>
      </c>
      <c r="D9" s="15" t="s">
        <v>1905</v>
      </c>
      <c r="E9" s="15" t="s">
        <v>1906</v>
      </c>
      <c r="F9" s="15" t="s">
        <v>1907</v>
      </c>
      <c r="G9" s="15" t="s">
        <v>1908</v>
      </c>
      <c r="H9" s="15" t="s">
        <v>1909</v>
      </c>
      <c r="I9" s="19">
        <v>0.55</v>
      </c>
      <c r="J9" s="18">
        <v>600</v>
      </c>
      <c r="K9" s="22">
        <v>46277</v>
      </c>
      <c r="L9" s="22">
        <v>46277</v>
      </c>
      <c r="M9" s="47" t="s">
        <v>281</v>
      </c>
      <c r="N9" s="47" t="s">
        <v>278</v>
      </c>
      <c r="O9" s="40" t="s">
        <v>1910</v>
      </c>
      <c r="P9" s="33">
        <f>IF(B9="","",IF(I9&lt;&gt;"",I9,WholesaleDiscount))</f>
        <v>0</v>
      </c>
      <c r="Q9" s="32">
        <f>IF(B9="","",COUNTIFS('Wholesale Orders'!$C$5:$C$204,A9))</f>
        <v>0</v>
      </c>
      <c r="R9" s="32">
        <f>IF(B9="","",SUMIFS('Wholesale Orders'!$F$5:$F$204,'Wholesale Orders'!$C$5:$C$204,A9))</f>
        <v>0</v>
      </c>
      <c r="S9" s="20">
        <f>IF(B9="","",ROUND(SUMIFS('Wholesale Orders'!$V$5:$V$204,'Wholesale Orders'!$C$5:$C$204,A9),2))</f>
        <v>0</v>
      </c>
      <c r="T9" s="20">
        <f>IF(B9="","",ROUND(SUMIFS('Wholesale Orders'!$X$5:$X$204,'Wholesale Orders'!$C$5:$C$204,A9),2))</f>
        <v>0</v>
      </c>
      <c r="U9" s="33">
        <f>IF(B9="","",IF(OR(S9="",S9=0),"",T9/S9))</f>
        <v>0</v>
      </c>
      <c r="V9" s="20">
        <f>IF(B9="","",IF(Q9=0,"",ROUND(S9/Q9,2)))</f>
        <v>0</v>
      </c>
      <c r="W9" s="17">
        <f>IF(B9="","",IF(SUMPRODUCT(MAX(('Wholesale Orders'!$C$5:$C$204=A9)*'Wholesale Orders'!$B$5:$B$204))=0,"",SUMPRODUCT(MAX(('Wholesale Orders'!$C$5:$C$204=A9)*'Wholesale Orders'!$B$5:$B$204))))</f>
        <v>0</v>
      </c>
      <c r="X9" s="32">
        <f>IF(B9="","",IF(W9="","",TodayDate-W9))</f>
        <v>0</v>
      </c>
      <c r="Y9" s="20">
        <f>IF(B9="","",ROUND(SUMIFS('Wholesale Orders'!$V$5:$V$204,'Wholesale Orders'!$C$5:$C$204,A9,'Wholesale Orders'!$M$5:$M$204,"No"),2))</f>
        <v>0</v>
      </c>
      <c r="Z9" s="43">
        <f>IF(B9="","",IF(Q9=0,"Prospect",IF(N9="No","Inactive",IF(AND(X9&lt;&gt;"",X9&gt;180),"Going quiet","Active"))))</f>
        <v>0</v>
      </c>
      <c r="AA9" s="43">
        <f>IF(B9="","",IF(Q9=0,"New - no orders yet",IF(Y9&gt;0,"Chase - money outstanding",IF(U9&lt;0,"Loss - this stockist costs you money",IF(AND(U9&lt;&gt;"",U9&lt;TargetWholesaleMargin),"Low margin - their discount is too deep",IF(Z9="Going quiet","Chase - six months without an order","OK"))))))</f>
        <v>0</v>
      </c>
    </row>
    <row r="10" spans="1:27">
      <c r="A10" s="38">
        <f>IF(B10="","",CustomerPrefix&amp;TEXT(ROW()-4,"0000"))</f>
        <v>0</v>
      </c>
      <c r="P10" s="33">
        <f>IF(B10="","",IF(I10&lt;&gt;"",I10,WholesaleDiscount))</f>
        <v>0</v>
      </c>
      <c r="Q10" s="32">
        <f>IF(B10="","",COUNTIFS('Wholesale Orders'!$C$5:$C$204,A10))</f>
        <v>0</v>
      </c>
      <c r="R10" s="32">
        <f>IF(B10="","",SUMIFS('Wholesale Orders'!$F$5:$F$204,'Wholesale Orders'!$C$5:$C$204,A10))</f>
        <v>0</v>
      </c>
      <c r="S10" s="20">
        <f>IF(B10="","",ROUND(SUMIFS('Wholesale Orders'!$V$5:$V$204,'Wholesale Orders'!$C$5:$C$204,A10),2))</f>
        <v>0</v>
      </c>
      <c r="T10" s="20">
        <f>IF(B10="","",ROUND(SUMIFS('Wholesale Orders'!$X$5:$X$204,'Wholesale Orders'!$C$5:$C$204,A10),2))</f>
        <v>0</v>
      </c>
      <c r="U10" s="33">
        <f>IF(B10="","",IF(OR(S10="",S10=0),"",T10/S10))</f>
        <v>0</v>
      </c>
      <c r="V10" s="20">
        <f>IF(B10="","",IF(Q10=0,"",ROUND(S10/Q10,2)))</f>
        <v>0</v>
      </c>
      <c r="W10" s="17">
        <f>IF(B10="","",IF(SUMPRODUCT(MAX(('Wholesale Orders'!$C$5:$C$204=A10)*'Wholesale Orders'!$B$5:$B$204))=0,"",SUMPRODUCT(MAX(('Wholesale Orders'!$C$5:$C$204=A10)*'Wholesale Orders'!$B$5:$B$204))))</f>
        <v>0</v>
      </c>
      <c r="X10" s="32">
        <f>IF(B10="","",IF(W10="","",TodayDate-W10))</f>
        <v>0</v>
      </c>
      <c r="Y10" s="20">
        <f>IF(B10="","",ROUND(SUMIFS('Wholesale Orders'!$V$5:$V$204,'Wholesale Orders'!$C$5:$C$204,A10,'Wholesale Orders'!$M$5:$M$204,"No"),2))</f>
        <v>0</v>
      </c>
      <c r="Z10" s="43">
        <f>IF(B10="","",IF(Q10=0,"Prospect",IF(N10="No","Inactive",IF(AND(X10&lt;&gt;"",X10&gt;180),"Going quiet","Active"))))</f>
        <v>0</v>
      </c>
      <c r="AA10" s="43">
        <f>IF(B10="","",IF(Q10=0,"New - no orders yet",IF(Y10&gt;0,"Chase - money outstanding",IF(U10&lt;0,"Loss - this stockist costs you money",IF(AND(U10&lt;&gt;"",U10&lt;TargetWholesaleMargin),"Low margin - their discount is too deep",IF(Z10="Going quiet","Chase - six months without an order","OK"))))))</f>
        <v>0</v>
      </c>
    </row>
    <row r="11" spans="1:27">
      <c r="A11" s="38">
        <f>IF(B11="","",CustomerPrefix&amp;TEXT(ROW()-4,"0000"))</f>
        <v>0</v>
      </c>
      <c r="P11" s="33">
        <f>IF(B11="","",IF(I11&lt;&gt;"",I11,WholesaleDiscount))</f>
        <v>0</v>
      </c>
      <c r="Q11" s="32">
        <f>IF(B11="","",COUNTIFS('Wholesale Orders'!$C$5:$C$204,A11))</f>
        <v>0</v>
      </c>
      <c r="R11" s="32">
        <f>IF(B11="","",SUMIFS('Wholesale Orders'!$F$5:$F$204,'Wholesale Orders'!$C$5:$C$204,A11))</f>
        <v>0</v>
      </c>
      <c r="S11" s="20">
        <f>IF(B11="","",ROUND(SUMIFS('Wholesale Orders'!$V$5:$V$204,'Wholesale Orders'!$C$5:$C$204,A11),2))</f>
        <v>0</v>
      </c>
      <c r="T11" s="20">
        <f>IF(B11="","",ROUND(SUMIFS('Wholesale Orders'!$X$5:$X$204,'Wholesale Orders'!$C$5:$C$204,A11),2))</f>
        <v>0</v>
      </c>
      <c r="U11" s="33">
        <f>IF(B11="","",IF(OR(S11="",S11=0),"",T11/S11))</f>
        <v>0</v>
      </c>
      <c r="V11" s="20">
        <f>IF(B11="","",IF(Q11=0,"",ROUND(S11/Q11,2)))</f>
        <v>0</v>
      </c>
      <c r="W11" s="17">
        <f>IF(B11="","",IF(SUMPRODUCT(MAX(('Wholesale Orders'!$C$5:$C$204=A11)*'Wholesale Orders'!$B$5:$B$204))=0,"",SUMPRODUCT(MAX(('Wholesale Orders'!$C$5:$C$204=A11)*'Wholesale Orders'!$B$5:$B$204))))</f>
        <v>0</v>
      </c>
      <c r="X11" s="32">
        <f>IF(B11="","",IF(W11="","",TodayDate-W11))</f>
        <v>0</v>
      </c>
      <c r="Y11" s="20">
        <f>IF(B11="","",ROUND(SUMIFS('Wholesale Orders'!$V$5:$V$204,'Wholesale Orders'!$C$5:$C$204,A11,'Wholesale Orders'!$M$5:$M$204,"No"),2))</f>
        <v>0</v>
      </c>
      <c r="Z11" s="43">
        <f>IF(B11="","",IF(Q11=0,"Prospect",IF(N11="No","Inactive",IF(AND(X11&lt;&gt;"",X11&gt;180),"Going quiet","Active"))))</f>
        <v>0</v>
      </c>
      <c r="AA11" s="43">
        <f>IF(B11="","",IF(Q11=0,"New - no orders yet",IF(Y11&gt;0,"Chase - money outstanding",IF(U11&lt;0,"Loss - this stockist costs you money",IF(AND(U11&lt;&gt;"",U11&lt;TargetWholesaleMargin),"Low margin - their discount is too deep",IF(Z11="Going quiet","Chase - six months without an order","OK"))))))</f>
        <v>0</v>
      </c>
    </row>
    <row r="12" spans="1:27">
      <c r="A12" s="38">
        <f>IF(B12="","",CustomerPrefix&amp;TEXT(ROW()-4,"0000"))</f>
        <v>0</v>
      </c>
      <c r="P12" s="33">
        <f>IF(B12="","",IF(I12&lt;&gt;"",I12,WholesaleDiscount))</f>
        <v>0</v>
      </c>
      <c r="Q12" s="32">
        <f>IF(B12="","",COUNTIFS('Wholesale Orders'!$C$5:$C$204,A12))</f>
        <v>0</v>
      </c>
      <c r="R12" s="32">
        <f>IF(B12="","",SUMIFS('Wholesale Orders'!$F$5:$F$204,'Wholesale Orders'!$C$5:$C$204,A12))</f>
        <v>0</v>
      </c>
      <c r="S12" s="20">
        <f>IF(B12="","",ROUND(SUMIFS('Wholesale Orders'!$V$5:$V$204,'Wholesale Orders'!$C$5:$C$204,A12),2))</f>
        <v>0</v>
      </c>
      <c r="T12" s="20">
        <f>IF(B12="","",ROUND(SUMIFS('Wholesale Orders'!$X$5:$X$204,'Wholesale Orders'!$C$5:$C$204,A12),2))</f>
        <v>0</v>
      </c>
      <c r="U12" s="33">
        <f>IF(B12="","",IF(OR(S12="",S12=0),"",T12/S12))</f>
        <v>0</v>
      </c>
      <c r="V12" s="20">
        <f>IF(B12="","",IF(Q12=0,"",ROUND(S12/Q12,2)))</f>
        <v>0</v>
      </c>
      <c r="W12" s="17">
        <f>IF(B12="","",IF(SUMPRODUCT(MAX(('Wholesale Orders'!$C$5:$C$204=A12)*'Wholesale Orders'!$B$5:$B$204))=0,"",SUMPRODUCT(MAX(('Wholesale Orders'!$C$5:$C$204=A12)*'Wholesale Orders'!$B$5:$B$204))))</f>
        <v>0</v>
      </c>
      <c r="X12" s="32">
        <f>IF(B12="","",IF(W12="","",TodayDate-W12))</f>
        <v>0</v>
      </c>
      <c r="Y12" s="20">
        <f>IF(B12="","",ROUND(SUMIFS('Wholesale Orders'!$V$5:$V$204,'Wholesale Orders'!$C$5:$C$204,A12,'Wholesale Orders'!$M$5:$M$204,"No"),2))</f>
        <v>0</v>
      </c>
      <c r="Z12" s="43">
        <f>IF(B12="","",IF(Q12=0,"Prospect",IF(N12="No","Inactive",IF(AND(X12&lt;&gt;"",X12&gt;180),"Going quiet","Active"))))</f>
        <v>0</v>
      </c>
      <c r="AA12" s="43">
        <f>IF(B12="","",IF(Q12=0,"New - no orders yet",IF(Y12&gt;0,"Chase - money outstanding",IF(U12&lt;0,"Loss - this stockist costs you money",IF(AND(U12&lt;&gt;"",U12&lt;TargetWholesaleMargin),"Low margin - their discount is too deep",IF(Z12="Going quiet","Chase - six months without an order","OK"))))))</f>
        <v>0</v>
      </c>
    </row>
    <row r="13" spans="1:27">
      <c r="A13" s="38">
        <f>IF(B13="","",CustomerPrefix&amp;TEXT(ROW()-4,"0000"))</f>
        <v>0</v>
      </c>
      <c r="P13" s="33">
        <f>IF(B13="","",IF(I13&lt;&gt;"",I13,WholesaleDiscount))</f>
        <v>0</v>
      </c>
      <c r="Q13" s="32">
        <f>IF(B13="","",COUNTIFS('Wholesale Orders'!$C$5:$C$204,A13))</f>
        <v>0</v>
      </c>
      <c r="R13" s="32">
        <f>IF(B13="","",SUMIFS('Wholesale Orders'!$F$5:$F$204,'Wholesale Orders'!$C$5:$C$204,A13))</f>
        <v>0</v>
      </c>
      <c r="S13" s="20">
        <f>IF(B13="","",ROUND(SUMIFS('Wholesale Orders'!$V$5:$V$204,'Wholesale Orders'!$C$5:$C$204,A13),2))</f>
        <v>0</v>
      </c>
      <c r="T13" s="20">
        <f>IF(B13="","",ROUND(SUMIFS('Wholesale Orders'!$X$5:$X$204,'Wholesale Orders'!$C$5:$C$204,A13),2))</f>
        <v>0</v>
      </c>
      <c r="U13" s="33">
        <f>IF(B13="","",IF(OR(S13="",S13=0),"",T13/S13))</f>
        <v>0</v>
      </c>
      <c r="V13" s="20">
        <f>IF(B13="","",IF(Q13=0,"",ROUND(S13/Q13,2)))</f>
        <v>0</v>
      </c>
      <c r="W13" s="17">
        <f>IF(B13="","",IF(SUMPRODUCT(MAX(('Wholesale Orders'!$C$5:$C$204=A13)*'Wholesale Orders'!$B$5:$B$204))=0,"",SUMPRODUCT(MAX(('Wholesale Orders'!$C$5:$C$204=A13)*'Wholesale Orders'!$B$5:$B$204))))</f>
        <v>0</v>
      </c>
      <c r="X13" s="32">
        <f>IF(B13="","",IF(W13="","",TodayDate-W13))</f>
        <v>0</v>
      </c>
      <c r="Y13" s="20">
        <f>IF(B13="","",ROUND(SUMIFS('Wholesale Orders'!$V$5:$V$204,'Wholesale Orders'!$C$5:$C$204,A13,'Wholesale Orders'!$M$5:$M$204,"No"),2))</f>
        <v>0</v>
      </c>
      <c r="Z13" s="43">
        <f>IF(B13="","",IF(Q13=0,"Prospect",IF(N13="No","Inactive",IF(AND(X13&lt;&gt;"",X13&gt;180),"Going quiet","Active"))))</f>
        <v>0</v>
      </c>
      <c r="AA13" s="43">
        <f>IF(B13="","",IF(Q13=0,"New - no orders yet",IF(Y13&gt;0,"Chase - money outstanding",IF(U13&lt;0,"Loss - this stockist costs you money",IF(AND(U13&lt;&gt;"",U13&lt;TargetWholesaleMargin),"Low margin - their discount is too deep",IF(Z13="Going quiet","Chase - six months without an order","OK"))))))</f>
        <v>0</v>
      </c>
    </row>
    <row r="14" spans="1:27">
      <c r="A14" s="38">
        <f>IF(B14="","",CustomerPrefix&amp;TEXT(ROW()-4,"0000"))</f>
        <v>0</v>
      </c>
      <c r="P14" s="33">
        <f>IF(B14="","",IF(I14&lt;&gt;"",I14,WholesaleDiscount))</f>
        <v>0</v>
      </c>
      <c r="Q14" s="32">
        <f>IF(B14="","",COUNTIFS('Wholesale Orders'!$C$5:$C$204,A14))</f>
        <v>0</v>
      </c>
      <c r="R14" s="32">
        <f>IF(B14="","",SUMIFS('Wholesale Orders'!$F$5:$F$204,'Wholesale Orders'!$C$5:$C$204,A14))</f>
        <v>0</v>
      </c>
      <c r="S14" s="20">
        <f>IF(B14="","",ROUND(SUMIFS('Wholesale Orders'!$V$5:$V$204,'Wholesale Orders'!$C$5:$C$204,A14),2))</f>
        <v>0</v>
      </c>
      <c r="T14" s="20">
        <f>IF(B14="","",ROUND(SUMIFS('Wholesale Orders'!$X$5:$X$204,'Wholesale Orders'!$C$5:$C$204,A14),2))</f>
        <v>0</v>
      </c>
      <c r="U14" s="33">
        <f>IF(B14="","",IF(OR(S14="",S14=0),"",T14/S14))</f>
        <v>0</v>
      </c>
      <c r="V14" s="20">
        <f>IF(B14="","",IF(Q14=0,"",ROUND(S14/Q14,2)))</f>
        <v>0</v>
      </c>
      <c r="W14" s="17">
        <f>IF(B14="","",IF(SUMPRODUCT(MAX(('Wholesale Orders'!$C$5:$C$204=A14)*'Wholesale Orders'!$B$5:$B$204))=0,"",SUMPRODUCT(MAX(('Wholesale Orders'!$C$5:$C$204=A14)*'Wholesale Orders'!$B$5:$B$204))))</f>
        <v>0</v>
      </c>
      <c r="X14" s="32">
        <f>IF(B14="","",IF(W14="","",TodayDate-W14))</f>
        <v>0</v>
      </c>
      <c r="Y14" s="20">
        <f>IF(B14="","",ROUND(SUMIFS('Wholesale Orders'!$V$5:$V$204,'Wholesale Orders'!$C$5:$C$204,A14,'Wholesale Orders'!$M$5:$M$204,"No"),2))</f>
        <v>0</v>
      </c>
      <c r="Z14" s="43">
        <f>IF(B14="","",IF(Q14=0,"Prospect",IF(N14="No","Inactive",IF(AND(X14&lt;&gt;"",X14&gt;180),"Going quiet","Active"))))</f>
        <v>0</v>
      </c>
      <c r="AA14" s="43">
        <f>IF(B14="","",IF(Q14=0,"New - no orders yet",IF(Y14&gt;0,"Chase - money outstanding",IF(U14&lt;0,"Loss - this stockist costs you money",IF(AND(U14&lt;&gt;"",U14&lt;TargetWholesaleMargin),"Low margin - their discount is too deep",IF(Z14="Going quiet","Chase - six months without an order","OK"))))))</f>
        <v>0</v>
      </c>
    </row>
    <row r="15" spans="1:27">
      <c r="A15" s="38">
        <f>IF(B15="","",CustomerPrefix&amp;TEXT(ROW()-4,"0000"))</f>
        <v>0</v>
      </c>
      <c r="P15" s="33">
        <f>IF(B15="","",IF(I15&lt;&gt;"",I15,WholesaleDiscount))</f>
        <v>0</v>
      </c>
      <c r="Q15" s="32">
        <f>IF(B15="","",COUNTIFS('Wholesale Orders'!$C$5:$C$204,A15))</f>
        <v>0</v>
      </c>
      <c r="R15" s="32">
        <f>IF(B15="","",SUMIFS('Wholesale Orders'!$F$5:$F$204,'Wholesale Orders'!$C$5:$C$204,A15))</f>
        <v>0</v>
      </c>
      <c r="S15" s="20">
        <f>IF(B15="","",ROUND(SUMIFS('Wholesale Orders'!$V$5:$V$204,'Wholesale Orders'!$C$5:$C$204,A15),2))</f>
        <v>0</v>
      </c>
      <c r="T15" s="20">
        <f>IF(B15="","",ROUND(SUMIFS('Wholesale Orders'!$X$5:$X$204,'Wholesale Orders'!$C$5:$C$204,A15),2))</f>
        <v>0</v>
      </c>
      <c r="U15" s="33">
        <f>IF(B15="","",IF(OR(S15="",S15=0),"",T15/S15))</f>
        <v>0</v>
      </c>
      <c r="V15" s="20">
        <f>IF(B15="","",IF(Q15=0,"",ROUND(S15/Q15,2)))</f>
        <v>0</v>
      </c>
      <c r="W15" s="17">
        <f>IF(B15="","",IF(SUMPRODUCT(MAX(('Wholesale Orders'!$C$5:$C$204=A15)*'Wholesale Orders'!$B$5:$B$204))=0,"",SUMPRODUCT(MAX(('Wholesale Orders'!$C$5:$C$204=A15)*'Wholesale Orders'!$B$5:$B$204))))</f>
        <v>0</v>
      </c>
      <c r="X15" s="32">
        <f>IF(B15="","",IF(W15="","",TodayDate-W15))</f>
        <v>0</v>
      </c>
      <c r="Y15" s="20">
        <f>IF(B15="","",ROUND(SUMIFS('Wholesale Orders'!$V$5:$V$204,'Wholesale Orders'!$C$5:$C$204,A15,'Wholesale Orders'!$M$5:$M$204,"No"),2))</f>
        <v>0</v>
      </c>
      <c r="Z15" s="43">
        <f>IF(B15="","",IF(Q15=0,"Prospect",IF(N15="No","Inactive",IF(AND(X15&lt;&gt;"",X15&gt;180),"Going quiet","Active"))))</f>
        <v>0</v>
      </c>
      <c r="AA15" s="43">
        <f>IF(B15="","",IF(Q15=0,"New - no orders yet",IF(Y15&gt;0,"Chase - money outstanding",IF(U15&lt;0,"Loss - this stockist costs you money",IF(AND(U15&lt;&gt;"",U15&lt;TargetWholesaleMargin),"Low margin - their discount is too deep",IF(Z15="Going quiet","Chase - six months without an order","OK"))))))</f>
        <v>0</v>
      </c>
    </row>
    <row r="16" spans="1:27">
      <c r="A16" s="38">
        <f>IF(B16="","",CustomerPrefix&amp;TEXT(ROW()-4,"0000"))</f>
        <v>0</v>
      </c>
      <c r="P16" s="33">
        <f>IF(B16="","",IF(I16&lt;&gt;"",I16,WholesaleDiscount))</f>
        <v>0</v>
      </c>
      <c r="Q16" s="32">
        <f>IF(B16="","",COUNTIFS('Wholesale Orders'!$C$5:$C$204,A16))</f>
        <v>0</v>
      </c>
      <c r="R16" s="32">
        <f>IF(B16="","",SUMIFS('Wholesale Orders'!$F$5:$F$204,'Wholesale Orders'!$C$5:$C$204,A16))</f>
        <v>0</v>
      </c>
      <c r="S16" s="20">
        <f>IF(B16="","",ROUND(SUMIFS('Wholesale Orders'!$V$5:$V$204,'Wholesale Orders'!$C$5:$C$204,A16),2))</f>
        <v>0</v>
      </c>
      <c r="T16" s="20">
        <f>IF(B16="","",ROUND(SUMIFS('Wholesale Orders'!$X$5:$X$204,'Wholesale Orders'!$C$5:$C$204,A16),2))</f>
        <v>0</v>
      </c>
      <c r="U16" s="33">
        <f>IF(B16="","",IF(OR(S16="",S16=0),"",T16/S16))</f>
        <v>0</v>
      </c>
      <c r="V16" s="20">
        <f>IF(B16="","",IF(Q16=0,"",ROUND(S16/Q16,2)))</f>
        <v>0</v>
      </c>
      <c r="W16" s="17">
        <f>IF(B16="","",IF(SUMPRODUCT(MAX(('Wholesale Orders'!$C$5:$C$204=A16)*'Wholesale Orders'!$B$5:$B$204))=0,"",SUMPRODUCT(MAX(('Wholesale Orders'!$C$5:$C$204=A16)*'Wholesale Orders'!$B$5:$B$204))))</f>
        <v>0</v>
      </c>
      <c r="X16" s="32">
        <f>IF(B16="","",IF(W16="","",TodayDate-W16))</f>
        <v>0</v>
      </c>
      <c r="Y16" s="20">
        <f>IF(B16="","",ROUND(SUMIFS('Wholesale Orders'!$V$5:$V$204,'Wholesale Orders'!$C$5:$C$204,A16,'Wholesale Orders'!$M$5:$M$204,"No"),2))</f>
        <v>0</v>
      </c>
      <c r="Z16" s="43">
        <f>IF(B16="","",IF(Q16=0,"Prospect",IF(N16="No","Inactive",IF(AND(X16&lt;&gt;"",X16&gt;180),"Going quiet","Active"))))</f>
        <v>0</v>
      </c>
      <c r="AA16" s="43">
        <f>IF(B16="","",IF(Q16=0,"New - no orders yet",IF(Y16&gt;0,"Chase - money outstanding",IF(U16&lt;0,"Loss - this stockist costs you money",IF(AND(U16&lt;&gt;"",U16&lt;TargetWholesaleMargin),"Low margin - their discount is too deep",IF(Z16="Going quiet","Chase - six months without an order","OK"))))))</f>
        <v>0</v>
      </c>
    </row>
    <row r="17" spans="1:27">
      <c r="A17" s="38">
        <f>IF(B17="","",CustomerPrefix&amp;TEXT(ROW()-4,"0000"))</f>
        <v>0</v>
      </c>
      <c r="P17" s="33">
        <f>IF(B17="","",IF(I17&lt;&gt;"",I17,WholesaleDiscount))</f>
        <v>0</v>
      </c>
      <c r="Q17" s="32">
        <f>IF(B17="","",COUNTIFS('Wholesale Orders'!$C$5:$C$204,A17))</f>
        <v>0</v>
      </c>
      <c r="R17" s="32">
        <f>IF(B17="","",SUMIFS('Wholesale Orders'!$F$5:$F$204,'Wholesale Orders'!$C$5:$C$204,A17))</f>
        <v>0</v>
      </c>
      <c r="S17" s="20">
        <f>IF(B17="","",ROUND(SUMIFS('Wholesale Orders'!$V$5:$V$204,'Wholesale Orders'!$C$5:$C$204,A17),2))</f>
        <v>0</v>
      </c>
      <c r="T17" s="20">
        <f>IF(B17="","",ROUND(SUMIFS('Wholesale Orders'!$X$5:$X$204,'Wholesale Orders'!$C$5:$C$204,A17),2))</f>
        <v>0</v>
      </c>
      <c r="U17" s="33">
        <f>IF(B17="","",IF(OR(S17="",S17=0),"",T17/S17))</f>
        <v>0</v>
      </c>
      <c r="V17" s="20">
        <f>IF(B17="","",IF(Q17=0,"",ROUND(S17/Q17,2)))</f>
        <v>0</v>
      </c>
      <c r="W17" s="17">
        <f>IF(B17="","",IF(SUMPRODUCT(MAX(('Wholesale Orders'!$C$5:$C$204=A17)*'Wholesale Orders'!$B$5:$B$204))=0,"",SUMPRODUCT(MAX(('Wholesale Orders'!$C$5:$C$204=A17)*'Wholesale Orders'!$B$5:$B$204))))</f>
        <v>0</v>
      </c>
      <c r="X17" s="32">
        <f>IF(B17="","",IF(W17="","",TodayDate-W17))</f>
        <v>0</v>
      </c>
      <c r="Y17" s="20">
        <f>IF(B17="","",ROUND(SUMIFS('Wholesale Orders'!$V$5:$V$204,'Wholesale Orders'!$C$5:$C$204,A17,'Wholesale Orders'!$M$5:$M$204,"No"),2))</f>
        <v>0</v>
      </c>
      <c r="Z17" s="43">
        <f>IF(B17="","",IF(Q17=0,"Prospect",IF(N17="No","Inactive",IF(AND(X17&lt;&gt;"",X17&gt;180),"Going quiet","Active"))))</f>
        <v>0</v>
      </c>
      <c r="AA17" s="43">
        <f>IF(B17="","",IF(Q17=0,"New - no orders yet",IF(Y17&gt;0,"Chase - money outstanding",IF(U17&lt;0,"Loss - this stockist costs you money",IF(AND(U17&lt;&gt;"",U17&lt;TargetWholesaleMargin),"Low margin - their discount is too deep",IF(Z17="Going quiet","Chase - six months without an order","OK"))))))</f>
        <v>0</v>
      </c>
    </row>
    <row r="18" spans="1:27">
      <c r="A18" s="38">
        <f>IF(B18="","",CustomerPrefix&amp;TEXT(ROW()-4,"0000"))</f>
        <v>0</v>
      </c>
      <c r="P18" s="33">
        <f>IF(B18="","",IF(I18&lt;&gt;"",I18,WholesaleDiscount))</f>
        <v>0</v>
      </c>
      <c r="Q18" s="32">
        <f>IF(B18="","",COUNTIFS('Wholesale Orders'!$C$5:$C$204,A18))</f>
        <v>0</v>
      </c>
      <c r="R18" s="32">
        <f>IF(B18="","",SUMIFS('Wholesale Orders'!$F$5:$F$204,'Wholesale Orders'!$C$5:$C$204,A18))</f>
        <v>0</v>
      </c>
      <c r="S18" s="20">
        <f>IF(B18="","",ROUND(SUMIFS('Wholesale Orders'!$V$5:$V$204,'Wholesale Orders'!$C$5:$C$204,A18),2))</f>
        <v>0</v>
      </c>
      <c r="T18" s="20">
        <f>IF(B18="","",ROUND(SUMIFS('Wholesale Orders'!$X$5:$X$204,'Wholesale Orders'!$C$5:$C$204,A18),2))</f>
        <v>0</v>
      </c>
      <c r="U18" s="33">
        <f>IF(B18="","",IF(OR(S18="",S18=0),"",T18/S18))</f>
        <v>0</v>
      </c>
      <c r="V18" s="20">
        <f>IF(B18="","",IF(Q18=0,"",ROUND(S18/Q18,2)))</f>
        <v>0</v>
      </c>
      <c r="W18" s="17">
        <f>IF(B18="","",IF(SUMPRODUCT(MAX(('Wholesale Orders'!$C$5:$C$204=A18)*'Wholesale Orders'!$B$5:$B$204))=0,"",SUMPRODUCT(MAX(('Wholesale Orders'!$C$5:$C$204=A18)*'Wholesale Orders'!$B$5:$B$204))))</f>
        <v>0</v>
      </c>
      <c r="X18" s="32">
        <f>IF(B18="","",IF(W18="","",TodayDate-W18))</f>
        <v>0</v>
      </c>
      <c r="Y18" s="20">
        <f>IF(B18="","",ROUND(SUMIFS('Wholesale Orders'!$V$5:$V$204,'Wholesale Orders'!$C$5:$C$204,A18,'Wholesale Orders'!$M$5:$M$204,"No"),2))</f>
        <v>0</v>
      </c>
      <c r="Z18" s="43">
        <f>IF(B18="","",IF(Q18=0,"Prospect",IF(N18="No","Inactive",IF(AND(X18&lt;&gt;"",X18&gt;180),"Going quiet","Active"))))</f>
        <v>0</v>
      </c>
      <c r="AA18" s="43">
        <f>IF(B18="","",IF(Q18=0,"New - no orders yet",IF(Y18&gt;0,"Chase - money outstanding",IF(U18&lt;0,"Loss - this stockist costs you money",IF(AND(U18&lt;&gt;"",U18&lt;TargetWholesaleMargin),"Low margin - their discount is too deep",IF(Z18="Going quiet","Chase - six months without an order","OK"))))))</f>
        <v>0</v>
      </c>
    </row>
    <row r="19" spans="1:27">
      <c r="A19" s="38">
        <f>IF(B19="","",CustomerPrefix&amp;TEXT(ROW()-4,"0000"))</f>
        <v>0</v>
      </c>
      <c r="P19" s="33">
        <f>IF(B19="","",IF(I19&lt;&gt;"",I19,WholesaleDiscount))</f>
        <v>0</v>
      </c>
      <c r="Q19" s="32">
        <f>IF(B19="","",COUNTIFS('Wholesale Orders'!$C$5:$C$204,A19))</f>
        <v>0</v>
      </c>
      <c r="R19" s="32">
        <f>IF(B19="","",SUMIFS('Wholesale Orders'!$F$5:$F$204,'Wholesale Orders'!$C$5:$C$204,A19))</f>
        <v>0</v>
      </c>
      <c r="S19" s="20">
        <f>IF(B19="","",ROUND(SUMIFS('Wholesale Orders'!$V$5:$V$204,'Wholesale Orders'!$C$5:$C$204,A19),2))</f>
        <v>0</v>
      </c>
      <c r="T19" s="20">
        <f>IF(B19="","",ROUND(SUMIFS('Wholesale Orders'!$X$5:$X$204,'Wholesale Orders'!$C$5:$C$204,A19),2))</f>
        <v>0</v>
      </c>
      <c r="U19" s="33">
        <f>IF(B19="","",IF(OR(S19="",S19=0),"",T19/S19))</f>
        <v>0</v>
      </c>
      <c r="V19" s="20">
        <f>IF(B19="","",IF(Q19=0,"",ROUND(S19/Q19,2)))</f>
        <v>0</v>
      </c>
      <c r="W19" s="17">
        <f>IF(B19="","",IF(SUMPRODUCT(MAX(('Wholesale Orders'!$C$5:$C$204=A19)*'Wholesale Orders'!$B$5:$B$204))=0,"",SUMPRODUCT(MAX(('Wholesale Orders'!$C$5:$C$204=A19)*'Wholesale Orders'!$B$5:$B$204))))</f>
        <v>0</v>
      </c>
      <c r="X19" s="32">
        <f>IF(B19="","",IF(W19="","",TodayDate-W19))</f>
        <v>0</v>
      </c>
      <c r="Y19" s="20">
        <f>IF(B19="","",ROUND(SUMIFS('Wholesale Orders'!$V$5:$V$204,'Wholesale Orders'!$C$5:$C$204,A19,'Wholesale Orders'!$M$5:$M$204,"No"),2))</f>
        <v>0</v>
      </c>
      <c r="Z19" s="43">
        <f>IF(B19="","",IF(Q19=0,"Prospect",IF(N19="No","Inactive",IF(AND(X19&lt;&gt;"",X19&gt;180),"Going quiet","Active"))))</f>
        <v>0</v>
      </c>
      <c r="AA19" s="43">
        <f>IF(B19="","",IF(Q19=0,"New - no orders yet",IF(Y19&gt;0,"Chase - money outstanding",IF(U19&lt;0,"Loss - this stockist costs you money",IF(AND(U19&lt;&gt;"",U19&lt;TargetWholesaleMargin),"Low margin - their discount is too deep",IF(Z19="Going quiet","Chase - six months without an order","OK"))))))</f>
        <v>0</v>
      </c>
    </row>
    <row r="20" spans="1:27">
      <c r="A20" s="38">
        <f>IF(B20="","",CustomerPrefix&amp;TEXT(ROW()-4,"0000"))</f>
        <v>0</v>
      </c>
      <c r="P20" s="33">
        <f>IF(B20="","",IF(I20&lt;&gt;"",I20,WholesaleDiscount))</f>
        <v>0</v>
      </c>
      <c r="Q20" s="32">
        <f>IF(B20="","",COUNTIFS('Wholesale Orders'!$C$5:$C$204,A20))</f>
        <v>0</v>
      </c>
      <c r="R20" s="32">
        <f>IF(B20="","",SUMIFS('Wholesale Orders'!$F$5:$F$204,'Wholesale Orders'!$C$5:$C$204,A20))</f>
        <v>0</v>
      </c>
      <c r="S20" s="20">
        <f>IF(B20="","",ROUND(SUMIFS('Wholesale Orders'!$V$5:$V$204,'Wholesale Orders'!$C$5:$C$204,A20),2))</f>
        <v>0</v>
      </c>
      <c r="T20" s="20">
        <f>IF(B20="","",ROUND(SUMIFS('Wholesale Orders'!$X$5:$X$204,'Wholesale Orders'!$C$5:$C$204,A20),2))</f>
        <v>0</v>
      </c>
      <c r="U20" s="33">
        <f>IF(B20="","",IF(OR(S20="",S20=0),"",T20/S20))</f>
        <v>0</v>
      </c>
      <c r="V20" s="20">
        <f>IF(B20="","",IF(Q20=0,"",ROUND(S20/Q20,2)))</f>
        <v>0</v>
      </c>
      <c r="W20" s="17">
        <f>IF(B20="","",IF(SUMPRODUCT(MAX(('Wholesale Orders'!$C$5:$C$204=A20)*'Wholesale Orders'!$B$5:$B$204))=0,"",SUMPRODUCT(MAX(('Wholesale Orders'!$C$5:$C$204=A20)*'Wholesale Orders'!$B$5:$B$204))))</f>
        <v>0</v>
      </c>
      <c r="X20" s="32">
        <f>IF(B20="","",IF(W20="","",TodayDate-W20))</f>
        <v>0</v>
      </c>
      <c r="Y20" s="20">
        <f>IF(B20="","",ROUND(SUMIFS('Wholesale Orders'!$V$5:$V$204,'Wholesale Orders'!$C$5:$C$204,A20,'Wholesale Orders'!$M$5:$M$204,"No"),2))</f>
        <v>0</v>
      </c>
      <c r="Z20" s="43">
        <f>IF(B20="","",IF(Q20=0,"Prospect",IF(N20="No","Inactive",IF(AND(X20&lt;&gt;"",X20&gt;180),"Going quiet","Active"))))</f>
        <v>0</v>
      </c>
      <c r="AA20" s="43">
        <f>IF(B20="","",IF(Q20=0,"New - no orders yet",IF(Y20&gt;0,"Chase - money outstanding",IF(U20&lt;0,"Loss - this stockist costs you money",IF(AND(U20&lt;&gt;"",U20&lt;TargetWholesaleMargin),"Low margin - their discount is too deep",IF(Z20="Going quiet","Chase - six months without an order","OK"))))))</f>
        <v>0</v>
      </c>
    </row>
    <row r="21" spans="1:27">
      <c r="A21" s="38">
        <f>IF(B21="","",CustomerPrefix&amp;TEXT(ROW()-4,"0000"))</f>
        <v>0</v>
      </c>
      <c r="P21" s="33">
        <f>IF(B21="","",IF(I21&lt;&gt;"",I21,WholesaleDiscount))</f>
        <v>0</v>
      </c>
      <c r="Q21" s="32">
        <f>IF(B21="","",COUNTIFS('Wholesale Orders'!$C$5:$C$204,A21))</f>
        <v>0</v>
      </c>
      <c r="R21" s="32">
        <f>IF(B21="","",SUMIFS('Wholesale Orders'!$F$5:$F$204,'Wholesale Orders'!$C$5:$C$204,A21))</f>
        <v>0</v>
      </c>
      <c r="S21" s="20">
        <f>IF(B21="","",ROUND(SUMIFS('Wholesale Orders'!$V$5:$V$204,'Wholesale Orders'!$C$5:$C$204,A21),2))</f>
        <v>0</v>
      </c>
      <c r="T21" s="20">
        <f>IF(B21="","",ROUND(SUMIFS('Wholesale Orders'!$X$5:$X$204,'Wholesale Orders'!$C$5:$C$204,A21),2))</f>
        <v>0</v>
      </c>
      <c r="U21" s="33">
        <f>IF(B21="","",IF(OR(S21="",S21=0),"",T21/S21))</f>
        <v>0</v>
      </c>
      <c r="V21" s="20">
        <f>IF(B21="","",IF(Q21=0,"",ROUND(S21/Q21,2)))</f>
        <v>0</v>
      </c>
      <c r="W21" s="17">
        <f>IF(B21="","",IF(SUMPRODUCT(MAX(('Wholesale Orders'!$C$5:$C$204=A21)*'Wholesale Orders'!$B$5:$B$204))=0,"",SUMPRODUCT(MAX(('Wholesale Orders'!$C$5:$C$204=A21)*'Wholesale Orders'!$B$5:$B$204))))</f>
        <v>0</v>
      </c>
      <c r="X21" s="32">
        <f>IF(B21="","",IF(W21="","",TodayDate-W21))</f>
        <v>0</v>
      </c>
      <c r="Y21" s="20">
        <f>IF(B21="","",ROUND(SUMIFS('Wholesale Orders'!$V$5:$V$204,'Wholesale Orders'!$C$5:$C$204,A21,'Wholesale Orders'!$M$5:$M$204,"No"),2))</f>
        <v>0</v>
      </c>
      <c r="Z21" s="43">
        <f>IF(B21="","",IF(Q21=0,"Prospect",IF(N21="No","Inactive",IF(AND(X21&lt;&gt;"",X21&gt;180),"Going quiet","Active"))))</f>
        <v>0</v>
      </c>
      <c r="AA21" s="43">
        <f>IF(B21="","",IF(Q21=0,"New - no orders yet",IF(Y21&gt;0,"Chase - money outstanding",IF(U21&lt;0,"Loss - this stockist costs you money",IF(AND(U21&lt;&gt;"",U21&lt;TargetWholesaleMargin),"Low margin - their discount is too deep",IF(Z21="Going quiet","Chase - six months without an order","OK"))))))</f>
        <v>0</v>
      </c>
    </row>
    <row r="22" spans="1:27">
      <c r="A22" s="38">
        <f>IF(B22="","",CustomerPrefix&amp;TEXT(ROW()-4,"0000"))</f>
        <v>0</v>
      </c>
      <c r="P22" s="33">
        <f>IF(B22="","",IF(I22&lt;&gt;"",I22,WholesaleDiscount))</f>
        <v>0</v>
      </c>
      <c r="Q22" s="32">
        <f>IF(B22="","",COUNTIFS('Wholesale Orders'!$C$5:$C$204,A22))</f>
        <v>0</v>
      </c>
      <c r="R22" s="32">
        <f>IF(B22="","",SUMIFS('Wholesale Orders'!$F$5:$F$204,'Wholesale Orders'!$C$5:$C$204,A22))</f>
        <v>0</v>
      </c>
      <c r="S22" s="20">
        <f>IF(B22="","",ROUND(SUMIFS('Wholesale Orders'!$V$5:$V$204,'Wholesale Orders'!$C$5:$C$204,A22),2))</f>
        <v>0</v>
      </c>
      <c r="T22" s="20">
        <f>IF(B22="","",ROUND(SUMIFS('Wholesale Orders'!$X$5:$X$204,'Wholesale Orders'!$C$5:$C$204,A22),2))</f>
        <v>0</v>
      </c>
      <c r="U22" s="33">
        <f>IF(B22="","",IF(OR(S22="",S22=0),"",T22/S22))</f>
        <v>0</v>
      </c>
      <c r="V22" s="20">
        <f>IF(B22="","",IF(Q22=0,"",ROUND(S22/Q22,2)))</f>
        <v>0</v>
      </c>
      <c r="W22" s="17">
        <f>IF(B22="","",IF(SUMPRODUCT(MAX(('Wholesale Orders'!$C$5:$C$204=A22)*'Wholesale Orders'!$B$5:$B$204))=0,"",SUMPRODUCT(MAX(('Wholesale Orders'!$C$5:$C$204=A22)*'Wholesale Orders'!$B$5:$B$204))))</f>
        <v>0</v>
      </c>
      <c r="X22" s="32">
        <f>IF(B22="","",IF(W22="","",TodayDate-W22))</f>
        <v>0</v>
      </c>
      <c r="Y22" s="20">
        <f>IF(B22="","",ROUND(SUMIFS('Wholesale Orders'!$V$5:$V$204,'Wholesale Orders'!$C$5:$C$204,A22,'Wholesale Orders'!$M$5:$M$204,"No"),2))</f>
        <v>0</v>
      </c>
      <c r="Z22" s="43">
        <f>IF(B22="","",IF(Q22=0,"Prospect",IF(N22="No","Inactive",IF(AND(X22&lt;&gt;"",X22&gt;180),"Going quiet","Active"))))</f>
        <v>0</v>
      </c>
      <c r="AA22" s="43">
        <f>IF(B22="","",IF(Q22=0,"New - no orders yet",IF(Y22&gt;0,"Chase - money outstanding",IF(U22&lt;0,"Loss - this stockist costs you money",IF(AND(U22&lt;&gt;"",U22&lt;TargetWholesaleMargin),"Low margin - their discount is too deep",IF(Z22="Going quiet","Chase - six months without an order","OK"))))))</f>
        <v>0</v>
      </c>
    </row>
    <row r="23" spans="1:27">
      <c r="A23" s="38">
        <f>IF(B23="","",CustomerPrefix&amp;TEXT(ROW()-4,"0000"))</f>
        <v>0</v>
      </c>
      <c r="P23" s="33">
        <f>IF(B23="","",IF(I23&lt;&gt;"",I23,WholesaleDiscount))</f>
        <v>0</v>
      </c>
      <c r="Q23" s="32">
        <f>IF(B23="","",COUNTIFS('Wholesale Orders'!$C$5:$C$204,A23))</f>
        <v>0</v>
      </c>
      <c r="R23" s="32">
        <f>IF(B23="","",SUMIFS('Wholesale Orders'!$F$5:$F$204,'Wholesale Orders'!$C$5:$C$204,A23))</f>
        <v>0</v>
      </c>
      <c r="S23" s="20">
        <f>IF(B23="","",ROUND(SUMIFS('Wholesale Orders'!$V$5:$V$204,'Wholesale Orders'!$C$5:$C$204,A23),2))</f>
        <v>0</v>
      </c>
      <c r="T23" s="20">
        <f>IF(B23="","",ROUND(SUMIFS('Wholesale Orders'!$X$5:$X$204,'Wholesale Orders'!$C$5:$C$204,A23),2))</f>
        <v>0</v>
      </c>
      <c r="U23" s="33">
        <f>IF(B23="","",IF(OR(S23="",S23=0),"",T23/S23))</f>
        <v>0</v>
      </c>
      <c r="V23" s="20">
        <f>IF(B23="","",IF(Q23=0,"",ROUND(S23/Q23,2)))</f>
        <v>0</v>
      </c>
      <c r="W23" s="17">
        <f>IF(B23="","",IF(SUMPRODUCT(MAX(('Wholesale Orders'!$C$5:$C$204=A23)*'Wholesale Orders'!$B$5:$B$204))=0,"",SUMPRODUCT(MAX(('Wholesale Orders'!$C$5:$C$204=A23)*'Wholesale Orders'!$B$5:$B$204))))</f>
        <v>0</v>
      </c>
      <c r="X23" s="32">
        <f>IF(B23="","",IF(W23="","",TodayDate-W23))</f>
        <v>0</v>
      </c>
      <c r="Y23" s="20">
        <f>IF(B23="","",ROUND(SUMIFS('Wholesale Orders'!$V$5:$V$204,'Wholesale Orders'!$C$5:$C$204,A23,'Wholesale Orders'!$M$5:$M$204,"No"),2))</f>
        <v>0</v>
      </c>
      <c r="Z23" s="43">
        <f>IF(B23="","",IF(Q23=0,"Prospect",IF(N23="No","Inactive",IF(AND(X23&lt;&gt;"",X23&gt;180),"Going quiet","Active"))))</f>
        <v>0</v>
      </c>
      <c r="AA23" s="43">
        <f>IF(B23="","",IF(Q23=0,"New - no orders yet",IF(Y23&gt;0,"Chase - money outstanding",IF(U23&lt;0,"Loss - this stockist costs you money",IF(AND(U23&lt;&gt;"",U23&lt;TargetWholesaleMargin),"Low margin - their discount is too deep",IF(Z23="Going quiet","Chase - six months without an order","OK"))))))</f>
        <v>0</v>
      </c>
    </row>
    <row r="24" spans="1:27">
      <c r="A24" s="38">
        <f>IF(B24="","",CustomerPrefix&amp;TEXT(ROW()-4,"0000"))</f>
        <v>0</v>
      </c>
      <c r="P24" s="33">
        <f>IF(B24="","",IF(I24&lt;&gt;"",I24,WholesaleDiscount))</f>
        <v>0</v>
      </c>
      <c r="Q24" s="32">
        <f>IF(B24="","",COUNTIFS('Wholesale Orders'!$C$5:$C$204,A24))</f>
        <v>0</v>
      </c>
      <c r="R24" s="32">
        <f>IF(B24="","",SUMIFS('Wholesale Orders'!$F$5:$F$204,'Wholesale Orders'!$C$5:$C$204,A24))</f>
        <v>0</v>
      </c>
      <c r="S24" s="20">
        <f>IF(B24="","",ROUND(SUMIFS('Wholesale Orders'!$V$5:$V$204,'Wholesale Orders'!$C$5:$C$204,A24),2))</f>
        <v>0</v>
      </c>
      <c r="T24" s="20">
        <f>IF(B24="","",ROUND(SUMIFS('Wholesale Orders'!$X$5:$X$204,'Wholesale Orders'!$C$5:$C$204,A24),2))</f>
        <v>0</v>
      </c>
      <c r="U24" s="33">
        <f>IF(B24="","",IF(OR(S24="",S24=0),"",T24/S24))</f>
        <v>0</v>
      </c>
      <c r="V24" s="20">
        <f>IF(B24="","",IF(Q24=0,"",ROUND(S24/Q24,2)))</f>
        <v>0</v>
      </c>
      <c r="W24" s="17">
        <f>IF(B24="","",IF(SUMPRODUCT(MAX(('Wholesale Orders'!$C$5:$C$204=A24)*'Wholesale Orders'!$B$5:$B$204))=0,"",SUMPRODUCT(MAX(('Wholesale Orders'!$C$5:$C$204=A24)*'Wholesale Orders'!$B$5:$B$204))))</f>
        <v>0</v>
      </c>
      <c r="X24" s="32">
        <f>IF(B24="","",IF(W24="","",TodayDate-W24))</f>
        <v>0</v>
      </c>
      <c r="Y24" s="20">
        <f>IF(B24="","",ROUND(SUMIFS('Wholesale Orders'!$V$5:$V$204,'Wholesale Orders'!$C$5:$C$204,A24,'Wholesale Orders'!$M$5:$M$204,"No"),2))</f>
        <v>0</v>
      </c>
      <c r="Z24" s="43">
        <f>IF(B24="","",IF(Q24=0,"Prospect",IF(N24="No","Inactive",IF(AND(X24&lt;&gt;"",X24&gt;180),"Going quiet","Active"))))</f>
        <v>0</v>
      </c>
      <c r="AA24" s="43">
        <f>IF(B24="","",IF(Q24=0,"New - no orders yet",IF(Y24&gt;0,"Chase - money outstanding",IF(U24&lt;0,"Loss - this stockist costs you money",IF(AND(U24&lt;&gt;"",U24&lt;TargetWholesaleMargin),"Low margin - their discount is too deep",IF(Z24="Going quiet","Chase - six months without an order","OK"))))))</f>
        <v>0</v>
      </c>
    </row>
    <row r="25" spans="1:27">
      <c r="A25" s="38">
        <f>IF(B25="","",CustomerPrefix&amp;TEXT(ROW()-4,"0000"))</f>
        <v>0</v>
      </c>
      <c r="P25" s="33">
        <f>IF(B25="","",IF(I25&lt;&gt;"",I25,WholesaleDiscount))</f>
        <v>0</v>
      </c>
      <c r="Q25" s="32">
        <f>IF(B25="","",COUNTIFS('Wholesale Orders'!$C$5:$C$204,A25))</f>
        <v>0</v>
      </c>
      <c r="R25" s="32">
        <f>IF(B25="","",SUMIFS('Wholesale Orders'!$F$5:$F$204,'Wholesale Orders'!$C$5:$C$204,A25))</f>
        <v>0</v>
      </c>
      <c r="S25" s="20">
        <f>IF(B25="","",ROUND(SUMIFS('Wholesale Orders'!$V$5:$V$204,'Wholesale Orders'!$C$5:$C$204,A25),2))</f>
        <v>0</v>
      </c>
      <c r="T25" s="20">
        <f>IF(B25="","",ROUND(SUMIFS('Wholesale Orders'!$X$5:$X$204,'Wholesale Orders'!$C$5:$C$204,A25),2))</f>
        <v>0</v>
      </c>
      <c r="U25" s="33">
        <f>IF(B25="","",IF(OR(S25="",S25=0),"",T25/S25))</f>
        <v>0</v>
      </c>
      <c r="V25" s="20">
        <f>IF(B25="","",IF(Q25=0,"",ROUND(S25/Q25,2)))</f>
        <v>0</v>
      </c>
      <c r="W25" s="17">
        <f>IF(B25="","",IF(SUMPRODUCT(MAX(('Wholesale Orders'!$C$5:$C$204=A25)*'Wholesale Orders'!$B$5:$B$204))=0,"",SUMPRODUCT(MAX(('Wholesale Orders'!$C$5:$C$204=A25)*'Wholesale Orders'!$B$5:$B$204))))</f>
        <v>0</v>
      </c>
      <c r="X25" s="32">
        <f>IF(B25="","",IF(W25="","",TodayDate-W25))</f>
        <v>0</v>
      </c>
      <c r="Y25" s="20">
        <f>IF(B25="","",ROUND(SUMIFS('Wholesale Orders'!$V$5:$V$204,'Wholesale Orders'!$C$5:$C$204,A25,'Wholesale Orders'!$M$5:$M$204,"No"),2))</f>
        <v>0</v>
      </c>
      <c r="Z25" s="43">
        <f>IF(B25="","",IF(Q25=0,"Prospect",IF(N25="No","Inactive",IF(AND(X25&lt;&gt;"",X25&gt;180),"Going quiet","Active"))))</f>
        <v>0</v>
      </c>
      <c r="AA25" s="43">
        <f>IF(B25="","",IF(Q25=0,"New - no orders yet",IF(Y25&gt;0,"Chase - money outstanding",IF(U25&lt;0,"Loss - this stockist costs you money",IF(AND(U25&lt;&gt;"",U25&lt;TargetWholesaleMargin),"Low margin - their discount is too deep",IF(Z25="Going quiet","Chase - six months without an order","OK"))))))</f>
        <v>0</v>
      </c>
    </row>
    <row r="26" spans="1:27">
      <c r="A26" s="38">
        <f>IF(B26="","",CustomerPrefix&amp;TEXT(ROW()-4,"0000"))</f>
        <v>0</v>
      </c>
      <c r="P26" s="33">
        <f>IF(B26="","",IF(I26&lt;&gt;"",I26,WholesaleDiscount))</f>
        <v>0</v>
      </c>
      <c r="Q26" s="32">
        <f>IF(B26="","",COUNTIFS('Wholesale Orders'!$C$5:$C$204,A26))</f>
        <v>0</v>
      </c>
      <c r="R26" s="32">
        <f>IF(B26="","",SUMIFS('Wholesale Orders'!$F$5:$F$204,'Wholesale Orders'!$C$5:$C$204,A26))</f>
        <v>0</v>
      </c>
      <c r="S26" s="20">
        <f>IF(B26="","",ROUND(SUMIFS('Wholesale Orders'!$V$5:$V$204,'Wholesale Orders'!$C$5:$C$204,A26),2))</f>
        <v>0</v>
      </c>
      <c r="T26" s="20">
        <f>IF(B26="","",ROUND(SUMIFS('Wholesale Orders'!$X$5:$X$204,'Wholesale Orders'!$C$5:$C$204,A26),2))</f>
        <v>0</v>
      </c>
      <c r="U26" s="33">
        <f>IF(B26="","",IF(OR(S26="",S26=0),"",T26/S26))</f>
        <v>0</v>
      </c>
      <c r="V26" s="20">
        <f>IF(B26="","",IF(Q26=0,"",ROUND(S26/Q26,2)))</f>
        <v>0</v>
      </c>
      <c r="W26" s="17">
        <f>IF(B26="","",IF(SUMPRODUCT(MAX(('Wholesale Orders'!$C$5:$C$204=A26)*'Wholesale Orders'!$B$5:$B$204))=0,"",SUMPRODUCT(MAX(('Wholesale Orders'!$C$5:$C$204=A26)*'Wholesale Orders'!$B$5:$B$204))))</f>
        <v>0</v>
      </c>
      <c r="X26" s="32">
        <f>IF(B26="","",IF(W26="","",TodayDate-W26))</f>
        <v>0</v>
      </c>
      <c r="Y26" s="20">
        <f>IF(B26="","",ROUND(SUMIFS('Wholesale Orders'!$V$5:$V$204,'Wholesale Orders'!$C$5:$C$204,A26,'Wholesale Orders'!$M$5:$M$204,"No"),2))</f>
        <v>0</v>
      </c>
      <c r="Z26" s="43">
        <f>IF(B26="","",IF(Q26=0,"Prospect",IF(N26="No","Inactive",IF(AND(X26&lt;&gt;"",X26&gt;180),"Going quiet","Active"))))</f>
        <v>0</v>
      </c>
      <c r="AA26" s="43">
        <f>IF(B26="","",IF(Q26=0,"New - no orders yet",IF(Y26&gt;0,"Chase - money outstanding",IF(U26&lt;0,"Loss - this stockist costs you money",IF(AND(U26&lt;&gt;"",U26&lt;TargetWholesaleMargin),"Low margin - their discount is too deep",IF(Z26="Going quiet","Chase - six months without an order","OK"))))))</f>
        <v>0</v>
      </c>
    </row>
    <row r="27" spans="1:27">
      <c r="A27" s="38">
        <f>IF(B27="","",CustomerPrefix&amp;TEXT(ROW()-4,"0000"))</f>
        <v>0</v>
      </c>
      <c r="P27" s="33">
        <f>IF(B27="","",IF(I27&lt;&gt;"",I27,WholesaleDiscount))</f>
        <v>0</v>
      </c>
      <c r="Q27" s="32">
        <f>IF(B27="","",COUNTIFS('Wholesale Orders'!$C$5:$C$204,A27))</f>
        <v>0</v>
      </c>
      <c r="R27" s="32">
        <f>IF(B27="","",SUMIFS('Wholesale Orders'!$F$5:$F$204,'Wholesale Orders'!$C$5:$C$204,A27))</f>
        <v>0</v>
      </c>
      <c r="S27" s="20">
        <f>IF(B27="","",ROUND(SUMIFS('Wholesale Orders'!$V$5:$V$204,'Wholesale Orders'!$C$5:$C$204,A27),2))</f>
        <v>0</v>
      </c>
      <c r="T27" s="20">
        <f>IF(B27="","",ROUND(SUMIFS('Wholesale Orders'!$X$5:$X$204,'Wholesale Orders'!$C$5:$C$204,A27),2))</f>
        <v>0</v>
      </c>
      <c r="U27" s="33">
        <f>IF(B27="","",IF(OR(S27="",S27=0),"",T27/S27))</f>
        <v>0</v>
      </c>
      <c r="V27" s="20">
        <f>IF(B27="","",IF(Q27=0,"",ROUND(S27/Q27,2)))</f>
        <v>0</v>
      </c>
      <c r="W27" s="17">
        <f>IF(B27="","",IF(SUMPRODUCT(MAX(('Wholesale Orders'!$C$5:$C$204=A27)*'Wholesale Orders'!$B$5:$B$204))=0,"",SUMPRODUCT(MAX(('Wholesale Orders'!$C$5:$C$204=A27)*'Wholesale Orders'!$B$5:$B$204))))</f>
        <v>0</v>
      </c>
      <c r="X27" s="32">
        <f>IF(B27="","",IF(W27="","",TodayDate-W27))</f>
        <v>0</v>
      </c>
      <c r="Y27" s="20">
        <f>IF(B27="","",ROUND(SUMIFS('Wholesale Orders'!$V$5:$V$204,'Wholesale Orders'!$C$5:$C$204,A27,'Wholesale Orders'!$M$5:$M$204,"No"),2))</f>
        <v>0</v>
      </c>
      <c r="Z27" s="43">
        <f>IF(B27="","",IF(Q27=0,"Prospect",IF(N27="No","Inactive",IF(AND(X27&lt;&gt;"",X27&gt;180),"Going quiet","Active"))))</f>
        <v>0</v>
      </c>
      <c r="AA27" s="43">
        <f>IF(B27="","",IF(Q27=0,"New - no orders yet",IF(Y27&gt;0,"Chase - money outstanding",IF(U27&lt;0,"Loss - this stockist costs you money",IF(AND(U27&lt;&gt;"",U27&lt;TargetWholesaleMargin),"Low margin - their discount is too deep",IF(Z27="Going quiet","Chase - six months without an order","OK"))))))</f>
        <v>0</v>
      </c>
    </row>
    <row r="28" spans="1:27">
      <c r="A28" s="38">
        <f>IF(B28="","",CustomerPrefix&amp;TEXT(ROW()-4,"0000"))</f>
        <v>0</v>
      </c>
      <c r="P28" s="33">
        <f>IF(B28="","",IF(I28&lt;&gt;"",I28,WholesaleDiscount))</f>
        <v>0</v>
      </c>
      <c r="Q28" s="32">
        <f>IF(B28="","",COUNTIFS('Wholesale Orders'!$C$5:$C$204,A28))</f>
        <v>0</v>
      </c>
      <c r="R28" s="32">
        <f>IF(B28="","",SUMIFS('Wholesale Orders'!$F$5:$F$204,'Wholesale Orders'!$C$5:$C$204,A28))</f>
        <v>0</v>
      </c>
      <c r="S28" s="20">
        <f>IF(B28="","",ROUND(SUMIFS('Wholesale Orders'!$V$5:$V$204,'Wholesale Orders'!$C$5:$C$204,A28),2))</f>
        <v>0</v>
      </c>
      <c r="T28" s="20">
        <f>IF(B28="","",ROUND(SUMIFS('Wholesale Orders'!$X$5:$X$204,'Wholesale Orders'!$C$5:$C$204,A28),2))</f>
        <v>0</v>
      </c>
      <c r="U28" s="33">
        <f>IF(B28="","",IF(OR(S28="",S28=0),"",T28/S28))</f>
        <v>0</v>
      </c>
      <c r="V28" s="20">
        <f>IF(B28="","",IF(Q28=0,"",ROUND(S28/Q28,2)))</f>
        <v>0</v>
      </c>
      <c r="W28" s="17">
        <f>IF(B28="","",IF(SUMPRODUCT(MAX(('Wholesale Orders'!$C$5:$C$204=A28)*'Wholesale Orders'!$B$5:$B$204))=0,"",SUMPRODUCT(MAX(('Wholesale Orders'!$C$5:$C$204=A28)*'Wholesale Orders'!$B$5:$B$204))))</f>
        <v>0</v>
      </c>
      <c r="X28" s="32">
        <f>IF(B28="","",IF(W28="","",TodayDate-W28))</f>
        <v>0</v>
      </c>
      <c r="Y28" s="20">
        <f>IF(B28="","",ROUND(SUMIFS('Wholesale Orders'!$V$5:$V$204,'Wholesale Orders'!$C$5:$C$204,A28,'Wholesale Orders'!$M$5:$M$204,"No"),2))</f>
        <v>0</v>
      </c>
      <c r="Z28" s="43">
        <f>IF(B28="","",IF(Q28=0,"Prospect",IF(N28="No","Inactive",IF(AND(X28&lt;&gt;"",X28&gt;180),"Going quiet","Active"))))</f>
        <v>0</v>
      </c>
      <c r="AA28" s="43">
        <f>IF(B28="","",IF(Q28=0,"New - no orders yet",IF(Y28&gt;0,"Chase - money outstanding",IF(U28&lt;0,"Loss - this stockist costs you money",IF(AND(U28&lt;&gt;"",U28&lt;TargetWholesaleMargin),"Low margin - their discount is too deep",IF(Z28="Going quiet","Chase - six months without an order","OK"))))))</f>
        <v>0</v>
      </c>
    </row>
    <row r="29" spans="1:27">
      <c r="A29" s="38">
        <f>IF(B29="","",CustomerPrefix&amp;TEXT(ROW()-4,"0000"))</f>
        <v>0</v>
      </c>
      <c r="P29" s="33">
        <f>IF(B29="","",IF(I29&lt;&gt;"",I29,WholesaleDiscount))</f>
        <v>0</v>
      </c>
      <c r="Q29" s="32">
        <f>IF(B29="","",COUNTIFS('Wholesale Orders'!$C$5:$C$204,A29))</f>
        <v>0</v>
      </c>
      <c r="R29" s="32">
        <f>IF(B29="","",SUMIFS('Wholesale Orders'!$F$5:$F$204,'Wholesale Orders'!$C$5:$C$204,A29))</f>
        <v>0</v>
      </c>
      <c r="S29" s="20">
        <f>IF(B29="","",ROUND(SUMIFS('Wholesale Orders'!$V$5:$V$204,'Wholesale Orders'!$C$5:$C$204,A29),2))</f>
        <v>0</v>
      </c>
      <c r="T29" s="20">
        <f>IF(B29="","",ROUND(SUMIFS('Wholesale Orders'!$X$5:$X$204,'Wholesale Orders'!$C$5:$C$204,A29),2))</f>
        <v>0</v>
      </c>
      <c r="U29" s="33">
        <f>IF(B29="","",IF(OR(S29="",S29=0),"",T29/S29))</f>
        <v>0</v>
      </c>
      <c r="V29" s="20">
        <f>IF(B29="","",IF(Q29=0,"",ROUND(S29/Q29,2)))</f>
        <v>0</v>
      </c>
      <c r="W29" s="17">
        <f>IF(B29="","",IF(SUMPRODUCT(MAX(('Wholesale Orders'!$C$5:$C$204=A29)*'Wholesale Orders'!$B$5:$B$204))=0,"",SUMPRODUCT(MAX(('Wholesale Orders'!$C$5:$C$204=A29)*'Wholesale Orders'!$B$5:$B$204))))</f>
        <v>0</v>
      </c>
      <c r="X29" s="32">
        <f>IF(B29="","",IF(W29="","",TodayDate-W29))</f>
        <v>0</v>
      </c>
      <c r="Y29" s="20">
        <f>IF(B29="","",ROUND(SUMIFS('Wholesale Orders'!$V$5:$V$204,'Wholesale Orders'!$C$5:$C$204,A29,'Wholesale Orders'!$M$5:$M$204,"No"),2))</f>
        <v>0</v>
      </c>
      <c r="Z29" s="43">
        <f>IF(B29="","",IF(Q29=0,"Prospect",IF(N29="No","Inactive",IF(AND(X29&lt;&gt;"",X29&gt;180),"Going quiet","Active"))))</f>
        <v>0</v>
      </c>
      <c r="AA29" s="43">
        <f>IF(B29="","",IF(Q29=0,"New - no orders yet",IF(Y29&gt;0,"Chase - money outstanding",IF(U29&lt;0,"Loss - this stockist costs you money",IF(AND(U29&lt;&gt;"",U29&lt;TargetWholesaleMargin),"Low margin - their discount is too deep",IF(Z29="Going quiet","Chase - six months without an order","OK"))))))</f>
        <v>0</v>
      </c>
    </row>
    <row r="30" spans="1:27">
      <c r="A30" s="38">
        <f>IF(B30="","",CustomerPrefix&amp;TEXT(ROW()-4,"0000"))</f>
        <v>0</v>
      </c>
      <c r="P30" s="33">
        <f>IF(B30="","",IF(I30&lt;&gt;"",I30,WholesaleDiscount))</f>
        <v>0</v>
      </c>
      <c r="Q30" s="32">
        <f>IF(B30="","",COUNTIFS('Wholesale Orders'!$C$5:$C$204,A30))</f>
        <v>0</v>
      </c>
      <c r="R30" s="32">
        <f>IF(B30="","",SUMIFS('Wholesale Orders'!$F$5:$F$204,'Wholesale Orders'!$C$5:$C$204,A30))</f>
        <v>0</v>
      </c>
      <c r="S30" s="20">
        <f>IF(B30="","",ROUND(SUMIFS('Wholesale Orders'!$V$5:$V$204,'Wholesale Orders'!$C$5:$C$204,A30),2))</f>
        <v>0</v>
      </c>
      <c r="T30" s="20">
        <f>IF(B30="","",ROUND(SUMIFS('Wholesale Orders'!$X$5:$X$204,'Wholesale Orders'!$C$5:$C$204,A30),2))</f>
        <v>0</v>
      </c>
      <c r="U30" s="33">
        <f>IF(B30="","",IF(OR(S30="",S30=0),"",T30/S30))</f>
        <v>0</v>
      </c>
      <c r="V30" s="20">
        <f>IF(B30="","",IF(Q30=0,"",ROUND(S30/Q30,2)))</f>
        <v>0</v>
      </c>
      <c r="W30" s="17">
        <f>IF(B30="","",IF(SUMPRODUCT(MAX(('Wholesale Orders'!$C$5:$C$204=A30)*'Wholesale Orders'!$B$5:$B$204))=0,"",SUMPRODUCT(MAX(('Wholesale Orders'!$C$5:$C$204=A30)*'Wholesale Orders'!$B$5:$B$204))))</f>
        <v>0</v>
      </c>
      <c r="X30" s="32">
        <f>IF(B30="","",IF(W30="","",TodayDate-W30))</f>
        <v>0</v>
      </c>
      <c r="Y30" s="20">
        <f>IF(B30="","",ROUND(SUMIFS('Wholesale Orders'!$V$5:$V$204,'Wholesale Orders'!$C$5:$C$204,A30,'Wholesale Orders'!$M$5:$M$204,"No"),2))</f>
        <v>0</v>
      </c>
      <c r="Z30" s="43">
        <f>IF(B30="","",IF(Q30=0,"Prospect",IF(N30="No","Inactive",IF(AND(X30&lt;&gt;"",X30&gt;180),"Going quiet","Active"))))</f>
        <v>0</v>
      </c>
      <c r="AA30" s="43">
        <f>IF(B30="","",IF(Q30=0,"New - no orders yet",IF(Y30&gt;0,"Chase - money outstanding",IF(U30&lt;0,"Loss - this stockist costs you money",IF(AND(U30&lt;&gt;"",U30&lt;TargetWholesaleMargin),"Low margin - their discount is too deep",IF(Z30="Going quiet","Chase - six months without an order","OK"))))))</f>
        <v>0</v>
      </c>
    </row>
    <row r="31" spans="1:27">
      <c r="A31" s="38">
        <f>IF(B31="","",CustomerPrefix&amp;TEXT(ROW()-4,"0000"))</f>
        <v>0</v>
      </c>
      <c r="P31" s="33">
        <f>IF(B31="","",IF(I31&lt;&gt;"",I31,WholesaleDiscount))</f>
        <v>0</v>
      </c>
      <c r="Q31" s="32">
        <f>IF(B31="","",COUNTIFS('Wholesale Orders'!$C$5:$C$204,A31))</f>
        <v>0</v>
      </c>
      <c r="R31" s="32">
        <f>IF(B31="","",SUMIFS('Wholesale Orders'!$F$5:$F$204,'Wholesale Orders'!$C$5:$C$204,A31))</f>
        <v>0</v>
      </c>
      <c r="S31" s="20">
        <f>IF(B31="","",ROUND(SUMIFS('Wholesale Orders'!$V$5:$V$204,'Wholesale Orders'!$C$5:$C$204,A31),2))</f>
        <v>0</v>
      </c>
      <c r="T31" s="20">
        <f>IF(B31="","",ROUND(SUMIFS('Wholesale Orders'!$X$5:$X$204,'Wholesale Orders'!$C$5:$C$204,A31),2))</f>
        <v>0</v>
      </c>
      <c r="U31" s="33">
        <f>IF(B31="","",IF(OR(S31="",S31=0),"",T31/S31))</f>
        <v>0</v>
      </c>
      <c r="V31" s="20">
        <f>IF(B31="","",IF(Q31=0,"",ROUND(S31/Q31,2)))</f>
        <v>0</v>
      </c>
      <c r="W31" s="17">
        <f>IF(B31="","",IF(SUMPRODUCT(MAX(('Wholesale Orders'!$C$5:$C$204=A31)*'Wholesale Orders'!$B$5:$B$204))=0,"",SUMPRODUCT(MAX(('Wholesale Orders'!$C$5:$C$204=A31)*'Wholesale Orders'!$B$5:$B$204))))</f>
        <v>0</v>
      </c>
      <c r="X31" s="32">
        <f>IF(B31="","",IF(W31="","",TodayDate-W31))</f>
        <v>0</v>
      </c>
      <c r="Y31" s="20">
        <f>IF(B31="","",ROUND(SUMIFS('Wholesale Orders'!$V$5:$V$204,'Wholesale Orders'!$C$5:$C$204,A31,'Wholesale Orders'!$M$5:$M$204,"No"),2))</f>
        <v>0</v>
      </c>
      <c r="Z31" s="43">
        <f>IF(B31="","",IF(Q31=0,"Prospect",IF(N31="No","Inactive",IF(AND(X31&lt;&gt;"",X31&gt;180),"Going quiet","Active"))))</f>
        <v>0</v>
      </c>
      <c r="AA31" s="43">
        <f>IF(B31="","",IF(Q31=0,"New - no orders yet",IF(Y31&gt;0,"Chase - money outstanding",IF(U31&lt;0,"Loss - this stockist costs you money",IF(AND(U31&lt;&gt;"",U31&lt;TargetWholesaleMargin),"Low margin - their discount is too deep",IF(Z31="Going quiet","Chase - six months without an order","OK"))))))</f>
        <v>0</v>
      </c>
    </row>
    <row r="32" spans="1:27">
      <c r="A32" s="38">
        <f>IF(B32="","",CustomerPrefix&amp;TEXT(ROW()-4,"0000"))</f>
        <v>0</v>
      </c>
      <c r="P32" s="33">
        <f>IF(B32="","",IF(I32&lt;&gt;"",I32,WholesaleDiscount))</f>
        <v>0</v>
      </c>
      <c r="Q32" s="32">
        <f>IF(B32="","",COUNTIFS('Wholesale Orders'!$C$5:$C$204,A32))</f>
        <v>0</v>
      </c>
      <c r="R32" s="32">
        <f>IF(B32="","",SUMIFS('Wholesale Orders'!$F$5:$F$204,'Wholesale Orders'!$C$5:$C$204,A32))</f>
        <v>0</v>
      </c>
      <c r="S32" s="20">
        <f>IF(B32="","",ROUND(SUMIFS('Wholesale Orders'!$V$5:$V$204,'Wholesale Orders'!$C$5:$C$204,A32),2))</f>
        <v>0</v>
      </c>
      <c r="T32" s="20">
        <f>IF(B32="","",ROUND(SUMIFS('Wholesale Orders'!$X$5:$X$204,'Wholesale Orders'!$C$5:$C$204,A32),2))</f>
        <v>0</v>
      </c>
      <c r="U32" s="33">
        <f>IF(B32="","",IF(OR(S32="",S32=0),"",T32/S32))</f>
        <v>0</v>
      </c>
      <c r="V32" s="20">
        <f>IF(B32="","",IF(Q32=0,"",ROUND(S32/Q32,2)))</f>
        <v>0</v>
      </c>
      <c r="W32" s="17">
        <f>IF(B32="","",IF(SUMPRODUCT(MAX(('Wholesale Orders'!$C$5:$C$204=A32)*'Wholesale Orders'!$B$5:$B$204))=0,"",SUMPRODUCT(MAX(('Wholesale Orders'!$C$5:$C$204=A32)*'Wholesale Orders'!$B$5:$B$204))))</f>
        <v>0</v>
      </c>
      <c r="X32" s="32">
        <f>IF(B32="","",IF(W32="","",TodayDate-W32))</f>
        <v>0</v>
      </c>
      <c r="Y32" s="20">
        <f>IF(B32="","",ROUND(SUMIFS('Wholesale Orders'!$V$5:$V$204,'Wholesale Orders'!$C$5:$C$204,A32,'Wholesale Orders'!$M$5:$M$204,"No"),2))</f>
        <v>0</v>
      </c>
      <c r="Z32" s="43">
        <f>IF(B32="","",IF(Q32=0,"Prospect",IF(N32="No","Inactive",IF(AND(X32&lt;&gt;"",X32&gt;180),"Going quiet","Active"))))</f>
        <v>0</v>
      </c>
      <c r="AA32" s="43">
        <f>IF(B32="","",IF(Q32=0,"New - no orders yet",IF(Y32&gt;0,"Chase - money outstanding",IF(U32&lt;0,"Loss - this stockist costs you money",IF(AND(U32&lt;&gt;"",U32&lt;TargetWholesaleMargin),"Low margin - their discount is too deep",IF(Z32="Going quiet","Chase - six months without an order","OK"))))))</f>
        <v>0</v>
      </c>
    </row>
    <row r="33" spans="1:27">
      <c r="A33" s="38">
        <f>IF(B33="","",CustomerPrefix&amp;TEXT(ROW()-4,"0000"))</f>
        <v>0</v>
      </c>
      <c r="P33" s="33">
        <f>IF(B33="","",IF(I33&lt;&gt;"",I33,WholesaleDiscount))</f>
        <v>0</v>
      </c>
      <c r="Q33" s="32">
        <f>IF(B33="","",COUNTIFS('Wholesale Orders'!$C$5:$C$204,A33))</f>
        <v>0</v>
      </c>
      <c r="R33" s="32">
        <f>IF(B33="","",SUMIFS('Wholesale Orders'!$F$5:$F$204,'Wholesale Orders'!$C$5:$C$204,A33))</f>
        <v>0</v>
      </c>
      <c r="S33" s="20">
        <f>IF(B33="","",ROUND(SUMIFS('Wholesale Orders'!$V$5:$V$204,'Wholesale Orders'!$C$5:$C$204,A33),2))</f>
        <v>0</v>
      </c>
      <c r="T33" s="20">
        <f>IF(B33="","",ROUND(SUMIFS('Wholesale Orders'!$X$5:$X$204,'Wholesale Orders'!$C$5:$C$204,A33),2))</f>
        <v>0</v>
      </c>
      <c r="U33" s="33">
        <f>IF(B33="","",IF(OR(S33="",S33=0),"",T33/S33))</f>
        <v>0</v>
      </c>
      <c r="V33" s="20">
        <f>IF(B33="","",IF(Q33=0,"",ROUND(S33/Q33,2)))</f>
        <v>0</v>
      </c>
      <c r="W33" s="17">
        <f>IF(B33="","",IF(SUMPRODUCT(MAX(('Wholesale Orders'!$C$5:$C$204=A33)*'Wholesale Orders'!$B$5:$B$204))=0,"",SUMPRODUCT(MAX(('Wholesale Orders'!$C$5:$C$204=A33)*'Wholesale Orders'!$B$5:$B$204))))</f>
        <v>0</v>
      </c>
      <c r="X33" s="32">
        <f>IF(B33="","",IF(W33="","",TodayDate-W33))</f>
        <v>0</v>
      </c>
      <c r="Y33" s="20">
        <f>IF(B33="","",ROUND(SUMIFS('Wholesale Orders'!$V$5:$V$204,'Wholesale Orders'!$C$5:$C$204,A33,'Wholesale Orders'!$M$5:$M$204,"No"),2))</f>
        <v>0</v>
      </c>
      <c r="Z33" s="43">
        <f>IF(B33="","",IF(Q33=0,"Prospect",IF(N33="No","Inactive",IF(AND(X33&lt;&gt;"",X33&gt;180),"Going quiet","Active"))))</f>
        <v>0</v>
      </c>
      <c r="AA33" s="43">
        <f>IF(B33="","",IF(Q33=0,"New - no orders yet",IF(Y33&gt;0,"Chase - money outstanding",IF(U33&lt;0,"Loss - this stockist costs you money",IF(AND(U33&lt;&gt;"",U33&lt;TargetWholesaleMargin),"Low margin - their discount is too deep",IF(Z33="Going quiet","Chase - six months without an order","OK"))))))</f>
        <v>0</v>
      </c>
    </row>
    <row r="34" spans="1:27">
      <c r="A34" s="38">
        <f>IF(B34="","",CustomerPrefix&amp;TEXT(ROW()-4,"0000"))</f>
        <v>0</v>
      </c>
      <c r="P34" s="33">
        <f>IF(B34="","",IF(I34&lt;&gt;"",I34,WholesaleDiscount))</f>
        <v>0</v>
      </c>
      <c r="Q34" s="32">
        <f>IF(B34="","",COUNTIFS('Wholesale Orders'!$C$5:$C$204,A34))</f>
        <v>0</v>
      </c>
      <c r="R34" s="32">
        <f>IF(B34="","",SUMIFS('Wholesale Orders'!$F$5:$F$204,'Wholesale Orders'!$C$5:$C$204,A34))</f>
        <v>0</v>
      </c>
      <c r="S34" s="20">
        <f>IF(B34="","",ROUND(SUMIFS('Wholesale Orders'!$V$5:$V$204,'Wholesale Orders'!$C$5:$C$204,A34),2))</f>
        <v>0</v>
      </c>
      <c r="T34" s="20">
        <f>IF(B34="","",ROUND(SUMIFS('Wholesale Orders'!$X$5:$X$204,'Wholesale Orders'!$C$5:$C$204,A34),2))</f>
        <v>0</v>
      </c>
      <c r="U34" s="33">
        <f>IF(B34="","",IF(OR(S34="",S34=0),"",T34/S34))</f>
        <v>0</v>
      </c>
      <c r="V34" s="20">
        <f>IF(B34="","",IF(Q34=0,"",ROUND(S34/Q34,2)))</f>
        <v>0</v>
      </c>
      <c r="W34" s="17">
        <f>IF(B34="","",IF(SUMPRODUCT(MAX(('Wholesale Orders'!$C$5:$C$204=A34)*'Wholesale Orders'!$B$5:$B$204))=0,"",SUMPRODUCT(MAX(('Wholesale Orders'!$C$5:$C$204=A34)*'Wholesale Orders'!$B$5:$B$204))))</f>
        <v>0</v>
      </c>
      <c r="X34" s="32">
        <f>IF(B34="","",IF(W34="","",TodayDate-W34))</f>
        <v>0</v>
      </c>
      <c r="Y34" s="20">
        <f>IF(B34="","",ROUND(SUMIFS('Wholesale Orders'!$V$5:$V$204,'Wholesale Orders'!$C$5:$C$204,A34,'Wholesale Orders'!$M$5:$M$204,"No"),2))</f>
        <v>0</v>
      </c>
      <c r="Z34" s="43">
        <f>IF(B34="","",IF(Q34=0,"Prospect",IF(N34="No","Inactive",IF(AND(X34&lt;&gt;"",X34&gt;180),"Going quiet","Active"))))</f>
        <v>0</v>
      </c>
      <c r="AA34" s="43">
        <f>IF(B34="","",IF(Q34=0,"New - no orders yet",IF(Y34&gt;0,"Chase - money outstanding",IF(U34&lt;0,"Loss - this stockist costs you money",IF(AND(U34&lt;&gt;"",U34&lt;TargetWholesaleMargin),"Low margin - their discount is too deep",IF(Z34="Going quiet","Chase - six months without an order","OK"))))))</f>
        <v>0</v>
      </c>
    </row>
    <row r="35" spans="1:27">
      <c r="A35" s="38">
        <f>IF(B35="","",CustomerPrefix&amp;TEXT(ROW()-4,"0000"))</f>
        <v>0</v>
      </c>
      <c r="P35" s="33">
        <f>IF(B35="","",IF(I35&lt;&gt;"",I35,WholesaleDiscount))</f>
        <v>0</v>
      </c>
      <c r="Q35" s="32">
        <f>IF(B35="","",COUNTIFS('Wholesale Orders'!$C$5:$C$204,A35))</f>
        <v>0</v>
      </c>
      <c r="R35" s="32">
        <f>IF(B35="","",SUMIFS('Wholesale Orders'!$F$5:$F$204,'Wholesale Orders'!$C$5:$C$204,A35))</f>
        <v>0</v>
      </c>
      <c r="S35" s="20">
        <f>IF(B35="","",ROUND(SUMIFS('Wholesale Orders'!$V$5:$V$204,'Wholesale Orders'!$C$5:$C$204,A35),2))</f>
        <v>0</v>
      </c>
      <c r="T35" s="20">
        <f>IF(B35="","",ROUND(SUMIFS('Wholesale Orders'!$X$5:$X$204,'Wholesale Orders'!$C$5:$C$204,A35),2))</f>
        <v>0</v>
      </c>
      <c r="U35" s="33">
        <f>IF(B35="","",IF(OR(S35="",S35=0),"",T35/S35))</f>
        <v>0</v>
      </c>
      <c r="V35" s="20">
        <f>IF(B35="","",IF(Q35=0,"",ROUND(S35/Q35,2)))</f>
        <v>0</v>
      </c>
      <c r="W35" s="17">
        <f>IF(B35="","",IF(SUMPRODUCT(MAX(('Wholesale Orders'!$C$5:$C$204=A35)*'Wholesale Orders'!$B$5:$B$204))=0,"",SUMPRODUCT(MAX(('Wholesale Orders'!$C$5:$C$204=A35)*'Wholesale Orders'!$B$5:$B$204))))</f>
        <v>0</v>
      </c>
      <c r="X35" s="32">
        <f>IF(B35="","",IF(W35="","",TodayDate-W35))</f>
        <v>0</v>
      </c>
      <c r="Y35" s="20">
        <f>IF(B35="","",ROUND(SUMIFS('Wholesale Orders'!$V$5:$V$204,'Wholesale Orders'!$C$5:$C$204,A35,'Wholesale Orders'!$M$5:$M$204,"No"),2))</f>
        <v>0</v>
      </c>
      <c r="Z35" s="43">
        <f>IF(B35="","",IF(Q35=0,"Prospect",IF(N35="No","Inactive",IF(AND(X35&lt;&gt;"",X35&gt;180),"Going quiet","Active"))))</f>
        <v>0</v>
      </c>
      <c r="AA35" s="43">
        <f>IF(B35="","",IF(Q35=0,"New - no orders yet",IF(Y35&gt;0,"Chase - money outstanding",IF(U35&lt;0,"Loss - this stockist costs you money",IF(AND(U35&lt;&gt;"",U35&lt;TargetWholesaleMargin),"Low margin - their discount is too deep",IF(Z35="Going quiet","Chase - six months without an order","OK"))))))</f>
        <v>0</v>
      </c>
    </row>
    <row r="36" spans="1:27">
      <c r="A36" s="38">
        <f>IF(B36="","",CustomerPrefix&amp;TEXT(ROW()-4,"0000"))</f>
        <v>0</v>
      </c>
      <c r="P36" s="33">
        <f>IF(B36="","",IF(I36&lt;&gt;"",I36,WholesaleDiscount))</f>
        <v>0</v>
      </c>
      <c r="Q36" s="32">
        <f>IF(B36="","",COUNTIFS('Wholesale Orders'!$C$5:$C$204,A36))</f>
        <v>0</v>
      </c>
      <c r="R36" s="32">
        <f>IF(B36="","",SUMIFS('Wholesale Orders'!$F$5:$F$204,'Wholesale Orders'!$C$5:$C$204,A36))</f>
        <v>0</v>
      </c>
      <c r="S36" s="20">
        <f>IF(B36="","",ROUND(SUMIFS('Wholesale Orders'!$V$5:$V$204,'Wholesale Orders'!$C$5:$C$204,A36),2))</f>
        <v>0</v>
      </c>
      <c r="T36" s="20">
        <f>IF(B36="","",ROUND(SUMIFS('Wholesale Orders'!$X$5:$X$204,'Wholesale Orders'!$C$5:$C$204,A36),2))</f>
        <v>0</v>
      </c>
      <c r="U36" s="33">
        <f>IF(B36="","",IF(OR(S36="",S36=0),"",T36/S36))</f>
        <v>0</v>
      </c>
      <c r="V36" s="20">
        <f>IF(B36="","",IF(Q36=0,"",ROUND(S36/Q36,2)))</f>
        <v>0</v>
      </c>
      <c r="W36" s="17">
        <f>IF(B36="","",IF(SUMPRODUCT(MAX(('Wholesale Orders'!$C$5:$C$204=A36)*'Wholesale Orders'!$B$5:$B$204))=0,"",SUMPRODUCT(MAX(('Wholesale Orders'!$C$5:$C$204=A36)*'Wholesale Orders'!$B$5:$B$204))))</f>
        <v>0</v>
      </c>
      <c r="X36" s="32">
        <f>IF(B36="","",IF(W36="","",TodayDate-W36))</f>
        <v>0</v>
      </c>
      <c r="Y36" s="20">
        <f>IF(B36="","",ROUND(SUMIFS('Wholesale Orders'!$V$5:$V$204,'Wholesale Orders'!$C$5:$C$204,A36,'Wholesale Orders'!$M$5:$M$204,"No"),2))</f>
        <v>0</v>
      </c>
      <c r="Z36" s="43">
        <f>IF(B36="","",IF(Q36=0,"Prospect",IF(N36="No","Inactive",IF(AND(X36&lt;&gt;"",X36&gt;180),"Going quiet","Active"))))</f>
        <v>0</v>
      </c>
      <c r="AA36" s="43">
        <f>IF(B36="","",IF(Q36=0,"New - no orders yet",IF(Y36&gt;0,"Chase - money outstanding",IF(U36&lt;0,"Loss - this stockist costs you money",IF(AND(U36&lt;&gt;"",U36&lt;TargetWholesaleMargin),"Low margin - their discount is too deep",IF(Z36="Going quiet","Chase - six months without an order","OK"))))))</f>
        <v>0</v>
      </c>
    </row>
    <row r="37" spans="1:27">
      <c r="A37" s="38">
        <f>IF(B37="","",CustomerPrefix&amp;TEXT(ROW()-4,"0000"))</f>
        <v>0</v>
      </c>
      <c r="P37" s="33">
        <f>IF(B37="","",IF(I37&lt;&gt;"",I37,WholesaleDiscount))</f>
        <v>0</v>
      </c>
      <c r="Q37" s="32">
        <f>IF(B37="","",COUNTIFS('Wholesale Orders'!$C$5:$C$204,A37))</f>
        <v>0</v>
      </c>
      <c r="R37" s="32">
        <f>IF(B37="","",SUMIFS('Wholesale Orders'!$F$5:$F$204,'Wholesale Orders'!$C$5:$C$204,A37))</f>
        <v>0</v>
      </c>
      <c r="S37" s="20">
        <f>IF(B37="","",ROUND(SUMIFS('Wholesale Orders'!$V$5:$V$204,'Wholesale Orders'!$C$5:$C$204,A37),2))</f>
        <v>0</v>
      </c>
      <c r="T37" s="20">
        <f>IF(B37="","",ROUND(SUMIFS('Wholesale Orders'!$X$5:$X$204,'Wholesale Orders'!$C$5:$C$204,A37),2))</f>
        <v>0</v>
      </c>
      <c r="U37" s="33">
        <f>IF(B37="","",IF(OR(S37="",S37=0),"",T37/S37))</f>
        <v>0</v>
      </c>
      <c r="V37" s="20">
        <f>IF(B37="","",IF(Q37=0,"",ROUND(S37/Q37,2)))</f>
        <v>0</v>
      </c>
      <c r="W37" s="17">
        <f>IF(B37="","",IF(SUMPRODUCT(MAX(('Wholesale Orders'!$C$5:$C$204=A37)*'Wholesale Orders'!$B$5:$B$204))=0,"",SUMPRODUCT(MAX(('Wholesale Orders'!$C$5:$C$204=A37)*'Wholesale Orders'!$B$5:$B$204))))</f>
        <v>0</v>
      </c>
      <c r="X37" s="32">
        <f>IF(B37="","",IF(W37="","",TodayDate-W37))</f>
        <v>0</v>
      </c>
      <c r="Y37" s="20">
        <f>IF(B37="","",ROUND(SUMIFS('Wholesale Orders'!$V$5:$V$204,'Wholesale Orders'!$C$5:$C$204,A37,'Wholesale Orders'!$M$5:$M$204,"No"),2))</f>
        <v>0</v>
      </c>
      <c r="Z37" s="43">
        <f>IF(B37="","",IF(Q37=0,"Prospect",IF(N37="No","Inactive",IF(AND(X37&lt;&gt;"",X37&gt;180),"Going quiet","Active"))))</f>
        <v>0</v>
      </c>
      <c r="AA37" s="43">
        <f>IF(B37="","",IF(Q37=0,"New - no orders yet",IF(Y37&gt;0,"Chase - money outstanding",IF(U37&lt;0,"Loss - this stockist costs you money",IF(AND(U37&lt;&gt;"",U37&lt;TargetWholesaleMargin),"Low margin - their discount is too deep",IF(Z37="Going quiet","Chase - six months without an order","OK"))))))</f>
        <v>0</v>
      </c>
    </row>
    <row r="38" spans="1:27">
      <c r="A38" s="38">
        <f>IF(B38="","",CustomerPrefix&amp;TEXT(ROW()-4,"0000"))</f>
        <v>0</v>
      </c>
      <c r="P38" s="33">
        <f>IF(B38="","",IF(I38&lt;&gt;"",I38,WholesaleDiscount))</f>
        <v>0</v>
      </c>
      <c r="Q38" s="32">
        <f>IF(B38="","",COUNTIFS('Wholesale Orders'!$C$5:$C$204,A38))</f>
        <v>0</v>
      </c>
      <c r="R38" s="32">
        <f>IF(B38="","",SUMIFS('Wholesale Orders'!$F$5:$F$204,'Wholesale Orders'!$C$5:$C$204,A38))</f>
        <v>0</v>
      </c>
      <c r="S38" s="20">
        <f>IF(B38="","",ROUND(SUMIFS('Wholesale Orders'!$V$5:$V$204,'Wholesale Orders'!$C$5:$C$204,A38),2))</f>
        <v>0</v>
      </c>
      <c r="T38" s="20">
        <f>IF(B38="","",ROUND(SUMIFS('Wholesale Orders'!$X$5:$X$204,'Wholesale Orders'!$C$5:$C$204,A38),2))</f>
        <v>0</v>
      </c>
      <c r="U38" s="33">
        <f>IF(B38="","",IF(OR(S38="",S38=0),"",T38/S38))</f>
        <v>0</v>
      </c>
      <c r="V38" s="20">
        <f>IF(B38="","",IF(Q38=0,"",ROUND(S38/Q38,2)))</f>
        <v>0</v>
      </c>
      <c r="W38" s="17">
        <f>IF(B38="","",IF(SUMPRODUCT(MAX(('Wholesale Orders'!$C$5:$C$204=A38)*'Wholesale Orders'!$B$5:$B$204))=0,"",SUMPRODUCT(MAX(('Wholesale Orders'!$C$5:$C$204=A38)*'Wholesale Orders'!$B$5:$B$204))))</f>
        <v>0</v>
      </c>
      <c r="X38" s="32">
        <f>IF(B38="","",IF(W38="","",TodayDate-W38))</f>
        <v>0</v>
      </c>
      <c r="Y38" s="20">
        <f>IF(B38="","",ROUND(SUMIFS('Wholesale Orders'!$V$5:$V$204,'Wholesale Orders'!$C$5:$C$204,A38,'Wholesale Orders'!$M$5:$M$204,"No"),2))</f>
        <v>0</v>
      </c>
      <c r="Z38" s="43">
        <f>IF(B38="","",IF(Q38=0,"Prospect",IF(N38="No","Inactive",IF(AND(X38&lt;&gt;"",X38&gt;180),"Going quiet","Active"))))</f>
        <v>0</v>
      </c>
      <c r="AA38" s="43">
        <f>IF(B38="","",IF(Q38=0,"New - no orders yet",IF(Y38&gt;0,"Chase - money outstanding",IF(U38&lt;0,"Loss - this stockist costs you money",IF(AND(U38&lt;&gt;"",U38&lt;TargetWholesaleMargin),"Low margin - their discount is too deep",IF(Z38="Going quiet","Chase - six months without an order","OK"))))))</f>
        <v>0</v>
      </c>
    </row>
    <row r="39" spans="1:27">
      <c r="A39" s="38">
        <f>IF(B39="","",CustomerPrefix&amp;TEXT(ROW()-4,"0000"))</f>
        <v>0</v>
      </c>
      <c r="P39" s="33">
        <f>IF(B39="","",IF(I39&lt;&gt;"",I39,WholesaleDiscount))</f>
        <v>0</v>
      </c>
      <c r="Q39" s="32">
        <f>IF(B39="","",COUNTIFS('Wholesale Orders'!$C$5:$C$204,A39))</f>
        <v>0</v>
      </c>
      <c r="R39" s="32">
        <f>IF(B39="","",SUMIFS('Wholesale Orders'!$F$5:$F$204,'Wholesale Orders'!$C$5:$C$204,A39))</f>
        <v>0</v>
      </c>
      <c r="S39" s="20">
        <f>IF(B39="","",ROUND(SUMIFS('Wholesale Orders'!$V$5:$V$204,'Wholesale Orders'!$C$5:$C$204,A39),2))</f>
        <v>0</v>
      </c>
      <c r="T39" s="20">
        <f>IF(B39="","",ROUND(SUMIFS('Wholesale Orders'!$X$5:$X$204,'Wholesale Orders'!$C$5:$C$204,A39),2))</f>
        <v>0</v>
      </c>
      <c r="U39" s="33">
        <f>IF(B39="","",IF(OR(S39="",S39=0),"",T39/S39))</f>
        <v>0</v>
      </c>
      <c r="V39" s="20">
        <f>IF(B39="","",IF(Q39=0,"",ROUND(S39/Q39,2)))</f>
        <v>0</v>
      </c>
      <c r="W39" s="17">
        <f>IF(B39="","",IF(SUMPRODUCT(MAX(('Wholesale Orders'!$C$5:$C$204=A39)*'Wholesale Orders'!$B$5:$B$204))=0,"",SUMPRODUCT(MAX(('Wholesale Orders'!$C$5:$C$204=A39)*'Wholesale Orders'!$B$5:$B$204))))</f>
        <v>0</v>
      </c>
      <c r="X39" s="32">
        <f>IF(B39="","",IF(W39="","",TodayDate-W39))</f>
        <v>0</v>
      </c>
      <c r="Y39" s="20">
        <f>IF(B39="","",ROUND(SUMIFS('Wholesale Orders'!$V$5:$V$204,'Wholesale Orders'!$C$5:$C$204,A39,'Wholesale Orders'!$M$5:$M$204,"No"),2))</f>
        <v>0</v>
      </c>
      <c r="Z39" s="43">
        <f>IF(B39="","",IF(Q39=0,"Prospect",IF(N39="No","Inactive",IF(AND(X39&lt;&gt;"",X39&gt;180),"Going quiet","Active"))))</f>
        <v>0</v>
      </c>
      <c r="AA39" s="43">
        <f>IF(B39="","",IF(Q39=0,"New - no orders yet",IF(Y39&gt;0,"Chase - money outstanding",IF(U39&lt;0,"Loss - this stockist costs you money",IF(AND(U39&lt;&gt;"",U39&lt;TargetWholesaleMargin),"Low margin - their discount is too deep",IF(Z39="Going quiet","Chase - six months without an order","OK"))))))</f>
        <v>0</v>
      </c>
    </row>
    <row r="40" spans="1:27">
      <c r="A40" s="38">
        <f>IF(B40="","",CustomerPrefix&amp;TEXT(ROW()-4,"0000"))</f>
        <v>0</v>
      </c>
      <c r="P40" s="33">
        <f>IF(B40="","",IF(I40&lt;&gt;"",I40,WholesaleDiscount))</f>
        <v>0</v>
      </c>
      <c r="Q40" s="32">
        <f>IF(B40="","",COUNTIFS('Wholesale Orders'!$C$5:$C$204,A40))</f>
        <v>0</v>
      </c>
      <c r="R40" s="32">
        <f>IF(B40="","",SUMIFS('Wholesale Orders'!$F$5:$F$204,'Wholesale Orders'!$C$5:$C$204,A40))</f>
        <v>0</v>
      </c>
      <c r="S40" s="20">
        <f>IF(B40="","",ROUND(SUMIFS('Wholesale Orders'!$V$5:$V$204,'Wholesale Orders'!$C$5:$C$204,A40),2))</f>
        <v>0</v>
      </c>
      <c r="T40" s="20">
        <f>IF(B40="","",ROUND(SUMIFS('Wholesale Orders'!$X$5:$X$204,'Wholesale Orders'!$C$5:$C$204,A40),2))</f>
        <v>0</v>
      </c>
      <c r="U40" s="33">
        <f>IF(B40="","",IF(OR(S40="",S40=0),"",T40/S40))</f>
        <v>0</v>
      </c>
      <c r="V40" s="20">
        <f>IF(B40="","",IF(Q40=0,"",ROUND(S40/Q40,2)))</f>
        <v>0</v>
      </c>
      <c r="W40" s="17">
        <f>IF(B40="","",IF(SUMPRODUCT(MAX(('Wholesale Orders'!$C$5:$C$204=A40)*'Wholesale Orders'!$B$5:$B$204))=0,"",SUMPRODUCT(MAX(('Wholesale Orders'!$C$5:$C$204=A40)*'Wholesale Orders'!$B$5:$B$204))))</f>
        <v>0</v>
      </c>
      <c r="X40" s="32">
        <f>IF(B40="","",IF(W40="","",TodayDate-W40))</f>
        <v>0</v>
      </c>
      <c r="Y40" s="20">
        <f>IF(B40="","",ROUND(SUMIFS('Wholesale Orders'!$V$5:$V$204,'Wholesale Orders'!$C$5:$C$204,A40,'Wholesale Orders'!$M$5:$M$204,"No"),2))</f>
        <v>0</v>
      </c>
      <c r="Z40" s="43">
        <f>IF(B40="","",IF(Q40=0,"Prospect",IF(N40="No","Inactive",IF(AND(X40&lt;&gt;"",X40&gt;180),"Going quiet","Active"))))</f>
        <v>0</v>
      </c>
      <c r="AA40" s="43">
        <f>IF(B40="","",IF(Q40=0,"New - no orders yet",IF(Y40&gt;0,"Chase - money outstanding",IF(U40&lt;0,"Loss - this stockist costs you money",IF(AND(U40&lt;&gt;"",U40&lt;TargetWholesaleMargin),"Low margin - their discount is too deep",IF(Z40="Going quiet","Chase - six months without an order","OK"))))))</f>
        <v>0</v>
      </c>
    </row>
    <row r="41" spans="1:27">
      <c r="A41" s="38">
        <f>IF(B41="","",CustomerPrefix&amp;TEXT(ROW()-4,"0000"))</f>
        <v>0</v>
      </c>
      <c r="P41" s="33">
        <f>IF(B41="","",IF(I41&lt;&gt;"",I41,WholesaleDiscount))</f>
        <v>0</v>
      </c>
      <c r="Q41" s="32">
        <f>IF(B41="","",COUNTIFS('Wholesale Orders'!$C$5:$C$204,A41))</f>
        <v>0</v>
      </c>
      <c r="R41" s="32">
        <f>IF(B41="","",SUMIFS('Wholesale Orders'!$F$5:$F$204,'Wholesale Orders'!$C$5:$C$204,A41))</f>
        <v>0</v>
      </c>
      <c r="S41" s="20">
        <f>IF(B41="","",ROUND(SUMIFS('Wholesale Orders'!$V$5:$V$204,'Wholesale Orders'!$C$5:$C$204,A41),2))</f>
        <v>0</v>
      </c>
      <c r="T41" s="20">
        <f>IF(B41="","",ROUND(SUMIFS('Wholesale Orders'!$X$5:$X$204,'Wholesale Orders'!$C$5:$C$204,A41),2))</f>
        <v>0</v>
      </c>
      <c r="U41" s="33">
        <f>IF(B41="","",IF(OR(S41="",S41=0),"",T41/S41))</f>
        <v>0</v>
      </c>
      <c r="V41" s="20">
        <f>IF(B41="","",IF(Q41=0,"",ROUND(S41/Q41,2)))</f>
        <v>0</v>
      </c>
      <c r="W41" s="17">
        <f>IF(B41="","",IF(SUMPRODUCT(MAX(('Wholesale Orders'!$C$5:$C$204=A41)*'Wholesale Orders'!$B$5:$B$204))=0,"",SUMPRODUCT(MAX(('Wholesale Orders'!$C$5:$C$204=A41)*'Wholesale Orders'!$B$5:$B$204))))</f>
        <v>0</v>
      </c>
      <c r="X41" s="32">
        <f>IF(B41="","",IF(W41="","",TodayDate-W41))</f>
        <v>0</v>
      </c>
      <c r="Y41" s="20">
        <f>IF(B41="","",ROUND(SUMIFS('Wholesale Orders'!$V$5:$V$204,'Wholesale Orders'!$C$5:$C$204,A41,'Wholesale Orders'!$M$5:$M$204,"No"),2))</f>
        <v>0</v>
      </c>
      <c r="Z41" s="43">
        <f>IF(B41="","",IF(Q41=0,"Prospect",IF(N41="No","Inactive",IF(AND(X41&lt;&gt;"",X41&gt;180),"Going quiet","Active"))))</f>
        <v>0</v>
      </c>
      <c r="AA41" s="43">
        <f>IF(B41="","",IF(Q41=0,"New - no orders yet",IF(Y41&gt;0,"Chase - money outstanding",IF(U41&lt;0,"Loss - this stockist costs you money",IF(AND(U41&lt;&gt;"",U41&lt;TargetWholesaleMargin),"Low margin - their discount is too deep",IF(Z41="Going quiet","Chase - six months without an order","OK"))))))</f>
        <v>0</v>
      </c>
    </row>
    <row r="42" spans="1:27">
      <c r="A42" s="38">
        <f>IF(B42="","",CustomerPrefix&amp;TEXT(ROW()-4,"0000"))</f>
        <v>0</v>
      </c>
      <c r="P42" s="33">
        <f>IF(B42="","",IF(I42&lt;&gt;"",I42,WholesaleDiscount))</f>
        <v>0</v>
      </c>
      <c r="Q42" s="32">
        <f>IF(B42="","",COUNTIFS('Wholesale Orders'!$C$5:$C$204,A42))</f>
        <v>0</v>
      </c>
      <c r="R42" s="32">
        <f>IF(B42="","",SUMIFS('Wholesale Orders'!$F$5:$F$204,'Wholesale Orders'!$C$5:$C$204,A42))</f>
        <v>0</v>
      </c>
      <c r="S42" s="20">
        <f>IF(B42="","",ROUND(SUMIFS('Wholesale Orders'!$V$5:$V$204,'Wholesale Orders'!$C$5:$C$204,A42),2))</f>
        <v>0</v>
      </c>
      <c r="T42" s="20">
        <f>IF(B42="","",ROUND(SUMIFS('Wholesale Orders'!$X$5:$X$204,'Wholesale Orders'!$C$5:$C$204,A42),2))</f>
        <v>0</v>
      </c>
      <c r="U42" s="33">
        <f>IF(B42="","",IF(OR(S42="",S42=0),"",T42/S42))</f>
        <v>0</v>
      </c>
      <c r="V42" s="20">
        <f>IF(B42="","",IF(Q42=0,"",ROUND(S42/Q42,2)))</f>
        <v>0</v>
      </c>
      <c r="W42" s="17">
        <f>IF(B42="","",IF(SUMPRODUCT(MAX(('Wholesale Orders'!$C$5:$C$204=A42)*'Wholesale Orders'!$B$5:$B$204))=0,"",SUMPRODUCT(MAX(('Wholesale Orders'!$C$5:$C$204=A42)*'Wholesale Orders'!$B$5:$B$204))))</f>
        <v>0</v>
      </c>
      <c r="X42" s="32">
        <f>IF(B42="","",IF(W42="","",TodayDate-W42))</f>
        <v>0</v>
      </c>
      <c r="Y42" s="20">
        <f>IF(B42="","",ROUND(SUMIFS('Wholesale Orders'!$V$5:$V$204,'Wholesale Orders'!$C$5:$C$204,A42,'Wholesale Orders'!$M$5:$M$204,"No"),2))</f>
        <v>0</v>
      </c>
      <c r="Z42" s="43">
        <f>IF(B42="","",IF(Q42=0,"Prospect",IF(N42="No","Inactive",IF(AND(X42&lt;&gt;"",X42&gt;180),"Going quiet","Active"))))</f>
        <v>0</v>
      </c>
      <c r="AA42" s="43">
        <f>IF(B42="","",IF(Q42=0,"New - no orders yet",IF(Y42&gt;0,"Chase - money outstanding",IF(U42&lt;0,"Loss - this stockist costs you money",IF(AND(U42&lt;&gt;"",U42&lt;TargetWholesaleMargin),"Low margin - their discount is too deep",IF(Z42="Going quiet","Chase - six months without an order","OK"))))))</f>
        <v>0</v>
      </c>
    </row>
    <row r="43" spans="1:27">
      <c r="A43" s="38">
        <f>IF(B43="","",CustomerPrefix&amp;TEXT(ROW()-4,"0000"))</f>
        <v>0</v>
      </c>
      <c r="P43" s="33">
        <f>IF(B43="","",IF(I43&lt;&gt;"",I43,WholesaleDiscount))</f>
        <v>0</v>
      </c>
      <c r="Q43" s="32">
        <f>IF(B43="","",COUNTIFS('Wholesale Orders'!$C$5:$C$204,A43))</f>
        <v>0</v>
      </c>
      <c r="R43" s="32">
        <f>IF(B43="","",SUMIFS('Wholesale Orders'!$F$5:$F$204,'Wholesale Orders'!$C$5:$C$204,A43))</f>
        <v>0</v>
      </c>
      <c r="S43" s="20">
        <f>IF(B43="","",ROUND(SUMIFS('Wholesale Orders'!$V$5:$V$204,'Wholesale Orders'!$C$5:$C$204,A43),2))</f>
        <v>0</v>
      </c>
      <c r="T43" s="20">
        <f>IF(B43="","",ROUND(SUMIFS('Wholesale Orders'!$X$5:$X$204,'Wholesale Orders'!$C$5:$C$204,A43),2))</f>
        <v>0</v>
      </c>
      <c r="U43" s="33">
        <f>IF(B43="","",IF(OR(S43="",S43=0),"",T43/S43))</f>
        <v>0</v>
      </c>
      <c r="V43" s="20">
        <f>IF(B43="","",IF(Q43=0,"",ROUND(S43/Q43,2)))</f>
        <v>0</v>
      </c>
      <c r="W43" s="17">
        <f>IF(B43="","",IF(SUMPRODUCT(MAX(('Wholesale Orders'!$C$5:$C$204=A43)*'Wholesale Orders'!$B$5:$B$204))=0,"",SUMPRODUCT(MAX(('Wholesale Orders'!$C$5:$C$204=A43)*'Wholesale Orders'!$B$5:$B$204))))</f>
        <v>0</v>
      </c>
      <c r="X43" s="32">
        <f>IF(B43="","",IF(W43="","",TodayDate-W43))</f>
        <v>0</v>
      </c>
      <c r="Y43" s="20">
        <f>IF(B43="","",ROUND(SUMIFS('Wholesale Orders'!$V$5:$V$204,'Wholesale Orders'!$C$5:$C$204,A43,'Wholesale Orders'!$M$5:$M$204,"No"),2))</f>
        <v>0</v>
      </c>
      <c r="Z43" s="43">
        <f>IF(B43="","",IF(Q43=0,"Prospect",IF(N43="No","Inactive",IF(AND(X43&lt;&gt;"",X43&gt;180),"Going quiet","Active"))))</f>
        <v>0</v>
      </c>
      <c r="AA43" s="43">
        <f>IF(B43="","",IF(Q43=0,"New - no orders yet",IF(Y43&gt;0,"Chase - money outstanding",IF(U43&lt;0,"Loss - this stockist costs you money",IF(AND(U43&lt;&gt;"",U43&lt;TargetWholesaleMargin),"Low margin - their discount is too deep",IF(Z43="Going quiet","Chase - six months without an order","OK"))))))</f>
        <v>0</v>
      </c>
    </row>
    <row r="44" spans="1:27">
      <c r="A44" s="38">
        <f>IF(B44="","",CustomerPrefix&amp;TEXT(ROW()-4,"0000"))</f>
        <v>0</v>
      </c>
      <c r="P44" s="33">
        <f>IF(B44="","",IF(I44&lt;&gt;"",I44,WholesaleDiscount))</f>
        <v>0</v>
      </c>
      <c r="Q44" s="32">
        <f>IF(B44="","",COUNTIFS('Wholesale Orders'!$C$5:$C$204,A44))</f>
        <v>0</v>
      </c>
      <c r="R44" s="32">
        <f>IF(B44="","",SUMIFS('Wholesale Orders'!$F$5:$F$204,'Wholesale Orders'!$C$5:$C$204,A44))</f>
        <v>0</v>
      </c>
      <c r="S44" s="20">
        <f>IF(B44="","",ROUND(SUMIFS('Wholesale Orders'!$V$5:$V$204,'Wholesale Orders'!$C$5:$C$204,A44),2))</f>
        <v>0</v>
      </c>
      <c r="T44" s="20">
        <f>IF(B44="","",ROUND(SUMIFS('Wholesale Orders'!$X$5:$X$204,'Wholesale Orders'!$C$5:$C$204,A44),2))</f>
        <v>0</v>
      </c>
      <c r="U44" s="33">
        <f>IF(B44="","",IF(OR(S44="",S44=0),"",T44/S44))</f>
        <v>0</v>
      </c>
      <c r="V44" s="20">
        <f>IF(B44="","",IF(Q44=0,"",ROUND(S44/Q44,2)))</f>
        <v>0</v>
      </c>
      <c r="W44" s="17">
        <f>IF(B44="","",IF(SUMPRODUCT(MAX(('Wholesale Orders'!$C$5:$C$204=A44)*'Wholesale Orders'!$B$5:$B$204))=0,"",SUMPRODUCT(MAX(('Wholesale Orders'!$C$5:$C$204=A44)*'Wholesale Orders'!$B$5:$B$204))))</f>
        <v>0</v>
      </c>
      <c r="X44" s="32">
        <f>IF(B44="","",IF(W44="","",TodayDate-W44))</f>
        <v>0</v>
      </c>
      <c r="Y44" s="20">
        <f>IF(B44="","",ROUND(SUMIFS('Wholesale Orders'!$V$5:$V$204,'Wholesale Orders'!$C$5:$C$204,A44,'Wholesale Orders'!$M$5:$M$204,"No"),2))</f>
        <v>0</v>
      </c>
      <c r="Z44" s="43">
        <f>IF(B44="","",IF(Q44=0,"Prospect",IF(N44="No","Inactive",IF(AND(X44&lt;&gt;"",X44&gt;180),"Going quiet","Active"))))</f>
        <v>0</v>
      </c>
      <c r="AA44" s="43">
        <f>IF(B44="","",IF(Q44=0,"New - no orders yet",IF(Y44&gt;0,"Chase - money outstanding",IF(U44&lt;0,"Loss - this stockist costs you money",IF(AND(U44&lt;&gt;"",U44&lt;TargetWholesaleMargin),"Low margin - their discount is too deep",IF(Z44="Going quiet","Chase - six months without an order","OK"))))))</f>
        <v>0</v>
      </c>
    </row>
    <row r="45" spans="1:27">
      <c r="A45" s="38">
        <f>IF(B45="","",CustomerPrefix&amp;TEXT(ROW()-4,"0000"))</f>
        <v>0</v>
      </c>
      <c r="P45" s="33">
        <f>IF(B45="","",IF(I45&lt;&gt;"",I45,WholesaleDiscount))</f>
        <v>0</v>
      </c>
      <c r="Q45" s="32">
        <f>IF(B45="","",COUNTIFS('Wholesale Orders'!$C$5:$C$204,A45))</f>
        <v>0</v>
      </c>
      <c r="R45" s="32">
        <f>IF(B45="","",SUMIFS('Wholesale Orders'!$F$5:$F$204,'Wholesale Orders'!$C$5:$C$204,A45))</f>
        <v>0</v>
      </c>
      <c r="S45" s="20">
        <f>IF(B45="","",ROUND(SUMIFS('Wholesale Orders'!$V$5:$V$204,'Wholesale Orders'!$C$5:$C$204,A45),2))</f>
        <v>0</v>
      </c>
      <c r="T45" s="20">
        <f>IF(B45="","",ROUND(SUMIFS('Wholesale Orders'!$X$5:$X$204,'Wholesale Orders'!$C$5:$C$204,A45),2))</f>
        <v>0</v>
      </c>
      <c r="U45" s="33">
        <f>IF(B45="","",IF(OR(S45="",S45=0),"",T45/S45))</f>
        <v>0</v>
      </c>
      <c r="V45" s="20">
        <f>IF(B45="","",IF(Q45=0,"",ROUND(S45/Q45,2)))</f>
        <v>0</v>
      </c>
      <c r="W45" s="17">
        <f>IF(B45="","",IF(SUMPRODUCT(MAX(('Wholesale Orders'!$C$5:$C$204=A45)*'Wholesale Orders'!$B$5:$B$204))=0,"",SUMPRODUCT(MAX(('Wholesale Orders'!$C$5:$C$204=A45)*'Wholesale Orders'!$B$5:$B$204))))</f>
        <v>0</v>
      </c>
      <c r="X45" s="32">
        <f>IF(B45="","",IF(W45="","",TodayDate-W45))</f>
        <v>0</v>
      </c>
      <c r="Y45" s="20">
        <f>IF(B45="","",ROUND(SUMIFS('Wholesale Orders'!$V$5:$V$204,'Wholesale Orders'!$C$5:$C$204,A45,'Wholesale Orders'!$M$5:$M$204,"No"),2))</f>
        <v>0</v>
      </c>
      <c r="Z45" s="43">
        <f>IF(B45="","",IF(Q45=0,"Prospect",IF(N45="No","Inactive",IF(AND(X45&lt;&gt;"",X45&gt;180),"Going quiet","Active"))))</f>
        <v>0</v>
      </c>
      <c r="AA45" s="43">
        <f>IF(B45="","",IF(Q45=0,"New - no orders yet",IF(Y45&gt;0,"Chase - money outstanding",IF(U45&lt;0,"Loss - this stockist costs you money",IF(AND(U45&lt;&gt;"",U45&lt;TargetWholesaleMargin),"Low margin - their discount is too deep",IF(Z45="Going quiet","Chase - six months without an order","OK"))))))</f>
        <v>0</v>
      </c>
    </row>
    <row r="46" spans="1:27">
      <c r="A46" s="38">
        <f>IF(B46="","",CustomerPrefix&amp;TEXT(ROW()-4,"0000"))</f>
        <v>0</v>
      </c>
      <c r="P46" s="33">
        <f>IF(B46="","",IF(I46&lt;&gt;"",I46,WholesaleDiscount))</f>
        <v>0</v>
      </c>
      <c r="Q46" s="32">
        <f>IF(B46="","",COUNTIFS('Wholesale Orders'!$C$5:$C$204,A46))</f>
        <v>0</v>
      </c>
      <c r="R46" s="32">
        <f>IF(B46="","",SUMIFS('Wholesale Orders'!$F$5:$F$204,'Wholesale Orders'!$C$5:$C$204,A46))</f>
        <v>0</v>
      </c>
      <c r="S46" s="20">
        <f>IF(B46="","",ROUND(SUMIFS('Wholesale Orders'!$V$5:$V$204,'Wholesale Orders'!$C$5:$C$204,A46),2))</f>
        <v>0</v>
      </c>
      <c r="T46" s="20">
        <f>IF(B46="","",ROUND(SUMIFS('Wholesale Orders'!$X$5:$X$204,'Wholesale Orders'!$C$5:$C$204,A46),2))</f>
        <v>0</v>
      </c>
      <c r="U46" s="33">
        <f>IF(B46="","",IF(OR(S46="",S46=0),"",T46/S46))</f>
        <v>0</v>
      </c>
      <c r="V46" s="20">
        <f>IF(B46="","",IF(Q46=0,"",ROUND(S46/Q46,2)))</f>
        <v>0</v>
      </c>
      <c r="W46" s="17">
        <f>IF(B46="","",IF(SUMPRODUCT(MAX(('Wholesale Orders'!$C$5:$C$204=A46)*'Wholesale Orders'!$B$5:$B$204))=0,"",SUMPRODUCT(MAX(('Wholesale Orders'!$C$5:$C$204=A46)*'Wholesale Orders'!$B$5:$B$204))))</f>
        <v>0</v>
      </c>
      <c r="X46" s="32">
        <f>IF(B46="","",IF(W46="","",TodayDate-W46))</f>
        <v>0</v>
      </c>
      <c r="Y46" s="20">
        <f>IF(B46="","",ROUND(SUMIFS('Wholesale Orders'!$V$5:$V$204,'Wholesale Orders'!$C$5:$C$204,A46,'Wholesale Orders'!$M$5:$M$204,"No"),2))</f>
        <v>0</v>
      </c>
      <c r="Z46" s="43">
        <f>IF(B46="","",IF(Q46=0,"Prospect",IF(N46="No","Inactive",IF(AND(X46&lt;&gt;"",X46&gt;180),"Going quiet","Active"))))</f>
        <v>0</v>
      </c>
      <c r="AA46" s="43">
        <f>IF(B46="","",IF(Q46=0,"New - no orders yet",IF(Y46&gt;0,"Chase - money outstanding",IF(U46&lt;0,"Loss - this stockist costs you money",IF(AND(U46&lt;&gt;"",U46&lt;TargetWholesaleMargin),"Low margin - their discount is too deep",IF(Z46="Going quiet","Chase - six months without an order","OK"))))))</f>
        <v>0</v>
      </c>
    </row>
    <row r="47" spans="1:27">
      <c r="A47" s="38">
        <f>IF(B47="","",CustomerPrefix&amp;TEXT(ROW()-4,"0000"))</f>
        <v>0</v>
      </c>
      <c r="P47" s="33">
        <f>IF(B47="","",IF(I47&lt;&gt;"",I47,WholesaleDiscount))</f>
        <v>0</v>
      </c>
      <c r="Q47" s="32">
        <f>IF(B47="","",COUNTIFS('Wholesale Orders'!$C$5:$C$204,A47))</f>
        <v>0</v>
      </c>
      <c r="R47" s="32">
        <f>IF(B47="","",SUMIFS('Wholesale Orders'!$F$5:$F$204,'Wholesale Orders'!$C$5:$C$204,A47))</f>
        <v>0</v>
      </c>
      <c r="S47" s="20">
        <f>IF(B47="","",ROUND(SUMIFS('Wholesale Orders'!$V$5:$V$204,'Wholesale Orders'!$C$5:$C$204,A47),2))</f>
        <v>0</v>
      </c>
      <c r="T47" s="20">
        <f>IF(B47="","",ROUND(SUMIFS('Wholesale Orders'!$X$5:$X$204,'Wholesale Orders'!$C$5:$C$204,A47),2))</f>
        <v>0</v>
      </c>
      <c r="U47" s="33">
        <f>IF(B47="","",IF(OR(S47="",S47=0),"",T47/S47))</f>
        <v>0</v>
      </c>
      <c r="V47" s="20">
        <f>IF(B47="","",IF(Q47=0,"",ROUND(S47/Q47,2)))</f>
        <v>0</v>
      </c>
      <c r="W47" s="17">
        <f>IF(B47="","",IF(SUMPRODUCT(MAX(('Wholesale Orders'!$C$5:$C$204=A47)*'Wholesale Orders'!$B$5:$B$204))=0,"",SUMPRODUCT(MAX(('Wholesale Orders'!$C$5:$C$204=A47)*'Wholesale Orders'!$B$5:$B$204))))</f>
        <v>0</v>
      </c>
      <c r="X47" s="32">
        <f>IF(B47="","",IF(W47="","",TodayDate-W47))</f>
        <v>0</v>
      </c>
      <c r="Y47" s="20">
        <f>IF(B47="","",ROUND(SUMIFS('Wholesale Orders'!$V$5:$V$204,'Wholesale Orders'!$C$5:$C$204,A47,'Wholesale Orders'!$M$5:$M$204,"No"),2))</f>
        <v>0</v>
      </c>
      <c r="Z47" s="43">
        <f>IF(B47="","",IF(Q47=0,"Prospect",IF(N47="No","Inactive",IF(AND(X47&lt;&gt;"",X47&gt;180),"Going quiet","Active"))))</f>
        <v>0</v>
      </c>
      <c r="AA47" s="43">
        <f>IF(B47="","",IF(Q47=0,"New - no orders yet",IF(Y47&gt;0,"Chase - money outstanding",IF(U47&lt;0,"Loss - this stockist costs you money",IF(AND(U47&lt;&gt;"",U47&lt;TargetWholesaleMargin),"Low margin - their discount is too deep",IF(Z47="Going quiet","Chase - six months without an order","OK"))))))</f>
        <v>0</v>
      </c>
    </row>
    <row r="48" spans="1:27">
      <c r="A48" s="38">
        <f>IF(B48="","",CustomerPrefix&amp;TEXT(ROW()-4,"0000"))</f>
        <v>0</v>
      </c>
      <c r="P48" s="33">
        <f>IF(B48="","",IF(I48&lt;&gt;"",I48,WholesaleDiscount))</f>
        <v>0</v>
      </c>
      <c r="Q48" s="32">
        <f>IF(B48="","",COUNTIFS('Wholesale Orders'!$C$5:$C$204,A48))</f>
        <v>0</v>
      </c>
      <c r="R48" s="32">
        <f>IF(B48="","",SUMIFS('Wholesale Orders'!$F$5:$F$204,'Wholesale Orders'!$C$5:$C$204,A48))</f>
        <v>0</v>
      </c>
      <c r="S48" s="20">
        <f>IF(B48="","",ROUND(SUMIFS('Wholesale Orders'!$V$5:$V$204,'Wholesale Orders'!$C$5:$C$204,A48),2))</f>
        <v>0</v>
      </c>
      <c r="T48" s="20">
        <f>IF(B48="","",ROUND(SUMIFS('Wholesale Orders'!$X$5:$X$204,'Wholesale Orders'!$C$5:$C$204,A48),2))</f>
        <v>0</v>
      </c>
      <c r="U48" s="33">
        <f>IF(B48="","",IF(OR(S48="",S48=0),"",T48/S48))</f>
        <v>0</v>
      </c>
      <c r="V48" s="20">
        <f>IF(B48="","",IF(Q48=0,"",ROUND(S48/Q48,2)))</f>
        <v>0</v>
      </c>
      <c r="W48" s="17">
        <f>IF(B48="","",IF(SUMPRODUCT(MAX(('Wholesale Orders'!$C$5:$C$204=A48)*'Wholesale Orders'!$B$5:$B$204))=0,"",SUMPRODUCT(MAX(('Wholesale Orders'!$C$5:$C$204=A48)*'Wholesale Orders'!$B$5:$B$204))))</f>
        <v>0</v>
      </c>
      <c r="X48" s="32">
        <f>IF(B48="","",IF(W48="","",TodayDate-W48))</f>
        <v>0</v>
      </c>
      <c r="Y48" s="20">
        <f>IF(B48="","",ROUND(SUMIFS('Wholesale Orders'!$V$5:$V$204,'Wholesale Orders'!$C$5:$C$204,A48,'Wholesale Orders'!$M$5:$M$204,"No"),2))</f>
        <v>0</v>
      </c>
      <c r="Z48" s="43">
        <f>IF(B48="","",IF(Q48=0,"Prospect",IF(N48="No","Inactive",IF(AND(X48&lt;&gt;"",X48&gt;180),"Going quiet","Active"))))</f>
        <v>0</v>
      </c>
      <c r="AA48" s="43">
        <f>IF(B48="","",IF(Q48=0,"New - no orders yet",IF(Y48&gt;0,"Chase - money outstanding",IF(U48&lt;0,"Loss - this stockist costs you money",IF(AND(U48&lt;&gt;"",U48&lt;TargetWholesaleMargin),"Low margin - their discount is too deep",IF(Z48="Going quiet","Chase - six months without an order","OK"))))))</f>
        <v>0</v>
      </c>
    </row>
    <row r="49" spans="1:27">
      <c r="A49" s="38">
        <f>IF(B49="","",CustomerPrefix&amp;TEXT(ROW()-4,"0000"))</f>
        <v>0</v>
      </c>
      <c r="P49" s="33">
        <f>IF(B49="","",IF(I49&lt;&gt;"",I49,WholesaleDiscount))</f>
        <v>0</v>
      </c>
      <c r="Q49" s="32">
        <f>IF(B49="","",COUNTIFS('Wholesale Orders'!$C$5:$C$204,A49))</f>
        <v>0</v>
      </c>
      <c r="R49" s="32">
        <f>IF(B49="","",SUMIFS('Wholesale Orders'!$F$5:$F$204,'Wholesale Orders'!$C$5:$C$204,A49))</f>
        <v>0</v>
      </c>
      <c r="S49" s="20">
        <f>IF(B49="","",ROUND(SUMIFS('Wholesale Orders'!$V$5:$V$204,'Wholesale Orders'!$C$5:$C$204,A49),2))</f>
        <v>0</v>
      </c>
      <c r="T49" s="20">
        <f>IF(B49="","",ROUND(SUMIFS('Wholesale Orders'!$X$5:$X$204,'Wholesale Orders'!$C$5:$C$204,A49),2))</f>
        <v>0</v>
      </c>
      <c r="U49" s="33">
        <f>IF(B49="","",IF(OR(S49="",S49=0),"",T49/S49))</f>
        <v>0</v>
      </c>
      <c r="V49" s="20">
        <f>IF(B49="","",IF(Q49=0,"",ROUND(S49/Q49,2)))</f>
        <v>0</v>
      </c>
      <c r="W49" s="17">
        <f>IF(B49="","",IF(SUMPRODUCT(MAX(('Wholesale Orders'!$C$5:$C$204=A49)*'Wholesale Orders'!$B$5:$B$204))=0,"",SUMPRODUCT(MAX(('Wholesale Orders'!$C$5:$C$204=A49)*'Wholesale Orders'!$B$5:$B$204))))</f>
        <v>0</v>
      </c>
      <c r="X49" s="32">
        <f>IF(B49="","",IF(W49="","",TodayDate-W49))</f>
        <v>0</v>
      </c>
      <c r="Y49" s="20">
        <f>IF(B49="","",ROUND(SUMIFS('Wholesale Orders'!$V$5:$V$204,'Wholesale Orders'!$C$5:$C$204,A49,'Wholesale Orders'!$M$5:$M$204,"No"),2))</f>
        <v>0</v>
      </c>
      <c r="Z49" s="43">
        <f>IF(B49="","",IF(Q49=0,"Prospect",IF(N49="No","Inactive",IF(AND(X49&lt;&gt;"",X49&gt;180),"Going quiet","Active"))))</f>
        <v>0</v>
      </c>
      <c r="AA49" s="43">
        <f>IF(B49="","",IF(Q49=0,"New - no orders yet",IF(Y49&gt;0,"Chase - money outstanding",IF(U49&lt;0,"Loss - this stockist costs you money",IF(AND(U49&lt;&gt;"",U49&lt;TargetWholesaleMargin),"Low margin - their discount is too deep",IF(Z49="Going quiet","Chase - six months without an order","OK"))))))</f>
        <v>0</v>
      </c>
    </row>
    <row r="50" spans="1:27">
      <c r="A50" s="38">
        <f>IF(B50="","",CustomerPrefix&amp;TEXT(ROW()-4,"0000"))</f>
        <v>0</v>
      </c>
      <c r="P50" s="33">
        <f>IF(B50="","",IF(I50&lt;&gt;"",I50,WholesaleDiscount))</f>
        <v>0</v>
      </c>
      <c r="Q50" s="32">
        <f>IF(B50="","",COUNTIFS('Wholesale Orders'!$C$5:$C$204,A50))</f>
        <v>0</v>
      </c>
      <c r="R50" s="32">
        <f>IF(B50="","",SUMIFS('Wholesale Orders'!$F$5:$F$204,'Wholesale Orders'!$C$5:$C$204,A50))</f>
        <v>0</v>
      </c>
      <c r="S50" s="20">
        <f>IF(B50="","",ROUND(SUMIFS('Wholesale Orders'!$V$5:$V$204,'Wholesale Orders'!$C$5:$C$204,A50),2))</f>
        <v>0</v>
      </c>
      <c r="T50" s="20">
        <f>IF(B50="","",ROUND(SUMIFS('Wholesale Orders'!$X$5:$X$204,'Wholesale Orders'!$C$5:$C$204,A50),2))</f>
        <v>0</v>
      </c>
      <c r="U50" s="33">
        <f>IF(B50="","",IF(OR(S50="",S50=0),"",T50/S50))</f>
        <v>0</v>
      </c>
      <c r="V50" s="20">
        <f>IF(B50="","",IF(Q50=0,"",ROUND(S50/Q50,2)))</f>
        <v>0</v>
      </c>
      <c r="W50" s="17">
        <f>IF(B50="","",IF(SUMPRODUCT(MAX(('Wholesale Orders'!$C$5:$C$204=A50)*'Wholesale Orders'!$B$5:$B$204))=0,"",SUMPRODUCT(MAX(('Wholesale Orders'!$C$5:$C$204=A50)*'Wholesale Orders'!$B$5:$B$204))))</f>
        <v>0</v>
      </c>
      <c r="X50" s="32">
        <f>IF(B50="","",IF(W50="","",TodayDate-W50))</f>
        <v>0</v>
      </c>
      <c r="Y50" s="20">
        <f>IF(B50="","",ROUND(SUMIFS('Wholesale Orders'!$V$5:$V$204,'Wholesale Orders'!$C$5:$C$204,A50,'Wholesale Orders'!$M$5:$M$204,"No"),2))</f>
        <v>0</v>
      </c>
      <c r="Z50" s="43">
        <f>IF(B50="","",IF(Q50=0,"Prospect",IF(N50="No","Inactive",IF(AND(X50&lt;&gt;"",X50&gt;180),"Going quiet","Active"))))</f>
        <v>0</v>
      </c>
      <c r="AA50" s="43">
        <f>IF(B50="","",IF(Q50=0,"New - no orders yet",IF(Y50&gt;0,"Chase - money outstanding",IF(U50&lt;0,"Loss - this stockist costs you money",IF(AND(U50&lt;&gt;"",U50&lt;TargetWholesaleMargin),"Low margin - their discount is too deep",IF(Z50="Going quiet","Chase - six months without an order","OK"))))))</f>
        <v>0</v>
      </c>
    </row>
    <row r="51" spans="1:27">
      <c r="A51" s="38">
        <f>IF(B51="","",CustomerPrefix&amp;TEXT(ROW()-4,"0000"))</f>
        <v>0</v>
      </c>
      <c r="P51" s="33">
        <f>IF(B51="","",IF(I51&lt;&gt;"",I51,WholesaleDiscount))</f>
        <v>0</v>
      </c>
      <c r="Q51" s="32">
        <f>IF(B51="","",COUNTIFS('Wholesale Orders'!$C$5:$C$204,A51))</f>
        <v>0</v>
      </c>
      <c r="R51" s="32">
        <f>IF(B51="","",SUMIFS('Wholesale Orders'!$F$5:$F$204,'Wholesale Orders'!$C$5:$C$204,A51))</f>
        <v>0</v>
      </c>
      <c r="S51" s="20">
        <f>IF(B51="","",ROUND(SUMIFS('Wholesale Orders'!$V$5:$V$204,'Wholesale Orders'!$C$5:$C$204,A51),2))</f>
        <v>0</v>
      </c>
      <c r="T51" s="20">
        <f>IF(B51="","",ROUND(SUMIFS('Wholesale Orders'!$X$5:$X$204,'Wholesale Orders'!$C$5:$C$204,A51),2))</f>
        <v>0</v>
      </c>
      <c r="U51" s="33">
        <f>IF(B51="","",IF(OR(S51="",S51=0),"",T51/S51))</f>
        <v>0</v>
      </c>
      <c r="V51" s="20">
        <f>IF(B51="","",IF(Q51=0,"",ROUND(S51/Q51,2)))</f>
        <v>0</v>
      </c>
      <c r="W51" s="17">
        <f>IF(B51="","",IF(SUMPRODUCT(MAX(('Wholesale Orders'!$C$5:$C$204=A51)*'Wholesale Orders'!$B$5:$B$204))=0,"",SUMPRODUCT(MAX(('Wholesale Orders'!$C$5:$C$204=A51)*'Wholesale Orders'!$B$5:$B$204))))</f>
        <v>0</v>
      </c>
      <c r="X51" s="32">
        <f>IF(B51="","",IF(W51="","",TodayDate-W51))</f>
        <v>0</v>
      </c>
      <c r="Y51" s="20">
        <f>IF(B51="","",ROUND(SUMIFS('Wholesale Orders'!$V$5:$V$204,'Wholesale Orders'!$C$5:$C$204,A51,'Wholesale Orders'!$M$5:$M$204,"No"),2))</f>
        <v>0</v>
      </c>
      <c r="Z51" s="43">
        <f>IF(B51="","",IF(Q51=0,"Prospect",IF(N51="No","Inactive",IF(AND(X51&lt;&gt;"",X51&gt;180),"Going quiet","Active"))))</f>
        <v>0</v>
      </c>
      <c r="AA51" s="43">
        <f>IF(B51="","",IF(Q51=0,"New - no orders yet",IF(Y51&gt;0,"Chase - money outstanding",IF(U51&lt;0,"Loss - this stockist costs you money",IF(AND(U51&lt;&gt;"",U51&lt;TargetWholesaleMargin),"Low margin - their discount is too deep",IF(Z51="Going quiet","Chase - six months without an order","OK"))))))</f>
        <v>0</v>
      </c>
    </row>
    <row r="52" spans="1:27">
      <c r="A52" s="38">
        <f>IF(B52="","",CustomerPrefix&amp;TEXT(ROW()-4,"0000"))</f>
        <v>0</v>
      </c>
      <c r="P52" s="33">
        <f>IF(B52="","",IF(I52&lt;&gt;"",I52,WholesaleDiscount))</f>
        <v>0</v>
      </c>
      <c r="Q52" s="32">
        <f>IF(B52="","",COUNTIFS('Wholesale Orders'!$C$5:$C$204,A52))</f>
        <v>0</v>
      </c>
      <c r="R52" s="32">
        <f>IF(B52="","",SUMIFS('Wholesale Orders'!$F$5:$F$204,'Wholesale Orders'!$C$5:$C$204,A52))</f>
        <v>0</v>
      </c>
      <c r="S52" s="20">
        <f>IF(B52="","",ROUND(SUMIFS('Wholesale Orders'!$V$5:$V$204,'Wholesale Orders'!$C$5:$C$204,A52),2))</f>
        <v>0</v>
      </c>
      <c r="T52" s="20">
        <f>IF(B52="","",ROUND(SUMIFS('Wholesale Orders'!$X$5:$X$204,'Wholesale Orders'!$C$5:$C$204,A52),2))</f>
        <v>0</v>
      </c>
      <c r="U52" s="33">
        <f>IF(B52="","",IF(OR(S52="",S52=0),"",T52/S52))</f>
        <v>0</v>
      </c>
      <c r="V52" s="20">
        <f>IF(B52="","",IF(Q52=0,"",ROUND(S52/Q52,2)))</f>
        <v>0</v>
      </c>
      <c r="W52" s="17">
        <f>IF(B52="","",IF(SUMPRODUCT(MAX(('Wholesale Orders'!$C$5:$C$204=A52)*'Wholesale Orders'!$B$5:$B$204))=0,"",SUMPRODUCT(MAX(('Wholesale Orders'!$C$5:$C$204=A52)*'Wholesale Orders'!$B$5:$B$204))))</f>
        <v>0</v>
      </c>
      <c r="X52" s="32">
        <f>IF(B52="","",IF(W52="","",TodayDate-W52))</f>
        <v>0</v>
      </c>
      <c r="Y52" s="20">
        <f>IF(B52="","",ROUND(SUMIFS('Wholesale Orders'!$V$5:$V$204,'Wholesale Orders'!$C$5:$C$204,A52,'Wholesale Orders'!$M$5:$M$204,"No"),2))</f>
        <v>0</v>
      </c>
      <c r="Z52" s="43">
        <f>IF(B52="","",IF(Q52=0,"Prospect",IF(N52="No","Inactive",IF(AND(X52&lt;&gt;"",X52&gt;180),"Going quiet","Active"))))</f>
        <v>0</v>
      </c>
      <c r="AA52" s="43">
        <f>IF(B52="","",IF(Q52=0,"New - no orders yet",IF(Y52&gt;0,"Chase - money outstanding",IF(U52&lt;0,"Loss - this stockist costs you money",IF(AND(U52&lt;&gt;"",U52&lt;TargetWholesaleMargin),"Low margin - their discount is too deep",IF(Z52="Going quiet","Chase - six months without an order","OK"))))))</f>
        <v>0</v>
      </c>
    </row>
    <row r="53" spans="1:27">
      <c r="A53" s="38">
        <f>IF(B53="","",CustomerPrefix&amp;TEXT(ROW()-4,"0000"))</f>
        <v>0</v>
      </c>
      <c r="P53" s="33">
        <f>IF(B53="","",IF(I53&lt;&gt;"",I53,WholesaleDiscount))</f>
        <v>0</v>
      </c>
      <c r="Q53" s="32">
        <f>IF(B53="","",COUNTIFS('Wholesale Orders'!$C$5:$C$204,A53))</f>
        <v>0</v>
      </c>
      <c r="R53" s="32">
        <f>IF(B53="","",SUMIFS('Wholesale Orders'!$F$5:$F$204,'Wholesale Orders'!$C$5:$C$204,A53))</f>
        <v>0</v>
      </c>
      <c r="S53" s="20">
        <f>IF(B53="","",ROUND(SUMIFS('Wholesale Orders'!$V$5:$V$204,'Wholesale Orders'!$C$5:$C$204,A53),2))</f>
        <v>0</v>
      </c>
      <c r="T53" s="20">
        <f>IF(B53="","",ROUND(SUMIFS('Wholesale Orders'!$X$5:$X$204,'Wholesale Orders'!$C$5:$C$204,A53),2))</f>
        <v>0</v>
      </c>
      <c r="U53" s="33">
        <f>IF(B53="","",IF(OR(S53="",S53=0),"",T53/S53))</f>
        <v>0</v>
      </c>
      <c r="V53" s="20">
        <f>IF(B53="","",IF(Q53=0,"",ROUND(S53/Q53,2)))</f>
        <v>0</v>
      </c>
      <c r="W53" s="17">
        <f>IF(B53="","",IF(SUMPRODUCT(MAX(('Wholesale Orders'!$C$5:$C$204=A53)*'Wholesale Orders'!$B$5:$B$204))=0,"",SUMPRODUCT(MAX(('Wholesale Orders'!$C$5:$C$204=A53)*'Wholesale Orders'!$B$5:$B$204))))</f>
        <v>0</v>
      </c>
      <c r="X53" s="32">
        <f>IF(B53="","",IF(W53="","",TodayDate-W53))</f>
        <v>0</v>
      </c>
      <c r="Y53" s="20">
        <f>IF(B53="","",ROUND(SUMIFS('Wholesale Orders'!$V$5:$V$204,'Wholesale Orders'!$C$5:$C$204,A53,'Wholesale Orders'!$M$5:$M$204,"No"),2))</f>
        <v>0</v>
      </c>
      <c r="Z53" s="43">
        <f>IF(B53="","",IF(Q53=0,"Prospect",IF(N53="No","Inactive",IF(AND(X53&lt;&gt;"",X53&gt;180),"Going quiet","Active"))))</f>
        <v>0</v>
      </c>
      <c r="AA53" s="43">
        <f>IF(B53="","",IF(Q53=0,"New - no orders yet",IF(Y53&gt;0,"Chase - money outstanding",IF(U53&lt;0,"Loss - this stockist costs you money",IF(AND(U53&lt;&gt;"",U53&lt;TargetWholesaleMargin),"Low margin - their discount is too deep",IF(Z53="Going quiet","Chase - six months without an order","OK"))))))</f>
        <v>0</v>
      </c>
    </row>
    <row r="54" spans="1:27">
      <c r="A54" s="38">
        <f>IF(B54="","",CustomerPrefix&amp;TEXT(ROW()-4,"0000"))</f>
        <v>0</v>
      </c>
      <c r="P54" s="33">
        <f>IF(B54="","",IF(I54&lt;&gt;"",I54,WholesaleDiscount))</f>
        <v>0</v>
      </c>
      <c r="Q54" s="32">
        <f>IF(B54="","",COUNTIFS('Wholesale Orders'!$C$5:$C$204,A54))</f>
        <v>0</v>
      </c>
      <c r="R54" s="32">
        <f>IF(B54="","",SUMIFS('Wholesale Orders'!$F$5:$F$204,'Wholesale Orders'!$C$5:$C$204,A54))</f>
        <v>0</v>
      </c>
      <c r="S54" s="20">
        <f>IF(B54="","",ROUND(SUMIFS('Wholesale Orders'!$V$5:$V$204,'Wholesale Orders'!$C$5:$C$204,A54),2))</f>
        <v>0</v>
      </c>
      <c r="T54" s="20">
        <f>IF(B54="","",ROUND(SUMIFS('Wholesale Orders'!$X$5:$X$204,'Wholesale Orders'!$C$5:$C$204,A54),2))</f>
        <v>0</v>
      </c>
      <c r="U54" s="33">
        <f>IF(B54="","",IF(OR(S54="",S54=0),"",T54/S54))</f>
        <v>0</v>
      </c>
      <c r="V54" s="20">
        <f>IF(B54="","",IF(Q54=0,"",ROUND(S54/Q54,2)))</f>
        <v>0</v>
      </c>
      <c r="W54" s="17">
        <f>IF(B54="","",IF(SUMPRODUCT(MAX(('Wholesale Orders'!$C$5:$C$204=A54)*'Wholesale Orders'!$B$5:$B$204))=0,"",SUMPRODUCT(MAX(('Wholesale Orders'!$C$5:$C$204=A54)*'Wholesale Orders'!$B$5:$B$204))))</f>
        <v>0</v>
      </c>
      <c r="X54" s="32">
        <f>IF(B54="","",IF(W54="","",TodayDate-W54))</f>
        <v>0</v>
      </c>
      <c r="Y54" s="20">
        <f>IF(B54="","",ROUND(SUMIFS('Wholesale Orders'!$V$5:$V$204,'Wholesale Orders'!$C$5:$C$204,A54,'Wholesale Orders'!$M$5:$M$204,"No"),2))</f>
        <v>0</v>
      </c>
      <c r="Z54" s="43">
        <f>IF(B54="","",IF(Q54=0,"Prospect",IF(N54="No","Inactive",IF(AND(X54&lt;&gt;"",X54&gt;180),"Going quiet","Active"))))</f>
        <v>0</v>
      </c>
      <c r="AA54" s="43">
        <f>IF(B54="","",IF(Q54=0,"New - no orders yet",IF(Y54&gt;0,"Chase - money outstanding",IF(U54&lt;0,"Loss - this stockist costs you money",IF(AND(U54&lt;&gt;"",U54&lt;TargetWholesaleMargin),"Low margin - their discount is too deep",IF(Z54="Going quiet","Chase - six months without an order","OK"))))))</f>
        <v>0</v>
      </c>
    </row>
    <row r="55" spans="1:27">
      <c r="A55" s="38">
        <f>IF(B55="","",CustomerPrefix&amp;TEXT(ROW()-4,"0000"))</f>
        <v>0</v>
      </c>
      <c r="P55" s="33">
        <f>IF(B55="","",IF(I55&lt;&gt;"",I55,WholesaleDiscount))</f>
        <v>0</v>
      </c>
      <c r="Q55" s="32">
        <f>IF(B55="","",COUNTIFS('Wholesale Orders'!$C$5:$C$204,A55))</f>
        <v>0</v>
      </c>
      <c r="R55" s="32">
        <f>IF(B55="","",SUMIFS('Wholesale Orders'!$F$5:$F$204,'Wholesale Orders'!$C$5:$C$204,A55))</f>
        <v>0</v>
      </c>
      <c r="S55" s="20">
        <f>IF(B55="","",ROUND(SUMIFS('Wholesale Orders'!$V$5:$V$204,'Wholesale Orders'!$C$5:$C$204,A55),2))</f>
        <v>0</v>
      </c>
      <c r="T55" s="20">
        <f>IF(B55="","",ROUND(SUMIFS('Wholesale Orders'!$X$5:$X$204,'Wholesale Orders'!$C$5:$C$204,A55),2))</f>
        <v>0</v>
      </c>
      <c r="U55" s="33">
        <f>IF(B55="","",IF(OR(S55="",S55=0),"",T55/S55))</f>
        <v>0</v>
      </c>
      <c r="V55" s="20">
        <f>IF(B55="","",IF(Q55=0,"",ROUND(S55/Q55,2)))</f>
        <v>0</v>
      </c>
      <c r="W55" s="17">
        <f>IF(B55="","",IF(SUMPRODUCT(MAX(('Wholesale Orders'!$C$5:$C$204=A55)*'Wholesale Orders'!$B$5:$B$204))=0,"",SUMPRODUCT(MAX(('Wholesale Orders'!$C$5:$C$204=A55)*'Wholesale Orders'!$B$5:$B$204))))</f>
        <v>0</v>
      </c>
      <c r="X55" s="32">
        <f>IF(B55="","",IF(W55="","",TodayDate-W55))</f>
        <v>0</v>
      </c>
      <c r="Y55" s="20">
        <f>IF(B55="","",ROUND(SUMIFS('Wholesale Orders'!$V$5:$V$204,'Wholesale Orders'!$C$5:$C$204,A55,'Wholesale Orders'!$M$5:$M$204,"No"),2))</f>
        <v>0</v>
      </c>
      <c r="Z55" s="43">
        <f>IF(B55="","",IF(Q55=0,"Prospect",IF(N55="No","Inactive",IF(AND(X55&lt;&gt;"",X55&gt;180),"Going quiet","Active"))))</f>
        <v>0</v>
      </c>
      <c r="AA55" s="43">
        <f>IF(B55="","",IF(Q55=0,"New - no orders yet",IF(Y55&gt;0,"Chase - money outstanding",IF(U55&lt;0,"Loss - this stockist costs you money",IF(AND(U55&lt;&gt;"",U55&lt;TargetWholesaleMargin),"Low margin - their discount is too deep",IF(Z55="Going quiet","Chase - six months without an order","OK"))))))</f>
        <v>0</v>
      </c>
    </row>
    <row r="56" spans="1:27">
      <c r="A56" s="38">
        <f>IF(B56="","",CustomerPrefix&amp;TEXT(ROW()-4,"0000"))</f>
        <v>0</v>
      </c>
      <c r="P56" s="33">
        <f>IF(B56="","",IF(I56&lt;&gt;"",I56,WholesaleDiscount))</f>
        <v>0</v>
      </c>
      <c r="Q56" s="32">
        <f>IF(B56="","",COUNTIFS('Wholesale Orders'!$C$5:$C$204,A56))</f>
        <v>0</v>
      </c>
      <c r="R56" s="32">
        <f>IF(B56="","",SUMIFS('Wholesale Orders'!$F$5:$F$204,'Wholesale Orders'!$C$5:$C$204,A56))</f>
        <v>0</v>
      </c>
      <c r="S56" s="20">
        <f>IF(B56="","",ROUND(SUMIFS('Wholesale Orders'!$V$5:$V$204,'Wholesale Orders'!$C$5:$C$204,A56),2))</f>
        <v>0</v>
      </c>
      <c r="T56" s="20">
        <f>IF(B56="","",ROUND(SUMIFS('Wholesale Orders'!$X$5:$X$204,'Wholesale Orders'!$C$5:$C$204,A56),2))</f>
        <v>0</v>
      </c>
      <c r="U56" s="33">
        <f>IF(B56="","",IF(OR(S56="",S56=0),"",T56/S56))</f>
        <v>0</v>
      </c>
      <c r="V56" s="20">
        <f>IF(B56="","",IF(Q56=0,"",ROUND(S56/Q56,2)))</f>
        <v>0</v>
      </c>
      <c r="W56" s="17">
        <f>IF(B56="","",IF(SUMPRODUCT(MAX(('Wholesale Orders'!$C$5:$C$204=A56)*'Wholesale Orders'!$B$5:$B$204))=0,"",SUMPRODUCT(MAX(('Wholesale Orders'!$C$5:$C$204=A56)*'Wholesale Orders'!$B$5:$B$204))))</f>
        <v>0</v>
      </c>
      <c r="X56" s="32">
        <f>IF(B56="","",IF(W56="","",TodayDate-W56))</f>
        <v>0</v>
      </c>
      <c r="Y56" s="20">
        <f>IF(B56="","",ROUND(SUMIFS('Wholesale Orders'!$V$5:$V$204,'Wholesale Orders'!$C$5:$C$204,A56,'Wholesale Orders'!$M$5:$M$204,"No"),2))</f>
        <v>0</v>
      </c>
      <c r="Z56" s="43">
        <f>IF(B56="","",IF(Q56=0,"Prospect",IF(N56="No","Inactive",IF(AND(X56&lt;&gt;"",X56&gt;180),"Going quiet","Active"))))</f>
        <v>0</v>
      </c>
      <c r="AA56" s="43">
        <f>IF(B56="","",IF(Q56=0,"New - no orders yet",IF(Y56&gt;0,"Chase - money outstanding",IF(U56&lt;0,"Loss - this stockist costs you money",IF(AND(U56&lt;&gt;"",U56&lt;TargetWholesaleMargin),"Low margin - their discount is too deep",IF(Z56="Going quiet","Chase - six months without an order","OK"))))))</f>
        <v>0</v>
      </c>
    </row>
    <row r="57" spans="1:27">
      <c r="A57" s="38">
        <f>IF(B57="","",CustomerPrefix&amp;TEXT(ROW()-4,"0000"))</f>
        <v>0</v>
      </c>
      <c r="P57" s="33">
        <f>IF(B57="","",IF(I57&lt;&gt;"",I57,WholesaleDiscount))</f>
        <v>0</v>
      </c>
      <c r="Q57" s="32">
        <f>IF(B57="","",COUNTIFS('Wholesale Orders'!$C$5:$C$204,A57))</f>
        <v>0</v>
      </c>
      <c r="R57" s="32">
        <f>IF(B57="","",SUMIFS('Wholesale Orders'!$F$5:$F$204,'Wholesale Orders'!$C$5:$C$204,A57))</f>
        <v>0</v>
      </c>
      <c r="S57" s="20">
        <f>IF(B57="","",ROUND(SUMIFS('Wholesale Orders'!$V$5:$V$204,'Wholesale Orders'!$C$5:$C$204,A57),2))</f>
        <v>0</v>
      </c>
      <c r="T57" s="20">
        <f>IF(B57="","",ROUND(SUMIFS('Wholesale Orders'!$X$5:$X$204,'Wholesale Orders'!$C$5:$C$204,A57),2))</f>
        <v>0</v>
      </c>
      <c r="U57" s="33">
        <f>IF(B57="","",IF(OR(S57="",S57=0),"",T57/S57))</f>
        <v>0</v>
      </c>
      <c r="V57" s="20">
        <f>IF(B57="","",IF(Q57=0,"",ROUND(S57/Q57,2)))</f>
        <v>0</v>
      </c>
      <c r="W57" s="17">
        <f>IF(B57="","",IF(SUMPRODUCT(MAX(('Wholesale Orders'!$C$5:$C$204=A57)*'Wholesale Orders'!$B$5:$B$204))=0,"",SUMPRODUCT(MAX(('Wholesale Orders'!$C$5:$C$204=A57)*'Wholesale Orders'!$B$5:$B$204))))</f>
        <v>0</v>
      </c>
      <c r="X57" s="32">
        <f>IF(B57="","",IF(W57="","",TodayDate-W57))</f>
        <v>0</v>
      </c>
      <c r="Y57" s="20">
        <f>IF(B57="","",ROUND(SUMIFS('Wholesale Orders'!$V$5:$V$204,'Wholesale Orders'!$C$5:$C$204,A57,'Wholesale Orders'!$M$5:$M$204,"No"),2))</f>
        <v>0</v>
      </c>
      <c r="Z57" s="43">
        <f>IF(B57="","",IF(Q57=0,"Prospect",IF(N57="No","Inactive",IF(AND(X57&lt;&gt;"",X57&gt;180),"Going quiet","Active"))))</f>
        <v>0</v>
      </c>
      <c r="AA57" s="43">
        <f>IF(B57="","",IF(Q57=0,"New - no orders yet",IF(Y57&gt;0,"Chase - money outstanding",IF(U57&lt;0,"Loss - this stockist costs you money",IF(AND(U57&lt;&gt;"",U57&lt;TargetWholesaleMargin),"Low margin - their discount is too deep",IF(Z57="Going quiet","Chase - six months without an order","OK"))))))</f>
        <v>0</v>
      </c>
    </row>
    <row r="58" spans="1:27">
      <c r="A58" s="38">
        <f>IF(B58="","",CustomerPrefix&amp;TEXT(ROW()-4,"0000"))</f>
        <v>0</v>
      </c>
      <c r="P58" s="33">
        <f>IF(B58="","",IF(I58&lt;&gt;"",I58,WholesaleDiscount))</f>
        <v>0</v>
      </c>
      <c r="Q58" s="32">
        <f>IF(B58="","",COUNTIFS('Wholesale Orders'!$C$5:$C$204,A58))</f>
        <v>0</v>
      </c>
      <c r="R58" s="32">
        <f>IF(B58="","",SUMIFS('Wholesale Orders'!$F$5:$F$204,'Wholesale Orders'!$C$5:$C$204,A58))</f>
        <v>0</v>
      </c>
      <c r="S58" s="20">
        <f>IF(B58="","",ROUND(SUMIFS('Wholesale Orders'!$V$5:$V$204,'Wholesale Orders'!$C$5:$C$204,A58),2))</f>
        <v>0</v>
      </c>
      <c r="T58" s="20">
        <f>IF(B58="","",ROUND(SUMIFS('Wholesale Orders'!$X$5:$X$204,'Wholesale Orders'!$C$5:$C$204,A58),2))</f>
        <v>0</v>
      </c>
      <c r="U58" s="33">
        <f>IF(B58="","",IF(OR(S58="",S58=0),"",T58/S58))</f>
        <v>0</v>
      </c>
      <c r="V58" s="20">
        <f>IF(B58="","",IF(Q58=0,"",ROUND(S58/Q58,2)))</f>
        <v>0</v>
      </c>
      <c r="W58" s="17">
        <f>IF(B58="","",IF(SUMPRODUCT(MAX(('Wholesale Orders'!$C$5:$C$204=A58)*'Wholesale Orders'!$B$5:$B$204))=0,"",SUMPRODUCT(MAX(('Wholesale Orders'!$C$5:$C$204=A58)*'Wholesale Orders'!$B$5:$B$204))))</f>
        <v>0</v>
      </c>
      <c r="X58" s="32">
        <f>IF(B58="","",IF(W58="","",TodayDate-W58))</f>
        <v>0</v>
      </c>
      <c r="Y58" s="20">
        <f>IF(B58="","",ROUND(SUMIFS('Wholesale Orders'!$V$5:$V$204,'Wholesale Orders'!$C$5:$C$204,A58,'Wholesale Orders'!$M$5:$M$204,"No"),2))</f>
        <v>0</v>
      </c>
      <c r="Z58" s="43">
        <f>IF(B58="","",IF(Q58=0,"Prospect",IF(N58="No","Inactive",IF(AND(X58&lt;&gt;"",X58&gt;180),"Going quiet","Active"))))</f>
        <v>0</v>
      </c>
      <c r="AA58" s="43">
        <f>IF(B58="","",IF(Q58=0,"New - no orders yet",IF(Y58&gt;0,"Chase - money outstanding",IF(U58&lt;0,"Loss - this stockist costs you money",IF(AND(U58&lt;&gt;"",U58&lt;TargetWholesaleMargin),"Low margin - their discount is too deep",IF(Z58="Going quiet","Chase - six months without an order","OK"))))))</f>
        <v>0</v>
      </c>
    </row>
    <row r="59" spans="1:27">
      <c r="A59" s="38">
        <f>IF(B59="","",CustomerPrefix&amp;TEXT(ROW()-4,"0000"))</f>
        <v>0</v>
      </c>
      <c r="P59" s="33">
        <f>IF(B59="","",IF(I59&lt;&gt;"",I59,WholesaleDiscount))</f>
        <v>0</v>
      </c>
      <c r="Q59" s="32">
        <f>IF(B59="","",COUNTIFS('Wholesale Orders'!$C$5:$C$204,A59))</f>
        <v>0</v>
      </c>
      <c r="R59" s="32">
        <f>IF(B59="","",SUMIFS('Wholesale Orders'!$F$5:$F$204,'Wholesale Orders'!$C$5:$C$204,A59))</f>
        <v>0</v>
      </c>
      <c r="S59" s="20">
        <f>IF(B59="","",ROUND(SUMIFS('Wholesale Orders'!$V$5:$V$204,'Wholesale Orders'!$C$5:$C$204,A59),2))</f>
        <v>0</v>
      </c>
      <c r="T59" s="20">
        <f>IF(B59="","",ROUND(SUMIFS('Wholesale Orders'!$X$5:$X$204,'Wholesale Orders'!$C$5:$C$204,A59),2))</f>
        <v>0</v>
      </c>
      <c r="U59" s="33">
        <f>IF(B59="","",IF(OR(S59="",S59=0),"",T59/S59))</f>
        <v>0</v>
      </c>
      <c r="V59" s="20">
        <f>IF(B59="","",IF(Q59=0,"",ROUND(S59/Q59,2)))</f>
        <v>0</v>
      </c>
      <c r="W59" s="17">
        <f>IF(B59="","",IF(SUMPRODUCT(MAX(('Wholesale Orders'!$C$5:$C$204=A59)*'Wholesale Orders'!$B$5:$B$204))=0,"",SUMPRODUCT(MAX(('Wholesale Orders'!$C$5:$C$204=A59)*'Wholesale Orders'!$B$5:$B$204))))</f>
        <v>0</v>
      </c>
      <c r="X59" s="32">
        <f>IF(B59="","",IF(W59="","",TodayDate-W59))</f>
        <v>0</v>
      </c>
      <c r="Y59" s="20">
        <f>IF(B59="","",ROUND(SUMIFS('Wholesale Orders'!$V$5:$V$204,'Wholesale Orders'!$C$5:$C$204,A59,'Wholesale Orders'!$M$5:$M$204,"No"),2))</f>
        <v>0</v>
      </c>
      <c r="Z59" s="43">
        <f>IF(B59="","",IF(Q59=0,"Prospect",IF(N59="No","Inactive",IF(AND(X59&lt;&gt;"",X59&gt;180),"Going quiet","Active"))))</f>
        <v>0</v>
      </c>
      <c r="AA59" s="43">
        <f>IF(B59="","",IF(Q59=0,"New - no orders yet",IF(Y59&gt;0,"Chase - money outstanding",IF(U59&lt;0,"Loss - this stockist costs you money",IF(AND(U59&lt;&gt;"",U59&lt;TargetWholesaleMargin),"Low margin - their discount is too deep",IF(Z59="Going quiet","Chase - six months without an order","OK"))))))</f>
        <v>0</v>
      </c>
    </row>
    <row r="60" spans="1:27">
      <c r="A60" s="38">
        <f>IF(B60="","",CustomerPrefix&amp;TEXT(ROW()-4,"0000"))</f>
        <v>0</v>
      </c>
      <c r="P60" s="33">
        <f>IF(B60="","",IF(I60&lt;&gt;"",I60,WholesaleDiscount))</f>
        <v>0</v>
      </c>
      <c r="Q60" s="32">
        <f>IF(B60="","",COUNTIFS('Wholesale Orders'!$C$5:$C$204,A60))</f>
        <v>0</v>
      </c>
      <c r="R60" s="32">
        <f>IF(B60="","",SUMIFS('Wholesale Orders'!$F$5:$F$204,'Wholesale Orders'!$C$5:$C$204,A60))</f>
        <v>0</v>
      </c>
      <c r="S60" s="20">
        <f>IF(B60="","",ROUND(SUMIFS('Wholesale Orders'!$V$5:$V$204,'Wholesale Orders'!$C$5:$C$204,A60),2))</f>
        <v>0</v>
      </c>
      <c r="T60" s="20">
        <f>IF(B60="","",ROUND(SUMIFS('Wholesale Orders'!$X$5:$X$204,'Wholesale Orders'!$C$5:$C$204,A60),2))</f>
        <v>0</v>
      </c>
      <c r="U60" s="33">
        <f>IF(B60="","",IF(OR(S60="",S60=0),"",T60/S60))</f>
        <v>0</v>
      </c>
      <c r="V60" s="20">
        <f>IF(B60="","",IF(Q60=0,"",ROUND(S60/Q60,2)))</f>
        <v>0</v>
      </c>
      <c r="W60" s="17">
        <f>IF(B60="","",IF(SUMPRODUCT(MAX(('Wholesale Orders'!$C$5:$C$204=A60)*'Wholesale Orders'!$B$5:$B$204))=0,"",SUMPRODUCT(MAX(('Wholesale Orders'!$C$5:$C$204=A60)*'Wholesale Orders'!$B$5:$B$204))))</f>
        <v>0</v>
      </c>
      <c r="X60" s="32">
        <f>IF(B60="","",IF(W60="","",TodayDate-W60))</f>
        <v>0</v>
      </c>
      <c r="Y60" s="20">
        <f>IF(B60="","",ROUND(SUMIFS('Wholesale Orders'!$V$5:$V$204,'Wholesale Orders'!$C$5:$C$204,A60,'Wholesale Orders'!$M$5:$M$204,"No"),2))</f>
        <v>0</v>
      </c>
      <c r="Z60" s="43">
        <f>IF(B60="","",IF(Q60=0,"Prospect",IF(N60="No","Inactive",IF(AND(X60&lt;&gt;"",X60&gt;180),"Going quiet","Active"))))</f>
        <v>0</v>
      </c>
      <c r="AA60" s="43">
        <f>IF(B60="","",IF(Q60=0,"New - no orders yet",IF(Y60&gt;0,"Chase - money outstanding",IF(U60&lt;0,"Loss - this stockist costs you money",IF(AND(U60&lt;&gt;"",U60&lt;TargetWholesaleMargin),"Low margin - their discount is too deep",IF(Z60="Going quiet","Chase - six months without an order","OK"))))))</f>
        <v>0</v>
      </c>
    </row>
    <row r="61" spans="1:27">
      <c r="A61" s="38">
        <f>IF(B61="","",CustomerPrefix&amp;TEXT(ROW()-4,"0000"))</f>
        <v>0</v>
      </c>
      <c r="P61" s="33">
        <f>IF(B61="","",IF(I61&lt;&gt;"",I61,WholesaleDiscount))</f>
        <v>0</v>
      </c>
      <c r="Q61" s="32">
        <f>IF(B61="","",COUNTIFS('Wholesale Orders'!$C$5:$C$204,A61))</f>
        <v>0</v>
      </c>
      <c r="R61" s="32">
        <f>IF(B61="","",SUMIFS('Wholesale Orders'!$F$5:$F$204,'Wholesale Orders'!$C$5:$C$204,A61))</f>
        <v>0</v>
      </c>
      <c r="S61" s="20">
        <f>IF(B61="","",ROUND(SUMIFS('Wholesale Orders'!$V$5:$V$204,'Wholesale Orders'!$C$5:$C$204,A61),2))</f>
        <v>0</v>
      </c>
      <c r="T61" s="20">
        <f>IF(B61="","",ROUND(SUMIFS('Wholesale Orders'!$X$5:$X$204,'Wholesale Orders'!$C$5:$C$204,A61),2))</f>
        <v>0</v>
      </c>
      <c r="U61" s="33">
        <f>IF(B61="","",IF(OR(S61="",S61=0),"",T61/S61))</f>
        <v>0</v>
      </c>
      <c r="V61" s="20">
        <f>IF(B61="","",IF(Q61=0,"",ROUND(S61/Q61,2)))</f>
        <v>0</v>
      </c>
      <c r="W61" s="17">
        <f>IF(B61="","",IF(SUMPRODUCT(MAX(('Wholesale Orders'!$C$5:$C$204=A61)*'Wholesale Orders'!$B$5:$B$204))=0,"",SUMPRODUCT(MAX(('Wholesale Orders'!$C$5:$C$204=A61)*'Wholesale Orders'!$B$5:$B$204))))</f>
        <v>0</v>
      </c>
      <c r="X61" s="32">
        <f>IF(B61="","",IF(W61="","",TodayDate-W61))</f>
        <v>0</v>
      </c>
      <c r="Y61" s="20">
        <f>IF(B61="","",ROUND(SUMIFS('Wholesale Orders'!$V$5:$V$204,'Wholesale Orders'!$C$5:$C$204,A61,'Wholesale Orders'!$M$5:$M$204,"No"),2))</f>
        <v>0</v>
      </c>
      <c r="Z61" s="43">
        <f>IF(B61="","",IF(Q61=0,"Prospect",IF(N61="No","Inactive",IF(AND(X61&lt;&gt;"",X61&gt;180),"Going quiet","Active"))))</f>
        <v>0</v>
      </c>
      <c r="AA61" s="43">
        <f>IF(B61="","",IF(Q61=0,"New - no orders yet",IF(Y61&gt;0,"Chase - money outstanding",IF(U61&lt;0,"Loss - this stockist costs you money",IF(AND(U61&lt;&gt;"",U61&lt;TargetWholesaleMargin),"Low margin - their discount is too deep",IF(Z61="Going quiet","Chase - six months without an order","OK"))))))</f>
        <v>0</v>
      </c>
    </row>
    <row r="62" spans="1:27">
      <c r="A62" s="38">
        <f>IF(B62="","",CustomerPrefix&amp;TEXT(ROW()-4,"0000"))</f>
        <v>0</v>
      </c>
      <c r="P62" s="33">
        <f>IF(B62="","",IF(I62&lt;&gt;"",I62,WholesaleDiscount))</f>
        <v>0</v>
      </c>
      <c r="Q62" s="32">
        <f>IF(B62="","",COUNTIFS('Wholesale Orders'!$C$5:$C$204,A62))</f>
        <v>0</v>
      </c>
      <c r="R62" s="32">
        <f>IF(B62="","",SUMIFS('Wholesale Orders'!$F$5:$F$204,'Wholesale Orders'!$C$5:$C$204,A62))</f>
        <v>0</v>
      </c>
      <c r="S62" s="20">
        <f>IF(B62="","",ROUND(SUMIFS('Wholesale Orders'!$V$5:$V$204,'Wholesale Orders'!$C$5:$C$204,A62),2))</f>
        <v>0</v>
      </c>
      <c r="T62" s="20">
        <f>IF(B62="","",ROUND(SUMIFS('Wholesale Orders'!$X$5:$X$204,'Wholesale Orders'!$C$5:$C$204,A62),2))</f>
        <v>0</v>
      </c>
      <c r="U62" s="33">
        <f>IF(B62="","",IF(OR(S62="",S62=0),"",T62/S62))</f>
        <v>0</v>
      </c>
      <c r="V62" s="20">
        <f>IF(B62="","",IF(Q62=0,"",ROUND(S62/Q62,2)))</f>
        <v>0</v>
      </c>
      <c r="W62" s="17">
        <f>IF(B62="","",IF(SUMPRODUCT(MAX(('Wholesale Orders'!$C$5:$C$204=A62)*'Wholesale Orders'!$B$5:$B$204))=0,"",SUMPRODUCT(MAX(('Wholesale Orders'!$C$5:$C$204=A62)*'Wholesale Orders'!$B$5:$B$204))))</f>
        <v>0</v>
      </c>
      <c r="X62" s="32">
        <f>IF(B62="","",IF(W62="","",TodayDate-W62))</f>
        <v>0</v>
      </c>
      <c r="Y62" s="20">
        <f>IF(B62="","",ROUND(SUMIFS('Wholesale Orders'!$V$5:$V$204,'Wholesale Orders'!$C$5:$C$204,A62,'Wholesale Orders'!$M$5:$M$204,"No"),2))</f>
        <v>0</v>
      </c>
      <c r="Z62" s="43">
        <f>IF(B62="","",IF(Q62=0,"Prospect",IF(N62="No","Inactive",IF(AND(X62&lt;&gt;"",X62&gt;180),"Going quiet","Active"))))</f>
        <v>0</v>
      </c>
      <c r="AA62" s="43">
        <f>IF(B62="","",IF(Q62=0,"New - no orders yet",IF(Y62&gt;0,"Chase - money outstanding",IF(U62&lt;0,"Loss - this stockist costs you money",IF(AND(U62&lt;&gt;"",U62&lt;TargetWholesaleMargin),"Low margin - their discount is too deep",IF(Z62="Going quiet","Chase - six months without an order","OK"))))))</f>
        <v>0</v>
      </c>
    </row>
    <row r="63" spans="1:27">
      <c r="A63" s="38">
        <f>IF(B63="","",CustomerPrefix&amp;TEXT(ROW()-4,"0000"))</f>
        <v>0</v>
      </c>
      <c r="P63" s="33">
        <f>IF(B63="","",IF(I63&lt;&gt;"",I63,WholesaleDiscount))</f>
        <v>0</v>
      </c>
      <c r="Q63" s="32">
        <f>IF(B63="","",COUNTIFS('Wholesale Orders'!$C$5:$C$204,A63))</f>
        <v>0</v>
      </c>
      <c r="R63" s="32">
        <f>IF(B63="","",SUMIFS('Wholesale Orders'!$F$5:$F$204,'Wholesale Orders'!$C$5:$C$204,A63))</f>
        <v>0</v>
      </c>
      <c r="S63" s="20">
        <f>IF(B63="","",ROUND(SUMIFS('Wholesale Orders'!$V$5:$V$204,'Wholesale Orders'!$C$5:$C$204,A63),2))</f>
        <v>0</v>
      </c>
      <c r="T63" s="20">
        <f>IF(B63="","",ROUND(SUMIFS('Wholesale Orders'!$X$5:$X$204,'Wholesale Orders'!$C$5:$C$204,A63),2))</f>
        <v>0</v>
      </c>
      <c r="U63" s="33">
        <f>IF(B63="","",IF(OR(S63="",S63=0),"",T63/S63))</f>
        <v>0</v>
      </c>
      <c r="V63" s="20">
        <f>IF(B63="","",IF(Q63=0,"",ROUND(S63/Q63,2)))</f>
        <v>0</v>
      </c>
      <c r="W63" s="17">
        <f>IF(B63="","",IF(SUMPRODUCT(MAX(('Wholesale Orders'!$C$5:$C$204=A63)*'Wholesale Orders'!$B$5:$B$204))=0,"",SUMPRODUCT(MAX(('Wholesale Orders'!$C$5:$C$204=A63)*'Wholesale Orders'!$B$5:$B$204))))</f>
        <v>0</v>
      </c>
      <c r="X63" s="32">
        <f>IF(B63="","",IF(W63="","",TodayDate-W63))</f>
        <v>0</v>
      </c>
      <c r="Y63" s="20">
        <f>IF(B63="","",ROUND(SUMIFS('Wholesale Orders'!$V$5:$V$204,'Wholesale Orders'!$C$5:$C$204,A63,'Wholesale Orders'!$M$5:$M$204,"No"),2))</f>
        <v>0</v>
      </c>
      <c r="Z63" s="43">
        <f>IF(B63="","",IF(Q63=0,"Prospect",IF(N63="No","Inactive",IF(AND(X63&lt;&gt;"",X63&gt;180),"Going quiet","Active"))))</f>
        <v>0</v>
      </c>
      <c r="AA63" s="43">
        <f>IF(B63="","",IF(Q63=0,"New - no orders yet",IF(Y63&gt;0,"Chase - money outstanding",IF(U63&lt;0,"Loss - this stockist costs you money",IF(AND(U63&lt;&gt;"",U63&lt;TargetWholesaleMargin),"Low margin - their discount is too deep",IF(Z63="Going quiet","Chase - six months without an order","OK"))))))</f>
        <v>0</v>
      </c>
    </row>
    <row r="64" spans="1:27">
      <c r="A64" s="38">
        <f>IF(B64="","",CustomerPrefix&amp;TEXT(ROW()-4,"0000"))</f>
        <v>0</v>
      </c>
      <c r="P64" s="33">
        <f>IF(B64="","",IF(I64&lt;&gt;"",I64,WholesaleDiscount))</f>
        <v>0</v>
      </c>
      <c r="Q64" s="32">
        <f>IF(B64="","",COUNTIFS('Wholesale Orders'!$C$5:$C$204,A64))</f>
        <v>0</v>
      </c>
      <c r="R64" s="32">
        <f>IF(B64="","",SUMIFS('Wholesale Orders'!$F$5:$F$204,'Wholesale Orders'!$C$5:$C$204,A64))</f>
        <v>0</v>
      </c>
      <c r="S64" s="20">
        <f>IF(B64="","",ROUND(SUMIFS('Wholesale Orders'!$V$5:$V$204,'Wholesale Orders'!$C$5:$C$204,A64),2))</f>
        <v>0</v>
      </c>
      <c r="T64" s="20">
        <f>IF(B64="","",ROUND(SUMIFS('Wholesale Orders'!$X$5:$X$204,'Wholesale Orders'!$C$5:$C$204,A64),2))</f>
        <v>0</v>
      </c>
      <c r="U64" s="33">
        <f>IF(B64="","",IF(OR(S64="",S64=0),"",T64/S64))</f>
        <v>0</v>
      </c>
      <c r="V64" s="20">
        <f>IF(B64="","",IF(Q64=0,"",ROUND(S64/Q64,2)))</f>
        <v>0</v>
      </c>
      <c r="W64" s="17">
        <f>IF(B64="","",IF(SUMPRODUCT(MAX(('Wholesale Orders'!$C$5:$C$204=A64)*'Wholesale Orders'!$B$5:$B$204))=0,"",SUMPRODUCT(MAX(('Wholesale Orders'!$C$5:$C$204=A64)*'Wholesale Orders'!$B$5:$B$204))))</f>
        <v>0</v>
      </c>
      <c r="X64" s="32">
        <f>IF(B64="","",IF(W64="","",TodayDate-W64))</f>
        <v>0</v>
      </c>
      <c r="Y64" s="20">
        <f>IF(B64="","",ROUND(SUMIFS('Wholesale Orders'!$V$5:$V$204,'Wholesale Orders'!$C$5:$C$204,A64,'Wholesale Orders'!$M$5:$M$204,"No"),2))</f>
        <v>0</v>
      </c>
      <c r="Z64" s="43">
        <f>IF(B64="","",IF(Q64=0,"Prospect",IF(N64="No","Inactive",IF(AND(X64&lt;&gt;"",X64&gt;180),"Going quiet","Active"))))</f>
        <v>0</v>
      </c>
      <c r="AA64" s="43">
        <f>IF(B64="","",IF(Q64=0,"New - no orders yet",IF(Y64&gt;0,"Chase - money outstanding",IF(U64&lt;0,"Loss - this stockist costs you money",IF(AND(U64&lt;&gt;"",U64&lt;TargetWholesaleMargin),"Low margin - their discount is too deep",IF(Z64="Going quiet","Chase - six months without an order","OK"))))))</f>
        <v>0</v>
      </c>
    </row>
  </sheetData>
  <sheetProtection password="EC7C" sheet="1" objects="1" scenarios="1" formatCells="0" formatColumns="0" formatRows="0" insertRows="0" insertHyperlinks="0" deleteRows="0" autoFilter="0"/>
  <autoFilter ref="A4:AA64"/>
  <mergeCells count="13">
    <mergeCell ref="A1:X1"/>
    <mergeCell ref="Y1:AA1"/>
    <mergeCell ref="A2:AA2"/>
    <mergeCell ref="A3:B3"/>
    <mergeCell ref="C3:D3"/>
    <mergeCell ref="E3:F3"/>
    <mergeCell ref="G3:H3"/>
    <mergeCell ref="I3:J3"/>
    <mergeCell ref="K3:L3"/>
    <mergeCell ref="M3:N3"/>
    <mergeCell ref="O3:P3"/>
    <mergeCell ref="Q3:R3"/>
    <mergeCell ref="S3:AA3"/>
  </mergeCells>
  <conditionalFormatting sqref="AA5:AA64">
    <cfRule type="beginsWith" dxfId="1" priority="54" operator="beginsWith" text="OK">
      <formula>LEFT(AA5,2)="OK"</formula>
    </cfRule>
    <cfRule type="containsText" dxfId="2" priority="55" operator="containsText" text="Overdue">
      <formula>NOT(ISERROR(SEARCH("Overdue",AA5)))</formula>
    </cfRule>
    <cfRule type="containsText" dxfId="2" priority="56" operator="containsText" text="Late">
      <formula>NOT(ISERROR(SEARCH("Late",AA5)))</formula>
    </cfRule>
    <cfRule type="containsText" dxfId="2" priority="57" operator="containsText" text="Missing">
      <formula>NOT(ISERROR(SEARCH("Missing",AA5)))</formula>
    </cfRule>
    <cfRule type="containsText" dxfId="2" priority="58" operator="containsText" text="Conflict">
      <formula>NOT(ISERROR(SEARCH("Conflict",AA5)))</formula>
    </cfRule>
    <cfRule type="containsText" dxfId="2" priority="59" operator="containsText" text="Clash">
      <formula>NOT(ISERROR(SEARCH("Clash",AA5)))</formula>
    </cfRule>
    <cfRule type="containsText" dxfId="2" priority="60" operator="containsText" text="Expired">
      <formula>NOT(ISERROR(SEARCH("Expired",AA5)))</formula>
    </cfRule>
    <cfRule type="containsText" dxfId="2" priority="61" operator="containsText" text="Duplicate">
      <formula>NOT(ISERROR(SEARCH("Duplicate",AA5)))</formula>
    </cfRule>
    <cfRule type="containsText" dxfId="2" priority="62" operator="containsText" text="Unpaid">
      <formula>NOT(ISERROR(SEARCH("Unpaid",AA5)))</formula>
    </cfRule>
    <cfRule type="containsText" dxfId="2" priority="63" operator="containsText" text="Loss">
      <formula>NOT(ISERROR(SEARCH("Loss",AA5)))</formula>
    </cfRule>
    <cfRule type="containsText" dxfId="2" priority="64" operator="containsText" text="Below">
      <formula>NOT(ISERROR(SEARCH("Below",AA5)))</formula>
    </cfRule>
    <cfRule type="containsText" dxfId="0" priority="65" operator="containsText" text="Action">
      <formula>NOT(ISERROR(SEARCH("Action",AA5)))</formula>
    </cfRule>
    <cfRule type="containsText" dxfId="0" priority="66" operator="containsText" text="Due">
      <formula>NOT(ISERROR(SEARCH("Due",AA5)))</formula>
    </cfRule>
    <cfRule type="containsText" dxfId="0" priority="67" operator="containsText" text="Check">
      <formula>NOT(ISERROR(SEARCH("Check",AA5)))</formula>
    </cfRule>
    <cfRule type="containsText" dxfId="0" priority="68" operator="containsText" text="Chase">
      <formula>NOT(ISERROR(SEARCH("Chase",AA5)))</formula>
    </cfRule>
    <cfRule type="containsText" dxfId="0" priority="69" operator="containsText" text="Assign">
      <formula>NOT(ISERROR(SEARCH("Assign",AA5)))</formula>
    </cfRule>
    <cfRule type="containsText" dxfId="0" priority="70" operator="containsText" text="Confirm">
      <formula>NOT(ISERROR(SEARCH("Confirm",AA5)))</formula>
    </cfRule>
    <cfRule type="containsText" dxfId="0" priority="71" operator="containsText" text="Order">
      <formula>NOT(ISERROR(SEARCH("Order",AA5)))</formula>
    </cfRule>
    <cfRule type="containsText" dxfId="3" priority="72" operator="containsText" text="Today">
      <formula>NOT(ISERROR(SEARCH("Today",AA5)))</formula>
    </cfRule>
    <cfRule type="containsText" dxfId="3" priority="73" operator="containsText" text="Upcoming">
      <formula>NOT(ISERROR(SEARCH("Upcoming",AA5)))</formula>
    </cfRule>
    <cfRule type="containsText" dxfId="3" priority="74" operator="containsText" text="Tomorrow">
      <formula>NOT(ISERROR(SEARCH("Tomorrow",AA5)))</formula>
    </cfRule>
  </conditionalFormatting>
  <conditionalFormatting sqref="T5:T64">
    <cfRule type="cellIs" dxfId="5" priority="1" operator="lessThan">
      <formula>0</formula>
    </cfRule>
    <cfRule type="cellIs" dxfId="1" priority="2" operator="greaterThan">
      <formula>0</formula>
    </cfRule>
  </conditionalFormatting>
  <conditionalFormatting sqref="U5:U64">
    <cfRule type="cellIs" dxfId="2" priority="3" operator="lessThan">
      <formula>0</formula>
    </cfRule>
    <cfRule type="cellIs" dxfId="0" priority="4" operator="lessThan">
      <formula>TargetWholesaleMargin</formula>
    </cfRule>
    <cfRule type="cellIs" dxfId="1" priority="5" operator="greaterThanOrEqual">
      <formula>TargetWholesaleMargin</formula>
    </cfRule>
  </conditionalFormatting>
  <conditionalFormatting sqref="X5:X64">
    <cfRule type="cellIs" dxfId="0" priority="6" operator="greaterThan">
      <formula>180</formula>
    </cfRule>
  </conditionalFormatting>
  <conditionalFormatting sqref="Y5:Y64">
    <cfRule type="cellIs" dxfId="0" priority="7" operator="greaterThan">
      <formula>0</formula>
    </cfRule>
  </conditionalFormatting>
  <conditionalFormatting sqref="Z5:Z64">
    <cfRule type="containsText" dxfId="1" priority="8" operator="containsText" text="Completed">
      <formula>NOT(ISERROR(SEARCH("Completed",Z5)))</formula>
    </cfRule>
    <cfRule type="containsText" dxfId="1" priority="9" operator="containsText" text="Complete">
      <formula>NOT(ISERROR(SEARCH("Complete",Z5)))</formula>
    </cfRule>
    <cfRule type="containsText" dxfId="1" priority="10" operator="containsText" text="Done">
      <formula>NOT(ISERROR(SEARCH("Done",Z5)))</formula>
    </cfRule>
    <cfRule type="containsText" dxfId="1" priority="11" operator="containsText" text="Paid">
      <formula>NOT(ISERROR(SEARCH("Paid",Z5)))</formula>
    </cfRule>
    <cfRule type="containsText" dxfId="1" priority="12" operator="containsText" text="Accepted">
      <formula>NOT(ISERROR(SEARCH("Accepted",Z5)))</formula>
    </cfRule>
    <cfRule type="containsText" dxfId="1" priority="13" operator="containsText" text="Won">
      <formula>NOT(ISERROR(SEARCH("Won",Z5)))</formula>
    </cfRule>
    <cfRule type="containsText" dxfId="1" priority="14" operator="containsText" text="Active">
      <formula>NOT(ISERROR(SEARCH("Active",Z5)))</formula>
    </cfRule>
    <cfRule type="containsText" dxfId="1" priority="15" operator="containsText" text="In stock">
      <formula>NOT(ISERROR(SEARCH("In stock",Z5)))</formula>
    </cfRule>
    <cfRule type="containsText" dxfId="1" priority="16" operator="containsText" text="Resolved">
      <formula>NOT(ISERROR(SEARCH("Resolved",Z5)))</formula>
    </cfRule>
    <cfRule type="containsText" dxfId="1" priority="17" operator="containsText" text="Signed">
      <formula>NOT(ISERROR(SEARCH("Signed",Z5)))</formula>
    </cfRule>
    <cfRule type="containsText" dxfId="1" priority="18" operator="containsText" text="Yes">
      <formula>NOT(ISERROR(SEARCH("Yes",Z5)))</formula>
    </cfRule>
    <cfRule type="containsText" dxfId="3" priority="19" operator="containsText" text="Booked">
      <formula>NOT(ISERROR(SEARCH("Booked",Z5)))</formula>
    </cfRule>
    <cfRule type="containsText" dxfId="3" priority="20" operator="containsText" text="Confirmed">
      <formula>NOT(ISERROR(SEARCH("Confirmed",Z5)))</formula>
    </cfRule>
    <cfRule type="containsText" dxfId="3" priority="21" operator="containsText" text="Scheduled">
      <formula>NOT(ISERROR(SEARCH("Scheduled",Z5)))</formula>
    </cfRule>
    <cfRule type="containsText" dxfId="3" priority="22" operator="containsText" text="In progress">
      <formula>NOT(ISERROR(SEARCH("In progress",Z5)))</formula>
    </cfRule>
    <cfRule type="containsText" dxfId="3" priority="23" operator="containsText" text="Sent">
      <formula>NOT(ISERROR(SEARCH("Sent",Z5)))</formula>
    </cfRule>
    <cfRule type="containsText" dxfId="3" priority="24" operator="containsText" text="Invoiced">
      <formula>NOT(ISERROR(SEARCH("Invoiced",Z5)))</formula>
    </cfRule>
    <cfRule type="containsText" dxfId="3" priority="25" operator="containsText" text="Quoted">
      <formula>NOT(ISERROR(SEARCH("Quoted",Z5)))</formula>
    </cfRule>
    <cfRule type="containsText" dxfId="3" priority="26" operator="containsText" text="Prospect">
      <formula>NOT(ISERROR(SEARCH("Prospect",Z5)))</formula>
    </cfRule>
    <cfRule type="containsText" dxfId="0" priority="27" operator="containsText" text="Draft">
      <formula>NOT(ISERROR(SEARCH("Draft",Z5)))</formula>
    </cfRule>
    <cfRule type="containsText" dxfId="0" priority="28" operator="containsText" text="Enquiry">
      <formula>NOT(ISERROR(SEARCH("Enquiry",Z5)))</formula>
    </cfRule>
    <cfRule type="containsText" dxfId="0" priority="29" operator="containsText" text="Pending">
      <formula>NOT(ISERROR(SEARCH("Pending",Z5)))</formula>
    </cfRule>
    <cfRule type="containsText" dxfId="0" priority="30" operator="containsText" text="Part paid">
      <formula>NOT(ISERROR(SEARCH("Part paid",Z5)))</formula>
    </cfRule>
    <cfRule type="containsText" dxfId="0" priority="31" operator="containsText" text="Followed up">
      <formula>NOT(ISERROR(SEARCH("Followed up",Z5)))</formula>
    </cfRule>
    <cfRule type="containsText" dxfId="0" priority="32" operator="containsText" text="Low stock">
      <formula>NOT(ISERROR(SEARCH("Low stock",Z5)))</formula>
    </cfRule>
    <cfRule type="containsText" dxfId="0" priority="33" operator="containsText" text="Due soon">
      <formula>NOT(ISERROR(SEARCH("Due soon",Z5)))</formula>
    </cfRule>
    <cfRule type="containsText" dxfId="0" priority="34" operator="containsText" text="On hold">
      <formula>NOT(ISERROR(SEARCH("On hold",Z5)))</formula>
    </cfRule>
    <cfRule type="containsText" dxfId="0" priority="35" operator="containsText" text="Unassigned">
      <formula>NOT(ISERROR(SEARCH("Unassigned",Z5)))</formula>
    </cfRule>
    <cfRule type="containsText" dxfId="2" priority="36" operator="containsText" text="Overdue">
      <formula>NOT(ISERROR(SEARCH("Overdue",Z5)))</formula>
    </cfRule>
    <cfRule type="containsText" dxfId="2" priority="37" operator="containsText" text="Cancelled">
      <formula>NOT(ISERROR(SEARCH("Cancelled",Z5)))</formula>
    </cfRule>
    <cfRule type="containsText" dxfId="2" priority="38" operator="containsText" text="Declined">
      <formula>NOT(ISERROR(SEARCH("Declined",Z5)))</formula>
    </cfRule>
    <cfRule type="containsText" dxfId="2" priority="39" operator="containsText" text="Lost">
      <formula>NOT(ISERROR(SEARCH("Lost",Z5)))</formula>
    </cfRule>
    <cfRule type="containsText" dxfId="2" priority="40" operator="containsText" text="No access">
      <formula>NOT(ISERROR(SEARCH("No access",Z5)))</formula>
    </cfRule>
    <cfRule type="containsText" dxfId="2" priority="41" operator="containsText" text="Out of stock">
      <formula>NOT(ISERROR(SEARCH("Out of stock",Z5)))</formula>
    </cfRule>
    <cfRule type="containsText" dxfId="2" priority="42" operator="containsText" text="Written off">
      <formula>NOT(ISERROR(SEARCH("Written off",Z5)))</formula>
    </cfRule>
    <cfRule type="containsText" dxfId="2" priority="43" operator="containsText" text="Expired">
      <formula>NOT(ISERROR(SEARCH("Expired",Z5)))</formula>
    </cfRule>
    <cfRule type="containsText" dxfId="4" priority="44" operator="containsText" text="Discontinued">
      <formula>NOT(ISERROR(SEARCH("Discontinued",Z5)))</formula>
    </cfRule>
    <cfRule type="containsText" dxfId="4" priority="45" operator="containsText" text="Idea">
      <formula>NOT(ISERROR(SEARCH("Idea",Z5)))</formula>
    </cfRule>
    <cfRule type="containsText" dxfId="0" priority="46" operator="containsText" text="Prototype">
      <formula>NOT(ISERROR(SEARCH("Prototype",Z5)))</formula>
    </cfRule>
    <cfRule type="containsText" dxfId="3" priority="47" operator="containsText" text="Made to order">
      <formula>NOT(ISERROR(SEARCH("Made to order",Z5)))</formula>
    </cfRule>
    <cfRule type="containsText" dxfId="3" priority="48" operator="containsText" text="Seasonal">
      <formula>NOT(ISERROR(SEARCH("Seasonal",Z5)))</formula>
    </cfRule>
    <cfRule type="containsText" dxfId="0" priority="49" operator="containsText" text="Review">
      <formula>NOT(ISERROR(SEARCH("Review",Z5)))</formula>
    </cfRule>
    <cfRule type="containsText" dxfId="0" priority="50" operator="containsText" text="Raise price">
      <formula>NOT(ISERROR(SEARCH("Raise price",Z5)))</formula>
    </cfRule>
    <cfRule type="containsText" dxfId="4" priority="51" operator="containsText" text="Inactive">
      <formula>NOT(ISERROR(SEARCH("Inactive",Z5)))</formula>
    </cfRule>
    <cfRule type="containsText" dxfId="4" priority="52" operator="containsText" text="Archived">
      <formula>NOT(ISERROR(SEARCH("Archived",Z5)))</formula>
    </cfRule>
    <cfRule type="containsText" dxfId="4" priority="53" operator="containsText" text="Not needed">
      <formula>NOT(ISERROR(SEARCH("Not needed",Z5)))</formula>
    </cfRule>
  </conditionalFormatting>
  <dataValidations count="8">
    <dataValidation type="list" allowBlank="1" showInputMessage="1" showErrorMessage="1" sqref="C5:C64">
      <formula1>CustomerTypeList</formula1>
    </dataValidation>
    <dataValidation type="list" allowBlank="1" showInputMessage="1" showErrorMessage="1" promptTitle="Payment terms" prompt="Net 30 means you are lending a shop money for a month. Price that in or ask for a deposit." sqref="H5:H64">
      <formula1>TermsList</formula1>
    </dataValidation>
    <dataValidation type="decimal" allowBlank="1" showInputMessage="1" showErrorMessage="1" errorTitle="Check the value" error="Enter a number between 0 and 0.9." promptTitle="Their discount" prompt="Off your retail price. Blank uses the standard wholesale discount on Settings." sqref="I5:I64">
      <formula1>0</formula1>
      <formula2>0.9</formula2>
    </dataValidation>
    <dataValidation type="decimal" allowBlank="1" showInputMessage="1" showErrorMessage="1" errorTitle="Check the value" error="Enter a number between 0 and 1000000." sqref="J5:J64">
      <formula1>0</formula1>
      <formula2>1000000</formula2>
    </dataValidation>
    <dataValidation type="date" allowBlank="1" showInputMessage="1" showErrorMessage="1" errorTitle="Check the date" error="Enter a real date between 2000 and 2100." sqref="K5:K64">
      <formula1>36526</formula1>
      <formula2>73415</formula2>
    </dataValidation>
    <dataValidation type="date" allowBlank="1" showInputMessage="1" showErrorMessage="1" errorTitle="Check the date" error="Enter a real date between 2000 and 2100." sqref="L5:L64">
      <formula1>36526</formula1>
      <formula2>73415</formula2>
    </dataValidation>
    <dataValidation type="list" allowBlank="1" showInputMessage="1" showErrorMessage="1" promptTitle="Exclusive area?" prompt="Granting exclusivity is worth something. Make sure you got something for it." sqref="M5:M64">
      <formula1>YesNoList</formula1>
    </dataValidation>
    <dataValidation type="list" allowBlank="1" showInputMessage="1" showErrorMessage="1" sqref="N5:N6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&amp;L&amp;"Calibri,Bold"&amp;12&amp;C&amp;"Calibri,Bold"&amp;11Wholesale Customers&amp;R&amp;"Calibri,Italic"&amp;9Handmade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3.xml><?xml version="1.0" encoding="utf-8"?>
<worksheet xmlns="http://schemas.openxmlformats.org/spreadsheetml/2006/main" xmlns:r="http://schemas.openxmlformats.org/officeDocument/2006/relationships">
  <sheetPr>
    <tabColor rgb="FFB5704F"/>
    <pageSetUpPr fitToPage="1"/>
  </sheetPr>
  <dimension ref="A1:AD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0.7109375" style="38" customWidth="1"/>
    <col min="2" max="2" width="11.7109375" style="22" customWidth="1"/>
    <col min="3" max="3" width="12.7109375" style="46" customWidth="1"/>
    <col min="4" max="4" width="14.7109375" style="15" customWidth="1"/>
    <col min="5" max="5" width="12.7109375" style="46" customWidth="1"/>
    <col min="6" max="6" width="9.7109375" style="16" customWidth="1"/>
    <col min="7" max="7" width="13.7109375" style="18" customWidth="1"/>
    <col min="8" max="8" width="11.7109375" style="22" customWidth="1"/>
    <col min="9" max="9" width="11.7109375" style="22" customWidth="1"/>
    <col min="10" max="10" width="13.7109375" style="18" hidden="1" customWidth="1"/>
    <col min="11" max="11" width="12.7109375" style="18" hidden="1" customWidth="1"/>
    <col min="12" max="12" width="14.7109375" style="39" customWidth="1"/>
    <col min="13" max="13" width="8.7109375" style="47" customWidth="1"/>
    <col min="14" max="14" width="26.7109375" style="40" customWidth="1"/>
    <col min="15" max="15" width="22.7109375" style="13" customWidth="1"/>
    <col min="16" max="16" width="24.7109375" style="13" customWidth="1"/>
    <col min="17" max="17" width="10.7109375" style="13" customWidth="1"/>
    <col min="18" max="18" width="9.7109375" style="33" hidden="1" customWidth="1"/>
    <col min="19" max="19" width="11.7109375" style="20" hidden="1" customWidth="1"/>
    <col min="20" max="20" width="11.7109375" style="20" customWidth="1"/>
    <col min="21" max="21" width="11.7109375" style="20" hidden="1" customWidth="1"/>
    <col min="22" max="22" width="12.7109375" style="20" customWidth="1"/>
    <col min="23" max="23" width="11.7109375" style="20" customWidth="1"/>
    <col min="24" max="24" width="11.7109375" style="20" customWidth="1"/>
    <col min="25" max="25" width="9.7109375" style="33" customWidth="1"/>
    <col min="26" max="26" width="12.7109375" style="41" customWidth="1"/>
    <col min="27" max="27" width="11.7109375" style="20" hidden="1" customWidth="1"/>
    <col min="28" max="28" width="12.7109375" style="42" hidden="1" customWidth="1"/>
    <col min="29" max="29" width="12.7109375" style="32" hidden="1" customWidth="1"/>
    <col min="30" max="30" width="30.7109375" style="43" customWidth="1"/>
  </cols>
  <sheetData>
    <row r="1" spans="1:30" ht="34" customHeight="1">
      <c r="A1" s="2" t="s">
        <v>414</v>
      </c>
      <c r="B1" s="2"/>
      <c r="C1" s="2"/>
      <c r="D1" s="2"/>
      <c r="E1" s="2"/>
      <c r="F1" s="2"/>
      <c r="G1" s="2"/>
      <c r="H1" s="2"/>
      <c r="I1" s="2"/>
      <c r="J1" s="2"/>
      <c r="K1" s="2"/>
      <c r="L1" s="2"/>
      <c r="M1" s="2"/>
      <c r="N1" s="2"/>
      <c r="O1" s="2"/>
      <c r="P1" s="2"/>
      <c r="Q1" s="2"/>
      <c r="R1" s="2"/>
      <c r="S1" s="2"/>
      <c r="T1" s="2"/>
      <c r="U1" s="2"/>
      <c r="V1" s="2"/>
      <c r="W1" s="2"/>
      <c r="X1" s="2"/>
      <c r="Y1" s="2"/>
      <c r="Z1" s="2"/>
      <c r="AA1" s="2"/>
      <c r="AB1" s="3" t="s">
        <v>1</v>
      </c>
      <c r="AC1" s="3"/>
      <c r="AD1" s="3"/>
    </row>
    <row r="2" spans="1:30" ht="18" customHeight="1">
      <c r="A2" s="4" t="s">
        <v>1911</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5" t="s">
        <v>3</v>
      </c>
      <c r="B3" s="5"/>
      <c r="C3" s="5" t="s">
        <v>4</v>
      </c>
      <c r="D3" s="5"/>
      <c r="E3" s="5" t="s">
        <v>5</v>
      </c>
      <c r="F3" s="5"/>
      <c r="G3" s="5" t="s">
        <v>6</v>
      </c>
      <c r="H3" s="5"/>
      <c r="I3" s="5" t="s">
        <v>7</v>
      </c>
      <c r="J3" s="5"/>
      <c r="K3" s="5" t="s">
        <v>367</v>
      </c>
      <c r="L3" s="5"/>
      <c r="M3" s="5" t="s">
        <v>368</v>
      </c>
      <c r="N3" s="5"/>
      <c r="O3" s="5" t="s">
        <v>448</v>
      </c>
      <c r="P3" s="5"/>
      <c r="Q3" s="5" t="s">
        <v>449</v>
      </c>
      <c r="R3" s="5"/>
      <c r="S3" s="44" t="s">
        <v>1912</v>
      </c>
      <c r="T3" s="44"/>
      <c r="U3" s="44"/>
      <c r="V3" s="44"/>
      <c r="W3" s="44"/>
      <c r="X3" s="44"/>
      <c r="Y3" s="44"/>
      <c r="Z3" s="44"/>
      <c r="AA3" s="44"/>
      <c r="AB3" s="44"/>
      <c r="AC3" s="44"/>
      <c r="AD3" s="44"/>
    </row>
    <row r="4" spans="1:30" ht="30" customHeight="1">
      <c r="A4" s="8" t="s">
        <v>451</v>
      </c>
      <c r="B4" s="8" t="s">
        <v>1565</v>
      </c>
      <c r="C4" s="9" t="s">
        <v>1573</v>
      </c>
      <c r="D4" s="9" t="s">
        <v>1913</v>
      </c>
      <c r="E4" s="9" t="s">
        <v>354</v>
      </c>
      <c r="F4" s="9" t="s">
        <v>1484</v>
      </c>
      <c r="G4" s="9" t="s">
        <v>1914</v>
      </c>
      <c r="H4" s="9" t="s">
        <v>1915</v>
      </c>
      <c r="I4" s="9" t="s">
        <v>1916</v>
      </c>
      <c r="J4" s="9" t="s">
        <v>1917</v>
      </c>
      <c r="K4" s="9" t="s">
        <v>1918</v>
      </c>
      <c r="L4" s="9" t="s">
        <v>453</v>
      </c>
      <c r="M4" s="9" t="s">
        <v>1919</v>
      </c>
      <c r="N4" s="9" t="s">
        <v>466</v>
      </c>
      <c r="O4" s="9" t="s">
        <v>369</v>
      </c>
      <c r="P4" s="9" t="s">
        <v>719</v>
      </c>
      <c r="Q4" s="9" t="s">
        <v>370</v>
      </c>
      <c r="R4" s="9" t="s">
        <v>1151</v>
      </c>
      <c r="S4" s="9" t="s">
        <v>1486</v>
      </c>
      <c r="T4" s="9" t="s">
        <v>1567</v>
      </c>
      <c r="U4" s="9" t="s">
        <v>815</v>
      </c>
      <c r="V4" s="9" t="s">
        <v>1144</v>
      </c>
      <c r="W4" s="9" t="s">
        <v>1920</v>
      </c>
      <c r="X4" s="9" t="s">
        <v>421</v>
      </c>
      <c r="Y4" s="9" t="s">
        <v>42</v>
      </c>
      <c r="Z4" s="9" t="s">
        <v>1585</v>
      </c>
      <c r="AA4" s="9" t="s">
        <v>491</v>
      </c>
      <c r="AB4" s="9" t="s">
        <v>1921</v>
      </c>
      <c r="AC4" s="9" t="s">
        <v>1922</v>
      </c>
      <c r="AD4" s="9" t="s">
        <v>510</v>
      </c>
    </row>
    <row r="5" spans="1:30">
      <c r="A5" s="38">
        <f>IF(B5="","",OrderPrefix&amp;TEXT(ROW()-4,"0000"))</f>
        <v>0</v>
      </c>
      <c r="B5" s="22">
        <v>46077</v>
      </c>
      <c r="C5" s="46" t="s">
        <v>1923</v>
      </c>
      <c r="D5" s="15" t="s">
        <v>1924</v>
      </c>
      <c r="E5" s="46" t="s">
        <v>1344</v>
      </c>
      <c r="F5" s="16">
        <v>24</v>
      </c>
      <c r="H5" s="22">
        <v>46091</v>
      </c>
      <c r="I5" s="22">
        <v>46089</v>
      </c>
      <c r="J5" s="18">
        <v>18</v>
      </c>
      <c r="K5" s="18">
        <v>16.4</v>
      </c>
      <c r="L5" s="39" t="s">
        <v>1589</v>
      </c>
      <c r="M5" s="47" t="s">
        <v>278</v>
      </c>
      <c r="O5" s="13">
        <f>IF(C5="","",IFERROR(INDEX('Wholesale Customers'!$B$5:$B$64,MATCH(C5,'Wholesale Customers'!$A$5:$A$64,0)),"Not found"))</f>
        <v>0</v>
      </c>
      <c r="P5" s="13">
        <f>IF(E5="","",IFERROR(INDEX(Products!$B$5:$B$304,MATCH(E5,Products!$A$5:$A$304,0)),"Not found"))</f>
        <v>0</v>
      </c>
      <c r="Q5" s="13">
        <f>IF(B5="","",TEXT(B5,"yyyy-mm"))</f>
        <v>0</v>
      </c>
      <c r="R5" s="33">
        <f>IF(C5="","",IFERROR(INDEX('Wholesale Customers'!$P$5:$P$64,MATCH(C5,'Wholesale Customers'!$A$5:$A$64,0)),WholesaleDiscount))</f>
        <v>0</v>
      </c>
      <c r="S5" s="20">
        <f>IF(E5="","",IFERROR(INDEX(Products!$AR$5:$AR$304,MATCH(E5,Products!$A$5:$A$304,0)),""))</f>
        <v>0</v>
      </c>
      <c r="T5" s="20">
        <f>IF(E5="","",IF(G5&lt;&gt;"",G5,IF(S5="","",ROUND(S5*(1-R5),2))))</f>
        <v>0</v>
      </c>
      <c r="U5" s="20">
        <f>IF(E5="","",IFERROR(INDEX(Products!$AH$5:$AH$304,MATCH(E5,Products!$A$5:$A$304,0)),""))</f>
        <v>0</v>
      </c>
      <c r="V5" s="20">
        <f>IF(E5="","",IF(OR(F5="",T5=""),"",ROUND(F5*T5,2)))</f>
        <v>0</v>
      </c>
      <c r="W5" s="20">
        <f>IF(E5="","",IF(OR(F5="",U5=""),"",ROUND(F5*U5+MAX(0,IF(K5="",0,K5)-IF(J5="",0,J5)),2)))</f>
        <v>0</v>
      </c>
      <c r="X5" s="20">
        <f>IF(E5="","",IF(V5="","",ROUND(V5-W5,2)))</f>
        <v>0</v>
      </c>
      <c r="Y5" s="33">
        <f>IF(E5="","",IF(OR(V5="",V5=0),"",X5/V5))</f>
        <v>0</v>
      </c>
      <c r="Z5" s="41">
        <f>IF(E5="","",IFERROR(ROUND(F5*INDEX(Products!$X$5:$X$304,MATCH(E5,Products!$A$5:$A$304,0))/60,1),""))</f>
        <v>0</v>
      </c>
      <c r="AA5" s="20">
        <f>IF(E5="","",IF(OR(Z5="",Z5=0),"",ROUND(X5/Z5,2)))</f>
        <v>0</v>
      </c>
      <c r="AB5" s="42">
        <f>IF(E5="","",IF(V5="","",IF(AND(V5&gt;=MinOrderValue,F5&gt;=MinOrderQty),"Yes","No")))</f>
        <v>0</v>
      </c>
      <c r="AC5" s="32">
        <f>IF(B5="","",IF(I5="","",I5-B5))</f>
        <v>0</v>
      </c>
      <c r="AD5" s="43">
        <f>IF(B5="","",IF(E5="","Add - which product?",IF(X5&lt;0,"Loss - this order costs you money",IF(AND(Y5&lt;&gt;"",Y5&lt;TargetWholesaleMargin),"Low margin - the discount is too deep",IF(AND(H5&lt;&gt;"",I5="",H5&lt;TodayDate),"Overdue - not despatched",IF(AND(M5="No",I5&lt;&gt;"",TodayDate-I5&gt;30),"Chase - unpaid over 30 days",IF(AB5="No","Check - below your minimum order","OK")))))))</f>
        <v>0</v>
      </c>
    </row>
    <row r="6" spans="1:30">
      <c r="A6" s="38">
        <f>IF(B6="","",OrderPrefix&amp;TEXT(ROW()-4,"0000"))</f>
        <v>0</v>
      </c>
      <c r="B6" s="22">
        <v>46167</v>
      </c>
      <c r="C6" s="46" t="s">
        <v>1925</v>
      </c>
      <c r="D6" s="15" t="s">
        <v>1926</v>
      </c>
      <c r="E6" s="46" t="s">
        <v>1351</v>
      </c>
      <c r="F6" s="16">
        <v>36</v>
      </c>
      <c r="H6" s="22">
        <v>46181</v>
      </c>
      <c r="I6" s="22">
        <v>46179</v>
      </c>
      <c r="J6" s="18">
        <v>14</v>
      </c>
      <c r="K6" s="18">
        <v>12.8</v>
      </c>
      <c r="L6" s="39" t="s">
        <v>1589</v>
      </c>
      <c r="M6" s="47" t="s">
        <v>278</v>
      </c>
      <c r="O6" s="13">
        <f>IF(C6="","",IFERROR(INDEX('Wholesale Customers'!$B$5:$B$64,MATCH(C6,'Wholesale Customers'!$A$5:$A$64,0)),"Not found"))</f>
        <v>0</v>
      </c>
      <c r="P6" s="13">
        <f>IF(E6="","",IFERROR(INDEX(Products!$B$5:$B$304,MATCH(E6,Products!$A$5:$A$304,0)),"Not found"))</f>
        <v>0</v>
      </c>
      <c r="Q6" s="13">
        <f>IF(B6="","",TEXT(B6,"yyyy-mm"))</f>
        <v>0</v>
      </c>
      <c r="R6" s="33">
        <f>IF(C6="","",IFERROR(INDEX('Wholesale Customers'!$P$5:$P$64,MATCH(C6,'Wholesale Customers'!$A$5:$A$64,0)),WholesaleDiscount))</f>
        <v>0</v>
      </c>
      <c r="S6" s="20">
        <f>IF(E6="","",IFERROR(INDEX(Products!$AR$5:$AR$304,MATCH(E6,Products!$A$5:$A$304,0)),""))</f>
        <v>0</v>
      </c>
      <c r="T6" s="20">
        <f>IF(E6="","",IF(G6&lt;&gt;"",G6,IF(S6="","",ROUND(S6*(1-R6),2))))</f>
        <v>0</v>
      </c>
      <c r="U6" s="20">
        <f>IF(E6="","",IFERROR(INDEX(Products!$AH$5:$AH$304,MATCH(E6,Products!$A$5:$A$304,0)),""))</f>
        <v>0</v>
      </c>
      <c r="V6" s="20">
        <f>IF(E6="","",IF(OR(F6="",T6=""),"",ROUND(F6*T6,2)))</f>
        <v>0</v>
      </c>
      <c r="W6" s="20">
        <f>IF(E6="","",IF(OR(F6="",U6=""),"",ROUND(F6*U6+MAX(0,IF(K6="",0,K6)-IF(J6="",0,J6)),2)))</f>
        <v>0</v>
      </c>
      <c r="X6" s="20">
        <f>IF(E6="","",IF(V6="","",ROUND(V6-W6,2)))</f>
        <v>0</v>
      </c>
      <c r="Y6" s="33">
        <f>IF(E6="","",IF(OR(V6="",V6=0),"",X6/V6))</f>
        <v>0</v>
      </c>
      <c r="Z6" s="41">
        <f>IF(E6="","",IFERROR(ROUND(F6*INDEX(Products!$X$5:$X$304,MATCH(E6,Products!$A$5:$A$304,0))/60,1),""))</f>
        <v>0</v>
      </c>
      <c r="AA6" s="20">
        <f>IF(E6="","",IF(OR(Z6="",Z6=0),"",ROUND(X6/Z6,2)))</f>
        <v>0</v>
      </c>
      <c r="AB6" s="42">
        <f>IF(E6="","",IF(V6="","",IF(AND(V6&gt;=MinOrderValue,F6&gt;=MinOrderQty),"Yes","No")))</f>
        <v>0</v>
      </c>
      <c r="AC6" s="32">
        <f>IF(B6="","",IF(I6="","",I6-B6))</f>
        <v>0</v>
      </c>
      <c r="AD6" s="43">
        <f>IF(B6="","",IF(E6="","Add - which product?",IF(X6&lt;0,"Loss - this order costs you money",IF(AND(Y6&lt;&gt;"",Y6&lt;TargetWholesaleMargin),"Low margin - the discount is too deep",IF(AND(H6&lt;&gt;"",I6="",H6&lt;TodayDate),"Overdue - not despatched",IF(AND(M6="No",I6&lt;&gt;"",TodayDate-I6&gt;30),"Chase - unpaid over 30 days",IF(AB6="No","Check - below your minimum order","OK")))))))</f>
        <v>0</v>
      </c>
    </row>
    <row r="7" spans="1:30">
      <c r="A7" s="38">
        <f>IF(B7="","",OrderPrefix&amp;TEXT(ROW()-4,"0000"))</f>
        <v>0</v>
      </c>
      <c r="B7" s="22">
        <v>46227</v>
      </c>
      <c r="C7" s="46" t="s">
        <v>1927</v>
      </c>
      <c r="D7" s="15" t="s">
        <v>1928</v>
      </c>
      <c r="E7" s="46" t="s">
        <v>1256</v>
      </c>
      <c r="F7" s="16">
        <v>12</v>
      </c>
      <c r="H7" s="22">
        <v>46241</v>
      </c>
      <c r="I7" s="22">
        <v>46239</v>
      </c>
      <c r="J7" s="18">
        <v>12</v>
      </c>
      <c r="K7" s="18">
        <v>11.2</v>
      </c>
      <c r="L7" s="39" t="s">
        <v>1589</v>
      </c>
      <c r="M7" s="47" t="s">
        <v>278</v>
      </c>
      <c r="N7" s="40" t="s">
        <v>1929</v>
      </c>
      <c r="O7" s="13">
        <f>IF(C7="","",IFERROR(INDEX('Wholesale Customers'!$B$5:$B$64,MATCH(C7,'Wholesale Customers'!$A$5:$A$64,0)),"Not found"))</f>
        <v>0</v>
      </c>
      <c r="P7" s="13">
        <f>IF(E7="","",IFERROR(INDEX(Products!$B$5:$B$304,MATCH(E7,Products!$A$5:$A$304,0)),"Not found"))</f>
        <v>0</v>
      </c>
      <c r="Q7" s="13">
        <f>IF(B7="","",TEXT(B7,"yyyy-mm"))</f>
        <v>0</v>
      </c>
      <c r="R7" s="33">
        <f>IF(C7="","",IFERROR(INDEX('Wholesale Customers'!$P$5:$P$64,MATCH(C7,'Wholesale Customers'!$A$5:$A$64,0)),WholesaleDiscount))</f>
        <v>0</v>
      </c>
      <c r="S7" s="20">
        <f>IF(E7="","",IFERROR(INDEX(Products!$AR$5:$AR$304,MATCH(E7,Products!$A$5:$A$304,0)),""))</f>
        <v>0</v>
      </c>
      <c r="T7" s="20">
        <f>IF(E7="","",IF(G7&lt;&gt;"",G7,IF(S7="","",ROUND(S7*(1-R7),2))))</f>
        <v>0</v>
      </c>
      <c r="U7" s="20">
        <f>IF(E7="","",IFERROR(INDEX(Products!$AH$5:$AH$304,MATCH(E7,Products!$A$5:$A$304,0)),""))</f>
        <v>0</v>
      </c>
      <c r="V7" s="20">
        <f>IF(E7="","",IF(OR(F7="",T7=""),"",ROUND(F7*T7,2)))</f>
        <v>0</v>
      </c>
      <c r="W7" s="20">
        <f>IF(E7="","",IF(OR(F7="",U7=""),"",ROUND(F7*U7+MAX(0,IF(K7="",0,K7)-IF(J7="",0,J7)),2)))</f>
        <v>0</v>
      </c>
      <c r="X7" s="20">
        <f>IF(E7="","",IF(V7="","",ROUND(V7-W7,2)))</f>
        <v>0</v>
      </c>
      <c r="Y7" s="33">
        <f>IF(E7="","",IF(OR(V7="",V7=0),"",X7/V7))</f>
        <v>0</v>
      </c>
      <c r="Z7" s="41">
        <f>IF(E7="","",IFERROR(ROUND(F7*INDEX(Products!$X$5:$X$304,MATCH(E7,Products!$A$5:$A$304,0))/60,1),""))</f>
        <v>0</v>
      </c>
      <c r="AA7" s="20">
        <f>IF(E7="","",IF(OR(Z7="",Z7=0),"",ROUND(X7/Z7,2)))</f>
        <v>0</v>
      </c>
      <c r="AB7" s="42">
        <f>IF(E7="","",IF(V7="","",IF(AND(V7&gt;=MinOrderValue,F7&gt;=MinOrderQty),"Yes","No")))</f>
        <v>0</v>
      </c>
      <c r="AC7" s="32">
        <f>IF(B7="","",IF(I7="","",I7-B7))</f>
        <v>0</v>
      </c>
      <c r="AD7" s="43">
        <f>IF(B7="","",IF(E7="","Add - which product?",IF(X7&lt;0,"Loss - this order costs you money",IF(AND(Y7&lt;&gt;"",Y7&lt;TargetWholesaleMargin),"Low margin - the discount is too deep",IF(AND(H7&lt;&gt;"",I7="",H7&lt;TodayDate),"Overdue - not despatched",IF(AND(M7="No",I7&lt;&gt;"",TodayDate-I7&gt;30),"Chase - unpaid over 30 days",IF(AB7="No","Check - below your minimum order","OK")))))))</f>
        <v>0</v>
      </c>
    </row>
    <row r="8" spans="1:30">
      <c r="A8" s="38">
        <f>IF(B8="","",OrderPrefix&amp;TEXT(ROW()-4,"0000"))</f>
        <v>0</v>
      </c>
      <c r="B8" s="22">
        <v>46255</v>
      </c>
      <c r="C8" s="46" t="s">
        <v>1923</v>
      </c>
      <c r="D8" s="15" t="s">
        <v>1930</v>
      </c>
      <c r="E8" s="46" t="s">
        <v>1344</v>
      </c>
      <c r="F8" s="16">
        <v>24</v>
      </c>
      <c r="H8" s="22">
        <v>46269</v>
      </c>
      <c r="I8" s="22">
        <v>46267</v>
      </c>
      <c r="J8" s="18">
        <v>18</v>
      </c>
      <c r="K8" s="18">
        <v>16.4</v>
      </c>
      <c r="L8" s="39" t="s">
        <v>1589</v>
      </c>
      <c r="M8" s="47" t="s">
        <v>278</v>
      </c>
      <c r="O8" s="13">
        <f>IF(C8="","",IFERROR(INDEX('Wholesale Customers'!$B$5:$B$64,MATCH(C8,'Wholesale Customers'!$A$5:$A$64,0)),"Not found"))</f>
        <v>0</v>
      </c>
      <c r="P8" s="13">
        <f>IF(E8="","",IFERROR(INDEX(Products!$B$5:$B$304,MATCH(E8,Products!$A$5:$A$304,0)),"Not found"))</f>
        <v>0</v>
      </c>
      <c r="Q8" s="13">
        <f>IF(B8="","",TEXT(B8,"yyyy-mm"))</f>
        <v>0</v>
      </c>
      <c r="R8" s="33">
        <f>IF(C8="","",IFERROR(INDEX('Wholesale Customers'!$P$5:$P$64,MATCH(C8,'Wholesale Customers'!$A$5:$A$64,0)),WholesaleDiscount))</f>
        <v>0</v>
      </c>
      <c r="S8" s="20">
        <f>IF(E8="","",IFERROR(INDEX(Products!$AR$5:$AR$304,MATCH(E8,Products!$A$5:$A$304,0)),""))</f>
        <v>0</v>
      </c>
      <c r="T8" s="20">
        <f>IF(E8="","",IF(G8&lt;&gt;"",G8,IF(S8="","",ROUND(S8*(1-R8),2))))</f>
        <v>0</v>
      </c>
      <c r="U8" s="20">
        <f>IF(E8="","",IFERROR(INDEX(Products!$AH$5:$AH$304,MATCH(E8,Products!$A$5:$A$304,0)),""))</f>
        <v>0</v>
      </c>
      <c r="V8" s="20">
        <f>IF(E8="","",IF(OR(F8="",T8=""),"",ROUND(F8*T8,2)))</f>
        <v>0</v>
      </c>
      <c r="W8" s="20">
        <f>IF(E8="","",IF(OR(F8="",U8=""),"",ROUND(F8*U8+MAX(0,IF(K8="",0,K8)-IF(J8="",0,J8)),2)))</f>
        <v>0</v>
      </c>
      <c r="X8" s="20">
        <f>IF(E8="","",IF(V8="","",ROUND(V8-W8,2)))</f>
        <v>0</v>
      </c>
      <c r="Y8" s="33">
        <f>IF(E8="","",IF(OR(V8="",V8=0),"",X8/V8))</f>
        <v>0</v>
      </c>
      <c r="Z8" s="41">
        <f>IF(E8="","",IFERROR(ROUND(F8*INDEX(Products!$X$5:$X$304,MATCH(E8,Products!$A$5:$A$304,0))/60,1),""))</f>
        <v>0</v>
      </c>
      <c r="AA8" s="20">
        <f>IF(E8="","",IF(OR(Z8="",Z8=0),"",ROUND(X8/Z8,2)))</f>
        <v>0</v>
      </c>
      <c r="AB8" s="42">
        <f>IF(E8="","",IF(V8="","",IF(AND(V8&gt;=MinOrderValue,F8&gt;=MinOrderQty),"Yes","No")))</f>
        <v>0</v>
      </c>
      <c r="AC8" s="32">
        <f>IF(B8="","",IF(I8="","",I8-B8))</f>
        <v>0</v>
      </c>
      <c r="AD8" s="43">
        <f>IF(B8="","",IF(E8="","Add - which product?",IF(X8&lt;0,"Loss - this order costs you money",IF(AND(Y8&lt;&gt;"",Y8&lt;TargetWholesaleMargin),"Low margin - the discount is too deep",IF(AND(H8&lt;&gt;"",I8="",H8&lt;TodayDate),"Overdue - not despatched",IF(AND(M8="No",I8&lt;&gt;"",TodayDate-I8&gt;30),"Chase - unpaid over 30 days",IF(AB8="No","Check - below your minimum order","OK")))))))</f>
        <v>0</v>
      </c>
    </row>
    <row r="9" spans="1:30">
      <c r="A9" s="38">
        <f>IF(B9="","",OrderPrefix&amp;TEXT(ROW()-4,"0000"))</f>
        <v>0</v>
      </c>
      <c r="B9" s="22">
        <v>46277</v>
      </c>
      <c r="C9" s="46" t="s">
        <v>1931</v>
      </c>
      <c r="D9" s="15" t="s">
        <v>1932</v>
      </c>
      <c r="E9" s="46" t="s">
        <v>1351</v>
      </c>
      <c r="F9" s="16">
        <v>200</v>
      </c>
      <c r="G9" s="18">
        <v>7.6</v>
      </c>
      <c r="H9" s="22">
        <v>46305</v>
      </c>
      <c r="I9" s="22">
        <v>46303</v>
      </c>
      <c r="J9" s="18">
        <v>48</v>
      </c>
      <c r="K9" s="18">
        <v>52</v>
      </c>
      <c r="L9" s="39" t="s">
        <v>1589</v>
      </c>
      <c r="M9" s="47" t="s">
        <v>278</v>
      </c>
      <c r="N9" s="40" t="s">
        <v>1933</v>
      </c>
      <c r="O9" s="13">
        <f>IF(C9="","",IFERROR(INDEX('Wholesale Customers'!$B$5:$B$64,MATCH(C9,'Wholesale Customers'!$A$5:$A$64,0)),"Not found"))</f>
        <v>0</v>
      </c>
      <c r="P9" s="13">
        <f>IF(E9="","",IFERROR(INDEX(Products!$B$5:$B$304,MATCH(E9,Products!$A$5:$A$304,0)),"Not found"))</f>
        <v>0</v>
      </c>
      <c r="Q9" s="13">
        <f>IF(B9="","",TEXT(B9,"yyyy-mm"))</f>
        <v>0</v>
      </c>
      <c r="R9" s="33">
        <f>IF(C9="","",IFERROR(INDEX('Wholesale Customers'!$P$5:$P$64,MATCH(C9,'Wholesale Customers'!$A$5:$A$64,0)),WholesaleDiscount))</f>
        <v>0</v>
      </c>
      <c r="S9" s="20">
        <f>IF(E9="","",IFERROR(INDEX(Products!$AR$5:$AR$304,MATCH(E9,Products!$A$5:$A$304,0)),""))</f>
        <v>0</v>
      </c>
      <c r="T9" s="20">
        <f>IF(E9="","",IF(G9&lt;&gt;"",G9,IF(S9="","",ROUND(S9*(1-R9),2))))</f>
        <v>0</v>
      </c>
      <c r="U9" s="20">
        <f>IF(E9="","",IFERROR(INDEX(Products!$AH$5:$AH$304,MATCH(E9,Products!$A$5:$A$304,0)),""))</f>
        <v>0</v>
      </c>
      <c r="V9" s="20">
        <f>IF(E9="","",IF(OR(F9="",T9=""),"",ROUND(F9*T9,2)))</f>
        <v>0</v>
      </c>
      <c r="W9" s="20">
        <f>IF(E9="","",IF(OR(F9="",U9=""),"",ROUND(F9*U9+MAX(0,IF(K9="",0,K9)-IF(J9="",0,J9)),2)))</f>
        <v>0</v>
      </c>
      <c r="X9" s="20">
        <f>IF(E9="","",IF(V9="","",ROUND(V9-W9,2)))</f>
        <v>0</v>
      </c>
      <c r="Y9" s="33">
        <f>IF(E9="","",IF(OR(V9="",V9=0),"",X9/V9))</f>
        <v>0</v>
      </c>
      <c r="Z9" s="41">
        <f>IF(E9="","",IFERROR(ROUND(F9*INDEX(Products!$X$5:$X$304,MATCH(E9,Products!$A$5:$A$304,0))/60,1),""))</f>
        <v>0</v>
      </c>
      <c r="AA9" s="20">
        <f>IF(E9="","",IF(OR(Z9="",Z9=0),"",ROUND(X9/Z9,2)))</f>
        <v>0</v>
      </c>
      <c r="AB9" s="42">
        <f>IF(E9="","",IF(V9="","",IF(AND(V9&gt;=MinOrderValue,F9&gt;=MinOrderQty),"Yes","No")))</f>
        <v>0</v>
      </c>
      <c r="AC9" s="32">
        <f>IF(B9="","",IF(I9="","",I9-B9))</f>
        <v>0</v>
      </c>
      <c r="AD9" s="43">
        <f>IF(B9="","",IF(E9="","Add - which product?",IF(X9&lt;0,"Loss - this order costs you money",IF(AND(Y9&lt;&gt;"",Y9&lt;TargetWholesaleMargin),"Low margin - the discount is too deep",IF(AND(H9&lt;&gt;"",I9="",H9&lt;TodayDate),"Overdue - not despatched",IF(AND(M9="No",I9&lt;&gt;"",TodayDate-I9&gt;30),"Chase - unpaid over 30 days",IF(AB9="No","Check - below your minimum order","OK")))))))</f>
        <v>0</v>
      </c>
    </row>
    <row r="10" spans="1:30">
      <c r="A10" s="38">
        <f>IF(B10="","",OrderPrefix&amp;TEXT(ROW()-4,"0000"))</f>
        <v>0</v>
      </c>
      <c r="B10" s="22">
        <v>46283</v>
      </c>
      <c r="C10" s="46" t="s">
        <v>1927</v>
      </c>
      <c r="D10" s="15" t="s">
        <v>1934</v>
      </c>
      <c r="E10" s="46" t="s">
        <v>1308</v>
      </c>
      <c r="F10" s="16">
        <v>8</v>
      </c>
      <c r="H10" s="22">
        <v>46297</v>
      </c>
      <c r="I10" s="22">
        <v>46295</v>
      </c>
      <c r="J10" s="18">
        <v>9</v>
      </c>
      <c r="K10" s="18">
        <v>8.4</v>
      </c>
      <c r="L10" s="39" t="s">
        <v>1935</v>
      </c>
      <c r="M10" s="47" t="s">
        <v>281</v>
      </c>
      <c r="N10" s="40" t="s">
        <v>1936</v>
      </c>
      <c r="O10" s="13">
        <f>IF(C10="","",IFERROR(INDEX('Wholesale Customers'!$B$5:$B$64,MATCH(C10,'Wholesale Customers'!$A$5:$A$64,0)),"Not found"))</f>
        <v>0</v>
      </c>
      <c r="P10" s="13">
        <f>IF(E10="","",IFERROR(INDEX(Products!$B$5:$B$304,MATCH(E10,Products!$A$5:$A$304,0)),"Not found"))</f>
        <v>0</v>
      </c>
      <c r="Q10" s="13">
        <f>IF(B10="","",TEXT(B10,"yyyy-mm"))</f>
        <v>0</v>
      </c>
      <c r="R10" s="33">
        <f>IF(C10="","",IFERROR(INDEX('Wholesale Customers'!$P$5:$P$64,MATCH(C10,'Wholesale Customers'!$A$5:$A$64,0)),WholesaleDiscount))</f>
        <v>0</v>
      </c>
      <c r="S10" s="20">
        <f>IF(E10="","",IFERROR(INDEX(Products!$AR$5:$AR$304,MATCH(E10,Products!$A$5:$A$304,0)),""))</f>
        <v>0</v>
      </c>
      <c r="T10" s="20">
        <f>IF(E10="","",IF(G10&lt;&gt;"",G10,IF(S10="","",ROUND(S10*(1-R10),2))))</f>
        <v>0</v>
      </c>
      <c r="U10" s="20">
        <f>IF(E10="","",IFERROR(INDEX(Products!$AH$5:$AH$304,MATCH(E10,Products!$A$5:$A$304,0)),""))</f>
        <v>0</v>
      </c>
      <c r="V10" s="20">
        <f>IF(E10="","",IF(OR(F10="",T10=""),"",ROUND(F10*T10,2)))</f>
        <v>0</v>
      </c>
      <c r="W10" s="20">
        <f>IF(E10="","",IF(OR(F10="",U10=""),"",ROUND(F10*U10+MAX(0,IF(K10="",0,K10)-IF(J10="",0,J10)),2)))</f>
        <v>0</v>
      </c>
      <c r="X10" s="20">
        <f>IF(E10="","",IF(V10="","",ROUND(V10-W10,2)))</f>
        <v>0</v>
      </c>
      <c r="Y10" s="33">
        <f>IF(E10="","",IF(OR(V10="",V10=0),"",X10/V10))</f>
        <v>0</v>
      </c>
      <c r="Z10" s="41">
        <f>IF(E10="","",IFERROR(ROUND(F10*INDEX(Products!$X$5:$X$304,MATCH(E10,Products!$A$5:$A$304,0))/60,1),""))</f>
        <v>0</v>
      </c>
      <c r="AA10" s="20">
        <f>IF(E10="","",IF(OR(Z10="",Z10=0),"",ROUND(X10/Z10,2)))</f>
        <v>0</v>
      </c>
      <c r="AB10" s="42">
        <f>IF(E10="","",IF(V10="","",IF(AND(V10&gt;=MinOrderValue,F10&gt;=MinOrderQty),"Yes","No")))</f>
        <v>0</v>
      </c>
      <c r="AC10" s="32">
        <f>IF(B10="","",IF(I10="","",I10-B10))</f>
        <v>0</v>
      </c>
      <c r="AD10" s="43">
        <f>IF(B10="","",IF(E10="","Add - which product?",IF(X10&lt;0,"Loss - this order costs you money",IF(AND(Y10&lt;&gt;"",Y10&lt;TargetWholesaleMargin),"Low margin - the discount is too deep",IF(AND(H10&lt;&gt;"",I10="",H10&lt;TodayDate),"Overdue - not despatched",IF(AND(M10="No",I10&lt;&gt;"",TodayDate-I10&gt;30),"Chase - unpaid over 30 days",IF(AB10="No","Check - below your minimum order","OK")))))))</f>
        <v>0</v>
      </c>
    </row>
    <row r="11" spans="1:30">
      <c r="A11" s="38">
        <f>IF(B11="","",OrderPrefix&amp;TEXT(ROW()-4,"0000"))</f>
        <v>0</v>
      </c>
      <c r="B11" s="22">
        <v>46296</v>
      </c>
      <c r="C11" s="46" t="s">
        <v>1925</v>
      </c>
      <c r="D11" s="15" t="s">
        <v>1937</v>
      </c>
      <c r="E11" s="46" t="s">
        <v>1344</v>
      </c>
      <c r="F11" s="16">
        <v>18</v>
      </c>
      <c r="H11" s="22">
        <v>46310</v>
      </c>
      <c r="I11" s="22">
        <v>46308</v>
      </c>
      <c r="J11" s="18">
        <v>14</v>
      </c>
      <c r="K11" s="18">
        <v>13.6</v>
      </c>
      <c r="L11" s="39" t="s">
        <v>1935</v>
      </c>
      <c r="M11" s="47" t="s">
        <v>281</v>
      </c>
      <c r="O11" s="13">
        <f>IF(C11="","",IFERROR(INDEX('Wholesale Customers'!$B$5:$B$64,MATCH(C11,'Wholesale Customers'!$A$5:$A$64,0)),"Not found"))</f>
        <v>0</v>
      </c>
      <c r="P11" s="13">
        <f>IF(E11="","",IFERROR(INDEX(Products!$B$5:$B$304,MATCH(E11,Products!$A$5:$A$304,0)),"Not found"))</f>
        <v>0</v>
      </c>
      <c r="Q11" s="13">
        <f>IF(B11="","",TEXT(B11,"yyyy-mm"))</f>
        <v>0</v>
      </c>
      <c r="R11" s="33">
        <f>IF(C11="","",IFERROR(INDEX('Wholesale Customers'!$P$5:$P$64,MATCH(C11,'Wholesale Customers'!$A$5:$A$64,0)),WholesaleDiscount))</f>
        <v>0</v>
      </c>
      <c r="S11" s="20">
        <f>IF(E11="","",IFERROR(INDEX(Products!$AR$5:$AR$304,MATCH(E11,Products!$A$5:$A$304,0)),""))</f>
        <v>0</v>
      </c>
      <c r="T11" s="20">
        <f>IF(E11="","",IF(G11&lt;&gt;"",G11,IF(S11="","",ROUND(S11*(1-R11),2))))</f>
        <v>0</v>
      </c>
      <c r="U11" s="20">
        <f>IF(E11="","",IFERROR(INDEX(Products!$AH$5:$AH$304,MATCH(E11,Products!$A$5:$A$304,0)),""))</f>
        <v>0</v>
      </c>
      <c r="V11" s="20">
        <f>IF(E11="","",IF(OR(F11="",T11=""),"",ROUND(F11*T11,2)))</f>
        <v>0</v>
      </c>
      <c r="W11" s="20">
        <f>IF(E11="","",IF(OR(F11="",U11=""),"",ROUND(F11*U11+MAX(0,IF(K11="",0,K11)-IF(J11="",0,J11)),2)))</f>
        <v>0</v>
      </c>
      <c r="X11" s="20">
        <f>IF(E11="","",IF(V11="","",ROUND(V11-W11,2)))</f>
        <v>0</v>
      </c>
      <c r="Y11" s="33">
        <f>IF(E11="","",IF(OR(V11="",V11=0),"",X11/V11))</f>
        <v>0</v>
      </c>
      <c r="Z11" s="41">
        <f>IF(E11="","",IFERROR(ROUND(F11*INDEX(Products!$X$5:$X$304,MATCH(E11,Products!$A$5:$A$304,0))/60,1),""))</f>
        <v>0</v>
      </c>
      <c r="AA11" s="20">
        <f>IF(E11="","",IF(OR(Z11="",Z11=0),"",ROUND(X11/Z11,2)))</f>
        <v>0</v>
      </c>
      <c r="AB11" s="42">
        <f>IF(E11="","",IF(V11="","",IF(AND(V11&gt;=MinOrderValue,F11&gt;=MinOrderQty),"Yes","No")))</f>
        <v>0</v>
      </c>
      <c r="AC11" s="32">
        <f>IF(B11="","",IF(I11="","",I11-B11))</f>
        <v>0</v>
      </c>
      <c r="AD11" s="43">
        <f>IF(B11="","",IF(E11="","Add - which product?",IF(X11&lt;0,"Loss - this order costs you money",IF(AND(Y11&lt;&gt;"",Y11&lt;TargetWholesaleMargin),"Low margin - the discount is too deep",IF(AND(H11&lt;&gt;"",I11="",H11&lt;TodayDate),"Overdue - not despatched",IF(AND(M11="No",I11&lt;&gt;"",TodayDate-I11&gt;30),"Chase - unpaid over 30 days",IF(AB11="No","Check - below your minimum order","OK")))))))</f>
        <v>0</v>
      </c>
    </row>
    <row r="12" spans="1:30">
      <c r="A12" s="38">
        <f>IF(B12="","",OrderPrefix&amp;TEXT(ROW()-4,"0000"))</f>
        <v>0</v>
      </c>
      <c r="B12" s="22">
        <v>46305</v>
      </c>
      <c r="C12" s="46" t="s">
        <v>1923</v>
      </c>
      <c r="D12" s="15" t="s">
        <v>1938</v>
      </c>
      <c r="E12" s="46" t="s">
        <v>1256</v>
      </c>
      <c r="F12" s="16">
        <v>10</v>
      </c>
      <c r="H12" s="22">
        <v>46319</v>
      </c>
      <c r="J12" s="18">
        <v>12</v>
      </c>
      <c r="K12" s="18">
        <v>11.2</v>
      </c>
      <c r="L12" s="39" t="s">
        <v>1939</v>
      </c>
      <c r="M12" s="47" t="s">
        <v>281</v>
      </c>
      <c r="N12" s="40" t="s">
        <v>1940</v>
      </c>
      <c r="O12" s="13">
        <f>IF(C12="","",IFERROR(INDEX('Wholesale Customers'!$B$5:$B$64,MATCH(C12,'Wholesale Customers'!$A$5:$A$64,0)),"Not found"))</f>
        <v>0</v>
      </c>
      <c r="P12" s="13">
        <f>IF(E12="","",IFERROR(INDEX(Products!$B$5:$B$304,MATCH(E12,Products!$A$5:$A$304,0)),"Not found"))</f>
        <v>0</v>
      </c>
      <c r="Q12" s="13">
        <f>IF(B12="","",TEXT(B12,"yyyy-mm"))</f>
        <v>0</v>
      </c>
      <c r="R12" s="33">
        <f>IF(C12="","",IFERROR(INDEX('Wholesale Customers'!$P$5:$P$64,MATCH(C12,'Wholesale Customers'!$A$5:$A$64,0)),WholesaleDiscount))</f>
        <v>0</v>
      </c>
      <c r="S12" s="20">
        <f>IF(E12="","",IFERROR(INDEX(Products!$AR$5:$AR$304,MATCH(E12,Products!$A$5:$A$304,0)),""))</f>
        <v>0</v>
      </c>
      <c r="T12" s="20">
        <f>IF(E12="","",IF(G12&lt;&gt;"",G12,IF(S12="","",ROUND(S12*(1-R12),2))))</f>
        <v>0</v>
      </c>
      <c r="U12" s="20">
        <f>IF(E12="","",IFERROR(INDEX(Products!$AH$5:$AH$304,MATCH(E12,Products!$A$5:$A$304,0)),""))</f>
        <v>0</v>
      </c>
      <c r="V12" s="20">
        <f>IF(E12="","",IF(OR(F12="",T12=""),"",ROUND(F12*T12,2)))</f>
        <v>0</v>
      </c>
      <c r="W12" s="20">
        <f>IF(E12="","",IF(OR(F12="",U12=""),"",ROUND(F12*U12+MAX(0,IF(K12="",0,K12)-IF(J12="",0,J12)),2)))</f>
        <v>0</v>
      </c>
      <c r="X12" s="20">
        <f>IF(E12="","",IF(V12="","",ROUND(V12-W12,2)))</f>
        <v>0</v>
      </c>
      <c r="Y12" s="33">
        <f>IF(E12="","",IF(OR(V12="",V12=0),"",X12/V12))</f>
        <v>0</v>
      </c>
      <c r="Z12" s="41">
        <f>IF(E12="","",IFERROR(ROUND(F12*INDEX(Products!$X$5:$X$304,MATCH(E12,Products!$A$5:$A$304,0))/60,1),""))</f>
        <v>0</v>
      </c>
      <c r="AA12" s="20">
        <f>IF(E12="","",IF(OR(Z12="",Z12=0),"",ROUND(X12/Z12,2)))</f>
        <v>0</v>
      </c>
      <c r="AB12" s="42">
        <f>IF(E12="","",IF(V12="","",IF(AND(V12&gt;=MinOrderValue,F12&gt;=MinOrderQty),"Yes","No")))</f>
        <v>0</v>
      </c>
      <c r="AC12" s="32">
        <f>IF(B12="","",IF(I12="","",I12-B12))</f>
        <v>0</v>
      </c>
      <c r="AD12" s="43">
        <f>IF(B12="","",IF(E12="","Add - which product?",IF(X12&lt;0,"Loss - this order costs you money",IF(AND(Y12&lt;&gt;"",Y12&lt;TargetWholesaleMargin),"Low margin - the discount is too deep",IF(AND(H12&lt;&gt;"",I12="",H12&lt;TodayDate),"Overdue - not despatched",IF(AND(M12="No",I12&lt;&gt;"",TodayDate-I12&gt;30),"Chase - unpaid over 30 days",IF(AB12="No","Check - below your minimum order","OK")))))))</f>
        <v>0</v>
      </c>
    </row>
    <row r="13" spans="1:30">
      <c r="A13" s="38">
        <f>IF(B13="","",OrderPrefix&amp;TEXT(ROW()-4,"0000"))</f>
        <v>0</v>
      </c>
      <c r="B13" s="22">
        <v>46311</v>
      </c>
      <c r="C13" s="46" t="s">
        <v>1931</v>
      </c>
      <c r="D13" s="15" t="s">
        <v>1941</v>
      </c>
      <c r="E13" s="46" t="s">
        <v>1351</v>
      </c>
      <c r="F13" s="16">
        <v>200</v>
      </c>
      <c r="G13" s="18">
        <v>7.6</v>
      </c>
      <c r="H13" s="22">
        <v>46339</v>
      </c>
      <c r="J13" s="18">
        <v>48</v>
      </c>
      <c r="K13" s="18">
        <v>52</v>
      </c>
      <c r="L13" s="39" t="s">
        <v>1942</v>
      </c>
      <c r="M13" s="47" t="s">
        <v>281</v>
      </c>
      <c r="N13" s="40" t="s">
        <v>1943</v>
      </c>
      <c r="O13" s="13">
        <f>IF(C13="","",IFERROR(INDEX('Wholesale Customers'!$B$5:$B$64,MATCH(C13,'Wholesale Customers'!$A$5:$A$64,0)),"Not found"))</f>
        <v>0</v>
      </c>
      <c r="P13" s="13">
        <f>IF(E13="","",IFERROR(INDEX(Products!$B$5:$B$304,MATCH(E13,Products!$A$5:$A$304,0)),"Not found"))</f>
        <v>0</v>
      </c>
      <c r="Q13" s="13">
        <f>IF(B13="","",TEXT(B13,"yyyy-mm"))</f>
        <v>0</v>
      </c>
      <c r="R13" s="33">
        <f>IF(C13="","",IFERROR(INDEX('Wholesale Customers'!$P$5:$P$64,MATCH(C13,'Wholesale Customers'!$A$5:$A$64,0)),WholesaleDiscount))</f>
        <v>0</v>
      </c>
      <c r="S13" s="20">
        <f>IF(E13="","",IFERROR(INDEX(Products!$AR$5:$AR$304,MATCH(E13,Products!$A$5:$A$304,0)),""))</f>
        <v>0</v>
      </c>
      <c r="T13" s="20">
        <f>IF(E13="","",IF(G13&lt;&gt;"",G13,IF(S13="","",ROUND(S13*(1-R13),2))))</f>
        <v>0</v>
      </c>
      <c r="U13" s="20">
        <f>IF(E13="","",IFERROR(INDEX(Products!$AH$5:$AH$304,MATCH(E13,Products!$A$5:$A$304,0)),""))</f>
        <v>0</v>
      </c>
      <c r="V13" s="20">
        <f>IF(E13="","",IF(OR(F13="",T13=""),"",ROUND(F13*T13,2)))</f>
        <v>0</v>
      </c>
      <c r="W13" s="20">
        <f>IF(E13="","",IF(OR(F13="",U13=""),"",ROUND(F13*U13+MAX(0,IF(K13="",0,K13)-IF(J13="",0,J13)),2)))</f>
        <v>0</v>
      </c>
      <c r="X13" s="20">
        <f>IF(E13="","",IF(V13="","",ROUND(V13-W13,2)))</f>
        <v>0</v>
      </c>
      <c r="Y13" s="33">
        <f>IF(E13="","",IF(OR(V13="",V13=0),"",X13/V13))</f>
        <v>0</v>
      </c>
      <c r="Z13" s="41">
        <f>IF(E13="","",IFERROR(ROUND(F13*INDEX(Products!$X$5:$X$304,MATCH(E13,Products!$A$5:$A$304,0))/60,1),""))</f>
        <v>0</v>
      </c>
      <c r="AA13" s="20">
        <f>IF(E13="","",IF(OR(Z13="",Z13=0),"",ROUND(X13/Z13,2)))</f>
        <v>0</v>
      </c>
      <c r="AB13" s="42">
        <f>IF(E13="","",IF(V13="","",IF(AND(V13&gt;=MinOrderValue,F13&gt;=MinOrderQty),"Yes","No")))</f>
        <v>0</v>
      </c>
      <c r="AC13" s="32">
        <f>IF(B13="","",IF(I13="","",I13-B13))</f>
        <v>0</v>
      </c>
      <c r="AD13" s="43">
        <f>IF(B13="","",IF(E13="","Add - which product?",IF(X13&lt;0,"Loss - this order costs you money",IF(AND(Y13&lt;&gt;"",Y13&lt;TargetWholesaleMargin),"Low margin - the discount is too deep",IF(AND(H13&lt;&gt;"",I13="",H13&lt;TodayDate),"Overdue - not despatched",IF(AND(M13="No",I13&lt;&gt;"",TodayDate-I13&gt;30),"Chase - unpaid over 30 days",IF(AB13="No","Check - below your minimum order","OK")))))))</f>
        <v>0</v>
      </c>
    </row>
    <row r="14" spans="1:30">
      <c r="A14" s="38">
        <f>IF(B14="","",OrderPrefix&amp;TEXT(ROW()-4,"0000"))</f>
        <v>0</v>
      </c>
      <c r="B14" s="22">
        <v>46315</v>
      </c>
      <c r="C14" s="46" t="s">
        <v>1944</v>
      </c>
      <c r="D14" s="15" t="s">
        <v>1945</v>
      </c>
      <c r="E14" s="46" t="s">
        <v>1304</v>
      </c>
      <c r="F14" s="16">
        <v>6</v>
      </c>
      <c r="H14" s="22">
        <v>46343</v>
      </c>
      <c r="J14" s="18">
        <v>0</v>
      </c>
      <c r="K14" s="18">
        <v>0</v>
      </c>
      <c r="L14" s="39" t="s">
        <v>1946</v>
      </c>
      <c r="M14" s="47" t="s">
        <v>281</v>
      </c>
      <c r="N14" s="40" t="s">
        <v>1947</v>
      </c>
      <c r="O14" s="13">
        <f>IF(C14="","",IFERROR(INDEX('Wholesale Customers'!$B$5:$B$64,MATCH(C14,'Wholesale Customers'!$A$5:$A$64,0)),"Not found"))</f>
        <v>0</v>
      </c>
      <c r="P14" s="13">
        <f>IF(E14="","",IFERROR(INDEX(Products!$B$5:$B$304,MATCH(E14,Products!$A$5:$A$304,0)),"Not found"))</f>
        <v>0</v>
      </c>
      <c r="Q14" s="13">
        <f>IF(B14="","",TEXT(B14,"yyyy-mm"))</f>
        <v>0</v>
      </c>
      <c r="R14" s="33">
        <f>IF(C14="","",IFERROR(INDEX('Wholesale Customers'!$P$5:$P$64,MATCH(C14,'Wholesale Customers'!$A$5:$A$64,0)),WholesaleDiscount))</f>
        <v>0</v>
      </c>
      <c r="S14" s="20">
        <f>IF(E14="","",IFERROR(INDEX(Products!$AR$5:$AR$304,MATCH(E14,Products!$A$5:$A$304,0)),""))</f>
        <v>0</v>
      </c>
      <c r="T14" s="20">
        <f>IF(E14="","",IF(G14&lt;&gt;"",G14,IF(S14="","",ROUND(S14*(1-R14),2))))</f>
        <v>0</v>
      </c>
      <c r="U14" s="20">
        <f>IF(E14="","",IFERROR(INDEX(Products!$AH$5:$AH$304,MATCH(E14,Products!$A$5:$A$304,0)),""))</f>
        <v>0</v>
      </c>
      <c r="V14" s="20">
        <f>IF(E14="","",IF(OR(F14="",T14=""),"",ROUND(F14*T14,2)))</f>
        <v>0</v>
      </c>
      <c r="W14" s="20">
        <f>IF(E14="","",IF(OR(F14="",U14=""),"",ROUND(F14*U14+MAX(0,IF(K14="",0,K14)-IF(J14="",0,J14)),2)))</f>
        <v>0</v>
      </c>
      <c r="X14" s="20">
        <f>IF(E14="","",IF(V14="","",ROUND(V14-W14,2)))</f>
        <v>0</v>
      </c>
      <c r="Y14" s="33">
        <f>IF(E14="","",IF(OR(V14="",V14=0),"",X14/V14))</f>
        <v>0</v>
      </c>
      <c r="Z14" s="41">
        <f>IF(E14="","",IFERROR(ROUND(F14*INDEX(Products!$X$5:$X$304,MATCH(E14,Products!$A$5:$A$304,0))/60,1),""))</f>
        <v>0</v>
      </c>
      <c r="AA14" s="20">
        <f>IF(E14="","",IF(OR(Z14="",Z14=0),"",ROUND(X14/Z14,2)))</f>
        <v>0</v>
      </c>
      <c r="AB14" s="42">
        <f>IF(E14="","",IF(V14="","",IF(AND(V14&gt;=MinOrderValue,F14&gt;=MinOrderQty),"Yes","No")))</f>
        <v>0</v>
      </c>
      <c r="AC14" s="32">
        <f>IF(B14="","",IF(I14="","",I14-B14))</f>
        <v>0</v>
      </c>
      <c r="AD14" s="43">
        <f>IF(B14="","",IF(E14="","Add - which product?",IF(X14&lt;0,"Loss - this order costs you money",IF(AND(Y14&lt;&gt;"",Y14&lt;TargetWholesaleMargin),"Low margin - the discount is too deep",IF(AND(H14&lt;&gt;"",I14="",H14&lt;TodayDate),"Overdue - not despatched",IF(AND(M14="No",I14&lt;&gt;"",TodayDate-I14&gt;30),"Chase - unpaid over 30 days",IF(AB14="No","Check - below your minimum order","OK")))))))</f>
        <v>0</v>
      </c>
    </row>
    <row r="15" spans="1:30">
      <c r="A15" s="38">
        <f>IF(B15="","",OrderPrefix&amp;TEXT(ROW()-4,"0000"))</f>
        <v>0</v>
      </c>
      <c r="O15" s="13">
        <f>IF(C15="","",IFERROR(INDEX('Wholesale Customers'!$B$5:$B$64,MATCH(C15,'Wholesale Customers'!$A$5:$A$64,0)),"Not found"))</f>
        <v>0</v>
      </c>
      <c r="P15" s="13">
        <f>IF(E15="","",IFERROR(INDEX(Products!$B$5:$B$304,MATCH(E15,Products!$A$5:$A$304,0)),"Not found"))</f>
        <v>0</v>
      </c>
      <c r="Q15" s="13">
        <f>IF(B15="","",TEXT(B15,"yyyy-mm"))</f>
        <v>0</v>
      </c>
      <c r="R15" s="33">
        <f>IF(C15="","",IFERROR(INDEX('Wholesale Customers'!$P$5:$P$64,MATCH(C15,'Wholesale Customers'!$A$5:$A$64,0)),WholesaleDiscount))</f>
        <v>0</v>
      </c>
      <c r="S15" s="20">
        <f>IF(E15="","",IFERROR(INDEX(Products!$AR$5:$AR$304,MATCH(E15,Products!$A$5:$A$304,0)),""))</f>
        <v>0</v>
      </c>
      <c r="T15" s="20">
        <f>IF(E15="","",IF(G15&lt;&gt;"",G15,IF(S15="","",ROUND(S15*(1-R15),2))))</f>
        <v>0</v>
      </c>
      <c r="U15" s="20">
        <f>IF(E15="","",IFERROR(INDEX(Products!$AH$5:$AH$304,MATCH(E15,Products!$A$5:$A$304,0)),""))</f>
        <v>0</v>
      </c>
      <c r="V15" s="20">
        <f>IF(E15="","",IF(OR(F15="",T15=""),"",ROUND(F15*T15,2)))</f>
        <v>0</v>
      </c>
      <c r="W15" s="20">
        <f>IF(E15="","",IF(OR(F15="",U15=""),"",ROUND(F15*U15+MAX(0,IF(K15="",0,K15)-IF(J15="",0,J15)),2)))</f>
        <v>0</v>
      </c>
      <c r="X15" s="20">
        <f>IF(E15="","",IF(V15="","",ROUND(V15-W15,2)))</f>
        <v>0</v>
      </c>
      <c r="Y15" s="33">
        <f>IF(E15="","",IF(OR(V15="",V15=0),"",X15/V15))</f>
        <v>0</v>
      </c>
      <c r="Z15" s="41">
        <f>IF(E15="","",IFERROR(ROUND(F15*INDEX(Products!$X$5:$X$304,MATCH(E15,Products!$A$5:$A$304,0))/60,1),""))</f>
        <v>0</v>
      </c>
      <c r="AA15" s="20">
        <f>IF(E15="","",IF(OR(Z15="",Z15=0),"",ROUND(X15/Z15,2)))</f>
        <v>0</v>
      </c>
      <c r="AB15" s="42">
        <f>IF(E15="","",IF(V15="","",IF(AND(V15&gt;=MinOrderValue,F15&gt;=MinOrderQty),"Yes","No")))</f>
        <v>0</v>
      </c>
      <c r="AC15" s="32">
        <f>IF(B15="","",IF(I15="","",I15-B15))</f>
        <v>0</v>
      </c>
      <c r="AD15" s="43">
        <f>IF(B15="","",IF(E15="","Add - which product?",IF(X15&lt;0,"Loss - this order costs you money",IF(AND(Y15&lt;&gt;"",Y15&lt;TargetWholesaleMargin),"Low margin - the discount is too deep",IF(AND(H15&lt;&gt;"",I15="",H15&lt;TodayDate),"Overdue - not despatched",IF(AND(M15="No",I15&lt;&gt;"",TodayDate-I15&gt;30),"Chase - unpaid over 30 days",IF(AB15="No","Check - below your minimum order","OK")))))))</f>
        <v>0</v>
      </c>
    </row>
    <row r="16" spans="1:30">
      <c r="A16" s="38">
        <f>IF(B16="","",OrderPrefix&amp;TEXT(ROW()-4,"0000"))</f>
        <v>0</v>
      </c>
      <c r="O16" s="13">
        <f>IF(C16="","",IFERROR(INDEX('Wholesale Customers'!$B$5:$B$64,MATCH(C16,'Wholesale Customers'!$A$5:$A$64,0)),"Not found"))</f>
        <v>0</v>
      </c>
      <c r="P16" s="13">
        <f>IF(E16="","",IFERROR(INDEX(Products!$B$5:$B$304,MATCH(E16,Products!$A$5:$A$304,0)),"Not found"))</f>
        <v>0</v>
      </c>
      <c r="Q16" s="13">
        <f>IF(B16="","",TEXT(B16,"yyyy-mm"))</f>
        <v>0</v>
      </c>
      <c r="R16" s="33">
        <f>IF(C16="","",IFERROR(INDEX('Wholesale Customers'!$P$5:$P$64,MATCH(C16,'Wholesale Customers'!$A$5:$A$64,0)),WholesaleDiscount))</f>
        <v>0</v>
      </c>
      <c r="S16" s="20">
        <f>IF(E16="","",IFERROR(INDEX(Products!$AR$5:$AR$304,MATCH(E16,Products!$A$5:$A$304,0)),""))</f>
        <v>0</v>
      </c>
      <c r="T16" s="20">
        <f>IF(E16="","",IF(G16&lt;&gt;"",G16,IF(S16="","",ROUND(S16*(1-R16),2))))</f>
        <v>0</v>
      </c>
      <c r="U16" s="20">
        <f>IF(E16="","",IFERROR(INDEX(Products!$AH$5:$AH$304,MATCH(E16,Products!$A$5:$A$304,0)),""))</f>
        <v>0</v>
      </c>
      <c r="V16" s="20">
        <f>IF(E16="","",IF(OR(F16="",T16=""),"",ROUND(F16*T16,2)))</f>
        <v>0</v>
      </c>
      <c r="W16" s="20">
        <f>IF(E16="","",IF(OR(F16="",U16=""),"",ROUND(F16*U16+MAX(0,IF(K16="",0,K16)-IF(J16="",0,J16)),2)))</f>
        <v>0</v>
      </c>
      <c r="X16" s="20">
        <f>IF(E16="","",IF(V16="","",ROUND(V16-W16,2)))</f>
        <v>0</v>
      </c>
      <c r="Y16" s="33">
        <f>IF(E16="","",IF(OR(V16="",V16=0),"",X16/V16))</f>
        <v>0</v>
      </c>
      <c r="Z16" s="41">
        <f>IF(E16="","",IFERROR(ROUND(F16*INDEX(Products!$X$5:$X$304,MATCH(E16,Products!$A$5:$A$304,0))/60,1),""))</f>
        <v>0</v>
      </c>
      <c r="AA16" s="20">
        <f>IF(E16="","",IF(OR(Z16="",Z16=0),"",ROUND(X16/Z16,2)))</f>
        <v>0</v>
      </c>
      <c r="AB16" s="42">
        <f>IF(E16="","",IF(V16="","",IF(AND(V16&gt;=MinOrderValue,F16&gt;=MinOrderQty),"Yes","No")))</f>
        <v>0</v>
      </c>
      <c r="AC16" s="32">
        <f>IF(B16="","",IF(I16="","",I16-B16))</f>
        <v>0</v>
      </c>
      <c r="AD16" s="43">
        <f>IF(B16="","",IF(E16="","Add - which product?",IF(X16&lt;0,"Loss - this order costs you money",IF(AND(Y16&lt;&gt;"",Y16&lt;TargetWholesaleMargin),"Low margin - the discount is too deep",IF(AND(H16&lt;&gt;"",I16="",H16&lt;TodayDate),"Overdue - not despatched",IF(AND(M16="No",I16&lt;&gt;"",TodayDate-I16&gt;30),"Chase - unpaid over 30 days",IF(AB16="No","Check - below your minimum order","OK")))))))</f>
        <v>0</v>
      </c>
    </row>
    <row r="17" spans="1:30">
      <c r="A17" s="38">
        <f>IF(B17="","",OrderPrefix&amp;TEXT(ROW()-4,"0000"))</f>
        <v>0</v>
      </c>
      <c r="O17" s="13">
        <f>IF(C17="","",IFERROR(INDEX('Wholesale Customers'!$B$5:$B$64,MATCH(C17,'Wholesale Customers'!$A$5:$A$64,0)),"Not found"))</f>
        <v>0</v>
      </c>
      <c r="P17" s="13">
        <f>IF(E17="","",IFERROR(INDEX(Products!$B$5:$B$304,MATCH(E17,Products!$A$5:$A$304,0)),"Not found"))</f>
        <v>0</v>
      </c>
      <c r="Q17" s="13">
        <f>IF(B17="","",TEXT(B17,"yyyy-mm"))</f>
        <v>0</v>
      </c>
      <c r="R17" s="33">
        <f>IF(C17="","",IFERROR(INDEX('Wholesale Customers'!$P$5:$P$64,MATCH(C17,'Wholesale Customers'!$A$5:$A$64,0)),WholesaleDiscount))</f>
        <v>0</v>
      </c>
      <c r="S17" s="20">
        <f>IF(E17="","",IFERROR(INDEX(Products!$AR$5:$AR$304,MATCH(E17,Products!$A$5:$A$304,0)),""))</f>
        <v>0</v>
      </c>
      <c r="T17" s="20">
        <f>IF(E17="","",IF(G17&lt;&gt;"",G17,IF(S17="","",ROUND(S17*(1-R17),2))))</f>
        <v>0</v>
      </c>
      <c r="U17" s="20">
        <f>IF(E17="","",IFERROR(INDEX(Products!$AH$5:$AH$304,MATCH(E17,Products!$A$5:$A$304,0)),""))</f>
        <v>0</v>
      </c>
      <c r="V17" s="20">
        <f>IF(E17="","",IF(OR(F17="",T17=""),"",ROUND(F17*T17,2)))</f>
        <v>0</v>
      </c>
      <c r="W17" s="20">
        <f>IF(E17="","",IF(OR(F17="",U17=""),"",ROUND(F17*U17+MAX(0,IF(K17="",0,K17)-IF(J17="",0,J17)),2)))</f>
        <v>0</v>
      </c>
      <c r="X17" s="20">
        <f>IF(E17="","",IF(V17="","",ROUND(V17-W17,2)))</f>
        <v>0</v>
      </c>
      <c r="Y17" s="33">
        <f>IF(E17="","",IF(OR(V17="",V17=0),"",X17/V17))</f>
        <v>0</v>
      </c>
      <c r="Z17" s="41">
        <f>IF(E17="","",IFERROR(ROUND(F17*INDEX(Products!$X$5:$X$304,MATCH(E17,Products!$A$5:$A$304,0))/60,1),""))</f>
        <v>0</v>
      </c>
      <c r="AA17" s="20">
        <f>IF(E17="","",IF(OR(Z17="",Z17=0),"",ROUND(X17/Z17,2)))</f>
        <v>0</v>
      </c>
      <c r="AB17" s="42">
        <f>IF(E17="","",IF(V17="","",IF(AND(V17&gt;=MinOrderValue,F17&gt;=MinOrderQty),"Yes","No")))</f>
        <v>0</v>
      </c>
      <c r="AC17" s="32">
        <f>IF(B17="","",IF(I17="","",I17-B17))</f>
        <v>0</v>
      </c>
      <c r="AD17" s="43">
        <f>IF(B17="","",IF(E17="","Add - which product?",IF(X17&lt;0,"Loss - this order costs you money",IF(AND(Y17&lt;&gt;"",Y17&lt;TargetWholesaleMargin),"Low margin - the discount is too deep",IF(AND(H17&lt;&gt;"",I17="",H17&lt;TodayDate),"Overdue - not despatched",IF(AND(M17="No",I17&lt;&gt;"",TodayDate-I17&gt;30),"Chase - unpaid over 30 days",IF(AB17="No","Check - below your minimum order","OK")))))))</f>
        <v>0</v>
      </c>
    </row>
    <row r="18" spans="1:30">
      <c r="A18" s="38">
        <f>IF(B18="","",OrderPrefix&amp;TEXT(ROW()-4,"0000"))</f>
        <v>0</v>
      </c>
      <c r="O18" s="13">
        <f>IF(C18="","",IFERROR(INDEX('Wholesale Customers'!$B$5:$B$64,MATCH(C18,'Wholesale Customers'!$A$5:$A$64,0)),"Not found"))</f>
        <v>0</v>
      </c>
      <c r="P18" s="13">
        <f>IF(E18="","",IFERROR(INDEX(Products!$B$5:$B$304,MATCH(E18,Products!$A$5:$A$304,0)),"Not found"))</f>
        <v>0</v>
      </c>
      <c r="Q18" s="13">
        <f>IF(B18="","",TEXT(B18,"yyyy-mm"))</f>
        <v>0</v>
      </c>
      <c r="R18" s="33">
        <f>IF(C18="","",IFERROR(INDEX('Wholesale Customers'!$P$5:$P$64,MATCH(C18,'Wholesale Customers'!$A$5:$A$64,0)),WholesaleDiscount))</f>
        <v>0</v>
      </c>
      <c r="S18" s="20">
        <f>IF(E18="","",IFERROR(INDEX(Products!$AR$5:$AR$304,MATCH(E18,Products!$A$5:$A$304,0)),""))</f>
        <v>0</v>
      </c>
      <c r="T18" s="20">
        <f>IF(E18="","",IF(G18&lt;&gt;"",G18,IF(S18="","",ROUND(S18*(1-R18),2))))</f>
        <v>0</v>
      </c>
      <c r="U18" s="20">
        <f>IF(E18="","",IFERROR(INDEX(Products!$AH$5:$AH$304,MATCH(E18,Products!$A$5:$A$304,0)),""))</f>
        <v>0</v>
      </c>
      <c r="V18" s="20">
        <f>IF(E18="","",IF(OR(F18="",T18=""),"",ROUND(F18*T18,2)))</f>
        <v>0</v>
      </c>
      <c r="W18" s="20">
        <f>IF(E18="","",IF(OR(F18="",U18=""),"",ROUND(F18*U18+MAX(0,IF(K18="",0,K18)-IF(J18="",0,J18)),2)))</f>
        <v>0</v>
      </c>
      <c r="X18" s="20">
        <f>IF(E18="","",IF(V18="","",ROUND(V18-W18,2)))</f>
        <v>0</v>
      </c>
      <c r="Y18" s="33">
        <f>IF(E18="","",IF(OR(V18="",V18=0),"",X18/V18))</f>
        <v>0</v>
      </c>
      <c r="Z18" s="41">
        <f>IF(E18="","",IFERROR(ROUND(F18*INDEX(Products!$X$5:$X$304,MATCH(E18,Products!$A$5:$A$304,0))/60,1),""))</f>
        <v>0</v>
      </c>
      <c r="AA18" s="20">
        <f>IF(E18="","",IF(OR(Z18="",Z18=0),"",ROUND(X18/Z18,2)))</f>
        <v>0</v>
      </c>
      <c r="AB18" s="42">
        <f>IF(E18="","",IF(V18="","",IF(AND(V18&gt;=MinOrderValue,F18&gt;=MinOrderQty),"Yes","No")))</f>
        <v>0</v>
      </c>
      <c r="AC18" s="32">
        <f>IF(B18="","",IF(I18="","",I18-B18))</f>
        <v>0</v>
      </c>
      <c r="AD18" s="43">
        <f>IF(B18="","",IF(E18="","Add - which product?",IF(X18&lt;0,"Loss - this order costs you money",IF(AND(Y18&lt;&gt;"",Y18&lt;TargetWholesaleMargin),"Low margin - the discount is too deep",IF(AND(H18&lt;&gt;"",I18="",H18&lt;TodayDate),"Overdue - not despatched",IF(AND(M18="No",I18&lt;&gt;"",TodayDate-I18&gt;30),"Chase - unpaid over 30 days",IF(AB18="No","Check - below your minimum order","OK")))))))</f>
        <v>0</v>
      </c>
    </row>
    <row r="19" spans="1:30">
      <c r="A19" s="38">
        <f>IF(B19="","",OrderPrefix&amp;TEXT(ROW()-4,"0000"))</f>
        <v>0</v>
      </c>
      <c r="O19" s="13">
        <f>IF(C19="","",IFERROR(INDEX('Wholesale Customers'!$B$5:$B$64,MATCH(C19,'Wholesale Customers'!$A$5:$A$64,0)),"Not found"))</f>
        <v>0</v>
      </c>
      <c r="P19" s="13">
        <f>IF(E19="","",IFERROR(INDEX(Products!$B$5:$B$304,MATCH(E19,Products!$A$5:$A$304,0)),"Not found"))</f>
        <v>0</v>
      </c>
      <c r="Q19" s="13">
        <f>IF(B19="","",TEXT(B19,"yyyy-mm"))</f>
        <v>0</v>
      </c>
      <c r="R19" s="33">
        <f>IF(C19="","",IFERROR(INDEX('Wholesale Customers'!$P$5:$P$64,MATCH(C19,'Wholesale Customers'!$A$5:$A$64,0)),WholesaleDiscount))</f>
        <v>0</v>
      </c>
      <c r="S19" s="20">
        <f>IF(E19="","",IFERROR(INDEX(Products!$AR$5:$AR$304,MATCH(E19,Products!$A$5:$A$304,0)),""))</f>
        <v>0</v>
      </c>
      <c r="T19" s="20">
        <f>IF(E19="","",IF(G19&lt;&gt;"",G19,IF(S19="","",ROUND(S19*(1-R19),2))))</f>
        <v>0</v>
      </c>
      <c r="U19" s="20">
        <f>IF(E19="","",IFERROR(INDEX(Products!$AH$5:$AH$304,MATCH(E19,Products!$A$5:$A$304,0)),""))</f>
        <v>0</v>
      </c>
      <c r="V19" s="20">
        <f>IF(E19="","",IF(OR(F19="",T19=""),"",ROUND(F19*T19,2)))</f>
        <v>0</v>
      </c>
      <c r="W19" s="20">
        <f>IF(E19="","",IF(OR(F19="",U19=""),"",ROUND(F19*U19+MAX(0,IF(K19="",0,K19)-IF(J19="",0,J19)),2)))</f>
        <v>0</v>
      </c>
      <c r="X19" s="20">
        <f>IF(E19="","",IF(V19="","",ROUND(V19-W19,2)))</f>
        <v>0</v>
      </c>
      <c r="Y19" s="33">
        <f>IF(E19="","",IF(OR(V19="",V19=0),"",X19/V19))</f>
        <v>0</v>
      </c>
      <c r="Z19" s="41">
        <f>IF(E19="","",IFERROR(ROUND(F19*INDEX(Products!$X$5:$X$304,MATCH(E19,Products!$A$5:$A$304,0))/60,1),""))</f>
        <v>0</v>
      </c>
      <c r="AA19" s="20">
        <f>IF(E19="","",IF(OR(Z19="",Z19=0),"",ROUND(X19/Z19,2)))</f>
        <v>0</v>
      </c>
      <c r="AB19" s="42">
        <f>IF(E19="","",IF(V19="","",IF(AND(V19&gt;=MinOrderValue,F19&gt;=MinOrderQty),"Yes","No")))</f>
        <v>0</v>
      </c>
      <c r="AC19" s="32">
        <f>IF(B19="","",IF(I19="","",I19-B19))</f>
        <v>0</v>
      </c>
      <c r="AD19" s="43">
        <f>IF(B19="","",IF(E19="","Add - which product?",IF(X19&lt;0,"Loss - this order costs you money",IF(AND(Y19&lt;&gt;"",Y19&lt;TargetWholesaleMargin),"Low margin - the discount is too deep",IF(AND(H19&lt;&gt;"",I19="",H19&lt;TodayDate),"Overdue - not despatched",IF(AND(M19="No",I19&lt;&gt;"",TodayDate-I19&gt;30),"Chase - unpaid over 30 days",IF(AB19="No","Check - below your minimum order","OK")))))))</f>
        <v>0</v>
      </c>
    </row>
    <row r="20" spans="1:30">
      <c r="A20" s="38">
        <f>IF(B20="","",OrderPrefix&amp;TEXT(ROW()-4,"0000"))</f>
        <v>0</v>
      </c>
      <c r="O20" s="13">
        <f>IF(C20="","",IFERROR(INDEX('Wholesale Customers'!$B$5:$B$64,MATCH(C20,'Wholesale Customers'!$A$5:$A$64,0)),"Not found"))</f>
        <v>0</v>
      </c>
      <c r="P20" s="13">
        <f>IF(E20="","",IFERROR(INDEX(Products!$B$5:$B$304,MATCH(E20,Products!$A$5:$A$304,0)),"Not found"))</f>
        <v>0</v>
      </c>
      <c r="Q20" s="13">
        <f>IF(B20="","",TEXT(B20,"yyyy-mm"))</f>
        <v>0</v>
      </c>
      <c r="R20" s="33">
        <f>IF(C20="","",IFERROR(INDEX('Wholesale Customers'!$P$5:$P$64,MATCH(C20,'Wholesale Customers'!$A$5:$A$64,0)),WholesaleDiscount))</f>
        <v>0</v>
      </c>
      <c r="S20" s="20">
        <f>IF(E20="","",IFERROR(INDEX(Products!$AR$5:$AR$304,MATCH(E20,Products!$A$5:$A$304,0)),""))</f>
        <v>0</v>
      </c>
      <c r="T20" s="20">
        <f>IF(E20="","",IF(G20&lt;&gt;"",G20,IF(S20="","",ROUND(S20*(1-R20),2))))</f>
        <v>0</v>
      </c>
      <c r="U20" s="20">
        <f>IF(E20="","",IFERROR(INDEX(Products!$AH$5:$AH$304,MATCH(E20,Products!$A$5:$A$304,0)),""))</f>
        <v>0</v>
      </c>
      <c r="V20" s="20">
        <f>IF(E20="","",IF(OR(F20="",T20=""),"",ROUND(F20*T20,2)))</f>
        <v>0</v>
      </c>
      <c r="W20" s="20">
        <f>IF(E20="","",IF(OR(F20="",U20=""),"",ROUND(F20*U20+MAX(0,IF(K20="",0,K20)-IF(J20="",0,J20)),2)))</f>
        <v>0</v>
      </c>
      <c r="X20" s="20">
        <f>IF(E20="","",IF(V20="","",ROUND(V20-W20,2)))</f>
        <v>0</v>
      </c>
      <c r="Y20" s="33">
        <f>IF(E20="","",IF(OR(V20="",V20=0),"",X20/V20))</f>
        <v>0</v>
      </c>
      <c r="Z20" s="41">
        <f>IF(E20="","",IFERROR(ROUND(F20*INDEX(Products!$X$5:$X$304,MATCH(E20,Products!$A$5:$A$304,0))/60,1),""))</f>
        <v>0</v>
      </c>
      <c r="AA20" s="20">
        <f>IF(E20="","",IF(OR(Z20="",Z20=0),"",ROUND(X20/Z20,2)))</f>
        <v>0</v>
      </c>
      <c r="AB20" s="42">
        <f>IF(E20="","",IF(V20="","",IF(AND(V20&gt;=MinOrderValue,F20&gt;=MinOrderQty),"Yes","No")))</f>
        <v>0</v>
      </c>
      <c r="AC20" s="32">
        <f>IF(B20="","",IF(I20="","",I20-B20))</f>
        <v>0</v>
      </c>
      <c r="AD20" s="43">
        <f>IF(B20="","",IF(E20="","Add - which product?",IF(X20&lt;0,"Loss - this order costs you money",IF(AND(Y20&lt;&gt;"",Y20&lt;TargetWholesaleMargin),"Low margin - the discount is too deep",IF(AND(H20&lt;&gt;"",I20="",H20&lt;TodayDate),"Overdue - not despatched",IF(AND(M20="No",I20&lt;&gt;"",TodayDate-I20&gt;30),"Chase - unpaid over 30 days",IF(AB20="No","Check - below your minimum order","OK")))))))</f>
        <v>0</v>
      </c>
    </row>
    <row r="21" spans="1:30">
      <c r="A21" s="38">
        <f>IF(B21="","",OrderPrefix&amp;TEXT(ROW()-4,"0000"))</f>
        <v>0</v>
      </c>
      <c r="O21" s="13">
        <f>IF(C21="","",IFERROR(INDEX('Wholesale Customers'!$B$5:$B$64,MATCH(C21,'Wholesale Customers'!$A$5:$A$64,0)),"Not found"))</f>
        <v>0</v>
      </c>
      <c r="P21" s="13">
        <f>IF(E21="","",IFERROR(INDEX(Products!$B$5:$B$304,MATCH(E21,Products!$A$5:$A$304,0)),"Not found"))</f>
        <v>0</v>
      </c>
      <c r="Q21" s="13">
        <f>IF(B21="","",TEXT(B21,"yyyy-mm"))</f>
        <v>0</v>
      </c>
      <c r="R21" s="33">
        <f>IF(C21="","",IFERROR(INDEX('Wholesale Customers'!$P$5:$P$64,MATCH(C21,'Wholesale Customers'!$A$5:$A$64,0)),WholesaleDiscount))</f>
        <v>0</v>
      </c>
      <c r="S21" s="20">
        <f>IF(E21="","",IFERROR(INDEX(Products!$AR$5:$AR$304,MATCH(E21,Products!$A$5:$A$304,0)),""))</f>
        <v>0</v>
      </c>
      <c r="T21" s="20">
        <f>IF(E21="","",IF(G21&lt;&gt;"",G21,IF(S21="","",ROUND(S21*(1-R21),2))))</f>
        <v>0</v>
      </c>
      <c r="U21" s="20">
        <f>IF(E21="","",IFERROR(INDEX(Products!$AH$5:$AH$304,MATCH(E21,Products!$A$5:$A$304,0)),""))</f>
        <v>0</v>
      </c>
      <c r="V21" s="20">
        <f>IF(E21="","",IF(OR(F21="",T21=""),"",ROUND(F21*T21,2)))</f>
        <v>0</v>
      </c>
      <c r="W21" s="20">
        <f>IF(E21="","",IF(OR(F21="",U21=""),"",ROUND(F21*U21+MAX(0,IF(K21="",0,K21)-IF(J21="",0,J21)),2)))</f>
        <v>0</v>
      </c>
      <c r="X21" s="20">
        <f>IF(E21="","",IF(V21="","",ROUND(V21-W21,2)))</f>
        <v>0</v>
      </c>
      <c r="Y21" s="33">
        <f>IF(E21="","",IF(OR(V21="",V21=0),"",X21/V21))</f>
        <v>0</v>
      </c>
      <c r="Z21" s="41">
        <f>IF(E21="","",IFERROR(ROUND(F21*INDEX(Products!$X$5:$X$304,MATCH(E21,Products!$A$5:$A$304,0))/60,1),""))</f>
        <v>0</v>
      </c>
      <c r="AA21" s="20">
        <f>IF(E21="","",IF(OR(Z21="",Z21=0),"",ROUND(X21/Z21,2)))</f>
        <v>0</v>
      </c>
      <c r="AB21" s="42">
        <f>IF(E21="","",IF(V21="","",IF(AND(V21&gt;=MinOrderValue,F21&gt;=MinOrderQty),"Yes","No")))</f>
        <v>0</v>
      </c>
      <c r="AC21" s="32">
        <f>IF(B21="","",IF(I21="","",I21-B21))</f>
        <v>0</v>
      </c>
      <c r="AD21" s="43">
        <f>IF(B21="","",IF(E21="","Add - which product?",IF(X21&lt;0,"Loss - this order costs you money",IF(AND(Y21&lt;&gt;"",Y21&lt;TargetWholesaleMargin),"Low margin - the discount is too deep",IF(AND(H21&lt;&gt;"",I21="",H21&lt;TodayDate),"Overdue - not despatched",IF(AND(M21="No",I21&lt;&gt;"",TodayDate-I21&gt;30),"Chase - unpaid over 30 days",IF(AB21="No","Check - below your minimum order","OK")))))))</f>
        <v>0</v>
      </c>
    </row>
    <row r="22" spans="1:30">
      <c r="A22" s="38">
        <f>IF(B22="","",OrderPrefix&amp;TEXT(ROW()-4,"0000"))</f>
        <v>0</v>
      </c>
      <c r="O22" s="13">
        <f>IF(C22="","",IFERROR(INDEX('Wholesale Customers'!$B$5:$B$64,MATCH(C22,'Wholesale Customers'!$A$5:$A$64,0)),"Not found"))</f>
        <v>0</v>
      </c>
      <c r="P22" s="13">
        <f>IF(E22="","",IFERROR(INDEX(Products!$B$5:$B$304,MATCH(E22,Products!$A$5:$A$304,0)),"Not found"))</f>
        <v>0</v>
      </c>
      <c r="Q22" s="13">
        <f>IF(B22="","",TEXT(B22,"yyyy-mm"))</f>
        <v>0</v>
      </c>
      <c r="R22" s="33">
        <f>IF(C22="","",IFERROR(INDEX('Wholesale Customers'!$P$5:$P$64,MATCH(C22,'Wholesale Customers'!$A$5:$A$64,0)),WholesaleDiscount))</f>
        <v>0</v>
      </c>
      <c r="S22" s="20">
        <f>IF(E22="","",IFERROR(INDEX(Products!$AR$5:$AR$304,MATCH(E22,Products!$A$5:$A$304,0)),""))</f>
        <v>0</v>
      </c>
      <c r="T22" s="20">
        <f>IF(E22="","",IF(G22&lt;&gt;"",G22,IF(S22="","",ROUND(S22*(1-R22),2))))</f>
        <v>0</v>
      </c>
      <c r="U22" s="20">
        <f>IF(E22="","",IFERROR(INDEX(Products!$AH$5:$AH$304,MATCH(E22,Products!$A$5:$A$304,0)),""))</f>
        <v>0</v>
      </c>
      <c r="V22" s="20">
        <f>IF(E22="","",IF(OR(F22="",T22=""),"",ROUND(F22*T22,2)))</f>
        <v>0</v>
      </c>
      <c r="W22" s="20">
        <f>IF(E22="","",IF(OR(F22="",U22=""),"",ROUND(F22*U22+MAX(0,IF(K22="",0,K22)-IF(J22="",0,J22)),2)))</f>
        <v>0</v>
      </c>
      <c r="X22" s="20">
        <f>IF(E22="","",IF(V22="","",ROUND(V22-W22,2)))</f>
        <v>0</v>
      </c>
      <c r="Y22" s="33">
        <f>IF(E22="","",IF(OR(V22="",V22=0),"",X22/V22))</f>
        <v>0</v>
      </c>
      <c r="Z22" s="41">
        <f>IF(E22="","",IFERROR(ROUND(F22*INDEX(Products!$X$5:$X$304,MATCH(E22,Products!$A$5:$A$304,0))/60,1),""))</f>
        <v>0</v>
      </c>
      <c r="AA22" s="20">
        <f>IF(E22="","",IF(OR(Z22="",Z22=0),"",ROUND(X22/Z22,2)))</f>
        <v>0</v>
      </c>
      <c r="AB22" s="42">
        <f>IF(E22="","",IF(V22="","",IF(AND(V22&gt;=MinOrderValue,F22&gt;=MinOrderQty),"Yes","No")))</f>
        <v>0</v>
      </c>
      <c r="AC22" s="32">
        <f>IF(B22="","",IF(I22="","",I22-B22))</f>
        <v>0</v>
      </c>
      <c r="AD22" s="43">
        <f>IF(B22="","",IF(E22="","Add - which product?",IF(X22&lt;0,"Loss - this order costs you money",IF(AND(Y22&lt;&gt;"",Y22&lt;TargetWholesaleMargin),"Low margin - the discount is too deep",IF(AND(H22&lt;&gt;"",I22="",H22&lt;TodayDate),"Overdue - not despatched",IF(AND(M22="No",I22&lt;&gt;"",TodayDate-I22&gt;30),"Chase - unpaid over 30 days",IF(AB22="No","Check - below your minimum order","OK")))))))</f>
        <v>0</v>
      </c>
    </row>
    <row r="23" spans="1:30">
      <c r="A23" s="38">
        <f>IF(B23="","",OrderPrefix&amp;TEXT(ROW()-4,"0000"))</f>
        <v>0</v>
      </c>
      <c r="O23" s="13">
        <f>IF(C23="","",IFERROR(INDEX('Wholesale Customers'!$B$5:$B$64,MATCH(C23,'Wholesale Customers'!$A$5:$A$64,0)),"Not found"))</f>
        <v>0</v>
      </c>
      <c r="P23" s="13">
        <f>IF(E23="","",IFERROR(INDEX(Products!$B$5:$B$304,MATCH(E23,Products!$A$5:$A$304,0)),"Not found"))</f>
        <v>0</v>
      </c>
      <c r="Q23" s="13">
        <f>IF(B23="","",TEXT(B23,"yyyy-mm"))</f>
        <v>0</v>
      </c>
      <c r="R23" s="33">
        <f>IF(C23="","",IFERROR(INDEX('Wholesale Customers'!$P$5:$P$64,MATCH(C23,'Wholesale Customers'!$A$5:$A$64,0)),WholesaleDiscount))</f>
        <v>0</v>
      </c>
      <c r="S23" s="20">
        <f>IF(E23="","",IFERROR(INDEX(Products!$AR$5:$AR$304,MATCH(E23,Products!$A$5:$A$304,0)),""))</f>
        <v>0</v>
      </c>
      <c r="T23" s="20">
        <f>IF(E23="","",IF(G23&lt;&gt;"",G23,IF(S23="","",ROUND(S23*(1-R23),2))))</f>
        <v>0</v>
      </c>
      <c r="U23" s="20">
        <f>IF(E23="","",IFERROR(INDEX(Products!$AH$5:$AH$304,MATCH(E23,Products!$A$5:$A$304,0)),""))</f>
        <v>0</v>
      </c>
      <c r="V23" s="20">
        <f>IF(E23="","",IF(OR(F23="",T23=""),"",ROUND(F23*T23,2)))</f>
        <v>0</v>
      </c>
      <c r="W23" s="20">
        <f>IF(E23="","",IF(OR(F23="",U23=""),"",ROUND(F23*U23+MAX(0,IF(K23="",0,K23)-IF(J23="",0,J23)),2)))</f>
        <v>0</v>
      </c>
      <c r="X23" s="20">
        <f>IF(E23="","",IF(V23="","",ROUND(V23-W23,2)))</f>
        <v>0</v>
      </c>
      <c r="Y23" s="33">
        <f>IF(E23="","",IF(OR(V23="",V23=0),"",X23/V23))</f>
        <v>0</v>
      </c>
      <c r="Z23" s="41">
        <f>IF(E23="","",IFERROR(ROUND(F23*INDEX(Products!$X$5:$X$304,MATCH(E23,Products!$A$5:$A$304,0))/60,1),""))</f>
        <v>0</v>
      </c>
      <c r="AA23" s="20">
        <f>IF(E23="","",IF(OR(Z23="",Z23=0),"",ROUND(X23/Z23,2)))</f>
        <v>0</v>
      </c>
      <c r="AB23" s="42">
        <f>IF(E23="","",IF(V23="","",IF(AND(V23&gt;=MinOrderValue,F23&gt;=MinOrderQty),"Yes","No")))</f>
        <v>0</v>
      </c>
      <c r="AC23" s="32">
        <f>IF(B23="","",IF(I23="","",I23-B23))</f>
        <v>0</v>
      </c>
      <c r="AD23" s="43">
        <f>IF(B23="","",IF(E23="","Add - which product?",IF(X23&lt;0,"Loss - this order costs you money",IF(AND(Y23&lt;&gt;"",Y23&lt;TargetWholesaleMargin),"Low margin - the discount is too deep",IF(AND(H23&lt;&gt;"",I23="",H23&lt;TodayDate),"Overdue - not despatched",IF(AND(M23="No",I23&lt;&gt;"",TodayDate-I23&gt;30),"Chase - unpaid over 30 days",IF(AB23="No","Check - below your minimum order","OK")))))))</f>
        <v>0</v>
      </c>
    </row>
    <row r="24" spans="1:30">
      <c r="A24" s="38">
        <f>IF(B24="","",OrderPrefix&amp;TEXT(ROW()-4,"0000"))</f>
        <v>0</v>
      </c>
      <c r="O24" s="13">
        <f>IF(C24="","",IFERROR(INDEX('Wholesale Customers'!$B$5:$B$64,MATCH(C24,'Wholesale Customers'!$A$5:$A$64,0)),"Not found"))</f>
        <v>0</v>
      </c>
      <c r="P24" s="13">
        <f>IF(E24="","",IFERROR(INDEX(Products!$B$5:$B$304,MATCH(E24,Products!$A$5:$A$304,0)),"Not found"))</f>
        <v>0</v>
      </c>
      <c r="Q24" s="13">
        <f>IF(B24="","",TEXT(B24,"yyyy-mm"))</f>
        <v>0</v>
      </c>
      <c r="R24" s="33">
        <f>IF(C24="","",IFERROR(INDEX('Wholesale Customers'!$P$5:$P$64,MATCH(C24,'Wholesale Customers'!$A$5:$A$64,0)),WholesaleDiscount))</f>
        <v>0</v>
      </c>
      <c r="S24" s="20">
        <f>IF(E24="","",IFERROR(INDEX(Products!$AR$5:$AR$304,MATCH(E24,Products!$A$5:$A$304,0)),""))</f>
        <v>0</v>
      </c>
      <c r="T24" s="20">
        <f>IF(E24="","",IF(G24&lt;&gt;"",G24,IF(S24="","",ROUND(S24*(1-R24),2))))</f>
        <v>0</v>
      </c>
      <c r="U24" s="20">
        <f>IF(E24="","",IFERROR(INDEX(Products!$AH$5:$AH$304,MATCH(E24,Products!$A$5:$A$304,0)),""))</f>
        <v>0</v>
      </c>
      <c r="V24" s="20">
        <f>IF(E24="","",IF(OR(F24="",T24=""),"",ROUND(F24*T24,2)))</f>
        <v>0</v>
      </c>
      <c r="W24" s="20">
        <f>IF(E24="","",IF(OR(F24="",U24=""),"",ROUND(F24*U24+MAX(0,IF(K24="",0,K24)-IF(J24="",0,J24)),2)))</f>
        <v>0</v>
      </c>
      <c r="X24" s="20">
        <f>IF(E24="","",IF(V24="","",ROUND(V24-W24,2)))</f>
        <v>0</v>
      </c>
      <c r="Y24" s="33">
        <f>IF(E24="","",IF(OR(V24="",V24=0),"",X24/V24))</f>
        <v>0</v>
      </c>
      <c r="Z24" s="41">
        <f>IF(E24="","",IFERROR(ROUND(F24*INDEX(Products!$X$5:$X$304,MATCH(E24,Products!$A$5:$A$304,0))/60,1),""))</f>
        <v>0</v>
      </c>
      <c r="AA24" s="20">
        <f>IF(E24="","",IF(OR(Z24="",Z24=0),"",ROUND(X24/Z24,2)))</f>
        <v>0</v>
      </c>
      <c r="AB24" s="42">
        <f>IF(E24="","",IF(V24="","",IF(AND(V24&gt;=MinOrderValue,F24&gt;=MinOrderQty),"Yes","No")))</f>
        <v>0</v>
      </c>
      <c r="AC24" s="32">
        <f>IF(B24="","",IF(I24="","",I24-B24))</f>
        <v>0</v>
      </c>
      <c r="AD24" s="43">
        <f>IF(B24="","",IF(E24="","Add - which product?",IF(X24&lt;0,"Loss - this order costs you money",IF(AND(Y24&lt;&gt;"",Y24&lt;TargetWholesaleMargin),"Low margin - the discount is too deep",IF(AND(H24&lt;&gt;"",I24="",H24&lt;TodayDate),"Overdue - not despatched",IF(AND(M24="No",I24&lt;&gt;"",TodayDate-I24&gt;30),"Chase - unpaid over 30 days",IF(AB24="No","Check - below your minimum order","OK")))))))</f>
        <v>0</v>
      </c>
    </row>
    <row r="25" spans="1:30">
      <c r="A25" s="38">
        <f>IF(B25="","",OrderPrefix&amp;TEXT(ROW()-4,"0000"))</f>
        <v>0</v>
      </c>
      <c r="O25" s="13">
        <f>IF(C25="","",IFERROR(INDEX('Wholesale Customers'!$B$5:$B$64,MATCH(C25,'Wholesale Customers'!$A$5:$A$64,0)),"Not found"))</f>
        <v>0</v>
      </c>
      <c r="P25" s="13">
        <f>IF(E25="","",IFERROR(INDEX(Products!$B$5:$B$304,MATCH(E25,Products!$A$5:$A$304,0)),"Not found"))</f>
        <v>0</v>
      </c>
      <c r="Q25" s="13">
        <f>IF(B25="","",TEXT(B25,"yyyy-mm"))</f>
        <v>0</v>
      </c>
      <c r="R25" s="33">
        <f>IF(C25="","",IFERROR(INDEX('Wholesale Customers'!$P$5:$P$64,MATCH(C25,'Wholesale Customers'!$A$5:$A$64,0)),WholesaleDiscount))</f>
        <v>0</v>
      </c>
      <c r="S25" s="20">
        <f>IF(E25="","",IFERROR(INDEX(Products!$AR$5:$AR$304,MATCH(E25,Products!$A$5:$A$304,0)),""))</f>
        <v>0</v>
      </c>
      <c r="T25" s="20">
        <f>IF(E25="","",IF(G25&lt;&gt;"",G25,IF(S25="","",ROUND(S25*(1-R25),2))))</f>
        <v>0</v>
      </c>
      <c r="U25" s="20">
        <f>IF(E25="","",IFERROR(INDEX(Products!$AH$5:$AH$304,MATCH(E25,Products!$A$5:$A$304,0)),""))</f>
        <v>0</v>
      </c>
      <c r="V25" s="20">
        <f>IF(E25="","",IF(OR(F25="",T25=""),"",ROUND(F25*T25,2)))</f>
        <v>0</v>
      </c>
      <c r="W25" s="20">
        <f>IF(E25="","",IF(OR(F25="",U25=""),"",ROUND(F25*U25+MAX(0,IF(K25="",0,K25)-IF(J25="",0,J25)),2)))</f>
        <v>0</v>
      </c>
      <c r="X25" s="20">
        <f>IF(E25="","",IF(V25="","",ROUND(V25-W25,2)))</f>
        <v>0</v>
      </c>
      <c r="Y25" s="33">
        <f>IF(E25="","",IF(OR(V25="",V25=0),"",X25/V25))</f>
        <v>0</v>
      </c>
      <c r="Z25" s="41">
        <f>IF(E25="","",IFERROR(ROUND(F25*INDEX(Products!$X$5:$X$304,MATCH(E25,Products!$A$5:$A$304,0))/60,1),""))</f>
        <v>0</v>
      </c>
      <c r="AA25" s="20">
        <f>IF(E25="","",IF(OR(Z25="",Z25=0),"",ROUND(X25/Z25,2)))</f>
        <v>0</v>
      </c>
      <c r="AB25" s="42">
        <f>IF(E25="","",IF(V25="","",IF(AND(V25&gt;=MinOrderValue,F25&gt;=MinOrderQty),"Yes","No")))</f>
        <v>0</v>
      </c>
      <c r="AC25" s="32">
        <f>IF(B25="","",IF(I25="","",I25-B25))</f>
        <v>0</v>
      </c>
      <c r="AD25" s="43">
        <f>IF(B25="","",IF(E25="","Add - which product?",IF(X25&lt;0,"Loss - this order costs you money",IF(AND(Y25&lt;&gt;"",Y25&lt;TargetWholesaleMargin),"Low margin - the discount is too deep",IF(AND(H25&lt;&gt;"",I25="",H25&lt;TodayDate),"Overdue - not despatched",IF(AND(M25="No",I25&lt;&gt;"",TodayDate-I25&gt;30),"Chase - unpaid over 30 days",IF(AB25="No","Check - below your minimum order","OK")))))))</f>
        <v>0</v>
      </c>
    </row>
    <row r="26" spans="1:30">
      <c r="A26" s="38">
        <f>IF(B26="","",OrderPrefix&amp;TEXT(ROW()-4,"0000"))</f>
        <v>0</v>
      </c>
      <c r="O26" s="13">
        <f>IF(C26="","",IFERROR(INDEX('Wholesale Customers'!$B$5:$B$64,MATCH(C26,'Wholesale Customers'!$A$5:$A$64,0)),"Not found"))</f>
        <v>0</v>
      </c>
      <c r="P26" s="13">
        <f>IF(E26="","",IFERROR(INDEX(Products!$B$5:$B$304,MATCH(E26,Products!$A$5:$A$304,0)),"Not found"))</f>
        <v>0</v>
      </c>
      <c r="Q26" s="13">
        <f>IF(B26="","",TEXT(B26,"yyyy-mm"))</f>
        <v>0</v>
      </c>
      <c r="R26" s="33">
        <f>IF(C26="","",IFERROR(INDEX('Wholesale Customers'!$P$5:$P$64,MATCH(C26,'Wholesale Customers'!$A$5:$A$64,0)),WholesaleDiscount))</f>
        <v>0</v>
      </c>
      <c r="S26" s="20">
        <f>IF(E26="","",IFERROR(INDEX(Products!$AR$5:$AR$304,MATCH(E26,Products!$A$5:$A$304,0)),""))</f>
        <v>0</v>
      </c>
      <c r="T26" s="20">
        <f>IF(E26="","",IF(G26&lt;&gt;"",G26,IF(S26="","",ROUND(S26*(1-R26),2))))</f>
        <v>0</v>
      </c>
      <c r="U26" s="20">
        <f>IF(E26="","",IFERROR(INDEX(Products!$AH$5:$AH$304,MATCH(E26,Products!$A$5:$A$304,0)),""))</f>
        <v>0</v>
      </c>
      <c r="V26" s="20">
        <f>IF(E26="","",IF(OR(F26="",T26=""),"",ROUND(F26*T26,2)))</f>
        <v>0</v>
      </c>
      <c r="W26" s="20">
        <f>IF(E26="","",IF(OR(F26="",U26=""),"",ROUND(F26*U26+MAX(0,IF(K26="",0,K26)-IF(J26="",0,J26)),2)))</f>
        <v>0</v>
      </c>
      <c r="X26" s="20">
        <f>IF(E26="","",IF(V26="","",ROUND(V26-W26,2)))</f>
        <v>0</v>
      </c>
      <c r="Y26" s="33">
        <f>IF(E26="","",IF(OR(V26="",V26=0),"",X26/V26))</f>
        <v>0</v>
      </c>
      <c r="Z26" s="41">
        <f>IF(E26="","",IFERROR(ROUND(F26*INDEX(Products!$X$5:$X$304,MATCH(E26,Products!$A$5:$A$304,0))/60,1),""))</f>
        <v>0</v>
      </c>
      <c r="AA26" s="20">
        <f>IF(E26="","",IF(OR(Z26="",Z26=0),"",ROUND(X26/Z26,2)))</f>
        <v>0</v>
      </c>
      <c r="AB26" s="42">
        <f>IF(E26="","",IF(V26="","",IF(AND(V26&gt;=MinOrderValue,F26&gt;=MinOrderQty),"Yes","No")))</f>
        <v>0</v>
      </c>
      <c r="AC26" s="32">
        <f>IF(B26="","",IF(I26="","",I26-B26))</f>
        <v>0</v>
      </c>
      <c r="AD26" s="43">
        <f>IF(B26="","",IF(E26="","Add - which product?",IF(X26&lt;0,"Loss - this order costs you money",IF(AND(Y26&lt;&gt;"",Y26&lt;TargetWholesaleMargin),"Low margin - the discount is too deep",IF(AND(H26&lt;&gt;"",I26="",H26&lt;TodayDate),"Overdue - not despatched",IF(AND(M26="No",I26&lt;&gt;"",TodayDate-I26&gt;30),"Chase - unpaid over 30 days",IF(AB26="No","Check - below your minimum order","OK")))))))</f>
        <v>0</v>
      </c>
    </row>
    <row r="27" spans="1:30">
      <c r="A27" s="38">
        <f>IF(B27="","",OrderPrefix&amp;TEXT(ROW()-4,"0000"))</f>
        <v>0</v>
      </c>
      <c r="O27" s="13">
        <f>IF(C27="","",IFERROR(INDEX('Wholesale Customers'!$B$5:$B$64,MATCH(C27,'Wholesale Customers'!$A$5:$A$64,0)),"Not found"))</f>
        <v>0</v>
      </c>
      <c r="P27" s="13">
        <f>IF(E27="","",IFERROR(INDEX(Products!$B$5:$B$304,MATCH(E27,Products!$A$5:$A$304,0)),"Not found"))</f>
        <v>0</v>
      </c>
      <c r="Q27" s="13">
        <f>IF(B27="","",TEXT(B27,"yyyy-mm"))</f>
        <v>0</v>
      </c>
      <c r="R27" s="33">
        <f>IF(C27="","",IFERROR(INDEX('Wholesale Customers'!$P$5:$P$64,MATCH(C27,'Wholesale Customers'!$A$5:$A$64,0)),WholesaleDiscount))</f>
        <v>0</v>
      </c>
      <c r="S27" s="20">
        <f>IF(E27="","",IFERROR(INDEX(Products!$AR$5:$AR$304,MATCH(E27,Products!$A$5:$A$304,0)),""))</f>
        <v>0</v>
      </c>
      <c r="T27" s="20">
        <f>IF(E27="","",IF(G27&lt;&gt;"",G27,IF(S27="","",ROUND(S27*(1-R27),2))))</f>
        <v>0</v>
      </c>
      <c r="U27" s="20">
        <f>IF(E27="","",IFERROR(INDEX(Products!$AH$5:$AH$304,MATCH(E27,Products!$A$5:$A$304,0)),""))</f>
        <v>0</v>
      </c>
      <c r="V27" s="20">
        <f>IF(E27="","",IF(OR(F27="",T27=""),"",ROUND(F27*T27,2)))</f>
        <v>0</v>
      </c>
      <c r="W27" s="20">
        <f>IF(E27="","",IF(OR(F27="",U27=""),"",ROUND(F27*U27+MAX(0,IF(K27="",0,K27)-IF(J27="",0,J27)),2)))</f>
        <v>0</v>
      </c>
      <c r="X27" s="20">
        <f>IF(E27="","",IF(V27="","",ROUND(V27-W27,2)))</f>
        <v>0</v>
      </c>
      <c r="Y27" s="33">
        <f>IF(E27="","",IF(OR(V27="",V27=0),"",X27/V27))</f>
        <v>0</v>
      </c>
      <c r="Z27" s="41">
        <f>IF(E27="","",IFERROR(ROUND(F27*INDEX(Products!$X$5:$X$304,MATCH(E27,Products!$A$5:$A$304,0))/60,1),""))</f>
        <v>0</v>
      </c>
      <c r="AA27" s="20">
        <f>IF(E27="","",IF(OR(Z27="",Z27=0),"",ROUND(X27/Z27,2)))</f>
        <v>0</v>
      </c>
      <c r="AB27" s="42">
        <f>IF(E27="","",IF(V27="","",IF(AND(V27&gt;=MinOrderValue,F27&gt;=MinOrderQty),"Yes","No")))</f>
        <v>0</v>
      </c>
      <c r="AC27" s="32">
        <f>IF(B27="","",IF(I27="","",I27-B27))</f>
        <v>0</v>
      </c>
      <c r="AD27" s="43">
        <f>IF(B27="","",IF(E27="","Add - which product?",IF(X27&lt;0,"Loss - this order costs you money",IF(AND(Y27&lt;&gt;"",Y27&lt;TargetWholesaleMargin),"Low margin - the discount is too deep",IF(AND(H27&lt;&gt;"",I27="",H27&lt;TodayDate),"Overdue - not despatched",IF(AND(M27="No",I27&lt;&gt;"",TodayDate-I27&gt;30),"Chase - unpaid over 30 days",IF(AB27="No","Check - below your minimum order","OK")))))))</f>
        <v>0</v>
      </c>
    </row>
    <row r="28" spans="1:30">
      <c r="A28" s="38">
        <f>IF(B28="","",OrderPrefix&amp;TEXT(ROW()-4,"0000"))</f>
        <v>0</v>
      </c>
      <c r="O28" s="13">
        <f>IF(C28="","",IFERROR(INDEX('Wholesale Customers'!$B$5:$B$64,MATCH(C28,'Wholesale Customers'!$A$5:$A$64,0)),"Not found"))</f>
        <v>0</v>
      </c>
      <c r="P28" s="13">
        <f>IF(E28="","",IFERROR(INDEX(Products!$B$5:$B$304,MATCH(E28,Products!$A$5:$A$304,0)),"Not found"))</f>
        <v>0</v>
      </c>
      <c r="Q28" s="13">
        <f>IF(B28="","",TEXT(B28,"yyyy-mm"))</f>
        <v>0</v>
      </c>
      <c r="R28" s="33">
        <f>IF(C28="","",IFERROR(INDEX('Wholesale Customers'!$P$5:$P$64,MATCH(C28,'Wholesale Customers'!$A$5:$A$64,0)),WholesaleDiscount))</f>
        <v>0</v>
      </c>
      <c r="S28" s="20">
        <f>IF(E28="","",IFERROR(INDEX(Products!$AR$5:$AR$304,MATCH(E28,Products!$A$5:$A$304,0)),""))</f>
        <v>0</v>
      </c>
      <c r="T28" s="20">
        <f>IF(E28="","",IF(G28&lt;&gt;"",G28,IF(S28="","",ROUND(S28*(1-R28),2))))</f>
        <v>0</v>
      </c>
      <c r="U28" s="20">
        <f>IF(E28="","",IFERROR(INDEX(Products!$AH$5:$AH$304,MATCH(E28,Products!$A$5:$A$304,0)),""))</f>
        <v>0</v>
      </c>
      <c r="V28" s="20">
        <f>IF(E28="","",IF(OR(F28="",T28=""),"",ROUND(F28*T28,2)))</f>
        <v>0</v>
      </c>
      <c r="W28" s="20">
        <f>IF(E28="","",IF(OR(F28="",U28=""),"",ROUND(F28*U28+MAX(0,IF(K28="",0,K28)-IF(J28="",0,J28)),2)))</f>
        <v>0</v>
      </c>
      <c r="X28" s="20">
        <f>IF(E28="","",IF(V28="","",ROUND(V28-W28,2)))</f>
        <v>0</v>
      </c>
      <c r="Y28" s="33">
        <f>IF(E28="","",IF(OR(V28="",V28=0),"",X28/V28))</f>
        <v>0</v>
      </c>
      <c r="Z28" s="41">
        <f>IF(E28="","",IFERROR(ROUND(F28*INDEX(Products!$X$5:$X$304,MATCH(E28,Products!$A$5:$A$304,0))/60,1),""))</f>
        <v>0</v>
      </c>
      <c r="AA28" s="20">
        <f>IF(E28="","",IF(OR(Z28="",Z28=0),"",ROUND(X28/Z28,2)))</f>
        <v>0</v>
      </c>
      <c r="AB28" s="42">
        <f>IF(E28="","",IF(V28="","",IF(AND(V28&gt;=MinOrderValue,F28&gt;=MinOrderQty),"Yes","No")))</f>
        <v>0</v>
      </c>
      <c r="AC28" s="32">
        <f>IF(B28="","",IF(I28="","",I28-B28))</f>
        <v>0</v>
      </c>
      <c r="AD28" s="43">
        <f>IF(B28="","",IF(E28="","Add - which product?",IF(X28&lt;0,"Loss - this order costs you money",IF(AND(Y28&lt;&gt;"",Y28&lt;TargetWholesaleMargin),"Low margin - the discount is too deep",IF(AND(H28&lt;&gt;"",I28="",H28&lt;TodayDate),"Overdue - not despatched",IF(AND(M28="No",I28&lt;&gt;"",TodayDate-I28&gt;30),"Chase - unpaid over 30 days",IF(AB28="No","Check - below your minimum order","OK")))))))</f>
        <v>0</v>
      </c>
    </row>
    <row r="29" spans="1:30">
      <c r="A29" s="38">
        <f>IF(B29="","",OrderPrefix&amp;TEXT(ROW()-4,"0000"))</f>
        <v>0</v>
      </c>
      <c r="O29" s="13">
        <f>IF(C29="","",IFERROR(INDEX('Wholesale Customers'!$B$5:$B$64,MATCH(C29,'Wholesale Customers'!$A$5:$A$64,0)),"Not found"))</f>
        <v>0</v>
      </c>
      <c r="P29" s="13">
        <f>IF(E29="","",IFERROR(INDEX(Products!$B$5:$B$304,MATCH(E29,Products!$A$5:$A$304,0)),"Not found"))</f>
        <v>0</v>
      </c>
      <c r="Q29" s="13">
        <f>IF(B29="","",TEXT(B29,"yyyy-mm"))</f>
        <v>0</v>
      </c>
      <c r="R29" s="33">
        <f>IF(C29="","",IFERROR(INDEX('Wholesale Customers'!$P$5:$P$64,MATCH(C29,'Wholesale Customers'!$A$5:$A$64,0)),WholesaleDiscount))</f>
        <v>0</v>
      </c>
      <c r="S29" s="20">
        <f>IF(E29="","",IFERROR(INDEX(Products!$AR$5:$AR$304,MATCH(E29,Products!$A$5:$A$304,0)),""))</f>
        <v>0</v>
      </c>
      <c r="T29" s="20">
        <f>IF(E29="","",IF(G29&lt;&gt;"",G29,IF(S29="","",ROUND(S29*(1-R29),2))))</f>
        <v>0</v>
      </c>
      <c r="U29" s="20">
        <f>IF(E29="","",IFERROR(INDEX(Products!$AH$5:$AH$304,MATCH(E29,Products!$A$5:$A$304,0)),""))</f>
        <v>0</v>
      </c>
      <c r="V29" s="20">
        <f>IF(E29="","",IF(OR(F29="",T29=""),"",ROUND(F29*T29,2)))</f>
        <v>0</v>
      </c>
      <c r="W29" s="20">
        <f>IF(E29="","",IF(OR(F29="",U29=""),"",ROUND(F29*U29+MAX(0,IF(K29="",0,K29)-IF(J29="",0,J29)),2)))</f>
        <v>0</v>
      </c>
      <c r="X29" s="20">
        <f>IF(E29="","",IF(V29="","",ROUND(V29-W29,2)))</f>
        <v>0</v>
      </c>
      <c r="Y29" s="33">
        <f>IF(E29="","",IF(OR(V29="",V29=0),"",X29/V29))</f>
        <v>0</v>
      </c>
      <c r="Z29" s="41">
        <f>IF(E29="","",IFERROR(ROUND(F29*INDEX(Products!$X$5:$X$304,MATCH(E29,Products!$A$5:$A$304,0))/60,1),""))</f>
        <v>0</v>
      </c>
      <c r="AA29" s="20">
        <f>IF(E29="","",IF(OR(Z29="",Z29=0),"",ROUND(X29/Z29,2)))</f>
        <v>0</v>
      </c>
      <c r="AB29" s="42">
        <f>IF(E29="","",IF(V29="","",IF(AND(V29&gt;=MinOrderValue,F29&gt;=MinOrderQty),"Yes","No")))</f>
        <v>0</v>
      </c>
      <c r="AC29" s="32">
        <f>IF(B29="","",IF(I29="","",I29-B29))</f>
        <v>0</v>
      </c>
      <c r="AD29" s="43">
        <f>IF(B29="","",IF(E29="","Add - which product?",IF(X29&lt;0,"Loss - this order costs you money",IF(AND(Y29&lt;&gt;"",Y29&lt;TargetWholesaleMargin),"Low margin - the discount is too deep",IF(AND(H29&lt;&gt;"",I29="",H29&lt;TodayDate),"Overdue - not despatched",IF(AND(M29="No",I29&lt;&gt;"",TodayDate-I29&gt;30),"Chase - unpaid over 30 days",IF(AB29="No","Check - below your minimum order","OK")))))))</f>
        <v>0</v>
      </c>
    </row>
    <row r="30" spans="1:30">
      <c r="A30" s="38">
        <f>IF(B30="","",OrderPrefix&amp;TEXT(ROW()-4,"0000"))</f>
        <v>0</v>
      </c>
      <c r="O30" s="13">
        <f>IF(C30="","",IFERROR(INDEX('Wholesale Customers'!$B$5:$B$64,MATCH(C30,'Wholesale Customers'!$A$5:$A$64,0)),"Not found"))</f>
        <v>0</v>
      </c>
      <c r="P30" s="13">
        <f>IF(E30="","",IFERROR(INDEX(Products!$B$5:$B$304,MATCH(E30,Products!$A$5:$A$304,0)),"Not found"))</f>
        <v>0</v>
      </c>
      <c r="Q30" s="13">
        <f>IF(B30="","",TEXT(B30,"yyyy-mm"))</f>
        <v>0</v>
      </c>
      <c r="R30" s="33">
        <f>IF(C30="","",IFERROR(INDEX('Wholesale Customers'!$P$5:$P$64,MATCH(C30,'Wholesale Customers'!$A$5:$A$64,0)),WholesaleDiscount))</f>
        <v>0</v>
      </c>
      <c r="S30" s="20">
        <f>IF(E30="","",IFERROR(INDEX(Products!$AR$5:$AR$304,MATCH(E30,Products!$A$5:$A$304,0)),""))</f>
        <v>0</v>
      </c>
      <c r="T30" s="20">
        <f>IF(E30="","",IF(G30&lt;&gt;"",G30,IF(S30="","",ROUND(S30*(1-R30),2))))</f>
        <v>0</v>
      </c>
      <c r="U30" s="20">
        <f>IF(E30="","",IFERROR(INDEX(Products!$AH$5:$AH$304,MATCH(E30,Products!$A$5:$A$304,0)),""))</f>
        <v>0</v>
      </c>
      <c r="V30" s="20">
        <f>IF(E30="","",IF(OR(F30="",T30=""),"",ROUND(F30*T30,2)))</f>
        <v>0</v>
      </c>
      <c r="W30" s="20">
        <f>IF(E30="","",IF(OR(F30="",U30=""),"",ROUND(F30*U30+MAX(0,IF(K30="",0,K30)-IF(J30="",0,J30)),2)))</f>
        <v>0</v>
      </c>
      <c r="X30" s="20">
        <f>IF(E30="","",IF(V30="","",ROUND(V30-W30,2)))</f>
        <v>0</v>
      </c>
      <c r="Y30" s="33">
        <f>IF(E30="","",IF(OR(V30="",V30=0),"",X30/V30))</f>
        <v>0</v>
      </c>
      <c r="Z30" s="41">
        <f>IF(E30="","",IFERROR(ROUND(F30*INDEX(Products!$X$5:$X$304,MATCH(E30,Products!$A$5:$A$304,0))/60,1),""))</f>
        <v>0</v>
      </c>
      <c r="AA30" s="20">
        <f>IF(E30="","",IF(OR(Z30="",Z30=0),"",ROUND(X30/Z30,2)))</f>
        <v>0</v>
      </c>
      <c r="AB30" s="42">
        <f>IF(E30="","",IF(V30="","",IF(AND(V30&gt;=MinOrderValue,F30&gt;=MinOrderQty),"Yes","No")))</f>
        <v>0</v>
      </c>
      <c r="AC30" s="32">
        <f>IF(B30="","",IF(I30="","",I30-B30))</f>
        <v>0</v>
      </c>
      <c r="AD30" s="43">
        <f>IF(B30="","",IF(E30="","Add - which product?",IF(X30&lt;0,"Loss - this order costs you money",IF(AND(Y30&lt;&gt;"",Y30&lt;TargetWholesaleMargin),"Low margin - the discount is too deep",IF(AND(H30&lt;&gt;"",I30="",H30&lt;TodayDate),"Overdue - not despatched",IF(AND(M30="No",I30&lt;&gt;"",TodayDate-I30&gt;30),"Chase - unpaid over 30 days",IF(AB30="No","Check - below your minimum order","OK")))))))</f>
        <v>0</v>
      </c>
    </row>
    <row r="31" spans="1:30">
      <c r="A31" s="38">
        <f>IF(B31="","",OrderPrefix&amp;TEXT(ROW()-4,"0000"))</f>
        <v>0</v>
      </c>
      <c r="O31" s="13">
        <f>IF(C31="","",IFERROR(INDEX('Wholesale Customers'!$B$5:$B$64,MATCH(C31,'Wholesale Customers'!$A$5:$A$64,0)),"Not found"))</f>
        <v>0</v>
      </c>
      <c r="P31" s="13">
        <f>IF(E31="","",IFERROR(INDEX(Products!$B$5:$B$304,MATCH(E31,Products!$A$5:$A$304,0)),"Not found"))</f>
        <v>0</v>
      </c>
      <c r="Q31" s="13">
        <f>IF(B31="","",TEXT(B31,"yyyy-mm"))</f>
        <v>0</v>
      </c>
      <c r="R31" s="33">
        <f>IF(C31="","",IFERROR(INDEX('Wholesale Customers'!$P$5:$P$64,MATCH(C31,'Wholesale Customers'!$A$5:$A$64,0)),WholesaleDiscount))</f>
        <v>0</v>
      </c>
      <c r="S31" s="20">
        <f>IF(E31="","",IFERROR(INDEX(Products!$AR$5:$AR$304,MATCH(E31,Products!$A$5:$A$304,0)),""))</f>
        <v>0</v>
      </c>
      <c r="T31" s="20">
        <f>IF(E31="","",IF(G31&lt;&gt;"",G31,IF(S31="","",ROUND(S31*(1-R31),2))))</f>
        <v>0</v>
      </c>
      <c r="U31" s="20">
        <f>IF(E31="","",IFERROR(INDEX(Products!$AH$5:$AH$304,MATCH(E31,Products!$A$5:$A$304,0)),""))</f>
        <v>0</v>
      </c>
      <c r="V31" s="20">
        <f>IF(E31="","",IF(OR(F31="",T31=""),"",ROUND(F31*T31,2)))</f>
        <v>0</v>
      </c>
      <c r="W31" s="20">
        <f>IF(E31="","",IF(OR(F31="",U31=""),"",ROUND(F31*U31+MAX(0,IF(K31="",0,K31)-IF(J31="",0,J31)),2)))</f>
        <v>0</v>
      </c>
      <c r="X31" s="20">
        <f>IF(E31="","",IF(V31="","",ROUND(V31-W31,2)))</f>
        <v>0</v>
      </c>
      <c r="Y31" s="33">
        <f>IF(E31="","",IF(OR(V31="",V31=0),"",X31/V31))</f>
        <v>0</v>
      </c>
      <c r="Z31" s="41">
        <f>IF(E31="","",IFERROR(ROUND(F31*INDEX(Products!$X$5:$X$304,MATCH(E31,Products!$A$5:$A$304,0))/60,1),""))</f>
        <v>0</v>
      </c>
      <c r="AA31" s="20">
        <f>IF(E31="","",IF(OR(Z31="",Z31=0),"",ROUND(X31/Z31,2)))</f>
        <v>0</v>
      </c>
      <c r="AB31" s="42">
        <f>IF(E31="","",IF(V31="","",IF(AND(V31&gt;=MinOrderValue,F31&gt;=MinOrderQty),"Yes","No")))</f>
        <v>0</v>
      </c>
      <c r="AC31" s="32">
        <f>IF(B31="","",IF(I31="","",I31-B31))</f>
        <v>0</v>
      </c>
      <c r="AD31" s="43">
        <f>IF(B31="","",IF(E31="","Add - which product?",IF(X31&lt;0,"Loss - this order costs you money",IF(AND(Y31&lt;&gt;"",Y31&lt;TargetWholesaleMargin),"Low margin - the discount is too deep",IF(AND(H31&lt;&gt;"",I31="",H31&lt;TodayDate),"Overdue - not despatched",IF(AND(M31="No",I31&lt;&gt;"",TodayDate-I31&gt;30),"Chase - unpaid over 30 days",IF(AB31="No","Check - below your minimum order","OK")))))))</f>
        <v>0</v>
      </c>
    </row>
    <row r="32" spans="1:30">
      <c r="A32" s="38">
        <f>IF(B32="","",OrderPrefix&amp;TEXT(ROW()-4,"0000"))</f>
        <v>0</v>
      </c>
      <c r="O32" s="13">
        <f>IF(C32="","",IFERROR(INDEX('Wholesale Customers'!$B$5:$B$64,MATCH(C32,'Wholesale Customers'!$A$5:$A$64,0)),"Not found"))</f>
        <v>0</v>
      </c>
      <c r="P32" s="13">
        <f>IF(E32="","",IFERROR(INDEX(Products!$B$5:$B$304,MATCH(E32,Products!$A$5:$A$304,0)),"Not found"))</f>
        <v>0</v>
      </c>
      <c r="Q32" s="13">
        <f>IF(B32="","",TEXT(B32,"yyyy-mm"))</f>
        <v>0</v>
      </c>
      <c r="R32" s="33">
        <f>IF(C32="","",IFERROR(INDEX('Wholesale Customers'!$P$5:$P$64,MATCH(C32,'Wholesale Customers'!$A$5:$A$64,0)),WholesaleDiscount))</f>
        <v>0</v>
      </c>
      <c r="S32" s="20">
        <f>IF(E32="","",IFERROR(INDEX(Products!$AR$5:$AR$304,MATCH(E32,Products!$A$5:$A$304,0)),""))</f>
        <v>0</v>
      </c>
      <c r="T32" s="20">
        <f>IF(E32="","",IF(G32&lt;&gt;"",G32,IF(S32="","",ROUND(S32*(1-R32),2))))</f>
        <v>0</v>
      </c>
      <c r="U32" s="20">
        <f>IF(E32="","",IFERROR(INDEX(Products!$AH$5:$AH$304,MATCH(E32,Products!$A$5:$A$304,0)),""))</f>
        <v>0</v>
      </c>
      <c r="V32" s="20">
        <f>IF(E32="","",IF(OR(F32="",T32=""),"",ROUND(F32*T32,2)))</f>
        <v>0</v>
      </c>
      <c r="W32" s="20">
        <f>IF(E32="","",IF(OR(F32="",U32=""),"",ROUND(F32*U32+MAX(0,IF(K32="",0,K32)-IF(J32="",0,J32)),2)))</f>
        <v>0</v>
      </c>
      <c r="X32" s="20">
        <f>IF(E32="","",IF(V32="","",ROUND(V32-W32,2)))</f>
        <v>0</v>
      </c>
      <c r="Y32" s="33">
        <f>IF(E32="","",IF(OR(V32="",V32=0),"",X32/V32))</f>
        <v>0</v>
      </c>
      <c r="Z32" s="41">
        <f>IF(E32="","",IFERROR(ROUND(F32*INDEX(Products!$X$5:$X$304,MATCH(E32,Products!$A$5:$A$304,0))/60,1),""))</f>
        <v>0</v>
      </c>
      <c r="AA32" s="20">
        <f>IF(E32="","",IF(OR(Z32="",Z32=0),"",ROUND(X32/Z32,2)))</f>
        <v>0</v>
      </c>
      <c r="AB32" s="42">
        <f>IF(E32="","",IF(V32="","",IF(AND(V32&gt;=MinOrderValue,F32&gt;=MinOrderQty),"Yes","No")))</f>
        <v>0</v>
      </c>
      <c r="AC32" s="32">
        <f>IF(B32="","",IF(I32="","",I32-B32))</f>
        <v>0</v>
      </c>
      <c r="AD32" s="43">
        <f>IF(B32="","",IF(E32="","Add - which product?",IF(X32&lt;0,"Loss - this order costs you money",IF(AND(Y32&lt;&gt;"",Y32&lt;TargetWholesaleMargin),"Low margin - the discount is too deep",IF(AND(H32&lt;&gt;"",I32="",H32&lt;TodayDate),"Overdue - not despatched",IF(AND(M32="No",I32&lt;&gt;"",TodayDate-I32&gt;30),"Chase - unpaid over 30 days",IF(AB32="No","Check - below your minimum order","OK")))))))</f>
        <v>0</v>
      </c>
    </row>
    <row r="33" spans="1:30">
      <c r="A33" s="38">
        <f>IF(B33="","",OrderPrefix&amp;TEXT(ROW()-4,"0000"))</f>
        <v>0</v>
      </c>
      <c r="O33" s="13">
        <f>IF(C33="","",IFERROR(INDEX('Wholesale Customers'!$B$5:$B$64,MATCH(C33,'Wholesale Customers'!$A$5:$A$64,0)),"Not found"))</f>
        <v>0</v>
      </c>
      <c r="P33" s="13">
        <f>IF(E33="","",IFERROR(INDEX(Products!$B$5:$B$304,MATCH(E33,Products!$A$5:$A$304,0)),"Not found"))</f>
        <v>0</v>
      </c>
      <c r="Q33" s="13">
        <f>IF(B33="","",TEXT(B33,"yyyy-mm"))</f>
        <v>0</v>
      </c>
      <c r="R33" s="33">
        <f>IF(C33="","",IFERROR(INDEX('Wholesale Customers'!$P$5:$P$64,MATCH(C33,'Wholesale Customers'!$A$5:$A$64,0)),WholesaleDiscount))</f>
        <v>0</v>
      </c>
      <c r="S33" s="20">
        <f>IF(E33="","",IFERROR(INDEX(Products!$AR$5:$AR$304,MATCH(E33,Products!$A$5:$A$304,0)),""))</f>
        <v>0</v>
      </c>
      <c r="T33" s="20">
        <f>IF(E33="","",IF(G33&lt;&gt;"",G33,IF(S33="","",ROUND(S33*(1-R33),2))))</f>
        <v>0</v>
      </c>
      <c r="U33" s="20">
        <f>IF(E33="","",IFERROR(INDEX(Products!$AH$5:$AH$304,MATCH(E33,Products!$A$5:$A$304,0)),""))</f>
        <v>0</v>
      </c>
      <c r="V33" s="20">
        <f>IF(E33="","",IF(OR(F33="",T33=""),"",ROUND(F33*T33,2)))</f>
        <v>0</v>
      </c>
      <c r="W33" s="20">
        <f>IF(E33="","",IF(OR(F33="",U33=""),"",ROUND(F33*U33+MAX(0,IF(K33="",0,K33)-IF(J33="",0,J33)),2)))</f>
        <v>0</v>
      </c>
      <c r="X33" s="20">
        <f>IF(E33="","",IF(V33="","",ROUND(V33-W33,2)))</f>
        <v>0</v>
      </c>
      <c r="Y33" s="33">
        <f>IF(E33="","",IF(OR(V33="",V33=0),"",X33/V33))</f>
        <v>0</v>
      </c>
      <c r="Z33" s="41">
        <f>IF(E33="","",IFERROR(ROUND(F33*INDEX(Products!$X$5:$X$304,MATCH(E33,Products!$A$5:$A$304,0))/60,1),""))</f>
        <v>0</v>
      </c>
      <c r="AA33" s="20">
        <f>IF(E33="","",IF(OR(Z33="",Z33=0),"",ROUND(X33/Z33,2)))</f>
        <v>0</v>
      </c>
      <c r="AB33" s="42">
        <f>IF(E33="","",IF(V33="","",IF(AND(V33&gt;=MinOrderValue,F33&gt;=MinOrderQty),"Yes","No")))</f>
        <v>0</v>
      </c>
      <c r="AC33" s="32">
        <f>IF(B33="","",IF(I33="","",I33-B33))</f>
        <v>0</v>
      </c>
      <c r="AD33" s="43">
        <f>IF(B33="","",IF(E33="","Add - which product?",IF(X33&lt;0,"Loss - this order costs you money",IF(AND(Y33&lt;&gt;"",Y33&lt;TargetWholesaleMargin),"Low margin - the discount is too deep",IF(AND(H33&lt;&gt;"",I33="",H33&lt;TodayDate),"Overdue - not despatched",IF(AND(M33="No",I33&lt;&gt;"",TodayDate-I33&gt;30),"Chase - unpaid over 30 days",IF(AB33="No","Check - below your minimum order","OK")))))))</f>
        <v>0</v>
      </c>
    </row>
    <row r="34" spans="1:30">
      <c r="A34" s="38">
        <f>IF(B34="","",OrderPrefix&amp;TEXT(ROW()-4,"0000"))</f>
        <v>0</v>
      </c>
      <c r="O34" s="13">
        <f>IF(C34="","",IFERROR(INDEX('Wholesale Customers'!$B$5:$B$64,MATCH(C34,'Wholesale Customers'!$A$5:$A$64,0)),"Not found"))</f>
        <v>0</v>
      </c>
      <c r="P34" s="13">
        <f>IF(E34="","",IFERROR(INDEX(Products!$B$5:$B$304,MATCH(E34,Products!$A$5:$A$304,0)),"Not found"))</f>
        <v>0</v>
      </c>
      <c r="Q34" s="13">
        <f>IF(B34="","",TEXT(B34,"yyyy-mm"))</f>
        <v>0</v>
      </c>
      <c r="R34" s="33">
        <f>IF(C34="","",IFERROR(INDEX('Wholesale Customers'!$P$5:$P$64,MATCH(C34,'Wholesale Customers'!$A$5:$A$64,0)),WholesaleDiscount))</f>
        <v>0</v>
      </c>
      <c r="S34" s="20">
        <f>IF(E34="","",IFERROR(INDEX(Products!$AR$5:$AR$304,MATCH(E34,Products!$A$5:$A$304,0)),""))</f>
        <v>0</v>
      </c>
      <c r="T34" s="20">
        <f>IF(E34="","",IF(G34&lt;&gt;"",G34,IF(S34="","",ROUND(S34*(1-R34),2))))</f>
        <v>0</v>
      </c>
      <c r="U34" s="20">
        <f>IF(E34="","",IFERROR(INDEX(Products!$AH$5:$AH$304,MATCH(E34,Products!$A$5:$A$304,0)),""))</f>
        <v>0</v>
      </c>
      <c r="V34" s="20">
        <f>IF(E34="","",IF(OR(F34="",T34=""),"",ROUND(F34*T34,2)))</f>
        <v>0</v>
      </c>
      <c r="W34" s="20">
        <f>IF(E34="","",IF(OR(F34="",U34=""),"",ROUND(F34*U34+MAX(0,IF(K34="",0,K34)-IF(J34="",0,J34)),2)))</f>
        <v>0</v>
      </c>
      <c r="X34" s="20">
        <f>IF(E34="","",IF(V34="","",ROUND(V34-W34,2)))</f>
        <v>0</v>
      </c>
      <c r="Y34" s="33">
        <f>IF(E34="","",IF(OR(V34="",V34=0),"",X34/V34))</f>
        <v>0</v>
      </c>
      <c r="Z34" s="41">
        <f>IF(E34="","",IFERROR(ROUND(F34*INDEX(Products!$X$5:$X$304,MATCH(E34,Products!$A$5:$A$304,0))/60,1),""))</f>
        <v>0</v>
      </c>
      <c r="AA34" s="20">
        <f>IF(E34="","",IF(OR(Z34="",Z34=0),"",ROUND(X34/Z34,2)))</f>
        <v>0</v>
      </c>
      <c r="AB34" s="42">
        <f>IF(E34="","",IF(V34="","",IF(AND(V34&gt;=MinOrderValue,F34&gt;=MinOrderQty),"Yes","No")))</f>
        <v>0</v>
      </c>
      <c r="AC34" s="32">
        <f>IF(B34="","",IF(I34="","",I34-B34))</f>
        <v>0</v>
      </c>
      <c r="AD34" s="43">
        <f>IF(B34="","",IF(E34="","Add - which product?",IF(X34&lt;0,"Loss - this order costs you money",IF(AND(Y34&lt;&gt;"",Y34&lt;TargetWholesaleMargin),"Low margin - the discount is too deep",IF(AND(H34&lt;&gt;"",I34="",H34&lt;TodayDate),"Overdue - not despatched",IF(AND(M34="No",I34&lt;&gt;"",TodayDate-I34&gt;30),"Chase - unpaid over 30 days",IF(AB34="No","Check - below your minimum order","OK")))))))</f>
        <v>0</v>
      </c>
    </row>
    <row r="35" spans="1:30">
      <c r="A35" s="38">
        <f>IF(B35="","",OrderPrefix&amp;TEXT(ROW()-4,"0000"))</f>
        <v>0</v>
      </c>
      <c r="O35" s="13">
        <f>IF(C35="","",IFERROR(INDEX('Wholesale Customers'!$B$5:$B$64,MATCH(C35,'Wholesale Customers'!$A$5:$A$64,0)),"Not found"))</f>
        <v>0</v>
      </c>
      <c r="P35" s="13">
        <f>IF(E35="","",IFERROR(INDEX(Products!$B$5:$B$304,MATCH(E35,Products!$A$5:$A$304,0)),"Not found"))</f>
        <v>0</v>
      </c>
      <c r="Q35" s="13">
        <f>IF(B35="","",TEXT(B35,"yyyy-mm"))</f>
        <v>0</v>
      </c>
      <c r="R35" s="33">
        <f>IF(C35="","",IFERROR(INDEX('Wholesale Customers'!$P$5:$P$64,MATCH(C35,'Wholesale Customers'!$A$5:$A$64,0)),WholesaleDiscount))</f>
        <v>0</v>
      </c>
      <c r="S35" s="20">
        <f>IF(E35="","",IFERROR(INDEX(Products!$AR$5:$AR$304,MATCH(E35,Products!$A$5:$A$304,0)),""))</f>
        <v>0</v>
      </c>
      <c r="T35" s="20">
        <f>IF(E35="","",IF(G35&lt;&gt;"",G35,IF(S35="","",ROUND(S35*(1-R35),2))))</f>
        <v>0</v>
      </c>
      <c r="U35" s="20">
        <f>IF(E35="","",IFERROR(INDEX(Products!$AH$5:$AH$304,MATCH(E35,Products!$A$5:$A$304,0)),""))</f>
        <v>0</v>
      </c>
      <c r="V35" s="20">
        <f>IF(E35="","",IF(OR(F35="",T35=""),"",ROUND(F35*T35,2)))</f>
        <v>0</v>
      </c>
      <c r="W35" s="20">
        <f>IF(E35="","",IF(OR(F35="",U35=""),"",ROUND(F35*U35+MAX(0,IF(K35="",0,K35)-IF(J35="",0,J35)),2)))</f>
        <v>0</v>
      </c>
      <c r="X35" s="20">
        <f>IF(E35="","",IF(V35="","",ROUND(V35-W35,2)))</f>
        <v>0</v>
      </c>
      <c r="Y35" s="33">
        <f>IF(E35="","",IF(OR(V35="",V35=0),"",X35/V35))</f>
        <v>0</v>
      </c>
      <c r="Z35" s="41">
        <f>IF(E35="","",IFERROR(ROUND(F35*INDEX(Products!$X$5:$X$304,MATCH(E35,Products!$A$5:$A$304,0))/60,1),""))</f>
        <v>0</v>
      </c>
      <c r="AA35" s="20">
        <f>IF(E35="","",IF(OR(Z35="",Z35=0),"",ROUND(X35/Z35,2)))</f>
        <v>0</v>
      </c>
      <c r="AB35" s="42">
        <f>IF(E35="","",IF(V35="","",IF(AND(V35&gt;=MinOrderValue,F35&gt;=MinOrderQty),"Yes","No")))</f>
        <v>0</v>
      </c>
      <c r="AC35" s="32">
        <f>IF(B35="","",IF(I35="","",I35-B35))</f>
        <v>0</v>
      </c>
      <c r="AD35" s="43">
        <f>IF(B35="","",IF(E35="","Add - which product?",IF(X35&lt;0,"Loss - this order costs you money",IF(AND(Y35&lt;&gt;"",Y35&lt;TargetWholesaleMargin),"Low margin - the discount is too deep",IF(AND(H35&lt;&gt;"",I35="",H35&lt;TodayDate),"Overdue - not despatched",IF(AND(M35="No",I35&lt;&gt;"",TodayDate-I35&gt;30),"Chase - unpaid over 30 days",IF(AB35="No","Check - below your minimum order","OK")))))))</f>
        <v>0</v>
      </c>
    </row>
    <row r="36" spans="1:30">
      <c r="A36" s="38">
        <f>IF(B36="","",OrderPrefix&amp;TEXT(ROW()-4,"0000"))</f>
        <v>0</v>
      </c>
      <c r="O36" s="13">
        <f>IF(C36="","",IFERROR(INDEX('Wholesale Customers'!$B$5:$B$64,MATCH(C36,'Wholesale Customers'!$A$5:$A$64,0)),"Not found"))</f>
        <v>0</v>
      </c>
      <c r="P36" s="13">
        <f>IF(E36="","",IFERROR(INDEX(Products!$B$5:$B$304,MATCH(E36,Products!$A$5:$A$304,0)),"Not found"))</f>
        <v>0</v>
      </c>
      <c r="Q36" s="13">
        <f>IF(B36="","",TEXT(B36,"yyyy-mm"))</f>
        <v>0</v>
      </c>
      <c r="R36" s="33">
        <f>IF(C36="","",IFERROR(INDEX('Wholesale Customers'!$P$5:$P$64,MATCH(C36,'Wholesale Customers'!$A$5:$A$64,0)),WholesaleDiscount))</f>
        <v>0</v>
      </c>
      <c r="S36" s="20">
        <f>IF(E36="","",IFERROR(INDEX(Products!$AR$5:$AR$304,MATCH(E36,Products!$A$5:$A$304,0)),""))</f>
        <v>0</v>
      </c>
      <c r="T36" s="20">
        <f>IF(E36="","",IF(G36&lt;&gt;"",G36,IF(S36="","",ROUND(S36*(1-R36),2))))</f>
        <v>0</v>
      </c>
      <c r="U36" s="20">
        <f>IF(E36="","",IFERROR(INDEX(Products!$AH$5:$AH$304,MATCH(E36,Products!$A$5:$A$304,0)),""))</f>
        <v>0</v>
      </c>
      <c r="V36" s="20">
        <f>IF(E36="","",IF(OR(F36="",T36=""),"",ROUND(F36*T36,2)))</f>
        <v>0</v>
      </c>
      <c r="W36" s="20">
        <f>IF(E36="","",IF(OR(F36="",U36=""),"",ROUND(F36*U36+MAX(0,IF(K36="",0,K36)-IF(J36="",0,J36)),2)))</f>
        <v>0</v>
      </c>
      <c r="X36" s="20">
        <f>IF(E36="","",IF(V36="","",ROUND(V36-W36,2)))</f>
        <v>0</v>
      </c>
      <c r="Y36" s="33">
        <f>IF(E36="","",IF(OR(V36="",V36=0),"",X36/V36))</f>
        <v>0</v>
      </c>
      <c r="Z36" s="41">
        <f>IF(E36="","",IFERROR(ROUND(F36*INDEX(Products!$X$5:$X$304,MATCH(E36,Products!$A$5:$A$304,0))/60,1),""))</f>
        <v>0</v>
      </c>
      <c r="AA36" s="20">
        <f>IF(E36="","",IF(OR(Z36="",Z36=0),"",ROUND(X36/Z36,2)))</f>
        <v>0</v>
      </c>
      <c r="AB36" s="42">
        <f>IF(E36="","",IF(V36="","",IF(AND(V36&gt;=MinOrderValue,F36&gt;=MinOrderQty),"Yes","No")))</f>
        <v>0</v>
      </c>
      <c r="AC36" s="32">
        <f>IF(B36="","",IF(I36="","",I36-B36))</f>
        <v>0</v>
      </c>
      <c r="AD36" s="43">
        <f>IF(B36="","",IF(E36="","Add - which product?",IF(X36&lt;0,"Loss - this order costs you money",IF(AND(Y36&lt;&gt;"",Y36&lt;TargetWholesaleMargin),"Low margin - the discount is too deep",IF(AND(H36&lt;&gt;"",I36="",H36&lt;TodayDate),"Overdue - not despatched",IF(AND(M36="No",I36&lt;&gt;"",TodayDate-I36&gt;30),"Chase - unpaid over 30 days",IF(AB36="No","Check - below your minimum order","OK")))))))</f>
        <v>0</v>
      </c>
    </row>
    <row r="37" spans="1:30">
      <c r="A37" s="38">
        <f>IF(B37="","",OrderPrefix&amp;TEXT(ROW()-4,"0000"))</f>
        <v>0</v>
      </c>
      <c r="O37" s="13">
        <f>IF(C37="","",IFERROR(INDEX('Wholesale Customers'!$B$5:$B$64,MATCH(C37,'Wholesale Customers'!$A$5:$A$64,0)),"Not found"))</f>
        <v>0</v>
      </c>
      <c r="P37" s="13">
        <f>IF(E37="","",IFERROR(INDEX(Products!$B$5:$B$304,MATCH(E37,Products!$A$5:$A$304,0)),"Not found"))</f>
        <v>0</v>
      </c>
      <c r="Q37" s="13">
        <f>IF(B37="","",TEXT(B37,"yyyy-mm"))</f>
        <v>0</v>
      </c>
      <c r="R37" s="33">
        <f>IF(C37="","",IFERROR(INDEX('Wholesale Customers'!$P$5:$P$64,MATCH(C37,'Wholesale Customers'!$A$5:$A$64,0)),WholesaleDiscount))</f>
        <v>0</v>
      </c>
      <c r="S37" s="20">
        <f>IF(E37="","",IFERROR(INDEX(Products!$AR$5:$AR$304,MATCH(E37,Products!$A$5:$A$304,0)),""))</f>
        <v>0</v>
      </c>
      <c r="T37" s="20">
        <f>IF(E37="","",IF(G37&lt;&gt;"",G37,IF(S37="","",ROUND(S37*(1-R37),2))))</f>
        <v>0</v>
      </c>
      <c r="U37" s="20">
        <f>IF(E37="","",IFERROR(INDEX(Products!$AH$5:$AH$304,MATCH(E37,Products!$A$5:$A$304,0)),""))</f>
        <v>0</v>
      </c>
      <c r="V37" s="20">
        <f>IF(E37="","",IF(OR(F37="",T37=""),"",ROUND(F37*T37,2)))</f>
        <v>0</v>
      </c>
      <c r="W37" s="20">
        <f>IF(E37="","",IF(OR(F37="",U37=""),"",ROUND(F37*U37+MAX(0,IF(K37="",0,K37)-IF(J37="",0,J37)),2)))</f>
        <v>0</v>
      </c>
      <c r="X37" s="20">
        <f>IF(E37="","",IF(V37="","",ROUND(V37-W37,2)))</f>
        <v>0</v>
      </c>
      <c r="Y37" s="33">
        <f>IF(E37="","",IF(OR(V37="",V37=0),"",X37/V37))</f>
        <v>0</v>
      </c>
      <c r="Z37" s="41">
        <f>IF(E37="","",IFERROR(ROUND(F37*INDEX(Products!$X$5:$X$304,MATCH(E37,Products!$A$5:$A$304,0))/60,1),""))</f>
        <v>0</v>
      </c>
      <c r="AA37" s="20">
        <f>IF(E37="","",IF(OR(Z37="",Z37=0),"",ROUND(X37/Z37,2)))</f>
        <v>0</v>
      </c>
      <c r="AB37" s="42">
        <f>IF(E37="","",IF(V37="","",IF(AND(V37&gt;=MinOrderValue,F37&gt;=MinOrderQty),"Yes","No")))</f>
        <v>0</v>
      </c>
      <c r="AC37" s="32">
        <f>IF(B37="","",IF(I37="","",I37-B37))</f>
        <v>0</v>
      </c>
      <c r="AD37" s="43">
        <f>IF(B37="","",IF(E37="","Add - which product?",IF(X37&lt;0,"Loss - this order costs you money",IF(AND(Y37&lt;&gt;"",Y37&lt;TargetWholesaleMargin),"Low margin - the discount is too deep",IF(AND(H37&lt;&gt;"",I37="",H37&lt;TodayDate),"Overdue - not despatched",IF(AND(M37="No",I37&lt;&gt;"",TodayDate-I37&gt;30),"Chase - unpaid over 30 days",IF(AB37="No","Check - below your minimum order","OK")))))))</f>
        <v>0</v>
      </c>
    </row>
    <row r="38" spans="1:30">
      <c r="A38" s="38">
        <f>IF(B38="","",OrderPrefix&amp;TEXT(ROW()-4,"0000"))</f>
        <v>0</v>
      </c>
      <c r="O38" s="13">
        <f>IF(C38="","",IFERROR(INDEX('Wholesale Customers'!$B$5:$B$64,MATCH(C38,'Wholesale Customers'!$A$5:$A$64,0)),"Not found"))</f>
        <v>0</v>
      </c>
      <c r="P38" s="13">
        <f>IF(E38="","",IFERROR(INDEX(Products!$B$5:$B$304,MATCH(E38,Products!$A$5:$A$304,0)),"Not found"))</f>
        <v>0</v>
      </c>
      <c r="Q38" s="13">
        <f>IF(B38="","",TEXT(B38,"yyyy-mm"))</f>
        <v>0</v>
      </c>
      <c r="R38" s="33">
        <f>IF(C38="","",IFERROR(INDEX('Wholesale Customers'!$P$5:$P$64,MATCH(C38,'Wholesale Customers'!$A$5:$A$64,0)),WholesaleDiscount))</f>
        <v>0</v>
      </c>
      <c r="S38" s="20">
        <f>IF(E38="","",IFERROR(INDEX(Products!$AR$5:$AR$304,MATCH(E38,Products!$A$5:$A$304,0)),""))</f>
        <v>0</v>
      </c>
      <c r="T38" s="20">
        <f>IF(E38="","",IF(G38&lt;&gt;"",G38,IF(S38="","",ROUND(S38*(1-R38),2))))</f>
        <v>0</v>
      </c>
      <c r="U38" s="20">
        <f>IF(E38="","",IFERROR(INDEX(Products!$AH$5:$AH$304,MATCH(E38,Products!$A$5:$A$304,0)),""))</f>
        <v>0</v>
      </c>
      <c r="V38" s="20">
        <f>IF(E38="","",IF(OR(F38="",T38=""),"",ROUND(F38*T38,2)))</f>
        <v>0</v>
      </c>
      <c r="W38" s="20">
        <f>IF(E38="","",IF(OR(F38="",U38=""),"",ROUND(F38*U38+MAX(0,IF(K38="",0,K38)-IF(J38="",0,J38)),2)))</f>
        <v>0</v>
      </c>
      <c r="X38" s="20">
        <f>IF(E38="","",IF(V38="","",ROUND(V38-W38,2)))</f>
        <v>0</v>
      </c>
      <c r="Y38" s="33">
        <f>IF(E38="","",IF(OR(V38="",V38=0),"",X38/V38))</f>
        <v>0</v>
      </c>
      <c r="Z38" s="41">
        <f>IF(E38="","",IFERROR(ROUND(F38*INDEX(Products!$X$5:$X$304,MATCH(E38,Products!$A$5:$A$304,0))/60,1),""))</f>
        <v>0</v>
      </c>
      <c r="AA38" s="20">
        <f>IF(E38="","",IF(OR(Z38="",Z38=0),"",ROUND(X38/Z38,2)))</f>
        <v>0</v>
      </c>
      <c r="AB38" s="42">
        <f>IF(E38="","",IF(V38="","",IF(AND(V38&gt;=MinOrderValue,F38&gt;=MinOrderQty),"Yes","No")))</f>
        <v>0</v>
      </c>
      <c r="AC38" s="32">
        <f>IF(B38="","",IF(I38="","",I38-B38))</f>
        <v>0</v>
      </c>
      <c r="AD38" s="43">
        <f>IF(B38="","",IF(E38="","Add - which product?",IF(X38&lt;0,"Loss - this order costs you money",IF(AND(Y38&lt;&gt;"",Y38&lt;TargetWholesaleMargin),"Low margin - the discount is too deep",IF(AND(H38&lt;&gt;"",I38="",H38&lt;TodayDate),"Overdue - not despatched",IF(AND(M38="No",I38&lt;&gt;"",TodayDate-I38&gt;30),"Chase - unpaid over 30 days",IF(AB38="No","Check - below your minimum order","OK")))))))</f>
        <v>0</v>
      </c>
    </row>
    <row r="39" spans="1:30">
      <c r="A39" s="38">
        <f>IF(B39="","",OrderPrefix&amp;TEXT(ROW()-4,"0000"))</f>
        <v>0</v>
      </c>
      <c r="O39" s="13">
        <f>IF(C39="","",IFERROR(INDEX('Wholesale Customers'!$B$5:$B$64,MATCH(C39,'Wholesale Customers'!$A$5:$A$64,0)),"Not found"))</f>
        <v>0</v>
      </c>
      <c r="P39" s="13">
        <f>IF(E39="","",IFERROR(INDEX(Products!$B$5:$B$304,MATCH(E39,Products!$A$5:$A$304,0)),"Not found"))</f>
        <v>0</v>
      </c>
      <c r="Q39" s="13">
        <f>IF(B39="","",TEXT(B39,"yyyy-mm"))</f>
        <v>0</v>
      </c>
      <c r="R39" s="33">
        <f>IF(C39="","",IFERROR(INDEX('Wholesale Customers'!$P$5:$P$64,MATCH(C39,'Wholesale Customers'!$A$5:$A$64,0)),WholesaleDiscount))</f>
        <v>0</v>
      </c>
      <c r="S39" s="20">
        <f>IF(E39="","",IFERROR(INDEX(Products!$AR$5:$AR$304,MATCH(E39,Products!$A$5:$A$304,0)),""))</f>
        <v>0</v>
      </c>
      <c r="T39" s="20">
        <f>IF(E39="","",IF(G39&lt;&gt;"",G39,IF(S39="","",ROUND(S39*(1-R39),2))))</f>
        <v>0</v>
      </c>
      <c r="U39" s="20">
        <f>IF(E39="","",IFERROR(INDEX(Products!$AH$5:$AH$304,MATCH(E39,Products!$A$5:$A$304,0)),""))</f>
        <v>0</v>
      </c>
      <c r="V39" s="20">
        <f>IF(E39="","",IF(OR(F39="",T39=""),"",ROUND(F39*T39,2)))</f>
        <v>0</v>
      </c>
      <c r="W39" s="20">
        <f>IF(E39="","",IF(OR(F39="",U39=""),"",ROUND(F39*U39+MAX(0,IF(K39="",0,K39)-IF(J39="",0,J39)),2)))</f>
        <v>0</v>
      </c>
      <c r="X39" s="20">
        <f>IF(E39="","",IF(V39="","",ROUND(V39-W39,2)))</f>
        <v>0</v>
      </c>
      <c r="Y39" s="33">
        <f>IF(E39="","",IF(OR(V39="",V39=0),"",X39/V39))</f>
        <v>0</v>
      </c>
      <c r="Z39" s="41">
        <f>IF(E39="","",IFERROR(ROUND(F39*INDEX(Products!$X$5:$X$304,MATCH(E39,Products!$A$5:$A$304,0))/60,1),""))</f>
        <v>0</v>
      </c>
      <c r="AA39" s="20">
        <f>IF(E39="","",IF(OR(Z39="",Z39=0),"",ROUND(X39/Z39,2)))</f>
        <v>0</v>
      </c>
      <c r="AB39" s="42">
        <f>IF(E39="","",IF(V39="","",IF(AND(V39&gt;=MinOrderValue,F39&gt;=MinOrderQty),"Yes","No")))</f>
        <v>0</v>
      </c>
      <c r="AC39" s="32">
        <f>IF(B39="","",IF(I39="","",I39-B39))</f>
        <v>0</v>
      </c>
      <c r="AD39" s="43">
        <f>IF(B39="","",IF(E39="","Add - which product?",IF(X39&lt;0,"Loss - this order costs you money",IF(AND(Y39&lt;&gt;"",Y39&lt;TargetWholesaleMargin),"Low margin - the discount is too deep",IF(AND(H39&lt;&gt;"",I39="",H39&lt;TodayDate),"Overdue - not despatched",IF(AND(M39="No",I39&lt;&gt;"",TodayDate-I39&gt;30),"Chase - unpaid over 30 days",IF(AB39="No","Check - below your minimum order","OK")))))))</f>
        <v>0</v>
      </c>
    </row>
    <row r="40" spans="1:30">
      <c r="A40" s="38">
        <f>IF(B40="","",OrderPrefix&amp;TEXT(ROW()-4,"0000"))</f>
        <v>0</v>
      </c>
      <c r="O40" s="13">
        <f>IF(C40="","",IFERROR(INDEX('Wholesale Customers'!$B$5:$B$64,MATCH(C40,'Wholesale Customers'!$A$5:$A$64,0)),"Not found"))</f>
        <v>0</v>
      </c>
      <c r="P40" s="13">
        <f>IF(E40="","",IFERROR(INDEX(Products!$B$5:$B$304,MATCH(E40,Products!$A$5:$A$304,0)),"Not found"))</f>
        <v>0</v>
      </c>
      <c r="Q40" s="13">
        <f>IF(B40="","",TEXT(B40,"yyyy-mm"))</f>
        <v>0</v>
      </c>
      <c r="R40" s="33">
        <f>IF(C40="","",IFERROR(INDEX('Wholesale Customers'!$P$5:$P$64,MATCH(C40,'Wholesale Customers'!$A$5:$A$64,0)),WholesaleDiscount))</f>
        <v>0</v>
      </c>
      <c r="S40" s="20">
        <f>IF(E40="","",IFERROR(INDEX(Products!$AR$5:$AR$304,MATCH(E40,Products!$A$5:$A$304,0)),""))</f>
        <v>0</v>
      </c>
      <c r="T40" s="20">
        <f>IF(E40="","",IF(G40&lt;&gt;"",G40,IF(S40="","",ROUND(S40*(1-R40),2))))</f>
        <v>0</v>
      </c>
      <c r="U40" s="20">
        <f>IF(E40="","",IFERROR(INDEX(Products!$AH$5:$AH$304,MATCH(E40,Products!$A$5:$A$304,0)),""))</f>
        <v>0</v>
      </c>
      <c r="V40" s="20">
        <f>IF(E40="","",IF(OR(F40="",T40=""),"",ROUND(F40*T40,2)))</f>
        <v>0</v>
      </c>
      <c r="W40" s="20">
        <f>IF(E40="","",IF(OR(F40="",U40=""),"",ROUND(F40*U40+MAX(0,IF(K40="",0,K40)-IF(J40="",0,J40)),2)))</f>
        <v>0</v>
      </c>
      <c r="X40" s="20">
        <f>IF(E40="","",IF(V40="","",ROUND(V40-W40,2)))</f>
        <v>0</v>
      </c>
      <c r="Y40" s="33">
        <f>IF(E40="","",IF(OR(V40="",V40=0),"",X40/V40))</f>
        <v>0</v>
      </c>
      <c r="Z40" s="41">
        <f>IF(E40="","",IFERROR(ROUND(F40*INDEX(Products!$X$5:$X$304,MATCH(E40,Products!$A$5:$A$304,0))/60,1),""))</f>
        <v>0</v>
      </c>
      <c r="AA40" s="20">
        <f>IF(E40="","",IF(OR(Z40="",Z40=0),"",ROUND(X40/Z40,2)))</f>
        <v>0</v>
      </c>
      <c r="AB40" s="42">
        <f>IF(E40="","",IF(V40="","",IF(AND(V40&gt;=MinOrderValue,F40&gt;=MinOrderQty),"Yes","No")))</f>
        <v>0</v>
      </c>
      <c r="AC40" s="32">
        <f>IF(B40="","",IF(I40="","",I40-B40))</f>
        <v>0</v>
      </c>
      <c r="AD40" s="43">
        <f>IF(B40="","",IF(E40="","Add - which product?",IF(X40&lt;0,"Loss - this order costs you money",IF(AND(Y40&lt;&gt;"",Y40&lt;TargetWholesaleMargin),"Low margin - the discount is too deep",IF(AND(H40&lt;&gt;"",I40="",H40&lt;TodayDate),"Overdue - not despatched",IF(AND(M40="No",I40&lt;&gt;"",TodayDate-I40&gt;30),"Chase - unpaid over 30 days",IF(AB40="No","Check - below your minimum order","OK")))))))</f>
        <v>0</v>
      </c>
    </row>
    <row r="41" spans="1:30">
      <c r="A41" s="38">
        <f>IF(B41="","",OrderPrefix&amp;TEXT(ROW()-4,"0000"))</f>
        <v>0</v>
      </c>
      <c r="O41" s="13">
        <f>IF(C41="","",IFERROR(INDEX('Wholesale Customers'!$B$5:$B$64,MATCH(C41,'Wholesale Customers'!$A$5:$A$64,0)),"Not found"))</f>
        <v>0</v>
      </c>
      <c r="P41" s="13">
        <f>IF(E41="","",IFERROR(INDEX(Products!$B$5:$B$304,MATCH(E41,Products!$A$5:$A$304,0)),"Not found"))</f>
        <v>0</v>
      </c>
      <c r="Q41" s="13">
        <f>IF(B41="","",TEXT(B41,"yyyy-mm"))</f>
        <v>0</v>
      </c>
      <c r="R41" s="33">
        <f>IF(C41="","",IFERROR(INDEX('Wholesale Customers'!$P$5:$P$64,MATCH(C41,'Wholesale Customers'!$A$5:$A$64,0)),WholesaleDiscount))</f>
        <v>0</v>
      </c>
      <c r="S41" s="20">
        <f>IF(E41="","",IFERROR(INDEX(Products!$AR$5:$AR$304,MATCH(E41,Products!$A$5:$A$304,0)),""))</f>
        <v>0</v>
      </c>
      <c r="T41" s="20">
        <f>IF(E41="","",IF(G41&lt;&gt;"",G41,IF(S41="","",ROUND(S41*(1-R41),2))))</f>
        <v>0</v>
      </c>
      <c r="U41" s="20">
        <f>IF(E41="","",IFERROR(INDEX(Products!$AH$5:$AH$304,MATCH(E41,Products!$A$5:$A$304,0)),""))</f>
        <v>0</v>
      </c>
      <c r="V41" s="20">
        <f>IF(E41="","",IF(OR(F41="",T41=""),"",ROUND(F41*T41,2)))</f>
        <v>0</v>
      </c>
      <c r="W41" s="20">
        <f>IF(E41="","",IF(OR(F41="",U41=""),"",ROUND(F41*U41+MAX(0,IF(K41="",0,K41)-IF(J41="",0,J41)),2)))</f>
        <v>0</v>
      </c>
      <c r="X41" s="20">
        <f>IF(E41="","",IF(V41="","",ROUND(V41-W41,2)))</f>
        <v>0</v>
      </c>
      <c r="Y41" s="33">
        <f>IF(E41="","",IF(OR(V41="",V41=0),"",X41/V41))</f>
        <v>0</v>
      </c>
      <c r="Z41" s="41">
        <f>IF(E41="","",IFERROR(ROUND(F41*INDEX(Products!$X$5:$X$304,MATCH(E41,Products!$A$5:$A$304,0))/60,1),""))</f>
        <v>0</v>
      </c>
      <c r="AA41" s="20">
        <f>IF(E41="","",IF(OR(Z41="",Z41=0),"",ROUND(X41/Z41,2)))</f>
        <v>0</v>
      </c>
      <c r="AB41" s="42">
        <f>IF(E41="","",IF(V41="","",IF(AND(V41&gt;=MinOrderValue,F41&gt;=MinOrderQty),"Yes","No")))</f>
        <v>0</v>
      </c>
      <c r="AC41" s="32">
        <f>IF(B41="","",IF(I41="","",I41-B41))</f>
        <v>0</v>
      </c>
      <c r="AD41" s="43">
        <f>IF(B41="","",IF(E41="","Add - which product?",IF(X41&lt;0,"Loss - this order costs you money",IF(AND(Y41&lt;&gt;"",Y41&lt;TargetWholesaleMargin),"Low margin - the discount is too deep",IF(AND(H41&lt;&gt;"",I41="",H41&lt;TodayDate),"Overdue - not despatched",IF(AND(M41="No",I41&lt;&gt;"",TodayDate-I41&gt;30),"Chase - unpaid over 30 days",IF(AB41="No","Check - below your minimum order","OK")))))))</f>
        <v>0</v>
      </c>
    </row>
    <row r="42" spans="1:30">
      <c r="A42" s="38">
        <f>IF(B42="","",OrderPrefix&amp;TEXT(ROW()-4,"0000"))</f>
        <v>0</v>
      </c>
      <c r="O42" s="13">
        <f>IF(C42="","",IFERROR(INDEX('Wholesale Customers'!$B$5:$B$64,MATCH(C42,'Wholesale Customers'!$A$5:$A$64,0)),"Not found"))</f>
        <v>0</v>
      </c>
      <c r="P42" s="13">
        <f>IF(E42="","",IFERROR(INDEX(Products!$B$5:$B$304,MATCH(E42,Products!$A$5:$A$304,0)),"Not found"))</f>
        <v>0</v>
      </c>
      <c r="Q42" s="13">
        <f>IF(B42="","",TEXT(B42,"yyyy-mm"))</f>
        <v>0</v>
      </c>
      <c r="R42" s="33">
        <f>IF(C42="","",IFERROR(INDEX('Wholesale Customers'!$P$5:$P$64,MATCH(C42,'Wholesale Customers'!$A$5:$A$64,0)),WholesaleDiscount))</f>
        <v>0</v>
      </c>
      <c r="S42" s="20">
        <f>IF(E42="","",IFERROR(INDEX(Products!$AR$5:$AR$304,MATCH(E42,Products!$A$5:$A$304,0)),""))</f>
        <v>0</v>
      </c>
      <c r="T42" s="20">
        <f>IF(E42="","",IF(G42&lt;&gt;"",G42,IF(S42="","",ROUND(S42*(1-R42),2))))</f>
        <v>0</v>
      </c>
      <c r="U42" s="20">
        <f>IF(E42="","",IFERROR(INDEX(Products!$AH$5:$AH$304,MATCH(E42,Products!$A$5:$A$304,0)),""))</f>
        <v>0</v>
      </c>
      <c r="V42" s="20">
        <f>IF(E42="","",IF(OR(F42="",T42=""),"",ROUND(F42*T42,2)))</f>
        <v>0</v>
      </c>
      <c r="W42" s="20">
        <f>IF(E42="","",IF(OR(F42="",U42=""),"",ROUND(F42*U42+MAX(0,IF(K42="",0,K42)-IF(J42="",0,J42)),2)))</f>
        <v>0</v>
      </c>
      <c r="X42" s="20">
        <f>IF(E42="","",IF(V42="","",ROUND(V42-W42,2)))</f>
        <v>0</v>
      </c>
      <c r="Y42" s="33">
        <f>IF(E42="","",IF(OR(V42="",V42=0),"",X42/V42))</f>
        <v>0</v>
      </c>
      <c r="Z42" s="41">
        <f>IF(E42="","",IFERROR(ROUND(F42*INDEX(Products!$X$5:$X$304,MATCH(E42,Products!$A$5:$A$304,0))/60,1),""))</f>
        <v>0</v>
      </c>
      <c r="AA42" s="20">
        <f>IF(E42="","",IF(OR(Z42="",Z42=0),"",ROUND(X42/Z42,2)))</f>
        <v>0</v>
      </c>
      <c r="AB42" s="42">
        <f>IF(E42="","",IF(V42="","",IF(AND(V42&gt;=MinOrderValue,F42&gt;=MinOrderQty),"Yes","No")))</f>
        <v>0</v>
      </c>
      <c r="AC42" s="32">
        <f>IF(B42="","",IF(I42="","",I42-B42))</f>
        <v>0</v>
      </c>
      <c r="AD42" s="43">
        <f>IF(B42="","",IF(E42="","Add - which product?",IF(X42&lt;0,"Loss - this order costs you money",IF(AND(Y42&lt;&gt;"",Y42&lt;TargetWholesaleMargin),"Low margin - the discount is too deep",IF(AND(H42&lt;&gt;"",I42="",H42&lt;TodayDate),"Overdue - not despatched",IF(AND(M42="No",I42&lt;&gt;"",TodayDate-I42&gt;30),"Chase - unpaid over 30 days",IF(AB42="No","Check - below your minimum order","OK")))))))</f>
        <v>0</v>
      </c>
    </row>
    <row r="43" spans="1:30">
      <c r="A43" s="38">
        <f>IF(B43="","",OrderPrefix&amp;TEXT(ROW()-4,"0000"))</f>
        <v>0</v>
      </c>
      <c r="O43" s="13">
        <f>IF(C43="","",IFERROR(INDEX('Wholesale Customers'!$B$5:$B$64,MATCH(C43,'Wholesale Customers'!$A$5:$A$64,0)),"Not found"))</f>
        <v>0</v>
      </c>
      <c r="P43" s="13">
        <f>IF(E43="","",IFERROR(INDEX(Products!$B$5:$B$304,MATCH(E43,Products!$A$5:$A$304,0)),"Not found"))</f>
        <v>0</v>
      </c>
      <c r="Q43" s="13">
        <f>IF(B43="","",TEXT(B43,"yyyy-mm"))</f>
        <v>0</v>
      </c>
      <c r="R43" s="33">
        <f>IF(C43="","",IFERROR(INDEX('Wholesale Customers'!$P$5:$P$64,MATCH(C43,'Wholesale Customers'!$A$5:$A$64,0)),WholesaleDiscount))</f>
        <v>0</v>
      </c>
      <c r="S43" s="20">
        <f>IF(E43="","",IFERROR(INDEX(Products!$AR$5:$AR$304,MATCH(E43,Products!$A$5:$A$304,0)),""))</f>
        <v>0</v>
      </c>
      <c r="T43" s="20">
        <f>IF(E43="","",IF(G43&lt;&gt;"",G43,IF(S43="","",ROUND(S43*(1-R43),2))))</f>
        <v>0</v>
      </c>
      <c r="U43" s="20">
        <f>IF(E43="","",IFERROR(INDEX(Products!$AH$5:$AH$304,MATCH(E43,Products!$A$5:$A$304,0)),""))</f>
        <v>0</v>
      </c>
      <c r="V43" s="20">
        <f>IF(E43="","",IF(OR(F43="",T43=""),"",ROUND(F43*T43,2)))</f>
        <v>0</v>
      </c>
      <c r="W43" s="20">
        <f>IF(E43="","",IF(OR(F43="",U43=""),"",ROUND(F43*U43+MAX(0,IF(K43="",0,K43)-IF(J43="",0,J43)),2)))</f>
        <v>0</v>
      </c>
      <c r="X43" s="20">
        <f>IF(E43="","",IF(V43="","",ROUND(V43-W43,2)))</f>
        <v>0</v>
      </c>
      <c r="Y43" s="33">
        <f>IF(E43="","",IF(OR(V43="",V43=0),"",X43/V43))</f>
        <v>0</v>
      </c>
      <c r="Z43" s="41">
        <f>IF(E43="","",IFERROR(ROUND(F43*INDEX(Products!$X$5:$X$304,MATCH(E43,Products!$A$5:$A$304,0))/60,1),""))</f>
        <v>0</v>
      </c>
      <c r="AA43" s="20">
        <f>IF(E43="","",IF(OR(Z43="",Z43=0),"",ROUND(X43/Z43,2)))</f>
        <v>0</v>
      </c>
      <c r="AB43" s="42">
        <f>IF(E43="","",IF(V43="","",IF(AND(V43&gt;=MinOrderValue,F43&gt;=MinOrderQty),"Yes","No")))</f>
        <v>0</v>
      </c>
      <c r="AC43" s="32">
        <f>IF(B43="","",IF(I43="","",I43-B43))</f>
        <v>0</v>
      </c>
      <c r="AD43" s="43">
        <f>IF(B43="","",IF(E43="","Add - which product?",IF(X43&lt;0,"Loss - this order costs you money",IF(AND(Y43&lt;&gt;"",Y43&lt;TargetWholesaleMargin),"Low margin - the discount is too deep",IF(AND(H43&lt;&gt;"",I43="",H43&lt;TodayDate),"Overdue - not despatched",IF(AND(M43="No",I43&lt;&gt;"",TodayDate-I43&gt;30),"Chase - unpaid over 30 days",IF(AB43="No","Check - below your minimum order","OK")))))))</f>
        <v>0</v>
      </c>
    </row>
    <row r="44" spans="1:30">
      <c r="A44" s="38">
        <f>IF(B44="","",OrderPrefix&amp;TEXT(ROW()-4,"0000"))</f>
        <v>0</v>
      </c>
      <c r="O44" s="13">
        <f>IF(C44="","",IFERROR(INDEX('Wholesale Customers'!$B$5:$B$64,MATCH(C44,'Wholesale Customers'!$A$5:$A$64,0)),"Not found"))</f>
        <v>0</v>
      </c>
      <c r="P44" s="13">
        <f>IF(E44="","",IFERROR(INDEX(Products!$B$5:$B$304,MATCH(E44,Products!$A$5:$A$304,0)),"Not found"))</f>
        <v>0</v>
      </c>
      <c r="Q44" s="13">
        <f>IF(B44="","",TEXT(B44,"yyyy-mm"))</f>
        <v>0</v>
      </c>
      <c r="R44" s="33">
        <f>IF(C44="","",IFERROR(INDEX('Wholesale Customers'!$P$5:$P$64,MATCH(C44,'Wholesale Customers'!$A$5:$A$64,0)),WholesaleDiscount))</f>
        <v>0</v>
      </c>
      <c r="S44" s="20">
        <f>IF(E44="","",IFERROR(INDEX(Products!$AR$5:$AR$304,MATCH(E44,Products!$A$5:$A$304,0)),""))</f>
        <v>0</v>
      </c>
      <c r="T44" s="20">
        <f>IF(E44="","",IF(G44&lt;&gt;"",G44,IF(S44="","",ROUND(S44*(1-R44),2))))</f>
        <v>0</v>
      </c>
      <c r="U44" s="20">
        <f>IF(E44="","",IFERROR(INDEX(Products!$AH$5:$AH$304,MATCH(E44,Products!$A$5:$A$304,0)),""))</f>
        <v>0</v>
      </c>
      <c r="V44" s="20">
        <f>IF(E44="","",IF(OR(F44="",T44=""),"",ROUND(F44*T44,2)))</f>
        <v>0</v>
      </c>
      <c r="W44" s="20">
        <f>IF(E44="","",IF(OR(F44="",U44=""),"",ROUND(F44*U44+MAX(0,IF(K44="",0,K44)-IF(J44="",0,J44)),2)))</f>
        <v>0</v>
      </c>
      <c r="X44" s="20">
        <f>IF(E44="","",IF(V44="","",ROUND(V44-W44,2)))</f>
        <v>0</v>
      </c>
      <c r="Y44" s="33">
        <f>IF(E44="","",IF(OR(V44="",V44=0),"",X44/V44))</f>
        <v>0</v>
      </c>
      <c r="Z44" s="41">
        <f>IF(E44="","",IFERROR(ROUND(F44*INDEX(Products!$X$5:$X$304,MATCH(E44,Products!$A$5:$A$304,0))/60,1),""))</f>
        <v>0</v>
      </c>
      <c r="AA44" s="20">
        <f>IF(E44="","",IF(OR(Z44="",Z44=0),"",ROUND(X44/Z44,2)))</f>
        <v>0</v>
      </c>
      <c r="AB44" s="42">
        <f>IF(E44="","",IF(V44="","",IF(AND(V44&gt;=MinOrderValue,F44&gt;=MinOrderQty),"Yes","No")))</f>
        <v>0</v>
      </c>
      <c r="AC44" s="32">
        <f>IF(B44="","",IF(I44="","",I44-B44))</f>
        <v>0</v>
      </c>
      <c r="AD44" s="43">
        <f>IF(B44="","",IF(E44="","Add - which product?",IF(X44&lt;0,"Loss - this order costs you money",IF(AND(Y44&lt;&gt;"",Y44&lt;TargetWholesaleMargin),"Low margin - the discount is too deep",IF(AND(H44&lt;&gt;"",I44="",H44&lt;TodayDate),"Overdue - not despatched",IF(AND(M44="No",I44&lt;&gt;"",TodayDate-I44&gt;30),"Chase - unpaid over 30 days",IF(AB44="No","Check - below your minimum order","OK")))))))</f>
        <v>0</v>
      </c>
    </row>
    <row r="45" spans="1:30">
      <c r="A45" s="38">
        <f>IF(B45="","",OrderPrefix&amp;TEXT(ROW()-4,"0000"))</f>
        <v>0</v>
      </c>
      <c r="O45" s="13">
        <f>IF(C45="","",IFERROR(INDEX('Wholesale Customers'!$B$5:$B$64,MATCH(C45,'Wholesale Customers'!$A$5:$A$64,0)),"Not found"))</f>
        <v>0</v>
      </c>
      <c r="P45" s="13">
        <f>IF(E45="","",IFERROR(INDEX(Products!$B$5:$B$304,MATCH(E45,Products!$A$5:$A$304,0)),"Not found"))</f>
        <v>0</v>
      </c>
      <c r="Q45" s="13">
        <f>IF(B45="","",TEXT(B45,"yyyy-mm"))</f>
        <v>0</v>
      </c>
      <c r="R45" s="33">
        <f>IF(C45="","",IFERROR(INDEX('Wholesale Customers'!$P$5:$P$64,MATCH(C45,'Wholesale Customers'!$A$5:$A$64,0)),WholesaleDiscount))</f>
        <v>0</v>
      </c>
      <c r="S45" s="20">
        <f>IF(E45="","",IFERROR(INDEX(Products!$AR$5:$AR$304,MATCH(E45,Products!$A$5:$A$304,0)),""))</f>
        <v>0</v>
      </c>
      <c r="T45" s="20">
        <f>IF(E45="","",IF(G45&lt;&gt;"",G45,IF(S45="","",ROUND(S45*(1-R45),2))))</f>
        <v>0</v>
      </c>
      <c r="U45" s="20">
        <f>IF(E45="","",IFERROR(INDEX(Products!$AH$5:$AH$304,MATCH(E45,Products!$A$5:$A$304,0)),""))</f>
        <v>0</v>
      </c>
      <c r="V45" s="20">
        <f>IF(E45="","",IF(OR(F45="",T45=""),"",ROUND(F45*T45,2)))</f>
        <v>0</v>
      </c>
      <c r="W45" s="20">
        <f>IF(E45="","",IF(OR(F45="",U45=""),"",ROUND(F45*U45+MAX(0,IF(K45="",0,K45)-IF(J45="",0,J45)),2)))</f>
        <v>0</v>
      </c>
      <c r="X45" s="20">
        <f>IF(E45="","",IF(V45="","",ROUND(V45-W45,2)))</f>
        <v>0</v>
      </c>
      <c r="Y45" s="33">
        <f>IF(E45="","",IF(OR(V45="",V45=0),"",X45/V45))</f>
        <v>0</v>
      </c>
      <c r="Z45" s="41">
        <f>IF(E45="","",IFERROR(ROUND(F45*INDEX(Products!$X$5:$X$304,MATCH(E45,Products!$A$5:$A$304,0))/60,1),""))</f>
        <v>0</v>
      </c>
      <c r="AA45" s="20">
        <f>IF(E45="","",IF(OR(Z45="",Z45=0),"",ROUND(X45/Z45,2)))</f>
        <v>0</v>
      </c>
      <c r="AB45" s="42">
        <f>IF(E45="","",IF(V45="","",IF(AND(V45&gt;=MinOrderValue,F45&gt;=MinOrderQty),"Yes","No")))</f>
        <v>0</v>
      </c>
      <c r="AC45" s="32">
        <f>IF(B45="","",IF(I45="","",I45-B45))</f>
        <v>0</v>
      </c>
      <c r="AD45" s="43">
        <f>IF(B45="","",IF(E45="","Add - which product?",IF(X45&lt;0,"Loss - this order costs you money",IF(AND(Y45&lt;&gt;"",Y45&lt;TargetWholesaleMargin),"Low margin - the discount is too deep",IF(AND(H45&lt;&gt;"",I45="",H45&lt;TodayDate),"Overdue - not despatched",IF(AND(M45="No",I45&lt;&gt;"",TodayDate-I45&gt;30),"Chase - unpaid over 30 days",IF(AB45="No","Check - below your minimum order","OK")))))))</f>
        <v>0</v>
      </c>
    </row>
    <row r="46" spans="1:30">
      <c r="A46" s="38">
        <f>IF(B46="","",OrderPrefix&amp;TEXT(ROW()-4,"0000"))</f>
        <v>0</v>
      </c>
      <c r="O46" s="13">
        <f>IF(C46="","",IFERROR(INDEX('Wholesale Customers'!$B$5:$B$64,MATCH(C46,'Wholesale Customers'!$A$5:$A$64,0)),"Not found"))</f>
        <v>0</v>
      </c>
      <c r="P46" s="13">
        <f>IF(E46="","",IFERROR(INDEX(Products!$B$5:$B$304,MATCH(E46,Products!$A$5:$A$304,0)),"Not found"))</f>
        <v>0</v>
      </c>
      <c r="Q46" s="13">
        <f>IF(B46="","",TEXT(B46,"yyyy-mm"))</f>
        <v>0</v>
      </c>
      <c r="R46" s="33">
        <f>IF(C46="","",IFERROR(INDEX('Wholesale Customers'!$P$5:$P$64,MATCH(C46,'Wholesale Customers'!$A$5:$A$64,0)),WholesaleDiscount))</f>
        <v>0</v>
      </c>
      <c r="S46" s="20">
        <f>IF(E46="","",IFERROR(INDEX(Products!$AR$5:$AR$304,MATCH(E46,Products!$A$5:$A$304,0)),""))</f>
        <v>0</v>
      </c>
      <c r="T46" s="20">
        <f>IF(E46="","",IF(G46&lt;&gt;"",G46,IF(S46="","",ROUND(S46*(1-R46),2))))</f>
        <v>0</v>
      </c>
      <c r="U46" s="20">
        <f>IF(E46="","",IFERROR(INDEX(Products!$AH$5:$AH$304,MATCH(E46,Products!$A$5:$A$304,0)),""))</f>
        <v>0</v>
      </c>
      <c r="V46" s="20">
        <f>IF(E46="","",IF(OR(F46="",T46=""),"",ROUND(F46*T46,2)))</f>
        <v>0</v>
      </c>
      <c r="W46" s="20">
        <f>IF(E46="","",IF(OR(F46="",U46=""),"",ROUND(F46*U46+MAX(0,IF(K46="",0,K46)-IF(J46="",0,J46)),2)))</f>
        <v>0</v>
      </c>
      <c r="X46" s="20">
        <f>IF(E46="","",IF(V46="","",ROUND(V46-W46,2)))</f>
        <v>0</v>
      </c>
      <c r="Y46" s="33">
        <f>IF(E46="","",IF(OR(V46="",V46=0),"",X46/V46))</f>
        <v>0</v>
      </c>
      <c r="Z46" s="41">
        <f>IF(E46="","",IFERROR(ROUND(F46*INDEX(Products!$X$5:$X$304,MATCH(E46,Products!$A$5:$A$304,0))/60,1),""))</f>
        <v>0</v>
      </c>
      <c r="AA46" s="20">
        <f>IF(E46="","",IF(OR(Z46="",Z46=0),"",ROUND(X46/Z46,2)))</f>
        <v>0</v>
      </c>
      <c r="AB46" s="42">
        <f>IF(E46="","",IF(V46="","",IF(AND(V46&gt;=MinOrderValue,F46&gt;=MinOrderQty),"Yes","No")))</f>
        <v>0</v>
      </c>
      <c r="AC46" s="32">
        <f>IF(B46="","",IF(I46="","",I46-B46))</f>
        <v>0</v>
      </c>
      <c r="AD46" s="43">
        <f>IF(B46="","",IF(E46="","Add - which product?",IF(X46&lt;0,"Loss - this order costs you money",IF(AND(Y46&lt;&gt;"",Y46&lt;TargetWholesaleMargin),"Low margin - the discount is too deep",IF(AND(H46&lt;&gt;"",I46="",H46&lt;TodayDate),"Overdue - not despatched",IF(AND(M46="No",I46&lt;&gt;"",TodayDate-I46&gt;30),"Chase - unpaid over 30 days",IF(AB46="No","Check - below your minimum order","OK")))))))</f>
        <v>0</v>
      </c>
    </row>
    <row r="47" spans="1:30">
      <c r="A47" s="38">
        <f>IF(B47="","",OrderPrefix&amp;TEXT(ROW()-4,"0000"))</f>
        <v>0</v>
      </c>
      <c r="O47" s="13">
        <f>IF(C47="","",IFERROR(INDEX('Wholesale Customers'!$B$5:$B$64,MATCH(C47,'Wholesale Customers'!$A$5:$A$64,0)),"Not found"))</f>
        <v>0</v>
      </c>
      <c r="P47" s="13">
        <f>IF(E47="","",IFERROR(INDEX(Products!$B$5:$B$304,MATCH(E47,Products!$A$5:$A$304,0)),"Not found"))</f>
        <v>0</v>
      </c>
      <c r="Q47" s="13">
        <f>IF(B47="","",TEXT(B47,"yyyy-mm"))</f>
        <v>0</v>
      </c>
      <c r="R47" s="33">
        <f>IF(C47="","",IFERROR(INDEX('Wholesale Customers'!$P$5:$P$64,MATCH(C47,'Wholesale Customers'!$A$5:$A$64,0)),WholesaleDiscount))</f>
        <v>0</v>
      </c>
      <c r="S47" s="20">
        <f>IF(E47="","",IFERROR(INDEX(Products!$AR$5:$AR$304,MATCH(E47,Products!$A$5:$A$304,0)),""))</f>
        <v>0</v>
      </c>
      <c r="T47" s="20">
        <f>IF(E47="","",IF(G47&lt;&gt;"",G47,IF(S47="","",ROUND(S47*(1-R47),2))))</f>
        <v>0</v>
      </c>
      <c r="U47" s="20">
        <f>IF(E47="","",IFERROR(INDEX(Products!$AH$5:$AH$304,MATCH(E47,Products!$A$5:$A$304,0)),""))</f>
        <v>0</v>
      </c>
      <c r="V47" s="20">
        <f>IF(E47="","",IF(OR(F47="",T47=""),"",ROUND(F47*T47,2)))</f>
        <v>0</v>
      </c>
      <c r="W47" s="20">
        <f>IF(E47="","",IF(OR(F47="",U47=""),"",ROUND(F47*U47+MAX(0,IF(K47="",0,K47)-IF(J47="",0,J47)),2)))</f>
        <v>0</v>
      </c>
      <c r="X47" s="20">
        <f>IF(E47="","",IF(V47="","",ROUND(V47-W47,2)))</f>
        <v>0</v>
      </c>
      <c r="Y47" s="33">
        <f>IF(E47="","",IF(OR(V47="",V47=0),"",X47/V47))</f>
        <v>0</v>
      </c>
      <c r="Z47" s="41">
        <f>IF(E47="","",IFERROR(ROUND(F47*INDEX(Products!$X$5:$X$304,MATCH(E47,Products!$A$5:$A$304,0))/60,1),""))</f>
        <v>0</v>
      </c>
      <c r="AA47" s="20">
        <f>IF(E47="","",IF(OR(Z47="",Z47=0),"",ROUND(X47/Z47,2)))</f>
        <v>0</v>
      </c>
      <c r="AB47" s="42">
        <f>IF(E47="","",IF(V47="","",IF(AND(V47&gt;=MinOrderValue,F47&gt;=MinOrderQty),"Yes","No")))</f>
        <v>0</v>
      </c>
      <c r="AC47" s="32">
        <f>IF(B47="","",IF(I47="","",I47-B47))</f>
        <v>0</v>
      </c>
      <c r="AD47" s="43">
        <f>IF(B47="","",IF(E47="","Add - which product?",IF(X47&lt;0,"Loss - this order costs you money",IF(AND(Y47&lt;&gt;"",Y47&lt;TargetWholesaleMargin),"Low margin - the discount is too deep",IF(AND(H47&lt;&gt;"",I47="",H47&lt;TodayDate),"Overdue - not despatched",IF(AND(M47="No",I47&lt;&gt;"",TodayDate-I47&gt;30),"Chase - unpaid over 30 days",IF(AB47="No","Check - below your minimum order","OK")))))))</f>
        <v>0</v>
      </c>
    </row>
    <row r="48" spans="1:30">
      <c r="A48" s="38">
        <f>IF(B48="","",OrderPrefix&amp;TEXT(ROW()-4,"0000"))</f>
        <v>0</v>
      </c>
      <c r="O48" s="13">
        <f>IF(C48="","",IFERROR(INDEX('Wholesale Customers'!$B$5:$B$64,MATCH(C48,'Wholesale Customers'!$A$5:$A$64,0)),"Not found"))</f>
        <v>0</v>
      </c>
      <c r="P48" s="13">
        <f>IF(E48="","",IFERROR(INDEX(Products!$B$5:$B$304,MATCH(E48,Products!$A$5:$A$304,0)),"Not found"))</f>
        <v>0</v>
      </c>
      <c r="Q48" s="13">
        <f>IF(B48="","",TEXT(B48,"yyyy-mm"))</f>
        <v>0</v>
      </c>
      <c r="R48" s="33">
        <f>IF(C48="","",IFERROR(INDEX('Wholesale Customers'!$P$5:$P$64,MATCH(C48,'Wholesale Customers'!$A$5:$A$64,0)),WholesaleDiscount))</f>
        <v>0</v>
      </c>
      <c r="S48" s="20">
        <f>IF(E48="","",IFERROR(INDEX(Products!$AR$5:$AR$304,MATCH(E48,Products!$A$5:$A$304,0)),""))</f>
        <v>0</v>
      </c>
      <c r="T48" s="20">
        <f>IF(E48="","",IF(G48&lt;&gt;"",G48,IF(S48="","",ROUND(S48*(1-R48),2))))</f>
        <v>0</v>
      </c>
      <c r="U48" s="20">
        <f>IF(E48="","",IFERROR(INDEX(Products!$AH$5:$AH$304,MATCH(E48,Products!$A$5:$A$304,0)),""))</f>
        <v>0</v>
      </c>
      <c r="V48" s="20">
        <f>IF(E48="","",IF(OR(F48="",T48=""),"",ROUND(F48*T48,2)))</f>
        <v>0</v>
      </c>
      <c r="W48" s="20">
        <f>IF(E48="","",IF(OR(F48="",U48=""),"",ROUND(F48*U48+MAX(0,IF(K48="",0,K48)-IF(J48="",0,J48)),2)))</f>
        <v>0</v>
      </c>
      <c r="X48" s="20">
        <f>IF(E48="","",IF(V48="","",ROUND(V48-W48,2)))</f>
        <v>0</v>
      </c>
      <c r="Y48" s="33">
        <f>IF(E48="","",IF(OR(V48="",V48=0),"",X48/V48))</f>
        <v>0</v>
      </c>
      <c r="Z48" s="41">
        <f>IF(E48="","",IFERROR(ROUND(F48*INDEX(Products!$X$5:$X$304,MATCH(E48,Products!$A$5:$A$304,0))/60,1),""))</f>
        <v>0</v>
      </c>
      <c r="AA48" s="20">
        <f>IF(E48="","",IF(OR(Z48="",Z48=0),"",ROUND(X48/Z48,2)))</f>
        <v>0</v>
      </c>
      <c r="AB48" s="42">
        <f>IF(E48="","",IF(V48="","",IF(AND(V48&gt;=MinOrderValue,F48&gt;=MinOrderQty),"Yes","No")))</f>
        <v>0</v>
      </c>
      <c r="AC48" s="32">
        <f>IF(B48="","",IF(I48="","",I48-B48))</f>
        <v>0</v>
      </c>
      <c r="AD48" s="43">
        <f>IF(B48="","",IF(E48="","Add - which product?",IF(X48&lt;0,"Loss - this order costs you money",IF(AND(Y48&lt;&gt;"",Y48&lt;TargetWholesaleMargin),"Low margin - the discount is too deep",IF(AND(H48&lt;&gt;"",I48="",H48&lt;TodayDate),"Overdue - not despatched",IF(AND(M48="No",I48&lt;&gt;"",TodayDate-I48&gt;30),"Chase - unpaid over 30 days",IF(AB48="No","Check - below your minimum order","OK")))))))</f>
        <v>0</v>
      </c>
    </row>
    <row r="49" spans="1:30">
      <c r="A49" s="38">
        <f>IF(B49="","",OrderPrefix&amp;TEXT(ROW()-4,"0000"))</f>
        <v>0</v>
      </c>
      <c r="O49" s="13">
        <f>IF(C49="","",IFERROR(INDEX('Wholesale Customers'!$B$5:$B$64,MATCH(C49,'Wholesale Customers'!$A$5:$A$64,0)),"Not found"))</f>
        <v>0</v>
      </c>
      <c r="P49" s="13">
        <f>IF(E49="","",IFERROR(INDEX(Products!$B$5:$B$304,MATCH(E49,Products!$A$5:$A$304,0)),"Not found"))</f>
        <v>0</v>
      </c>
      <c r="Q49" s="13">
        <f>IF(B49="","",TEXT(B49,"yyyy-mm"))</f>
        <v>0</v>
      </c>
      <c r="R49" s="33">
        <f>IF(C49="","",IFERROR(INDEX('Wholesale Customers'!$P$5:$P$64,MATCH(C49,'Wholesale Customers'!$A$5:$A$64,0)),WholesaleDiscount))</f>
        <v>0</v>
      </c>
      <c r="S49" s="20">
        <f>IF(E49="","",IFERROR(INDEX(Products!$AR$5:$AR$304,MATCH(E49,Products!$A$5:$A$304,0)),""))</f>
        <v>0</v>
      </c>
      <c r="T49" s="20">
        <f>IF(E49="","",IF(G49&lt;&gt;"",G49,IF(S49="","",ROUND(S49*(1-R49),2))))</f>
        <v>0</v>
      </c>
      <c r="U49" s="20">
        <f>IF(E49="","",IFERROR(INDEX(Products!$AH$5:$AH$304,MATCH(E49,Products!$A$5:$A$304,0)),""))</f>
        <v>0</v>
      </c>
      <c r="V49" s="20">
        <f>IF(E49="","",IF(OR(F49="",T49=""),"",ROUND(F49*T49,2)))</f>
        <v>0</v>
      </c>
      <c r="W49" s="20">
        <f>IF(E49="","",IF(OR(F49="",U49=""),"",ROUND(F49*U49+MAX(0,IF(K49="",0,K49)-IF(J49="",0,J49)),2)))</f>
        <v>0</v>
      </c>
      <c r="X49" s="20">
        <f>IF(E49="","",IF(V49="","",ROUND(V49-W49,2)))</f>
        <v>0</v>
      </c>
      <c r="Y49" s="33">
        <f>IF(E49="","",IF(OR(V49="",V49=0),"",X49/V49))</f>
        <v>0</v>
      </c>
      <c r="Z49" s="41">
        <f>IF(E49="","",IFERROR(ROUND(F49*INDEX(Products!$X$5:$X$304,MATCH(E49,Products!$A$5:$A$304,0))/60,1),""))</f>
        <v>0</v>
      </c>
      <c r="AA49" s="20">
        <f>IF(E49="","",IF(OR(Z49="",Z49=0),"",ROUND(X49/Z49,2)))</f>
        <v>0</v>
      </c>
      <c r="AB49" s="42">
        <f>IF(E49="","",IF(V49="","",IF(AND(V49&gt;=MinOrderValue,F49&gt;=MinOrderQty),"Yes","No")))</f>
        <v>0</v>
      </c>
      <c r="AC49" s="32">
        <f>IF(B49="","",IF(I49="","",I49-B49))</f>
        <v>0</v>
      </c>
      <c r="AD49" s="43">
        <f>IF(B49="","",IF(E49="","Add - which product?",IF(X49&lt;0,"Loss - this order costs you money",IF(AND(Y49&lt;&gt;"",Y49&lt;TargetWholesaleMargin),"Low margin - the discount is too deep",IF(AND(H49&lt;&gt;"",I49="",H49&lt;TodayDate),"Overdue - not despatched",IF(AND(M49="No",I49&lt;&gt;"",TodayDate-I49&gt;30),"Chase - unpaid over 30 days",IF(AB49="No","Check - below your minimum order","OK")))))))</f>
        <v>0</v>
      </c>
    </row>
    <row r="50" spans="1:30">
      <c r="A50" s="38">
        <f>IF(B50="","",OrderPrefix&amp;TEXT(ROW()-4,"0000"))</f>
        <v>0</v>
      </c>
      <c r="O50" s="13">
        <f>IF(C50="","",IFERROR(INDEX('Wholesale Customers'!$B$5:$B$64,MATCH(C50,'Wholesale Customers'!$A$5:$A$64,0)),"Not found"))</f>
        <v>0</v>
      </c>
      <c r="P50" s="13">
        <f>IF(E50="","",IFERROR(INDEX(Products!$B$5:$B$304,MATCH(E50,Products!$A$5:$A$304,0)),"Not found"))</f>
        <v>0</v>
      </c>
      <c r="Q50" s="13">
        <f>IF(B50="","",TEXT(B50,"yyyy-mm"))</f>
        <v>0</v>
      </c>
      <c r="R50" s="33">
        <f>IF(C50="","",IFERROR(INDEX('Wholesale Customers'!$P$5:$P$64,MATCH(C50,'Wholesale Customers'!$A$5:$A$64,0)),WholesaleDiscount))</f>
        <v>0</v>
      </c>
      <c r="S50" s="20">
        <f>IF(E50="","",IFERROR(INDEX(Products!$AR$5:$AR$304,MATCH(E50,Products!$A$5:$A$304,0)),""))</f>
        <v>0</v>
      </c>
      <c r="T50" s="20">
        <f>IF(E50="","",IF(G50&lt;&gt;"",G50,IF(S50="","",ROUND(S50*(1-R50),2))))</f>
        <v>0</v>
      </c>
      <c r="U50" s="20">
        <f>IF(E50="","",IFERROR(INDEX(Products!$AH$5:$AH$304,MATCH(E50,Products!$A$5:$A$304,0)),""))</f>
        <v>0</v>
      </c>
      <c r="V50" s="20">
        <f>IF(E50="","",IF(OR(F50="",T50=""),"",ROUND(F50*T50,2)))</f>
        <v>0</v>
      </c>
      <c r="W50" s="20">
        <f>IF(E50="","",IF(OR(F50="",U50=""),"",ROUND(F50*U50+MAX(0,IF(K50="",0,K50)-IF(J50="",0,J50)),2)))</f>
        <v>0</v>
      </c>
      <c r="X50" s="20">
        <f>IF(E50="","",IF(V50="","",ROUND(V50-W50,2)))</f>
        <v>0</v>
      </c>
      <c r="Y50" s="33">
        <f>IF(E50="","",IF(OR(V50="",V50=0),"",X50/V50))</f>
        <v>0</v>
      </c>
      <c r="Z50" s="41">
        <f>IF(E50="","",IFERROR(ROUND(F50*INDEX(Products!$X$5:$X$304,MATCH(E50,Products!$A$5:$A$304,0))/60,1),""))</f>
        <v>0</v>
      </c>
      <c r="AA50" s="20">
        <f>IF(E50="","",IF(OR(Z50="",Z50=0),"",ROUND(X50/Z50,2)))</f>
        <v>0</v>
      </c>
      <c r="AB50" s="42">
        <f>IF(E50="","",IF(V50="","",IF(AND(V50&gt;=MinOrderValue,F50&gt;=MinOrderQty),"Yes","No")))</f>
        <v>0</v>
      </c>
      <c r="AC50" s="32">
        <f>IF(B50="","",IF(I50="","",I50-B50))</f>
        <v>0</v>
      </c>
      <c r="AD50" s="43">
        <f>IF(B50="","",IF(E50="","Add - which product?",IF(X50&lt;0,"Loss - this order costs you money",IF(AND(Y50&lt;&gt;"",Y50&lt;TargetWholesaleMargin),"Low margin - the discount is too deep",IF(AND(H50&lt;&gt;"",I50="",H50&lt;TodayDate),"Overdue - not despatched",IF(AND(M50="No",I50&lt;&gt;"",TodayDate-I50&gt;30),"Chase - unpaid over 30 days",IF(AB50="No","Check - below your minimum order","OK")))))))</f>
        <v>0</v>
      </c>
    </row>
    <row r="51" spans="1:30">
      <c r="A51" s="38">
        <f>IF(B51="","",OrderPrefix&amp;TEXT(ROW()-4,"0000"))</f>
        <v>0</v>
      </c>
      <c r="O51" s="13">
        <f>IF(C51="","",IFERROR(INDEX('Wholesale Customers'!$B$5:$B$64,MATCH(C51,'Wholesale Customers'!$A$5:$A$64,0)),"Not found"))</f>
        <v>0</v>
      </c>
      <c r="P51" s="13">
        <f>IF(E51="","",IFERROR(INDEX(Products!$B$5:$B$304,MATCH(E51,Products!$A$5:$A$304,0)),"Not found"))</f>
        <v>0</v>
      </c>
      <c r="Q51" s="13">
        <f>IF(B51="","",TEXT(B51,"yyyy-mm"))</f>
        <v>0</v>
      </c>
      <c r="R51" s="33">
        <f>IF(C51="","",IFERROR(INDEX('Wholesale Customers'!$P$5:$P$64,MATCH(C51,'Wholesale Customers'!$A$5:$A$64,0)),WholesaleDiscount))</f>
        <v>0</v>
      </c>
      <c r="S51" s="20">
        <f>IF(E51="","",IFERROR(INDEX(Products!$AR$5:$AR$304,MATCH(E51,Products!$A$5:$A$304,0)),""))</f>
        <v>0</v>
      </c>
      <c r="T51" s="20">
        <f>IF(E51="","",IF(G51&lt;&gt;"",G51,IF(S51="","",ROUND(S51*(1-R51),2))))</f>
        <v>0</v>
      </c>
      <c r="U51" s="20">
        <f>IF(E51="","",IFERROR(INDEX(Products!$AH$5:$AH$304,MATCH(E51,Products!$A$5:$A$304,0)),""))</f>
        <v>0</v>
      </c>
      <c r="V51" s="20">
        <f>IF(E51="","",IF(OR(F51="",T51=""),"",ROUND(F51*T51,2)))</f>
        <v>0</v>
      </c>
      <c r="W51" s="20">
        <f>IF(E51="","",IF(OR(F51="",U51=""),"",ROUND(F51*U51+MAX(0,IF(K51="",0,K51)-IF(J51="",0,J51)),2)))</f>
        <v>0</v>
      </c>
      <c r="X51" s="20">
        <f>IF(E51="","",IF(V51="","",ROUND(V51-W51,2)))</f>
        <v>0</v>
      </c>
      <c r="Y51" s="33">
        <f>IF(E51="","",IF(OR(V51="",V51=0),"",X51/V51))</f>
        <v>0</v>
      </c>
      <c r="Z51" s="41">
        <f>IF(E51="","",IFERROR(ROUND(F51*INDEX(Products!$X$5:$X$304,MATCH(E51,Products!$A$5:$A$304,0))/60,1),""))</f>
        <v>0</v>
      </c>
      <c r="AA51" s="20">
        <f>IF(E51="","",IF(OR(Z51="",Z51=0),"",ROUND(X51/Z51,2)))</f>
        <v>0</v>
      </c>
      <c r="AB51" s="42">
        <f>IF(E51="","",IF(V51="","",IF(AND(V51&gt;=MinOrderValue,F51&gt;=MinOrderQty),"Yes","No")))</f>
        <v>0</v>
      </c>
      <c r="AC51" s="32">
        <f>IF(B51="","",IF(I51="","",I51-B51))</f>
        <v>0</v>
      </c>
      <c r="AD51" s="43">
        <f>IF(B51="","",IF(E51="","Add - which product?",IF(X51&lt;0,"Loss - this order costs you money",IF(AND(Y51&lt;&gt;"",Y51&lt;TargetWholesaleMargin),"Low margin - the discount is too deep",IF(AND(H51&lt;&gt;"",I51="",H51&lt;TodayDate),"Overdue - not despatched",IF(AND(M51="No",I51&lt;&gt;"",TodayDate-I51&gt;30),"Chase - unpaid over 30 days",IF(AB51="No","Check - below your minimum order","OK")))))))</f>
        <v>0</v>
      </c>
    </row>
    <row r="52" spans="1:30">
      <c r="A52" s="38">
        <f>IF(B52="","",OrderPrefix&amp;TEXT(ROW()-4,"0000"))</f>
        <v>0</v>
      </c>
      <c r="O52" s="13">
        <f>IF(C52="","",IFERROR(INDEX('Wholesale Customers'!$B$5:$B$64,MATCH(C52,'Wholesale Customers'!$A$5:$A$64,0)),"Not found"))</f>
        <v>0</v>
      </c>
      <c r="P52" s="13">
        <f>IF(E52="","",IFERROR(INDEX(Products!$B$5:$B$304,MATCH(E52,Products!$A$5:$A$304,0)),"Not found"))</f>
        <v>0</v>
      </c>
      <c r="Q52" s="13">
        <f>IF(B52="","",TEXT(B52,"yyyy-mm"))</f>
        <v>0</v>
      </c>
      <c r="R52" s="33">
        <f>IF(C52="","",IFERROR(INDEX('Wholesale Customers'!$P$5:$P$64,MATCH(C52,'Wholesale Customers'!$A$5:$A$64,0)),WholesaleDiscount))</f>
        <v>0</v>
      </c>
      <c r="S52" s="20">
        <f>IF(E52="","",IFERROR(INDEX(Products!$AR$5:$AR$304,MATCH(E52,Products!$A$5:$A$304,0)),""))</f>
        <v>0</v>
      </c>
      <c r="T52" s="20">
        <f>IF(E52="","",IF(G52&lt;&gt;"",G52,IF(S52="","",ROUND(S52*(1-R52),2))))</f>
        <v>0</v>
      </c>
      <c r="U52" s="20">
        <f>IF(E52="","",IFERROR(INDEX(Products!$AH$5:$AH$304,MATCH(E52,Products!$A$5:$A$304,0)),""))</f>
        <v>0</v>
      </c>
      <c r="V52" s="20">
        <f>IF(E52="","",IF(OR(F52="",T52=""),"",ROUND(F52*T52,2)))</f>
        <v>0</v>
      </c>
      <c r="W52" s="20">
        <f>IF(E52="","",IF(OR(F52="",U52=""),"",ROUND(F52*U52+MAX(0,IF(K52="",0,K52)-IF(J52="",0,J52)),2)))</f>
        <v>0</v>
      </c>
      <c r="X52" s="20">
        <f>IF(E52="","",IF(V52="","",ROUND(V52-W52,2)))</f>
        <v>0</v>
      </c>
      <c r="Y52" s="33">
        <f>IF(E52="","",IF(OR(V52="",V52=0),"",X52/V52))</f>
        <v>0</v>
      </c>
      <c r="Z52" s="41">
        <f>IF(E52="","",IFERROR(ROUND(F52*INDEX(Products!$X$5:$X$304,MATCH(E52,Products!$A$5:$A$304,0))/60,1),""))</f>
        <v>0</v>
      </c>
      <c r="AA52" s="20">
        <f>IF(E52="","",IF(OR(Z52="",Z52=0),"",ROUND(X52/Z52,2)))</f>
        <v>0</v>
      </c>
      <c r="AB52" s="42">
        <f>IF(E52="","",IF(V52="","",IF(AND(V52&gt;=MinOrderValue,F52&gt;=MinOrderQty),"Yes","No")))</f>
        <v>0</v>
      </c>
      <c r="AC52" s="32">
        <f>IF(B52="","",IF(I52="","",I52-B52))</f>
        <v>0</v>
      </c>
      <c r="AD52" s="43">
        <f>IF(B52="","",IF(E52="","Add - which product?",IF(X52&lt;0,"Loss - this order costs you money",IF(AND(Y52&lt;&gt;"",Y52&lt;TargetWholesaleMargin),"Low margin - the discount is too deep",IF(AND(H52&lt;&gt;"",I52="",H52&lt;TodayDate),"Overdue - not despatched",IF(AND(M52="No",I52&lt;&gt;"",TodayDate-I52&gt;30),"Chase - unpaid over 30 days",IF(AB52="No","Check - below your minimum order","OK")))))))</f>
        <v>0</v>
      </c>
    </row>
    <row r="53" spans="1:30">
      <c r="A53" s="38">
        <f>IF(B53="","",OrderPrefix&amp;TEXT(ROW()-4,"0000"))</f>
        <v>0</v>
      </c>
      <c r="O53" s="13">
        <f>IF(C53="","",IFERROR(INDEX('Wholesale Customers'!$B$5:$B$64,MATCH(C53,'Wholesale Customers'!$A$5:$A$64,0)),"Not found"))</f>
        <v>0</v>
      </c>
      <c r="P53" s="13">
        <f>IF(E53="","",IFERROR(INDEX(Products!$B$5:$B$304,MATCH(E53,Products!$A$5:$A$304,0)),"Not found"))</f>
        <v>0</v>
      </c>
      <c r="Q53" s="13">
        <f>IF(B53="","",TEXT(B53,"yyyy-mm"))</f>
        <v>0</v>
      </c>
      <c r="R53" s="33">
        <f>IF(C53="","",IFERROR(INDEX('Wholesale Customers'!$P$5:$P$64,MATCH(C53,'Wholesale Customers'!$A$5:$A$64,0)),WholesaleDiscount))</f>
        <v>0</v>
      </c>
      <c r="S53" s="20">
        <f>IF(E53="","",IFERROR(INDEX(Products!$AR$5:$AR$304,MATCH(E53,Products!$A$5:$A$304,0)),""))</f>
        <v>0</v>
      </c>
      <c r="T53" s="20">
        <f>IF(E53="","",IF(G53&lt;&gt;"",G53,IF(S53="","",ROUND(S53*(1-R53),2))))</f>
        <v>0</v>
      </c>
      <c r="U53" s="20">
        <f>IF(E53="","",IFERROR(INDEX(Products!$AH$5:$AH$304,MATCH(E53,Products!$A$5:$A$304,0)),""))</f>
        <v>0</v>
      </c>
      <c r="V53" s="20">
        <f>IF(E53="","",IF(OR(F53="",T53=""),"",ROUND(F53*T53,2)))</f>
        <v>0</v>
      </c>
      <c r="W53" s="20">
        <f>IF(E53="","",IF(OR(F53="",U53=""),"",ROUND(F53*U53+MAX(0,IF(K53="",0,K53)-IF(J53="",0,J53)),2)))</f>
        <v>0</v>
      </c>
      <c r="X53" s="20">
        <f>IF(E53="","",IF(V53="","",ROUND(V53-W53,2)))</f>
        <v>0</v>
      </c>
      <c r="Y53" s="33">
        <f>IF(E53="","",IF(OR(V53="",V53=0),"",X53/V53))</f>
        <v>0</v>
      </c>
      <c r="Z53" s="41">
        <f>IF(E53="","",IFERROR(ROUND(F53*INDEX(Products!$X$5:$X$304,MATCH(E53,Products!$A$5:$A$304,0))/60,1),""))</f>
        <v>0</v>
      </c>
      <c r="AA53" s="20">
        <f>IF(E53="","",IF(OR(Z53="",Z53=0),"",ROUND(X53/Z53,2)))</f>
        <v>0</v>
      </c>
      <c r="AB53" s="42">
        <f>IF(E53="","",IF(V53="","",IF(AND(V53&gt;=MinOrderValue,F53&gt;=MinOrderQty),"Yes","No")))</f>
        <v>0</v>
      </c>
      <c r="AC53" s="32">
        <f>IF(B53="","",IF(I53="","",I53-B53))</f>
        <v>0</v>
      </c>
      <c r="AD53" s="43">
        <f>IF(B53="","",IF(E53="","Add - which product?",IF(X53&lt;0,"Loss - this order costs you money",IF(AND(Y53&lt;&gt;"",Y53&lt;TargetWholesaleMargin),"Low margin - the discount is too deep",IF(AND(H53&lt;&gt;"",I53="",H53&lt;TodayDate),"Overdue - not despatched",IF(AND(M53="No",I53&lt;&gt;"",TodayDate-I53&gt;30),"Chase - unpaid over 30 days",IF(AB53="No","Check - below your minimum order","OK")))))))</f>
        <v>0</v>
      </c>
    </row>
    <row r="54" spans="1:30">
      <c r="A54" s="38">
        <f>IF(B54="","",OrderPrefix&amp;TEXT(ROW()-4,"0000"))</f>
        <v>0</v>
      </c>
      <c r="O54" s="13">
        <f>IF(C54="","",IFERROR(INDEX('Wholesale Customers'!$B$5:$B$64,MATCH(C54,'Wholesale Customers'!$A$5:$A$64,0)),"Not found"))</f>
        <v>0</v>
      </c>
      <c r="P54" s="13">
        <f>IF(E54="","",IFERROR(INDEX(Products!$B$5:$B$304,MATCH(E54,Products!$A$5:$A$304,0)),"Not found"))</f>
        <v>0</v>
      </c>
      <c r="Q54" s="13">
        <f>IF(B54="","",TEXT(B54,"yyyy-mm"))</f>
        <v>0</v>
      </c>
      <c r="R54" s="33">
        <f>IF(C54="","",IFERROR(INDEX('Wholesale Customers'!$P$5:$P$64,MATCH(C54,'Wholesale Customers'!$A$5:$A$64,0)),WholesaleDiscount))</f>
        <v>0</v>
      </c>
      <c r="S54" s="20">
        <f>IF(E54="","",IFERROR(INDEX(Products!$AR$5:$AR$304,MATCH(E54,Products!$A$5:$A$304,0)),""))</f>
        <v>0</v>
      </c>
      <c r="T54" s="20">
        <f>IF(E54="","",IF(G54&lt;&gt;"",G54,IF(S54="","",ROUND(S54*(1-R54),2))))</f>
        <v>0</v>
      </c>
      <c r="U54" s="20">
        <f>IF(E54="","",IFERROR(INDEX(Products!$AH$5:$AH$304,MATCH(E54,Products!$A$5:$A$304,0)),""))</f>
        <v>0</v>
      </c>
      <c r="V54" s="20">
        <f>IF(E54="","",IF(OR(F54="",T54=""),"",ROUND(F54*T54,2)))</f>
        <v>0</v>
      </c>
      <c r="W54" s="20">
        <f>IF(E54="","",IF(OR(F54="",U54=""),"",ROUND(F54*U54+MAX(0,IF(K54="",0,K54)-IF(J54="",0,J54)),2)))</f>
        <v>0</v>
      </c>
      <c r="X54" s="20">
        <f>IF(E54="","",IF(V54="","",ROUND(V54-W54,2)))</f>
        <v>0</v>
      </c>
      <c r="Y54" s="33">
        <f>IF(E54="","",IF(OR(V54="",V54=0),"",X54/V54))</f>
        <v>0</v>
      </c>
      <c r="Z54" s="41">
        <f>IF(E54="","",IFERROR(ROUND(F54*INDEX(Products!$X$5:$X$304,MATCH(E54,Products!$A$5:$A$304,0))/60,1),""))</f>
        <v>0</v>
      </c>
      <c r="AA54" s="20">
        <f>IF(E54="","",IF(OR(Z54="",Z54=0),"",ROUND(X54/Z54,2)))</f>
        <v>0</v>
      </c>
      <c r="AB54" s="42">
        <f>IF(E54="","",IF(V54="","",IF(AND(V54&gt;=MinOrderValue,F54&gt;=MinOrderQty),"Yes","No")))</f>
        <v>0</v>
      </c>
      <c r="AC54" s="32">
        <f>IF(B54="","",IF(I54="","",I54-B54))</f>
        <v>0</v>
      </c>
      <c r="AD54" s="43">
        <f>IF(B54="","",IF(E54="","Add - which product?",IF(X54&lt;0,"Loss - this order costs you money",IF(AND(Y54&lt;&gt;"",Y54&lt;TargetWholesaleMargin),"Low margin - the discount is too deep",IF(AND(H54&lt;&gt;"",I54="",H54&lt;TodayDate),"Overdue - not despatched",IF(AND(M54="No",I54&lt;&gt;"",TodayDate-I54&gt;30),"Chase - unpaid over 30 days",IF(AB54="No","Check - below your minimum order","OK")))))))</f>
        <v>0</v>
      </c>
    </row>
    <row r="55" spans="1:30">
      <c r="A55" s="38">
        <f>IF(B55="","",OrderPrefix&amp;TEXT(ROW()-4,"0000"))</f>
        <v>0</v>
      </c>
      <c r="O55" s="13">
        <f>IF(C55="","",IFERROR(INDEX('Wholesale Customers'!$B$5:$B$64,MATCH(C55,'Wholesale Customers'!$A$5:$A$64,0)),"Not found"))</f>
        <v>0</v>
      </c>
      <c r="P55" s="13">
        <f>IF(E55="","",IFERROR(INDEX(Products!$B$5:$B$304,MATCH(E55,Products!$A$5:$A$304,0)),"Not found"))</f>
        <v>0</v>
      </c>
      <c r="Q55" s="13">
        <f>IF(B55="","",TEXT(B55,"yyyy-mm"))</f>
        <v>0</v>
      </c>
      <c r="R55" s="33">
        <f>IF(C55="","",IFERROR(INDEX('Wholesale Customers'!$P$5:$P$64,MATCH(C55,'Wholesale Customers'!$A$5:$A$64,0)),WholesaleDiscount))</f>
        <v>0</v>
      </c>
      <c r="S55" s="20">
        <f>IF(E55="","",IFERROR(INDEX(Products!$AR$5:$AR$304,MATCH(E55,Products!$A$5:$A$304,0)),""))</f>
        <v>0</v>
      </c>
      <c r="T55" s="20">
        <f>IF(E55="","",IF(G55&lt;&gt;"",G55,IF(S55="","",ROUND(S55*(1-R55),2))))</f>
        <v>0</v>
      </c>
      <c r="U55" s="20">
        <f>IF(E55="","",IFERROR(INDEX(Products!$AH$5:$AH$304,MATCH(E55,Products!$A$5:$A$304,0)),""))</f>
        <v>0</v>
      </c>
      <c r="V55" s="20">
        <f>IF(E55="","",IF(OR(F55="",T55=""),"",ROUND(F55*T55,2)))</f>
        <v>0</v>
      </c>
      <c r="W55" s="20">
        <f>IF(E55="","",IF(OR(F55="",U55=""),"",ROUND(F55*U55+MAX(0,IF(K55="",0,K55)-IF(J55="",0,J55)),2)))</f>
        <v>0</v>
      </c>
      <c r="X55" s="20">
        <f>IF(E55="","",IF(V55="","",ROUND(V55-W55,2)))</f>
        <v>0</v>
      </c>
      <c r="Y55" s="33">
        <f>IF(E55="","",IF(OR(V55="",V55=0),"",X55/V55))</f>
        <v>0</v>
      </c>
      <c r="Z55" s="41">
        <f>IF(E55="","",IFERROR(ROUND(F55*INDEX(Products!$X$5:$X$304,MATCH(E55,Products!$A$5:$A$304,0))/60,1),""))</f>
        <v>0</v>
      </c>
      <c r="AA55" s="20">
        <f>IF(E55="","",IF(OR(Z55="",Z55=0),"",ROUND(X55/Z55,2)))</f>
        <v>0</v>
      </c>
      <c r="AB55" s="42">
        <f>IF(E55="","",IF(V55="","",IF(AND(V55&gt;=MinOrderValue,F55&gt;=MinOrderQty),"Yes","No")))</f>
        <v>0</v>
      </c>
      <c r="AC55" s="32">
        <f>IF(B55="","",IF(I55="","",I55-B55))</f>
        <v>0</v>
      </c>
      <c r="AD55" s="43">
        <f>IF(B55="","",IF(E55="","Add - which product?",IF(X55&lt;0,"Loss - this order costs you money",IF(AND(Y55&lt;&gt;"",Y55&lt;TargetWholesaleMargin),"Low margin - the discount is too deep",IF(AND(H55&lt;&gt;"",I55="",H55&lt;TodayDate),"Overdue - not despatched",IF(AND(M55="No",I55&lt;&gt;"",TodayDate-I55&gt;30),"Chase - unpaid over 30 days",IF(AB55="No","Check - below your minimum order","OK")))))))</f>
        <v>0</v>
      </c>
    </row>
    <row r="56" spans="1:30">
      <c r="A56" s="38">
        <f>IF(B56="","",OrderPrefix&amp;TEXT(ROW()-4,"0000"))</f>
        <v>0</v>
      </c>
      <c r="O56" s="13">
        <f>IF(C56="","",IFERROR(INDEX('Wholesale Customers'!$B$5:$B$64,MATCH(C56,'Wholesale Customers'!$A$5:$A$64,0)),"Not found"))</f>
        <v>0</v>
      </c>
      <c r="P56" s="13">
        <f>IF(E56="","",IFERROR(INDEX(Products!$B$5:$B$304,MATCH(E56,Products!$A$5:$A$304,0)),"Not found"))</f>
        <v>0</v>
      </c>
      <c r="Q56" s="13">
        <f>IF(B56="","",TEXT(B56,"yyyy-mm"))</f>
        <v>0</v>
      </c>
      <c r="R56" s="33">
        <f>IF(C56="","",IFERROR(INDEX('Wholesale Customers'!$P$5:$P$64,MATCH(C56,'Wholesale Customers'!$A$5:$A$64,0)),WholesaleDiscount))</f>
        <v>0</v>
      </c>
      <c r="S56" s="20">
        <f>IF(E56="","",IFERROR(INDEX(Products!$AR$5:$AR$304,MATCH(E56,Products!$A$5:$A$304,0)),""))</f>
        <v>0</v>
      </c>
      <c r="T56" s="20">
        <f>IF(E56="","",IF(G56&lt;&gt;"",G56,IF(S56="","",ROUND(S56*(1-R56),2))))</f>
        <v>0</v>
      </c>
      <c r="U56" s="20">
        <f>IF(E56="","",IFERROR(INDEX(Products!$AH$5:$AH$304,MATCH(E56,Products!$A$5:$A$304,0)),""))</f>
        <v>0</v>
      </c>
      <c r="V56" s="20">
        <f>IF(E56="","",IF(OR(F56="",T56=""),"",ROUND(F56*T56,2)))</f>
        <v>0</v>
      </c>
      <c r="W56" s="20">
        <f>IF(E56="","",IF(OR(F56="",U56=""),"",ROUND(F56*U56+MAX(0,IF(K56="",0,K56)-IF(J56="",0,J56)),2)))</f>
        <v>0</v>
      </c>
      <c r="X56" s="20">
        <f>IF(E56="","",IF(V56="","",ROUND(V56-W56,2)))</f>
        <v>0</v>
      </c>
      <c r="Y56" s="33">
        <f>IF(E56="","",IF(OR(V56="",V56=0),"",X56/V56))</f>
        <v>0</v>
      </c>
      <c r="Z56" s="41">
        <f>IF(E56="","",IFERROR(ROUND(F56*INDEX(Products!$X$5:$X$304,MATCH(E56,Products!$A$5:$A$304,0))/60,1),""))</f>
        <v>0</v>
      </c>
      <c r="AA56" s="20">
        <f>IF(E56="","",IF(OR(Z56="",Z56=0),"",ROUND(X56/Z56,2)))</f>
        <v>0</v>
      </c>
      <c r="AB56" s="42">
        <f>IF(E56="","",IF(V56="","",IF(AND(V56&gt;=MinOrderValue,F56&gt;=MinOrderQty),"Yes","No")))</f>
        <v>0</v>
      </c>
      <c r="AC56" s="32">
        <f>IF(B56="","",IF(I56="","",I56-B56))</f>
        <v>0</v>
      </c>
      <c r="AD56" s="43">
        <f>IF(B56="","",IF(E56="","Add - which product?",IF(X56&lt;0,"Loss - this order costs you money",IF(AND(Y56&lt;&gt;"",Y56&lt;TargetWholesaleMargin),"Low margin - the discount is too deep",IF(AND(H56&lt;&gt;"",I56="",H56&lt;TodayDate),"Overdue - not despatched",IF(AND(M56="No",I56&lt;&gt;"",TodayDate-I56&gt;30),"Chase - unpaid over 30 days",IF(AB56="No","Check - below your minimum order","OK")))))))</f>
        <v>0</v>
      </c>
    </row>
    <row r="57" spans="1:30">
      <c r="A57" s="38">
        <f>IF(B57="","",OrderPrefix&amp;TEXT(ROW()-4,"0000"))</f>
        <v>0</v>
      </c>
      <c r="O57" s="13">
        <f>IF(C57="","",IFERROR(INDEX('Wholesale Customers'!$B$5:$B$64,MATCH(C57,'Wholesale Customers'!$A$5:$A$64,0)),"Not found"))</f>
        <v>0</v>
      </c>
      <c r="P57" s="13">
        <f>IF(E57="","",IFERROR(INDEX(Products!$B$5:$B$304,MATCH(E57,Products!$A$5:$A$304,0)),"Not found"))</f>
        <v>0</v>
      </c>
      <c r="Q57" s="13">
        <f>IF(B57="","",TEXT(B57,"yyyy-mm"))</f>
        <v>0</v>
      </c>
      <c r="R57" s="33">
        <f>IF(C57="","",IFERROR(INDEX('Wholesale Customers'!$P$5:$P$64,MATCH(C57,'Wholesale Customers'!$A$5:$A$64,0)),WholesaleDiscount))</f>
        <v>0</v>
      </c>
      <c r="S57" s="20">
        <f>IF(E57="","",IFERROR(INDEX(Products!$AR$5:$AR$304,MATCH(E57,Products!$A$5:$A$304,0)),""))</f>
        <v>0</v>
      </c>
      <c r="T57" s="20">
        <f>IF(E57="","",IF(G57&lt;&gt;"",G57,IF(S57="","",ROUND(S57*(1-R57),2))))</f>
        <v>0</v>
      </c>
      <c r="U57" s="20">
        <f>IF(E57="","",IFERROR(INDEX(Products!$AH$5:$AH$304,MATCH(E57,Products!$A$5:$A$304,0)),""))</f>
        <v>0</v>
      </c>
      <c r="V57" s="20">
        <f>IF(E57="","",IF(OR(F57="",T57=""),"",ROUND(F57*T57,2)))</f>
        <v>0</v>
      </c>
      <c r="W57" s="20">
        <f>IF(E57="","",IF(OR(F57="",U57=""),"",ROUND(F57*U57+MAX(0,IF(K57="",0,K57)-IF(J57="",0,J57)),2)))</f>
        <v>0</v>
      </c>
      <c r="X57" s="20">
        <f>IF(E57="","",IF(V57="","",ROUND(V57-W57,2)))</f>
        <v>0</v>
      </c>
      <c r="Y57" s="33">
        <f>IF(E57="","",IF(OR(V57="",V57=0),"",X57/V57))</f>
        <v>0</v>
      </c>
      <c r="Z57" s="41">
        <f>IF(E57="","",IFERROR(ROUND(F57*INDEX(Products!$X$5:$X$304,MATCH(E57,Products!$A$5:$A$304,0))/60,1),""))</f>
        <v>0</v>
      </c>
      <c r="AA57" s="20">
        <f>IF(E57="","",IF(OR(Z57="",Z57=0),"",ROUND(X57/Z57,2)))</f>
        <v>0</v>
      </c>
      <c r="AB57" s="42">
        <f>IF(E57="","",IF(V57="","",IF(AND(V57&gt;=MinOrderValue,F57&gt;=MinOrderQty),"Yes","No")))</f>
        <v>0</v>
      </c>
      <c r="AC57" s="32">
        <f>IF(B57="","",IF(I57="","",I57-B57))</f>
        <v>0</v>
      </c>
      <c r="AD57" s="43">
        <f>IF(B57="","",IF(E57="","Add - which product?",IF(X57&lt;0,"Loss - this order costs you money",IF(AND(Y57&lt;&gt;"",Y57&lt;TargetWholesaleMargin),"Low margin - the discount is too deep",IF(AND(H57&lt;&gt;"",I57="",H57&lt;TodayDate),"Overdue - not despatched",IF(AND(M57="No",I57&lt;&gt;"",TodayDate-I57&gt;30),"Chase - unpaid over 30 days",IF(AB57="No","Check - below your minimum order","OK")))))))</f>
        <v>0</v>
      </c>
    </row>
    <row r="58" spans="1:30">
      <c r="A58" s="38">
        <f>IF(B58="","",OrderPrefix&amp;TEXT(ROW()-4,"0000"))</f>
        <v>0</v>
      </c>
      <c r="O58" s="13">
        <f>IF(C58="","",IFERROR(INDEX('Wholesale Customers'!$B$5:$B$64,MATCH(C58,'Wholesale Customers'!$A$5:$A$64,0)),"Not found"))</f>
        <v>0</v>
      </c>
      <c r="P58" s="13">
        <f>IF(E58="","",IFERROR(INDEX(Products!$B$5:$B$304,MATCH(E58,Products!$A$5:$A$304,0)),"Not found"))</f>
        <v>0</v>
      </c>
      <c r="Q58" s="13">
        <f>IF(B58="","",TEXT(B58,"yyyy-mm"))</f>
        <v>0</v>
      </c>
      <c r="R58" s="33">
        <f>IF(C58="","",IFERROR(INDEX('Wholesale Customers'!$P$5:$P$64,MATCH(C58,'Wholesale Customers'!$A$5:$A$64,0)),WholesaleDiscount))</f>
        <v>0</v>
      </c>
      <c r="S58" s="20">
        <f>IF(E58="","",IFERROR(INDEX(Products!$AR$5:$AR$304,MATCH(E58,Products!$A$5:$A$304,0)),""))</f>
        <v>0</v>
      </c>
      <c r="T58" s="20">
        <f>IF(E58="","",IF(G58&lt;&gt;"",G58,IF(S58="","",ROUND(S58*(1-R58),2))))</f>
        <v>0</v>
      </c>
      <c r="U58" s="20">
        <f>IF(E58="","",IFERROR(INDEX(Products!$AH$5:$AH$304,MATCH(E58,Products!$A$5:$A$304,0)),""))</f>
        <v>0</v>
      </c>
      <c r="V58" s="20">
        <f>IF(E58="","",IF(OR(F58="",T58=""),"",ROUND(F58*T58,2)))</f>
        <v>0</v>
      </c>
      <c r="W58" s="20">
        <f>IF(E58="","",IF(OR(F58="",U58=""),"",ROUND(F58*U58+MAX(0,IF(K58="",0,K58)-IF(J58="",0,J58)),2)))</f>
        <v>0</v>
      </c>
      <c r="X58" s="20">
        <f>IF(E58="","",IF(V58="","",ROUND(V58-W58,2)))</f>
        <v>0</v>
      </c>
      <c r="Y58" s="33">
        <f>IF(E58="","",IF(OR(V58="",V58=0),"",X58/V58))</f>
        <v>0</v>
      </c>
      <c r="Z58" s="41">
        <f>IF(E58="","",IFERROR(ROUND(F58*INDEX(Products!$X$5:$X$304,MATCH(E58,Products!$A$5:$A$304,0))/60,1),""))</f>
        <v>0</v>
      </c>
      <c r="AA58" s="20">
        <f>IF(E58="","",IF(OR(Z58="",Z58=0),"",ROUND(X58/Z58,2)))</f>
        <v>0</v>
      </c>
      <c r="AB58" s="42">
        <f>IF(E58="","",IF(V58="","",IF(AND(V58&gt;=MinOrderValue,F58&gt;=MinOrderQty),"Yes","No")))</f>
        <v>0</v>
      </c>
      <c r="AC58" s="32">
        <f>IF(B58="","",IF(I58="","",I58-B58))</f>
        <v>0</v>
      </c>
      <c r="AD58" s="43">
        <f>IF(B58="","",IF(E58="","Add - which product?",IF(X58&lt;0,"Loss - this order costs you money",IF(AND(Y58&lt;&gt;"",Y58&lt;TargetWholesaleMargin),"Low margin - the discount is too deep",IF(AND(H58&lt;&gt;"",I58="",H58&lt;TodayDate),"Overdue - not despatched",IF(AND(M58="No",I58&lt;&gt;"",TodayDate-I58&gt;30),"Chase - unpaid over 30 days",IF(AB58="No","Check - below your minimum order","OK")))))))</f>
        <v>0</v>
      </c>
    </row>
    <row r="59" spans="1:30">
      <c r="A59" s="38">
        <f>IF(B59="","",OrderPrefix&amp;TEXT(ROW()-4,"0000"))</f>
        <v>0</v>
      </c>
      <c r="O59" s="13">
        <f>IF(C59="","",IFERROR(INDEX('Wholesale Customers'!$B$5:$B$64,MATCH(C59,'Wholesale Customers'!$A$5:$A$64,0)),"Not found"))</f>
        <v>0</v>
      </c>
      <c r="P59" s="13">
        <f>IF(E59="","",IFERROR(INDEX(Products!$B$5:$B$304,MATCH(E59,Products!$A$5:$A$304,0)),"Not found"))</f>
        <v>0</v>
      </c>
      <c r="Q59" s="13">
        <f>IF(B59="","",TEXT(B59,"yyyy-mm"))</f>
        <v>0</v>
      </c>
      <c r="R59" s="33">
        <f>IF(C59="","",IFERROR(INDEX('Wholesale Customers'!$P$5:$P$64,MATCH(C59,'Wholesale Customers'!$A$5:$A$64,0)),WholesaleDiscount))</f>
        <v>0</v>
      </c>
      <c r="S59" s="20">
        <f>IF(E59="","",IFERROR(INDEX(Products!$AR$5:$AR$304,MATCH(E59,Products!$A$5:$A$304,0)),""))</f>
        <v>0</v>
      </c>
      <c r="T59" s="20">
        <f>IF(E59="","",IF(G59&lt;&gt;"",G59,IF(S59="","",ROUND(S59*(1-R59),2))))</f>
        <v>0</v>
      </c>
      <c r="U59" s="20">
        <f>IF(E59="","",IFERROR(INDEX(Products!$AH$5:$AH$304,MATCH(E59,Products!$A$5:$A$304,0)),""))</f>
        <v>0</v>
      </c>
      <c r="V59" s="20">
        <f>IF(E59="","",IF(OR(F59="",T59=""),"",ROUND(F59*T59,2)))</f>
        <v>0</v>
      </c>
      <c r="W59" s="20">
        <f>IF(E59="","",IF(OR(F59="",U59=""),"",ROUND(F59*U59+MAX(0,IF(K59="",0,K59)-IF(J59="",0,J59)),2)))</f>
        <v>0</v>
      </c>
      <c r="X59" s="20">
        <f>IF(E59="","",IF(V59="","",ROUND(V59-W59,2)))</f>
        <v>0</v>
      </c>
      <c r="Y59" s="33">
        <f>IF(E59="","",IF(OR(V59="",V59=0),"",X59/V59))</f>
        <v>0</v>
      </c>
      <c r="Z59" s="41">
        <f>IF(E59="","",IFERROR(ROUND(F59*INDEX(Products!$X$5:$X$304,MATCH(E59,Products!$A$5:$A$304,0))/60,1),""))</f>
        <v>0</v>
      </c>
      <c r="AA59" s="20">
        <f>IF(E59="","",IF(OR(Z59="",Z59=0),"",ROUND(X59/Z59,2)))</f>
        <v>0</v>
      </c>
      <c r="AB59" s="42">
        <f>IF(E59="","",IF(V59="","",IF(AND(V59&gt;=MinOrderValue,F59&gt;=MinOrderQty),"Yes","No")))</f>
        <v>0</v>
      </c>
      <c r="AC59" s="32">
        <f>IF(B59="","",IF(I59="","",I59-B59))</f>
        <v>0</v>
      </c>
      <c r="AD59" s="43">
        <f>IF(B59="","",IF(E59="","Add - which product?",IF(X59&lt;0,"Loss - this order costs you money",IF(AND(Y59&lt;&gt;"",Y59&lt;TargetWholesaleMargin),"Low margin - the discount is too deep",IF(AND(H59&lt;&gt;"",I59="",H59&lt;TodayDate),"Overdue - not despatched",IF(AND(M59="No",I59&lt;&gt;"",TodayDate-I59&gt;30),"Chase - unpaid over 30 days",IF(AB59="No","Check - below your minimum order","OK")))))))</f>
        <v>0</v>
      </c>
    </row>
    <row r="60" spans="1:30">
      <c r="A60" s="38">
        <f>IF(B60="","",OrderPrefix&amp;TEXT(ROW()-4,"0000"))</f>
        <v>0</v>
      </c>
      <c r="O60" s="13">
        <f>IF(C60="","",IFERROR(INDEX('Wholesale Customers'!$B$5:$B$64,MATCH(C60,'Wholesale Customers'!$A$5:$A$64,0)),"Not found"))</f>
        <v>0</v>
      </c>
      <c r="P60" s="13">
        <f>IF(E60="","",IFERROR(INDEX(Products!$B$5:$B$304,MATCH(E60,Products!$A$5:$A$304,0)),"Not found"))</f>
        <v>0</v>
      </c>
      <c r="Q60" s="13">
        <f>IF(B60="","",TEXT(B60,"yyyy-mm"))</f>
        <v>0</v>
      </c>
      <c r="R60" s="33">
        <f>IF(C60="","",IFERROR(INDEX('Wholesale Customers'!$P$5:$P$64,MATCH(C60,'Wholesale Customers'!$A$5:$A$64,0)),WholesaleDiscount))</f>
        <v>0</v>
      </c>
      <c r="S60" s="20">
        <f>IF(E60="","",IFERROR(INDEX(Products!$AR$5:$AR$304,MATCH(E60,Products!$A$5:$A$304,0)),""))</f>
        <v>0</v>
      </c>
      <c r="T60" s="20">
        <f>IF(E60="","",IF(G60&lt;&gt;"",G60,IF(S60="","",ROUND(S60*(1-R60),2))))</f>
        <v>0</v>
      </c>
      <c r="U60" s="20">
        <f>IF(E60="","",IFERROR(INDEX(Products!$AH$5:$AH$304,MATCH(E60,Products!$A$5:$A$304,0)),""))</f>
        <v>0</v>
      </c>
      <c r="V60" s="20">
        <f>IF(E60="","",IF(OR(F60="",T60=""),"",ROUND(F60*T60,2)))</f>
        <v>0</v>
      </c>
      <c r="W60" s="20">
        <f>IF(E60="","",IF(OR(F60="",U60=""),"",ROUND(F60*U60+MAX(0,IF(K60="",0,K60)-IF(J60="",0,J60)),2)))</f>
        <v>0</v>
      </c>
      <c r="X60" s="20">
        <f>IF(E60="","",IF(V60="","",ROUND(V60-W60,2)))</f>
        <v>0</v>
      </c>
      <c r="Y60" s="33">
        <f>IF(E60="","",IF(OR(V60="",V60=0),"",X60/V60))</f>
        <v>0</v>
      </c>
      <c r="Z60" s="41">
        <f>IF(E60="","",IFERROR(ROUND(F60*INDEX(Products!$X$5:$X$304,MATCH(E60,Products!$A$5:$A$304,0))/60,1),""))</f>
        <v>0</v>
      </c>
      <c r="AA60" s="20">
        <f>IF(E60="","",IF(OR(Z60="",Z60=0),"",ROUND(X60/Z60,2)))</f>
        <v>0</v>
      </c>
      <c r="AB60" s="42">
        <f>IF(E60="","",IF(V60="","",IF(AND(V60&gt;=MinOrderValue,F60&gt;=MinOrderQty),"Yes","No")))</f>
        <v>0</v>
      </c>
      <c r="AC60" s="32">
        <f>IF(B60="","",IF(I60="","",I60-B60))</f>
        <v>0</v>
      </c>
      <c r="AD60" s="43">
        <f>IF(B60="","",IF(E60="","Add - which product?",IF(X60&lt;0,"Loss - this order costs you money",IF(AND(Y60&lt;&gt;"",Y60&lt;TargetWholesaleMargin),"Low margin - the discount is too deep",IF(AND(H60&lt;&gt;"",I60="",H60&lt;TodayDate),"Overdue - not despatched",IF(AND(M60="No",I60&lt;&gt;"",TodayDate-I60&gt;30),"Chase - unpaid over 30 days",IF(AB60="No","Check - below your minimum order","OK")))))))</f>
        <v>0</v>
      </c>
    </row>
    <row r="61" spans="1:30">
      <c r="A61" s="38">
        <f>IF(B61="","",OrderPrefix&amp;TEXT(ROW()-4,"0000"))</f>
        <v>0</v>
      </c>
      <c r="O61" s="13">
        <f>IF(C61="","",IFERROR(INDEX('Wholesale Customers'!$B$5:$B$64,MATCH(C61,'Wholesale Customers'!$A$5:$A$64,0)),"Not found"))</f>
        <v>0</v>
      </c>
      <c r="P61" s="13">
        <f>IF(E61="","",IFERROR(INDEX(Products!$B$5:$B$304,MATCH(E61,Products!$A$5:$A$304,0)),"Not found"))</f>
        <v>0</v>
      </c>
      <c r="Q61" s="13">
        <f>IF(B61="","",TEXT(B61,"yyyy-mm"))</f>
        <v>0</v>
      </c>
      <c r="R61" s="33">
        <f>IF(C61="","",IFERROR(INDEX('Wholesale Customers'!$P$5:$P$64,MATCH(C61,'Wholesale Customers'!$A$5:$A$64,0)),WholesaleDiscount))</f>
        <v>0</v>
      </c>
      <c r="S61" s="20">
        <f>IF(E61="","",IFERROR(INDEX(Products!$AR$5:$AR$304,MATCH(E61,Products!$A$5:$A$304,0)),""))</f>
        <v>0</v>
      </c>
      <c r="T61" s="20">
        <f>IF(E61="","",IF(G61&lt;&gt;"",G61,IF(S61="","",ROUND(S61*(1-R61),2))))</f>
        <v>0</v>
      </c>
      <c r="U61" s="20">
        <f>IF(E61="","",IFERROR(INDEX(Products!$AH$5:$AH$304,MATCH(E61,Products!$A$5:$A$304,0)),""))</f>
        <v>0</v>
      </c>
      <c r="V61" s="20">
        <f>IF(E61="","",IF(OR(F61="",T61=""),"",ROUND(F61*T61,2)))</f>
        <v>0</v>
      </c>
      <c r="W61" s="20">
        <f>IF(E61="","",IF(OR(F61="",U61=""),"",ROUND(F61*U61+MAX(0,IF(K61="",0,K61)-IF(J61="",0,J61)),2)))</f>
        <v>0</v>
      </c>
      <c r="X61" s="20">
        <f>IF(E61="","",IF(V61="","",ROUND(V61-W61,2)))</f>
        <v>0</v>
      </c>
      <c r="Y61" s="33">
        <f>IF(E61="","",IF(OR(V61="",V61=0),"",X61/V61))</f>
        <v>0</v>
      </c>
      <c r="Z61" s="41">
        <f>IF(E61="","",IFERROR(ROUND(F61*INDEX(Products!$X$5:$X$304,MATCH(E61,Products!$A$5:$A$304,0))/60,1),""))</f>
        <v>0</v>
      </c>
      <c r="AA61" s="20">
        <f>IF(E61="","",IF(OR(Z61="",Z61=0),"",ROUND(X61/Z61,2)))</f>
        <v>0</v>
      </c>
      <c r="AB61" s="42">
        <f>IF(E61="","",IF(V61="","",IF(AND(V61&gt;=MinOrderValue,F61&gt;=MinOrderQty),"Yes","No")))</f>
        <v>0</v>
      </c>
      <c r="AC61" s="32">
        <f>IF(B61="","",IF(I61="","",I61-B61))</f>
        <v>0</v>
      </c>
      <c r="AD61" s="43">
        <f>IF(B61="","",IF(E61="","Add - which product?",IF(X61&lt;0,"Loss - this order costs you money",IF(AND(Y61&lt;&gt;"",Y61&lt;TargetWholesaleMargin),"Low margin - the discount is too deep",IF(AND(H61&lt;&gt;"",I61="",H61&lt;TodayDate),"Overdue - not despatched",IF(AND(M61="No",I61&lt;&gt;"",TodayDate-I61&gt;30),"Chase - unpaid over 30 days",IF(AB61="No","Check - below your minimum order","OK")))))))</f>
        <v>0</v>
      </c>
    </row>
    <row r="62" spans="1:30">
      <c r="A62" s="38">
        <f>IF(B62="","",OrderPrefix&amp;TEXT(ROW()-4,"0000"))</f>
        <v>0</v>
      </c>
      <c r="O62" s="13">
        <f>IF(C62="","",IFERROR(INDEX('Wholesale Customers'!$B$5:$B$64,MATCH(C62,'Wholesale Customers'!$A$5:$A$64,0)),"Not found"))</f>
        <v>0</v>
      </c>
      <c r="P62" s="13">
        <f>IF(E62="","",IFERROR(INDEX(Products!$B$5:$B$304,MATCH(E62,Products!$A$5:$A$304,0)),"Not found"))</f>
        <v>0</v>
      </c>
      <c r="Q62" s="13">
        <f>IF(B62="","",TEXT(B62,"yyyy-mm"))</f>
        <v>0</v>
      </c>
      <c r="R62" s="33">
        <f>IF(C62="","",IFERROR(INDEX('Wholesale Customers'!$P$5:$P$64,MATCH(C62,'Wholesale Customers'!$A$5:$A$64,0)),WholesaleDiscount))</f>
        <v>0</v>
      </c>
      <c r="S62" s="20">
        <f>IF(E62="","",IFERROR(INDEX(Products!$AR$5:$AR$304,MATCH(E62,Products!$A$5:$A$304,0)),""))</f>
        <v>0</v>
      </c>
      <c r="T62" s="20">
        <f>IF(E62="","",IF(G62&lt;&gt;"",G62,IF(S62="","",ROUND(S62*(1-R62),2))))</f>
        <v>0</v>
      </c>
      <c r="U62" s="20">
        <f>IF(E62="","",IFERROR(INDEX(Products!$AH$5:$AH$304,MATCH(E62,Products!$A$5:$A$304,0)),""))</f>
        <v>0</v>
      </c>
      <c r="V62" s="20">
        <f>IF(E62="","",IF(OR(F62="",T62=""),"",ROUND(F62*T62,2)))</f>
        <v>0</v>
      </c>
      <c r="W62" s="20">
        <f>IF(E62="","",IF(OR(F62="",U62=""),"",ROUND(F62*U62+MAX(0,IF(K62="",0,K62)-IF(J62="",0,J62)),2)))</f>
        <v>0</v>
      </c>
      <c r="X62" s="20">
        <f>IF(E62="","",IF(V62="","",ROUND(V62-W62,2)))</f>
        <v>0</v>
      </c>
      <c r="Y62" s="33">
        <f>IF(E62="","",IF(OR(V62="",V62=0),"",X62/V62))</f>
        <v>0</v>
      </c>
      <c r="Z62" s="41">
        <f>IF(E62="","",IFERROR(ROUND(F62*INDEX(Products!$X$5:$X$304,MATCH(E62,Products!$A$5:$A$304,0))/60,1),""))</f>
        <v>0</v>
      </c>
      <c r="AA62" s="20">
        <f>IF(E62="","",IF(OR(Z62="",Z62=0),"",ROUND(X62/Z62,2)))</f>
        <v>0</v>
      </c>
      <c r="AB62" s="42">
        <f>IF(E62="","",IF(V62="","",IF(AND(V62&gt;=MinOrderValue,F62&gt;=MinOrderQty),"Yes","No")))</f>
        <v>0</v>
      </c>
      <c r="AC62" s="32">
        <f>IF(B62="","",IF(I62="","",I62-B62))</f>
        <v>0</v>
      </c>
      <c r="AD62" s="43">
        <f>IF(B62="","",IF(E62="","Add - which product?",IF(X62&lt;0,"Loss - this order costs you money",IF(AND(Y62&lt;&gt;"",Y62&lt;TargetWholesaleMargin),"Low margin - the discount is too deep",IF(AND(H62&lt;&gt;"",I62="",H62&lt;TodayDate),"Overdue - not despatched",IF(AND(M62="No",I62&lt;&gt;"",TodayDate-I62&gt;30),"Chase - unpaid over 30 days",IF(AB62="No","Check - below your minimum order","OK")))))))</f>
        <v>0</v>
      </c>
    </row>
    <row r="63" spans="1:30">
      <c r="A63" s="38">
        <f>IF(B63="","",OrderPrefix&amp;TEXT(ROW()-4,"0000"))</f>
        <v>0</v>
      </c>
      <c r="O63" s="13">
        <f>IF(C63="","",IFERROR(INDEX('Wholesale Customers'!$B$5:$B$64,MATCH(C63,'Wholesale Customers'!$A$5:$A$64,0)),"Not found"))</f>
        <v>0</v>
      </c>
      <c r="P63" s="13">
        <f>IF(E63="","",IFERROR(INDEX(Products!$B$5:$B$304,MATCH(E63,Products!$A$5:$A$304,0)),"Not found"))</f>
        <v>0</v>
      </c>
      <c r="Q63" s="13">
        <f>IF(B63="","",TEXT(B63,"yyyy-mm"))</f>
        <v>0</v>
      </c>
      <c r="R63" s="33">
        <f>IF(C63="","",IFERROR(INDEX('Wholesale Customers'!$P$5:$P$64,MATCH(C63,'Wholesale Customers'!$A$5:$A$64,0)),WholesaleDiscount))</f>
        <v>0</v>
      </c>
      <c r="S63" s="20">
        <f>IF(E63="","",IFERROR(INDEX(Products!$AR$5:$AR$304,MATCH(E63,Products!$A$5:$A$304,0)),""))</f>
        <v>0</v>
      </c>
      <c r="T63" s="20">
        <f>IF(E63="","",IF(G63&lt;&gt;"",G63,IF(S63="","",ROUND(S63*(1-R63),2))))</f>
        <v>0</v>
      </c>
      <c r="U63" s="20">
        <f>IF(E63="","",IFERROR(INDEX(Products!$AH$5:$AH$304,MATCH(E63,Products!$A$5:$A$304,0)),""))</f>
        <v>0</v>
      </c>
      <c r="V63" s="20">
        <f>IF(E63="","",IF(OR(F63="",T63=""),"",ROUND(F63*T63,2)))</f>
        <v>0</v>
      </c>
      <c r="W63" s="20">
        <f>IF(E63="","",IF(OR(F63="",U63=""),"",ROUND(F63*U63+MAX(0,IF(K63="",0,K63)-IF(J63="",0,J63)),2)))</f>
        <v>0</v>
      </c>
      <c r="X63" s="20">
        <f>IF(E63="","",IF(V63="","",ROUND(V63-W63,2)))</f>
        <v>0</v>
      </c>
      <c r="Y63" s="33">
        <f>IF(E63="","",IF(OR(V63="",V63=0),"",X63/V63))</f>
        <v>0</v>
      </c>
      <c r="Z63" s="41">
        <f>IF(E63="","",IFERROR(ROUND(F63*INDEX(Products!$X$5:$X$304,MATCH(E63,Products!$A$5:$A$304,0))/60,1),""))</f>
        <v>0</v>
      </c>
      <c r="AA63" s="20">
        <f>IF(E63="","",IF(OR(Z63="",Z63=0),"",ROUND(X63/Z63,2)))</f>
        <v>0</v>
      </c>
      <c r="AB63" s="42">
        <f>IF(E63="","",IF(V63="","",IF(AND(V63&gt;=MinOrderValue,F63&gt;=MinOrderQty),"Yes","No")))</f>
        <v>0</v>
      </c>
      <c r="AC63" s="32">
        <f>IF(B63="","",IF(I63="","",I63-B63))</f>
        <v>0</v>
      </c>
      <c r="AD63" s="43">
        <f>IF(B63="","",IF(E63="","Add - which product?",IF(X63&lt;0,"Loss - this order costs you money",IF(AND(Y63&lt;&gt;"",Y63&lt;TargetWholesaleMargin),"Low margin - the discount is too deep",IF(AND(H63&lt;&gt;"",I63="",H63&lt;TodayDate),"Overdue - not despatched",IF(AND(M63="No",I63&lt;&gt;"",TodayDate-I63&gt;30),"Chase - unpaid over 30 days",IF(AB63="No","Check - below your minimum order","OK")))))))</f>
        <v>0</v>
      </c>
    </row>
    <row r="64" spans="1:30">
      <c r="A64" s="38">
        <f>IF(B64="","",OrderPrefix&amp;TEXT(ROW()-4,"0000"))</f>
        <v>0</v>
      </c>
      <c r="O64" s="13">
        <f>IF(C64="","",IFERROR(INDEX('Wholesale Customers'!$B$5:$B$64,MATCH(C64,'Wholesale Customers'!$A$5:$A$64,0)),"Not found"))</f>
        <v>0</v>
      </c>
      <c r="P64" s="13">
        <f>IF(E64="","",IFERROR(INDEX(Products!$B$5:$B$304,MATCH(E64,Products!$A$5:$A$304,0)),"Not found"))</f>
        <v>0</v>
      </c>
      <c r="Q64" s="13">
        <f>IF(B64="","",TEXT(B64,"yyyy-mm"))</f>
        <v>0</v>
      </c>
      <c r="R64" s="33">
        <f>IF(C64="","",IFERROR(INDEX('Wholesale Customers'!$P$5:$P$64,MATCH(C64,'Wholesale Customers'!$A$5:$A$64,0)),WholesaleDiscount))</f>
        <v>0</v>
      </c>
      <c r="S64" s="20">
        <f>IF(E64="","",IFERROR(INDEX(Products!$AR$5:$AR$304,MATCH(E64,Products!$A$5:$A$304,0)),""))</f>
        <v>0</v>
      </c>
      <c r="T64" s="20">
        <f>IF(E64="","",IF(G64&lt;&gt;"",G64,IF(S64="","",ROUND(S64*(1-R64),2))))</f>
        <v>0</v>
      </c>
      <c r="U64" s="20">
        <f>IF(E64="","",IFERROR(INDEX(Products!$AH$5:$AH$304,MATCH(E64,Products!$A$5:$A$304,0)),""))</f>
        <v>0</v>
      </c>
      <c r="V64" s="20">
        <f>IF(E64="","",IF(OR(F64="",T64=""),"",ROUND(F64*T64,2)))</f>
        <v>0</v>
      </c>
      <c r="W64" s="20">
        <f>IF(E64="","",IF(OR(F64="",U64=""),"",ROUND(F64*U64+MAX(0,IF(K64="",0,K64)-IF(J64="",0,J64)),2)))</f>
        <v>0</v>
      </c>
      <c r="X64" s="20">
        <f>IF(E64="","",IF(V64="","",ROUND(V64-W64,2)))</f>
        <v>0</v>
      </c>
      <c r="Y64" s="33">
        <f>IF(E64="","",IF(OR(V64="",V64=0),"",X64/V64))</f>
        <v>0</v>
      </c>
      <c r="Z64" s="41">
        <f>IF(E64="","",IFERROR(ROUND(F64*INDEX(Products!$X$5:$X$304,MATCH(E64,Products!$A$5:$A$304,0))/60,1),""))</f>
        <v>0</v>
      </c>
      <c r="AA64" s="20">
        <f>IF(E64="","",IF(OR(Z64="",Z64=0),"",ROUND(X64/Z64,2)))</f>
        <v>0</v>
      </c>
      <c r="AB64" s="42">
        <f>IF(E64="","",IF(V64="","",IF(AND(V64&gt;=MinOrderValue,F64&gt;=MinOrderQty),"Yes","No")))</f>
        <v>0</v>
      </c>
      <c r="AC64" s="32">
        <f>IF(B64="","",IF(I64="","",I64-B64))</f>
        <v>0</v>
      </c>
      <c r="AD64" s="43">
        <f>IF(B64="","",IF(E64="","Add - which product?",IF(X64&lt;0,"Loss - this order costs you money",IF(AND(Y64&lt;&gt;"",Y64&lt;TargetWholesaleMargin),"Low margin - the discount is too deep",IF(AND(H64&lt;&gt;"",I64="",H64&lt;TodayDate),"Overdue - not despatched",IF(AND(M64="No",I64&lt;&gt;"",TodayDate-I64&gt;30),"Chase - unpaid over 30 days",IF(AB64="No","Check - below your minimum order","OK")))))))</f>
        <v>0</v>
      </c>
    </row>
    <row r="65" spans="1:30">
      <c r="A65" s="38">
        <f>IF(B65="","",OrderPrefix&amp;TEXT(ROW()-4,"0000"))</f>
        <v>0</v>
      </c>
      <c r="O65" s="13">
        <f>IF(C65="","",IFERROR(INDEX('Wholesale Customers'!$B$5:$B$64,MATCH(C65,'Wholesale Customers'!$A$5:$A$64,0)),"Not found"))</f>
        <v>0</v>
      </c>
      <c r="P65" s="13">
        <f>IF(E65="","",IFERROR(INDEX(Products!$B$5:$B$304,MATCH(E65,Products!$A$5:$A$304,0)),"Not found"))</f>
        <v>0</v>
      </c>
      <c r="Q65" s="13">
        <f>IF(B65="","",TEXT(B65,"yyyy-mm"))</f>
        <v>0</v>
      </c>
      <c r="R65" s="33">
        <f>IF(C65="","",IFERROR(INDEX('Wholesale Customers'!$P$5:$P$64,MATCH(C65,'Wholesale Customers'!$A$5:$A$64,0)),WholesaleDiscount))</f>
        <v>0</v>
      </c>
      <c r="S65" s="20">
        <f>IF(E65="","",IFERROR(INDEX(Products!$AR$5:$AR$304,MATCH(E65,Products!$A$5:$A$304,0)),""))</f>
        <v>0</v>
      </c>
      <c r="T65" s="20">
        <f>IF(E65="","",IF(G65&lt;&gt;"",G65,IF(S65="","",ROUND(S65*(1-R65),2))))</f>
        <v>0</v>
      </c>
      <c r="U65" s="20">
        <f>IF(E65="","",IFERROR(INDEX(Products!$AH$5:$AH$304,MATCH(E65,Products!$A$5:$A$304,0)),""))</f>
        <v>0</v>
      </c>
      <c r="V65" s="20">
        <f>IF(E65="","",IF(OR(F65="",T65=""),"",ROUND(F65*T65,2)))</f>
        <v>0</v>
      </c>
      <c r="W65" s="20">
        <f>IF(E65="","",IF(OR(F65="",U65=""),"",ROUND(F65*U65+MAX(0,IF(K65="",0,K65)-IF(J65="",0,J65)),2)))</f>
        <v>0</v>
      </c>
      <c r="X65" s="20">
        <f>IF(E65="","",IF(V65="","",ROUND(V65-W65,2)))</f>
        <v>0</v>
      </c>
      <c r="Y65" s="33">
        <f>IF(E65="","",IF(OR(V65="",V65=0),"",X65/V65))</f>
        <v>0</v>
      </c>
      <c r="Z65" s="41">
        <f>IF(E65="","",IFERROR(ROUND(F65*INDEX(Products!$X$5:$X$304,MATCH(E65,Products!$A$5:$A$304,0))/60,1),""))</f>
        <v>0</v>
      </c>
      <c r="AA65" s="20">
        <f>IF(E65="","",IF(OR(Z65="",Z65=0),"",ROUND(X65/Z65,2)))</f>
        <v>0</v>
      </c>
      <c r="AB65" s="42">
        <f>IF(E65="","",IF(V65="","",IF(AND(V65&gt;=MinOrderValue,F65&gt;=MinOrderQty),"Yes","No")))</f>
        <v>0</v>
      </c>
      <c r="AC65" s="32">
        <f>IF(B65="","",IF(I65="","",I65-B65))</f>
        <v>0</v>
      </c>
      <c r="AD65" s="43">
        <f>IF(B65="","",IF(E65="","Add - which product?",IF(X65&lt;0,"Loss - this order costs you money",IF(AND(Y65&lt;&gt;"",Y65&lt;TargetWholesaleMargin),"Low margin - the discount is too deep",IF(AND(H65&lt;&gt;"",I65="",H65&lt;TodayDate),"Overdue - not despatched",IF(AND(M65="No",I65&lt;&gt;"",TodayDate-I65&gt;30),"Chase - unpaid over 30 days",IF(AB65="No","Check - below your minimum order","OK")))))))</f>
        <v>0</v>
      </c>
    </row>
    <row r="66" spans="1:30">
      <c r="A66" s="38">
        <f>IF(B66="","",OrderPrefix&amp;TEXT(ROW()-4,"0000"))</f>
        <v>0</v>
      </c>
      <c r="O66" s="13">
        <f>IF(C66="","",IFERROR(INDEX('Wholesale Customers'!$B$5:$B$64,MATCH(C66,'Wholesale Customers'!$A$5:$A$64,0)),"Not found"))</f>
        <v>0</v>
      </c>
      <c r="P66" s="13">
        <f>IF(E66="","",IFERROR(INDEX(Products!$B$5:$B$304,MATCH(E66,Products!$A$5:$A$304,0)),"Not found"))</f>
        <v>0</v>
      </c>
      <c r="Q66" s="13">
        <f>IF(B66="","",TEXT(B66,"yyyy-mm"))</f>
        <v>0</v>
      </c>
      <c r="R66" s="33">
        <f>IF(C66="","",IFERROR(INDEX('Wholesale Customers'!$P$5:$P$64,MATCH(C66,'Wholesale Customers'!$A$5:$A$64,0)),WholesaleDiscount))</f>
        <v>0</v>
      </c>
      <c r="S66" s="20">
        <f>IF(E66="","",IFERROR(INDEX(Products!$AR$5:$AR$304,MATCH(E66,Products!$A$5:$A$304,0)),""))</f>
        <v>0</v>
      </c>
      <c r="T66" s="20">
        <f>IF(E66="","",IF(G66&lt;&gt;"",G66,IF(S66="","",ROUND(S66*(1-R66),2))))</f>
        <v>0</v>
      </c>
      <c r="U66" s="20">
        <f>IF(E66="","",IFERROR(INDEX(Products!$AH$5:$AH$304,MATCH(E66,Products!$A$5:$A$304,0)),""))</f>
        <v>0</v>
      </c>
      <c r="V66" s="20">
        <f>IF(E66="","",IF(OR(F66="",T66=""),"",ROUND(F66*T66,2)))</f>
        <v>0</v>
      </c>
      <c r="W66" s="20">
        <f>IF(E66="","",IF(OR(F66="",U66=""),"",ROUND(F66*U66+MAX(0,IF(K66="",0,K66)-IF(J66="",0,J66)),2)))</f>
        <v>0</v>
      </c>
      <c r="X66" s="20">
        <f>IF(E66="","",IF(V66="","",ROUND(V66-W66,2)))</f>
        <v>0</v>
      </c>
      <c r="Y66" s="33">
        <f>IF(E66="","",IF(OR(V66="",V66=0),"",X66/V66))</f>
        <v>0</v>
      </c>
      <c r="Z66" s="41">
        <f>IF(E66="","",IFERROR(ROUND(F66*INDEX(Products!$X$5:$X$304,MATCH(E66,Products!$A$5:$A$304,0))/60,1),""))</f>
        <v>0</v>
      </c>
      <c r="AA66" s="20">
        <f>IF(E66="","",IF(OR(Z66="",Z66=0),"",ROUND(X66/Z66,2)))</f>
        <v>0</v>
      </c>
      <c r="AB66" s="42">
        <f>IF(E66="","",IF(V66="","",IF(AND(V66&gt;=MinOrderValue,F66&gt;=MinOrderQty),"Yes","No")))</f>
        <v>0</v>
      </c>
      <c r="AC66" s="32">
        <f>IF(B66="","",IF(I66="","",I66-B66))</f>
        <v>0</v>
      </c>
      <c r="AD66" s="43">
        <f>IF(B66="","",IF(E66="","Add - which product?",IF(X66&lt;0,"Loss - this order costs you money",IF(AND(Y66&lt;&gt;"",Y66&lt;TargetWholesaleMargin),"Low margin - the discount is too deep",IF(AND(H66&lt;&gt;"",I66="",H66&lt;TodayDate),"Overdue - not despatched",IF(AND(M66="No",I66&lt;&gt;"",TodayDate-I66&gt;30),"Chase - unpaid over 30 days",IF(AB66="No","Check - below your minimum order","OK")))))))</f>
        <v>0</v>
      </c>
    </row>
    <row r="67" spans="1:30">
      <c r="A67" s="38">
        <f>IF(B67="","",OrderPrefix&amp;TEXT(ROW()-4,"0000"))</f>
        <v>0</v>
      </c>
      <c r="O67" s="13">
        <f>IF(C67="","",IFERROR(INDEX('Wholesale Customers'!$B$5:$B$64,MATCH(C67,'Wholesale Customers'!$A$5:$A$64,0)),"Not found"))</f>
        <v>0</v>
      </c>
      <c r="P67" s="13">
        <f>IF(E67="","",IFERROR(INDEX(Products!$B$5:$B$304,MATCH(E67,Products!$A$5:$A$304,0)),"Not found"))</f>
        <v>0</v>
      </c>
      <c r="Q67" s="13">
        <f>IF(B67="","",TEXT(B67,"yyyy-mm"))</f>
        <v>0</v>
      </c>
      <c r="R67" s="33">
        <f>IF(C67="","",IFERROR(INDEX('Wholesale Customers'!$P$5:$P$64,MATCH(C67,'Wholesale Customers'!$A$5:$A$64,0)),WholesaleDiscount))</f>
        <v>0</v>
      </c>
      <c r="S67" s="20">
        <f>IF(E67="","",IFERROR(INDEX(Products!$AR$5:$AR$304,MATCH(E67,Products!$A$5:$A$304,0)),""))</f>
        <v>0</v>
      </c>
      <c r="T67" s="20">
        <f>IF(E67="","",IF(G67&lt;&gt;"",G67,IF(S67="","",ROUND(S67*(1-R67),2))))</f>
        <v>0</v>
      </c>
      <c r="U67" s="20">
        <f>IF(E67="","",IFERROR(INDEX(Products!$AH$5:$AH$304,MATCH(E67,Products!$A$5:$A$304,0)),""))</f>
        <v>0</v>
      </c>
      <c r="V67" s="20">
        <f>IF(E67="","",IF(OR(F67="",T67=""),"",ROUND(F67*T67,2)))</f>
        <v>0</v>
      </c>
      <c r="W67" s="20">
        <f>IF(E67="","",IF(OR(F67="",U67=""),"",ROUND(F67*U67+MAX(0,IF(K67="",0,K67)-IF(J67="",0,J67)),2)))</f>
        <v>0</v>
      </c>
      <c r="X67" s="20">
        <f>IF(E67="","",IF(V67="","",ROUND(V67-W67,2)))</f>
        <v>0</v>
      </c>
      <c r="Y67" s="33">
        <f>IF(E67="","",IF(OR(V67="",V67=0),"",X67/V67))</f>
        <v>0</v>
      </c>
      <c r="Z67" s="41">
        <f>IF(E67="","",IFERROR(ROUND(F67*INDEX(Products!$X$5:$X$304,MATCH(E67,Products!$A$5:$A$304,0))/60,1),""))</f>
        <v>0</v>
      </c>
      <c r="AA67" s="20">
        <f>IF(E67="","",IF(OR(Z67="",Z67=0),"",ROUND(X67/Z67,2)))</f>
        <v>0</v>
      </c>
      <c r="AB67" s="42">
        <f>IF(E67="","",IF(V67="","",IF(AND(V67&gt;=MinOrderValue,F67&gt;=MinOrderQty),"Yes","No")))</f>
        <v>0</v>
      </c>
      <c r="AC67" s="32">
        <f>IF(B67="","",IF(I67="","",I67-B67))</f>
        <v>0</v>
      </c>
      <c r="AD67" s="43">
        <f>IF(B67="","",IF(E67="","Add - which product?",IF(X67&lt;0,"Loss - this order costs you money",IF(AND(Y67&lt;&gt;"",Y67&lt;TargetWholesaleMargin),"Low margin - the discount is too deep",IF(AND(H67&lt;&gt;"",I67="",H67&lt;TodayDate),"Overdue - not despatched",IF(AND(M67="No",I67&lt;&gt;"",TodayDate-I67&gt;30),"Chase - unpaid over 30 days",IF(AB67="No","Check - below your minimum order","OK")))))))</f>
        <v>0</v>
      </c>
    </row>
    <row r="68" spans="1:30">
      <c r="A68" s="38">
        <f>IF(B68="","",OrderPrefix&amp;TEXT(ROW()-4,"0000"))</f>
        <v>0</v>
      </c>
      <c r="O68" s="13">
        <f>IF(C68="","",IFERROR(INDEX('Wholesale Customers'!$B$5:$B$64,MATCH(C68,'Wholesale Customers'!$A$5:$A$64,0)),"Not found"))</f>
        <v>0</v>
      </c>
      <c r="P68" s="13">
        <f>IF(E68="","",IFERROR(INDEX(Products!$B$5:$B$304,MATCH(E68,Products!$A$5:$A$304,0)),"Not found"))</f>
        <v>0</v>
      </c>
      <c r="Q68" s="13">
        <f>IF(B68="","",TEXT(B68,"yyyy-mm"))</f>
        <v>0</v>
      </c>
      <c r="R68" s="33">
        <f>IF(C68="","",IFERROR(INDEX('Wholesale Customers'!$P$5:$P$64,MATCH(C68,'Wholesale Customers'!$A$5:$A$64,0)),WholesaleDiscount))</f>
        <v>0</v>
      </c>
      <c r="S68" s="20">
        <f>IF(E68="","",IFERROR(INDEX(Products!$AR$5:$AR$304,MATCH(E68,Products!$A$5:$A$304,0)),""))</f>
        <v>0</v>
      </c>
      <c r="T68" s="20">
        <f>IF(E68="","",IF(G68&lt;&gt;"",G68,IF(S68="","",ROUND(S68*(1-R68),2))))</f>
        <v>0</v>
      </c>
      <c r="U68" s="20">
        <f>IF(E68="","",IFERROR(INDEX(Products!$AH$5:$AH$304,MATCH(E68,Products!$A$5:$A$304,0)),""))</f>
        <v>0</v>
      </c>
      <c r="V68" s="20">
        <f>IF(E68="","",IF(OR(F68="",T68=""),"",ROUND(F68*T68,2)))</f>
        <v>0</v>
      </c>
      <c r="W68" s="20">
        <f>IF(E68="","",IF(OR(F68="",U68=""),"",ROUND(F68*U68+MAX(0,IF(K68="",0,K68)-IF(J68="",0,J68)),2)))</f>
        <v>0</v>
      </c>
      <c r="X68" s="20">
        <f>IF(E68="","",IF(V68="","",ROUND(V68-W68,2)))</f>
        <v>0</v>
      </c>
      <c r="Y68" s="33">
        <f>IF(E68="","",IF(OR(V68="",V68=0),"",X68/V68))</f>
        <v>0</v>
      </c>
      <c r="Z68" s="41">
        <f>IF(E68="","",IFERROR(ROUND(F68*INDEX(Products!$X$5:$X$304,MATCH(E68,Products!$A$5:$A$304,0))/60,1),""))</f>
        <v>0</v>
      </c>
      <c r="AA68" s="20">
        <f>IF(E68="","",IF(OR(Z68="",Z68=0),"",ROUND(X68/Z68,2)))</f>
        <v>0</v>
      </c>
      <c r="AB68" s="42">
        <f>IF(E68="","",IF(V68="","",IF(AND(V68&gt;=MinOrderValue,F68&gt;=MinOrderQty),"Yes","No")))</f>
        <v>0</v>
      </c>
      <c r="AC68" s="32">
        <f>IF(B68="","",IF(I68="","",I68-B68))</f>
        <v>0</v>
      </c>
      <c r="AD68" s="43">
        <f>IF(B68="","",IF(E68="","Add - which product?",IF(X68&lt;0,"Loss - this order costs you money",IF(AND(Y68&lt;&gt;"",Y68&lt;TargetWholesaleMargin),"Low margin - the discount is too deep",IF(AND(H68&lt;&gt;"",I68="",H68&lt;TodayDate),"Overdue - not despatched",IF(AND(M68="No",I68&lt;&gt;"",TodayDate-I68&gt;30),"Chase - unpaid over 30 days",IF(AB68="No","Check - below your minimum order","OK")))))))</f>
        <v>0</v>
      </c>
    </row>
    <row r="69" spans="1:30">
      <c r="A69" s="38">
        <f>IF(B69="","",OrderPrefix&amp;TEXT(ROW()-4,"0000"))</f>
        <v>0</v>
      </c>
      <c r="O69" s="13">
        <f>IF(C69="","",IFERROR(INDEX('Wholesale Customers'!$B$5:$B$64,MATCH(C69,'Wholesale Customers'!$A$5:$A$64,0)),"Not found"))</f>
        <v>0</v>
      </c>
      <c r="P69" s="13">
        <f>IF(E69="","",IFERROR(INDEX(Products!$B$5:$B$304,MATCH(E69,Products!$A$5:$A$304,0)),"Not found"))</f>
        <v>0</v>
      </c>
      <c r="Q69" s="13">
        <f>IF(B69="","",TEXT(B69,"yyyy-mm"))</f>
        <v>0</v>
      </c>
      <c r="R69" s="33">
        <f>IF(C69="","",IFERROR(INDEX('Wholesale Customers'!$P$5:$P$64,MATCH(C69,'Wholesale Customers'!$A$5:$A$64,0)),WholesaleDiscount))</f>
        <v>0</v>
      </c>
      <c r="S69" s="20">
        <f>IF(E69="","",IFERROR(INDEX(Products!$AR$5:$AR$304,MATCH(E69,Products!$A$5:$A$304,0)),""))</f>
        <v>0</v>
      </c>
      <c r="T69" s="20">
        <f>IF(E69="","",IF(G69&lt;&gt;"",G69,IF(S69="","",ROUND(S69*(1-R69),2))))</f>
        <v>0</v>
      </c>
      <c r="U69" s="20">
        <f>IF(E69="","",IFERROR(INDEX(Products!$AH$5:$AH$304,MATCH(E69,Products!$A$5:$A$304,0)),""))</f>
        <v>0</v>
      </c>
      <c r="V69" s="20">
        <f>IF(E69="","",IF(OR(F69="",T69=""),"",ROUND(F69*T69,2)))</f>
        <v>0</v>
      </c>
      <c r="W69" s="20">
        <f>IF(E69="","",IF(OR(F69="",U69=""),"",ROUND(F69*U69+MAX(0,IF(K69="",0,K69)-IF(J69="",0,J69)),2)))</f>
        <v>0</v>
      </c>
      <c r="X69" s="20">
        <f>IF(E69="","",IF(V69="","",ROUND(V69-W69,2)))</f>
        <v>0</v>
      </c>
      <c r="Y69" s="33">
        <f>IF(E69="","",IF(OR(V69="",V69=0),"",X69/V69))</f>
        <v>0</v>
      </c>
      <c r="Z69" s="41">
        <f>IF(E69="","",IFERROR(ROUND(F69*INDEX(Products!$X$5:$X$304,MATCH(E69,Products!$A$5:$A$304,0))/60,1),""))</f>
        <v>0</v>
      </c>
      <c r="AA69" s="20">
        <f>IF(E69="","",IF(OR(Z69="",Z69=0),"",ROUND(X69/Z69,2)))</f>
        <v>0</v>
      </c>
      <c r="AB69" s="42">
        <f>IF(E69="","",IF(V69="","",IF(AND(V69&gt;=MinOrderValue,F69&gt;=MinOrderQty),"Yes","No")))</f>
        <v>0</v>
      </c>
      <c r="AC69" s="32">
        <f>IF(B69="","",IF(I69="","",I69-B69))</f>
        <v>0</v>
      </c>
      <c r="AD69" s="43">
        <f>IF(B69="","",IF(E69="","Add - which product?",IF(X69&lt;0,"Loss - this order costs you money",IF(AND(Y69&lt;&gt;"",Y69&lt;TargetWholesaleMargin),"Low margin - the discount is too deep",IF(AND(H69&lt;&gt;"",I69="",H69&lt;TodayDate),"Overdue - not despatched",IF(AND(M69="No",I69&lt;&gt;"",TodayDate-I69&gt;30),"Chase - unpaid over 30 days",IF(AB69="No","Check - below your minimum order","OK")))))))</f>
        <v>0</v>
      </c>
    </row>
    <row r="70" spans="1:30">
      <c r="A70" s="38">
        <f>IF(B70="","",OrderPrefix&amp;TEXT(ROW()-4,"0000"))</f>
        <v>0</v>
      </c>
      <c r="O70" s="13">
        <f>IF(C70="","",IFERROR(INDEX('Wholesale Customers'!$B$5:$B$64,MATCH(C70,'Wholesale Customers'!$A$5:$A$64,0)),"Not found"))</f>
        <v>0</v>
      </c>
      <c r="P70" s="13">
        <f>IF(E70="","",IFERROR(INDEX(Products!$B$5:$B$304,MATCH(E70,Products!$A$5:$A$304,0)),"Not found"))</f>
        <v>0</v>
      </c>
      <c r="Q70" s="13">
        <f>IF(B70="","",TEXT(B70,"yyyy-mm"))</f>
        <v>0</v>
      </c>
      <c r="R70" s="33">
        <f>IF(C70="","",IFERROR(INDEX('Wholesale Customers'!$P$5:$P$64,MATCH(C70,'Wholesale Customers'!$A$5:$A$64,0)),WholesaleDiscount))</f>
        <v>0</v>
      </c>
      <c r="S70" s="20">
        <f>IF(E70="","",IFERROR(INDEX(Products!$AR$5:$AR$304,MATCH(E70,Products!$A$5:$A$304,0)),""))</f>
        <v>0</v>
      </c>
      <c r="T70" s="20">
        <f>IF(E70="","",IF(G70&lt;&gt;"",G70,IF(S70="","",ROUND(S70*(1-R70),2))))</f>
        <v>0</v>
      </c>
      <c r="U70" s="20">
        <f>IF(E70="","",IFERROR(INDEX(Products!$AH$5:$AH$304,MATCH(E70,Products!$A$5:$A$304,0)),""))</f>
        <v>0</v>
      </c>
      <c r="V70" s="20">
        <f>IF(E70="","",IF(OR(F70="",T70=""),"",ROUND(F70*T70,2)))</f>
        <v>0</v>
      </c>
      <c r="W70" s="20">
        <f>IF(E70="","",IF(OR(F70="",U70=""),"",ROUND(F70*U70+MAX(0,IF(K70="",0,K70)-IF(J70="",0,J70)),2)))</f>
        <v>0</v>
      </c>
      <c r="X70" s="20">
        <f>IF(E70="","",IF(V70="","",ROUND(V70-W70,2)))</f>
        <v>0</v>
      </c>
      <c r="Y70" s="33">
        <f>IF(E70="","",IF(OR(V70="",V70=0),"",X70/V70))</f>
        <v>0</v>
      </c>
      <c r="Z70" s="41">
        <f>IF(E70="","",IFERROR(ROUND(F70*INDEX(Products!$X$5:$X$304,MATCH(E70,Products!$A$5:$A$304,0))/60,1),""))</f>
        <v>0</v>
      </c>
      <c r="AA70" s="20">
        <f>IF(E70="","",IF(OR(Z70="",Z70=0),"",ROUND(X70/Z70,2)))</f>
        <v>0</v>
      </c>
      <c r="AB70" s="42">
        <f>IF(E70="","",IF(V70="","",IF(AND(V70&gt;=MinOrderValue,F70&gt;=MinOrderQty),"Yes","No")))</f>
        <v>0</v>
      </c>
      <c r="AC70" s="32">
        <f>IF(B70="","",IF(I70="","",I70-B70))</f>
        <v>0</v>
      </c>
      <c r="AD70" s="43">
        <f>IF(B70="","",IF(E70="","Add - which product?",IF(X70&lt;0,"Loss - this order costs you money",IF(AND(Y70&lt;&gt;"",Y70&lt;TargetWholesaleMargin),"Low margin - the discount is too deep",IF(AND(H70&lt;&gt;"",I70="",H70&lt;TodayDate),"Overdue - not despatched",IF(AND(M70="No",I70&lt;&gt;"",TodayDate-I70&gt;30),"Chase - unpaid over 30 days",IF(AB70="No","Check - below your minimum order","OK")))))))</f>
        <v>0</v>
      </c>
    </row>
    <row r="71" spans="1:30">
      <c r="A71" s="38">
        <f>IF(B71="","",OrderPrefix&amp;TEXT(ROW()-4,"0000"))</f>
        <v>0</v>
      </c>
      <c r="O71" s="13">
        <f>IF(C71="","",IFERROR(INDEX('Wholesale Customers'!$B$5:$B$64,MATCH(C71,'Wholesale Customers'!$A$5:$A$64,0)),"Not found"))</f>
        <v>0</v>
      </c>
      <c r="P71" s="13">
        <f>IF(E71="","",IFERROR(INDEX(Products!$B$5:$B$304,MATCH(E71,Products!$A$5:$A$304,0)),"Not found"))</f>
        <v>0</v>
      </c>
      <c r="Q71" s="13">
        <f>IF(B71="","",TEXT(B71,"yyyy-mm"))</f>
        <v>0</v>
      </c>
      <c r="R71" s="33">
        <f>IF(C71="","",IFERROR(INDEX('Wholesale Customers'!$P$5:$P$64,MATCH(C71,'Wholesale Customers'!$A$5:$A$64,0)),WholesaleDiscount))</f>
        <v>0</v>
      </c>
      <c r="S71" s="20">
        <f>IF(E71="","",IFERROR(INDEX(Products!$AR$5:$AR$304,MATCH(E71,Products!$A$5:$A$304,0)),""))</f>
        <v>0</v>
      </c>
      <c r="T71" s="20">
        <f>IF(E71="","",IF(G71&lt;&gt;"",G71,IF(S71="","",ROUND(S71*(1-R71),2))))</f>
        <v>0</v>
      </c>
      <c r="U71" s="20">
        <f>IF(E71="","",IFERROR(INDEX(Products!$AH$5:$AH$304,MATCH(E71,Products!$A$5:$A$304,0)),""))</f>
        <v>0</v>
      </c>
      <c r="V71" s="20">
        <f>IF(E71="","",IF(OR(F71="",T71=""),"",ROUND(F71*T71,2)))</f>
        <v>0</v>
      </c>
      <c r="W71" s="20">
        <f>IF(E71="","",IF(OR(F71="",U71=""),"",ROUND(F71*U71+MAX(0,IF(K71="",0,K71)-IF(J71="",0,J71)),2)))</f>
        <v>0</v>
      </c>
      <c r="X71" s="20">
        <f>IF(E71="","",IF(V71="","",ROUND(V71-W71,2)))</f>
        <v>0</v>
      </c>
      <c r="Y71" s="33">
        <f>IF(E71="","",IF(OR(V71="",V71=0),"",X71/V71))</f>
        <v>0</v>
      </c>
      <c r="Z71" s="41">
        <f>IF(E71="","",IFERROR(ROUND(F71*INDEX(Products!$X$5:$X$304,MATCH(E71,Products!$A$5:$A$304,0))/60,1),""))</f>
        <v>0</v>
      </c>
      <c r="AA71" s="20">
        <f>IF(E71="","",IF(OR(Z71="",Z71=0),"",ROUND(X71/Z71,2)))</f>
        <v>0</v>
      </c>
      <c r="AB71" s="42">
        <f>IF(E71="","",IF(V71="","",IF(AND(V71&gt;=MinOrderValue,F71&gt;=MinOrderQty),"Yes","No")))</f>
        <v>0</v>
      </c>
      <c r="AC71" s="32">
        <f>IF(B71="","",IF(I71="","",I71-B71))</f>
        <v>0</v>
      </c>
      <c r="AD71" s="43">
        <f>IF(B71="","",IF(E71="","Add - which product?",IF(X71&lt;0,"Loss - this order costs you money",IF(AND(Y71&lt;&gt;"",Y71&lt;TargetWholesaleMargin),"Low margin - the discount is too deep",IF(AND(H71&lt;&gt;"",I71="",H71&lt;TodayDate),"Overdue - not despatched",IF(AND(M71="No",I71&lt;&gt;"",TodayDate-I71&gt;30),"Chase - unpaid over 30 days",IF(AB71="No","Check - below your minimum order","OK")))))))</f>
        <v>0</v>
      </c>
    </row>
    <row r="72" spans="1:30">
      <c r="A72" s="38">
        <f>IF(B72="","",OrderPrefix&amp;TEXT(ROW()-4,"0000"))</f>
        <v>0</v>
      </c>
      <c r="O72" s="13">
        <f>IF(C72="","",IFERROR(INDEX('Wholesale Customers'!$B$5:$B$64,MATCH(C72,'Wholesale Customers'!$A$5:$A$64,0)),"Not found"))</f>
        <v>0</v>
      </c>
      <c r="P72" s="13">
        <f>IF(E72="","",IFERROR(INDEX(Products!$B$5:$B$304,MATCH(E72,Products!$A$5:$A$304,0)),"Not found"))</f>
        <v>0</v>
      </c>
      <c r="Q72" s="13">
        <f>IF(B72="","",TEXT(B72,"yyyy-mm"))</f>
        <v>0</v>
      </c>
      <c r="R72" s="33">
        <f>IF(C72="","",IFERROR(INDEX('Wholesale Customers'!$P$5:$P$64,MATCH(C72,'Wholesale Customers'!$A$5:$A$64,0)),WholesaleDiscount))</f>
        <v>0</v>
      </c>
      <c r="S72" s="20">
        <f>IF(E72="","",IFERROR(INDEX(Products!$AR$5:$AR$304,MATCH(E72,Products!$A$5:$A$304,0)),""))</f>
        <v>0</v>
      </c>
      <c r="T72" s="20">
        <f>IF(E72="","",IF(G72&lt;&gt;"",G72,IF(S72="","",ROUND(S72*(1-R72),2))))</f>
        <v>0</v>
      </c>
      <c r="U72" s="20">
        <f>IF(E72="","",IFERROR(INDEX(Products!$AH$5:$AH$304,MATCH(E72,Products!$A$5:$A$304,0)),""))</f>
        <v>0</v>
      </c>
      <c r="V72" s="20">
        <f>IF(E72="","",IF(OR(F72="",T72=""),"",ROUND(F72*T72,2)))</f>
        <v>0</v>
      </c>
      <c r="W72" s="20">
        <f>IF(E72="","",IF(OR(F72="",U72=""),"",ROUND(F72*U72+MAX(0,IF(K72="",0,K72)-IF(J72="",0,J72)),2)))</f>
        <v>0</v>
      </c>
      <c r="X72" s="20">
        <f>IF(E72="","",IF(V72="","",ROUND(V72-W72,2)))</f>
        <v>0</v>
      </c>
      <c r="Y72" s="33">
        <f>IF(E72="","",IF(OR(V72="",V72=0),"",X72/V72))</f>
        <v>0</v>
      </c>
      <c r="Z72" s="41">
        <f>IF(E72="","",IFERROR(ROUND(F72*INDEX(Products!$X$5:$X$304,MATCH(E72,Products!$A$5:$A$304,0))/60,1),""))</f>
        <v>0</v>
      </c>
      <c r="AA72" s="20">
        <f>IF(E72="","",IF(OR(Z72="",Z72=0),"",ROUND(X72/Z72,2)))</f>
        <v>0</v>
      </c>
      <c r="AB72" s="42">
        <f>IF(E72="","",IF(V72="","",IF(AND(V72&gt;=MinOrderValue,F72&gt;=MinOrderQty),"Yes","No")))</f>
        <v>0</v>
      </c>
      <c r="AC72" s="32">
        <f>IF(B72="","",IF(I72="","",I72-B72))</f>
        <v>0</v>
      </c>
      <c r="AD72" s="43">
        <f>IF(B72="","",IF(E72="","Add - which product?",IF(X72&lt;0,"Loss - this order costs you money",IF(AND(Y72&lt;&gt;"",Y72&lt;TargetWholesaleMargin),"Low margin - the discount is too deep",IF(AND(H72&lt;&gt;"",I72="",H72&lt;TodayDate),"Overdue - not despatched",IF(AND(M72="No",I72&lt;&gt;"",TodayDate-I72&gt;30),"Chase - unpaid over 30 days",IF(AB72="No","Check - below your minimum order","OK")))))))</f>
        <v>0</v>
      </c>
    </row>
    <row r="73" spans="1:30">
      <c r="A73" s="38">
        <f>IF(B73="","",OrderPrefix&amp;TEXT(ROW()-4,"0000"))</f>
        <v>0</v>
      </c>
      <c r="O73" s="13">
        <f>IF(C73="","",IFERROR(INDEX('Wholesale Customers'!$B$5:$B$64,MATCH(C73,'Wholesale Customers'!$A$5:$A$64,0)),"Not found"))</f>
        <v>0</v>
      </c>
      <c r="P73" s="13">
        <f>IF(E73="","",IFERROR(INDEX(Products!$B$5:$B$304,MATCH(E73,Products!$A$5:$A$304,0)),"Not found"))</f>
        <v>0</v>
      </c>
      <c r="Q73" s="13">
        <f>IF(B73="","",TEXT(B73,"yyyy-mm"))</f>
        <v>0</v>
      </c>
      <c r="R73" s="33">
        <f>IF(C73="","",IFERROR(INDEX('Wholesale Customers'!$P$5:$P$64,MATCH(C73,'Wholesale Customers'!$A$5:$A$64,0)),WholesaleDiscount))</f>
        <v>0</v>
      </c>
      <c r="S73" s="20">
        <f>IF(E73="","",IFERROR(INDEX(Products!$AR$5:$AR$304,MATCH(E73,Products!$A$5:$A$304,0)),""))</f>
        <v>0</v>
      </c>
      <c r="T73" s="20">
        <f>IF(E73="","",IF(G73&lt;&gt;"",G73,IF(S73="","",ROUND(S73*(1-R73),2))))</f>
        <v>0</v>
      </c>
      <c r="U73" s="20">
        <f>IF(E73="","",IFERROR(INDEX(Products!$AH$5:$AH$304,MATCH(E73,Products!$A$5:$A$304,0)),""))</f>
        <v>0</v>
      </c>
      <c r="V73" s="20">
        <f>IF(E73="","",IF(OR(F73="",T73=""),"",ROUND(F73*T73,2)))</f>
        <v>0</v>
      </c>
      <c r="W73" s="20">
        <f>IF(E73="","",IF(OR(F73="",U73=""),"",ROUND(F73*U73+MAX(0,IF(K73="",0,K73)-IF(J73="",0,J73)),2)))</f>
        <v>0</v>
      </c>
      <c r="X73" s="20">
        <f>IF(E73="","",IF(V73="","",ROUND(V73-W73,2)))</f>
        <v>0</v>
      </c>
      <c r="Y73" s="33">
        <f>IF(E73="","",IF(OR(V73="",V73=0),"",X73/V73))</f>
        <v>0</v>
      </c>
      <c r="Z73" s="41">
        <f>IF(E73="","",IFERROR(ROUND(F73*INDEX(Products!$X$5:$X$304,MATCH(E73,Products!$A$5:$A$304,0))/60,1),""))</f>
        <v>0</v>
      </c>
      <c r="AA73" s="20">
        <f>IF(E73="","",IF(OR(Z73="",Z73=0),"",ROUND(X73/Z73,2)))</f>
        <v>0</v>
      </c>
      <c r="AB73" s="42">
        <f>IF(E73="","",IF(V73="","",IF(AND(V73&gt;=MinOrderValue,F73&gt;=MinOrderQty),"Yes","No")))</f>
        <v>0</v>
      </c>
      <c r="AC73" s="32">
        <f>IF(B73="","",IF(I73="","",I73-B73))</f>
        <v>0</v>
      </c>
      <c r="AD73" s="43">
        <f>IF(B73="","",IF(E73="","Add - which product?",IF(X73&lt;0,"Loss - this order costs you money",IF(AND(Y73&lt;&gt;"",Y73&lt;TargetWholesaleMargin),"Low margin - the discount is too deep",IF(AND(H73&lt;&gt;"",I73="",H73&lt;TodayDate),"Overdue - not despatched",IF(AND(M73="No",I73&lt;&gt;"",TodayDate-I73&gt;30),"Chase - unpaid over 30 days",IF(AB73="No","Check - below your minimum order","OK")))))))</f>
        <v>0</v>
      </c>
    </row>
    <row r="74" spans="1:30">
      <c r="A74" s="38">
        <f>IF(B74="","",OrderPrefix&amp;TEXT(ROW()-4,"0000"))</f>
        <v>0</v>
      </c>
      <c r="O74" s="13">
        <f>IF(C74="","",IFERROR(INDEX('Wholesale Customers'!$B$5:$B$64,MATCH(C74,'Wholesale Customers'!$A$5:$A$64,0)),"Not found"))</f>
        <v>0</v>
      </c>
      <c r="P74" s="13">
        <f>IF(E74="","",IFERROR(INDEX(Products!$B$5:$B$304,MATCH(E74,Products!$A$5:$A$304,0)),"Not found"))</f>
        <v>0</v>
      </c>
      <c r="Q74" s="13">
        <f>IF(B74="","",TEXT(B74,"yyyy-mm"))</f>
        <v>0</v>
      </c>
      <c r="R74" s="33">
        <f>IF(C74="","",IFERROR(INDEX('Wholesale Customers'!$P$5:$P$64,MATCH(C74,'Wholesale Customers'!$A$5:$A$64,0)),WholesaleDiscount))</f>
        <v>0</v>
      </c>
      <c r="S74" s="20">
        <f>IF(E74="","",IFERROR(INDEX(Products!$AR$5:$AR$304,MATCH(E74,Products!$A$5:$A$304,0)),""))</f>
        <v>0</v>
      </c>
      <c r="T74" s="20">
        <f>IF(E74="","",IF(G74&lt;&gt;"",G74,IF(S74="","",ROUND(S74*(1-R74),2))))</f>
        <v>0</v>
      </c>
      <c r="U74" s="20">
        <f>IF(E74="","",IFERROR(INDEX(Products!$AH$5:$AH$304,MATCH(E74,Products!$A$5:$A$304,0)),""))</f>
        <v>0</v>
      </c>
      <c r="V74" s="20">
        <f>IF(E74="","",IF(OR(F74="",T74=""),"",ROUND(F74*T74,2)))</f>
        <v>0</v>
      </c>
      <c r="W74" s="20">
        <f>IF(E74="","",IF(OR(F74="",U74=""),"",ROUND(F74*U74+MAX(0,IF(K74="",0,K74)-IF(J74="",0,J74)),2)))</f>
        <v>0</v>
      </c>
      <c r="X74" s="20">
        <f>IF(E74="","",IF(V74="","",ROUND(V74-W74,2)))</f>
        <v>0</v>
      </c>
      <c r="Y74" s="33">
        <f>IF(E74="","",IF(OR(V74="",V74=0),"",X74/V74))</f>
        <v>0</v>
      </c>
      <c r="Z74" s="41">
        <f>IF(E74="","",IFERROR(ROUND(F74*INDEX(Products!$X$5:$X$304,MATCH(E74,Products!$A$5:$A$304,0))/60,1),""))</f>
        <v>0</v>
      </c>
      <c r="AA74" s="20">
        <f>IF(E74="","",IF(OR(Z74="",Z74=0),"",ROUND(X74/Z74,2)))</f>
        <v>0</v>
      </c>
      <c r="AB74" s="42">
        <f>IF(E74="","",IF(V74="","",IF(AND(V74&gt;=MinOrderValue,F74&gt;=MinOrderQty),"Yes","No")))</f>
        <v>0</v>
      </c>
      <c r="AC74" s="32">
        <f>IF(B74="","",IF(I74="","",I74-B74))</f>
        <v>0</v>
      </c>
      <c r="AD74" s="43">
        <f>IF(B74="","",IF(E74="","Add - which product?",IF(X74&lt;0,"Loss - this order costs you money",IF(AND(Y74&lt;&gt;"",Y74&lt;TargetWholesaleMargin),"Low margin - the discount is too deep",IF(AND(H74&lt;&gt;"",I74="",H74&lt;TodayDate),"Overdue - not despatched",IF(AND(M74="No",I74&lt;&gt;"",TodayDate-I74&gt;30),"Chase - unpaid over 30 days",IF(AB74="No","Check - below your minimum order","OK")))))))</f>
        <v>0</v>
      </c>
    </row>
    <row r="75" spans="1:30">
      <c r="A75" s="38">
        <f>IF(B75="","",OrderPrefix&amp;TEXT(ROW()-4,"0000"))</f>
        <v>0</v>
      </c>
      <c r="O75" s="13">
        <f>IF(C75="","",IFERROR(INDEX('Wholesale Customers'!$B$5:$B$64,MATCH(C75,'Wholesale Customers'!$A$5:$A$64,0)),"Not found"))</f>
        <v>0</v>
      </c>
      <c r="P75" s="13">
        <f>IF(E75="","",IFERROR(INDEX(Products!$B$5:$B$304,MATCH(E75,Products!$A$5:$A$304,0)),"Not found"))</f>
        <v>0</v>
      </c>
      <c r="Q75" s="13">
        <f>IF(B75="","",TEXT(B75,"yyyy-mm"))</f>
        <v>0</v>
      </c>
      <c r="R75" s="33">
        <f>IF(C75="","",IFERROR(INDEX('Wholesale Customers'!$P$5:$P$64,MATCH(C75,'Wholesale Customers'!$A$5:$A$64,0)),WholesaleDiscount))</f>
        <v>0</v>
      </c>
      <c r="S75" s="20">
        <f>IF(E75="","",IFERROR(INDEX(Products!$AR$5:$AR$304,MATCH(E75,Products!$A$5:$A$304,0)),""))</f>
        <v>0</v>
      </c>
      <c r="T75" s="20">
        <f>IF(E75="","",IF(G75&lt;&gt;"",G75,IF(S75="","",ROUND(S75*(1-R75),2))))</f>
        <v>0</v>
      </c>
      <c r="U75" s="20">
        <f>IF(E75="","",IFERROR(INDEX(Products!$AH$5:$AH$304,MATCH(E75,Products!$A$5:$A$304,0)),""))</f>
        <v>0</v>
      </c>
      <c r="V75" s="20">
        <f>IF(E75="","",IF(OR(F75="",T75=""),"",ROUND(F75*T75,2)))</f>
        <v>0</v>
      </c>
      <c r="W75" s="20">
        <f>IF(E75="","",IF(OR(F75="",U75=""),"",ROUND(F75*U75+MAX(0,IF(K75="",0,K75)-IF(J75="",0,J75)),2)))</f>
        <v>0</v>
      </c>
      <c r="X75" s="20">
        <f>IF(E75="","",IF(V75="","",ROUND(V75-W75,2)))</f>
        <v>0</v>
      </c>
      <c r="Y75" s="33">
        <f>IF(E75="","",IF(OR(V75="",V75=0),"",X75/V75))</f>
        <v>0</v>
      </c>
      <c r="Z75" s="41">
        <f>IF(E75="","",IFERROR(ROUND(F75*INDEX(Products!$X$5:$X$304,MATCH(E75,Products!$A$5:$A$304,0))/60,1),""))</f>
        <v>0</v>
      </c>
      <c r="AA75" s="20">
        <f>IF(E75="","",IF(OR(Z75="",Z75=0),"",ROUND(X75/Z75,2)))</f>
        <v>0</v>
      </c>
      <c r="AB75" s="42">
        <f>IF(E75="","",IF(V75="","",IF(AND(V75&gt;=MinOrderValue,F75&gt;=MinOrderQty),"Yes","No")))</f>
        <v>0</v>
      </c>
      <c r="AC75" s="32">
        <f>IF(B75="","",IF(I75="","",I75-B75))</f>
        <v>0</v>
      </c>
      <c r="AD75" s="43">
        <f>IF(B75="","",IF(E75="","Add - which product?",IF(X75&lt;0,"Loss - this order costs you money",IF(AND(Y75&lt;&gt;"",Y75&lt;TargetWholesaleMargin),"Low margin - the discount is too deep",IF(AND(H75&lt;&gt;"",I75="",H75&lt;TodayDate),"Overdue - not despatched",IF(AND(M75="No",I75&lt;&gt;"",TodayDate-I75&gt;30),"Chase - unpaid over 30 days",IF(AB75="No","Check - below your minimum order","OK")))))))</f>
        <v>0</v>
      </c>
    </row>
    <row r="76" spans="1:30">
      <c r="A76" s="38">
        <f>IF(B76="","",OrderPrefix&amp;TEXT(ROW()-4,"0000"))</f>
        <v>0</v>
      </c>
      <c r="O76" s="13">
        <f>IF(C76="","",IFERROR(INDEX('Wholesale Customers'!$B$5:$B$64,MATCH(C76,'Wholesale Customers'!$A$5:$A$64,0)),"Not found"))</f>
        <v>0</v>
      </c>
      <c r="P76" s="13">
        <f>IF(E76="","",IFERROR(INDEX(Products!$B$5:$B$304,MATCH(E76,Products!$A$5:$A$304,0)),"Not found"))</f>
        <v>0</v>
      </c>
      <c r="Q76" s="13">
        <f>IF(B76="","",TEXT(B76,"yyyy-mm"))</f>
        <v>0</v>
      </c>
      <c r="R76" s="33">
        <f>IF(C76="","",IFERROR(INDEX('Wholesale Customers'!$P$5:$P$64,MATCH(C76,'Wholesale Customers'!$A$5:$A$64,0)),WholesaleDiscount))</f>
        <v>0</v>
      </c>
      <c r="S76" s="20">
        <f>IF(E76="","",IFERROR(INDEX(Products!$AR$5:$AR$304,MATCH(E76,Products!$A$5:$A$304,0)),""))</f>
        <v>0</v>
      </c>
      <c r="T76" s="20">
        <f>IF(E76="","",IF(G76&lt;&gt;"",G76,IF(S76="","",ROUND(S76*(1-R76),2))))</f>
        <v>0</v>
      </c>
      <c r="U76" s="20">
        <f>IF(E76="","",IFERROR(INDEX(Products!$AH$5:$AH$304,MATCH(E76,Products!$A$5:$A$304,0)),""))</f>
        <v>0</v>
      </c>
      <c r="V76" s="20">
        <f>IF(E76="","",IF(OR(F76="",T76=""),"",ROUND(F76*T76,2)))</f>
        <v>0</v>
      </c>
      <c r="W76" s="20">
        <f>IF(E76="","",IF(OR(F76="",U76=""),"",ROUND(F76*U76+MAX(0,IF(K76="",0,K76)-IF(J76="",0,J76)),2)))</f>
        <v>0</v>
      </c>
      <c r="X76" s="20">
        <f>IF(E76="","",IF(V76="","",ROUND(V76-W76,2)))</f>
        <v>0</v>
      </c>
      <c r="Y76" s="33">
        <f>IF(E76="","",IF(OR(V76="",V76=0),"",X76/V76))</f>
        <v>0</v>
      </c>
      <c r="Z76" s="41">
        <f>IF(E76="","",IFERROR(ROUND(F76*INDEX(Products!$X$5:$X$304,MATCH(E76,Products!$A$5:$A$304,0))/60,1),""))</f>
        <v>0</v>
      </c>
      <c r="AA76" s="20">
        <f>IF(E76="","",IF(OR(Z76="",Z76=0),"",ROUND(X76/Z76,2)))</f>
        <v>0</v>
      </c>
      <c r="AB76" s="42">
        <f>IF(E76="","",IF(V76="","",IF(AND(V76&gt;=MinOrderValue,F76&gt;=MinOrderQty),"Yes","No")))</f>
        <v>0</v>
      </c>
      <c r="AC76" s="32">
        <f>IF(B76="","",IF(I76="","",I76-B76))</f>
        <v>0</v>
      </c>
      <c r="AD76" s="43">
        <f>IF(B76="","",IF(E76="","Add - which product?",IF(X76&lt;0,"Loss - this order costs you money",IF(AND(Y76&lt;&gt;"",Y76&lt;TargetWholesaleMargin),"Low margin - the discount is too deep",IF(AND(H76&lt;&gt;"",I76="",H76&lt;TodayDate),"Overdue - not despatched",IF(AND(M76="No",I76&lt;&gt;"",TodayDate-I76&gt;30),"Chase - unpaid over 30 days",IF(AB76="No","Check - below your minimum order","OK")))))))</f>
        <v>0</v>
      </c>
    </row>
    <row r="77" spans="1:30">
      <c r="A77" s="38">
        <f>IF(B77="","",OrderPrefix&amp;TEXT(ROW()-4,"0000"))</f>
        <v>0</v>
      </c>
      <c r="O77" s="13">
        <f>IF(C77="","",IFERROR(INDEX('Wholesale Customers'!$B$5:$B$64,MATCH(C77,'Wholesale Customers'!$A$5:$A$64,0)),"Not found"))</f>
        <v>0</v>
      </c>
      <c r="P77" s="13">
        <f>IF(E77="","",IFERROR(INDEX(Products!$B$5:$B$304,MATCH(E77,Products!$A$5:$A$304,0)),"Not found"))</f>
        <v>0</v>
      </c>
      <c r="Q77" s="13">
        <f>IF(B77="","",TEXT(B77,"yyyy-mm"))</f>
        <v>0</v>
      </c>
      <c r="R77" s="33">
        <f>IF(C77="","",IFERROR(INDEX('Wholesale Customers'!$P$5:$P$64,MATCH(C77,'Wholesale Customers'!$A$5:$A$64,0)),WholesaleDiscount))</f>
        <v>0</v>
      </c>
      <c r="S77" s="20">
        <f>IF(E77="","",IFERROR(INDEX(Products!$AR$5:$AR$304,MATCH(E77,Products!$A$5:$A$304,0)),""))</f>
        <v>0</v>
      </c>
      <c r="T77" s="20">
        <f>IF(E77="","",IF(G77&lt;&gt;"",G77,IF(S77="","",ROUND(S77*(1-R77),2))))</f>
        <v>0</v>
      </c>
      <c r="U77" s="20">
        <f>IF(E77="","",IFERROR(INDEX(Products!$AH$5:$AH$304,MATCH(E77,Products!$A$5:$A$304,0)),""))</f>
        <v>0</v>
      </c>
      <c r="V77" s="20">
        <f>IF(E77="","",IF(OR(F77="",T77=""),"",ROUND(F77*T77,2)))</f>
        <v>0</v>
      </c>
      <c r="W77" s="20">
        <f>IF(E77="","",IF(OR(F77="",U77=""),"",ROUND(F77*U77+MAX(0,IF(K77="",0,K77)-IF(J77="",0,J77)),2)))</f>
        <v>0</v>
      </c>
      <c r="X77" s="20">
        <f>IF(E77="","",IF(V77="","",ROUND(V77-W77,2)))</f>
        <v>0</v>
      </c>
      <c r="Y77" s="33">
        <f>IF(E77="","",IF(OR(V77="",V77=0),"",X77/V77))</f>
        <v>0</v>
      </c>
      <c r="Z77" s="41">
        <f>IF(E77="","",IFERROR(ROUND(F77*INDEX(Products!$X$5:$X$304,MATCH(E77,Products!$A$5:$A$304,0))/60,1),""))</f>
        <v>0</v>
      </c>
      <c r="AA77" s="20">
        <f>IF(E77="","",IF(OR(Z77="",Z77=0),"",ROUND(X77/Z77,2)))</f>
        <v>0</v>
      </c>
      <c r="AB77" s="42">
        <f>IF(E77="","",IF(V77="","",IF(AND(V77&gt;=MinOrderValue,F77&gt;=MinOrderQty),"Yes","No")))</f>
        <v>0</v>
      </c>
      <c r="AC77" s="32">
        <f>IF(B77="","",IF(I77="","",I77-B77))</f>
        <v>0</v>
      </c>
      <c r="AD77" s="43">
        <f>IF(B77="","",IF(E77="","Add - which product?",IF(X77&lt;0,"Loss - this order costs you money",IF(AND(Y77&lt;&gt;"",Y77&lt;TargetWholesaleMargin),"Low margin - the discount is too deep",IF(AND(H77&lt;&gt;"",I77="",H77&lt;TodayDate),"Overdue - not despatched",IF(AND(M77="No",I77&lt;&gt;"",TodayDate-I77&gt;30),"Chase - unpaid over 30 days",IF(AB77="No","Check - below your minimum order","OK")))))))</f>
        <v>0</v>
      </c>
    </row>
    <row r="78" spans="1:30">
      <c r="A78" s="38">
        <f>IF(B78="","",OrderPrefix&amp;TEXT(ROW()-4,"0000"))</f>
        <v>0</v>
      </c>
      <c r="O78" s="13">
        <f>IF(C78="","",IFERROR(INDEX('Wholesale Customers'!$B$5:$B$64,MATCH(C78,'Wholesale Customers'!$A$5:$A$64,0)),"Not found"))</f>
        <v>0</v>
      </c>
      <c r="P78" s="13">
        <f>IF(E78="","",IFERROR(INDEX(Products!$B$5:$B$304,MATCH(E78,Products!$A$5:$A$304,0)),"Not found"))</f>
        <v>0</v>
      </c>
      <c r="Q78" s="13">
        <f>IF(B78="","",TEXT(B78,"yyyy-mm"))</f>
        <v>0</v>
      </c>
      <c r="R78" s="33">
        <f>IF(C78="","",IFERROR(INDEX('Wholesale Customers'!$P$5:$P$64,MATCH(C78,'Wholesale Customers'!$A$5:$A$64,0)),WholesaleDiscount))</f>
        <v>0</v>
      </c>
      <c r="S78" s="20">
        <f>IF(E78="","",IFERROR(INDEX(Products!$AR$5:$AR$304,MATCH(E78,Products!$A$5:$A$304,0)),""))</f>
        <v>0</v>
      </c>
      <c r="T78" s="20">
        <f>IF(E78="","",IF(G78&lt;&gt;"",G78,IF(S78="","",ROUND(S78*(1-R78),2))))</f>
        <v>0</v>
      </c>
      <c r="U78" s="20">
        <f>IF(E78="","",IFERROR(INDEX(Products!$AH$5:$AH$304,MATCH(E78,Products!$A$5:$A$304,0)),""))</f>
        <v>0</v>
      </c>
      <c r="V78" s="20">
        <f>IF(E78="","",IF(OR(F78="",T78=""),"",ROUND(F78*T78,2)))</f>
        <v>0</v>
      </c>
      <c r="W78" s="20">
        <f>IF(E78="","",IF(OR(F78="",U78=""),"",ROUND(F78*U78+MAX(0,IF(K78="",0,K78)-IF(J78="",0,J78)),2)))</f>
        <v>0</v>
      </c>
      <c r="X78" s="20">
        <f>IF(E78="","",IF(V78="","",ROUND(V78-W78,2)))</f>
        <v>0</v>
      </c>
      <c r="Y78" s="33">
        <f>IF(E78="","",IF(OR(V78="",V78=0),"",X78/V78))</f>
        <v>0</v>
      </c>
      <c r="Z78" s="41">
        <f>IF(E78="","",IFERROR(ROUND(F78*INDEX(Products!$X$5:$X$304,MATCH(E78,Products!$A$5:$A$304,0))/60,1),""))</f>
        <v>0</v>
      </c>
      <c r="AA78" s="20">
        <f>IF(E78="","",IF(OR(Z78="",Z78=0),"",ROUND(X78/Z78,2)))</f>
        <v>0</v>
      </c>
      <c r="AB78" s="42">
        <f>IF(E78="","",IF(V78="","",IF(AND(V78&gt;=MinOrderValue,F78&gt;=MinOrderQty),"Yes","No")))</f>
        <v>0</v>
      </c>
      <c r="AC78" s="32">
        <f>IF(B78="","",IF(I78="","",I78-B78))</f>
        <v>0</v>
      </c>
      <c r="AD78" s="43">
        <f>IF(B78="","",IF(E78="","Add - which product?",IF(X78&lt;0,"Loss - this order costs you money",IF(AND(Y78&lt;&gt;"",Y78&lt;TargetWholesaleMargin),"Low margin - the discount is too deep",IF(AND(H78&lt;&gt;"",I78="",H78&lt;TodayDate),"Overdue - not despatched",IF(AND(M78="No",I78&lt;&gt;"",TodayDate-I78&gt;30),"Chase - unpaid over 30 days",IF(AB78="No","Check - below your minimum order","OK")))))))</f>
        <v>0</v>
      </c>
    </row>
    <row r="79" spans="1:30">
      <c r="A79" s="38">
        <f>IF(B79="","",OrderPrefix&amp;TEXT(ROW()-4,"0000"))</f>
        <v>0</v>
      </c>
      <c r="O79" s="13">
        <f>IF(C79="","",IFERROR(INDEX('Wholesale Customers'!$B$5:$B$64,MATCH(C79,'Wholesale Customers'!$A$5:$A$64,0)),"Not found"))</f>
        <v>0</v>
      </c>
      <c r="P79" s="13">
        <f>IF(E79="","",IFERROR(INDEX(Products!$B$5:$B$304,MATCH(E79,Products!$A$5:$A$304,0)),"Not found"))</f>
        <v>0</v>
      </c>
      <c r="Q79" s="13">
        <f>IF(B79="","",TEXT(B79,"yyyy-mm"))</f>
        <v>0</v>
      </c>
      <c r="R79" s="33">
        <f>IF(C79="","",IFERROR(INDEX('Wholesale Customers'!$P$5:$P$64,MATCH(C79,'Wholesale Customers'!$A$5:$A$64,0)),WholesaleDiscount))</f>
        <v>0</v>
      </c>
      <c r="S79" s="20">
        <f>IF(E79="","",IFERROR(INDEX(Products!$AR$5:$AR$304,MATCH(E79,Products!$A$5:$A$304,0)),""))</f>
        <v>0</v>
      </c>
      <c r="T79" s="20">
        <f>IF(E79="","",IF(G79&lt;&gt;"",G79,IF(S79="","",ROUND(S79*(1-R79),2))))</f>
        <v>0</v>
      </c>
      <c r="U79" s="20">
        <f>IF(E79="","",IFERROR(INDEX(Products!$AH$5:$AH$304,MATCH(E79,Products!$A$5:$A$304,0)),""))</f>
        <v>0</v>
      </c>
      <c r="V79" s="20">
        <f>IF(E79="","",IF(OR(F79="",T79=""),"",ROUND(F79*T79,2)))</f>
        <v>0</v>
      </c>
      <c r="W79" s="20">
        <f>IF(E79="","",IF(OR(F79="",U79=""),"",ROUND(F79*U79+MAX(0,IF(K79="",0,K79)-IF(J79="",0,J79)),2)))</f>
        <v>0</v>
      </c>
      <c r="X79" s="20">
        <f>IF(E79="","",IF(V79="","",ROUND(V79-W79,2)))</f>
        <v>0</v>
      </c>
      <c r="Y79" s="33">
        <f>IF(E79="","",IF(OR(V79="",V79=0),"",X79/V79))</f>
        <v>0</v>
      </c>
      <c r="Z79" s="41">
        <f>IF(E79="","",IFERROR(ROUND(F79*INDEX(Products!$X$5:$X$304,MATCH(E79,Products!$A$5:$A$304,0))/60,1),""))</f>
        <v>0</v>
      </c>
      <c r="AA79" s="20">
        <f>IF(E79="","",IF(OR(Z79="",Z79=0),"",ROUND(X79/Z79,2)))</f>
        <v>0</v>
      </c>
      <c r="AB79" s="42">
        <f>IF(E79="","",IF(V79="","",IF(AND(V79&gt;=MinOrderValue,F79&gt;=MinOrderQty),"Yes","No")))</f>
        <v>0</v>
      </c>
      <c r="AC79" s="32">
        <f>IF(B79="","",IF(I79="","",I79-B79))</f>
        <v>0</v>
      </c>
      <c r="AD79" s="43">
        <f>IF(B79="","",IF(E79="","Add - which product?",IF(X79&lt;0,"Loss - this order costs you money",IF(AND(Y79&lt;&gt;"",Y79&lt;TargetWholesaleMargin),"Low margin - the discount is too deep",IF(AND(H79&lt;&gt;"",I79="",H79&lt;TodayDate),"Overdue - not despatched",IF(AND(M79="No",I79&lt;&gt;"",TodayDate-I79&gt;30),"Chase - unpaid over 30 days",IF(AB79="No","Check - below your minimum order","OK")))))))</f>
        <v>0</v>
      </c>
    </row>
    <row r="80" spans="1:30">
      <c r="A80" s="38">
        <f>IF(B80="","",OrderPrefix&amp;TEXT(ROW()-4,"0000"))</f>
        <v>0</v>
      </c>
      <c r="O80" s="13">
        <f>IF(C80="","",IFERROR(INDEX('Wholesale Customers'!$B$5:$B$64,MATCH(C80,'Wholesale Customers'!$A$5:$A$64,0)),"Not found"))</f>
        <v>0</v>
      </c>
      <c r="P80" s="13">
        <f>IF(E80="","",IFERROR(INDEX(Products!$B$5:$B$304,MATCH(E80,Products!$A$5:$A$304,0)),"Not found"))</f>
        <v>0</v>
      </c>
      <c r="Q80" s="13">
        <f>IF(B80="","",TEXT(B80,"yyyy-mm"))</f>
        <v>0</v>
      </c>
      <c r="R80" s="33">
        <f>IF(C80="","",IFERROR(INDEX('Wholesale Customers'!$P$5:$P$64,MATCH(C80,'Wholesale Customers'!$A$5:$A$64,0)),WholesaleDiscount))</f>
        <v>0</v>
      </c>
      <c r="S80" s="20">
        <f>IF(E80="","",IFERROR(INDEX(Products!$AR$5:$AR$304,MATCH(E80,Products!$A$5:$A$304,0)),""))</f>
        <v>0</v>
      </c>
      <c r="T80" s="20">
        <f>IF(E80="","",IF(G80&lt;&gt;"",G80,IF(S80="","",ROUND(S80*(1-R80),2))))</f>
        <v>0</v>
      </c>
      <c r="U80" s="20">
        <f>IF(E80="","",IFERROR(INDEX(Products!$AH$5:$AH$304,MATCH(E80,Products!$A$5:$A$304,0)),""))</f>
        <v>0</v>
      </c>
      <c r="V80" s="20">
        <f>IF(E80="","",IF(OR(F80="",T80=""),"",ROUND(F80*T80,2)))</f>
        <v>0</v>
      </c>
      <c r="W80" s="20">
        <f>IF(E80="","",IF(OR(F80="",U80=""),"",ROUND(F80*U80+MAX(0,IF(K80="",0,K80)-IF(J80="",0,J80)),2)))</f>
        <v>0</v>
      </c>
      <c r="X80" s="20">
        <f>IF(E80="","",IF(V80="","",ROUND(V80-W80,2)))</f>
        <v>0</v>
      </c>
      <c r="Y80" s="33">
        <f>IF(E80="","",IF(OR(V80="",V80=0),"",X80/V80))</f>
        <v>0</v>
      </c>
      <c r="Z80" s="41">
        <f>IF(E80="","",IFERROR(ROUND(F80*INDEX(Products!$X$5:$X$304,MATCH(E80,Products!$A$5:$A$304,0))/60,1),""))</f>
        <v>0</v>
      </c>
      <c r="AA80" s="20">
        <f>IF(E80="","",IF(OR(Z80="",Z80=0),"",ROUND(X80/Z80,2)))</f>
        <v>0</v>
      </c>
      <c r="AB80" s="42">
        <f>IF(E80="","",IF(V80="","",IF(AND(V80&gt;=MinOrderValue,F80&gt;=MinOrderQty),"Yes","No")))</f>
        <v>0</v>
      </c>
      <c r="AC80" s="32">
        <f>IF(B80="","",IF(I80="","",I80-B80))</f>
        <v>0</v>
      </c>
      <c r="AD80" s="43">
        <f>IF(B80="","",IF(E80="","Add - which product?",IF(X80&lt;0,"Loss - this order costs you money",IF(AND(Y80&lt;&gt;"",Y80&lt;TargetWholesaleMargin),"Low margin - the discount is too deep",IF(AND(H80&lt;&gt;"",I80="",H80&lt;TodayDate),"Overdue - not despatched",IF(AND(M80="No",I80&lt;&gt;"",TodayDate-I80&gt;30),"Chase - unpaid over 30 days",IF(AB80="No","Check - below your minimum order","OK")))))))</f>
        <v>0</v>
      </c>
    </row>
    <row r="81" spans="1:30">
      <c r="A81" s="38">
        <f>IF(B81="","",OrderPrefix&amp;TEXT(ROW()-4,"0000"))</f>
        <v>0</v>
      </c>
      <c r="O81" s="13">
        <f>IF(C81="","",IFERROR(INDEX('Wholesale Customers'!$B$5:$B$64,MATCH(C81,'Wholesale Customers'!$A$5:$A$64,0)),"Not found"))</f>
        <v>0</v>
      </c>
      <c r="P81" s="13">
        <f>IF(E81="","",IFERROR(INDEX(Products!$B$5:$B$304,MATCH(E81,Products!$A$5:$A$304,0)),"Not found"))</f>
        <v>0</v>
      </c>
      <c r="Q81" s="13">
        <f>IF(B81="","",TEXT(B81,"yyyy-mm"))</f>
        <v>0</v>
      </c>
      <c r="R81" s="33">
        <f>IF(C81="","",IFERROR(INDEX('Wholesale Customers'!$P$5:$P$64,MATCH(C81,'Wholesale Customers'!$A$5:$A$64,0)),WholesaleDiscount))</f>
        <v>0</v>
      </c>
      <c r="S81" s="20">
        <f>IF(E81="","",IFERROR(INDEX(Products!$AR$5:$AR$304,MATCH(E81,Products!$A$5:$A$304,0)),""))</f>
        <v>0</v>
      </c>
      <c r="T81" s="20">
        <f>IF(E81="","",IF(G81&lt;&gt;"",G81,IF(S81="","",ROUND(S81*(1-R81),2))))</f>
        <v>0</v>
      </c>
      <c r="U81" s="20">
        <f>IF(E81="","",IFERROR(INDEX(Products!$AH$5:$AH$304,MATCH(E81,Products!$A$5:$A$304,0)),""))</f>
        <v>0</v>
      </c>
      <c r="V81" s="20">
        <f>IF(E81="","",IF(OR(F81="",T81=""),"",ROUND(F81*T81,2)))</f>
        <v>0</v>
      </c>
      <c r="W81" s="20">
        <f>IF(E81="","",IF(OR(F81="",U81=""),"",ROUND(F81*U81+MAX(0,IF(K81="",0,K81)-IF(J81="",0,J81)),2)))</f>
        <v>0</v>
      </c>
      <c r="X81" s="20">
        <f>IF(E81="","",IF(V81="","",ROUND(V81-W81,2)))</f>
        <v>0</v>
      </c>
      <c r="Y81" s="33">
        <f>IF(E81="","",IF(OR(V81="",V81=0),"",X81/V81))</f>
        <v>0</v>
      </c>
      <c r="Z81" s="41">
        <f>IF(E81="","",IFERROR(ROUND(F81*INDEX(Products!$X$5:$X$304,MATCH(E81,Products!$A$5:$A$304,0))/60,1),""))</f>
        <v>0</v>
      </c>
      <c r="AA81" s="20">
        <f>IF(E81="","",IF(OR(Z81="",Z81=0),"",ROUND(X81/Z81,2)))</f>
        <v>0</v>
      </c>
      <c r="AB81" s="42">
        <f>IF(E81="","",IF(V81="","",IF(AND(V81&gt;=MinOrderValue,F81&gt;=MinOrderQty),"Yes","No")))</f>
        <v>0</v>
      </c>
      <c r="AC81" s="32">
        <f>IF(B81="","",IF(I81="","",I81-B81))</f>
        <v>0</v>
      </c>
      <c r="AD81" s="43">
        <f>IF(B81="","",IF(E81="","Add - which product?",IF(X81&lt;0,"Loss - this order costs you money",IF(AND(Y81&lt;&gt;"",Y81&lt;TargetWholesaleMargin),"Low margin - the discount is too deep",IF(AND(H81&lt;&gt;"",I81="",H81&lt;TodayDate),"Overdue - not despatched",IF(AND(M81="No",I81&lt;&gt;"",TodayDate-I81&gt;30),"Chase - unpaid over 30 days",IF(AB81="No","Check - below your minimum order","OK")))))))</f>
        <v>0</v>
      </c>
    </row>
    <row r="82" spans="1:30">
      <c r="A82" s="38">
        <f>IF(B82="","",OrderPrefix&amp;TEXT(ROW()-4,"0000"))</f>
        <v>0</v>
      </c>
      <c r="O82" s="13">
        <f>IF(C82="","",IFERROR(INDEX('Wholesale Customers'!$B$5:$B$64,MATCH(C82,'Wholesale Customers'!$A$5:$A$64,0)),"Not found"))</f>
        <v>0</v>
      </c>
      <c r="P82" s="13">
        <f>IF(E82="","",IFERROR(INDEX(Products!$B$5:$B$304,MATCH(E82,Products!$A$5:$A$304,0)),"Not found"))</f>
        <v>0</v>
      </c>
      <c r="Q82" s="13">
        <f>IF(B82="","",TEXT(B82,"yyyy-mm"))</f>
        <v>0</v>
      </c>
      <c r="R82" s="33">
        <f>IF(C82="","",IFERROR(INDEX('Wholesale Customers'!$P$5:$P$64,MATCH(C82,'Wholesale Customers'!$A$5:$A$64,0)),WholesaleDiscount))</f>
        <v>0</v>
      </c>
      <c r="S82" s="20">
        <f>IF(E82="","",IFERROR(INDEX(Products!$AR$5:$AR$304,MATCH(E82,Products!$A$5:$A$304,0)),""))</f>
        <v>0</v>
      </c>
      <c r="T82" s="20">
        <f>IF(E82="","",IF(G82&lt;&gt;"",G82,IF(S82="","",ROUND(S82*(1-R82),2))))</f>
        <v>0</v>
      </c>
      <c r="U82" s="20">
        <f>IF(E82="","",IFERROR(INDEX(Products!$AH$5:$AH$304,MATCH(E82,Products!$A$5:$A$304,0)),""))</f>
        <v>0</v>
      </c>
      <c r="V82" s="20">
        <f>IF(E82="","",IF(OR(F82="",T82=""),"",ROUND(F82*T82,2)))</f>
        <v>0</v>
      </c>
      <c r="W82" s="20">
        <f>IF(E82="","",IF(OR(F82="",U82=""),"",ROUND(F82*U82+MAX(0,IF(K82="",0,K82)-IF(J82="",0,J82)),2)))</f>
        <v>0</v>
      </c>
      <c r="X82" s="20">
        <f>IF(E82="","",IF(V82="","",ROUND(V82-W82,2)))</f>
        <v>0</v>
      </c>
      <c r="Y82" s="33">
        <f>IF(E82="","",IF(OR(V82="",V82=0),"",X82/V82))</f>
        <v>0</v>
      </c>
      <c r="Z82" s="41">
        <f>IF(E82="","",IFERROR(ROUND(F82*INDEX(Products!$X$5:$X$304,MATCH(E82,Products!$A$5:$A$304,0))/60,1),""))</f>
        <v>0</v>
      </c>
      <c r="AA82" s="20">
        <f>IF(E82="","",IF(OR(Z82="",Z82=0),"",ROUND(X82/Z82,2)))</f>
        <v>0</v>
      </c>
      <c r="AB82" s="42">
        <f>IF(E82="","",IF(V82="","",IF(AND(V82&gt;=MinOrderValue,F82&gt;=MinOrderQty),"Yes","No")))</f>
        <v>0</v>
      </c>
      <c r="AC82" s="32">
        <f>IF(B82="","",IF(I82="","",I82-B82))</f>
        <v>0</v>
      </c>
      <c r="AD82" s="43">
        <f>IF(B82="","",IF(E82="","Add - which product?",IF(X82&lt;0,"Loss - this order costs you money",IF(AND(Y82&lt;&gt;"",Y82&lt;TargetWholesaleMargin),"Low margin - the discount is too deep",IF(AND(H82&lt;&gt;"",I82="",H82&lt;TodayDate),"Overdue - not despatched",IF(AND(M82="No",I82&lt;&gt;"",TodayDate-I82&gt;30),"Chase - unpaid over 30 days",IF(AB82="No","Check - below your minimum order","OK")))))))</f>
        <v>0</v>
      </c>
    </row>
    <row r="83" spans="1:30">
      <c r="A83" s="38">
        <f>IF(B83="","",OrderPrefix&amp;TEXT(ROW()-4,"0000"))</f>
        <v>0</v>
      </c>
      <c r="O83" s="13">
        <f>IF(C83="","",IFERROR(INDEX('Wholesale Customers'!$B$5:$B$64,MATCH(C83,'Wholesale Customers'!$A$5:$A$64,0)),"Not found"))</f>
        <v>0</v>
      </c>
      <c r="P83" s="13">
        <f>IF(E83="","",IFERROR(INDEX(Products!$B$5:$B$304,MATCH(E83,Products!$A$5:$A$304,0)),"Not found"))</f>
        <v>0</v>
      </c>
      <c r="Q83" s="13">
        <f>IF(B83="","",TEXT(B83,"yyyy-mm"))</f>
        <v>0</v>
      </c>
      <c r="R83" s="33">
        <f>IF(C83="","",IFERROR(INDEX('Wholesale Customers'!$P$5:$P$64,MATCH(C83,'Wholesale Customers'!$A$5:$A$64,0)),WholesaleDiscount))</f>
        <v>0</v>
      </c>
      <c r="S83" s="20">
        <f>IF(E83="","",IFERROR(INDEX(Products!$AR$5:$AR$304,MATCH(E83,Products!$A$5:$A$304,0)),""))</f>
        <v>0</v>
      </c>
      <c r="T83" s="20">
        <f>IF(E83="","",IF(G83&lt;&gt;"",G83,IF(S83="","",ROUND(S83*(1-R83),2))))</f>
        <v>0</v>
      </c>
      <c r="U83" s="20">
        <f>IF(E83="","",IFERROR(INDEX(Products!$AH$5:$AH$304,MATCH(E83,Products!$A$5:$A$304,0)),""))</f>
        <v>0</v>
      </c>
      <c r="V83" s="20">
        <f>IF(E83="","",IF(OR(F83="",T83=""),"",ROUND(F83*T83,2)))</f>
        <v>0</v>
      </c>
      <c r="W83" s="20">
        <f>IF(E83="","",IF(OR(F83="",U83=""),"",ROUND(F83*U83+MAX(0,IF(K83="",0,K83)-IF(J83="",0,J83)),2)))</f>
        <v>0</v>
      </c>
      <c r="X83" s="20">
        <f>IF(E83="","",IF(V83="","",ROUND(V83-W83,2)))</f>
        <v>0</v>
      </c>
      <c r="Y83" s="33">
        <f>IF(E83="","",IF(OR(V83="",V83=0),"",X83/V83))</f>
        <v>0</v>
      </c>
      <c r="Z83" s="41">
        <f>IF(E83="","",IFERROR(ROUND(F83*INDEX(Products!$X$5:$X$304,MATCH(E83,Products!$A$5:$A$304,0))/60,1),""))</f>
        <v>0</v>
      </c>
      <c r="AA83" s="20">
        <f>IF(E83="","",IF(OR(Z83="",Z83=0),"",ROUND(X83/Z83,2)))</f>
        <v>0</v>
      </c>
      <c r="AB83" s="42">
        <f>IF(E83="","",IF(V83="","",IF(AND(V83&gt;=MinOrderValue,F83&gt;=MinOrderQty),"Yes","No")))</f>
        <v>0</v>
      </c>
      <c r="AC83" s="32">
        <f>IF(B83="","",IF(I83="","",I83-B83))</f>
        <v>0</v>
      </c>
      <c r="AD83" s="43">
        <f>IF(B83="","",IF(E83="","Add - which product?",IF(X83&lt;0,"Loss - this order costs you money",IF(AND(Y83&lt;&gt;"",Y83&lt;TargetWholesaleMargin),"Low margin - the discount is too deep",IF(AND(H83&lt;&gt;"",I83="",H83&lt;TodayDate),"Overdue - not despatched",IF(AND(M83="No",I83&lt;&gt;"",TodayDate-I83&gt;30),"Chase - unpaid over 30 days",IF(AB83="No","Check - below your minimum order","OK")))))))</f>
        <v>0</v>
      </c>
    </row>
    <row r="84" spans="1:30">
      <c r="A84" s="38">
        <f>IF(B84="","",OrderPrefix&amp;TEXT(ROW()-4,"0000"))</f>
        <v>0</v>
      </c>
      <c r="O84" s="13">
        <f>IF(C84="","",IFERROR(INDEX('Wholesale Customers'!$B$5:$B$64,MATCH(C84,'Wholesale Customers'!$A$5:$A$64,0)),"Not found"))</f>
        <v>0</v>
      </c>
      <c r="P84" s="13">
        <f>IF(E84="","",IFERROR(INDEX(Products!$B$5:$B$304,MATCH(E84,Products!$A$5:$A$304,0)),"Not found"))</f>
        <v>0</v>
      </c>
      <c r="Q84" s="13">
        <f>IF(B84="","",TEXT(B84,"yyyy-mm"))</f>
        <v>0</v>
      </c>
      <c r="R84" s="33">
        <f>IF(C84="","",IFERROR(INDEX('Wholesale Customers'!$P$5:$P$64,MATCH(C84,'Wholesale Customers'!$A$5:$A$64,0)),WholesaleDiscount))</f>
        <v>0</v>
      </c>
      <c r="S84" s="20">
        <f>IF(E84="","",IFERROR(INDEX(Products!$AR$5:$AR$304,MATCH(E84,Products!$A$5:$A$304,0)),""))</f>
        <v>0</v>
      </c>
      <c r="T84" s="20">
        <f>IF(E84="","",IF(G84&lt;&gt;"",G84,IF(S84="","",ROUND(S84*(1-R84),2))))</f>
        <v>0</v>
      </c>
      <c r="U84" s="20">
        <f>IF(E84="","",IFERROR(INDEX(Products!$AH$5:$AH$304,MATCH(E84,Products!$A$5:$A$304,0)),""))</f>
        <v>0</v>
      </c>
      <c r="V84" s="20">
        <f>IF(E84="","",IF(OR(F84="",T84=""),"",ROUND(F84*T84,2)))</f>
        <v>0</v>
      </c>
      <c r="W84" s="20">
        <f>IF(E84="","",IF(OR(F84="",U84=""),"",ROUND(F84*U84+MAX(0,IF(K84="",0,K84)-IF(J84="",0,J84)),2)))</f>
        <v>0</v>
      </c>
      <c r="X84" s="20">
        <f>IF(E84="","",IF(V84="","",ROUND(V84-W84,2)))</f>
        <v>0</v>
      </c>
      <c r="Y84" s="33">
        <f>IF(E84="","",IF(OR(V84="",V84=0),"",X84/V84))</f>
        <v>0</v>
      </c>
      <c r="Z84" s="41">
        <f>IF(E84="","",IFERROR(ROUND(F84*INDEX(Products!$X$5:$X$304,MATCH(E84,Products!$A$5:$A$304,0))/60,1),""))</f>
        <v>0</v>
      </c>
      <c r="AA84" s="20">
        <f>IF(E84="","",IF(OR(Z84="",Z84=0),"",ROUND(X84/Z84,2)))</f>
        <v>0</v>
      </c>
      <c r="AB84" s="42">
        <f>IF(E84="","",IF(V84="","",IF(AND(V84&gt;=MinOrderValue,F84&gt;=MinOrderQty),"Yes","No")))</f>
        <v>0</v>
      </c>
      <c r="AC84" s="32">
        <f>IF(B84="","",IF(I84="","",I84-B84))</f>
        <v>0</v>
      </c>
      <c r="AD84" s="43">
        <f>IF(B84="","",IF(E84="","Add - which product?",IF(X84&lt;0,"Loss - this order costs you money",IF(AND(Y84&lt;&gt;"",Y84&lt;TargetWholesaleMargin),"Low margin - the discount is too deep",IF(AND(H84&lt;&gt;"",I84="",H84&lt;TodayDate),"Overdue - not despatched",IF(AND(M84="No",I84&lt;&gt;"",TodayDate-I84&gt;30),"Chase - unpaid over 30 days",IF(AB84="No","Check - below your minimum order","OK")))))))</f>
        <v>0</v>
      </c>
    </row>
    <row r="85" spans="1:30">
      <c r="A85" s="38">
        <f>IF(B85="","",OrderPrefix&amp;TEXT(ROW()-4,"0000"))</f>
        <v>0</v>
      </c>
      <c r="O85" s="13">
        <f>IF(C85="","",IFERROR(INDEX('Wholesale Customers'!$B$5:$B$64,MATCH(C85,'Wholesale Customers'!$A$5:$A$64,0)),"Not found"))</f>
        <v>0</v>
      </c>
      <c r="P85" s="13">
        <f>IF(E85="","",IFERROR(INDEX(Products!$B$5:$B$304,MATCH(E85,Products!$A$5:$A$304,0)),"Not found"))</f>
        <v>0</v>
      </c>
      <c r="Q85" s="13">
        <f>IF(B85="","",TEXT(B85,"yyyy-mm"))</f>
        <v>0</v>
      </c>
      <c r="R85" s="33">
        <f>IF(C85="","",IFERROR(INDEX('Wholesale Customers'!$P$5:$P$64,MATCH(C85,'Wholesale Customers'!$A$5:$A$64,0)),WholesaleDiscount))</f>
        <v>0</v>
      </c>
      <c r="S85" s="20">
        <f>IF(E85="","",IFERROR(INDEX(Products!$AR$5:$AR$304,MATCH(E85,Products!$A$5:$A$304,0)),""))</f>
        <v>0</v>
      </c>
      <c r="T85" s="20">
        <f>IF(E85="","",IF(G85&lt;&gt;"",G85,IF(S85="","",ROUND(S85*(1-R85),2))))</f>
        <v>0</v>
      </c>
      <c r="U85" s="20">
        <f>IF(E85="","",IFERROR(INDEX(Products!$AH$5:$AH$304,MATCH(E85,Products!$A$5:$A$304,0)),""))</f>
        <v>0</v>
      </c>
      <c r="V85" s="20">
        <f>IF(E85="","",IF(OR(F85="",T85=""),"",ROUND(F85*T85,2)))</f>
        <v>0</v>
      </c>
      <c r="W85" s="20">
        <f>IF(E85="","",IF(OR(F85="",U85=""),"",ROUND(F85*U85+MAX(0,IF(K85="",0,K85)-IF(J85="",0,J85)),2)))</f>
        <v>0</v>
      </c>
      <c r="X85" s="20">
        <f>IF(E85="","",IF(V85="","",ROUND(V85-W85,2)))</f>
        <v>0</v>
      </c>
      <c r="Y85" s="33">
        <f>IF(E85="","",IF(OR(V85="",V85=0),"",X85/V85))</f>
        <v>0</v>
      </c>
      <c r="Z85" s="41">
        <f>IF(E85="","",IFERROR(ROUND(F85*INDEX(Products!$X$5:$X$304,MATCH(E85,Products!$A$5:$A$304,0))/60,1),""))</f>
        <v>0</v>
      </c>
      <c r="AA85" s="20">
        <f>IF(E85="","",IF(OR(Z85="",Z85=0),"",ROUND(X85/Z85,2)))</f>
        <v>0</v>
      </c>
      <c r="AB85" s="42">
        <f>IF(E85="","",IF(V85="","",IF(AND(V85&gt;=MinOrderValue,F85&gt;=MinOrderQty),"Yes","No")))</f>
        <v>0</v>
      </c>
      <c r="AC85" s="32">
        <f>IF(B85="","",IF(I85="","",I85-B85))</f>
        <v>0</v>
      </c>
      <c r="AD85" s="43">
        <f>IF(B85="","",IF(E85="","Add - which product?",IF(X85&lt;0,"Loss - this order costs you money",IF(AND(Y85&lt;&gt;"",Y85&lt;TargetWholesaleMargin),"Low margin - the discount is too deep",IF(AND(H85&lt;&gt;"",I85="",H85&lt;TodayDate),"Overdue - not despatched",IF(AND(M85="No",I85&lt;&gt;"",TodayDate-I85&gt;30),"Chase - unpaid over 30 days",IF(AB85="No","Check - below your minimum order","OK")))))))</f>
        <v>0</v>
      </c>
    </row>
    <row r="86" spans="1:30">
      <c r="A86" s="38">
        <f>IF(B86="","",OrderPrefix&amp;TEXT(ROW()-4,"0000"))</f>
        <v>0</v>
      </c>
      <c r="O86" s="13">
        <f>IF(C86="","",IFERROR(INDEX('Wholesale Customers'!$B$5:$B$64,MATCH(C86,'Wholesale Customers'!$A$5:$A$64,0)),"Not found"))</f>
        <v>0</v>
      </c>
      <c r="P86" s="13">
        <f>IF(E86="","",IFERROR(INDEX(Products!$B$5:$B$304,MATCH(E86,Products!$A$5:$A$304,0)),"Not found"))</f>
        <v>0</v>
      </c>
      <c r="Q86" s="13">
        <f>IF(B86="","",TEXT(B86,"yyyy-mm"))</f>
        <v>0</v>
      </c>
      <c r="R86" s="33">
        <f>IF(C86="","",IFERROR(INDEX('Wholesale Customers'!$P$5:$P$64,MATCH(C86,'Wholesale Customers'!$A$5:$A$64,0)),WholesaleDiscount))</f>
        <v>0</v>
      </c>
      <c r="S86" s="20">
        <f>IF(E86="","",IFERROR(INDEX(Products!$AR$5:$AR$304,MATCH(E86,Products!$A$5:$A$304,0)),""))</f>
        <v>0</v>
      </c>
      <c r="T86" s="20">
        <f>IF(E86="","",IF(G86&lt;&gt;"",G86,IF(S86="","",ROUND(S86*(1-R86),2))))</f>
        <v>0</v>
      </c>
      <c r="U86" s="20">
        <f>IF(E86="","",IFERROR(INDEX(Products!$AH$5:$AH$304,MATCH(E86,Products!$A$5:$A$304,0)),""))</f>
        <v>0</v>
      </c>
      <c r="V86" s="20">
        <f>IF(E86="","",IF(OR(F86="",T86=""),"",ROUND(F86*T86,2)))</f>
        <v>0</v>
      </c>
      <c r="W86" s="20">
        <f>IF(E86="","",IF(OR(F86="",U86=""),"",ROUND(F86*U86+MAX(0,IF(K86="",0,K86)-IF(J86="",0,J86)),2)))</f>
        <v>0</v>
      </c>
      <c r="X86" s="20">
        <f>IF(E86="","",IF(V86="","",ROUND(V86-W86,2)))</f>
        <v>0</v>
      </c>
      <c r="Y86" s="33">
        <f>IF(E86="","",IF(OR(V86="",V86=0),"",X86/V86))</f>
        <v>0</v>
      </c>
      <c r="Z86" s="41">
        <f>IF(E86="","",IFERROR(ROUND(F86*INDEX(Products!$X$5:$X$304,MATCH(E86,Products!$A$5:$A$304,0))/60,1),""))</f>
        <v>0</v>
      </c>
      <c r="AA86" s="20">
        <f>IF(E86="","",IF(OR(Z86="",Z86=0),"",ROUND(X86/Z86,2)))</f>
        <v>0</v>
      </c>
      <c r="AB86" s="42">
        <f>IF(E86="","",IF(V86="","",IF(AND(V86&gt;=MinOrderValue,F86&gt;=MinOrderQty),"Yes","No")))</f>
        <v>0</v>
      </c>
      <c r="AC86" s="32">
        <f>IF(B86="","",IF(I86="","",I86-B86))</f>
        <v>0</v>
      </c>
      <c r="AD86" s="43">
        <f>IF(B86="","",IF(E86="","Add - which product?",IF(X86&lt;0,"Loss - this order costs you money",IF(AND(Y86&lt;&gt;"",Y86&lt;TargetWholesaleMargin),"Low margin - the discount is too deep",IF(AND(H86&lt;&gt;"",I86="",H86&lt;TodayDate),"Overdue - not despatched",IF(AND(M86="No",I86&lt;&gt;"",TodayDate-I86&gt;30),"Chase - unpaid over 30 days",IF(AB86="No","Check - below your minimum order","OK")))))))</f>
        <v>0</v>
      </c>
    </row>
    <row r="87" spans="1:30">
      <c r="A87" s="38">
        <f>IF(B87="","",OrderPrefix&amp;TEXT(ROW()-4,"0000"))</f>
        <v>0</v>
      </c>
      <c r="O87" s="13">
        <f>IF(C87="","",IFERROR(INDEX('Wholesale Customers'!$B$5:$B$64,MATCH(C87,'Wholesale Customers'!$A$5:$A$64,0)),"Not found"))</f>
        <v>0</v>
      </c>
      <c r="P87" s="13">
        <f>IF(E87="","",IFERROR(INDEX(Products!$B$5:$B$304,MATCH(E87,Products!$A$5:$A$304,0)),"Not found"))</f>
        <v>0</v>
      </c>
      <c r="Q87" s="13">
        <f>IF(B87="","",TEXT(B87,"yyyy-mm"))</f>
        <v>0</v>
      </c>
      <c r="R87" s="33">
        <f>IF(C87="","",IFERROR(INDEX('Wholesale Customers'!$P$5:$P$64,MATCH(C87,'Wholesale Customers'!$A$5:$A$64,0)),WholesaleDiscount))</f>
        <v>0</v>
      </c>
      <c r="S87" s="20">
        <f>IF(E87="","",IFERROR(INDEX(Products!$AR$5:$AR$304,MATCH(E87,Products!$A$5:$A$304,0)),""))</f>
        <v>0</v>
      </c>
      <c r="T87" s="20">
        <f>IF(E87="","",IF(G87&lt;&gt;"",G87,IF(S87="","",ROUND(S87*(1-R87),2))))</f>
        <v>0</v>
      </c>
      <c r="U87" s="20">
        <f>IF(E87="","",IFERROR(INDEX(Products!$AH$5:$AH$304,MATCH(E87,Products!$A$5:$A$304,0)),""))</f>
        <v>0</v>
      </c>
      <c r="V87" s="20">
        <f>IF(E87="","",IF(OR(F87="",T87=""),"",ROUND(F87*T87,2)))</f>
        <v>0</v>
      </c>
      <c r="W87" s="20">
        <f>IF(E87="","",IF(OR(F87="",U87=""),"",ROUND(F87*U87+MAX(0,IF(K87="",0,K87)-IF(J87="",0,J87)),2)))</f>
        <v>0</v>
      </c>
      <c r="X87" s="20">
        <f>IF(E87="","",IF(V87="","",ROUND(V87-W87,2)))</f>
        <v>0</v>
      </c>
      <c r="Y87" s="33">
        <f>IF(E87="","",IF(OR(V87="",V87=0),"",X87/V87))</f>
        <v>0</v>
      </c>
      <c r="Z87" s="41">
        <f>IF(E87="","",IFERROR(ROUND(F87*INDEX(Products!$X$5:$X$304,MATCH(E87,Products!$A$5:$A$304,0))/60,1),""))</f>
        <v>0</v>
      </c>
      <c r="AA87" s="20">
        <f>IF(E87="","",IF(OR(Z87="",Z87=0),"",ROUND(X87/Z87,2)))</f>
        <v>0</v>
      </c>
      <c r="AB87" s="42">
        <f>IF(E87="","",IF(V87="","",IF(AND(V87&gt;=MinOrderValue,F87&gt;=MinOrderQty),"Yes","No")))</f>
        <v>0</v>
      </c>
      <c r="AC87" s="32">
        <f>IF(B87="","",IF(I87="","",I87-B87))</f>
        <v>0</v>
      </c>
      <c r="AD87" s="43">
        <f>IF(B87="","",IF(E87="","Add - which product?",IF(X87&lt;0,"Loss - this order costs you money",IF(AND(Y87&lt;&gt;"",Y87&lt;TargetWholesaleMargin),"Low margin - the discount is too deep",IF(AND(H87&lt;&gt;"",I87="",H87&lt;TodayDate),"Overdue - not despatched",IF(AND(M87="No",I87&lt;&gt;"",TodayDate-I87&gt;30),"Chase - unpaid over 30 days",IF(AB87="No","Check - below your minimum order","OK")))))))</f>
        <v>0</v>
      </c>
    </row>
    <row r="88" spans="1:30">
      <c r="A88" s="38">
        <f>IF(B88="","",OrderPrefix&amp;TEXT(ROW()-4,"0000"))</f>
        <v>0</v>
      </c>
      <c r="O88" s="13">
        <f>IF(C88="","",IFERROR(INDEX('Wholesale Customers'!$B$5:$B$64,MATCH(C88,'Wholesale Customers'!$A$5:$A$64,0)),"Not found"))</f>
        <v>0</v>
      </c>
      <c r="P88" s="13">
        <f>IF(E88="","",IFERROR(INDEX(Products!$B$5:$B$304,MATCH(E88,Products!$A$5:$A$304,0)),"Not found"))</f>
        <v>0</v>
      </c>
      <c r="Q88" s="13">
        <f>IF(B88="","",TEXT(B88,"yyyy-mm"))</f>
        <v>0</v>
      </c>
      <c r="R88" s="33">
        <f>IF(C88="","",IFERROR(INDEX('Wholesale Customers'!$P$5:$P$64,MATCH(C88,'Wholesale Customers'!$A$5:$A$64,0)),WholesaleDiscount))</f>
        <v>0</v>
      </c>
      <c r="S88" s="20">
        <f>IF(E88="","",IFERROR(INDEX(Products!$AR$5:$AR$304,MATCH(E88,Products!$A$5:$A$304,0)),""))</f>
        <v>0</v>
      </c>
      <c r="T88" s="20">
        <f>IF(E88="","",IF(G88&lt;&gt;"",G88,IF(S88="","",ROUND(S88*(1-R88),2))))</f>
        <v>0</v>
      </c>
      <c r="U88" s="20">
        <f>IF(E88="","",IFERROR(INDEX(Products!$AH$5:$AH$304,MATCH(E88,Products!$A$5:$A$304,0)),""))</f>
        <v>0</v>
      </c>
      <c r="V88" s="20">
        <f>IF(E88="","",IF(OR(F88="",T88=""),"",ROUND(F88*T88,2)))</f>
        <v>0</v>
      </c>
      <c r="W88" s="20">
        <f>IF(E88="","",IF(OR(F88="",U88=""),"",ROUND(F88*U88+MAX(0,IF(K88="",0,K88)-IF(J88="",0,J88)),2)))</f>
        <v>0</v>
      </c>
      <c r="X88" s="20">
        <f>IF(E88="","",IF(V88="","",ROUND(V88-W88,2)))</f>
        <v>0</v>
      </c>
      <c r="Y88" s="33">
        <f>IF(E88="","",IF(OR(V88="",V88=0),"",X88/V88))</f>
        <v>0</v>
      </c>
      <c r="Z88" s="41">
        <f>IF(E88="","",IFERROR(ROUND(F88*INDEX(Products!$X$5:$X$304,MATCH(E88,Products!$A$5:$A$304,0))/60,1),""))</f>
        <v>0</v>
      </c>
      <c r="AA88" s="20">
        <f>IF(E88="","",IF(OR(Z88="",Z88=0),"",ROUND(X88/Z88,2)))</f>
        <v>0</v>
      </c>
      <c r="AB88" s="42">
        <f>IF(E88="","",IF(V88="","",IF(AND(V88&gt;=MinOrderValue,F88&gt;=MinOrderQty),"Yes","No")))</f>
        <v>0</v>
      </c>
      <c r="AC88" s="32">
        <f>IF(B88="","",IF(I88="","",I88-B88))</f>
        <v>0</v>
      </c>
      <c r="AD88" s="43">
        <f>IF(B88="","",IF(E88="","Add - which product?",IF(X88&lt;0,"Loss - this order costs you money",IF(AND(Y88&lt;&gt;"",Y88&lt;TargetWholesaleMargin),"Low margin - the discount is too deep",IF(AND(H88&lt;&gt;"",I88="",H88&lt;TodayDate),"Overdue - not despatched",IF(AND(M88="No",I88&lt;&gt;"",TodayDate-I88&gt;30),"Chase - unpaid over 30 days",IF(AB88="No","Check - below your minimum order","OK")))))))</f>
        <v>0</v>
      </c>
    </row>
    <row r="89" spans="1:30">
      <c r="A89" s="38">
        <f>IF(B89="","",OrderPrefix&amp;TEXT(ROW()-4,"0000"))</f>
        <v>0</v>
      </c>
      <c r="O89" s="13">
        <f>IF(C89="","",IFERROR(INDEX('Wholesale Customers'!$B$5:$B$64,MATCH(C89,'Wholesale Customers'!$A$5:$A$64,0)),"Not found"))</f>
        <v>0</v>
      </c>
      <c r="P89" s="13">
        <f>IF(E89="","",IFERROR(INDEX(Products!$B$5:$B$304,MATCH(E89,Products!$A$5:$A$304,0)),"Not found"))</f>
        <v>0</v>
      </c>
      <c r="Q89" s="13">
        <f>IF(B89="","",TEXT(B89,"yyyy-mm"))</f>
        <v>0</v>
      </c>
      <c r="R89" s="33">
        <f>IF(C89="","",IFERROR(INDEX('Wholesale Customers'!$P$5:$P$64,MATCH(C89,'Wholesale Customers'!$A$5:$A$64,0)),WholesaleDiscount))</f>
        <v>0</v>
      </c>
      <c r="S89" s="20">
        <f>IF(E89="","",IFERROR(INDEX(Products!$AR$5:$AR$304,MATCH(E89,Products!$A$5:$A$304,0)),""))</f>
        <v>0</v>
      </c>
      <c r="T89" s="20">
        <f>IF(E89="","",IF(G89&lt;&gt;"",G89,IF(S89="","",ROUND(S89*(1-R89),2))))</f>
        <v>0</v>
      </c>
      <c r="U89" s="20">
        <f>IF(E89="","",IFERROR(INDEX(Products!$AH$5:$AH$304,MATCH(E89,Products!$A$5:$A$304,0)),""))</f>
        <v>0</v>
      </c>
      <c r="V89" s="20">
        <f>IF(E89="","",IF(OR(F89="",T89=""),"",ROUND(F89*T89,2)))</f>
        <v>0</v>
      </c>
      <c r="W89" s="20">
        <f>IF(E89="","",IF(OR(F89="",U89=""),"",ROUND(F89*U89+MAX(0,IF(K89="",0,K89)-IF(J89="",0,J89)),2)))</f>
        <v>0</v>
      </c>
      <c r="X89" s="20">
        <f>IF(E89="","",IF(V89="","",ROUND(V89-W89,2)))</f>
        <v>0</v>
      </c>
      <c r="Y89" s="33">
        <f>IF(E89="","",IF(OR(V89="",V89=0),"",X89/V89))</f>
        <v>0</v>
      </c>
      <c r="Z89" s="41">
        <f>IF(E89="","",IFERROR(ROUND(F89*INDEX(Products!$X$5:$X$304,MATCH(E89,Products!$A$5:$A$304,0))/60,1),""))</f>
        <v>0</v>
      </c>
      <c r="AA89" s="20">
        <f>IF(E89="","",IF(OR(Z89="",Z89=0),"",ROUND(X89/Z89,2)))</f>
        <v>0</v>
      </c>
      <c r="AB89" s="42">
        <f>IF(E89="","",IF(V89="","",IF(AND(V89&gt;=MinOrderValue,F89&gt;=MinOrderQty),"Yes","No")))</f>
        <v>0</v>
      </c>
      <c r="AC89" s="32">
        <f>IF(B89="","",IF(I89="","",I89-B89))</f>
        <v>0</v>
      </c>
      <c r="AD89" s="43">
        <f>IF(B89="","",IF(E89="","Add - which product?",IF(X89&lt;0,"Loss - this order costs you money",IF(AND(Y89&lt;&gt;"",Y89&lt;TargetWholesaleMargin),"Low margin - the discount is too deep",IF(AND(H89&lt;&gt;"",I89="",H89&lt;TodayDate),"Overdue - not despatched",IF(AND(M89="No",I89&lt;&gt;"",TodayDate-I89&gt;30),"Chase - unpaid over 30 days",IF(AB89="No","Check - below your minimum order","OK")))))))</f>
        <v>0</v>
      </c>
    </row>
    <row r="90" spans="1:30">
      <c r="A90" s="38">
        <f>IF(B90="","",OrderPrefix&amp;TEXT(ROW()-4,"0000"))</f>
        <v>0</v>
      </c>
      <c r="O90" s="13">
        <f>IF(C90="","",IFERROR(INDEX('Wholesale Customers'!$B$5:$B$64,MATCH(C90,'Wholesale Customers'!$A$5:$A$64,0)),"Not found"))</f>
        <v>0</v>
      </c>
      <c r="P90" s="13">
        <f>IF(E90="","",IFERROR(INDEX(Products!$B$5:$B$304,MATCH(E90,Products!$A$5:$A$304,0)),"Not found"))</f>
        <v>0</v>
      </c>
      <c r="Q90" s="13">
        <f>IF(B90="","",TEXT(B90,"yyyy-mm"))</f>
        <v>0</v>
      </c>
      <c r="R90" s="33">
        <f>IF(C90="","",IFERROR(INDEX('Wholesale Customers'!$P$5:$P$64,MATCH(C90,'Wholesale Customers'!$A$5:$A$64,0)),WholesaleDiscount))</f>
        <v>0</v>
      </c>
      <c r="S90" s="20">
        <f>IF(E90="","",IFERROR(INDEX(Products!$AR$5:$AR$304,MATCH(E90,Products!$A$5:$A$304,0)),""))</f>
        <v>0</v>
      </c>
      <c r="T90" s="20">
        <f>IF(E90="","",IF(G90&lt;&gt;"",G90,IF(S90="","",ROUND(S90*(1-R90),2))))</f>
        <v>0</v>
      </c>
      <c r="U90" s="20">
        <f>IF(E90="","",IFERROR(INDEX(Products!$AH$5:$AH$304,MATCH(E90,Products!$A$5:$A$304,0)),""))</f>
        <v>0</v>
      </c>
      <c r="V90" s="20">
        <f>IF(E90="","",IF(OR(F90="",T90=""),"",ROUND(F90*T90,2)))</f>
        <v>0</v>
      </c>
      <c r="W90" s="20">
        <f>IF(E90="","",IF(OR(F90="",U90=""),"",ROUND(F90*U90+MAX(0,IF(K90="",0,K90)-IF(J90="",0,J90)),2)))</f>
        <v>0</v>
      </c>
      <c r="X90" s="20">
        <f>IF(E90="","",IF(V90="","",ROUND(V90-W90,2)))</f>
        <v>0</v>
      </c>
      <c r="Y90" s="33">
        <f>IF(E90="","",IF(OR(V90="",V90=0),"",X90/V90))</f>
        <v>0</v>
      </c>
      <c r="Z90" s="41">
        <f>IF(E90="","",IFERROR(ROUND(F90*INDEX(Products!$X$5:$X$304,MATCH(E90,Products!$A$5:$A$304,0))/60,1),""))</f>
        <v>0</v>
      </c>
      <c r="AA90" s="20">
        <f>IF(E90="","",IF(OR(Z90="",Z90=0),"",ROUND(X90/Z90,2)))</f>
        <v>0</v>
      </c>
      <c r="AB90" s="42">
        <f>IF(E90="","",IF(V90="","",IF(AND(V90&gt;=MinOrderValue,F90&gt;=MinOrderQty),"Yes","No")))</f>
        <v>0</v>
      </c>
      <c r="AC90" s="32">
        <f>IF(B90="","",IF(I90="","",I90-B90))</f>
        <v>0</v>
      </c>
      <c r="AD90" s="43">
        <f>IF(B90="","",IF(E90="","Add - which product?",IF(X90&lt;0,"Loss - this order costs you money",IF(AND(Y90&lt;&gt;"",Y90&lt;TargetWholesaleMargin),"Low margin - the discount is too deep",IF(AND(H90&lt;&gt;"",I90="",H90&lt;TodayDate),"Overdue - not despatched",IF(AND(M90="No",I90&lt;&gt;"",TodayDate-I90&gt;30),"Chase - unpaid over 30 days",IF(AB90="No","Check - below your minimum order","OK")))))))</f>
        <v>0</v>
      </c>
    </row>
    <row r="91" spans="1:30">
      <c r="A91" s="38">
        <f>IF(B91="","",OrderPrefix&amp;TEXT(ROW()-4,"0000"))</f>
        <v>0</v>
      </c>
      <c r="O91" s="13">
        <f>IF(C91="","",IFERROR(INDEX('Wholesale Customers'!$B$5:$B$64,MATCH(C91,'Wholesale Customers'!$A$5:$A$64,0)),"Not found"))</f>
        <v>0</v>
      </c>
      <c r="P91" s="13">
        <f>IF(E91="","",IFERROR(INDEX(Products!$B$5:$B$304,MATCH(E91,Products!$A$5:$A$304,0)),"Not found"))</f>
        <v>0</v>
      </c>
      <c r="Q91" s="13">
        <f>IF(B91="","",TEXT(B91,"yyyy-mm"))</f>
        <v>0</v>
      </c>
      <c r="R91" s="33">
        <f>IF(C91="","",IFERROR(INDEX('Wholesale Customers'!$P$5:$P$64,MATCH(C91,'Wholesale Customers'!$A$5:$A$64,0)),WholesaleDiscount))</f>
        <v>0</v>
      </c>
      <c r="S91" s="20">
        <f>IF(E91="","",IFERROR(INDEX(Products!$AR$5:$AR$304,MATCH(E91,Products!$A$5:$A$304,0)),""))</f>
        <v>0</v>
      </c>
      <c r="T91" s="20">
        <f>IF(E91="","",IF(G91&lt;&gt;"",G91,IF(S91="","",ROUND(S91*(1-R91),2))))</f>
        <v>0</v>
      </c>
      <c r="U91" s="20">
        <f>IF(E91="","",IFERROR(INDEX(Products!$AH$5:$AH$304,MATCH(E91,Products!$A$5:$A$304,0)),""))</f>
        <v>0</v>
      </c>
      <c r="V91" s="20">
        <f>IF(E91="","",IF(OR(F91="",T91=""),"",ROUND(F91*T91,2)))</f>
        <v>0</v>
      </c>
      <c r="W91" s="20">
        <f>IF(E91="","",IF(OR(F91="",U91=""),"",ROUND(F91*U91+MAX(0,IF(K91="",0,K91)-IF(J91="",0,J91)),2)))</f>
        <v>0</v>
      </c>
      <c r="X91" s="20">
        <f>IF(E91="","",IF(V91="","",ROUND(V91-W91,2)))</f>
        <v>0</v>
      </c>
      <c r="Y91" s="33">
        <f>IF(E91="","",IF(OR(V91="",V91=0),"",X91/V91))</f>
        <v>0</v>
      </c>
      <c r="Z91" s="41">
        <f>IF(E91="","",IFERROR(ROUND(F91*INDEX(Products!$X$5:$X$304,MATCH(E91,Products!$A$5:$A$304,0))/60,1),""))</f>
        <v>0</v>
      </c>
      <c r="AA91" s="20">
        <f>IF(E91="","",IF(OR(Z91="",Z91=0),"",ROUND(X91/Z91,2)))</f>
        <v>0</v>
      </c>
      <c r="AB91" s="42">
        <f>IF(E91="","",IF(V91="","",IF(AND(V91&gt;=MinOrderValue,F91&gt;=MinOrderQty),"Yes","No")))</f>
        <v>0</v>
      </c>
      <c r="AC91" s="32">
        <f>IF(B91="","",IF(I91="","",I91-B91))</f>
        <v>0</v>
      </c>
      <c r="AD91" s="43">
        <f>IF(B91="","",IF(E91="","Add - which product?",IF(X91&lt;0,"Loss - this order costs you money",IF(AND(Y91&lt;&gt;"",Y91&lt;TargetWholesaleMargin),"Low margin - the discount is too deep",IF(AND(H91&lt;&gt;"",I91="",H91&lt;TodayDate),"Overdue - not despatched",IF(AND(M91="No",I91&lt;&gt;"",TodayDate-I91&gt;30),"Chase - unpaid over 30 days",IF(AB91="No","Check - below your minimum order","OK")))))))</f>
        <v>0</v>
      </c>
    </row>
    <row r="92" spans="1:30">
      <c r="A92" s="38">
        <f>IF(B92="","",OrderPrefix&amp;TEXT(ROW()-4,"0000"))</f>
        <v>0</v>
      </c>
      <c r="O92" s="13">
        <f>IF(C92="","",IFERROR(INDEX('Wholesale Customers'!$B$5:$B$64,MATCH(C92,'Wholesale Customers'!$A$5:$A$64,0)),"Not found"))</f>
        <v>0</v>
      </c>
      <c r="P92" s="13">
        <f>IF(E92="","",IFERROR(INDEX(Products!$B$5:$B$304,MATCH(E92,Products!$A$5:$A$304,0)),"Not found"))</f>
        <v>0</v>
      </c>
      <c r="Q92" s="13">
        <f>IF(B92="","",TEXT(B92,"yyyy-mm"))</f>
        <v>0</v>
      </c>
      <c r="R92" s="33">
        <f>IF(C92="","",IFERROR(INDEX('Wholesale Customers'!$P$5:$P$64,MATCH(C92,'Wholesale Customers'!$A$5:$A$64,0)),WholesaleDiscount))</f>
        <v>0</v>
      </c>
      <c r="S92" s="20">
        <f>IF(E92="","",IFERROR(INDEX(Products!$AR$5:$AR$304,MATCH(E92,Products!$A$5:$A$304,0)),""))</f>
        <v>0</v>
      </c>
      <c r="T92" s="20">
        <f>IF(E92="","",IF(G92&lt;&gt;"",G92,IF(S92="","",ROUND(S92*(1-R92),2))))</f>
        <v>0</v>
      </c>
      <c r="U92" s="20">
        <f>IF(E92="","",IFERROR(INDEX(Products!$AH$5:$AH$304,MATCH(E92,Products!$A$5:$A$304,0)),""))</f>
        <v>0</v>
      </c>
      <c r="V92" s="20">
        <f>IF(E92="","",IF(OR(F92="",T92=""),"",ROUND(F92*T92,2)))</f>
        <v>0</v>
      </c>
      <c r="W92" s="20">
        <f>IF(E92="","",IF(OR(F92="",U92=""),"",ROUND(F92*U92+MAX(0,IF(K92="",0,K92)-IF(J92="",0,J92)),2)))</f>
        <v>0</v>
      </c>
      <c r="X92" s="20">
        <f>IF(E92="","",IF(V92="","",ROUND(V92-W92,2)))</f>
        <v>0</v>
      </c>
      <c r="Y92" s="33">
        <f>IF(E92="","",IF(OR(V92="",V92=0),"",X92/V92))</f>
        <v>0</v>
      </c>
      <c r="Z92" s="41">
        <f>IF(E92="","",IFERROR(ROUND(F92*INDEX(Products!$X$5:$X$304,MATCH(E92,Products!$A$5:$A$304,0))/60,1),""))</f>
        <v>0</v>
      </c>
      <c r="AA92" s="20">
        <f>IF(E92="","",IF(OR(Z92="",Z92=0),"",ROUND(X92/Z92,2)))</f>
        <v>0</v>
      </c>
      <c r="AB92" s="42">
        <f>IF(E92="","",IF(V92="","",IF(AND(V92&gt;=MinOrderValue,F92&gt;=MinOrderQty),"Yes","No")))</f>
        <v>0</v>
      </c>
      <c r="AC92" s="32">
        <f>IF(B92="","",IF(I92="","",I92-B92))</f>
        <v>0</v>
      </c>
      <c r="AD92" s="43">
        <f>IF(B92="","",IF(E92="","Add - which product?",IF(X92&lt;0,"Loss - this order costs you money",IF(AND(Y92&lt;&gt;"",Y92&lt;TargetWholesaleMargin),"Low margin - the discount is too deep",IF(AND(H92&lt;&gt;"",I92="",H92&lt;TodayDate),"Overdue - not despatched",IF(AND(M92="No",I92&lt;&gt;"",TodayDate-I92&gt;30),"Chase - unpaid over 30 days",IF(AB92="No","Check - below your minimum order","OK")))))))</f>
        <v>0</v>
      </c>
    </row>
    <row r="93" spans="1:30">
      <c r="A93" s="38">
        <f>IF(B93="","",OrderPrefix&amp;TEXT(ROW()-4,"0000"))</f>
        <v>0</v>
      </c>
      <c r="O93" s="13">
        <f>IF(C93="","",IFERROR(INDEX('Wholesale Customers'!$B$5:$B$64,MATCH(C93,'Wholesale Customers'!$A$5:$A$64,0)),"Not found"))</f>
        <v>0</v>
      </c>
      <c r="P93" s="13">
        <f>IF(E93="","",IFERROR(INDEX(Products!$B$5:$B$304,MATCH(E93,Products!$A$5:$A$304,0)),"Not found"))</f>
        <v>0</v>
      </c>
      <c r="Q93" s="13">
        <f>IF(B93="","",TEXT(B93,"yyyy-mm"))</f>
        <v>0</v>
      </c>
      <c r="R93" s="33">
        <f>IF(C93="","",IFERROR(INDEX('Wholesale Customers'!$P$5:$P$64,MATCH(C93,'Wholesale Customers'!$A$5:$A$64,0)),WholesaleDiscount))</f>
        <v>0</v>
      </c>
      <c r="S93" s="20">
        <f>IF(E93="","",IFERROR(INDEX(Products!$AR$5:$AR$304,MATCH(E93,Products!$A$5:$A$304,0)),""))</f>
        <v>0</v>
      </c>
      <c r="T93" s="20">
        <f>IF(E93="","",IF(G93&lt;&gt;"",G93,IF(S93="","",ROUND(S93*(1-R93),2))))</f>
        <v>0</v>
      </c>
      <c r="U93" s="20">
        <f>IF(E93="","",IFERROR(INDEX(Products!$AH$5:$AH$304,MATCH(E93,Products!$A$5:$A$304,0)),""))</f>
        <v>0</v>
      </c>
      <c r="V93" s="20">
        <f>IF(E93="","",IF(OR(F93="",T93=""),"",ROUND(F93*T93,2)))</f>
        <v>0</v>
      </c>
      <c r="W93" s="20">
        <f>IF(E93="","",IF(OR(F93="",U93=""),"",ROUND(F93*U93+MAX(0,IF(K93="",0,K93)-IF(J93="",0,J93)),2)))</f>
        <v>0</v>
      </c>
      <c r="X93" s="20">
        <f>IF(E93="","",IF(V93="","",ROUND(V93-W93,2)))</f>
        <v>0</v>
      </c>
      <c r="Y93" s="33">
        <f>IF(E93="","",IF(OR(V93="",V93=0),"",X93/V93))</f>
        <v>0</v>
      </c>
      <c r="Z93" s="41">
        <f>IF(E93="","",IFERROR(ROUND(F93*INDEX(Products!$X$5:$X$304,MATCH(E93,Products!$A$5:$A$304,0))/60,1),""))</f>
        <v>0</v>
      </c>
      <c r="AA93" s="20">
        <f>IF(E93="","",IF(OR(Z93="",Z93=0),"",ROUND(X93/Z93,2)))</f>
        <v>0</v>
      </c>
      <c r="AB93" s="42">
        <f>IF(E93="","",IF(V93="","",IF(AND(V93&gt;=MinOrderValue,F93&gt;=MinOrderQty),"Yes","No")))</f>
        <v>0</v>
      </c>
      <c r="AC93" s="32">
        <f>IF(B93="","",IF(I93="","",I93-B93))</f>
        <v>0</v>
      </c>
      <c r="AD93" s="43">
        <f>IF(B93="","",IF(E93="","Add - which product?",IF(X93&lt;0,"Loss - this order costs you money",IF(AND(Y93&lt;&gt;"",Y93&lt;TargetWholesaleMargin),"Low margin - the discount is too deep",IF(AND(H93&lt;&gt;"",I93="",H93&lt;TodayDate),"Overdue - not despatched",IF(AND(M93="No",I93&lt;&gt;"",TodayDate-I93&gt;30),"Chase - unpaid over 30 days",IF(AB93="No","Check - below your minimum order","OK")))))))</f>
        <v>0</v>
      </c>
    </row>
    <row r="94" spans="1:30">
      <c r="A94" s="38">
        <f>IF(B94="","",OrderPrefix&amp;TEXT(ROW()-4,"0000"))</f>
        <v>0</v>
      </c>
      <c r="O94" s="13">
        <f>IF(C94="","",IFERROR(INDEX('Wholesale Customers'!$B$5:$B$64,MATCH(C94,'Wholesale Customers'!$A$5:$A$64,0)),"Not found"))</f>
        <v>0</v>
      </c>
      <c r="P94" s="13">
        <f>IF(E94="","",IFERROR(INDEX(Products!$B$5:$B$304,MATCH(E94,Products!$A$5:$A$304,0)),"Not found"))</f>
        <v>0</v>
      </c>
      <c r="Q94" s="13">
        <f>IF(B94="","",TEXT(B94,"yyyy-mm"))</f>
        <v>0</v>
      </c>
      <c r="R94" s="33">
        <f>IF(C94="","",IFERROR(INDEX('Wholesale Customers'!$P$5:$P$64,MATCH(C94,'Wholesale Customers'!$A$5:$A$64,0)),WholesaleDiscount))</f>
        <v>0</v>
      </c>
      <c r="S94" s="20">
        <f>IF(E94="","",IFERROR(INDEX(Products!$AR$5:$AR$304,MATCH(E94,Products!$A$5:$A$304,0)),""))</f>
        <v>0</v>
      </c>
      <c r="T94" s="20">
        <f>IF(E94="","",IF(G94&lt;&gt;"",G94,IF(S94="","",ROUND(S94*(1-R94),2))))</f>
        <v>0</v>
      </c>
      <c r="U94" s="20">
        <f>IF(E94="","",IFERROR(INDEX(Products!$AH$5:$AH$304,MATCH(E94,Products!$A$5:$A$304,0)),""))</f>
        <v>0</v>
      </c>
      <c r="V94" s="20">
        <f>IF(E94="","",IF(OR(F94="",T94=""),"",ROUND(F94*T94,2)))</f>
        <v>0</v>
      </c>
      <c r="W94" s="20">
        <f>IF(E94="","",IF(OR(F94="",U94=""),"",ROUND(F94*U94+MAX(0,IF(K94="",0,K94)-IF(J94="",0,J94)),2)))</f>
        <v>0</v>
      </c>
      <c r="X94" s="20">
        <f>IF(E94="","",IF(V94="","",ROUND(V94-W94,2)))</f>
        <v>0</v>
      </c>
      <c r="Y94" s="33">
        <f>IF(E94="","",IF(OR(V94="",V94=0),"",X94/V94))</f>
        <v>0</v>
      </c>
      <c r="Z94" s="41">
        <f>IF(E94="","",IFERROR(ROUND(F94*INDEX(Products!$X$5:$X$304,MATCH(E94,Products!$A$5:$A$304,0))/60,1),""))</f>
        <v>0</v>
      </c>
      <c r="AA94" s="20">
        <f>IF(E94="","",IF(OR(Z94="",Z94=0),"",ROUND(X94/Z94,2)))</f>
        <v>0</v>
      </c>
      <c r="AB94" s="42">
        <f>IF(E94="","",IF(V94="","",IF(AND(V94&gt;=MinOrderValue,F94&gt;=MinOrderQty),"Yes","No")))</f>
        <v>0</v>
      </c>
      <c r="AC94" s="32">
        <f>IF(B94="","",IF(I94="","",I94-B94))</f>
        <v>0</v>
      </c>
      <c r="AD94" s="43">
        <f>IF(B94="","",IF(E94="","Add - which product?",IF(X94&lt;0,"Loss - this order costs you money",IF(AND(Y94&lt;&gt;"",Y94&lt;TargetWholesaleMargin),"Low margin - the discount is too deep",IF(AND(H94&lt;&gt;"",I94="",H94&lt;TodayDate),"Overdue - not despatched",IF(AND(M94="No",I94&lt;&gt;"",TodayDate-I94&gt;30),"Chase - unpaid over 30 days",IF(AB94="No","Check - below your minimum order","OK")))))))</f>
        <v>0</v>
      </c>
    </row>
    <row r="95" spans="1:30">
      <c r="A95" s="38">
        <f>IF(B95="","",OrderPrefix&amp;TEXT(ROW()-4,"0000"))</f>
        <v>0</v>
      </c>
      <c r="O95" s="13">
        <f>IF(C95="","",IFERROR(INDEX('Wholesale Customers'!$B$5:$B$64,MATCH(C95,'Wholesale Customers'!$A$5:$A$64,0)),"Not found"))</f>
        <v>0</v>
      </c>
      <c r="P95" s="13">
        <f>IF(E95="","",IFERROR(INDEX(Products!$B$5:$B$304,MATCH(E95,Products!$A$5:$A$304,0)),"Not found"))</f>
        <v>0</v>
      </c>
      <c r="Q95" s="13">
        <f>IF(B95="","",TEXT(B95,"yyyy-mm"))</f>
        <v>0</v>
      </c>
      <c r="R95" s="33">
        <f>IF(C95="","",IFERROR(INDEX('Wholesale Customers'!$P$5:$P$64,MATCH(C95,'Wholesale Customers'!$A$5:$A$64,0)),WholesaleDiscount))</f>
        <v>0</v>
      </c>
      <c r="S95" s="20">
        <f>IF(E95="","",IFERROR(INDEX(Products!$AR$5:$AR$304,MATCH(E95,Products!$A$5:$A$304,0)),""))</f>
        <v>0</v>
      </c>
      <c r="T95" s="20">
        <f>IF(E95="","",IF(G95&lt;&gt;"",G95,IF(S95="","",ROUND(S95*(1-R95),2))))</f>
        <v>0</v>
      </c>
      <c r="U95" s="20">
        <f>IF(E95="","",IFERROR(INDEX(Products!$AH$5:$AH$304,MATCH(E95,Products!$A$5:$A$304,0)),""))</f>
        <v>0</v>
      </c>
      <c r="V95" s="20">
        <f>IF(E95="","",IF(OR(F95="",T95=""),"",ROUND(F95*T95,2)))</f>
        <v>0</v>
      </c>
      <c r="W95" s="20">
        <f>IF(E95="","",IF(OR(F95="",U95=""),"",ROUND(F95*U95+MAX(0,IF(K95="",0,K95)-IF(J95="",0,J95)),2)))</f>
        <v>0</v>
      </c>
      <c r="X95" s="20">
        <f>IF(E95="","",IF(V95="","",ROUND(V95-W95,2)))</f>
        <v>0</v>
      </c>
      <c r="Y95" s="33">
        <f>IF(E95="","",IF(OR(V95="",V95=0),"",X95/V95))</f>
        <v>0</v>
      </c>
      <c r="Z95" s="41">
        <f>IF(E95="","",IFERROR(ROUND(F95*INDEX(Products!$X$5:$X$304,MATCH(E95,Products!$A$5:$A$304,0))/60,1),""))</f>
        <v>0</v>
      </c>
      <c r="AA95" s="20">
        <f>IF(E95="","",IF(OR(Z95="",Z95=0),"",ROUND(X95/Z95,2)))</f>
        <v>0</v>
      </c>
      <c r="AB95" s="42">
        <f>IF(E95="","",IF(V95="","",IF(AND(V95&gt;=MinOrderValue,F95&gt;=MinOrderQty),"Yes","No")))</f>
        <v>0</v>
      </c>
      <c r="AC95" s="32">
        <f>IF(B95="","",IF(I95="","",I95-B95))</f>
        <v>0</v>
      </c>
      <c r="AD95" s="43">
        <f>IF(B95="","",IF(E95="","Add - which product?",IF(X95&lt;0,"Loss - this order costs you money",IF(AND(Y95&lt;&gt;"",Y95&lt;TargetWholesaleMargin),"Low margin - the discount is too deep",IF(AND(H95&lt;&gt;"",I95="",H95&lt;TodayDate),"Overdue - not despatched",IF(AND(M95="No",I95&lt;&gt;"",TodayDate-I95&gt;30),"Chase - unpaid over 30 days",IF(AB95="No","Check - below your minimum order","OK")))))))</f>
        <v>0</v>
      </c>
    </row>
    <row r="96" spans="1:30">
      <c r="A96" s="38">
        <f>IF(B96="","",OrderPrefix&amp;TEXT(ROW()-4,"0000"))</f>
        <v>0</v>
      </c>
      <c r="O96" s="13">
        <f>IF(C96="","",IFERROR(INDEX('Wholesale Customers'!$B$5:$B$64,MATCH(C96,'Wholesale Customers'!$A$5:$A$64,0)),"Not found"))</f>
        <v>0</v>
      </c>
      <c r="P96" s="13">
        <f>IF(E96="","",IFERROR(INDEX(Products!$B$5:$B$304,MATCH(E96,Products!$A$5:$A$304,0)),"Not found"))</f>
        <v>0</v>
      </c>
      <c r="Q96" s="13">
        <f>IF(B96="","",TEXT(B96,"yyyy-mm"))</f>
        <v>0</v>
      </c>
      <c r="R96" s="33">
        <f>IF(C96="","",IFERROR(INDEX('Wholesale Customers'!$P$5:$P$64,MATCH(C96,'Wholesale Customers'!$A$5:$A$64,0)),WholesaleDiscount))</f>
        <v>0</v>
      </c>
      <c r="S96" s="20">
        <f>IF(E96="","",IFERROR(INDEX(Products!$AR$5:$AR$304,MATCH(E96,Products!$A$5:$A$304,0)),""))</f>
        <v>0</v>
      </c>
      <c r="T96" s="20">
        <f>IF(E96="","",IF(G96&lt;&gt;"",G96,IF(S96="","",ROUND(S96*(1-R96),2))))</f>
        <v>0</v>
      </c>
      <c r="U96" s="20">
        <f>IF(E96="","",IFERROR(INDEX(Products!$AH$5:$AH$304,MATCH(E96,Products!$A$5:$A$304,0)),""))</f>
        <v>0</v>
      </c>
      <c r="V96" s="20">
        <f>IF(E96="","",IF(OR(F96="",T96=""),"",ROUND(F96*T96,2)))</f>
        <v>0</v>
      </c>
      <c r="W96" s="20">
        <f>IF(E96="","",IF(OR(F96="",U96=""),"",ROUND(F96*U96+MAX(0,IF(K96="",0,K96)-IF(J96="",0,J96)),2)))</f>
        <v>0</v>
      </c>
      <c r="X96" s="20">
        <f>IF(E96="","",IF(V96="","",ROUND(V96-W96,2)))</f>
        <v>0</v>
      </c>
      <c r="Y96" s="33">
        <f>IF(E96="","",IF(OR(V96="",V96=0),"",X96/V96))</f>
        <v>0</v>
      </c>
      <c r="Z96" s="41">
        <f>IF(E96="","",IFERROR(ROUND(F96*INDEX(Products!$X$5:$X$304,MATCH(E96,Products!$A$5:$A$304,0))/60,1),""))</f>
        <v>0</v>
      </c>
      <c r="AA96" s="20">
        <f>IF(E96="","",IF(OR(Z96="",Z96=0),"",ROUND(X96/Z96,2)))</f>
        <v>0</v>
      </c>
      <c r="AB96" s="42">
        <f>IF(E96="","",IF(V96="","",IF(AND(V96&gt;=MinOrderValue,F96&gt;=MinOrderQty),"Yes","No")))</f>
        <v>0</v>
      </c>
      <c r="AC96" s="32">
        <f>IF(B96="","",IF(I96="","",I96-B96))</f>
        <v>0</v>
      </c>
      <c r="AD96" s="43">
        <f>IF(B96="","",IF(E96="","Add - which product?",IF(X96&lt;0,"Loss - this order costs you money",IF(AND(Y96&lt;&gt;"",Y96&lt;TargetWholesaleMargin),"Low margin - the discount is too deep",IF(AND(H96&lt;&gt;"",I96="",H96&lt;TodayDate),"Overdue - not despatched",IF(AND(M96="No",I96&lt;&gt;"",TodayDate-I96&gt;30),"Chase - unpaid over 30 days",IF(AB96="No","Check - below your minimum order","OK")))))))</f>
        <v>0</v>
      </c>
    </row>
    <row r="97" spans="1:30">
      <c r="A97" s="38">
        <f>IF(B97="","",OrderPrefix&amp;TEXT(ROW()-4,"0000"))</f>
        <v>0</v>
      </c>
      <c r="O97" s="13">
        <f>IF(C97="","",IFERROR(INDEX('Wholesale Customers'!$B$5:$B$64,MATCH(C97,'Wholesale Customers'!$A$5:$A$64,0)),"Not found"))</f>
        <v>0</v>
      </c>
      <c r="P97" s="13">
        <f>IF(E97="","",IFERROR(INDEX(Products!$B$5:$B$304,MATCH(E97,Products!$A$5:$A$304,0)),"Not found"))</f>
        <v>0</v>
      </c>
      <c r="Q97" s="13">
        <f>IF(B97="","",TEXT(B97,"yyyy-mm"))</f>
        <v>0</v>
      </c>
      <c r="R97" s="33">
        <f>IF(C97="","",IFERROR(INDEX('Wholesale Customers'!$P$5:$P$64,MATCH(C97,'Wholesale Customers'!$A$5:$A$64,0)),WholesaleDiscount))</f>
        <v>0</v>
      </c>
      <c r="S97" s="20">
        <f>IF(E97="","",IFERROR(INDEX(Products!$AR$5:$AR$304,MATCH(E97,Products!$A$5:$A$304,0)),""))</f>
        <v>0</v>
      </c>
      <c r="T97" s="20">
        <f>IF(E97="","",IF(G97&lt;&gt;"",G97,IF(S97="","",ROUND(S97*(1-R97),2))))</f>
        <v>0</v>
      </c>
      <c r="U97" s="20">
        <f>IF(E97="","",IFERROR(INDEX(Products!$AH$5:$AH$304,MATCH(E97,Products!$A$5:$A$304,0)),""))</f>
        <v>0</v>
      </c>
      <c r="V97" s="20">
        <f>IF(E97="","",IF(OR(F97="",T97=""),"",ROUND(F97*T97,2)))</f>
        <v>0</v>
      </c>
      <c r="W97" s="20">
        <f>IF(E97="","",IF(OR(F97="",U97=""),"",ROUND(F97*U97+MAX(0,IF(K97="",0,K97)-IF(J97="",0,J97)),2)))</f>
        <v>0</v>
      </c>
      <c r="X97" s="20">
        <f>IF(E97="","",IF(V97="","",ROUND(V97-W97,2)))</f>
        <v>0</v>
      </c>
      <c r="Y97" s="33">
        <f>IF(E97="","",IF(OR(V97="",V97=0),"",X97/V97))</f>
        <v>0</v>
      </c>
      <c r="Z97" s="41">
        <f>IF(E97="","",IFERROR(ROUND(F97*INDEX(Products!$X$5:$X$304,MATCH(E97,Products!$A$5:$A$304,0))/60,1),""))</f>
        <v>0</v>
      </c>
      <c r="AA97" s="20">
        <f>IF(E97="","",IF(OR(Z97="",Z97=0),"",ROUND(X97/Z97,2)))</f>
        <v>0</v>
      </c>
      <c r="AB97" s="42">
        <f>IF(E97="","",IF(V97="","",IF(AND(V97&gt;=MinOrderValue,F97&gt;=MinOrderQty),"Yes","No")))</f>
        <v>0</v>
      </c>
      <c r="AC97" s="32">
        <f>IF(B97="","",IF(I97="","",I97-B97))</f>
        <v>0</v>
      </c>
      <c r="AD97" s="43">
        <f>IF(B97="","",IF(E97="","Add - which product?",IF(X97&lt;0,"Loss - this order costs you money",IF(AND(Y97&lt;&gt;"",Y97&lt;TargetWholesaleMargin),"Low margin - the discount is too deep",IF(AND(H97&lt;&gt;"",I97="",H97&lt;TodayDate),"Overdue - not despatched",IF(AND(M97="No",I97&lt;&gt;"",TodayDate-I97&gt;30),"Chase - unpaid over 30 days",IF(AB97="No","Check - below your minimum order","OK")))))))</f>
        <v>0</v>
      </c>
    </row>
    <row r="98" spans="1:30">
      <c r="A98" s="38">
        <f>IF(B98="","",OrderPrefix&amp;TEXT(ROW()-4,"0000"))</f>
        <v>0</v>
      </c>
      <c r="O98" s="13">
        <f>IF(C98="","",IFERROR(INDEX('Wholesale Customers'!$B$5:$B$64,MATCH(C98,'Wholesale Customers'!$A$5:$A$64,0)),"Not found"))</f>
        <v>0</v>
      </c>
      <c r="P98" s="13">
        <f>IF(E98="","",IFERROR(INDEX(Products!$B$5:$B$304,MATCH(E98,Products!$A$5:$A$304,0)),"Not found"))</f>
        <v>0</v>
      </c>
      <c r="Q98" s="13">
        <f>IF(B98="","",TEXT(B98,"yyyy-mm"))</f>
        <v>0</v>
      </c>
      <c r="R98" s="33">
        <f>IF(C98="","",IFERROR(INDEX('Wholesale Customers'!$P$5:$P$64,MATCH(C98,'Wholesale Customers'!$A$5:$A$64,0)),WholesaleDiscount))</f>
        <v>0</v>
      </c>
      <c r="S98" s="20">
        <f>IF(E98="","",IFERROR(INDEX(Products!$AR$5:$AR$304,MATCH(E98,Products!$A$5:$A$304,0)),""))</f>
        <v>0</v>
      </c>
      <c r="T98" s="20">
        <f>IF(E98="","",IF(G98&lt;&gt;"",G98,IF(S98="","",ROUND(S98*(1-R98),2))))</f>
        <v>0</v>
      </c>
      <c r="U98" s="20">
        <f>IF(E98="","",IFERROR(INDEX(Products!$AH$5:$AH$304,MATCH(E98,Products!$A$5:$A$304,0)),""))</f>
        <v>0</v>
      </c>
      <c r="V98" s="20">
        <f>IF(E98="","",IF(OR(F98="",T98=""),"",ROUND(F98*T98,2)))</f>
        <v>0</v>
      </c>
      <c r="W98" s="20">
        <f>IF(E98="","",IF(OR(F98="",U98=""),"",ROUND(F98*U98+MAX(0,IF(K98="",0,K98)-IF(J98="",0,J98)),2)))</f>
        <v>0</v>
      </c>
      <c r="X98" s="20">
        <f>IF(E98="","",IF(V98="","",ROUND(V98-W98,2)))</f>
        <v>0</v>
      </c>
      <c r="Y98" s="33">
        <f>IF(E98="","",IF(OR(V98="",V98=0),"",X98/V98))</f>
        <v>0</v>
      </c>
      <c r="Z98" s="41">
        <f>IF(E98="","",IFERROR(ROUND(F98*INDEX(Products!$X$5:$X$304,MATCH(E98,Products!$A$5:$A$304,0))/60,1),""))</f>
        <v>0</v>
      </c>
      <c r="AA98" s="20">
        <f>IF(E98="","",IF(OR(Z98="",Z98=0),"",ROUND(X98/Z98,2)))</f>
        <v>0</v>
      </c>
      <c r="AB98" s="42">
        <f>IF(E98="","",IF(V98="","",IF(AND(V98&gt;=MinOrderValue,F98&gt;=MinOrderQty),"Yes","No")))</f>
        <v>0</v>
      </c>
      <c r="AC98" s="32">
        <f>IF(B98="","",IF(I98="","",I98-B98))</f>
        <v>0</v>
      </c>
      <c r="AD98" s="43">
        <f>IF(B98="","",IF(E98="","Add - which product?",IF(X98&lt;0,"Loss - this order costs you money",IF(AND(Y98&lt;&gt;"",Y98&lt;TargetWholesaleMargin),"Low margin - the discount is too deep",IF(AND(H98&lt;&gt;"",I98="",H98&lt;TodayDate),"Overdue - not despatched",IF(AND(M98="No",I98&lt;&gt;"",TodayDate-I98&gt;30),"Chase - unpaid over 30 days",IF(AB98="No","Check - below your minimum order","OK")))))))</f>
        <v>0</v>
      </c>
    </row>
    <row r="99" spans="1:30">
      <c r="A99" s="38">
        <f>IF(B99="","",OrderPrefix&amp;TEXT(ROW()-4,"0000"))</f>
        <v>0</v>
      </c>
      <c r="O99" s="13">
        <f>IF(C99="","",IFERROR(INDEX('Wholesale Customers'!$B$5:$B$64,MATCH(C99,'Wholesale Customers'!$A$5:$A$64,0)),"Not found"))</f>
        <v>0</v>
      </c>
      <c r="P99" s="13">
        <f>IF(E99="","",IFERROR(INDEX(Products!$B$5:$B$304,MATCH(E99,Products!$A$5:$A$304,0)),"Not found"))</f>
        <v>0</v>
      </c>
      <c r="Q99" s="13">
        <f>IF(B99="","",TEXT(B99,"yyyy-mm"))</f>
        <v>0</v>
      </c>
      <c r="R99" s="33">
        <f>IF(C99="","",IFERROR(INDEX('Wholesale Customers'!$P$5:$P$64,MATCH(C99,'Wholesale Customers'!$A$5:$A$64,0)),WholesaleDiscount))</f>
        <v>0</v>
      </c>
      <c r="S99" s="20">
        <f>IF(E99="","",IFERROR(INDEX(Products!$AR$5:$AR$304,MATCH(E99,Products!$A$5:$A$304,0)),""))</f>
        <v>0</v>
      </c>
      <c r="T99" s="20">
        <f>IF(E99="","",IF(G99&lt;&gt;"",G99,IF(S99="","",ROUND(S99*(1-R99),2))))</f>
        <v>0</v>
      </c>
      <c r="U99" s="20">
        <f>IF(E99="","",IFERROR(INDEX(Products!$AH$5:$AH$304,MATCH(E99,Products!$A$5:$A$304,0)),""))</f>
        <v>0</v>
      </c>
      <c r="V99" s="20">
        <f>IF(E99="","",IF(OR(F99="",T99=""),"",ROUND(F99*T99,2)))</f>
        <v>0</v>
      </c>
      <c r="W99" s="20">
        <f>IF(E99="","",IF(OR(F99="",U99=""),"",ROUND(F99*U99+MAX(0,IF(K99="",0,K99)-IF(J99="",0,J99)),2)))</f>
        <v>0</v>
      </c>
      <c r="X99" s="20">
        <f>IF(E99="","",IF(V99="","",ROUND(V99-W99,2)))</f>
        <v>0</v>
      </c>
      <c r="Y99" s="33">
        <f>IF(E99="","",IF(OR(V99="",V99=0),"",X99/V99))</f>
        <v>0</v>
      </c>
      <c r="Z99" s="41">
        <f>IF(E99="","",IFERROR(ROUND(F99*INDEX(Products!$X$5:$X$304,MATCH(E99,Products!$A$5:$A$304,0))/60,1),""))</f>
        <v>0</v>
      </c>
      <c r="AA99" s="20">
        <f>IF(E99="","",IF(OR(Z99="",Z99=0),"",ROUND(X99/Z99,2)))</f>
        <v>0</v>
      </c>
      <c r="AB99" s="42">
        <f>IF(E99="","",IF(V99="","",IF(AND(V99&gt;=MinOrderValue,F99&gt;=MinOrderQty),"Yes","No")))</f>
        <v>0</v>
      </c>
      <c r="AC99" s="32">
        <f>IF(B99="","",IF(I99="","",I99-B99))</f>
        <v>0</v>
      </c>
      <c r="AD99" s="43">
        <f>IF(B99="","",IF(E99="","Add - which product?",IF(X99&lt;0,"Loss - this order costs you money",IF(AND(Y99&lt;&gt;"",Y99&lt;TargetWholesaleMargin),"Low margin - the discount is too deep",IF(AND(H99&lt;&gt;"",I99="",H99&lt;TodayDate),"Overdue - not despatched",IF(AND(M99="No",I99&lt;&gt;"",TodayDate-I99&gt;30),"Chase - unpaid over 30 days",IF(AB99="No","Check - below your minimum order","OK")))))))</f>
        <v>0</v>
      </c>
    </row>
    <row r="100" spans="1:30">
      <c r="A100" s="38">
        <f>IF(B100="","",OrderPrefix&amp;TEXT(ROW()-4,"0000"))</f>
        <v>0</v>
      </c>
      <c r="O100" s="13">
        <f>IF(C100="","",IFERROR(INDEX('Wholesale Customers'!$B$5:$B$64,MATCH(C100,'Wholesale Customers'!$A$5:$A$64,0)),"Not found"))</f>
        <v>0</v>
      </c>
      <c r="P100" s="13">
        <f>IF(E100="","",IFERROR(INDEX(Products!$B$5:$B$304,MATCH(E100,Products!$A$5:$A$304,0)),"Not found"))</f>
        <v>0</v>
      </c>
      <c r="Q100" s="13">
        <f>IF(B100="","",TEXT(B100,"yyyy-mm"))</f>
        <v>0</v>
      </c>
      <c r="R100" s="33">
        <f>IF(C100="","",IFERROR(INDEX('Wholesale Customers'!$P$5:$P$64,MATCH(C100,'Wholesale Customers'!$A$5:$A$64,0)),WholesaleDiscount))</f>
        <v>0</v>
      </c>
      <c r="S100" s="20">
        <f>IF(E100="","",IFERROR(INDEX(Products!$AR$5:$AR$304,MATCH(E100,Products!$A$5:$A$304,0)),""))</f>
        <v>0</v>
      </c>
      <c r="T100" s="20">
        <f>IF(E100="","",IF(G100&lt;&gt;"",G100,IF(S100="","",ROUND(S100*(1-R100),2))))</f>
        <v>0</v>
      </c>
      <c r="U100" s="20">
        <f>IF(E100="","",IFERROR(INDEX(Products!$AH$5:$AH$304,MATCH(E100,Products!$A$5:$A$304,0)),""))</f>
        <v>0</v>
      </c>
      <c r="V100" s="20">
        <f>IF(E100="","",IF(OR(F100="",T100=""),"",ROUND(F100*T100,2)))</f>
        <v>0</v>
      </c>
      <c r="W100" s="20">
        <f>IF(E100="","",IF(OR(F100="",U100=""),"",ROUND(F100*U100+MAX(0,IF(K100="",0,K100)-IF(J100="",0,J100)),2)))</f>
        <v>0</v>
      </c>
      <c r="X100" s="20">
        <f>IF(E100="","",IF(V100="","",ROUND(V100-W100,2)))</f>
        <v>0</v>
      </c>
      <c r="Y100" s="33">
        <f>IF(E100="","",IF(OR(V100="",V100=0),"",X100/V100))</f>
        <v>0</v>
      </c>
      <c r="Z100" s="41">
        <f>IF(E100="","",IFERROR(ROUND(F100*INDEX(Products!$X$5:$X$304,MATCH(E100,Products!$A$5:$A$304,0))/60,1),""))</f>
        <v>0</v>
      </c>
      <c r="AA100" s="20">
        <f>IF(E100="","",IF(OR(Z100="",Z100=0),"",ROUND(X100/Z100,2)))</f>
        <v>0</v>
      </c>
      <c r="AB100" s="42">
        <f>IF(E100="","",IF(V100="","",IF(AND(V100&gt;=MinOrderValue,F100&gt;=MinOrderQty),"Yes","No")))</f>
        <v>0</v>
      </c>
      <c r="AC100" s="32">
        <f>IF(B100="","",IF(I100="","",I100-B100))</f>
        <v>0</v>
      </c>
      <c r="AD100" s="43">
        <f>IF(B100="","",IF(E100="","Add - which product?",IF(X100&lt;0,"Loss - this order costs you money",IF(AND(Y100&lt;&gt;"",Y100&lt;TargetWholesaleMargin),"Low margin - the discount is too deep",IF(AND(H100&lt;&gt;"",I100="",H100&lt;TodayDate),"Overdue - not despatched",IF(AND(M100="No",I100&lt;&gt;"",TodayDate-I100&gt;30),"Chase - unpaid over 30 days",IF(AB100="No","Check - below your minimum order","OK")))))))</f>
        <v>0</v>
      </c>
    </row>
    <row r="101" spans="1:30">
      <c r="A101" s="38">
        <f>IF(B101="","",OrderPrefix&amp;TEXT(ROW()-4,"0000"))</f>
        <v>0</v>
      </c>
      <c r="O101" s="13">
        <f>IF(C101="","",IFERROR(INDEX('Wholesale Customers'!$B$5:$B$64,MATCH(C101,'Wholesale Customers'!$A$5:$A$64,0)),"Not found"))</f>
        <v>0</v>
      </c>
      <c r="P101" s="13">
        <f>IF(E101="","",IFERROR(INDEX(Products!$B$5:$B$304,MATCH(E101,Products!$A$5:$A$304,0)),"Not found"))</f>
        <v>0</v>
      </c>
      <c r="Q101" s="13">
        <f>IF(B101="","",TEXT(B101,"yyyy-mm"))</f>
        <v>0</v>
      </c>
      <c r="R101" s="33">
        <f>IF(C101="","",IFERROR(INDEX('Wholesale Customers'!$P$5:$P$64,MATCH(C101,'Wholesale Customers'!$A$5:$A$64,0)),WholesaleDiscount))</f>
        <v>0</v>
      </c>
      <c r="S101" s="20">
        <f>IF(E101="","",IFERROR(INDEX(Products!$AR$5:$AR$304,MATCH(E101,Products!$A$5:$A$304,0)),""))</f>
        <v>0</v>
      </c>
      <c r="T101" s="20">
        <f>IF(E101="","",IF(G101&lt;&gt;"",G101,IF(S101="","",ROUND(S101*(1-R101),2))))</f>
        <v>0</v>
      </c>
      <c r="U101" s="20">
        <f>IF(E101="","",IFERROR(INDEX(Products!$AH$5:$AH$304,MATCH(E101,Products!$A$5:$A$304,0)),""))</f>
        <v>0</v>
      </c>
      <c r="V101" s="20">
        <f>IF(E101="","",IF(OR(F101="",T101=""),"",ROUND(F101*T101,2)))</f>
        <v>0</v>
      </c>
      <c r="W101" s="20">
        <f>IF(E101="","",IF(OR(F101="",U101=""),"",ROUND(F101*U101+MAX(0,IF(K101="",0,K101)-IF(J101="",0,J101)),2)))</f>
        <v>0</v>
      </c>
      <c r="X101" s="20">
        <f>IF(E101="","",IF(V101="","",ROUND(V101-W101,2)))</f>
        <v>0</v>
      </c>
      <c r="Y101" s="33">
        <f>IF(E101="","",IF(OR(V101="",V101=0),"",X101/V101))</f>
        <v>0</v>
      </c>
      <c r="Z101" s="41">
        <f>IF(E101="","",IFERROR(ROUND(F101*INDEX(Products!$X$5:$X$304,MATCH(E101,Products!$A$5:$A$304,0))/60,1),""))</f>
        <v>0</v>
      </c>
      <c r="AA101" s="20">
        <f>IF(E101="","",IF(OR(Z101="",Z101=0),"",ROUND(X101/Z101,2)))</f>
        <v>0</v>
      </c>
      <c r="AB101" s="42">
        <f>IF(E101="","",IF(V101="","",IF(AND(V101&gt;=MinOrderValue,F101&gt;=MinOrderQty),"Yes","No")))</f>
        <v>0</v>
      </c>
      <c r="AC101" s="32">
        <f>IF(B101="","",IF(I101="","",I101-B101))</f>
        <v>0</v>
      </c>
      <c r="AD101" s="43">
        <f>IF(B101="","",IF(E101="","Add - which product?",IF(X101&lt;0,"Loss - this order costs you money",IF(AND(Y101&lt;&gt;"",Y101&lt;TargetWholesaleMargin),"Low margin - the discount is too deep",IF(AND(H101&lt;&gt;"",I101="",H101&lt;TodayDate),"Overdue - not despatched",IF(AND(M101="No",I101&lt;&gt;"",TodayDate-I101&gt;30),"Chase - unpaid over 30 days",IF(AB101="No","Check - below your minimum order","OK")))))))</f>
        <v>0</v>
      </c>
    </row>
    <row r="102" spans="1:30">
      <c r="A102" s="38">
        <f>IF(B102="","",OrderPrefix&amp;TEXT(ROW()-4,"0000"))</f>
        <v>0</v>
      </c>
      <c r="O102" s="13">
        <f>IF(C102="","",IFERROR(INDEX('Wholesale Customers'!$B$5:$B$64,MATCH(C102,'Wholesale Customers'!$A$5:$A$64,0)),"Not found"))</f>
        <v>0</v>
      </c>
      <c r="P102" s="13">
        <f>IF(E102="","",IFERROR(INDEX(Products!$B$5:$B$304,MATCH(E102,Products!$A$5:$A$304,0)),"Not found"))</f>
        <v>0</v>
      </c>
      <c r="Q102" s="13">
        <f>IF(B102="","",TEXT(B102,"yyyy-mm"))</f>
        <v>0</v>
      </c>
      <c r="R102" s="33">
        <f>IF(C102="","",IFERROR(INDEX('Wholesale Customers'!$P$5:$P$64,MATCH(C102,'Wholesale Customers'!$A$5:$A$64,0)),WholesaleDiscount))</f>
        <v>0</v>
      </c>
      <c r="S102" s="20">
        <f>IF(E102="","",IFERROR(INDEX(Products!$AR$5:$AR$304,MATCH(E102,Products!$A$5:$A$304,0)),""))</f>
        <v>0</v>
      </c>
      <c r="T102" s="20">
        <f>IF(E102="","",IF(G102&lt;&gt;"",G102,IF(S102="","",ROUND(S102*(1-R102),2))))</f>
        <v>0</v>
      </c>
      <c r="U102" s="20">
        <f>IF(E102="","",IFERROR(INDEX(Products!$AH$5:$AH$304,MATCH(E102,Products!$A$5:$A$304,0)),""))</f>
        <v>0</v>
      </c>
      <c r="V102" s="20">
        <f>IF(E102="","",IF(OR(F102="",T102=""),"",ROUND(F102*T102,2)))</f>
        <v>0</v>
      </c>
      <c r="W102" s="20">
        <f>IF(E102="","",IF(OR(F102="",U102=""),"",ROUND(F102*U102+MAX(0,IF(K102="",0,K102)-IF(J102="",0,J102)),2)))</f>
        <v>0</v>
      </c>
      <c r="X102" s="20">
        <f>IF(E102="","",IF(V102="","",ROUND(V102-W102,2)))</f>
        <v>0</v>
      </c>
      <c r="Y102" s="33">
        <f>IF(E102="","",IF(OR(V102="",V102=0),"",X102/V102))</f>
        <v>0</v>
      </c>
      <c r="Z102" s="41">
        <f>IF(E102="","",IFERROR(ROUND(F102*INDEX(Products!$X$5:$X$304,MATCH(E102,Products!$A$5:$A$304,0))/60,1),""))</f>
        <v>0</v>
      </c>
      <c r="AA102" s="20">
        <f>IF(E102="","",IF(OR(Z102="",Z102=0),"",ROUND(X102/Z102,2)))</f>
        <v>0</v>
      </c>
      <c r="AB102" s="42">
        <f>IF(E102="","",IF(V102="","",IF(AND(V102&gt;=MinOrderValue,F102&gt;=MinOrderQty),"Yes","No")))</f>
        <v>0</v>
      </c>
      <c r="AC102" s="32">
        <f>IF(B102="","",IF(I102="","",I102-B102))</f>
        <v>0</v>
      </c>
      <c r="AD102" s="43">
        <f>IF(B102="","",IF(E102="","Add - which product?",IF(X102&lt;0,"Loss - this order costs you money",IF(AND(Y102&lt;&gt;"",Y102&lt;TargetWholesaleMargin),"Low margin - the discount is too deep",IF(AND(H102&lt;&gt;"",I102="",H102&lt;TodayDate),"Overdue - not despatched",IF(AND(M102="No",I102&lt;&gt;"",TodayDate-I102&gt;30),"Chase - unpaid over 30 days",IF(AB102="No","Check - below your minimum order","OK")))))))</f>
        <v>0</v>
      </c>
    </row>
    <row r="103" spans="1:30">
      <c r="A103" s="38">
        <f>IF(B103="","",OrderPrefix&amp;TEXT(ROW()-4,"0000"))</f>
        <v>0</v>
      </c>
      <c r="O103" s="13">
        <f>IF(C103="","",IFERROR(INDEX('Wholesale Customers'!$B$5:$B$64,MATCH(C103,'Wholesale Customers'!$A$5:$A$64,0)),"Not found"))</f>
        <v>0</v>
      </c>
      <c r="P103" s="13">
        <f>IF(E103="","",IFERROR(INDEX(Products!$B$5:$B$304,MATCH(E103,Products!$A$5:$A$304,0)),"Not found"))</f>
        <v>0</v>
      </c>
      <c r="Q103" s="13">
        <f>IF(B103="","",TEXT(B103,"yyyy-mm"))</f>
        <v>0</v>
      </c>
      <c r="R103" s="33">
        <f>IF(C103="","",IFERROR(INDEX('Wholesale Customers'!$P$5:$P$64,MATCH(C103,'Wholesale Customers'!$A$5:$A$64,0)),WholesaleDiscount))</f>
        <v>0</v>
      </c>
      <c r="S103" s="20">
        <f>IF(E103="","",IFERROR(INDEX(Products!$AR$5:$AR$304,MATCH(E103,Products!$A$5:$A$304,0)),""))</f>
        <v>0</v>
      </c>
      <c r="T103" s="20">
        <f>IF(E103="","",IF(G103&lt;&gt;"",G103,IF(S103="","",ROUND(S103*(1-R103),2))))</f>
        <v>0</v>
      </c>
      <c r="U103" s="20">
        <f>IF(E103="","",IFERROR(INDEX(Products!$AH$5:$AH$304,MATCH(E103,Products!$A$5:$A$304,0)),""))</f>
        <v>0</v>
      </c>
      <c r="V103" s="20">
        <f>IF(E103="","",IF(OR(F103="",T103=""),"",ROUND(F103*T103,2)))</f>
        <v>0</v>
      </c>
      <c r="W103" s="20">
        <f>IF(E103="","",IF(OR(F103="",U103=""),"",ROUND(F103*U103+MAX(0,IF(K103="",0,K103)-IF(J103="",0,J103)),2)))</f>
        <v>0</v>
      </c>
      <c r="X103" s="20">
        <f>IF(E103="","",IF(V103="","",ROUND(V103-W103,2)))</f>
        <v>0</v>
      </c>
      <c r="Y103" s="33">
        <f>IF(E103="","",IF(OR(V103="",V103=0),"",X103/V103))</f>
        <v>0</v>
      </c>
      <c r="Z103" s="41">
        <f>IF(E103="","",IFERROR(ROUND(F103*INDEX(Products!$X$5:$X$304,MATCH(E103,Products!$A$5:$A$304,0))/60,1),""))</f>
        <v>0</v>
      </c>
      <c r="AA103" s="20">
        <f>IF(E103="","",IF(OR(Z103="",Z103=0),"",ROUND(X103/Z103,2)))</f>
        <v>0</v>
      </c>
      <c r="AB103" s="42">
        <f>IF(E103="","",IF(V103="","",IF(AND(V103&gt;=MinOrderValue,F103&gt;=MinOrderQty),"Yes","No")))</f>
        <v>0</v>
      </c>
      <c r="AC103" s="32">
        <f>IF(B103="","",IF(I103="","",I103-B103))</f>
        <v>0</v>
      </c>
      <c r="AD103" s="43">
        <f>IF(B103="","",IF(E103="","Add - which product?",IF(X103&lt;0,"Loss - this order costs you money",IF(AND(Y103&lt;&gt;"",Y103&lt;TargetWholesaleMargin),"Low margin - the discount is too deep",IF(AND(H103&lt;&gt;"",I103="",H103&lt;TodayDate),"Overdue - not despatched",IF(AND(M103="No",I103&lt;&gt;"",TodayDate-I103&gt;30),"Chase - unpaid over 30 days",IF(AB103="No","Check - below your minimum order","OK")))))))</f>
        <v>0</v>
      </c>
    </row>
    <row r="104" spans="1:30">
      <c r="A104" s="38">
        <f>IF(B104="","",OrderPrefix&amp;TEXT(ROW()-4,"0000"))</f>
        <v>0</v>
      </c>
      <c r="O104" s="13">
        <f>IF(C104="","",IFERROR(INDEX('Wholesale Customers'!$B$5:$B$64,MATCH(C104,'Wholesale Customers'!$A$5:$A$64,0)),"Not found"))</f>
        <v>0</v>
      </c>
      <c r="P104" s="13">
        <f>IF(E104="","",IFERROR(INDEX(Products!$B$5:$B$304,MATCH(E104,Products!$A$5:$A$304,0)),"Not found"))</f>
        <v>0</v>
      </c>
      <c r="Q104" s="13">
        <f>IF(B104="","",TEXT(B104,"yyyy-mm"))</f>
        <v>0</v>
      </c>
      <c r="R104" s="33">
        <f>IF(C104="","",IFERROR(INDEX('Wholesale Customers'!$P$5:$P$64,MATCH(C104,'Wholesale Customers'!$A$5:$A$64,0)),WholesaleDiscount))</f>
        <v>0</v>
      </c>
      <c r="S104" s="20">
        <f>IF(E104="","",IFERROR(INDEX(Products!$AR$5:$AR$304,MATCH(E104,Products!$A$5:$A$304,0)),""))</f>
        <v>0</v>
      </c>
      <c r="T104" s="20">
        <f>IF(E104="","",IF(G104&lt;&gt;"",G104,IF(S104="","",ROUND(S104*(1-R104),2))))</f>
        <v>0</v>
      </c>
      <c r="U104" s="20">
        <f>IF(E104="","",IFERROR(INDEX(Products!$AH$5:$AH$304,MATCH(E104,Products!$A$5:$A$304,0)),""))</f>
        <v>0</v>
      </c>
      <c r="V104" s="20">
        <f>IF(E104="","",IF(OR(F104="",T104=""),"",ROUND(F104*T104,2)))</f>
        <v>0</v>
      </c>
      <c r="W104" s="20">
        <f>IF(E104="","",IF(OR(F104="",U104=""),"",ROUND(F104*U104+MAX(0,IF(K104="",0,K104)-IF(J104="",0,J104)),2)))</f>
        <v>0</v>
      </c>
      <c r="X104" s="20">
        <f>IF(E104="","",IF(V104="","",ROUND(V104-W104,2)))</f>
        <v>0</v>
      </c>
      <c r="Y104" s="33">
        <f>IF(E104="","",IF(OR(V104="",V104=0),"",X104/V104))</f>
        <v>0</v>
      </c>
      <c r="Z104" s="41">
        <f>IF(E104="","",IFERROR(ROUND(F104*INDEX(Products!$X$5:$X$304,MATCH(E104,Products!$A$5:$A$304,0))/60,1),""))</f>
        <v>0</v>
      </c>
      <c r="AA104" s="20">
        <f>IF(E104="","",IF(OR(Z104="",Z104=0),"",ROUND(X104/Z104,2)))</f>
        <v>0</v>
      </c>
      <c r="AB104" s="42">
        <f>IF(E104="","",IF(V104="","",IF(AND(V104&gt;=MinOrderValue,F104&gt;=MinOrderQty),"Yes","No")))</f>
        <v>0</v>
      </c>
      <c r="AC104" s="32">
        <f>IF(B104="","",IF(I104="","",I104-B104))</f>
        <v>0</v>
      </c>
      <c r="AD104" s="43">
        <f>IF(B104="","",IF(E104="","Add - which product?",IF(X104&lt;0,"Loss - this order costs you money",IF(AND(Y104&lt;&gt;"",Y104&lt;TargetWholesaleMargin),"Low margin - the discount is too deep",IF(AND(H104&lt;&gt;"",I104="",H104&lt;TodayDate),"Overdue - not despatched",IF(AND(M104="No",I104&lt;&gt;"",TodayDate-I104&gt;30),"Chase - unpaid over 30 days",IF(AB104="No","Check - below your minimum order","OK")))))))</f>
        <v>0</v>
      </c>
    </row>
    <row r="105" spans="1:30">
      <c r="A105" s="38">
        <f>IF(B105="","",OrderPrefix&amp;TEXT(ROW()-4,"0000"))</f>
        <v>0</v>
      </c>
      <c r="O105" s="13">
        <f>IF(C105="","",IFERROR(INDEX('Wholesale Customers'!$B$5:$B$64,MATCH(C105,'Wholesale Customers'!$A$5:$A$64,0)),"Not found"))</f>
        <v>0</v>
      </c>
      <c r="P105" s="13">
        <f>IF(E105="","",IFERROR(INDEX(Products!$B$5:$B$304,MATCH(E105,Products!$A$5:$A$304,0)),"Not found"))</f>
        <v>0</v>
      </c>
      <c r="Q105" s="13">
        <f>IF(B105="","",TEXT(B105,"yyyy-mm"))</f>
        <v>0</v>
      </c>
      <c r="R105" s="33">
        <f>IF(C105="","",IFERROR(INDEX('Wholesale Customers'!$P$5:$P$64,MATCH(C105,'Wholesale Customers'!$A$5:$A$64,0)),WholesaleDiscount))</f>
        <v>0</v>
      </c>
      <c r="S105" s="20">
        <f>IF(E105="","",IFERROR(INDEX(Products!$AR$5:$AR$304,MATCH(E105,Products!$A$5:$A$304,0)),""))</f>
        <v>0</v>
      </c>
      <c r="T105" s="20">
        <f>IF(E105="","",IF(G105&lt;&gt;"",G105,IF(S105="","",ROUND(S105*(1-R105),2))))</f>
        <v>0</v>
      </c>
      <c r="U105" s="20">
        <f>IF(E105="","",IFERROR(INDEX(Products!$AH$5:$AH$304,MATCH(E105,Products!$A$5:$A$304,0)),""))</f>
        <v>0</v>
      </c>
      <c r="V105" s="20">
        <f>IF(E105="","",IF(OR(F105="",T105=""),"",ROUND(F105*T105,2)))</f>
        <v>0</v>
      </c>
      <c r="W105" s="20">
        <f>IF(E105="","",IF(OR(F105="",U105=""),"",ROUND(F105*U105+MAX(0,IF(K105="",0,K105)-IF(J105="",0,J105)),2)))</f>
        <v>0</v>
      </c>
      <c r="X105" s="20">
        <f>IF(E105="","",IF(V105="","",ROUND(V105-W105,2)))</f>
        <v>0</v>
      </c>
      <c r="Y105" s="33">
        <f>IF(E105="","",IF(OR(V105="",V105=0),"",X105/V105))</f>
        <v>0</v>
      </c>
      <c r="Z105" s="41">
        <f>IF(E105="","",IFERROR(ROUND(F105*INDEX(Products!$X$5:$X$304,MATCH(E105,Products!$A$5:$A$304,0))/60,1),""))</f>
        <v>0</v>
      </c>
      <c r="AA105" s="20">
        <f>IF(E105="","",IF(OR(Z105="",Z105=0),"",ROUND(X105/Z105,2)))</f>
        <v>0</v>
      </c>
      <c r="AB105" s="42">
        <f>IF(E105="","",IF(V105="","",IF(AND(V105&gt;=MinOrderValue,F105&gt;=MinOrderQty),"Yes","No")))</f>
        <v>0</v>
      </c>
      <c r="AC105" s="32">
        <f>IF(B105="","",IF(I105="","",I105-B105))</f>
        <v>0</v>
      </c>
      <c r="AD105" s="43">
        <f>IF(B105="","",IF(E105="","Add - which product?",IF(X105&lt;0,"Loss - this order costs you money",IF(AND(Y105&lt;&gt;"",Y105&lt;TargetWholesaleMargin),"Low margin - the discount is too deep",IF(AND(H105&lt;&gt;"",I105="",H105&lt;TodayDate),"Overdue - not despatched",IF(AND(M105="No",I105&lt;&gt;"",TodayDate-I105&gt;30),"Chase - unpaid over 30 days",IF(AB105="No","Check - below your minimum order","OK")))))))</f>
        <v>0</v>
      </c>
    </row>
    <row r="106" spans="1:30">
      <c r="A106" s="38">
        <f>IF(B106="","",OrderPrefix&amp;TEXT(ROW()-4,"0000"))</f>
        <v>0</v>
      </c>
      <c r="O106" s="13">
        <f>IF(C106="","",IFERROR(INDEX('Wholesale Customers'!$B$5:$B$64,MATCH(C106,'Wholesale Customers'!$A$5:$A$64,0)),"Not found"))</f>
        <v>0</v>
      </c>
      <c r="P106" s="13">
        <f>IF(E106="","",IFERROR(INDEX(Products!$B$5:$B$304,MATCH(E106,Products!$A$5:$A$304,0)),"Not found"))</f>
        <v>0</v>
      </c>
      <c r="Q106" s="13">
        <f>IF(B106="","",TEXT(B106,"yyyy-mm"))</f>
        <v>0</v>
      </c>
      <c r="R106" s="33">
        <f>IF(C106="","",IFERROR(INDEX('Wholesale Customers'!$P$5:$P$64,MATCH(C106,'Wholesale Customers'!$A$5:$A$64,0)),WholesaleDiscount))</f>
        <v>0</v>
      </c>
      <c r="S106" s="20">
        <f>IF(E106="","",IFERROR(INDEX(Products!$AR$5:$AR$304,MATCH(E106,Products!$A$5:$A$304,0)),""))</f>
        <v>0</v>
      </c>
      <c r="T106" s="20">
        <f>IF(E106="","",IF(G106&lt;&gt;"",G106,IF(S106="","",ROUND(S106*(1-R106),2))))</f>
        <v>0</v>
      </c>
      <c r="U106" s="20">
        <f>IF(E106="","",IFERROR(INDEX(Products!$AH$5:$AH$304,MATCH(E106,Products!$A$5:$A$304,0)),""))</f>
        <v>0</v>
      </c>
      <c r="V106" s="20">
        <f>IF(E106="","",IF(OR(F106="",T106=""),"",ROUND(F106*T106,2)))</f>
        <v>0</v>
      </c>
      <c r="W106" s="20">
        <f>IF(E106="","",IF(OR(F106="",U106=""),"",ROUND(F106*U106+MAX(0,IF(K106="",0,K106)-IF(J106="",0,J106)),2)))</f>
        <v>0</v>
      </c>
      <c r="X106" s="20">
        <f>IF(E106="","",IF(V106="","",ROUND(V106-W106,2)))</f>
        <v>0</v>
      </c>
      <c r="Y106" s="33">
        <f>IF(E106="","",IF(OR(V106="",V106=0),"",X106/V106))</f>
        <v>0</v>
      </c>
      <c r="Z106" s="41">
        <f>IF(E106="","",IFERROR(ROUND(F106*INDEX(Products!$X$5:$X$304,MATCH(E106,Products!$A$5:$A$304,0))/60,1),""))</f>
        <v>0</v>
      </c>
      <c r="AA106" s="20">
        <f>IF(E106="","",IF(OR(Z106="",Z106=0),"",ROUND(X106/Z106,2)))</f>
        <v>0</v>
      </c>
      <c r="AB106" s="42">
        <f>IF(E106="","",IF(V106="","",IF(AND(V106&gt;=MinOrderValue,F106&gt;=MinOrderQty),"Yes","No")))</f>
        <v>0</v>
      </c>
      <c r="AC106" s="32">
        <f>IF(B106="","",IF(I106="","",I106-B106))</f>
        <v>0</v>
      </c>
      <c r="AD106" s="43">
        <f>IF(B106="","",IF(E106="","Add - which product?",IF(X106&lt;0,"Loss - this order costs you money",IF(AND(Y106&lt;&gt;"",Y106&lt;TargetWholesaleMargin),"Low margin - the discount is too deep",IF(AND(H106&lt;&gt;"",I106="",H106&lt;TodayDate),"Overdue - not despatched",IF(AND(M106="No",I106&lt;&gt;"",TodayDate-I106&gt;30),"Chase - unpaid over 30 days",IF(AB106="No","Check - below your minimum order","OK")))))))</f>
        <v>0</v>
      </c>
    </row>
    <row r="107" spans="1:30">
      <c r="A107" s="38">
        <f>IF(B107="","",OrderPrefix&amp;TEXT(ROW()-4,"0000"))</f>
        <v>0</v>
      </c>
      <c r="O107" s="13">
        <f>IF(C107="","",IFERROR(INDEX('Wholesale Customers'!$B$5:$B$64,MATCH(C107,'Wholesale Customers'!$A$5:$A$64,0)),"Not found"))</f>
        <v>0</v>
      </c>
      <c r="P107" s="13">
        <f>IF(E107="","",IFERROR(INDEX(Products!$B$5:$B$304,MATCH(E107,Products!$A$5:$A$304,0)),"Not found"))</f>
        <v>0</v>
      </c>
      <c r="Q107" s="13">
        <f>IF(B107="","",TEXT(B107,"yyyy-mm"))</f>
        <v>0</v>
      </c>
      <c r="R107" s="33">
        <f>IF(C107="","",IFERROR(INDEX('Wholesale Customers'!$P$5:$P$64,MATCH(C107,'Wholesale Customers'!$A$5:$A$64,0)),WholesaleDiscount))</f>
        <v>0</v>
      </c>
      <c r="S107" s="20">
        <f>IF(E107="","",IFERROR(INDEX(Products!$AR$5:$AR$304,MATCH(E107,Products!$A$5:$A$304,0)),""))</f>
        <v>0</v>
      </c>
      <c r="T107" s="20">
        <f>IF(E107="","",IF(G107&lt;&gt;"",G107,IF(S107="","",ROUND(S107*(1-R107),2))))</f>
        <v>0</v>
      </c>
      <c r="U107" s="20">
        <f>IF(E107="","",IFERROR(INDEX(Products!$AH$5:$AH$304,MATCH(E107,Products!$A$5:$A$304,0)),""))</f>
        <v>0</v>
      </c>
      <c r="V107" s="20">
        <f>IF(E107="","",IF(OR(F107="",T107=""),"",ROUND(F107*T107,2)))</f>
        <v>0</v>
      </c>
      <c r="W107" s="20">
        <f>IF(E107="","",IF(OR(F107="",U107=""),"",ROUND(F107*U107+MAX(0,IF(K107="",0,K107)-IF(J107="",0,J107)),2)))</f>
        <v>0</v>
      </c>
      <c r="X107" s="20">
        <f>IF(E107="","",IF(V107="","",ROUND(V107-W107,2)))</f>
        <v>0</v>
      </c>
      <c r="Y107" s="33">
        <f>IF(E107="","",IF(OR(V107="",V107=0),"",X107/V107))</f>
        <v>0</v>
      </c>
      <c r="Z107" s="41">
        <f>IF(E107="","",IFERROR(ROUND(F107*INDEX(Products!$X$5:$X$304,MATCH(E107,Products!$A$5:$A$304,0))/60,1),""))</f>
        <v>0</v>
      </c>
      <c r="AA107" s="20">
        <f>IF(E107="","",IF(OR(Z107="",Z107=0),"",ROUND(X107/Z107,2)))</f>
        <v>0</v>
      </c>
      <c r="AB107" s="42">
        <f>IF(E107="","",IF(V107="","",IF(AND(V107&gt;=MinOrderValue,F107&gt;=MinOrderQty),"Yes","No")))</f>
        <v>0</v>
      </c>
      <c r="AC107" s="32">
        <f>IF(B107="","",IF(I107="","",I107-B107))</f>
        <v>0</v>
      </c>
      <c r="AD107" s="43">
        <f>IF(B107="","",IF(E107="","Add - which product?",IF(X107&lt;0,"Loss - this order costs you money",IF(AND(Y107&lt;&gt;"",Y107&lt;TargetWholesaleMargin),"Low margin - the discount is too deep",IF(AND(H107&lt;&gt;"",I107="",H107&lt;TodayDate),"Overdue - not despatched",IF(AND(M107="No",I107&lt;&gt;"",TodayDate-I107&gt;30),"Chase - unpaid over 30 days",IF(AB107="No","Check - below your minimum order","OK")))))))</f>
        <v>0</v>
      </c>
    </row>
    <row r="108" spans="1:30">
      <c r="A108" s="38">
        <f>IF(B108="","",OrderPrefix&amp;TEXT(ROW()-4,"0000"))</f>
        <v>0</v>
      </c>
      <c r="O108" s="13">
        <f>IF(C108="","",IFERROR(INDEX('Wholesale Customers'!$B$5:$B$64,MATCH(C108,'Wholesale Customers'!$A$5:$A$64,0)),"Not found"))</f>
        <v>0</v>
      </c>
      <c r="P108" s="13">
        <f>IF(E108="","",IFERROR(INDEX(Products!$B$5:$B$304,MATCH(E108,Products!$A$5:$A$304,0)),"Not found"))</f>
        <v>0</v>
      </c>
      <c r="Q108" s="13">
        <f>IF(B108="","",TEXT(B108,"yyyy-mm"))</f>
        <v>0</v>
      </c>
      <c r="R108" s="33">
        <f>IF(C108="","",IFERROR(INDEX('Wholesale Customers'!$P$5:$P$64,MATCH(C108,'Wholesale Customers'!$A$5:$A$64,0)),WholesaleDiscount))</f>
        <v>0</v>
      </c>
      <c r="S108" s="20">
        <f>IF(E108="","",IFERROR(INDEX(Products!$AR$5:$AR$304,MATCH(E108,Products!$A$5:$A$304,0)),""))</f>
        <v>0</v>
      </c>
      <c r="T108" s="20">
        <f>IF(E108="","",IF(G108&lt;&gt;"",G108,IF(S108="","",ROUND(S108*(1-R108),2))))</f>
        <v>0</v>
      </c>
      <c r="U108" s="20">
        <f>IF(E108="","",IFERROR(INDEX(Products!$AH$5:$AH$304,MATCH(E108,Products!$A$5:$A$304,0)),""))</f>
        <v>0</v>
      </c>
      <c r="V108" s="20">
        <f>IF(E108="","",IF(OR(F108="",T108=""),"",ROUND(F108*T108,2)))</f>
        <v>0</v>
      </c>
      <c r="W108" s="20">
        <f>IF(E108="","",IF(OR(F108="",U108=""),"",ROUND(F108*U108+MAX(0,IF(K108="",0,K108)-IF(J108="",0,J108)),2)))</f>
        <v>0</v>
      </c>
      <c r="X108" s="20">
        <f>IF(E108="","",IF(V108="","",ROUND(V108-W108,2)))</f>
        <v>0</v>
      </c>
      <c r="Y108" s="33">
        <f>IF(E108="","",IF(OR(V108="",V108=0),"",X108/V108))</f>
        <v>0</v>
      </c>
      <c r="Z108" s="41">
        <f>IF(E108="","",IFERROR(ROUND(F108*INDEX(Products!$X$5:$X$304,MATCH(E108,Products!$A$5:$A$304,0))/60,1),""))</f>
        <v>0</v>
      </c>
      <c r="AA108" s="20">
        <f>IF(E108="","",IF(OR(Z108="",Z108=0),"",ROUND(X108/Z108,2)))</f>
        <v>0</v>
      </c>
      <c r="AB108" s="42">
        <f>IF(E108="","",IF(V108="","",IF(AND(V108&gt;=MinOrderValue,F108&gt;=MinOrderQty),"Yes","No")))</f>
        <v>0</v>
      </c>
      <c r="AC108" s="32">
        <f>IF(B108="","",IF(I108="","",I108-B108))</f>
        <v>0</v>
      </c>
      <c r="AD108" s="43">
        <f>IF(B108="","",IF(E108="","Add - which product?",IF(X108&lt;0,"Loss - this order costs you money",IF(AND(Y108&lt;&gt;"",Y108&lt;TargetWholesaleMargin),"Low margin - the discount is too deep",IF(AND(H108&lt;&gt;"",I108="",H108&lt;TodayDate),"Overdue - not despatched",IF(AND(M108="No",I108&lt;&gt;"",TodayDate-I108&gt;30),"Chase - unpaid over 30 days",IF(AB108="No","Check - below your minimum order","OK")))))))</f>
        <v>0</v>
      </c>
    </row>
    <row r="109" spans="1:30">
      <c r="A109" s="38">
        <f>IF(B109="","",OrderPrefix&amp;TEXT(ROW()-4,"0000"))</f>
        <v>0</v>
      </c>
      <c r="O109" s="13">
        <f>IF(C109="","",IFERROR(INDEX('Wholesale Customers'!$B$5:$B$64,MATCH(C109,'Wholesale Customers'!$A$5:$A$64,0)),"Not found"))</f>
        <v>0</v>
      </c>
      <c r="P109" s="13">
        <f>IF(E109="","",IFERROR(INDEX(Products!$B$5:$B$304,MATCH(E109,Products!$A$5:$A$304,0)),"Not found"))</f>
        <v>0</v>
      </c>
      <c r="Q109" s="13">
        <f>IF(B109="","",TEXT(B109,"yyyy-mm"))</f>
        <v>0</v>
      </c>
      <c r="R109" s="33">
        <f>IF(C109="","",IFERROR(INDEX('Wholesale Customers'!$P$5:$P$64,MATCH(C109,'Wholesale Customers'!$A$5:$A$64,0)),WholesaleDiscount))</f>
        <v>0</v>
      </c>
      <c r="S109" s="20">
        <f>IF(E109="","",IFERROR(INDEX(Products!$AR$5:$AR$304,MATCH(E109,Products!$A$5:$A$304,0)),""))</f>
        <v>0</v>
      </c>
      <c r="T109" s="20">
        <f>IF(E109="","",IF(G109&lt;&gt;"",G109,IF(S109="","",ROUND(S109*(1-R109),2))))</f>
        <v>0</v>
      </c>
      <c r="U109" s="20">
        <f>IF(E109="","",IFERROR(INDEX(Products!$AH$5:$AH$304,MATCH(E109,Products!$A$5:$A$304,0)),""))</f>
        <v>0</v>
      </c>
      <c r="V109" s="20">
        <f>IF(E109="","",IF(OR(F109="",T109=""),"",ROUND(F109*T109,2)))</f>
        <v>0</v>
      </c>
      <c r="W109" s="20">
        <f>IF(E109="","",IF(OR(F109="",U109=""),"",ROUND(F109*U109+MAX(0,IF(K109="",0,K109)-IF(J109="",0,J109)),2)))</f>
        <v>0</v>
      </c>
      <c r="X109" s="20">
        <f>IF(E109="","",IF(V109="","",ROUND(V109-W109,2)))</f>
        <v>0</v>
      </c>
      <c r="Y109" s="33">
        <f>IF(E109="","",IF(OR(V109="",V109=0),"",X109/V109))</f>
        <v>0</v>
      </c>
      <c r="Z109" s="41">
        <f>IF(E109="","",IFERROR(ROUND(F109*INDEX(Products!$X$5:$X$304,MATCH(E109,Products!$A$5:$A$304,0))/60,1),""))</f>
        <v>0</v>
      </c>
      <c r="AA109" s="20">
        <f>IF(E109="","",IF(OR(Z109="",Z109=0),"",ROUND(X109/Z109,2)))</f>
        <v>0</v>
      </c>
      <c r="AB109" s="42">
        <f>IF(E109="","",IF(V109="","",IF(AND(V109&gt;=MinOrderValue,F109&gt;=MinOrderQty),"Yes","No")))</f>
        <v>0</v>
      </c>
      <c r="AC109" s="32">
        <f>IF(B109="","",IF(I109="","",I109-B109))</f>
        <v>0</v>
      </c>
      <c r="AD109" s="43">
        <f>IF(B109="","",IF(E109="","Add - which product?",IF(X109&lt;0,"Loss - this order costs you money",IF(AND(Y109&lt;&gt;"",Y109&lt;TargetWholesaleMargin),"Low margin - the discount is too deep",IF(AND(H109&lt;&gt;"",I109="",H109&lt;TodayDate),"Overdue - not despatched",IF(AND(M109="No",I109&lt;&gt;"",TodayDate-I109&gt;30),"Chase - unpaid over 30 days",IF(AB109="No","Check - below your minimum order","OK")))))))</f>
        <v>0</v>
      </c>
    </row>
    <row r="110" spans="1:30">
      <c r="A110" s="38">
        <f>IF(B110="","",OrderPrefix&amp;TEXT(ROW()-4,"0000"))</f>
        <v>0</v>
      </c>
      <c r="O110" s="13">
        <f>IF(C110="","",IFERROR(INDEX('Wholesale Customers'!$B$5:$B$64,MATCH(C110,'Wholesale Customers'!$A$5:$A$64,0)),"Not found"))</f>
        <v>0</v>
      </c>
      <c r="P110" s="13">
        <f>IF(E110="","",IFERROR(INDEX(Products!$B$5:$B$304,MATCH(E110,Products!$A$5:$A$304,0)),"Not found"))</f>
        <v>0</v>
      </c>
      <c r="Q110" s="13">
        <f>IF(B110="","",TEXT(B110,"yyyy-mm"))</f>
        <v>0</v>
      </c>
      <c r="R110" s="33">
        <f>IF(C110="","",IFERROR(INDEX('Wholesale Customers'!$P$5:$P$64,MATCH(C110,'Wholesale Customers'!$A$5:$A$64,0)),WholesaleDiscount))</f>
        <v>0</v>
      </c>
      <c r="S110" s="20">
        <f>IF(E110="","",IFERROR(INDEX(Products!$AR$5:$AR$304,MATCH(E110,Products!$A$5:$A$304,0)),""))</f>
        <v>0</v>
      </c>
      <c r="T110" s="20">
        <f>IF(E110="","",IF(G110&lt;&gt;"",G110,IF(S110="","",ROUND(S110*(1-R110),2))))</f>
        <v>0</v>
      </c>
      <c r="U110" s="20">
        <f>IF(E110="","",IFERROR(INDEX(Products!$AH$5:$AH$304,MATCH(E110,Products!$A$5:$A$304,0)),""))</f>
        <v>0</v>
      </c>
      <c r="V110" s="20">
        <f>IF(E110="","",IF(OR(F110="",T110=""),"",ROUND(F110*T110,2)))</f>
        <v>0</v>
      </c>
      <c r="W110" s="20">
        <f>IF(E110="","",IF(OR(F110="",U110=""),"",ROUND(F110*U110+MAX(0,IF(K110="",0,K110)-IF(J110="",0,J110)),2)))</f>
        <v>0</v>
      </c>
      <c r="X110" s="20">
        <f>IF(E110="","",IF(V110="","",ROUND(V110-W110,2)))</f>
        <v>0</v>
      </c>
      <c r="Y110" s="33">
        <f>IF(E110="","",IF(OR(V110="",V110=0),"",X110/V110))</f>
        <v>0</v>
      </c>
      <c r="Z110" s="41">
        <f>IF(E110="","",IFERROR(ROUND(F110*INDEX(Products!$X$5:$X$304,MATCH(E110,Products!$A$5:$A$304,0))/60,1),""))</f>
        <v>0</v>
      </c>
      <c r="AA110" s="20">
        <f>IF(E110="","",IF(OR(Z110="",Z110=0),"",ROUND(X110/Z110,2)))</f>
        <v>0</v>
      </c>
      <c r="AB110" s="42">
        <f>IF(E110="","",IF(V110="","",IF(AND(V110&gt;=MinOrderValue,F110&gt;=MinOrderQty),"Yes","No")))</f>
        <v>0</v>
      </c>
      <c r="AC110" s="32">
        <f>IF(B110="","",IF(I110="","",I110-B110))</f>
        <v>0</v>
      </c>
      <c r="AD110" s="43">
        <f>IF(B110="","",IF(E110="","Add - which product?",IF(X110&lt;0,"Loss - this order costs you money",IF(AND(Y110&lt;&gt;"",Y110&lt;TargetWholesaleMargin),"Low margin - the discount is too deep",IF(AND(H110&lt;&gt;"",I110="",H110&lt;TodayDate),"Overdue - not despatched",IF(AND(M110="No",I110&lt;&gt;"",TodayDate-I110&gt;30),"Chase - unpaid over 30 days",IF(AB110="No","Check - below your minimum order","OK")))))))</f>
        <v>0</v>
      </c>
    </row>
    <row r="111" spans="1:30">
      <c r="A111" s="38">
        <f>IF(B111="","",OrderPrefix&amp;TEXT(ROW()-4,"0000"))</f>
        <v>0</v>
      </c>
      <c r="O111" s="13">
        <f>IF(C111="","",IFERROR(INDEX('Wholesale Customers'!$B$5:$B$64,MATCH(C111,'Wholesale Customers'!$A$5:$A$64,0)),"Not found"))</f>
        <v>0</v>
      </c>
      <c r="P111" s="13">
        <f>IF(E111="","",IFERROR(INDEX(Products!$B$5:$B$304,MATCH(E111,Products!$A$5:$A$304,0)),"Not found"))</f>
        <v>0</v>
      </c>
      <c r="Q111" s="13">
        <f>IF(B111="","",TEXT(B111,"yyyy-mm"))</f>
        <v>0</v>
      </c>
      <c r="R111" s="33">
        <f>IF(C111="","",IFERROR(INDEX('Wholesale Customers'!$P$5:$P$64,MATCH(C111,'Wholesale Customers'!$A$5:$A$64,0)),WholesaleDiscount))</f>
        <v>0</v>
      </c>
      <c r="S111" s="20">
        <f>IF(E111="","",IFERROR(INDEX(Products!$AR$5:$AR$304,MATCH(E111,Products!$A$5:$A$304,0)),""))</f>
        <v>0</v>
      </c>
      <c r="T111" s="20">
        <f>IF(E111="","",IF(G111&lt;&gt;"",G111,IF(S111="","",ROUND(S111*(1-R111),2))))</f>
        <v>0</v>
      </c>
      <c r="U111" s="20">
        <f>IF(E111="","",IFERROR(INDEX(Products!$AH$5:$AH$304,MATCH(E111,Products!$A$5:$A$304,0)),""))</f>
        <v>0</v>
      </c>
      <c r="V111" s="20">
        <f>IF(E111="","",IF(OR(F111="",T111=""),"",ROUND(F111*T111,2)))</f>
        <v>0</v>
      </c>
      <c r="W111" s="20">
        <f>IF(E111="","",IF(OR(F111="",U111=""),"",ROUND(F111*U111+MAX(0,IF(K111="",0,K111)-IF(J111="",0,J111)),2)))</f>
        <v>0</v>
      </c>
      <c r="X111" s="20">
        <f>IF(E111="","",IF(V111="","",ROUND(V111-W111,2)))</f>
        <v>0</v>
      </c>
      <c r="Y111" s="33">
        <f>IF(E111="","",IF(OR(V111="",V111=0),"",X111/V111))</f>
        <v>0</v>
      </c>
      <c r="Z111" s="41">
        <f>IF(E111="","",IFERROR(ROUND(F111*INDEX(Products!$X$5:$X$304,MATCH(E111,Products!$A$5:$A$304,0))/60,1),""))</f>
        <v>0</v>
      </c>
      <c r="AA111" s="20">
        <f>IF(E111="","",IF(OR(Z111="",Z111=0),"",ROUND(X111/Z111,2)))</f>
        <v>0</v>
      </c>
      <c r="AB111" s="42">
        <f>IF(E111="","",IF(V111="","",IF(AND(V111&gt;=MinOrderValue,F111&gt;=MinOrderQty),"Yes","No")))</f>
        <v>0</v>
      </c>
      <c r="AC111" s="32">
        <f>IF(B111="","",IF(I111="","",I111-B111))</f>
        <v>0</v>
      </c>
      <c r="AD111" s="43">
        <f>IF(B111="","",IF(E111="","Add - which product?",IF(X111&lt;0,"Loss - this order costs you money",IF(AND(Y111&lt;&gt;"",Y111&lt;TargetWholesaleMargin),"Low margin - the discount is too deep",IF(AND(H111&lt;&gt;"",I111="",H111&lt;TodayDate),"Overdue - not despatched",IF(AND(M111="No",I111&lt;&gt;"",TodayDate-I111&gt;30),"Chase - unpaid over 30 days",IF(AB111="No","Check - below your minimum order","OK")))))))</f>
        <v>0</v>
      </c>
    </row>
    <row r="112" spans="1:30">
      <c r="A112" s="38">
        <f>IF(B112="","",OrderPrefix&amp;TEXT(ROW()-4,"0000"))</f>
        <v>0</v>
      </c>
      <c r="O112" s="13">
        <f>IF(C112="","",IFERROR(INDEX('Wholesale Customers'!$B$5:$B$64,MATCH(C112,'Wholesale Customers'!$A$5:$A$64,0)),"Not found"))</f>
        <v>0</v>
      </c>
      <c r="P112" s="13">
        <f>IF(E112="","",IFERROR(INDEX(Products!$B$5:$B$304,MATCH(E112,Products!$A$5:$A$304,0)),"Not found"))</f>
        <v>0</v>
      </c>
      <c r="Q112" s="13">
        <f>IF(B112="","",TEXT(B112,"yyyy-mm"))</f>
        <v>0</v>
      </c>
      <c r="R112" s="33">
        <f>IF(C112="","",IFERROR(INDEX('Wholesale Customers'!$P$5:$P$64,MATCH(C112,'Wholesale Customers'!$A$5:$A$64,0)),WholesaleDiscount))</f>
        <v>0</v>
      </c>
      <c r="S112" s="20">
        <f>IF(E112="","",IFERROR(INDEX(Products!$AR$5:$AR$304,MATCH(E112,Products!$A$5:$A$304,0)),""))</f>
        <v>0</v>
      </c>
      <c r="T112" s="20">
        <f>IF(E112="","",IF(G112&lt;&gt;"",G112,IF(S112="","",ROUND(S112*(1-R112),2))))</f>
        <v>0</v>
      </c>
      <c r="U112" s="20">
        <f>IF(E112="","",IFERROR(INDEX(Products!$AH$5:$AH$304,MATCH(E112,Products!$A$5:$A$304,0)),""))</f>
        <v>0</v>
      </c>
      <c r="V112" s="20">
        <f>IF(E112="","",IF(OR(F112="",T112=""),"",ROUND(F112*T112,2)))</f>
        <v>0</v>
      </c>
      <c r="W112" s="20">
        <f>IF(E112="","",IF(OR(F112="",U112=""),"",ROUND(F112*U112+MAX(0,IF(K112="",0,K112)-IF(J112="",0,J112)),2)))</f>
        <v>0</v>
      </c>
      <c r="X112" s="20">
        <f>IF(E112="","",IF(V112="","",ROUND(V112-W112,2)))</f>
        <v>0</v>
      </c>
      <c r="Y112" s="33">
        <f>IF(E112="","",IF(OR(V112="",V112=0),"",X112/V112))</f>
        <v>0</v>
      </c>
      <c r="Z112" s="41">
        <f>IF(E112="","",IFERROR(ROUND(F112*INDEX(Products!$X$5:$X$304,MATCH(E112,Products!$A$5:$A$304,0))/60,1),""))</f>
        <v>0</v>
      </c>
      <c r="AA112" s="20">
        <f>IF(E112="","",IF(OR(Z112="",Z112=0),"",ROUND(X112/Z112,2)))</f>
        <v>0</v>
      </c>
      <c r="AB112" s="42">
        <f>IF(E112="","",IF(V112="","",IF(AND(V112&gt;=MinOrderValue,F112&gt;=MinOrderQty),"Yes","No")))</f>
        <v>0</v>
      </c>
      <c r="AC112" s="32">
        <f>IF(B112="","",IF(I112="","",I112-B112))</f>
        <v>0</v>
      </c>
      <c r="AD112" s="43">
        <f>IF(B112="","",IF(E112="","Add - which product?",IF(X112&lt;0,"Loss - this order costs you money",IF(AND(Y112&lt;&gt;"",Y112&lt;TargetWholesaleMargin),"Low margin - the discount is too deep",IF(AND(H112&lt;&gt;"",I112="",H112&lt;TodayDate),"Overdue - not despatched",IF(AND(M112="No",I112&lt;&gt;"",TodayDate-I112&gt;30),"Chase - unpaid over 30 days",IF(AB112="No","Check - below your minimum order","OK")))))))</f>
        <v>0</v>
      </c>
    </row>
    <row r="113" spans="1:30">
      <c r="A113" s="38">
        <f>IF(B113="","",OrderPrefix&amp;TEXT(ROW()-4,"0000"))</f>
        <v>0</v>
      </c>
      <c r="O113" s="13">
        <f>IF(C113="","",IFERROR(INDEX('Wholesale Customers'!$B$5:$B$64,MATCH(C113,'Wholesale Customers'!$A$5:$A$64,0)),"Not found"))</f>
        <v>0</v>
      </c>
      <c r="P113" s="13">
        <f>IF(E113="","",IFERROR(INDEX(Products!$B$5:$B$304,MATCH(E113,Products!$A$5:$A$304,0)),"Not found"))</f>
        <v>0</v>
      </c>
      <c r="Q113" s="13">
        <f>IF(B113="","",TEXT(B113,"yyyy-mm"))</f>
        <v>0</v>
      </c>
      <c r="R113" s="33">
        <f>IF(C113="","",IFERROR(INDEX('Wholesale Customers'!$P$5:$P$64,MATCH(C113,'Wholesale Customers'!$A$5:$A$64,0)),WholesaleDiscount))</f>
        <v>0</v>
      </c>
      <c r="S113" s="20">
        <f>IF(E113="","",IFERROR(INDEX(Products!$AR$5:$AR$304,MATCH(E113,Products!$A$5:$A$304,0)),""))</f>
        <v>0</v>
      </c>
      <c r="T113" s="20">
        <f>IF(E113="","",IF(G113&lt;&gt;"",G113,IF(S113="","",ROUND(S113*(1-R113),2))))</f>
        <v>0</v>
      </c>
      <c r="U113" s="20">
        <f>IF(E113="","",IFERROR(INDEX(Products!$AH$5:$AH$304,MATCH(E113,Products!$A$5:$A$304,0)),""))</f>
        <v>0</v>
      </c>
      <c r="V113" s="20">
        <f>IF(E113="","",IF(OR(F113="",T113=""),"",ROUND(F113*T113,2)))</f>
        <v>0</v>
      </c>
      <c r="W113" s="20">
        <f>IF(E113="","",IF(OR(F113="",U113=""),"",ROUND(F113*U113+MAX(0,IF(K113="",0,K113)-IF(J113="",0,J113)),2)))</f>
        <v>0</v>
      </c>
      <c r="X113" s="20">
        <f>IF(E113="","",IF(V113="","",ROUND(V113-W113,2)))</f>
        <v>0</v>
      </c>
      <c r="Y113" s="33">
        <f>IF(E113="","",IF(OR(V113="",V113=0),"",X113/V113))</f>
        <v>0</v>
      </c>
      <c r="Z113" s="41">
        <f>IF(E113="","",IFERROR(ROUND(F113*INDEX(Products!$X$5:$X$304,MATCH(E113,Products!$A$5:$A$304,0))/60,1),""))</f>
        <v>0</v>
      </c>
      <c r="AA113" s="20">
        <f>IF(E113="","",IF(OR(Z113="",Z113=0),"",ROUND(X113/Z113,2)))</f>
        <v>0</v>
      </c>
      <c r="AB113" s="42">
        <f>IF(E113="","",IF(V113="","",IF(AND(V113&gt;=MinOrderValue,F113&gt;=MinOrderQty),"Yes","No")))</f>
        <v>0</v>
      </c>
      <c r="AC113" s="32">
        <f>IF(B113="","",IF(I113="","",I113-B113))</f>
        <v>0</v>
      </c>
      <c r="AD113" s="43">
        <f>IF(B113="","",IF(E113="","Add - which product?",IF(X113&lt;0,"Loss - this order costs you money",IF(AND(Y113&lt;&gt;"",Y113&lt;TargetWholesaleMargin),"Low margin - the discount is too deep",IF(AND(H113&lt;&gt;"",I113="",H113&lt;TodayDate),"Overdue - not despatched",IF(AND(M113="No",I113&lt;&gt;"",TodayDate-I113&gt;30),"Chase - unpaid over 30 days",IF(AB113="No","Check - below your minimum order","OK")))))))</f>
        <v>0</v>
      </c>
    </row>
    <row r="114" spans="1:30">
      <c r="A114" s="38">
        <f>IF(B114="","",OrderPrefix&amp;TEXT(ROW()-4,"0000"))</f>
        <v>0</v>
      </c>
      <c r="O114" s="13">
        <f>IF(C114="","",IFERROR(INDEX('Wholesale Customers'!$B$5:$B$64,MATCH(C114,'Wholesale Customers'!$A$5:$A$64,0)),"Not found"))</f>
        <v>0</v>
      </c>
      <c r="P114" s="13">
        <f>IF(E114="","",IFERROR(INDEX(Products!$B$5:$B$304,MATCH(E114,Products!$A$5:$A$304,0)),"Not found"))</f>
        <v>0</v>
      </c>
      <c r="Q114" s="13">
        <f>IF(B114="","",TEXT(B114,"yyyy-mm"))</f>
        <v>0</v>
      </c>
      <c r="R114" s="33">
        <f>IF(C114="","",IFERROR(INDEX('Wholesale Customers'!$P$5:$P$64,MATCH(C114,'Wholesale Customers'!$A$5:$A$64,0)),WholesaleDiscount))</f>
        <v>0</v>
      </c>
      <c r="S114" s="20">
        <f>IF(E114="","",IFERROR(INDEX(Products!$AR$5:$AR$304,MATCH(E114,Products!$A$5:$A$304,0)),""))</f>
        <v>0</v>
      </c>
      <c r="T114" s="20">
        <f>IF(E114="","",IF(G114&lt;&gt;"",G114,IF(S114="","",ROUND(S114*(1-R114),2))))</f>
        <v>0</v>
      </c>
      <c r="U114" s="20">
        <f>IF(E114="","",IFERROR(INDEX(Products!$AH$5:$AH$304,MATCH(E114,Products!$A$5:$A$304,0)),""))</f>
        <v>0</v>
      </c>
      <c r="V114" s="20">
        <f>IF(E114="","",IF(OR(F114="",T114=""),"",ROUND(F114*T114,2)))</f>
        <v>0</v>
      </c>
      <c r="W114" s="20">
        <f>IF(E114="","",IF(OR(F114="",U114=""),"",ROUND(F114*U114+MAX(0,IF(K114="",0,K114)-IF(J114="",0,J114)),2)))</f>
        <v>0</v>
      </c>
      <c r="X114" s="20">
        <f>IF(E114="","",IF(V114="","",ROUND(V114-W114,2)))</f>
        <v>0</v>
      </c>
      <c r="Y114" s="33">
        <f>IF(E114="","",IF(OR(V114="",V114=0),"",X114/V114))</f>
        <v>0</v>
      </c>
      <c r="Z114" s="41">
        <f>IF(E114="","",IFERROR(ROUND(F114*INDEX(Products!$X$5:$X$304,MATCH(E114,Products!$A$5:$A$304,0))/60,1),""))</f>
        <v>0</v>
      </c>
      <c r="AA114" s="20">
        <f>IF(E114="","",IF(OR(Z114="",Z114=0),"",ROUND(X114/Z114,2)))</f>
        <v>0</v>
      </c>
      <c r="AB114" s="42">
        <f>IF(E114="","",IF(V114="","",IF(AND(V114&gt;=MinOrderValue,F114&gt;=MinOrderQty),"Yes","No")))</f>
        <v>0</v>
      </c>
      <c r="AC114" s="32">
        <f>IF(B114="","",IF(I114="","",I114-B114))</f>
        <v>0</v>
      </c>
      <c r="AD114" s="43">
        <f>IF(B114="","",IF(E114="","Add - which product?",IF(X114&lt;0,"Loss - this order costs you money",IF(AND(Y114&lt;&gt;"",Y114&lt;TargetWholesaleMargin),"Low margin - the discount is too deep",IF(AND(H114&lt;&gt;"",I114="",H114&lt;TodayDate),"Overdue - not despatched",IF(AND(M114="No",I114&lt;&gt;"",TodayDate-I114&gt;30),"Chase - unpaid over 30 days",IF(AB114="No","Check - below your minimum order","OK")))))))</f>
        <v>0</v>
      </c>
    </row>
    <row r="115" spans="1:30">
      <c r="A115" s="38">
        <f>IF(B115="","",OrderPrefix&amp;TEXT(ROW()-4,"0000"))</f>
        <v>0</v>
      </c>
      <c r="O115" s="13">
        <f>IF(C115="","",IFERROR(INDEX('Wholesale Customers'!$B$5:$B$64,MATCH(C115,'Wholesale Customers'!$A$5:$A$64,0)),"Not found"))</f>
        <v>0</v>
      </c>
      <c r="P115" s="13">
        <f>IF(E115="","",IFERROR(INDEX(Products!$B$5:$B$304,MATCH(E115,Products!$A$5:$A$304,0)),"Not found"))</f>
        <v>0</v>
      </c>
      <c r="Q115" s="13">
        <f>IF(B115="","",TEXT(B115,"yyyy-mm"))</f>
        <v>0</v>
      </c>
      <c r="R115" s="33">
        <f>IF(C115="","",IFERROR(INDEX('Wholesale Customers'!$P$5:$P$64,MATCH(C115,'Wholesale Customers'!$A$5:$A$64,0)),WholesaleDiscount))</f>
        <v>0</v>
      </c>
      <c r="S115" s="20">
        <f>IF(E115="","",IFERROR(INDEX(Products!$AR$5:$AR$304,MATCH(E115,Products!$A$5:$A$304,0)),""))</f>
        <v>0</v>
      </c>
      <c r="T115" s="20">
        <f>IF(E115="","",IF(G115&lt;&gt;"",G115,IF(S115="","",ROUND(S115*(1-R115),2))))</f>
        <v>0</v>
      </c>
      <c r="U115" s="20">
        <f>IF(E115="","",IFERROR(INDEX(Products!$AH$5:$AH$304,MATCH(E115,Products!$A$5:$A$304,0)),""))</f>
        <v>0</v>
      </c>
      <c r="V115" s="20">
        <f>IF(E115="","",IF(OR(F115="",T115=""),"",ROUND(F115*T115,2)))</f>
        <v>0</v>
      </c>
      <c r="W115" s="20">
        <f>IF(E115="","",IF(OR(F115="",U115=""),"",ROUND(F115*U115+MAX(0,IF(K115="",0,K115)-IF(J115="",0,J115)),2)))</f>
        <v>0</v>
      </c>
      <c r="X115" s="20">
        <f>IF(E115="","",IF(V115="","",ROUND(V115-W115,2)))</f>
        <v>0</v>
      </c>
      <c r="Y115" s="33">
        <f>IF(E115="","",IF(OR(V115="",V115=0),"",X115/V115))</f>
        <v>0</v>
      </c>
      <c r="Z115" s="41">
        <f>IF(E115="","",IFERROR(ROUND(F115*INDEX(Products!$X$5:$X$304,MATCH(E115,Products!$A$5:$A$304,0))/60,1),""))</f>
        <v>0</v>
      </c>
      <c r="AA115" s="20">
        <f>IF(E115="","",IF(OR(Z115="",Z115=0),"",ROUND(X115/Z115,2)))</f>
        <v>0</v>
      </c>
      <c r="AB115" s="42">
        <f>IF(E115="","",IF(V115="","",IF(AND(V115&gt;=MinOrderValue,F115&gt;=MinOrderQty),"Yes","No")))</f>
        <v>0</v>
      </c>
      <c r="AC115" s="32">
        <f>IF(B115="","",IF(I115="","",I115-B115))</f>
        <v>0</v>
      </c>
      <c r="AD115" s="43">
        <f>IF(B115="","",IF(E115="","Add - which product?",IF(X115&lt;0,"Loss - this order costs you money",IF(AND(Y115&lt;&gt;"",Y115&lt;TargetWholesaleMargin),"Low margin - the discount is too deep",IF(AND(H115&lt;&gt;"",I115="",H115&lt;TodayDate),"Overdue - not despatched",IF(AND(M115="No",I115&lt;&gt;"",TodayDate-I115&gt;30),"Chase - unpaid over 30 days",IF(AB115="No","Check - below your minimum order","OK")))))))</f>
        <v>0</v>
      </c>
    </row>
    <row r="116" spans="1:30">
      <c r="A116" s="38">
        <f>IF(B116="","",OrderPrefix&amp;TEXT(ROW()-4,"0000"))</f>
        <v>0</v>
      </c>
      <c r="O116" s="13">
        <f>IF(C116="","",IFERROR(INDEX('Wholesale Customers'!$B$5:$B$64,MATCH(C116,'Wholesale Customers'!$A$5:$A$64,0)),"Not found"))</f>
        <v>0</v>
      </c>
      <c r="P116" s="13">
        <f>IF(E116="","",IFERROR(INDEX(Products!$B$5:$B$304,MATCH(E116,Products!$A$5:$A$304,0)),"Not found"))</f>
        <v>0</v>
      </c>
      <c r="Q116" s="13">
        <f>IF(B116="","",TEXT(B116,"yyyy-mm"))</f>
        <v>0</v>
      </c>
      <c r="R116" s="33">
        <f>IF(C116="","",IFERROR(INDEX('Wholesale Customers'!$P$5:$P$64,MATCH(C116,'Wholesale Customers'!$A$5:$A$64,0)),WholesaleDiscount))</f>
        <v>0</v>
      </c>
      <c r="S116" s="20">
        <f>IF(E116="","",IFERROR(INDEX(Products!$AR$5:$AR$304,MATCH(E116,Products!$A$5:$A$304,0)),""))</f>
        <v>0</v>
      </c>
      <c r="T116" s="20">
        <f>IF(E116="","",IF(G116&lt;&gt;"",G116,IF(S116="","",ROUND(S116*(1-R116),2))))</f>
        <v>0</v>
      </c>
      <c r="U116" s="20">
        <f>IF(E116="","",IFERROR(INDEX(Products!$AH$5:$AH$304,MATCH(E116,Products!$A$5:$A$304,0)),""))</f>
        <v>0</v>
      </c>
      <c r="V116" s="20">
        <f>IF(E116="","",IF(OR(F116="",T116=""),"",ROUND(F116*T116,2)))</f>
        <v>0</v>
      </c>
      <c r="W116" s="20">
        <f>IF(E116="","",IF(OR(F116="",U116=""),"",ROUND(F116*U116+MAX(0,IF(K116="",0,K116)-IF(J116="",0,J116)),2)))</f>
        <v>0</v>
      </c>
      <c r="X116" s="20">
        <f>IF(E116="","",IF(V116="","",ROUND(V116-W116,2)))</f>
        <v>0</v>
      </c>
      <c r="Y116" s="33">
        <f>IF(E116="","",IF(OR(V116="",V116=0),"",X116/V116))</f>
        <v>0</v>
      </c>
      <c r="Z116" s="41">
        <f>IF(E116="","",IFERROR(ROUND(F116*INDEX(Products!$X$5:$X$304,MATCH(E116,Products!$A$5:$A$304,0))/60,1),""))</f>
        <v>0</v>
      </c>
      <c r="AA116" s="20">
        <f>IF(E116="","",IF(OR(Z116="",Z116=0),"",ROUND(X116/Z116,2)))</f>
        <v>0</v>
      </c>
      <c r="AB116" s="42">
        <f>IF(E116="","",IF(V116="","",IF(AND(V116&gt;=MinOrderValue,F116&gt;=MinOrderQty),"Yes","No")))</f>
        <v>0</v>
      </c>
      <c r="AC116" s="32">
        <f>IF(B116="","",IF(I116="","",I116-B116))</f>
        <v>0</v>
      </c>
      <c r="AD116" s="43">
        <f>IF(B116="","",IF(E116="","Add - which product?",IF(X116&lt;0,"Loss - this order costs you money",IF(AND(Y116&lt;&gt;"",Y116&lt;TargetWholesaleMargin),"Low margin - the discount is too deep",IF(AND(H116&lt;&gt;"",I116="",H116&lt;TodayDate),"Overdue - not despatched",IF(AND(M116="No",I116&lt;&gt;"",TodayDate-I116&gt;30),"Chase - unpaid over 30 days",IF(AB116="No","Check - below your minimum order","OK")))))))</f>
        <v>0</v>
      </c>
    </row>
    <row r="117" spans="1:30">
      <c r="A117" s="38">
        <f>IF(B117="","",OrderPrefix&amp;TEXT(ROW()-4,"0000"))</f>
        <v>0</v>
      </c>
      <c r="O117" s="13">
        <f>IF(C117="","",IFERROR(INDEX('Wholesale Customers'!$B$5:$B$64,MATCH(C117,'Wholesale Customers'!$A$5:$A$64,0)),"Not found"))</f>
        <v>0</v>
      </c>
      <c r="P117" s="13">
        <f>IF(E117="","",IFERROR(INDEX(Products!$B$5:$B$304,MATCH(E117,Products!$A$5:$A$304,0)),"Not found"))</f>
        <v>0</v>
      </c>
      <c r="Q117" s="13">
        <f>IF(B117="","",TEXT(B117,"yyyy-mm"))</f>
        <v>0</v>
      </c>
      <c r="R117" s="33">
        <f>IF(C117="","",IFERROR(INDEX('Wholesale Customers'!$P$5:$P$64,MATCH(C117,'Wholesale Customers'!$A$5:$A$64,0)),WholesaleDiscount))</f>
        <v>0</v>
      </c>
      <c r="S117" s="20">
        <f>IF(E117="","",IFERROR(INDEX(Products!$AR$5:$AR$304,MATCH(E117,Products!$A$5:$A$304,0)),""))</f>
        <v>0</v>
      </c>
      <c r="T117" s="20">
        <f>IF(E117="","",IF(G117&lt;&gt;"",G117,IF(S117="","",ROUND(S117*(1-R117),2))))</f>
        <v>0</v>
      </c>
      <c r="U117" s="20">
        <f>IF(E117="","",IFERROR(INDEX(Products!$AH$5:$AH$304,MATCH(E117,Products!$A$5:$A$304,0)),""))</f>
        <v>0</v>
      </c>
      <c r="V117" s="20">
        <f>IF(E117="","",IF(OR(F117="",T117=""),"",ROUND(F117*T117,2)))</f>
        <v>0</v>
      </c>
      <c r="W117" s="20">
        <f>IF(E117="","",IF(OR(F117="",U117=""),"",ROUND(F117*U117+MAX(0,IF(K117="",0,K117)-IF(J117="",0,J117)),2)))</f>
        <v>0</v>
      </c>
      <c r="X117" s="20">
        <f>IF(E117="","",IF(V117="","",ROUND(V117-W117,2)))</f>
        <v>0</v>
      </c>
      <c r="Y117" s="33">
        <f>IF(E117="","",IF(OR(V117="",V117=0),"",X117/V117))</f>
        <v>0</v>
      </c>
      <c r="Z117" s="41">
        <f>IF(E117="","",IFERROR(ROUND(F117*INDEX(Products!$X$5:$X$304,MATCH(E117,Products!$A$5:$A$304,0))/60,1),""))</f>
        <v>0</v>
      </c>
      <c r="AA117" s="20">
        <f>IF(E117="","",IF(OR(Z117="",Z117=0),"",ROUND(X117/Z117,2)))</f>
        <v>0</v>
      </c>
      <c r="AB117" s="42">
        <f>IF(E117="","",IF(V117="","",IF(AND(V117&gt;=MinOrderValue,F117&gt;=MinOrderQty),"Yes","No")))</f>
        <v>0</v>
      </c>
      <c r="AC117" s="32">
        <f>IF(B117="","",IF(I117="","",I117-B117))</f>
        <v>0</v>
      </c>
      <c r="AD117" s="43">
        <f>IF(B117="","",IF(E117="","Add - which product?",IF(X117&lt;0,"Loss - this order costs you money",IF(AND(Y117&lt;&gt;"",Y117&lt;TargetWholesaleMargin),"Low margin - the discount is too deep",IF(AND(H117&lt;&gt;"",I117="",H117&lt;TodayDate),"Overdue - not despatched",IF(AND(M117="No",I117&lt;&gt;"",TodayDate-I117&gt;30),"Chase - unpaid over 30 days",IF(AB117="No","Check - below your minimum order","OK")))))))</f>
        <v>0</v>
      </c>
    </row>
    <row r="118" spans="1:30">
      <c r="A118" s="38">
        <f>IF(B118="","",OrderPrefix&amp;TEXT(ROW()-4,"0000"))</f>
        <v>0</v>
      </c>
      <c r="O118" s="13">
        <f>IF(C118="","",IFERROR(INDEX('Wholesale Customers'!$B$5:$B$64,MATCH(C118,'Wholesale Customers'!$A$5:$A$64,0)),"Not found"))</f>
        <v>0</v>
      </c>
      <c r="P118" s="13">
        <f>IF(E118="","",IFERROR(INDEX(Products!$B$5:$B$304,MATCH(E118,Products!$A$5:$A$304,0)),"Not found"))</f>
        <v>0</v>
      </c>
      <c r="Q118" s="13">
        <f>IF(B118="","",TEXT(B118,"yyyy-mm"))</f>
        <v>0</v>
      </c>
      <c r="R118" s="33">
        <f>IF(C118="","",IFERROR(INDEX('Wholesale Customers'!$P$5:$P$64,MATCH(C118,'Wholesale Customers'!$A$5:$A$64,0)),WholesaleDiscount))</f>
        <v>0</v>
      </c>
      <c r="S118" s="20">
        <f>IF(E118="","",IFERROR(INDEX(Products!$AR$5:$AR$304,MATCH(E118,Products!$A$5:$A$304,0)),""))</f>
        <v>0</v>
      </c>
      <c r="T118" s="20">
        <f>IF(E118="","",IF(G118&lt;&gt;"",G118,IF(S118="","",ROUND(S118*(1-R118),2))))</f>
        <v>0</v>
      </c>
      <c r="U118" s="20">
        <f>IF(E118="","",IFERROR(INDEX(Products!$AH$5:$AH$304,MATCH(E118,Products!$A$5:$A$304,0)),""))</f>
        <v>0</v>
      </c>
      <c r="V118" s="20">
        <f>IF(E118="","",IF(OR(F118="",T118=""),"",ROUND(F118*T118,2)))</f>
        <v>0</v>
      </c>
      <c r="W118" s="20">
        <f>IF(E118="","",IF(OR(F118="",U118=""),"",ROUND(F118*U118+MAX(0,IF(K118="",0,K118)-IF(J118="",0,J118)),2)))</f>
        <v>0</v>
      </c>
      <c r="X118" s="20">
        <f>IF(E118="","",IF(V118="","",ROUND(V118-W118,2)))</f>
        <v>0</v>
      </c>
      <c r="Y118" s="33">
        <f>IF(E118="","",IF(OR(V118="",V118=0),"",X118/V118))</f>
        <v>0</v>
      </c>
      <c r="Z118" s="41">
        <f>IF(E118="","",IFERROR(ROUND(F118*INDEX(Products!$X$5:$X$304,MATCH(E118,Products!$A$5:$A$304,0))/60,1),""))</f>
        <v>0</v>
      </c>
      <c r="AA118" s="20">
        <f>IF(E118="","",IF(OR(Z118="",Z118=0),"",ROUND(X118/Z118,2)))</f>
        <v>0</v>
      </c>
      <c r="AB118" s="42">
        <f>IF(E118="","",IF(V118="","",IF(AND(V118&gt;=MinOrderValue,F118&gt;=MinOrderQty),"Yes","No")))</f>
        <v>0</v>
      </c>
      <c r="AC118" s="32">
        <f>IF(B118="","",IF(I118="","",I118-B118))</f>
        <v>0</v>
      </c>
      <c r="AD118" s="43">
        <f>IF(B118="","",IF(E118="","Add - which product?",IF(X118&lt;0,"Loss - this order costs you money",IF(AND(Y118&lt;&gt;"",Y118&lt;TargetWholesaleMargin),"Low margin - the discount is too deep",IF(AND(H118&lt;&gt;"",I118="",H118&lt;TodayDate),"Overdue - not despatched",IF(AND(M118="No",I118&lt;&gt;"",TodayDate-I118&gt;30),"Chase - unpaid over 30 days",IF(AB118="No","Check - below your minimum order","OK")))))))</f>
        <v>0</v>
      </c>
    </row>
    <row r="119" spans="1:30">
      <c r="A119" s="38">
        <f>IF(B119="","",OrderPrefix&amp;TEXT(ROW()-4,"0000"))</f>
        <v>0</v>
      </c>
      <c r="O119" s="13">
        <f>IF(C119="","",IFERROR(INDEX('Wholesale Customers'!$B$5:$B$64,MATCH(C119,'Wholesale Customers'!$A$5:$A$64,0)),"Not found"))</f>
        <v>0</v>
      </c>
      <c r="P119" s="13">
        <f>IF(E119="","",IFERROR(INDEX(Products!$B$5:$B$304,MATCH(E119,Products!$A$5:$A$304,0)),"Not found"))</f>
        <v>0</v>
      </c>
      <c r="Q119" s="13">
        <f>IF(B119="","",TEXT(B119,"yyyy-mm"))</f>
        <v>0</v>
      </c>
      <c r="R119" s="33">
        <f>IF(C119="","",IFERROR(INDEX('Wholesale Customers'!$P$5:$P$64,MATCH(C119,'Wholesale Customers'!$A$5:$A$64,0)),WholesaleDiscount))</f>
        <v>0</v>
      </c>
      <c r="S119" s="20">
        <f>IF(E119="","",IFERROR(INDEX(Products!$AR$5:$AR$304,MATCH(E119,Products!$A$5:$A$304,0)),""))</f>
        <v>0</v>
      </c>
      <c r="T119" s="20">
        <f>IF(E119="","",IF(G119&lt;&gt;"",G119,IF(S119="","",ROUND(S119*(1-R119),2))))</f>
        <v>0</v>
      </c>
      <c r="U119" s="20">
        <f>IF(E119="","",IFERROR(INDEX(Products!$AH$5:$AH$304,MATCH(E119,Products!$A$5:$A$304,0)),""))</f>
        <v>0</v>
      </c>
      <c r="V119" s="20">
        <f>IF(E119="","",IF(OR(F119="",T119=""),"",ROUND(F119*T119,2)))</f>
        <v>0</v>
      </c>
      <c r="W119" s="20">
        <f>IF(E119="","",IF(OR(F119="",U119=""),"",ROUND(F119*U119+MAX(0,IF(K119="",0,K119)-IF(J119="",0,J119)),2)))</f>
        <v>0</v>
      </c>
      <c r="X119" s="20">
        <f>IF(E119="","",IF(V119="","",ROUND(V119-W119,2)))</f>
        <v>0</v>
      </c>
      <c r="Y119" s="33">
        <f>IF(E119="","",IF(OR(V119="",V119=0),"",X119/V119))</f>
        <v>0</v>
      </c>
      <c r="Z119" s="41">
        <f>IF(E119="","",IFERROR(ROUND(F119*INDEX(Products!$X$5:$X$304,MATCH(E119,Products!$A$5:$A$304,0))/60,1),""))</f>
        <v>0</v>
      </c>
      <c r="AA119" s="20">
        <f>IF(E119="","",IF(OR(Z119="",Z119=0),"",ROUND(X119/Z119,2)))</f>
        <v>0</v>
      </c>
      <c r="AB119" s="42">
        <f>IF(E119="","",IF(V119="","",IF(AND(V119&gt;=MinOrderValue,F119&gt;=MinOrderQty),"Yes","No")))</f>
        <v>0</v>
      </c>
      <c r="AC119" s="32">
        <f>IF(B119="","",IF(I119="","",I119-B119))</f>
        <v>0</v>
      </c>
      <c r="AD119" s="43">
        <f>IF(B119="","",IF(E119="","Add - which product?",IF(X119&lt;0,"Loss - this order costs you money",IF(AND(Y119&lt;&gt;"",Y119&lt;TargetWholesaleMargin),"Low margin - the discount is too deep",IF(AND(H119&lt;&gt;"",I119="",H119&lt;TodayDate),"Overdue - not despatched",IF(AND(M119="No",I119&lt;&gt;"",TodayDate-I119&gt;30),"Chase - unpaid over 30 days",IF(AB119="No","Check - below your minimum order","OK")))))))</f>
        <v>0</v>
      </c>
    </row>
    <row r="120" spans="1:30">
      <c r="A120" s="38">
        <f>IF(B120="","",OrderPrefix&amp;TEXT(ROW()-4,"0000"))</f>
        <v>0</v>
      </c>
      <c r="O120" s="13">
        <f>IF(C120="","",IFERROR(INDEX('Wholesale Customers'!$B$5:$B$64,MATCH(C120,'Wholesale Customers'!$A$5:$A$64,0)),"Not found"))</f>
        <v>0</v>
      </c>
      <c r="P120" s="13">
        <f>IF(E120="","",IFERROR(INDEX(Products!$B$5:$B$304,MATCH(E120,Products!$A$5:$A$304,0)),"Not found"))</f>
        <v>0</v>
      </c>
      <c r="Q120" s="13">
        <f>IF(B120="","",TEXT(B120,"yyyy-mm"))</f>
        <v>0</v>
      </c>
      <c r="R120" s="33">
        <f>IF(C120="","",IFERROR(INDEX('Wholesale Customers'!$P$5:$P$64,MATCH(C120,'Wholesale Customers'!$A$5:$A$64,0)),WholesaleDiscount))</f>
        <v>0</v>
      </c>
      <c r="S120" s="20">
        <f>IF(E120="","",IFERROR(INDEX(Products!$AR$5:$AR$304,MATCH(E120,Products!$A$5:$A$304,0)),""))</f>
        <v>0</v>
      </c>
      <c r="T120" s="20">
        <f>IF(E120="","",IF(G120&lt;&gt;"",G120,IF(S120="","",ROUND(S120*(1-R120),2))))</f>
        <v>0</v>
      </c>
      <c r="U120" s="20">
        <f>IF(E120="","",IFERROR(INDEX(Products!$AH$5:$AH$304,MATCH(E120,Products!$A$5:$A$304,0)),""))</f>
        <v>0</v>
      </c>
      <c r="V120" s="20">
        <f>IF(E120="","",IF(OR(F120="",T120=""),"",ROUND(F120*T120,2)))</f>
        <v>0</v>
      </c>
      <c r="W120" s="20">
        <f>IF(E120="","",IF(OR(F120="",U120=""),"",ROUND(F120*U120+MAX(0,IF(K120="",0,K120)-IF(J120="",0,J120)),2)))</f>
        <v>0</v>
      </c>
      <c r="X120" s="20">
        <f>IF(E120="","",IF(V120="","",ROUND(V120-W120,2)))</f>
        <v>0</v>
      </c>
      <c r="Y120" s="33">
        <f>IF(E120="","",IF(OR(V120="",V120=0),"",X120/V120))</f>
        <v>0</v>
      </c>
      <c r="Z120" s="41">
        <f>IF(E120="","",IFERROR(ROUND(F120*INDEX(Products!$X$5:$X$304,MATCH(E120,Products!$A$5:$A$304,0))/60,1),""))</f>
        <v>0</v>
      </c>
      <c r="AA120" s="20">
        <f>IF(E120="","",IF(OR(Z120="",Z120=0),"",ROUND(X120/Z120,2)))</f>
        <v>0</v>
      </c>
      <c r="AB120" s="42">
        <f>IF(E120="","",IF(V120="","",IF(AND(V120&gt;=MinOrderValue,F120&gt;=MinOrderQty),"Yes","No")))</f>
        <v>0</v>
      </c>
      <c r="AC120" s="32">
        <f>IF(B120="","",IF(I120="","",I120-B120))</f>
        <v>0</v>
      </c>
      <c r="AD120" s="43">
        <f>IF(B120="","",IF(E120="","Add - which product?",IF(X120&lt;0,"Loss - this order costs you money",IF(AND(Y120&lt;&gt;"",Y120&lt;TargetWholesaleMargin),"Low margin - the discount is too deep",IF(AND(H120&lt;&gt;"",I120="",H120&lt;TodayDate),"Overdue - not despatched",IF(AND(M120="No",I120&lt;&gt;"",TodayDate-I120&gt;30),"Chase - unpaid over 30 days",IF(AB120="No","Check - below your minimum order","OK")))))))</f>
        <v>0</v>
      </c>
    </row>
    <row r="121" spans="1:30">
      <c r="A121" s="38">
        <f>IF(B121="","",OrderPrefix&amp;TEXT(ROW()-4,"0000"))</f>
        <v>0</v>
      </c>
      <c r="O121" s="13">
        <f>IF(C121="","",IFERROR(INDEX('Wholesale Customers'!$B$5:$B$64,MATCH(C121,'Wholesale Customers'!$A$5:$A$64,0)),"Not found"))</f>
        <v>0</v>
      </c>
      <c r="P121" s="13">
        <f>IF(E121="","",IFERROR(INDEX(Products!$B$5:$B$304,MATCH(E121,Products!$A$5:$A$304,0)),"Not found"))</f>
        <v>0</v>
      </c>
      <c r="Q121" s="13">
        <f>IF(B121="","",TEXT(B121,"yyyy-mm"))</f>
        <v>0</v>
      </c>
      <c r="R121" s="33">
        <f>IF(C121="","",IFERROR(INDEX('Wholesale Customers'!$P$5:$P$64,MATCH(C121,'Wholesale Customers'!$A$5:$A$64,0)),WholesaleDiscount))</f>
        <v>0</v>
      </c>
      <c r="S121" s="20">
        <f>IF(E121="","",IFERROR(INDEX(Products!$AR$5:$AR$304,MATCH(E121,Products!$A$5:$A$304,0)),""))</f>
        <v>0</v>
      </c>
      <c r="T121" s="20">
        <f>IF(E121="","",IF(G121&lt;&gt;"",G121,IF(S121="","",ROUND(S121*(1-R121),2))))</f>
        <v>0</v>
      </c>
      <c r="U121" s="20">
        <f>IF(E121="","",IFERROR(INDEX(Products!$AH$5:$AH$304,MATCH(E121,Products!$A$5:$A$304,0)),""))</f>
        <v>0</v>
      </c>
      <c r="V121" s="20">
        <f>IF(E121="","",IF(OR(F121="",T121=""),"",ROUND(F121*T121,2)))</f>
        <v>0</v>
      </c>
      <c r="W121" s="20">
        <f>IF(E121="","",IF(OR(F121="",U121=""),"",ROUND(F121*U121+MAX(0,IF(K121="",0,K121)-IF(J121="",0,J121)),2)))</f>
        <v>0</v>
      </c>
      <c r="X121" s="20">
        <f>IF(E121="","",IF(V121="","",ROUND(V121-W121,2)))</f>
        <v>0</v>
      </c>
      <c r="Y121" s="33">
        <f>IF(E121="","",IF(OR(V121="",V121=0),"",X121/V121))</f>
        <v>0</v>
      </c>
      <c r="Z121" s="41">
        <f>IF(E121="","",IFERROR(ROUND(F121*INDEX(Products!$X$5:$X$304,MATCH(E121,Products!$A$5:$A$304,0))/60,1),""))</f>
        <v>0</v>
      </c>
      <c r="AA121" s="20">
        <f>IF(E121="","",IF(OR(Z121="",Z121=0),"",ROUND(X121/Z121,2)))</f>
        <v>0</v>
      </c>
      <c r="AB121" s="42">
        <f>IF(E121="","",IF(V121="","",IF(AND(V121&gt;=MinOrderValue,F121&gt;=MinOrderQty),"Yes","No")))</f>
        <v>0</v>
      </c>
      <c r="AC121" s="32">
        <f>IF(B121="","",IF(I121="","",I121-B121))</f>
        <v>0</v>
      </c>
      <c r="AD121" s="43">
        <f>IF(B121="","",IF(E121="","Add - which product?",IF(X121&lt;0,"Loss - this order costs you money",IF(AND(Y121&lt;&gt;"",Y121&lt;TargetWholesaleMargin),"Low margin - the discount is too deep",IF(AND(H121&lt;&gt;"",I121="",H121&lt;TodayDate),"Overdue - not despatched",IF(AND(M121="No",I121&lt;&gt;"",TodayDate-I121&gt;30),"Chase - unpaid over 30 days",IF(AB121="No","Check - below your minimum order","OK")))))))</f>
        <v>0</v>
      </c>
    </row>
    <row r="122" spans="1:30">
      <c r="A122" s="38">
        <f>IF(B122="","",OrderPrefix&amp;TEXT(ROW()-4,"0000"))</f>
        <v>0</v>
      </c>
      <c r="O122" s="13">
        <f>IF(C122="","",IFERROR(INDEX('Wholesale Customers'!$B$5:$B$64,MATCH(C122,'Wholesale Customers'!$A$5:$A$64,0)),"Not found"))</f>
        <v>0</v>
      </c>
      <c r="P122" s="13">
        <f>IF(E122="","",IFERROR(INDEX(Products!$B$5:$B$304,MATCH(E122,Products!$A$5:$A$304,0)),"Not found"))</f>
        <v>0</v>
      </c>
      <c r="Q122" s="13">
        <f>IF(B122="","",TEXT(B122,"yyyy-mm"))</f>
        <v>0</v>
      </c>
      <c r="R122" s="33">
        <f>IF(C122="","",IFERROR(INDEX('Wholesale Customers'!$P$5:$P$64,MATCH(C122,'Wholesale Customers'!$A$5:$A$64,0)),WholesaleDiscount))</f>
        <v>0</v>
      </c>
      <c r="S122" s="20">
        <f>IF(E122="","",IFERROR(INDEX(Products!$AR$5:$AR$304,MATCH(E122,Products!$A$5:$A$304,0)),""))</f>
        <v>0</v>
      </c>
      <c r="T122" s="20">
        <f>IF(E122="","",IF(G122&lt;&gt;"",G122,IF(S122="","",ROUND(S122*(1-R122),2))))</f>
        <v>0</v>
      </c>
      <c r="U122" s="20">
        <f>IF(E122="","",IFERROR(INDEX(Products!$AH$5:$AH$304,MATCH(E122,Products!$A$5:$A$304,0)),""))</f>
        <v>0</v>
      </c>
      <c r="V122" s="20">
        <f>IF(E122="","",IF(OR(F122="",T122=""),"",ROUND(F122*T122,2)))</f>
        <v>0</v>
      </c>
      <c r="W122" s="20">
        <f>IF(E122="","",IF(OR(F122="",U122=""),"",ROUND(F122*U122+MAX(0,IF(K122="",0,K122)-IF(J122="",0,J122)),2)))</f>
        <v>0</v>
      </c>
      <c r="X122" s="20">
        <f>IF(E122="","",IF(V122="","",ROUND(V122-W122,2)))</f>
        <v>0</v>
      </c>
      <c r="Y122" s="33">
        <f>IF(E122="","",IF(OR(V122="",V122=0),"",X122/V122))</f>
        <v>0</v>
      </c>
      <c r="Z122" s="41">
        <f>IF(E122="","",IFERROR(ROUND(F122*INDEX(Products!$X$5:$X$304,MATCH(E122,Products!$A$5:$A$304,0))/60,1),""))</f>
        <v>0</v>
      </c>
      <c r="AA122" s="20">
        <f>IF(E122="","",IF(OR(Z122="",Z122=0),"",ROUND(X122/Z122,2)))</f>
        <v>0</v>
      </c>
      <c r="AB122" s="42">
        <f>IF(E122="","",IF(V122="","",IF(AND(V122&gt;=MinOrderValue,F122&gt;=MinOrderQty),"Yes","No")))</f>
        <v>0</v>
      </c>
      <c r="AC122" s="32">
        <f>IF(B122="","",IF(I122="","",I122-B122))</f>
        <v>0</v>
      </c>
      <c r="AD122" s="43">
        <f>IF(B122="","",IF(E122="","Add - which product?",IF(X122&lt;0,"Loss - this order costs you money",IF(AND(Y122&lt;&gt;"",Y122&lt;TargetWholesaleMargin),"Low margin - the discount is too deep",IF(AND(H122&lt;&gt;"",I122="",H122&lt;TodayDate),"Overdue - not despatched",IF(AND(M122="No",I122&lt;&gt;"",TodayDate-I122&gt;30),"Chase - unpaid over 30 days",IF(AB122="No","Check - below your minimum order","OK")))))))</f>
        <v>0</v>
      </c>
    </row>
    <row r="123" spans="1:30">
      <c r="A123" s="38">
        <f>IF(B123="","",OrderPrefix&amp;TEXT(ROW()-4,"0000"))</f>
        <v>0</v>
      </c>
      <c r="O123" s="13">
        <f>IF(C123="","",IFERROR(INDEX('Wholesale Customers'!$B$5:$B$64,MATCH(C123,'Wholesale Customers'!$A$5:$A$64,0)),"Not found"))</f>
        <v>0</v>
      </c>
      <c r="P123" s="13">
        <f>IF(E123="","",IFERROR(INDEX(Products!$B$5:$B$304,MATCH(E123,Products!$A$5:$A$304,0)),"Not found"))</f>
        <v>0</v>
      </c>
      <c r="Q123" s="13">
        <f>IF(B123="","",TEXT(B123,"yyyy-mm"))</f>
        <v>0</v>
      </c>
      <c r="R123" s="33">
        <f>IF(C123="","",IFERROR(INDEX('Wholesale Customers'!$P$5:$P$64,MATCH(C123,'Wholesale Customers'!$A$5:$A$64,0)),WholesaleDiscount))</f>
        <v>0</v>
      </c>
      <c r="S123" s="20">
        <f>IF(E123="","",IFERROR(INDEX(Products!$AR$5:$AR$304,MATCH(E123,Products!$A$5:$A$304,0)),""))</f>
        <v>0</v>
      </c>
      <c r="T123" s="20">
        <f>IF(E123="","",IF(G123&lt;&gt;"",G123,IF(S123="","",ROUND(S123*(1-R123),2))))</f>
        <v>0</v>
      </c>
      <c r="U123" s="20">
        <f>IF(E123="","",IFERROR(INDEX(Products!$AH$5:$AH$304,MATCH(E123,Products!$A$5:$A$304,0)),""))</f>
        <v>0</v>
      </c>
      <c r="V123" s="20">
        <f>IF(E123="","",IF(OR(F123="",T123=""),"",ROUND(F123*T123,2)))</f>
        <v>0</v>
      </c>
      <c r="W123" s="20">
        <f>IF(E123="","",IF(OR(F123="",U123=""),"",ROUND(F123*U123+MAX(0,IF(K123="",0,K123)-IF(J123="",0,J123)),2)))</f>
        <v>0</v>
      </c>
      <c r="X123" s="20">
        <f>IF(E123="","",IF(V123="","",ROUND(V123-W123,2)))</f>
        <v>0</v>
      </c>
      <c r="Y123" s="33">
        <f>IF(E123="","",IF(OR(V123="",V123=0),"",X123/V123))</f>
        <v>0</v>
      </c>
      <c r="Z123" s="41">
        <f>IF(E123="","",IFERROR(ROUND(F123*INDEX(Products!$X$5:$X$304,MATCH(E123,Products!$A$5:$A$304,0))/60,1),""))</f>
        <v>0</v>
      </c>
      <c r="AA123" s="20">
        <f>IF(E123="","",IF(OR(Z123="",Z123=0),"",ROUND(X123/Z123,2)))</f>
        <v>0</v>
      </c>
      <c r="AB123" s="42">
        <f>IF(E123="","",IF(V123="","",IF(AND(V123&gt;=MinOrderValue,F123&gt;=MinOrderQty),"Yes","No")))</f>
        <v>0</v>
      </c>
      <c r="AC123" s="32">
        <f>IF(B123="","",IF(I123="","",I123-B123))</f>
        <v>0</v>
      </c>
      <c r="AD123" s="43">
        <f>IF(B123="","",IF(E123="","Add - which product?",IF(X123&lt;0,"Loss - this order costs you money",IF(AND(Y123&lt;&gt;"",Y123&lt;TargetWholesaleMargin),"Low margin - the discount is too deep",IF(AND(H123&lt;&gt;"",I123="",H123&lt;TodayDate),"Overdue - not despatched",IF(AND(M123="No",I123&lt;&gt;"",TodayDate-I123&gt;30),"Chase - unpaid over 30 days",IF(AB123="No","Check - below your minimum order","OK")))))))</f>
        <v>0</v>
      </c>
    </row>
    <row r="124" spans="1:30">
      <c r="A124" s="38">
        <f>IF(B124="","",OrderPrefix&amp;TEXT(ROW()-4,"0000"))</f>
        <v>0</v>
      </c>
      <c r="O124" s="13">
        <f>IF(C124="","",IFERROR(INDEX('Wholesale Customers'!$B$5:$B$64,MATCH(C124,'Wholesale Customers'!$A$5:$A$64,0)),"Not found"))</f>
        <v>0</v>
      </c>
      <c r="P124" s="13">
        <f>IF(E124="","",IFERROR(INDEX(Products!$B$5:$B$304,MATCH(E124,Products!$A$5:$A$304,0)),"Not found"))</f>
        <v>0</v>
      </c>
      <c r="Q124" s="13">
        <f>IF(B124="","",TEXT(B124,"yyyy-mm"))</f>
        <v>0</v>
      </c>
      <c r="R124" s="33">
        <f>IF(C124="","",IFERROR(INDEX('Wholesale Customers'!$P$5:$P$64,MATCH(C124,'Wholesale Customers'!$A$5:$A$64,0)),WholesaleDiscount))</f>
        <v>0</v>
      </c>
      <c r="S124" s="20">
        <f>IF(E124="","",IFERROR(INDEX(Products!$AR$5:$AR$304,MATCH(E124,Products!$A$5:$A$304,0)),""))</f>
        <v>0</v>
      </c>
      <c r="T124" s="20">
        <f>IF(E124="","",IF(G124&lt;&gt;"",G124,IF(S124="","",ROUND(S124*(1-R124),2))))</f>
        <v>0</v>
      </c>
      <c r="U124" s="20">
        <f>IF(E124="","",IFERROR(INDEX(Products!$AH$5:$AH$304,MATCH(E124,Products!$A$5:$A$304,0)),""))</f>
        <v>0</v>
      </c>
      <c r="V124" s="20">
        <f>IF(E124="","",IF(OR(F124="",T124=""),"",ROUND(F124*T124,2)))</f>
        <v>0</v>
      </c>
      <c r="W124" s="20">
        <f>IF(E124="","",IF(OR(F124="",U124=""),"",ROUND(F124*U124+MAX(0,IF(K124="",0,K124)-IF(J124="",0,J124)),2)))</f>
        <v>0</v>
      </c>
      <c r="X124" s="20">
        <f>IF(E124="","",IF(V124="","",ROUND(V124-W124,2)))</f>
        <v>0</v>
      </c>
      <c r="Y124" s="33">
        <f>IF(E124="","",IF(OR(V124="",V124=0),"",X124/V124))</f>
        <v>0</v>
      </c>
      <c r="Z124" s="41">
        <f>IF(E124="","",IFERROR(ROUND(F124*INDEX(Products!$X$5:$X$304,MATCH(E124,Products!$A$5:$A$304,0))/60,1),""))</f>
        <v>0</v>
      </c>
      <c r="AA124" s="20">
        <f>IF(E124="","",IF(OR(Z124="",Z124=0),"",ROUND(X124/Z124,2)))</f>
        <v>0</v>
      </c>
      <c r="AB124" s="42">
        <f>IF(E124="","",IF(V124="","",IF(AND(V124&gt;=MinOrderValue,F124&gt;=MinOrderQty),"Yes","No")))</f>
        <v>0</v>
      </c>
      <c r="AC124" s="32">
        <f>IF(B124="","",IF(I124="","",I124-B124))</f>
        <v>0</v>
      </c>
      <c r="AD124" s="43">
        <f>IF(B124="","",IF(E124="","Add - which product?",IF(X124&lt;0,"Loss - this order costs you money",IF(AND(Y124&lt;&gt;"",Y124&lt;TargetWholesaleMargin),"Low margin - the discount is too deep",IF(AND(H124&lt;&gt;"",I124="",H124&lt;TodayDate),"Overdue - not despatched",IF(AND(M124="No",I124&lt;&gt;"",TodayDate-I124&gt;30),"Chase - unpaid over 30 days",IF(AB124="No","Check - below your minimum order","OK")))))))</f>
        <v>0</v>
      </c>
    </row>
    <row r="125" spans="1:30">
      <c r="A125" s="38">
        <f>IF(B125="","",OrderPrefix&amp;TEXT(ROW()-4,"0000"))</f>
        <v>0</v>
      </c>
      <c r="O125" s="13">
        <f>IF(C125="","",IFERROR(INDEX('Wholesale Customers'!$B$5:$B$64,MATCH(C125,'Wholesale Customers'!$A$5:$A$64,0)),"Not found"))</f>
        <v>0</v>
      </c>
      <c r="P125" s="13">
        <f>IF(E125="","",IFERROR(INDEX(Products!$B$5:$B$304,MATCH(E125,Products!$A$5:$A$304,0)),"Not found"))</f>
        <v>0</v>
      </c>
      <c r="Q125" s="13">
        <f>IF(B125="","",TEXT(B125,"yyyy-mm"))</f>
        <v>0</v>
      </c>
      <c r="R125" s="33">
        <f>IF(C125="","",IFERROR(INDEX('Wholesale Customers'!$P$5:$P$64,MATCH(C125,'Wholesale Customers'!$A$5:$A$64,0)),WholesaleDiscount))</f>
        <v>0</v>
      </c>
      <c r="S125" s="20">
        <f>IF(E125="","",IFERROR(INDEX(Products!$AR$5:$AR$304,MATCH(E125,Products!$A$5:$A$304,0)),""))</f>
        <v>0</v>
      </c>
      <c r="T125" s="20">
        <f>IF(E125="","",IF(G125&lt;&gt;"",G125,IF(S125="","",ROUND(S125*(1-R125),2))))</f>
        <v>0</v>
      </c>
      <c r="U125" s="20">
        <f>IF(E125="","",IFERROR(INDEX(Products!$AH$5:$AH$304,MATCH(E125,Products!$A$5:$A$304,0)),""))</f>
        <v>0</v>
      </c>
      <c r="V125" s="20">
        <f>IF(E125="","",IF(OR(F125="",T125=""),"",ROUND(F125*T125,2)))</f>
        <v>0</v>
      </c>
      <c r="W125" s="20">
        <f>IF(E125="","",IF(OR(F125="",U125=""),"",ROUND(F125*U125+MAX(0,IF(K125="",0,K125)-IF(J125="",0,J125)),2)))</f>
        <v>0</v>
      </c>
      <c r="X125" s="20">
        <f>IF(E125="","",IF(V125="","",ROUND(V125-W125,2)))</f>
        <v>0</v>
      </c>
      <c r="Y125" s="33">
        <f>IF(E125="","",IF(OR(V125="",V125=0),"",X125/V125))</f>
        <v>0</v>
      </c>
      <c r="Z125" s="41">
        <f>IF(E125="","",IFERROR(ROUND(F125*INDEX(Products!$X$5:$X$304,MATCH(E125,Products!$A$5:$A$304,0))/60,1),""))</f>
        <v>0</v>
      </c>
      <c r="AA125" s="20">
        <f>IF(E125="","",IF(OR(Z125="",Z125=0),"",ROUND(X125/Z125,2)))</f>
        <v>0</v>
      </c>
      <c r="AB125" s="42">
        <f>IF(E125="","",IF(V125="","",IF(AND(V125&gt;=MinOrderValue,F125&gt;=MinOrderQty),"Yes","No")))</f>
        <v>0</v>
      </c>
      <c r="AC125" s="32">
        <f>IF(B125="","",IF(I125="","",I125-B125))</f>
        <v>0</v>
      </c>
      <c r="AD125" s="43">
        <f>IF(B125="","",IF(E125="","Add - which product?",IF(X125&lt;0,"Loss - this order costs you money",IF(AND(Y125&lt;&gt;"",Y125&lt;TargetWholesaleMargin),"Low margin - the discount is too deep",IF(AND(H125&lt;&gt;"",I125="",H125&lt;TodayDate),"Overdue - not despatched",IF(AND(M125="No",I125&lt;&gt;"",TodayDate-I125&gt;30),"Chase - unpaid over 30 days",IF(AB125="No","Check - below your minimum order","OK")))))))</f>
        <v>0</v>
      </c>
    </row>
    <row r="126" spans="1:30">
      <c r="A126" s="38">
        <f>IF(B126="","",OrderPrefix&amp;TEXT(ROW()-4,"0000"))</f>
        <v>0</v>
      </c>
      <c r="O126" s="13">
        <f>IF(C126="","",IFERROR(INDEX('Wholesale Customers'!$B$5:$B$64,MATCH(C126,'Wholesale Customers'!$A$5:$A$64,0)),"Not found"))</f>
        <v>0</v>
      </c>
      <c r="P126" s="13">
        <f>IF(E126="","",IFERROR(INDEX(Products!$B$5:$B$304,MATCH(E126,Products!$A$5:$A$304,0)),"Not found"))</f>
        <v>0</v>
      </c>
      <c r="Q126" s="13">
        <f>IF(B126="","",TEXT(B126,"yyyy-mm"))</f>
        <v>0</v>
      </c>
      <c r="R126" s="33">
        <f>IF(C126="","",IFERROR(INDEX('Wholesale Customers'!$P$5:$P$64,MATCH(C126,'Wholesale Customers'!$A$5:$A$64,0)),WholesaleDiscount))</f>
        <v>0</v>
      </c>
      <c r="S126" s="20">
        <f>IF(E126="","",IFERROR(INDEX(Products!$AR$5:$AR$304,MATCH(E126,Products!$A$5:$A$304,0)),""))</f>
        <v>0</v>
      </c>
      <c r="T126" s="20">
        <f>IF(E126="","",IF(G126&lt;&gt;"",G126,IF(S126="","",ROUND(S126*(1-R126),2))))</f>
        <v>0</v>
      </c>
      <c r="U126" s="20">
        <f>IF(E126="","",IFERROR(INDEX(Products!$AH$5:$AH$304,MATCH(E126,Products!$A$5:$A$304,0)),""))</f>
        <v>0</v>
      </c>
      <c r="V126" s="20">
        <f>IF(E126="","",IF(OR(F126="",T126=""),"",ROUND(F126*T126,2)))</f>
        <v>0</v>
      </c>
      <c r="W126" s="20">
        <f>IF(E126="","",IF(OR(F126="",U126=""),"",ROUND(F126*U126+MAX(0,IF(K126="",0,K126)-IF(J126="",0,J126)),2)))</f>
        <v>0</v>
      </c>
      <c r="X126" s="20">
        <f>IF(E126="","",IF(V126="","",ROUND(V126-W126,2)))</f>
        <v>0</v>
      </c>
      <c r="Y126" s="33">
        <f>IF(E126="","",IF(OR(V126="",V126=0),"",X126/V126))</f>
        <v>0</v>
      </c>
      <c r="Z126" s="41">
        <f>IF(E126="","",IFERROR(ROUND(F126*INDEX(Products!$X$5:$X$304,MATCH(E126,Products!$A$5:$A$304,0))/60,1),""))</f>
        <v>0</v>
      </c>
      <c r="AA126" s="20">
        <f>IF(E126="","",IF(OR(Z126="",Z126=0),"",ROUND(X126/Z126,2)))</f>
        <v>0</v>
      </c>
      <c r="AB126" s="42">
        <f>IF(E126="","",IF(V126="","",IF(AND(V126&gt;=MinOrderValue,F126&gt;=MinOrderQty),"Yes","No")))</f>
        <v>0</v>
      </c>
      <c r="AC126" s="32">
        <f>IF(B126="","",IF(I126="","",I126-B126))</f>
        <v>0</v>
      </c>
      <c r="AD126" s="43">
        <f>IF(B126="","",IF(E126="","Add - which product?",IF(X126&lt;0,"Loss - this order costs you money",IF(AND(Y126&lt;&gt;"",Y126&lt;TargetWholesaleMargin),"Low margin - the discount is too deep",IF(AND(H126&lt;&gt;"",I126="",H126&lt;TodayDate),"Overdue - not despatched",IF(AND(M126="No",I126&lt;&gt;"",TodayDate-I126&gt;30),"Chase - unpaid over 30 days",IF(AB126="No","Check - below your minimum order","OK")))))))</f>
        <v>0</v>
      </c>
    </row>
    <row r="127" spans="1:30">
      <c r="A127" s="38">
        <f>IF(B127="","",OrderPrefix&amp;TEXT(ROW()-4,"0000"))</f>
        <v>0</v>
      </c>
      <c r="O127" s="13">
        <f>IF(C127="","",IFERROR(INDEX('Wholesale Customers'!$B$5:$B$64,MATCH(C127,'Wholesale Customers'!$A$5:$A$64,0)),"Not found"))</f>
        <v>0</v>
      </c>
      <c r="P127" s="13">
        <f>IF(E127="","",IFERROR(INDEX(Products!$B$5:$B$304,MATCH(E127,Products!$A$5:$A$304,0)),"Not found"))</f>
        <v>0</v>
      </c>
      <c r="Q127" s="13">
        <f>IF(B127="","",TEXT(B127,"yyyy-mm"))</f>
        <v>0</v>
      </c>
      <c r="R127" s="33">
        <f>IF(C127="","",IFERROR(INDEX('Wholesale Customers'!$P$5:$P$64,MATCH(C127,'Wholesale Customers'!$A$5:$A$64,0)),WholesaleDiscount))</f>
        <v>0</v>
      </c>
      <c r="S127" s="20">
        <f>IF(E127="","",IFERROR(INDEX(Products!$AR$5:$AR$304,MATCH(E127,Products!$A$5:$A$304,0)),""))</f>
        <v>0</v>
      </c>
      <c r="T127" s="20">
        <f>IF(E127="","",IF(G127&lt;&gt;"",G127,IF(S127="","",ROUND(S127*(1-R127),2))))</f>
        <v>0</v>
      </c>
      <c r="U127" s="20">
        <f>IF(E127="","",IFERROR(INDEX(Products!$AH$5:$AH$304,MATCH(E127,Products!$A$5:$A$304,0)),""))</f>
        <v>0</v>
      </c>
      <c r="V127" s="20">
        <f>IF(E127="","",IF(OR(F127="",T127=""),"",ROUND(F127*T127,2)))</f>
        <v>0</v>
      </c>
      <c r="W127" s="20">
        <f>IF(E127="","",IF(OR(F127="",U127=""),"",ROUND(F127*U127+MAX(0,IF(K127="",0,K127)-IF(J127="",0,J127)),2)))</f>
        <v>0</v>
      </c>
      <c r="X127" s="20">
        <f>IF(E127="","",IF(V127="","",ROUND(V127-W127,2)))</f>
        <v>0</v>
      </c>
      <c r="Y127" s="33">
        <f>IF(E127="","",IF(OR(V127="",V127=0),"",X127/V127))</f>
        <v>0</v>
      </c>
      <c r="Z127" s="41">
        <f>IF(E127="","",IFERROR(ROUND(F127*INDEX(Products!$X$5:$X$304,MATCH(E127,Products!$A$5:$A$304,0))/60,1),""))</f>
        <v>0</v>
      </c>
      <c r="AA127" s="20">
        <f>IF(E127="","",IF(OR(Z127="",Z127=0),"",ROUND(X127/Z127,2)))</f>
        <v>0</v>
      </c>
      <c r="AB127" s="42">
        <f>IF(E127="","",IF(V127="","",IF(AND(V127&gt;=MinOrderValue,F127&gt;=MinOrderQty),"Yes","No")))</f>
        <v>0</v>
      </c>
      <c r="AC127" s="32">
        <f>IF(B127="","",IF(I127="","",I127-B127))</f>
        <v>0</v>
      </c>
      <c r="AD127" s="43">
        <f>IF(B127="","",IF(E127="","Add - which product?",IF(X127&lt;0,"Loss - this order costs you money",IF(AND(Y127&lt;&gt;"",Y127&lt;TargetWholesaleMargin),"Low margin - the discount is too deep",IF(AND(H127&lt;&gt;"",I127="",H127&lt;TodayDate),"Overdue - not despatched",IF(AND(M127="No",I127&lt;&gt;"",TodayDate-I127&gt;30),"Chase - unpaid over 30 days",IF(AB127="No","Check - below your minimum order","OK")))))))</f>
        <v>0</v>
      </c>
    </row>
    <row r="128" spans="1:30">
      <c r="A128" s="38">
        <f>IF(B128="","",OrderPrefix&amp;TEXT(ROW()-4,"0000"))</f>
        <v>0</v>
      </c>
      <c r="O128" s="13">
        <f>IF(C128="","",IFERROR(INDEX('Wholesale Customers'!$B$5:$B$64,MATCH(C128,'Wholesale Customers'!$A$5:$A$64,0)),"Not found"))</f>
        <v>0</v>
      </c>
      <c r="P128" s="13">
        <f>IF(E128="","",IFERROR(INDEX(Products!$B$5:$B$304,MATCH(E128,Products!$A$5:$A$304,0)),"Not found"))</f>
        <v>0</v>
      </c>
      <c r="Q128" s="13">
        <f>IF(B128="","",TEXT(B128,"yyyy-mm"))</f>
        <v>0</v>
      </c>
      <c r="R128" s="33">
        <f>IF(C128="","",IFERROR(INDEX('Wholesale Customers'!$P$5:$P$64,MATCH(C128,'Wholesale Customers'!$A$5:$A$64,0)),WholesaleDiscount))</f>
        <v>0</v>
      </c>
      <c r="S128" s="20">
        <f>IF(E128="","",IFERROR(INDEX(Products!$AR$5:$AR$304,MATCH(E128,Products!$A$5:$A$304,0)),""))</f>
        <v>0</v>
      </c>
      <c r="T128" s="20">
        <f>IF(E128="","",IF(G128&lt;&gt;"",G128,IF(S128="","",ROUND(S128*(1-R128),2))))</f>
        <v>0</v>
      </c>
      <c r="U128" s="20">
        <f>IF(E128="","",IFERROR(INDEX(Products!$AH$5:$AH$304,MATCH(E128,Products!$A$5:$A$304,0)),""))</f>
        <v>0</v>
      </c>
      <c r="V128" s="20">
        <f>IF(E128="","",IF(OR(F128="",T128=""),"",ROUND(F128*T128,2)))</f>
        <v>0</v>
      </c>
      <c r="W128" s="20">
        <f>IF(E128="","",IF(OR(F128="",U128=""),"",ROUND(F128*U128+MAX(0,IF(K128="",0,K128)-IF(J128="",0,J128)),2)))</f>
        <v>0</v>
      </c>
      <c r="X128" s="20">
        <f>IF(E128="","",IF(V128="","",ROUND(V128-W128,2)))</f>
        <v>0</v>
      </c>
      <c r="Y128" s="33">
        <f>IF(E128="","",IF(OR(V128="",V128=0),"",X128/V128))</f>
        <v>0</v>
      </c>
      <c r="Z128" s="41">
        <f>IF(E128="","",IFERROR(ROUND(F128*INDEX(Products!$X$5:$X$304,MATCH(E128,Products!$A$5:$A$304,0))/60,1),""))</f>
        <v>0</v>
      </c>
      <c r="AA128" s="20">
        <f>IF(E128="","",IF(OR(Z128="",Z128=0),"",ROUND(X128/Z128,2)))</f>
        <v>0</v>
      </c>
      <c r="AB128" s="42">
        <f>IF(E128="","",IF(V128="","",IF(AND(V128&gt;=MinOrderValue,F128&gt;=MinOrderQty),"Yes","No")))</f>
        <v>0</v>
      </c>
      <c r="AC128" s="32">
        <f>IF(B128="","",IF(I128="","",I128-B128))</f>
        <v>0</v>
      </c>
      <c r="AD128" s="43">
        <f>IF(B128="","",IF(E128="","Add - which product?",IF(X128&lt;0,"Loss - this order costs you money",IF(AND(Y128&lt;&gt;"",Y128&lt;TargetWholesaleMargin),"Low margin - the discount is too deep",IF(AND(H128&lt;&gt;"",I128="",H128&lt;TodayDate),"Overdue - not despatched",IF(AND(M128="No",I128&lt;&gt;"",TodayDate-I128&gt;30),"Chase - unpaid over 30 days",IF(AB128="No","Check - below your minimum order","OK")))))))</f>
        <v>0</v>
      </c>
    </row>
    <row r="129" spans="1:30">
      <c r="A129" s="38">
        <f>IF(B129="","",OrderPrefix&amp;TEXT(ROW()-4,"0000"))</f>
        <v>0</v>
      </c>
      <c r="O129" s="13">
        <f>IF(C129="","",IFERROR(INDEX('Wholesale Customers'!$B$5:$B$64,MATCH(C129,'Wholesale Customers'!$A$5:$A$64,0)),"Not found"))</f>
        <v>0</v>
      </c>
      <c r="P129" s="13">
        <f>IF(E129="","",IFERROR(INDEX(Products!$B$5:$B$304,MATCH(E129,Products!$A$5:$A$304,0)),"Not found"))</f>
        <v>0</v>
      </c>
      <c r="Q129" s="13">
        <f>IF(B129="","",TEXT(B129,"yyyy-mm"))</f>
        <v>0</v>
      </c>
      <c r="R129" s="33">
        <f>IF(C129="","",IFERROR(INDEX('Wholesale Customers'!$P$5:$P$64,MATCH(C129,'Wholesale Customers'!$A$5:$A$64,0)),WholesaleDiscount))</f>
        <v>0</v>
      </c>
      <c r="S129" s="20">
        <f>IF(E129="","",IFERROR(INDEX(Products!$AR$5:$AR$304,MATCH(E129,Products!$A$5:$A$304,0)),""))</f>
        <v>0</v>
      </c>
      <c r="T129" s="20">
        <f>IF(E129="","",IF(G129&lt;&gt;"",G129,IF(S129="","",ROUND(S129*(1-R129),2))))</f>
        <v>0</v>
      </c>
      <c r="U129" s="20">
        <f>IF(E129="","",IFERROR(INDEX(Products!$AH$5:$AH$304,MATCH(E129,Products!$A$5:$A$304,0)),""))</f>
        <v>0</v>
      </c>
      <c r="V129" s="20">
        <f>IF(E129="","",IF(OR(F129="",T129=""),"",ROUND(F129*T129,2)))</f>
        <v>0</v>
      </c>
      <c r="W129" s="20">
        <f>IF(E129="","",IF(OR(F129="",U129=""),"",ROUND(F129*U129+MAX(0,IF(K129="",0,K129)-IF(J129="",0,J129)),2)))</f>
        <v>0</v>
      </c>
      <c r="X129" s="20">
        <f>IF(E129="","",IF(V129="","",ROUND(V129-W129,2)))</f>
        <v>0</v>
      </c>
      <c r="Y129" s="33">
        <f>IF(E129="","",IF(OR(V129="",V129=0),"",X129/V129))</f>
        <v>0</v>
      </c>
      <c r="Z129" s="41">
        <f>IF(E129="","",IFERROR(ROUND(F129*INDEX(Products!$X$5:$X$304,MATCH(E129,Products!$A$5:$A$304,0))/60,1),""))</f>
        <v>0</v>
      </c>
      <c r="AA129" s="20">
        <f>IF(E129="","",IF(OR(Z129="",Z129=0),"",ROUND(X129/Z129,2)))</f>
        <v>0</v>
      </c>
      <c r="AB129" s="42">
        <f>IF(E129="","",IF(V129="","",IF(AND(V129&gt;=MinOrderValue,F129&gt;=MinOrderQty),"Yes","No")))</f>
        <v>0</v>
      </c>
      <c r="AC129" s="32">
        <f>IF(B129="","",IF(I129="","",I129-B129))</f>
        <v>0</v>
      </c>
      <c r="AD129" s="43">
        <f>IF(B129="","",IF(E129="","Add - which product?",IF(X129&lt;0,"Loss - this order costs you money",IF(AND(Y129&lt;&gt;"",Y129&lt;TargetWholesaleMargin),"Low margin - the discount is too deep",IF(AND(H129&lt;&gt;"",I129="",H129&lt;TodayDate),"Overdue - not despatched",IF(AND(M129="No",I129&lt;&gt;"",TodayDate-I129&gt;30),"Chase - unpaid over 30 days",IF(AB129="No","Check - below your minimum order","OK")))))))</f>
        <v>0</v>
      </c>
    </row>
    <row r="130" spans="1:30">
      <c r="A130" s="38">
        <f>IF(B130="","",OrderPrefix&amp;TEXT(ROW()-4,"0000"))</f>
        <v>0</v>
      </c>
      <c r="O130" s="13">
        <f>IF(C130="","",IFERROR(INDEX('Wholesale Customers'!$B$5:$B$64,MATCH(C130,'Wholesale Customers'!$A$5:$A$64,0)),"Not found"))</f>
        <v>0</v>
      </c>
      <c r="P130" s="13">
        <f>IF(E130="","",IFERROR(INDEX(Products!$B$5:$B$304,MATCH(E130,Products!$A$5:$A$304,0)),"Not found"))</f>
        <v>0</v>
      </c>
      <c r="Q130" s="13">
        <f>IF(B130="","",TEXT(B130,"yyyy-mm"))</f>
        <v>0</v>
      </c>
      <c r="R130" s="33">
        <f>IF(C130="","",IFERROR(INDEX('Wholesale Customers'!$P$5:$P$64,MATCH(C130,'Wholesale Customers'!$A$5:$A$64,0)),WholesaleDiscount))</f>
        <v>0</v>
      </c>
      <c r="S130" s="20">
        <f>IF(E130="","",IFERROR(INDEX(Products!$AR$5:$AR$304,MATCH(E130,Products!$A$5:$A$304,0)),""))</f>
        <v>0</v>
      </c>
      <c r="T130" s="20">
        <f>IF(E130="","",IF(G130&lt;&gt;"",G130,IF(S130="","",ROUND(S130*(1-R130),2))))</f>
        <v>0</v>
      </c>
      <c r="U130" s="20">
        <f>IF(E130="","",IFERROR(INDEX(Products!$AH$5:$AH$304,MATCH(E130,Products!$A$5:$A$304,0)),""))</f>
        <v>0</v>
      </c>
      <c r="V130" s="20">
        <f>IF(E130="","",IF(OR(F130="",T130=""),"",ROUND(F130*T130,2)))</f>
        <v>0</v>
      </c>
      <c r="W130" s="20">
        <f>IF(E130="","",IF(OR(F130="",U130=""),"",ROUND(F130*U130+MAX(0,IF(K130="",0,K130)-IF(J130="",0,J130)),2)))</f>
        <v>0</v>
      </c>
      <c r="X130" s="20">
        <f>IF(E130="","",IF(V130="","",ROUND(V130-W130,2)))</f>
        <v>0</v>
      </c>
      <c r="Y130" s="33">
        <f>IF(E130="","",IF(OR(V130="",V130=0),"",X130/V130))</f>
        <v>0</v>
      </c>
      <c r="Z130" s="41">
        <f>IF(E130="","",IFERROR(ROUND(F130*INDEX(Products!$X$5:$X$304,MATCH(E130,Products!$A$5:$A$304,0))/60,1),""))</f>
        <v>0</v>
      </c>
      <c r="AA130" s="20">
        <f>IF(E130="","",IF(OR(Z130="",Z130=0),"",ROUND(X130/Z130,2)))</f>
        <v>0</v>
      </c>
      <c r="AB130" s="42">
        <f>IF(E130="","",IF(V130="","",IF(AND(V130&gt;=MinOrderValue,F130&gt;=MinOrderQty),"Yes","No")))</f>
        <v>0</v>
      </c>
      <c r="AC130" s="32">
        <f>IF(B130="","",IF(I130="","",I130-B130))</f>
        <v>0</v>
      </c>
      <c r="AD130" s="43">
        <f>IF(B130="","",IF(E130="","Add - which product?",IF(X130&lt;0,"Loss - this order costs you money",IF(AND(Y130&lt;&gt;"",Y130&lt;TargetWholesaleMargin),"Low margin - the discount is too deep",IF(AND(H130&lt;&gt;"",I130="",H130&lt;TodayDate),"Overdue - not despatched",IF(AND(M130="No",I130&lt;&gt;"",TodayDate-I130&gt;30),"Chase - unpaid over 30 days",IF(AB130="No","Check - below your minimum order","OK")))))))</f>
        <v>0</v>
      </c>
    </row>
    <row r="131" spans="1:30">
      <c r="A131" s="38">
        <f>IF(B131="","",OrderPrefix&amp;TEXT(ROW()-4,"0000"))</f>
        <v>0</v>
      </c>
      <c r="O131" s="13">
        <f>IF(C131="","",IFERROR(INDEX('Wholesale Customers'!$B$5:$B$64,MATCH(C131,'Wholesale Customers'!$A$5:$A$64,0)),"Not found"))</f>
        <v>0</v>
      </c>
      <c r="P131" s="13">
        <f>IF(E131="","",IFERROR(INDEX(Products!$B$5:$B$304,MATCH(E131,Products!$A$5:$A$304,0)),"Not found"))</f>
        <v>0</v>
      </c>
      <c r="Q131" s="13">
        <f>IF(B131="","",TEXT(B131,"yyyy-mm"))</f>
        <v>0</v>
      </c>
      <c r="R131" s="33">
        <f>IF(C131="","",IFERROR(INDEX('Wholesale Customers'!$P$5:$P$64,MATCH(C131,'Wholesale Customers'!$A$5:$A$64,0)),WholesaleDiscount))</f>
        <v>0</v>
      </c>
      <c r="S131" s="20">
        <f>IF(E131="","",IFERROR(INDEX(Products!$AR$5:$AR$304,MATCH(E131,Products!$A$5:$A$304,0)),""))</f>
        <v>0</v>
      </c>
      <c r="T131" s="20">
        <f>IF(E131="","",IF(G131&lt;&gt;"",G131,IF(S131="","",ROUND(S131*(1-R131),2))))</f>
        <v>0</v>
      </c>
      <c r="U131" s="20">
        <f>IF(E131="","",IFERROR(INDEX(Products!$AH$5:$AH$304,MATCH(E131,Products!$A$5:$A$304,0)),""))</f>
        <v>0</v>
      </c>
      <c r="V131" s="20">
        <f>IF(E131="","",IF(OR(F131="",T131=""),"",ROUND(F131*T131,2)))</f>
        <v>0</v>
      </c>
      <c r="W131" s="20">
        <f>IF(E131="","",IF(OR(F131="",U131=""),"",ROUND(F131*U131+MAX(0,IF(K131="",0,K131)-IF(J131="",0,J131)),2)))</f>
        <v>0</v>
      </c>
      <c r="X131" s="20">
        <f>IF(E131="","",IF(V131="","",ROUND(V131-W131,2)))</f>
        <v>0</v>
      </c>
      <c r="Y131" s="33">
        <f>IF(E131="","",IF(OR(V131="",V131=0),"",X131/V131))</f>
        <v>0</v>
      </c>
      <c r="Z131" s="41">
        <f>IF(E131="","",IFERROR(ROUND(F131*INDEX(Products!$X$5:$X$304,MATCH(E131,Products!$A$5:$A$304,0))/60,1),""))</f>
        <v>0</v>
      </c>
      <c r="AA131" s="20">
        <f>IF(E131="","",IF(OR(Z131="",Z131=0),"",ROUND(X131/Z131,2)))</f>
        <v>0</v>
      </c>
      <c r="AB131" s="42">
        <f>IF(E131="","",IF(V131="","",IF(AND(V131&gt;=MinOrderValue,F131&gt;=MinOrderQty),"Yes","No")))</f>
        <v>0</v>
      </c>
      <c r="AC131" s="32">
        <f>IF(B131="","",IF(I131="","",I131-B131))</f>
        <v>0</v>
      </c>
      <c r="AD131" s="43">
        <f>IF(B131="","",IF(E131="","Add - which product?",IF(X131&lt;0,"Loss - this order costs you money",IF(AND(Y131&lt;&gt;"",Y131&lt;TargetWholesaleMargin),"Low margin - the discount is too deep",IF(AND(H131&lt;&gt;"",I131="",H131&lt;TodayDate),"Overdue - not despatched",IF(AND(M131="No",I131&lt;&gt;"",TodayDate-I131&gt;30),"Chase - unpaid over 30 days",IF(AB131="No","Check - below your minimum order","OK")))))))</f>
        <v>0</v>
      </c>
    </row>
    <row r="132" spans="1:30">
      <c r="A132" s="38">
        <f>IF(B132="","",OrderPrefix&amp;TEXT(ROW()-4,"0000"))</f>
        <v>0</v>
      </c>
      <c r="O132" s="13">
        <f>IF(C132="","",IFERROR(INDEX('Wholesale Customers'!$B$5:$B$64,MATCH(C132,'Wholesale Customers'!$A$5:$A$64,0)),"Not found"))</f>
        <v>0</v>
      </c>
      <c r="P132" s="13">
        <f>IF(E132="","",IFERROR(INDEX(Products!$B$5:$B$304,MATCH(E132,Products!$A$5:$A$304,0)),"Not found"))</f>
        <v>0</v>
      </c>
      <c r="Q132" s="13">
        <f>IF(B132="","",TEXT(B132,"yyyy-mm"))</f>
        <v>0</v>
      </c>
      <c r="R132" s="33">
        <f>IF(C132="","",IFERROR(INDEX('Wholesale Customers'!$P$5:$P$64,MATCH(C132,'Wholesale Customers'!$A$5:$A$64,0)),WholesaleDiscount))</f>
        <v>0</v>
      </c>
      <c r="S132" s="20">
        <f>IF(E132="","",IFERROR(INDEX(Products!$AR$5:$AR$304,MATCH(E132,Products!$A$5:$A$304,0)),""))</f>
        <v>0</v>
      </c>
      <c r="T132" s="20">
        <f>IF(E132="","",IF(G132&lt;&gt;"",G132,IF(S132="","",ROUND(S132*(1-R132),2))))</f>
        <v>0</v>
      </c>
      <c r="U132" s="20">
        <f>IF(E132="","",IFERROR(INDEX(Products!$AH$5:$AH$304,MATCH(E132,Products!$A$5:$A$304,0)),""))</f>
        <v>0</v>
      </c>
      <c r="V132" s="20">
        <f>IF(E132="","",IF(OR(F132="",T132=""),"",ROUND(F132*T132,2)))</f>
        <v>0</v>
      </c>
      <c r="W132" s="20">
        <f>IF(E132="","",IF(OR(F132="",U132=""),"",ROUND(F132*U132+MAX(0,IF(K132="",0,K132)-IF(J132="",0,J132)),2)))</f>
        <v>0</v>
      </c>
      <c r="X132" s="20">
        <f>IF(E132="","",IF(V132="","",ROUND(V132-W132,2)))</f>
        <v>0</v>
      </c>
      <c r="Y132" s="33">
        <f>IF(E132="","",IF(OR(V132="",V132=0),"",X132/V132))</f>
        <v>0</v>
      </c>
      <c r="Z132" s="41">
        <f>IF(E132="","",IFERROR(ROUND(F132*INDEX(Products!$X$5:$X$304,MATCH(E132,Products!$A$5:$A$304,0))/60,1),""))</f>
        <v>0</v>
      </c>
      <c r="AA132" s="20">
        <f>IF(E132="","",IF(OR(Z132="",Z132=0),"",ROUND(X132/Z132,2)))</f>
        <v>0</v>
      </c>
      <c r="AB132" s="42">
        <f>IF(E132="","",IF(V132="","",IF(AND(V132&gt;=MinOrderValue,F132&gt;=MinOrderQty),"Yes","No")))</f>
        <v>0</v>
      </c>
      <c r="AC132" s="32">
        <f>IF(B132="","",IF(I132="","",I132-B132))</f>
        <v>0</v>
      </c>
      <c r="AD132" s="43">
        <f>IF(B132="","",IF(E132="","Add - which product?",IF(X132&lt;0,"Loss - this order costs you money",IF(AND(Y132&lt;&gt;"",Y132&lt;TargetWholesaleMargin),"Low margin - the discount is too deep",IF(AND(H132&lt;&gt;"",I132="",H132&lt;TodayDate),"Overdue - not despatched",IF(AND(M132="No",I132&lt;&gt;"",TodayDate-I132&gt;30),"Chase - unpaid over 30 days",IF(AB132="No","Check - below your minimum order","OK")))))))</f>
        <v>0</v>
      </c>
    </row>
    <row r="133" spans="1:30">
      <c r="A133" s="38">
        <f>IF(B133="","",OrderPrefix&amp;TEXT(ROW()-4,"0000"))</f>
        <v>0</v>
      </c>
      <c r="O133" s="13">
        <f>IF(C133="","",IFERROR(INDEX('Wholesale Customers'!$B$5:$B$64,MATCH(C133,'Wholesale Customers'!$A$5:$A$64,0)),"Not found"))</f>
        <v>0</v>
      </c>
      <c r="P133" s="13">
        <f>IF(E133="","",IFERROR(INDEX(Products!$B$5:$B$304,MATCH(E133,Products!$A$5:$A$304,0)),"Not found"))</f>
        <v>0</v>
      </c>
      <c r="Q133" s="13">
        <f>IF(B133="","",TEXT(B133,"yyyy-mm"))</f>
        <v>0</v>
      </c>
      <c r="R133" s="33">
        <f>IF(C133="","",IFERROR(INDEX('Wholesale Customers'!$P$5:$P$64,MATCH(C133,'Wholesale Customers'!$A$5:$A$64,0)),WholesaleDiscount))</f>
        <v>0</v>
      </c>
      <c r="S133" s="20">
        <f>IF(E133="","",IFERROR(INDEX(Products!$AR$5:$AR$304,MATCH(E133,Products!$A$5:$A$304,0)),""))</f>
        <v>0</v>
      </c>
      <c r="T133" s="20">
        <f>IF(E133="","",IF(G133&lt;&gt;"",G133,IF(S133="","",ROUND(S133*(1-R133),2))))</f>
        <v>0</v>
      </c>
      <c r="U133" s="20">
        <f>IF(E133="","",IFERROR(INDEX(Products!$AH$5:$AH$304,MATCH(E133,Products!$A$5:$A$304,0)),""))</f>
        <v>0</v>
      </c>
      <c r="V133" s="20">
        <f>IF(E133="","",IF(OR(F133="",T133=""),"",ROUND(F133*T133,2)))</f>
        <v>0</v>
      </c>
      <c r="W133" s="20">
        <f>IF(E133="","",IF(OR(F133="",U133=""),"",ROUND(F133*U133+MAX(0,IF(K133="",0,K133)-IF(J133="",0,J133)),2)))</f>
        <v>0</v>
      </c>
      <c r="X133" s="20">
        <f>IF(E133="","",IF(V133="","",ROUND(V133-W133,2)))</f>
        <v>0</v>
      </c>
      <c r="Y133" s="33">
        <f>IF(E133="","",IF(OR(V133="",V133=0),"",X133/V133))</f>
        <v>0</v>
      </c>
      <c r="Z133" s="41">
        <f>IF(E133="","",IFERROR(ROUND(F133*INDEX(Products!$X$5:$X$304,MATCH(E133,Products!$A$5:$A$304,0))/60,1),""))</f>
        <v>0</v>
      </c>
      <c r="AA133" s="20">
        <f>IF(E133="","",IF(OR(Z133="",Z133=0),"",ROUND(X133/Z133,2)))</f>
        <v>0</v>
      </c>
      <c r="AB133" s="42">
        <f>IF(E133="","",IF(V133="","",IF(AND(V133&gt;=MinOrderValue,F133&gt;=MinOrderQty),"Yes","No")))</f>
        <v>0</v>
      </c>
      <c r="AC133" s="32">
        <f>IF(B133="","",IF(I133="","",I133-B133))</f>
        <v>0</v>
      </c>
      <c r="AD133" s="43">
        <f>IF(B133="","",IF(E133="","Add - which product?",IF(X133&lt;0,"Loss - this order costs you money",IF(AND(Y133&lt;&gt;"",Y133&lt;TargetWholesaleMargin),"Low margin - the discount is too deep",IF(AND(H133&lt;&gt;"",I133="",H133&lt;TodayDate),"Overdue - not despatched",IF(AND(M133="No",I133&lt;&gt;"",TodayDate-I133&gt;30),"Chase - unpaid over 30 days",IF(AB133="No","Check - below your minimum order","OK")))))))</f>
        <v>0</v>
      </c>
    </row>
    <row r="134" spans="1:30">
      <c r="A134" s="38">
        <f>IF(B134="","",OrderPrefix&amp;TEXT(ROW()-4,"0000"))</f>
        <v>0</v>
      </c>
      <c r="O134" s="13">
        <f>IF(C134="","",IFERROR(INDEX('Wholesale Customers'!$B$5:$B$64,MATCH(C134,'Wholesale Customers'!$A$5:$A$64,0)),"Not found"))</f>
        <v>0</v>
      </c>
      <c r="P134" s="13">
        <f>IF(E134="","",IFERROR(INDEX(Products!$B$5:$B$304,MATCH(E134,Products!$A$5:$A$304,0)),"Not found"))</f>
        <v>0</v>
      </c>
      <c r="Q134" s="13">
        <f>IF(B134="","",TEXT(B134,"yyyy-mm"))</f>
        <v>0</v>
      </c>
      <c r="R134" s="33">
        <f>IF(C134="","",IFERROR(INDEX('Wholesale Customers'!$P$5:$P$64,MATCH(C134,'Wholesale Customers'!$A$5:$A$64,0)),WholesaleDiscount))</f>
        <v>0</v>
      </c>
      <c r="S134" s="20">
        <f>IF(E134="","",IFERROR(INDEX(Products!$AR$5:$AR$304,MATCH(E134,Products!$A$5:$A$304,0)),""))</f>
        <v>0</v>
      </c>
      <c r="T134" s="20">
        <f>IF(E134="","",IF(G134&lt;&gt;"",G134,IF(S134="","",ROUND(S134*(1-R134),2))))</f>
        <v>0</v>
      </c>
      <c r="U134" s="20">
        <f>IF(E134="","",IFERROR(INDEX(Products!$AH$5:$AH$304,MATCH(E134,Products!$A$5:$A$304,0)),""))</f>
        <v>0</v>
      </c>
      <c r="V134" s="20">
        <f>IF(E134="","",IF(OR(F134="",T134=""),"",ROUND(F134*T134,2)))</f>
        <v>0</v>
      </c>
      <c r="W134" s="20">
        <f>IF(E134="","",IF(OR(F134="",U134=""),"",ROUND(F134*U134+MAX(0,IF(K134="",0,K134)-IF(J134="",0,J134)),2)))</f>
        <v>0</v>
      </c>
      <c r="X134" s="20">
        <f>IF(E134="","",IF(V134="","",ROUND(V134-W134,2)))</f>
        <v>0</v>
      </c>
      <c r="Y134" s="33">
        <f>IF(E134="","",IF(OR(V134="",V134=0),"",X134/V134))</f>
        <v>0</v>
      </c>
      <c r="Z134" s="41">
        <f>IF(E134="","",IFERROR(ROUND(F134*INDEX(Products!$X$5:$X$304,MATCH(E134,Products!$A$5:$A$304,0))/60,1),""))</f>
        <v>0</v>
      </c>
      <c r="AA134" s="20">
        <f>IF(E134="","",IF(OR(Z134="",Z134=0),"",ROUND(X134/Z134,2)))</f>
        <v>0</v>
      </c>
      <c r="AB134" s="42">
        <f>IF(E134="","",IF(V134="","",IF(AND(V134&gt;=MinOrderValue,F134&gt;=MinOrderQty),"Yes","No")))</f>
        <v>0</v>
      </c>
      <c r="AC134" s="32">
        <f>IF(B134="","",IF(I134="","",I134-B134))</f>
        <v>0</v>
      </c>
      <c r="AD134" s="43">
        <f>IF(B134="","",IF(E134="","Add - which product?",IF(X134&lt;0,"Loss - this order costs you money",IF(AND(Y134&lt;&gt;"",Y134&lt;TargetWholesaleMargin),"Low margin - the discount is too deep",IF(AND(H134&lt;&gt;"",I134="",H134&lt;TodayDate),"Overdue - not despatched",IF(AND(M134="No",I134&lt;&gt;"",TodayDate-I134&gt;30),"Chase - unpaid over 30 days",IF(AB134="No","Check - below your minimum order","OK")))))))</f>
        <v>0</v>
      </c>
    </row>
    <row r="135" spans="1:30">
      <c r="A135" s="38">
        <f>IF(B135="","",OrderPrefix&amp;TEXT(ROW()-4,"0000"))</f>
        <v>0</v>
      </c>
      <c r="O135" s="13">
        <f>IF(C135="","",IFERROR(INDEX('Wholesale Customers'!$B$5:$B$64,MATCH(C135,'Wholesale Customers'!$A$5:$A$64,0)),"Not found"))</f>
        <v>0</v>
      </c>
      <c r="P135" s="13">
        <f>IF(E135="","",IFERROR(INDEX(Products!$B$5:$B$304,MATCH(E135,Products!$A$5:$A$304,0)),"Not found"))</f>
        <v>0</v>
      </c>
      <c r="Q135" s="13">
        <f>IF(B135="","",TEXT(B135,"yyyy-mm"))</f>
        <v>0</v>
      </c>
      <c r="R135" s="33">
        <f>IF(C135="","",IFERROR(INDEX('Wholesale Customers'!$P$5:$P$64,MATCH(C135,'Wholesale Customers'!$A$5:$A$64,0)),WholesaleDiscount))</f>
        <v>0</v>
      </c>
      <c r="S135" s="20">
        <f>IF(E135="","",IFERROR(INDEX(Products!$AR$5:$AR$304,MATCH(E135,Products!$A$5:$A$304,0)),""))</f>
        <v>0</v>
      </c>
      <c r="T135" s="20">
        <f>IF(E135="","",IF(G135&lt;&gt;"",G135,IF(S135="","",ROUND(S135*(1-R135),2))))</f>
        <v>0</v>
      </c>
      <c r="U135" s="20">
        <f>IF(E135="","",IFERROR(INDEX(Products!$AH$5:$AH$304,MATCH(E135,Products!$A$5:$A$304,0)),""))</f>
        <v>0</v>
      </c>
      <c r="V135" s="20">
        <f>IF(E135="","",IF(OR(F135="",T135=""),"",ROUND(F135*T135,2)))</f>
        <v>0</v>
      </c>
      <c r="W135" s="20">
        <f>IF(E135="","",IF(OR(F135="",U135=""),"",ROUND(F135*U135+MAX(0,IF(K135="",0,K135)-IF(J135="",0,J135)),2)))</f>
        <v>0</v>
      </c>
      <c r="X135" s="20">
        <f>IF(E135="","",IF(V135="","",ROUND(V135-W135,2)))</f>
        <v>0</v>
      </c>
      <c r="Y135" s="33">
        <f>IF(E135="","",IF(OR(V135="",V135=0),"",X135/V135))</f>
        <v>0</v>
      </c>
      <c r="Z135" s="41">
        <f>IF(E135="","",IFERROR(ROUND(F135*INDEX(Products!$X$5:$X$304,MATCH(E135,Products!$A$5:$A$304,0))/60,1),""))</f>
        <v>0</v>
      </c>
      <c r="AA135" s="20">
        <f>IF(E135="","",IF(OR(Z135="",Z135=0),"",ROUND(X135/Z135,2)))</f>
        <v>0</v>
      </c>
      <c r="AB135" s="42">
        <f>IF(E135="","",IF(V135="","",IF(AND(V135&gt;=MinOrderValue,F135&gt;=MinOrderQty),"Yes","No")))</f>
        <v>0</v>
      </c>
      <c r="AC135" s="32">
        <f>IF(B135="","",IF(I135="","",I135-B135))</f>
        <v>0</v>
      </c>
      <c r="AD135" s="43">
        <f>IF(B135="","",IF(E135="","Add - which product?",IF(X135&lt;0,"Loss - this order costs you money",IF(AND(Y135&lt;&gt;"",Y135&lt;TargetWholesaleMargin),"Low margin - the discount is too deep",IF(AND(H135&lt;&gt;"",I135="",H135&lt;TodayDate),"Overdue - not despatched",IF(AND(M135="No",I135&lt;&gt;"",TodayDate-I135&gt;30),"Chase - unpaid over 30 days",IF(AB135="No","Check - below your minimum order","OK")))))))</f>
        <v>0</v>
      </c>
    </row>
    <row r="136" spans="1:30">
      <c r="A136" s="38">
        <f>IF(B136="","",OrderPrefix&amp;TEXT(ROW()-4,"0000"))</f>
        <v>0</v>
      </c>
      <c r="O136" s="13">
        <f>IF(C136="","",IFERROR(INDEX('Wholesale Customers'!$B$5:$B$64,MATCH(C136,'Wholesale Customers'!$A$5:$A$64,0)),"Not found"))</f>
        <v>0</v>
      </c>
      <c r="P136" s="13">
        <f>IF(E136="","",IFERROR(INDEX(Products!$B$5:$B$304,MATCH(E136,Products!$A$5:$A$304,0)),"Not found"))</f>
        <v>0</v>
      </c>
      <c r="Q136" s="13">
        <f>IF(B136="","",TEXT(B136,"yyyy-mm"))</f>
        <v>0</v>
      </c>
      <c r="R136" s="33">
        <f>IF(C136="","",IFERROR(INDEX('Wholesale Customers'!$P$5:$P$64,MATCH(C136,'Wholesale Customers'!$A$5:$A$64,0)),WholesaleDiscount))</f>
        <v>0</v>
      </c>
      <c r="S136" s="20">
        <f>IF(E136="","",IFERROR(INDEX(Products!$AR$5:$AR$304,MATCH(E136,Products!$A$5:$A$304,0)),""))</f>
        <v>0</v>
      </c>
      <c r="T136" s="20">
        <f>IF(E136="","",IF(G136&lt;&gt;"",G136,IF(S136="","",ROUND(S136*(1-R136),2))))</f>
        <v>0</v>
      </c>
      <c r="U136" s="20">
        <f>IF(E136="","",IFERROR(INDEX(Products!$AH$5:$AH$304,MATCH(E136,Products!$A$5:$A$304,0)),""))</f>
        <v>0</v>
      </c>
      <c r="V136" s="20">
        <f>IF(E136="","",IF(OR(F136="",T136=""),"",ROUND(F136*T136,2)))</f>
        <v>0</v>
      </c>
      <c r="W136" s="20">
        <f>IF(E136="","",IF(OR(F136="",U136=""),"",ROUND(F136*U136+MAX(0,IF(K136="",0,K136)-IF(J136="",0,J136)),2)))</f>
        <v>0</v>
      </c>
      <c r="X136" s="20">
        <f>IF(E136="","",IF(V136="","",ROUND(V136-W136,2)))</f>
        <v>0</v>
      </c>
      <c r="Y136" s="33">
        <f>IF(E136="","",IF(OR(V136="",V136=0),"",X136/V136))</f>
        <v>0</v>
      </c>
      <c r="Z136" s="41">
        <f>IF(E136="","",IFERROR(ROUND(F136*INDEX(Products!$X$5:$X$304,MATCH(E136,Products!$A$5:$A$304,0))/60,1),""))</f>
        <v>0</v>
      </c>
      <c r="AA136" s="20">
        <f>IF(E136="","",IF(OR(Z136="",Z136=0),"",ROUND(X136/Z136,2)))</f>
        <v>0</v>
      </c>
      <c r="AB136" s="42">
        <f>IF(E136="","",IF(V136="","",IF(AND(V136&gt;=MinOrderValue,F136&gt;=MinOrderQty),"Yes","No")))</f>
        <v>0</v>
      </c>
      <c r="AC136" s="32">
        <f>IF(B136="","",IF(I136="","",I136-B136))</f>
        <v>0</v>
      </c>
      <c r="AD136" s="43">
        <f>IF(B136="","",IF(E136="","Add - which product?",IF(X136&lt;0,"Loss - this order costs you money",IF(AND(Y136&lt;&gt;"",Y136&lt;TargetWholesaleMargin),"Low margin - the discount is too deep",IF(AND(H136&lt;&gt;"",I136="",H136&lt;TodayDate),"Overdue - not despatched",IF(AND(M136="No",I136&lt;&gt;"",TodayDate-I136&gt;30),"Chase - unpaid over 30 days",IF(AB136="No","Check - below your minimum order","OK")))))))</f>
        <v>0</v>
      </c>
    </row>
    <row r="137" spans="1:30">
      <c r="A137" s="38">
        <f>IF(B137="","",OrderPrefix&amp;TEXT(ROW()-4,"0000"))</f>
        <v>0</v>
      </c>
      <c r="O137" s="13">
        <f>IF(C137="","",IFERROR(INDEX('Wholesale Customers'!$B$5:$B$64,MATCH(C137,'Wholesale Customers'!$A$5:$A$64,0)),"Not found"))</f>
        <v>0</v>
      </c>
      <c r="P137" s="13">
        <f>IF(E137="","",IFERROR(INDEX(Products!$B$5:$B$304,MATCH(E137,Products!$A$5:$A$304,0)),"Not found"))</f>
        <v>0</v>
      </c>
      <c r="Q137" s="13">
        <f>IF(B137="","",TEXT(B137,"yyyy-mm"))</f>
        <v>0</v>
      </c>
      <c r="R137" s="33">
        <f>IF(C137="","",IFERROR(INDEX('Wholesale Customers'!$P$5:$P$64,MATCH(C137,'Wholesale Customers'!$A$5:$A$64,0)),WholesaleDiscount))</f>
        <v>0</v>
      </c>
      <c r="S137" s="20">
        <f>IF(E137="","",IFERROR(INDEX(Products!$AR$5:$AR$304,MATCH(E137,Products!$A$5:$A$304,0)),""))</f>
        <v>0</v>
      </c>
      <c r="T137" s="20">
        <f>IF(E137="","",IF(G137&lt;&gt;"",G137,IF(S137="","",ROUND(S137*(1-R137),2))))</f>
        <v>0</v>
      </c>
      <c r="U137" s="20">
        <f>IF(E137="","",IFERROR(INDEX(Products!$AH$5:$AH$304,MATCH(E137,Products!$A$5:$A$304,0)),""))</f>
        <v>0</v>
      </c>
      <c r="V137" s="20">
        <f>IF(E137="","",IF(OR(F137="",T137=""),"",ROUND(F137*T137,2)))</f>
        <v>0</v>
      </c>
      <c r="W137" s="20">
        <f>IF(E137="","",IF(OR(F137="",U137=""),"",ROUND(F137*U137+MAX(0,IF(K137="",0,K137)-IF(J137="",0,J137)),2)))</f>
        <v>0</v>
      </c>
      <c r="X137" s="20">
        <f>IF(E137="","",IF(V137="","",ROUND(V137-W137,2)))</f>
        <v>0</v>
      </c>
      <c r="Y137" s="33">
        <f>IF(E137="","",IF(OR(V137="",V137=0),"",X137/V137))</f>
        <v>0</v>
      </c>
      <c r="Z137" s="41">
        <f>IF(E137="","",IFERROR(ROUND(F137*INDEX(Products!$X$5:$X$304,MATCH(E137,Products!$A$5:$A$304,0))/60,1),""))</f>
        <v>0</v>
      </c>
      <c r="AA137" s="20">
        <f>IF(E137="","",IF(OR(Z137="",Z137=0),"",ROUND(X137/Z137,2)))</f>
        <v>0</v>
      </c>
      <c r="AB137" s="42">
        <f>IF(E137="","",IF(V137="","",IF(AND(V137&gt;=MinOrderValue,F137&gt;=MinOrderQty),"Yes","No")))</f>
        <v>0</v>
      </c>
      <c r="AC137" s="32">
        <f>IF(B137="","",IF(I137="","",I137-B137))</f>
        <v>0</v>
      </c>
      <c r="AD137" s="43">
        <f>IF(B137="","",IF(E137="","Add - which product?",IF(X137&lt;0,"Loss - this order costs you money",IF(AND(Y137&lt;&gt;"",Y137&lt;TargetWholesaleMargin),"Low margin - the discount is too deep",IF(AND(H137&lt;&gt;"",I137="",H137&lt;TodayDate),"Overdue - not despatched",IF(AND(M137="No",I137&lt;&gt;"",TodayDate-I137&gt;30),"Chase - unpaid over 30 days",IF(AB137="No","Check - below your minimum order","OK")))))))</f>
        <v>0</v>
      </c>
    </row>
    <row r="138" spans="1:30">
      <c r="A138" s="38">
        <f>IF(B138="","",OrderPrefix&amp;TEXT(ROW()-4,"0000"))</f>
        <v>0</v>
      </c>
      <c r="O138" s="13">
        <f>IF(C138="","",IFERROR(INDEX('Wholesale Customers'!$B$5:$B$64,MATCH(C138,'Wholesale Customers'!$A$5:$A$64,0)),"Not found"))</f>
        <v>0</v>
      </c>
      <c r="P138" s="13">
        <f>IF(E138="","",IFERROR(INDEX(Products!$B$5:$B$304,MATCH(E138,Products!$A$5:$A$304,0)),"Not found"))</f>
        <v>0</v>
      </c>
      <c r="Q138" s="13">
        <f>IF(B138="","",TEXT(B138,"yyyy-mm"))</f>
        <v>0</v>
      </c>
      <c r="R138" s="33">
        <f>IF(C138="","",IFERROR(INDEX('Wholesale Customers'!$P$5:$P$64,MATCH(C138,'Wholesale Customers'!$A$5:$A$64,0)),WholesaleDiscount))</f>
        <v>0</v>
      </c>
      <c r="S138" s="20">
        <f>IF(E138="","",IFERROR(INDEX(Products!$AR$5:$AR$304,MATCH(E138,Products!$A$5:$A$304,0)),""))</f>
        <v>0</v>
      </c>
      <c r="T138" s="20">
        <f>IF(E138="","",IF(G138&lt;&gt;"",G138,IF(S138="","",ROUND(S138*(1-R138),2))))</f>
        <v>0</v>
      </c>
      <c r="U138" s="20">
        <f>IF(E138="","",IFERROR(INDEX(Products!$AH$5:$AH$304,MATCH(E138,Products!$A$5:$A$304,0)),""))</f>
        <v>0</v>
      </c>
      <c r="V138" s="20">
        <f>IF(E138="","",IF(OR(F138="",T138=""),"",ROUND(F138*T138,2)))</f>
        <v>0</v>
      </c>
      <c r="W138" s="20">
        <f>IF(E138="","",IF(OR(F138="",U138=""),"",ROUND(F138*U138+MAX(0,IF(K138="",0,K138)-IF(J138="",0,J138)),2)))</f>
        <v>0</v>
      </c>
      <c r="X138" s="20">
        <f>IF(E138="","",IF(V138="","",ROUND(V138-W138,2)))</f>
        <v>0</v>
      </c>
      <c r="Y138" s="33">
        <f>IF(E138="","",IF(OR(V138="",V138=0),"",X138/V138))</f>
        <v>0</v>
      </c>
      <c r="Z138" s="41">
        <f>IF(E138="","",IFERROR(ROUND(F138*INDEX(Products!$X$5:$X$304,MATCH(E138,Products!$A$5:$A$304,0))/60,1),""))</f>
        <v>0</v>
      </c>
      <c r="AA138" s="20">
        <f>IF(E138="","",IF(OR(Z138="",Z138=0),"",ROUND(X138/Z138,2)))</f>
        <v>0</v>
      </c>
      <c r="AB138" s="42">
        <f>IF(E138="","",IF(V138="","",IF(AND(V138&gt;=MinOrderValue,F138&gt;=MinOrderQty),"Yes","No")))</f>
        <v>0</v>
      </c>
      <c r="AC138" s="32">
        <f>IF(B138="","",IF(I138="","",I138-B138))</f>
        <v>0</v>
      </c>
      <c r="AD138" s="43">
        <f>IF(B138="","",IF(E138="","Add - which product?",IF(X138&lt;0,"Loss - this order costs you money",IF(AND(Y138&lt;&gt;"",Y138&lt;TargetWholesaleMargin),"Low margin - the discount is too deep",IF(AND(H138&lt;&gt;"",I138="",H138&lt;TodayDate),"Overdue - not despatched",IF(AND(M138="No",I138&lt;&gt;"",TodayDate-I138&gt;30),"Chase - unpaid over 30 days",IF(AB138="No","Check - below your minimum order","OK")))))))</f>
        <v>0</v>
      </c>
    </row>
    <row r="139" spans="1:30">
      <c r="A139" s="38">
        <f>IF(B139="","",OrderPrefix&amp;TEXT(ROW()-4,"0000"))</f>
        <v>0</v>
      </c>
      <c r="O139" s="13">
        <f>IF(C139="","",IFERROR(INDEX('Wholesale Customers'!$B$5:$B$64,MATCH(C139,'Wholesale Customers'!$A$5:$A$64,0)),"Not found"))</f>
        <v>0</v>
      </c>
      <c r="P139" s="13">
        <f>IF(E139="","",IFERROR(INDEX(Products!$B$5:$B$304,MATCH(E139,Products!$A$5:$A$304,0)),"Not found"))</f>
        <v>0</v>
      </c>
      <c r="Q139" s="13">
        <f>IF(B139="","",TEXT(B139,"yyyy-mm"))</f>
        <v>0</v>
      </c>
      <c r="R139" s="33">
        <f>IF(C139="","",IFERROR(INDEX('Wholesale Customers'!$P$5:$P$64,MATCH(C139,'Wholesale Customers'!$A$5:$A$64,0)),WholesaleDiscount))</f>
        <v>0</v>
      </c>
      <c r="S139" s="20">
        <f>IF(E139="","",IFERROR(INDEX(Products!$AR$5:$AR$304,MATCH(E139,Products!$A$5:$A$304,0)),""))</f>
        <v>0</v>
      </c>
      <c r="T139" s="20">
        <f>IF(E139="","",IF(G139&lt;&gt;"",G139,IF(S139="","",ROUND(S139*(1-R139),2))))</f>
        <v>0</v>
      </c>
      <c r="U139" s="20">
        <f>IF(E139="","",IFERROR(INDEX(Products!$AH$5:$AH$304,MATCH(E139,Products!$A$5:$A$304,0)),""))</f>
        <v>0</v>
      </c>
      <c r="V139" s="20">
        <f>IF(E139="","",IF(OR(F139="",T139=""),"",ROUND(F139*T139,2)))</f>
        <v>0</v>
      </c>
      <c r="W139" s="20">
        <f>IF(E139="","",IF(OR(F139="",U139=""),"",ROUND(F139*U139+MAX(0,IF(K139="",0,K139)-IF(J139="",0,J139)),2)))</f>
        <v>0</v>
      </c>
      <c r="X139" s="20">
        <f>IF(E139="","",IF(V139="","",ROUND(V139-W139,2)))</f>
        <v>0</v>
      </c>
      <c r="Y139" s="33">
        <f>IF(E139="","",IF(OR(V139="",V139=0),"",X139/V139))</f>
        <v>0</v>
      </c>
      <c r="Z139" s="41">
        <f>IF(E139="","",IFERROR(ROUND(F139*INDEX(Products!$X$5:$X$304,MATCH(E139,Products!$A$5:$A$304,0))/60,1),""))</f>
        <v>0</v>
      </c>
      <c r="AA139" s="20">
        <f>IF(E139="","",IF(OR(Z139="",Z139=0),"",ROUND(X139/Z139,2)))</f>
        <v>0</v>
      </c>
      <c r="AB139" s="42">
        <f>IF(E139="","",IF(V139="","",IF(AND(V139&gt;=MinOrderValue,F139&gt;=MinOrderQty),"Yes","No")))</f>
        <v>0</v>
      </c>
      <c r="AC139" s="32">
        <f>IF(B139="","",IF(I139="","",I139-B139))</f>
        <v>0</v>
      </c>
      <c r="AD139" s="43">
        <f>IF(B139="","",IF(E139="","Add - which product?",IF(X139&lt;0,"Loss - this order costs you money",IF(AND(Y139&lt;&gt;"",Y139&lt;TargetWholesaleMargin),"Low margin - the discount is too deep",IF(AND(H139&lt;&gt;"",I139="",H139&lt;TodayDate),"Overdue - not despatched",IF(AND(M139="No",I139&lt;&gt;"",TodayDate-I139&gt;30),"Chase - unpaid over 30 days",IF(AB139="No","Check - below your minimum order","OK")))))))</f>
        <v>0</v>
      </c>
    </row>
    <row r="140" spans="1:30">
      <c r="A140" s="38">
        <f>IF(B140="","",OrderPrefix&amp;TEXT(ROW()-4,"0000"))</f>
        <v>0</v>
      </c>
      <c r="O140" s="13">
        <f>IF(C140="","",IFERROR(INDEX('Wholesale Customers'!$B$5:$B$64,MATCH(C140,'Wholesale Customers'!$A$5:$A$64,0)),"Not found"))</f>
        <v>0</v>
      </c>
      <c r="P140" s="13">
        <f>IF(E140="","",IFERROR(INDEX(Products!$B$5:$B$304,MATCH(E140,Products!$A$5:$A$304,0)),"Not found"))</f>
        <v>0</v>
      </c>
      <c r="Q140" s="13">
        <f>IF(B140="","",TEXT(B140,"yyyy-mm"))</f>
        <v>0</v>
      </c>
      <c r="R140" s="33">
        <f>IF(C140="","",IFERROR(INDEX('Wholesale Customers'!$P$5:$P$64,MATCH(C140,'Wholesale Customers'!$A$5:$A$64,0)),WholesaleDiscount))</f>
        <v>0</v>
      </c>
      <c r="S140" s="20">
        <f>IF(E140="","",IFERROR(INDEX(Products!$AR$5:$AR$304,MATCH(E140,Products!$A$5:$A$304,0)),""))</f>
        <v>0</v>
      </c>
      <c r="T140" s="20">
        <f>IF(E140="","",IF(G140&lt;&gt;"",G140,IF(S140="","",ROUND(S140*(1-R140),2))))</f>
        <v>0</v>
      </c>
      <c r="U140" s="20">
        <f>IF(E140="","",IFERROR(INDEX(Products!$AH$5:$AH$304,MATCH(E140,Products!$A$5:$A$304,0)),""))</f>
        <v>0</v>
      </c>
      <c r="V140" s="20">
        <f>IF(E140="","",IF(OR(F140="",T140=""),"",ROUND(F140*T140,2)))</f>
        <v>0</v>
      </c>
      <c r="W140" s="20">
        <f>IF(E140="","",IF(OR(F140="",U140=""),"",ROUND(F140*U140+MAX(0,IF(K140="",0,K140)-IF(J140="",0,J140)),2)))</f>
        <v>0</v>
      </c>
      <c r="X140" s="20">
        <f>IF(E140="","",IF(V140="","",ROUND(V140-W140,2)))</f>
        <v>0</v>
      </c>
      <c r="Y140" s="33">
        <f>IF(E140="","",IF(OR(V140="",V140=0),"",X140/V140))</f>
        <v>0</v>
      </c>
      <c r="Z140" s="41">
        <f>IF(E140="","",IFERROR(ROUND(F140*INDEX(Products!$X$5:$X$304,MATCH(E140,Products!$A$5:$A$304,0))/60,1),""))</f>
        <v>0</v>
      </c>
      <c r="AA140" s="20">
        <f>IF(E140="","",IF(OR(Z140="",Z140=0),"",ROUND(X140/Z140,2)))</f>
        <v>0</v>
      </c>
      <c r="AB140" s="42">
        <f>IF(E140="","",IF(V140="","",IF(AND(V140&gt;=MinOrderValue,F140&gt;=MinOrderQty),"Yes","No")))</f>
        <v>0</v>
      </c>
      <c r="AC140" s="32">
        <f>IF(B140="","",IF(I140="","",I140-B140))</f>
        <v>0</v>
      </c>
      <c r="AD140" s="43">
        <f>IF(B140="","",IF(E140="","Add - which product?",IF(X140&lt;0,"Loss - this order costs you money",IF(AND(Y140&lt;&gt;"",Y140&lt;TargetWholesaleMargin),"Low margin - the discount is too deep",IF(AND(H140&lt;&gt;"",I140="",H140&lt;TodayDate),"Overdue - not despatched",IF(AND(M140="No",I140&lt;&gt;"",TodayDate-I140&gt;30),"Chase - unpaid over 30 days",IF(AB140="No","Check - below your minimum order","OK")))))))</f>
        <v>0</v>
      </c>
    </row>
    <row r="141" spans="1:30">
      <c r="A141" s="38">
        <f>IF(B141="","",OrderPrefix&amp;TEXT(ROW()-4,"0000"))</f>
        <v>0</v>
      </c>
      <c r="O141" s="13">
        <f>IF(C141="","",IFERROR(INDEX('Wholesale Customers'!$B$5:$B$64,MATCH(C141,'Wholesale Customers'!$A$5:$A$64,0)),"Not found"))</f>
        <v>0</v>
      </c>
      <c r="P141" s="13">
        <f>IF(E141="","",IFERROR(INDEX(Products!$B$5:$B$304,MATCH(E141,Products!$A$5:$A$304,0)),"Not found"))</f>
        <v>0</v>
      </c>
      <c r="Q141" s="13">
        <f>IF(B141="","",TEXT(B141,"yyyy-mm"))</f>
        <v>0</v>
      </c>
      <c r="R141" s="33">
        <f>IF(C141="","",IFERROR(INDEX('Wholesale Customers'!$P$5:$P$64,MATCH(C141,'Wholesale Customers'!$A$5:$A$64,0)),WholesaleDiscount))</f>
        <v>0</v>
      </c>
      <c r="S141" s="20">
        <f>IF(E141="","",IFERROR(INDEX(Products!$AR$5:$AR$304,MATCH(E141,Products!$A$5:$A$304,0)),""))</f>
        <v>0</v>
      </c>
      <c r="T141" s="20">
        <f>IF(E141="","",IF(G141&lt;&gt;"",G141,IF(S141="","",ROUND(S141*(1-R141),2))))</f>
        <v>0</v>
      </c>
      <c r="U141" s="20">
        <f>IF(E141="","",IFERROR(INDEX(Products!$AH$5:$AH$304,MATCH(E141,Products!$A$5:$A$304,0)),""))</f>
        <v>0</v>
      </c>
      <c r="V141" s="20">
        <f>IF(E141="","",IF(OR(F141="",T141=""),"",ROUND(F141*T141,2)))</f>
        <v>0</v>
      </c>
      <c r="W141" s="20">
        <f>IF(E141="","",IF(OR(F141="",U141=""),"",ROUND(F141*U141+MAX(0,IF(K141="",0,K141)-IF(J141="",0,J141)),2)))</f>
        <v>0</v>
      </c>
      <c r="X141" s="20">
        <f>IF(E141="","",IF(V141="","",ROUND(V141-W141,2)))</f>
        <v>0</v>
      </c>
      <c r="Y141" s="33">
        <f>IF(E141="","",IF(OR(V141="",V141=0),"",X141/V141))</f>
        <v>0</v>
      </c>
      <c r="Z141" s="41">
        <f>IF(E141="","",IFERROR(ROUND(F141*INDEX(Products!$X$5:$X$304,MATCH(E141,Products!$A$5:$A$304,0))/60,1),""))</f>
        <v>0</v>
      </c>
      <c r="AA141" s="20">
        <f>IF(E141="","",IF(OR(Z141="",Z141=0),"",ROUND(X141/Z141,2)))</f>
        <v>0</v>
      </c>
      <c r="AB141" s="42">
        <f>IF(E141="","",IF(V141="","",IF(AND(V141&gt;=MinOrderValue,F141&gt;=MinOrderQty),"Yes","No")))</f>
        <v>0</v>
      </c>
      <c r="AC141" s="32">
        <f>IF(B141="","",IF(I141="","",I141-B141))</f>
        <v>0</v>
      </c>
      <c r="AD141" s="43">
        <f>IF(B141="","",IF(E141="","Add - which product?",IF(X141&lt;0,"Loss - this order costs you money",IF(AND(Y141&lt;&gt;"",Y141&lt;TargetWholesaleMargin),"Low margin - the discount is too deep",IF(AND(H141&lt;&gt;"",I141="",H141&lt;TodayDate),"Overdue - not despatched",IF(AND(M141="No",I141&lt;&gt;"",TodayDate-I141&gt;30),"Chase - unpaid over 30 days",IF(AB141="No","Check - below your minimum order","OK")))))))</f>
        <v>0</v>
      </c>
    </row>
    <row r="142" spans="1:30">
      <c r="A142" s="38">
        <f>IF(B142="","",OrderPrefix&amp;TEXT(ROW()-4,"0000"))</f>
        <v>0</v>
      </c>
      <c r="O142" s="13">
        <f>IF(C142="","",IFERROR(INDEX('Wholesale Customers'!$B$5:$B$64,MATCH(C142,'Wholesale Customers'!$A$5:$A$64,0)),"Not found"))</f>
        <v>0</v>
      </c>
      <c r="P142" s="13">
        <f>IF(E142="","",IFERROR(INDEX(Products!$B$5:$B$304,MATCH(E142,Products!$A$5:$A$304,0)),"Not found"))</f>
        <v>0</v>
      </c>
      <c r="Q142" s="13">
        <f>IF(B142="","",TEXT(B142,"yyyy-mm"))</f>
        <v>0</v>
      </c>
      <c r="R142" s="33">
        <f>IF(C142="","",IFERROR(INDEX('Wholesale Customers'!$P$5:$P$64,MATCH(C142,'Wholesale Customers'!$A$5:$A$64,0)),WholesaleDiscount))</f>
        <v>0</v>
      </c>
      <c r="S142" s="20">
        <f>IF(E142="","",IFERROR(INDEX(Products!$AR$5:$AR$304,MATCH(E142,Products!$A$5:$A$304,0)),""))</f>
        <v>0</v>
      </c>
      <c r="T142" s="20">
        <f>IF(E142="","",IF(G142&lt;&gt;"",G142,IF(S142="","",ROUND(S142*(1-R142),2))))</f>
        <v>0</v>
      </c>
      <c r="U142" s="20">
        <f>IF(E142="","",IFERROR(INDEX(Products!$AH$5:$AH$304,MATCH(E142,Products!$A$5:$A$304,0)),""))</f>
        <v>0</v>
      </c>
      <c r="V142" s="20">
        <f>IF(E142="","",IF(OR(F142="",T142=""),"",ROUND(F142*T142,2)))</f>
        <v>0</v>
      </c>
      <c r="W142" s="20">
        <f>IF(E142="","",IF(OR(F142="",U142=""),"",ROUND(F142*U142+MAX(0,IF(K142="",0,K142)-IF(J142="",0,J142)),2)))</f>
        <v>0</v>
      </c>
      <c r="X142" s="20">
        <f>IF(E142="","",IF(V142="","",ROUND(V142-W142,2)))</f>
        <v>0</v>
      </c>
      <c r="Y142" s="33">
        <f>IF(E142="","",IF(OR(V142="",V142=0),"",X142/V142))</f>
        <v>0</v>
      </c>
      <c r="Z142" s="41">
        <f>IF(E142="","",IFERROR(ROUND(F142*INDEX(Products!$X$5:$X$304,MATCH(E142,Products!$A$5:$A$304,0))/60,1),""))</f>
        <v>0</v>
      </c>
      <c r="AA142" s="20">
        <f>IF(E142="","",IF(OR(Z142="",Z142=0),"",ROUND(X142/Z142,2)))</f>
        <v>0</v>
      </c>
      <c r="AB142" s="42">
        <f>IF(E142="","",IF(V142="","",IF(AND(V142&gt;=MinOrderValue,F142&gt;=MinOrderQty),"Yes","No")))</f>
        <v>0</v>
      </c>
      <c r="AC142" s="32">
        <f>IF(B142="","",IF(I142="","",I142-B142))</f>
        <v>0</v>
      </c>
      <c r="AD142" s="43">
        <f>IF(B142="","",IF(E142="","Add - which product?",IF(X142&lt;0,"Loss - this order costs you money",IF(AND(Y142&lt;&gt;"",Y142&lt;TargetWholesaleMargin),"Low margin - the discount is too deep",IF(AND(H142&lt;&gt;"",I142="",H142&lt;TodayDate),"Overdue - not despatched",IF(AND(M142="No",I142&lt;&gt;"",TodayDate-I142&gt;30),"Chase - unpaid over 30 days",IF(AB142="No","Check - below your minimum order","OK")))))))</f>
        <v>0</v>
      </c>
    </row>
    <row r="143" spans="1:30">
      <c r="A143" s="38">
        <f>IF(B143="","",OrderPrefix&amp;TEXT(ROW()-4,"0000"))</f>
        <v>0</v>
      </c>
      <c r="O143" s="13">
        <f>IF(C143="","",IFERROR(INDEX('Wholesale Customers'!$B$5:$B$64,MATCH(C143,'Wholesale Customers'!$A$5:$A$64,0)),"Not found"))</f>
        <v>0</v>
      </c>
      <c r="P143" s="13">
        <f>IF(E143="","",IFERROR(INDEX(Products!$B$5:$B$304,MATCH(E143,Products!$A$5:$A$304,0)),"Not found"))</f>
        <v>0</v>
      </c>
      <c r="Q143" s="13">
        <f>IF(B143="","",TEXT(B143,"yyyy-mm"))</f>
        <v>0</v>
      </c>
      <c r="R143" s="33">
        <f>IF(C143="","",IFERROR(INDEX('Wholesale Customers'!$P$5:$P$64,MATCH(C143,'Wholesale Customers'!$A$5:$A$64,0)),WholesaleDiscount))</f>
        <v>0</v>
      </c>
      <c r="S143" s="20">
        <f>IF(E143="","",IFERROR(INDEX(Products!$AR$5:$AR$304,MATCH(E143,Products!$A$5:$A$304,0)),""))</f>
        <v>0</v>
      </c>
      <c r="T143" s="20">
        <f>IF(E143="","",IF(G143&lt;&gt;"",G143,IF(S143="","",ROUND(S143*(1-R143),2))))</f>
        <v>0</v>
      </c>
      <c r="U143" s="20">
        <f>IF(E143="","",IFERROR(INDEX(Products!$AH$5:$AH$304,MATCH(E143,Products!$A$5:$A$304,0)),""))</f>
        <v>0</v>
      </c>
      <c r="V143" s="20">
        <f>IF(E143="","",IF(OR(F143="",T143=""),"",ROUND(F143*T143,2)))</f>
        <v>0</v>
      </c>
      <c r="W143" s="20">
        <f>IF(E143="","",IF(OR(F143="",U143=""),"",ROUND(F143*U143+MAX(0,IF(K143="",0,K143)-IF(J143="",0,J143)),2)))</f>
        <v>0</v>
      </c>
      <c r="X143" s="20">
        <f>IF(E143="","",IF(V143="","",ROUND(V143-W143,2)))</f>
        <v>0</v>
      </c>
      <c r="Y143" s="33">
        <f>IF(E143="","",IF(OR(V143="",V143=0),"",X143/V143))</f>
        <v>0</v>
      </c>
      <c r="Z143" s="41">
        <f>IF(E143="","",IFERROR(ROUND(F143*INDEX(Products!$X$5:$X$304,MATCH(E143,Products!$A$5:$A$304,0))/60,1),""))</f>
        <v>0</v>
      </c>
      <c r="AA143" s="20">
        <f>IF(E143="","",IF(OR(Z143="",Z143=0),"",ROUND(X143/Z143,2)))</f>
        <v>0</v>
      </c>
      <c r="AB143" s="42">
        <f>IF(E143="","",IF(V143="","",IF(AND(V143&gt;=MinOrderValue,F143&gt;=MinOrderQty),"Yes","No")))</f>
        <v>0</v>
      </c>
      <c r="AC143" s="32">
        <f>IF(B143="","",IF(I143="","",I143-B143))</f>
        <v>0</v>
      </c>
      <c r="AD143" s="43">
        <f>IF(B143="","",IF(E143="","Add - which product?",IF(X143&lt;0,"Loss - this order costs you money",IF(AND(Y143&lt;&gt;"",Y143&lt;TargetWholesaleMargin),"Low margin - the discount is too deep",IF(AND(H143&lt;&gt;"",I143="",H143&lt;TodayDate),"Overdue - not despatched",IF(AND(M143="No",I143&lt;&gt;"",TodayDate-I143&gt;30),"Chase - unpaid over 30 days",IF(AB143="No","Check - below your minimum order","OK")))))))</f>
        <v>0</v>
      </c>
    </row>
    <row r="144" spans="1:30">
      <c r="A144" s="38">
        <f>IF(B144="","",OrderPrefix&amp;TEXT(ROW()-4,"0000"))</f>
        <v>0</v>
      </c>
      <c r="O144" s="13">
        <f>IF(C144="","",IFERROR(INDEX('Wholesale Customers'!$B$5:$B$64,MATCH(C144,'Wholesale Customers'!$A$5:$A$64,0)),"Not found"))</f>
        <v>0</v>
      </c>
      <c r="P144" s="13">
        <f>IF(E144="","",IFERROR(INDEX(Products!$B$5:$B$304,MATCH(E144,Products!$A$5:$A$304,0)),"Not found"))</f>
        <v>0</v>
      </c>
      <c r="Q144" s="13">
        <f>IF(B144="","",TEXT(B144,"yyyy-mm"))</f>
        <v>0</v>
      </c>
      <c r="R144" s="33">
        <f>IF(C144="","",IFERROR(INDEX('Wholesale Customers'!$P$5:$P$64,MATCH(C144,'Wholesale Customers'!$A$5:$A$64,0)),WholesaleDiscount))</f>
        <v>0</v>
      </c>
      <c r="S144" s="20">
        <f>IF(E144="","",IFERROR(INDEX(Products!$AR$5:$AR$304,MATCH(E144,Products!$A$5:$A$304,0)),""))</f>
        <v>0</v>
      </c>
      <c r="T144" s="20">
        <f>IF(E144="","",IF(G144&lt;&gt;"",G144,IF(S144="","",ROUND(S144*(1-R144),2))))</f>
        <v>0</v>
      </c>
      <c r="U144" s="20">
        <f>IF(E144="","",IFERROR(INDEX(Products!$AH$5:$AH$304,MATCH(E144,Products!$A$5:$A$304,0)),""))</f>
        <v>0</v>
      </c>
      <c r="V144" s="20">
        <f>IF(E144="","",IF(OR(F144="",T144=""),"",ROUND(F144*T144,2)))</f>
        <v>0</v>
      </c>
      <c r="W144" s="20">
        <f>IF(E144="","",IF(OR(F144="",U144=""),"",ROUND(F144*U144+MAX(0,IF(K144="",0,K144)-IF(J144="",0,J144)),2)))</f>
        <v>0</v>
      </c>
      <c r="X144" s="20">
        <f>IF(E144="","",IF(V144="","",ROUND(V144-W144,2)))</f>
        <v>0</v>
      </c>
      <c r="Y144" s="33">
        <f>IF(E144="","",IF(OR(V144="",V144=0),"",X144/V144))</f>
        <v>0</v>
      </c>
      <c r="Z144" s="41">
        <f>IF(E144="","",IFERROR(ROUND(F144*INDEX(Products!$X$5:$X$304,MATCH(E144,Products!$A$5:$A$304,0))/60,1),""))</f>
        <v>0</v>
      </c>
      <c r="AA144" s="20">
        <f>IF(E144="","",IF(OR(Z144="",Z144=0),"",ROUND(X144/Z144,2)))</f>
        <v>0</v>
      </c>
      <c r="AB144" s="42">
        <f>IF(E144="","",IF(V144="","",IF(AND(V144&gt;=MinOrderValue,F144&gt;=MinOrderQty),"Yes","No")))</f>
        <v>0</v>
      </c>
      <c r="AC144" s="32">
        <f>IF(B144="","",IF(I144="","",I144-B144))</f>
        <v>0</v>
      </c>
      <c r="AD144" s="43">
        <f>IF(B144="","",IF(E144="","Add - which product?",IF(X144&lt;0,"Loss - this order costs you money",IF(AND(Y144&lt;&gt;"",Y144&lt;TargetWholesaleMargin),"Low margin - the discount is too deep",IF(AND(H144&lt;&gt;"",I144="",H144&lt;TodayDate),"Overdue - not despatched",IF(AND(M144="No",I144&lt;&gt;"",TodayDate-I144&gt;30),"Chase - unpaid over 30 days",IF(AB144="No","Check - below your minimum order","OK")))))))</f>
        <v>0</v>
      </c>
    </row>
    <row r="145" spans="1:30">
      <c r="A145" s="38">
        <f>IF(B145="","",OrderPrefix&amp;TEXT(ROW()-4,"0000"))</f>
        <v>0</v>
      </c>
      <c r="O145" s="13">
        <f>IF(C145="","",IFERROR(INDEX('Wholesale Customers'!$B$5:$B$64,MATCH(C145,'Wholesale Customers'!$A$5:$A$64,0)),"Not found"))</f>
        <v>0</v>
      </c>
      <c r="P145" s="13">
        <f>IF(E145="","",IFERROR(INDEX(Products!$B$5:$B$304,MATCH(E145,Products!$A$5:$A$304,0)),"Not found"))</f>
        <v>0</v>
      </c>
      <c r="Q145" s="13">
        <f>IF(B145="","",TEXT(B145,"yyyy-mm"))</f>
        <v>0</v>
      </c>
      <c r="R145" s="33">
        <f>IF(C145="","",IFERROR(INDEX('Wholesale Customers'!$P$5:$P$64,MATCH(C145,'Wholesale Customers'!$A$5:$A$64,0)),WholesaleDiscount))</f>
        <v>0</v>
      </c>
      <c r="S145" s="20">
        <f>IF(E145="","",IFERROR(INDEX(Products!$AR$5:$AR$304,MATCH(E145,Products!$A$5:$A$304,0)),""))</f>
        <v>0</v>
      </c>
      <c r="T145" s="20">
        <f>IF(E145="","",IF(G145&lt;&gt;"",G145,IF(S145="","",ROUND(S145*(1-R145),2))))</f>
        <v>0</v>
      </c>
      <c r="U145" s="20">
        <f>IF(E145="","",IFERROR(INDEX(Products!$AH$5:$AH$304,MATCH(E145,Products!$A$5:$A$304,0)),""))</f>
        <v>0</v>
      </c>
      <c r="V145" s="20">
        <f>IF(E145="","",IF(OR(F145="",T145=""),"",ROUND(F145*T145,2)))</f>
        <v>0</v>
      </c>
      <c r="W145" s="20">
        <f>IF(E145="","",IF(OR(F145="",U145=""),"",ROUND(F145*U145+MAX(0,IF(K145="",0,K145)-IF(J145="",0,J145)),2)))</f>
        <v>0</v>
      </c>
      <c r="X145" s="20">
        <f>IF(E145="","",IF(V145="","",ROUND(V145-W145,2)))</f>
        <v>0</v>
      </c>
      <c r="Y145" s="33">
        <f>IF(E145="","",IF(OR(V145="",V145=0),"",X145/V145))</f>
        <v>0</v>
      </c>
      <c r="Z145" s="41">
        <f>IF(E145="","",IFERROR(ROUND(F145*INDEX(Products!$X$5:$X$304,MATCH(E145,Products!$A$5:$A$304,0))/60,1),""))</f>
        <v>0</v>
      </c>
      <c r="AA145" s="20">
        <f>IF(E145="","",IF(OR(Z145="",Z145=0),"",ROUND(X145/Z145,2)))</f>
        <v>0</v>
      </c>
      <c r="AB145" s="42">
        <f>IF(E145="","",IF(V145="","",IF(AND(V145&gt;=MinOrderValue,F145&gt;=MinOrderQty),"Yes","No")))</f>
        <v>0</v>
      </c>
      <c r="AC145" s="32">
        <f>IF(B145="","",IF(I145="","",I145-B145))</f>
        <v>0</v>
      </c>
      <c r="AD145" s="43">
        <f>IF(B145="","",IF(E145="","Add - which product?",IF(X145&lt;0,"Loss - this order costs you money",IF(AND(Y145&lt;&gt;"",Y145&lt;TargetWholesaleMargin),"Low margin - the discount is too deep",IF(AND(H145&lt;&gt;"",I145="",H145&lt;TodayDate),"Overdue - not despatched",IF(AND(M145="No",I145&lt;&gt;"",TodayDate-I145&gt;30),"Chase - unpaid over 30 days",IF(AB145="No","Check - below your minimum order","OK")))))))</f>
        <v>0</v>
      </c>
    </row>
    <row r="146" spans="1:30">
      <c r="A146" s="38">
        <f>IF(B146="","",OrderPrefix&amp;TEXT(ROW()-4,"0000"))</f>
        <v>0</v>
      </c>
      <c r="O146" s="13">
        <f>IF(C146="","",IFERROR(INDEX('Wholesale Customers'!$B$5:$B$64,MATCH(C146,'Wholesale Customers'!$A$5:$A$64,0)),"Not found"))</f>
        <v>0</v>
      </c>
      <c r="P146" s="13">
        <f>IF(E146="","",IFERROR(INDEX(Products!$B$5:$B$304,MATCH(E146,Products!$A$5:$A$304,0)),"Not found"))</f>
        <v>0</v>
      </c>
      <c r="Q146" s="13">
        <f>IF(B146="","",TEXT(B146,"yyyy-mm"))</f>
        <v>0</v>
      </c>
      <c r="R146" s="33">
        <f>IF(C146="","",IFERROR(INDEX('Wholesale Customers'!$P$5:$P$64,MATCH(C146,'Wholesale Customers'!$A$5:$A$64,0)),WholesaleDiscount))</f>
        <v>0</v>
      </c>
      <c r="S146" s="20">
        <f>IF(E146="","",IFERROR(INDEX(Products!$AR$5:$AR$304,MATCH(E146,Products!$A$5:$A$304,0)),""))</f>
        <v>0</v>
      </c>
      <c r="T146" s="20">
        <f>IF(E146="","",IF(G146&lt;&gt;"",G146,IF(S146="","",ROUND(S146*(1-R146),2))))</f>
        <v>0</v>
      </c>
      <c r="U146" s="20">
        <f>IF(E146="","",IFERROR(INDEX(Products!$AH$5:$AH$304,MATCH(E146,Products!$A$5:$A$304,0)),""))</f>
        <v>0</v>
      </c>
      <c r="V146" s="20">
        <f>IF(E146="","",IF(OR(F146="",T146=""),"",ROUND(F146*T146,2)))</f>
        <v>0</v>
      </c>
      <c r="W146" s="20">
        <f>IF(E146="","",IF(OR(F146="",U146=""),"",ROUND(F146*U146+MAX(0,IF(K146="",0,K146)-IF(J146="",0,J146)),2)))</f>
        <v>0</v>
      </c>
      <c r="X146" s="20">
        <f>IF(E146="","",IF(V146="","",ROUND(V146-W146,2)))</f>
        <v>0</v>
      </c>
      <c r="Y146" s="33">
        <f>IF(E146="","",IF(OR(V146="",V146=0),"",X146/V146))</f>
        <v>0</v>
      </c>
      <c r="Z146" s="41">
        <f>IF(E146="","",IFERROR(ROUND(F146*INDEX(Products!$X$5:$X$304,MATCH(E146,Products!$A$5:$A$304,0))/60,1),""))</f>
        <v>0</v>
      </c>
      <c r="AA146" s="20">
        <f>IF(E146="","",IF(OR(Z146="",Z146=0),"",ROUND(X146/Z146,2)))</f>
        <v>0</v>
      </c>
      <c r="AB146" s="42">
        <f>IF(E146="","",IF(V146="","",IF(AND(V146&gt;=MinOrderValue,F146&gt;=MinOrderQty),"Yes","No")))</f>
        <v>0</v>
      </c>
      <c r="AC146" s="32">
        <f>IF(B146="","",IF(I146="","",I146-B146))</f>
        <v>0</v>
      </c>
      <c r="AD146" s="43">
        <f>IF(B146="","",IF(E146="","Add - which product?",IF(X146&lt;0,"Loss - this order costs you money",IF(AND(Y146&lt;&gt;"",Y146&lt;TargetWholesaleMargin),"Low margin - the discount is too deep",IF(AND(H146&lt;&gt;"",I146="",H146&lt;TodayDate),"Overdue - not despatched",IF(AND(M146="No",I146&lt;&gt;"",TodayDate-I146&gt;30),"Chase - unpaid over 30 days",IF(AB146="No","Check - below your minimum order","OK")))))))</f>
        <v>0</v>
      </c>
    </row>
    <row r="147" spans="1:30">
      <c r="A147" s="38">
        <f>IF(B147="","",OrderPrefix&amp;TEXT(ROW()-4,"0000"))</f>
        <v>0</v>
      </c>
      <c r="O147" s="13">
        <f>IF(C147="","",IFERROR(INDEX('Wholesale Customers'!$B$5:$B$64,MATCH(C147,'Wholesale Customers'!$A$5:$A$64,0)),"Not found"))</f>
        <v>0</v>
      </c>
      <c r="P147" s="13">
        <f>IF(E147="","",IFERROR(INDEX(Products!$B$5:$B$304,MATCH(E147,Products!$A$5:$A$304,0)),"Not found"))</f>
        <v>0</v>
      </c>
      <c r="Q147" s="13">
        <f>IF(B147="","",TEXT(B147,"yyyy-mm"))</f>
        <v>0</v>
      </c>
      <c r="R147" s="33">
        <f>IF(C147="","",IFERROR(INDEX('Wholesale Customers'!$P$5:$P$64,MATCH(C147,'Wholesale Customers'!$A$5:$A$64,0)),WholesaleDiscount))</f>
        <v>0</v>
      </c>
      <c r="S147" s="20">
        <f>IF(E147="","",IFERROR(INDEX(Products!$AR$5:$AR$304,MATCH(E147,Products!$A$5:$A$304,0)),""))</f>
        <v>0</v>
      </c>
      <c r="T147" s="20">
        <f>IF(E147="","",IF(G147&lt;&gt;"",G147,IF(S147="","",ROUND(S147*(1-R147),2))))</f>
        <v>0</v>
      </c>
      <c r="U147" s="20">
        <f>IF(E147="","",IFERROR(INDEX(Products!$AH$5:$AH$304,MATCH(E147,Products!$A$5:$A$304,0)),""))</f>
        <v>0</v>
      </c>
      <c r="V147" s="20">
        <f>IF(E147="","",IF(OR(F147="",T147=""),"",ROUND(F147*T147,2)))</f>
        <v>0</v>
      </c>
      <c r="W147" s="20">
        <f>IF(E147="","",IF(OR(F147="",U147=""),"",ROUND(F147*U147+MAX(0,IF(K147="",0,K147)-IF(J147="",0,J147)),2)))</f>
        <v>0</v>
      </c>
      <c r="X147" s="20">
        <f>IF(E147="","",IF(V147="","",ROUND(V147-W147,2)))</f>
        <v>0</v>
      </c>
      <c r="Y147" s="33">
        <f>IF(E147="","",IF(OR(V147="",V147=0),"",X147/V147))</f>
        <v>0</v>
      </c>
      <c r="Z147" s="41">
        <f>IF(E147="","",IFERROR(ROUND(F147*INDEX(Products!$X$5:$X$304,MATCH(E147,Products!$A$5:$A$304,0))/60,1),""))</f>
        <v>0</v>
      </c>
      <c r="AA147" s="20">
        <f>IF(E147="","",IF(OR(Z147="",Z147=0),"",ROUND(X147/Z147,2)))</f>
        <v>0</v>
      </c>
      <c r="AB147" s="42">
        <f>IF(E147="","",IF(V147="","",IF(AND(V147&gt;=MinOrderValue,F147&gt;=MinOrderQty),"Yes","No")))</f>
        <v>0</v>
      </c>
      <c r="AC147" s="32">
        <f>IF(B147="","",IF(I147="","",I147-B147))</f>
        <v>0</v>
      </c>
      <c r="AD147" s="43">
        <f>IF(B147="","",IF(E147="","Add - which product?",IF(X147&lt;0,"Loss - this order costs you money",IF(AND(Y147&lt;&gt;"",Y147&lt;TargetWholesaleMargin),"Low margin - the discount is too deep",IF(AND(H147&lt;&gt;"",I147="",H147&lt;TodayDate),"Overdue - not despatched",IF(AND(M147="No",I147&lt;&gt;"",TodayDate-I147&gt;30),"Chase - unpaid over 30 days",IF(AB147="No","Check - below your minimum order","OK")))))))</f>
        <v>0</v>
      </c>
    </row>
    <row r="148" spans="1:30">
      <c r="A148" s="38">
        <f>IF(B148="","",OrderPrefix&amp;TEXT(ROW()-4,"0000"))</f>
        <v>0</v>
      </c>
      <c r="O148" s="13">
        <f>IF(C148="","",IFERROR(INDEX('Wholesale Customers'!$B$5:$B$64,MATCH(C148,'Wholesale Customers'!$A$5:$A$64,0)),"Not found"))</f>
        <v>0</v>
      </c>
      <c r="P148" s="13">
        <f>IF(E148="","",IFERROR(INDEX(Products!$B$5:$B$304,MATCH(E148,Products!$A$5:$A$304,0)),"Not found"))</f>
        <v>0</v>
      </c>
      <c r="Q148" s="13">
        <f>IF(B148="","",TEXT(B148,"yyyy-mm"))</f>
        <v>0</v>
      </c>
      <c r="R148" s="33">
        <f>IF(C148="","",IFERROR(INDEX('Wholesale Customers'!$P$5:$P$64,MATCH(C148,'Wholesale Customers'!$A$5:$A$64,0)),WholesaleDiscount))</f>
        <v>0</v>
      </c>
      <c r="S148" s="20">
        <f>IF(E148="","",IFERROR(INDEX(Products!$AR$5:$AR$304,MATCH(E148,Products!$A$5:$A$304,0)),""))</f>
        <v>0</v>
      </c>
      <c r="T148" s="20">
        <f>IF(E148="","",IF(G148&lt;&gt;"",G148,IF(S148="","",ROUND(S148*(1-R148),2))))</f>
        <v>0</v>
      </c>
      <c r="U148" s="20">
        <f>IF(E148="","",IFERROR(INDEX(Products!$AH$5:$AH$304,MATCH(E148,Products!$A$5:$A$304,0)),""))</f>
        <v>0</v>
      </c>
      <c r="V148" s="20">
        <f>IF(E148="","",IF(OR(F148="",T148=""),"",ROUND(F148*T148,2)))</f>
        <v>0</v>
      </c>
      <c r="W148" s="20">
        <f>IF(E148="","",IF(OR(F148="",U148=""),"",ROUND(F148*U148+MAX(0,IF(K148="",0,K148)-IF(J148="",0,J148)),2)))</f>
        <v>0</v>
      </c>
      <c r="X148" s="20">
        <f>IF(E148="","",IF(V148="","",ROUND(V148-W148,2)))</f>
        <v>0</v>
      </c>
      <c r="Y148" s="33">
        <f>IF(E148="","",IF(OR(V148="",V148=0),"",X148/V148))</f>
        <v>0</v>
      </c>
      <c r="Z148" s="41">
        <f>IF(E148="","",IFERROR(ROUND(F148*INDEX(Products!$X$5:$X$304,MATCH(E148,Products!$A$5:$A$304,0))/60,1),""))</f>
        <v>0</v>
      </c>
      <c r="AA148" s="20">
        <f>IF(E148="","",IF(OR(Z148="",Z148=0),"",ROUND(X148/Z148,2)))</f>
        <v>0</v>
      </c>
      <c r="AB148" s="42">
        <f>IF(E148="","",IF(V148="","",IF(AND(V148&gt;=MinOrderValue,F148&gt;=MinOrderQty),"Yes","No")))</f>
        <v>0</v>
      </c>
      <c r="AC148" s="32">
        <f>IF(B148="","",IF(I148="","",I148-B148))</f>
        <v>0</v>
      </c>
      <c r="AD148" s="43">
        <f>IF(B148="","",IF(E148="","Add - which product?",IF(X148&lt;0,"Loss - this order costs you money",IF(AND(Y148&lt;&gt;"",Y148&lt;TargetWholesaleMargin),"Low margin - the discount is too deep",IF(AND(H148&lt;&gt;"",I148="",H148&lt;TodayDate),"Overdue - not despatched",IF(AND(M148="No",I148&lt;&gt;"",TodayDate-I148&gt;30),"Chase - unpaid over 30 days",IF(AB148="No","Check - below your minimum order","OK")))))))</f>
        <v>0</v>
      </c>
    </row>
    <row r="149" spans="1:30">
      <c r="A149" s="38">
        <f>IF(B149="","",OrderPrefix&amp;TEXT(ROW()-4,"0000"))</f>
        <v>0</v>
      </c>
      <c r="O149" s="13">
        <f>IF(C149="","",IFERROR(INDEX('Wholesale Customers'!$B$5:$B$64,MATCH(C149,'Wholesale Customers'!$A$5:$A$64,0)),"Not found"))</f>
        <v>0</v>
      </c>
      <c r="P149" s="13">
        <f>IF(E149="","",IFERROR(INDEX(Products!$B$5:$B$304,MATCH(E149,Products!$A$5:$A$304,0)),"Not found"))</f>
        <v>0</v>
      </c>
      <c r="Q149" s="13">
        <f>IF(B149="","",TEXT(B149,"yyyy-mm"))</f>
        <v>0</v>
      </c>
      <c r="R149" s="33">
        <f>IF(C149="","",IFERROR(INDEX('Wholesale Customers'!$P$5:$P$64,MATCH(C149,'Wholesale Customers'!$A$5:$A$64,0)),WholesaleDiscount))</f>
        <v>0</v>
      </c>
      <c r="S149" s="20">
        <f>IF(E149="","",IFERROR(INDEX(Products!$AR$5:$AR$304,MATCH(E149,Products!$A$5:$A$304,0)),""))</f>
        <v>0</v>
      </c>
      <c r="T149" s="20">
        <f>IF(E149="","",IF(G149&lt;&gt;"",G149,IF(S149="","",ROUND(S149*(1-R149),2))))</f>
        <v>0</v>
      </c>
      <c r="U149" s="20">
        <f>IF(E149="","",IFERROR(INDEX(Products!$AH$5:$AH$304,MATCH(E149,Products!$A$5:$A$304,0)),""))</f>
        <v>0</v>
      </c>
      <c r="V149" s="20">
        <f>IF(E149="","",IF(OR(F149="",T149=""),"",ROUND(F149*T149,2)))</f>
        <v>0</v>
      </c>
      <c r="W149" s="20">
        <f>IF(E149="","",IF(OR(F149="",U149=""),"",ROUND(F149*U149+MAX(0,IF(K149="",0,K149)-IF(J149="",0,J149)),2)))</f>
        <v>0</v>
      </c>
      <c r="X149" s="20">
        <f>IF(E149="","",IF(V149="","",ROUND(V149-W149,2)))</f>
        <v>0</v>
      </c>
      <c r="Y149" s="33">
        <f>IF(E149="","",IF(OR(V149="",V149=0),"",X149/V149))</f>
        <v>0</v>
      </c>
      <c r="Z149" s="41">
        <f>IF(E149="","",IFERROR(ROUND(F149*INDEX(Products!$X$5:$X$304,MATCH(E149,Products!$A$5:$A$304,0))/60,1),""))</f>
        <v>0</v>
      </c>
      <c r="AA149" s="20">
        <f>IF(E149="","",IF(OR(Z149="",Z149=0),"",ROUND(X149/Z149,2)))</f>
        <v>0</v>
      </c>
      <c r="AB149" s="42">
        <f>IF(E149="","",IF(V149="","",IF(AND(V149&gt;=MinOrderValue,F149&gt;=MinOrderQty),"Yes","No")))</f>
        <v>0</v>
      </c>
      <c r="AC149" s="32">
        <f>IF(B149="","",IF(I149="","",I149-B149))</f>
        <v>0</v>
      </c>
      <c r="AD149" s="43">
        <f>IF(B149="","",IF(E149="","Add - which product?",IF(X149&lt;0,"Loss - this order costs you money",IF(AND(Y149&lt;&gt;"",Y149&lt;TargetWholesaleMargin),"Low margin - the discount is too deep",IF(AND(H149&lt;&gt;"",I149="",H149&lt;TodayDate),"Overdue - not despatched",IF(AND(M149="No",I149&lt;&gt;"",TodayDate-I149&gt;30),"Chase - unpaid over 30 days",IF(AB149="No","Check - below your minimum order","OK")))))))</f>
        <v>0</v>
      </c>
    </row>
    <row r="150" spans="1:30">
      <c r="A150" s="38">
        <f>IF(B150="","",OrderPrefix&amp;TEXT(ROW()-4,"0000"))</f>
        <v>0</v>
      </c>
      <c r="O150" s="13">
        <f>IF(C150="","",IFERROR(INDEX('Wholesale Customers'!$B$5:$B$64,MATCH(C150,'Wholesale Customers'!$A$5:$A$64,0)),"Not found"))</f>
        <v>0</v>
      </c>
      <c r="P150" s="13">
        <f>IF(E150="","",IFERROR(INDEX(Products!$B$5:$B$304,MATCH(E150,Products!$A$5:$A$304,0)),"Not found"))</f>
        <v>0</v>
      </c>
      <c r="Q150" s="13">
        <f>IF(B150="","",TEXT(B150,"yyyy-mm"))</f>
        <v>0</v>
      </c>
      <c r="R150" s="33">
        <f>IF(C150="","",IFERROR(INDEX('Wholesale Customers'!$P$5:$P$64,MATCH(C150,'Wholesale Customers'!$A$5:$A$64,0)),WholesaleDiscount))</f>
        <v>0</v>
      </c>
      <c r="S150" s="20">
        <f>IF(E150="","",IFERROR(INDEX(Products!$AR$5:$AR$304,MATCH(E150,Products!$A$5:$A$304,0)),""))</f>
        <v>0</v>
      </c>
      <c r="T150" s="20">
        <f>IF(E150="","",IF(G150&lt;&gt;"",G150,IF(S150="","",ROUND(S150*(1-R150),2))))</f>
        <v>0</v>
      </c>
      <c r="U150" s="20">
        <f>IF(E150="","",IFERROR(INDEX(Products!$AH$5:$AH$304,MATCH(E150,Products!$A$5:$A$304,0)),""))</f>
        <v>0</v>
      </c>
      <c r="V150" s="20">
        <f>IF(E150="","",IF(OR(F150="",T150=""),"",ROUND(F150*T150,2)))</f>
        <v>0</v>
      </c>
      <c r="W150" s="20">
        <f>IF(E150="","",IF(OR(F150="",U150=""),"",ROUND(F150*U150+MAX(0,IF(K150="",0,K150)-IF(J150="",0,J150)),2)))</f>
        <v>0</v>
      </c>
      <c r="X150" s="20">
        <f>IF(E150="","",IF(V150="","",ROUND(V150-W150,2)))</f>
        <v>0</v>
      </c>
      <c r="Y150" s="33">
        <f>IF(E150="","",IF(OR(V150="",V150=0),"",X150/V150))</f>
        <v>0</v>
      </c>
      <c r="Z150" s="41">
        <f>IF(E150="","",IFERROR(ROUND(F150*INDEX(Products!$X$5:$X$304,MATCH(E150,Products!$A$5:$A$304,0))/60,1),""))</f>
        <v>0</v>
      </c>
      <c r="AA150" s="20">
        <f>IF(E150="","",IF(OR(Z150="",Z150=0),"",ROUND(X150/Z150,2)))</f>
        <v>0</v>
      </c>
      <c r="AB150" s="42">
        <f>IF(E150="","",IF(V150="","",IF(AND(V150&gt;=MinOrderValue,F150&gt;=MinOrderQty),"Yes","No")))</f>
        <v>0</v>
      </c>
      <c r="AC150" s="32">
        <f>IF(B150="","",IF(I150="","",I150-B150))</f>
        <v>0</v>
      </c>
      <c r="AD150" s="43">
        <f>IF(B150="","",IF(E150="","Add - which product?",IF(X150&lt;0,"Loss - this order costs you money",IF(AND(Y150&lt;&gt;"",Y150&lt;TargetWholesaleMargin),"Low margin - the discount is too deep",IF(AND(H150&lt;&gt;"",I150="",H150&lt;TodayDate),"Overdue - not despatched",IF(AND(M150="No",I150&lt;&gt;"",TodayDate-I150&gt;30),"Chase - unpaid over 30 days",IF(AB150="No","Check - below your minimum order","OK")))))))</f>
        <v>0</v>
      </c>
    </row>
    <row r="151" spans="1:30">
      <c r="A151" s="38">
        <f>IF(B151="","",OrderPrefix&amp;TEXT(ROW()-4,"0000"))</f>
        <v>0</v>
      </c>
      <c r="O151" s="13">
        <f>IF(C151="","",IFERROR(INDEX('Wholesale Customers'!$B$5:$B$64,MATCH(C151,'Wholesale Customers'!$A$5:$A$64,0)),"Not found"))</f>
        <v>0</v>
      </c>
      <c r="P151" s="13">
        <f>IF(E151="","",IFERROR(INDEX(Products!$B$5:$B$304,MATCH(E151,Products!$A$5:$A$304,0)),"Not found"))</f>
        <v>0</v>
      </c>
      <c r="Q151" s="13">
        <f>IF(B151="","",TEXT(B151,"yyyy-mm"))</f>
        <v>0</v>
      </c>
      <c r="R151" s="33">
        <f>IF(C151="","",IFERROR(INDEX('Wholesale Customers'!$P$5:$P$64,MATCH(C151,'Wholesale Customers'!$A$5:$A$64,0)),WholesaleDiscount))</f>
        <v>0</v>
      </c>
      <c r="S151" s="20">
        <f>IF(E151="","",IFERROR(INDEX(Products!$AR$5:$AR$304,MATCH(E151,Products!$A$5:$A$304,0)),""))</f>
        <v>0</v>
      </c>
      <c r="T151" s="20">
        <f>IF(E151="","",IF(G151&lt;&gt;"",G151,IF(S151="","",ROUND(S151*(1-R151),2))))</f>
        <v>0</v>
      </c>
      <c r="U151" s="20">
        <f>IF(E151="","",IFERROR(INDEX(Products!$AH$5:$AH$304,MATCH(E151,Products!$A$5:$A$304,0)),""))</f>
        <v>0</v>
      </c>
      <c r="V151" s="20">
        <f>IF(E151="","",IF(OR(F151="",T151=""),"",ROUND(F151*T151,2)))</f>
        <v>0</v>
      </c>
      <c r="W151" s="20">
        <f>IF(E151="","",IF(OR(F151="",U151=""),"",ROUND(F151*U151+MAX(0,IF(K151="",0,K151)-IF(J151="",0,J151)),2)))</f>
        <v>0</v>
      </c>
      <c r="X151" s="20">
        <f>IF(E151="","",IF(V151="","",ROUND(V151-W151,2)))</f>
        <v>0</v>
      </c>
      <c r="Y151" s="33">
        <f>IF(E151="","",IF(OR(V151="",V151=0),"",X151/V151))</f>
        <v>0</v>
      </c>
      <c r="Z151" s="41">
        <f>IF(E151="","",IFERROR(ROUND(F151*INDEX(Products!$X$5:$X$304,MATCH(E151,Products!$A$5:$A$304,0))/60,1),""))</f>
        <v>0</v>
      </c>
      <c r="AA151" s="20">
        <f>IF(E151="","",IF(OR(Z151="",Z151=0),"",ROUND(X151/Z151,2)))</f>
        <v>0</v>
      </c>
      <c r="AB151" s="42">
        <f>IF(E151="","",IF(V151="","",IF(AND(V151&gt;=MinOrderValue,F151&gt;=MinOrderQty),"Yes","No")))</f>
        <v>0</v>
      </c>
      <c r="AC151" s="32">
        <f>IF(B151="","",IF(I151="","",I151-B151))</f>
        <v>0</v>
      </c>
      <c r="AD151" s="43">
        <f>IF(B151="","",IF(E151="","Add - which product?",IF(X151&lt;0,"Loss - this order costs you money",IF(AND(Y151&lt;&gt;"",Y151&lt;TargetWholesaleMargin),"Low margin - the discount is too deep",IF(AND(H151&lt;&gt;"",I151="",H151&lt;TodayDate),"Overdue - not despatched",IF(AND(M151="No",I151&lt;&gt;"",TodayDate-I151&gt;30),"Chase - unpaid over 30 days",IF(AB151="No","Check - below your minimum order","OK")))))))</f>
        <v>0</v>
      </c>
    </row>
    <row r="152" spans="1:30">
      <c r="A152" s="38">
        <f>IF(B152="","",OrderPrefix&amp;TEXT(ROW()-4,"0000"))</f>
        <v>0</v>
      </c>
      <c r="O152" s="13">
        <f>IF(C152="","",IFERROR(INDEX('Wholesale Customers'!$B$5:$B$64,MATCH(C152,'Wholesale Customers'!$A$5:$A$64,0)),"Not found"))</f>
        <v>0</v>
      </c>
      <c r="P152" s="13">
        <f>IF(E152="","",IFERROR(INDEX(Products!$B$5:$B$304,MATCH(E152,Products!$A$5:$A$304,0)),"Not found"))</f>
        <v>0</v>
      </c>
      <c r="Q152" s="13">
        <f>IF(B152="","",TEXT(B152,"yyyy-mm"))</f>
        <v>0</v>
      </c>
      <c r="R152" s="33">
        <f>IF(C152="","",IFERROR(INDEX('Wholesale Customers'!$P$5:$P$64,MATCH(C152,'Wholesale Customers'!$A$5:$A$64,0)),WholesaleDiscount))</f>
        <v>0</v>
      </c>
      <c r="S152" s="20">
        <f>IF(E152="","",IFERROR(INDEX(Products!$AR$5:$AR$304,MATCH(E152,Products!$A$5:$A$304,0)),""))</f>
        <v>0</v>
      </c>
      <c r="T152" s="20">
        <f>IF(E152="","",IF(G152&lt;&gt;"",G152,IF(S152="","",ROUND(S152*(1-R152),2))))</f>
        <v>0</v>
      </c>
      <c r="U152" s="20">
        <f>IF(E152="","",IFERROR(INDEX(Products!$AH$5:$AH$304,MATCH(E152,Products!$A$5:$A$304,0)),""))</f>
        <v>0</v>
      </c>
      <c r="V152" s="20">
        <f>IF(E152="","",IF(OR(F152="",T152=""),"",ROUND(F152*T152,2)))</f>
        <v>0</v>
      </c>
      <c r="W152" s="20">
        <f>IF(E152="","",IF(OR(F152="",U152=""),"",ROUND(F152*U152+MAX(0,IF(K152="",0,K152)-IF(J152="",0,J152)),2)))</f>
        <v>0</v>
      </c>
      <c r="X152" s="20">
        <f>IF(E152="","",IF(V152="","",ROUND(V152-W152,2)))</f>
        <v>0</v>
      </c>
      <c r="Y152" s="33">
        <f>IF(E152="","",IF(OR(V152="",V152=0),"",X152/V152))</f>
        <v>0</v>
      </c>
      <c r="Z152" s="41">
        <f>IF(E152="","",IFERROR(ROUND(F152*INDEX(Products!$X$5:$X$304,MATCH(E152,Products!$A$5:$A$304,0))/60,1),""))</f>
        <v>0</v>
      </c>
      <c r="AA152" s="20">
        <f>IF(E152="","",IF(OR(Z152="",Z152=0),"",ROUND(X152/Z152,2)))</f>
        <v>0</v>
      </c>
      <c r="AB152" s="42">
        <f>IF(E152="","",IF(V152="","",IF(AND(V152&gt;=MinOrderValue,F152&gt;=MinOrderQty),"Yes","No")))</f>
        <v>0</v>
      </c>
      <c r="AC152" s="32">
        <f>IF(B152="","",IF(I152="","",I152-B152))</f>
        <v>0</v>
      </c>
      <c r="AD152" s="43">
        <f>IF(B152="","",IF(E152="","Add - which product?",IF(X152&lt;0,"Loss - this order costs you money",IF(AND(Y152&lt;&gt;"",Y152&lt;TargetWholesaleMargin),"Low margin - the discount is too deep",IF(AND(H152&lt;&gt;"",I152="",H152&lt;TodayDate),"Overdue - not despatched",IF(AND(M152="No",I152&lt;&gt;"",TodayDate-I152&gt;30),"Chase - unpaid over 30 days",IF(AB152="No","Check - below your minimum order","OK")))))))</f>
        <v>0</v>
      </c>
    </row>
    <row r="153" spans="1:30">
      <c r="A153" s="38">
        <f>IF(B153="","",OrderPrefix&amp;TEXT(ROW()-4,"0000"))</f>
        <v>0</v>
      </c>
      <c r="O153" s="13">
        <f>IF(C153="","",IFERROR(INDEX('Wholesale Customers'!$B$5:$B$64,MATCH(C153,'Wholesale Customers'!$A$5:$A$64,0)),"Not found"))</f>
        <v>0</v>
      </c>
      <c r="P153" s="13">
        <f>IF(E153="","",IFERROR(INDEX(Products!$B$5:$B$304,MATCH(E153,Products!$A$5:$A$304,0)),"Not found"))</f>
        <v>0</v>
      </c>
      <c r="Q153" s="13">
        <f>IF(B153="","",TEXT(B153,"yyyy-mm"))</f>
        <v>0</v>
      </c>
      <c r="R153" s="33">
        <f>IF(C153="","",IFERROR(INDEX('Wholesale Customers'!$P$5:$P$64,MATCH(C153,'Wholesale Customers'!$A$5:$A$64,0)),WholesaleDiscount))</f>
        <v>0</v>
      </c>
      <c r="S153" s="20">
        <f>IF(E153="","",IFERROR(INDEX(Products!$AR$5:$AR$304,MATCH(E153,Products!$A$5:$A$304,0)),""))</f>
        <v>0</v>
      </c>
      <c r="T153" s="20">
        <f>IF(E153="","",IF(G153&lt;&gt;"",G153,IF(S153="","",ROUND(S153*(1-R153),2))))</f>
        <v>0</v>
      </c>
      <c r="U153" s="20">
        <f>IF(E153="","",IFERROR(INDEX(Products!$AH$5:$AH$304,MATCH(E153,Products!$A$5:$A$304,0)),""))</f>
        <v>0</v>
      </c>
      <c r="V153" s="20">
        <f>IF(E153="","",IF(OR(F153="",T153=""),"",ROUND(F153*T153,2)))</f>
        <v>0</v>
      </c>
      <c r="W153" s="20">
        <f>IF(E153="","",IF(OR(F153="",U153=""),"",ROUND(F153*U153+MAX(0,IF(K153="",0,K153)-IF(J153="",0,J153)),2)))</f>
        <v>0</v>
      </c>
      <c r="X153" s="20">
        <f>IF(E153="","",IF(V153="","",ROUND(V153-W153,2)))</f>
        <v>0</v>
      </c>
      <c r="Y153" s="33">
        <f>IF(E153="","",IF(OR(V153="",V153=0),"",X153/V153))</f>
        <v>0</v>
      </c>
      <c r="Z153" s="41">
        <f>IF(E153="","",IFERROR(ROUND(F153*INDEX(Products!$X$5:$X$304,MATCH(E153,Products!$A$5:$A$304,0))/60,1),""))</f>
        <v>0</v>
      </c>
      <c r="AA153" s="20">
        <f>IF(E153="","",IF(OR(Z153="",Z153=0),"",ROUND(X153/Z153,2)))</f>
        <v>0</v>
      </c>
      <c r="AB153" s="42">
        <f>IF(E153="","",IF(V153="","",IF(AND(V153&gt;=MinOrderValue,F153&gt;=MinOrderQty),"Yes","No")))</f>
        <v>0</v>
      </c>
      <c r="AC153" s="32">
        <f>IF(B153="","",IF(I153="","",I153-B153))</f>
        <v>0</v>
      </c>
      <c r="AD153" s="43">
        <f>IF(B153="","",IF(E153="","Add - which product?",IF(X153&lt;0,"Loss - this order costs you money",IF(AND(Y153&lt;&gt;"",Y153&lt;TargetWholesaleMargin),"Low margin - the discount is too deep",IF(AND(H153&lt;&gt;"",I153="",H153&lt;TodayDate),"Overdue - not despatched",IF(AND(M153="No",I153&lt;&gt;"",TodayDate-I153&gt;30),"Chase - unpaid over 30 days",IF(AB153="No","Check - below your minimum order","OK")))))))</f>
        <v>0</v>
      </c>
    </row>
    <row r="154" spans="1:30">
      <c r="A154" s="38">
        <f>IF(B154="","",OrderPrefix&amp;TEXT(ROW()-4,"0000"))</f>
        <v>0</v>
      </c>
      <c r="O154" s="13">
        <f>IF(C154="","",IFERROR(INDEX('Wholesale Customers'!$B$5:$B$64,MATCH(C154,'Wholesale Customers'!$A$5:$A$64,0)),"Not found"))</f>
        <v>0</v>
      </c>
      <c r="P154" s="13">
        <f>IF(E154="","",IFERROR(INDEX(Products!$B$5:$B$304,MATCH(E154,Products!$A$5:$A$304,0)),"Not found"))</f>
        <v>0</v>
      </c>
      <c r="Q154" s="13">
        <f>IF(B154="","",TEXT(B154,"yyyy-mm"))</f>
        <v>0</v>
      </c>
      <c r="R154" s="33">
        <f>IF(C154="","",IFERROR(INDEX('Wholesale Customers'!$P$5:$P$64,MATCH(C154,'Wholesale Customers'!$A$5:$A$64,0)),WholesaleDiscount))</f>
        <v>0</v>
      </c>
      <c r="S154" s="20">
        <f>IF(E154="","",IFERROR(INDEX(Products!$AR$5:$AR$304,MATCH(E154,Products!$A$5:$A$304,0)),""))</f>
        <v>0</v>
      </c>
      <c r="T154" s="20">
        <f>IF(E154="","",IF(G154&lt;&gt;"",G154,IF(S154="","",ROUND(S154*(1-R154),2))))</f>
        <v>0</v>
      </c>
      <c r="U154" s="20">
        <f>IF(E154="","",IFERROR(INDEX(Products!$AH$5:$AH$304,MATCH(E154,Products!$A$5:$A$304,0)),""))</f>
        <v>0</v>
      </c>
      <c r="V154" s="20">
        <f>IF(E154="","",IF(OR(F154="",T154=""),"",ROUND(F154*T154,2)))</f>
        <v>0</v>
      </c>
      <c r="W154" s="20">
        <f>IF(E154="","",IF(OR(F154="",U154=""),"",ROUND(F154*U154+MAX(0,IF(K154="",0,K154)-IF(J154="",0,J154)),2)))</f>
        <v>0</v>
      </c>
      <c r="X154" s="20">
        <f>IF(E154="","",IF(V154="","",ROUND(V154-W154,2)))</f>
        <v>0</v>
      </c>
      <c r="Y154" s="33">
        <f>IF(E154="","",IF(OR(V154="",V154=0),"",X154/V154))</f>
        <v>0</v>
      </c>
      <c r="Z154" s="41">
        <f>IF(E154="","",IFERROR(ROUND(F154*INDEX(Products!$X$5:$X$304,MATCH(E154,Products!$A$5:$A$304,0))/60,1),""))</f>
        <v>0</v>
      </c>
      <c r="AA154" s="20">
        <f>IF(E154="","",IF(OR(Z154="",Z154=0),"",ROUND(X154/Z154,2)))</f>
        <v>0</v>
      </c>
      <c r="AB154" s="42">
        <f>IF(E154="","",IF(V154="","",IF(AND(V154&gt;=MinOrderValue,F154&gt;=MinOrderQty),"Yes","No")))</f>
        <v>0</v>
      </c>
      <c r="AC154" s="32">
        <f>IF(B154="","",IF(I154="","",I154-B154))</f>
        <v>0</v>
      </c>
      <c r="AD154" s="43">
        <f>IF(B154="","",IF(E154="","Add - which product?",IF(X154&lt;0,"Loss - this order costs you money",IF(AND(Y154&lt;&gt;"",Y154&lt;TargetWholesaleMargin),"Low margin - the discount is too deep",IF(AND(H154&lt;&gt;"",I154="",H154&lt;TodayDate),"Overdue - not despatched",IF(AND(M154="No",I154&lt;&gt;"",TodayDate-I154&gt;30),"Chase - unpaid over 30 days",IF(AB154="No","Check - below your minimum order","OK")))))))</f>
        <v>0</v>
      </c>
    </row>
    <row r="155" spans="1:30">
      <c r="A155" s="38">
        <f>IF(B155="","",OrderPrefix&amp;TEXT(ROW()-4,"0000"))</f>
        <v>0</v>
      </c>
      <c r="O155" s="13">
        <f>IF(C155="","",IFERROR(INDEX('Wholesale Customers'!$B$5:$B$64,MATCH(C155,'Wholesale Customers'!$A$5:$A$64,0)),"Not found"))</f>
        <v>0</v>
      </c>
      <c r="P155" s="13">
        <f>IF(E155="","",IFERROR(INDEX(Products!$B$5:$B$304,MATCH(E155,Products!$A$5:$A$304,0)),"Not found"))</f>
        <v>0</v>
      </c>
      <c r="Q155" s="13">
        <f>IF(B155="","",TEXT(B155,"yyyy-mm"))</f>
        <v>0</v>
      </c>
      <c r="R155" s="33">
        <f>IF(C155="","",IFERROR(INDEX('Wholesale Customers'!$P$5:$P$64,MATCH(C155,'Wholesale Customers'!$A$5:$A$64,0)),WholesaleDiscount))</f>
        <v>0</v>
      </c>
      <c r="S155" s="20">
        <f>IF(E155="","",IFERROR(INDEX(Products!$AR$5:$AR$304,MATCH(E155,Products!$A$5:$A$304,0)),""))</f>
        <v>0</v>
      </c>
      <c r="T155" s="20">
        <f>IF(E155="","",IF(G155&lt;&gt;"",G155,IF(S155="","",ROUND(S155*(1-R155),2))))</f>
        <v>0</v>
      </c>
      <c r="U155" s="20">
        <f>IF(E155="","",IFERROR(INDEX(Products!$AH$5:$AH$304,MATCH(E155,Products!$A$5:$A$304,0)),""))</f>
        <v>0</v>
      </c>
      <c r="V155" s="20">
        <f>IF(E155="","",IF(OR(F155="",T155=""),"",ROUND(F155*T155,2)))</f>
        <v>0</v>
      </c>
      <c r="W155" s="20">
        <f>IF(E155="","",IF(OR(F155="",U155=""),"",ROUND(F155*U155+MAX(0,IF(K155="",0,K155)-IF(J155="",0,J155)),2)))</f>
        <v>0</v>
      </c>
      <c r="X155" s="20">
        <f>IF(E155="","",IF(V155="","",ROUND(V155-W155,2)))</f>
        <v>0</v>
      </c>
      <c r="Y155" s="33">
        <f>IF(E155="","",IF(OR(V155="",V155=0),"",X155/V155))</f>
        <v>0</v>
      </c>
      <c r="Z155" s="41">
        <f>IF(E155="","",IFERROR(ROUND(F155*INDEX(Products!$X$5:$X$304,MATCH(E155,Products!$A$5:$A$304,0))/60,1),""))</f>
        <v>0</v>
      </c>
      <c r="AA155" s="20">
        <f>IF(E155="","",IF(OR(Z155="",Z155=0),"",ROUND(X155/Z155,2)))</f>
        <v>0</v>
      </c>
      <c r="AB155" s="42">
        <f>IF(E155="","",IF(V155="","",IF(AND(V155&gt;=MinOrderValue,F155&gt;=MinOrderQty),"Yes","No")))</f>
        <v>0</v>
      </c>
      <c r="AC155" s="32">
        <f>IF(B155="","",IF(I155="","",I155-B155))</f>
        <v>0</v>
      </c>
      <c r="AD155" s="43">
        <f>IF(B155="","",IF(E155="","Add - which product?",IF(X155&lt;0,"Loss - this order costs you money",IF(AND(Y155&lt;&gt;"",Y155&lt;TargetWholesaleMargin),"Low margin - the discount is too deep",IF(AND(H155&lt;&gt;"",I155="",H155&lt;TodayDate),"Overdue - not despatched",IF(AND(M155="No",I155&lt;&gt;"",TodayDate-I155&gt;30),"Chase - unpaid over 30 days",IF(AB155="No","Check - below your minimum order","OK")))))))</f>
        <v>0</v>
      </c>
    </row>
    <row r="156" spans="1:30">
      <c r="A156" s="38">
        <f>IF(B156="","",OrderPrefix&amp;TEXT(ROW()-4,"0000"))</f>
        <v>0</v>
      </c>
      <c r="O156" s="13">
        <f>IF(C156="","",IFERROR(INDEX('Wholesale Customers'!$B$5:$B$64,MATCH(C156,'Wholesale Customers'!$A$5:$A$64,0)),"Not found"))</f>
        <v>0</v>
      </c>
      <c r="P156" s="13">
        <f>IF(E156="","",IFERROR(INDEX(Products!$B$5:$B$304,MATCH(E156,Products!$A$5:$A$304,0)),"Not found"))</f>
        <v>0</v>
      </c>
      <c r="Q156" s="13">
        <f>IF(B156="","",TEXT(B156,"yyyy-mm"))</f>
        <v>0</v>
      </c>
      <c r="R156" s="33">
        <f>IF(C156="","",IFERROR(INDEX('Wholesale Customers'!$P$5:$P$64,MATCH(C156,'Wholesale Customers'!$A$5:$A$64,0)),WholesaleDiscount))</f>
        <v>0</v>
      </c>
      <c r="S156" s="20">
        <f>IF(E156="","",IFERROR(INDEX(Products!$AR$5:$AR$304,MATCH(E156,Products!$A$5:$A$304,0)),""))</f>
        <v>0</v>
      </c>
      <c r="T156" s="20">
        <f>IF(E156="","",IF(G156&lt;&gt;"",G156,IF(S156="","",ROUND(S156*(1-R156),2))))</f>
        <v>0</v>
      </c>
      <c r="U156" s="20">
        <f>IF(E156="","",IFERROR(INDEX(Products!$AH$5:$AH$304,MATCH(E156,Products!$A$5:$A$304,0)),""))</f>
        <v>0</v>
      </c>
      <c r="V156" s="20">
        <f>IF(E156="","",IF(OR(F156="",T156=""),"",ROUND(F156*T156,2)))</f>
        <v>0</v>
      </c>
      <c r="W156" s="20">
        <f>IF(E156="","",IF(OR(F156="",U156=""),"",ROUND(F156*U156+MAX(0,IF(K156="",0,K156)-IF(J156="",0,J156)),2)))</f>
        <v>0</v>
      </c>
      <c r="X156" s="20">
        <f>IF(E156="","",IF(V156="","",ROUND(V156-W156,2)))</f>
        <v>0</v>
      </c>
      <c r="Y156" s="33">
        <f>IF(E156="","",IF(OR(V156="",V156=0),"",X156/V156))</f>
        <v>0</v>
      </c>
      <c r="Z156" s="41">
        <f>IF(E156="","",IFERROR(ROUND(F156*INDEX(Products!$X$5:$X$304,MATCH(E156,Products!$A$5:$A$304,0))/60,1),""))</f>
        <v>0</v>
      </c>
      <c r="AA156" s="20">
        <f>IF(E156="","",IF(OR(Z156="",Z156=0),"",ROUND(X156/Z156,2)))</f>
        <v>0</v>
      </c>
      <c r="AB156" s="42">
        <f>IF(E156="","",IF(V156="","",IF(AND(V156&gt;=MinOrderValue,F156&gt;=MinOrderQty),"Yes","No")))</f>
        <v>0</v>
      </c>
      <c r="AC156" s="32">
        <f>IF(B156="","",IF(I156="","",I156-B156))</f>
        <v>0</v>
      </c>
      <c r="AD156" s="43">
        <f>IF(B156="","",IF(E156="","Add - which product?",IF(X156&lt;0,"Loss - this order costs you money",IF(AND(Y156&lt;&gt;"",Y156&lt;TargetWholesaleMargin),"Low margin - the discount is too deep",IF(AND(H156&lt;&gt;"",I156="",H156&lt;TodayDate),"Overdue - not despatched",IF(AND(M156="No",I156&lt;&gt;"",TodayDate-I156&gt;30),"Chase - unpaid over 30 days",IF(AB156="No","Check - below your minimum order","OK")))))))</f>
        <v>0</v>
      </c>
    </row>
    <row r="157" spans="1:30">
      <c r="A157" s="38">
        <f>IF(B157="","",OrderPrefix&amp;TEXT(ROW()-4,"0000"))</f>
        <v>0</v>
      </c>
      <c r="O157" s="13">
        <f>IF(C157="","",IFERROR(INDEX('Wholesale Customers'!$B$5:$B$64,MATCH(C157,'Wholesale Customers'!$A$5:$A$64,0)),"Not found"))</f>
        <v>0</v>
      </c>
      <c r="P157" s="13">
        <f>IF(E157="","",IFERROR(INDEX(Products!$B$5:$B$304,MATCH(E157,Products!$A$5:$A$304,0)),"Not found"))</f>
        <v>0</v>
      </c>
      <c r="Q157" s="13">
        <f>IF(B157="","",TEXT(B157,"yyyy-mm"))</f>
        <v>0</v>
      </c>
      <c r="R157" s="33">
        <f>IF(C157="","",IFERROR(INDEX('Wholesale Customers'!$P$5:$P$64,MATCH(C157,'Wholesale Customers'!$A$5:$A$64,0)),WholesaleDiscount))</f>
        <v>0</v>
      </c>
      <c r="S157" s="20">
        <f>IF(E157="","",IFERROR(INDEX(Products!$AR$5:$AR$304,MATCH(E157,Products!$A$5:$A$304,0)),""))</f>
        <v>0</v>
      </c>
      <c r="T157" s="20">
        <f>IF(E157="","",IF(G157&lt;&gt;"",G157,IF(S157="","",ROUND(S157*(1-R157),2))))</f>
        <v>0</v>
      </c>
      <c r="U157" s="20">
        <f>IF(E157="","",IFERROR(INDEX(Products!$AH$5:$AH$304,MATCH(E157,Products!$A$5:$A$304,0)),""))</f>
        <v>0</v>
      </c>
      <c r="V157" s="20">
        <f>IF(E157="","",IF(OR(F157="",T157=""),"",ROUND(F157*T157,2)))</f>
        <v>0</v>
      </c>
      <c r="W157" s="20">
        <f>IF(E157="","",IF(OR(F157="",U157=""),"",ROUND(F157*U157+MAX(0,IF(K157="",0,K157)-IF(J157="",0,J157)),2)))</f>
        <v>0</v>
      </c>
      <c r="X157" s="20">
        <f>IF(E157="","",IF(V157="","",ROUND(V157-W157,2)))</f>
        <v>0</v>
      </c>
      <c r="Y157" s="33">
        <f>IF(E157="","",IF(OR(V157="",V157=0),"",X157/V157))</f>
        <v>0</v>
      </c>
      <c r="Z157" s="41">
        <f>IF(E157="","",IFERROR(ROUND(F157*INDEX(Products!$X$5:$X$304,MATCH(E157,Products!$A$5:$A$304,0))/60,1),""))</f>
        <v>0</v>
      </c>
      <c r="AA157" s="20">
        <f>IF(E157="","",IF(OR(Z157="",Z157=0),"",ROUND(X157/Z157,2)))</f>
        <v>0</v>
      </c>
      <c r="AB157" s="42">
        <f>IF(E157="","",IF(V157="","",IF(AND(V157&gt;=MinOrderValue,F157&gt;=MinOrderQty),"Yes","No")))</f>
        <v>0</v>
      </c>
      <c r="AC157" s="32">
        <f>IF(B157="","",IF(I157="","",I157-B157))</f>
        <v>0</v>
      </c>
      <c r="AD157" s="43">
        <f>IF(B157="","",IF(E157="","Add - which product?",IF(X157&lt;0,"Loss - this order costs you money",IF(AND(Y157&lt;&gt;"",Y157&lt;TargetWholesaleMargin),"Low margin - the discount is too deep",IF(AND(H157&lt;&gt;"",I157="",H157&lt;TodayDate),"Overdue - not despatched",IF(AND(M157="No",I157&lt;&gt;"",TodayDate-I157&gt;30),"Chase - unpaid over 30 days",IF(AB157="No","Check - below your minimum order","OK")))))))</f>
        <v>0</v>
      </c>
    </row>
    <row r="158" spans="1:30">
      <c r="A158" s="38">
        <f>IF(B158="","",OrderPrefix&amp;TEXT(ROW()-4,"0000"))</f>
        <v>0</v>
      </c>
      <c r="O158" s="13">
        <f>IF(C158="","",IFERROR(INDEX('Wholesale Customers'!$B$5:$B$64,MATCH(C158,'Wholesale Customers'!$A$5:$A$64,0)),"Not found"))</f>
        <v>0</v>
      </c>
      <c r="P158" s="13">
        <f>IF(E158="","",IFERROR(INDEX(Products!$B$5:$B$304,MATCH(E158,Products!$A$5:$A$304,0)),"Not found"))</f>
        <v>0</v>
      </c>
      <c r="Q158" s="13">
        <f>IF(B158="","",TEXT(B158,"yyyy-mm"))</f>
        <v>0</v>
      </c>
      <c r="R158" s="33">
        <f>IF(C158="","",IFERROR(INDEX('Wholesale Customers'!$P$5:$P$64,MATCH(C158,'Wholesale Customers'!$A$5:$A$64,0)),WholesaleDiscount))</f>
        <v>0</v>
      </c>
      <c r="S158" s="20">
        <f>IF(E158="","",IFERROR(INDEX(Products!$AR$5:$AR$304,MATCH(E158,Products!$A$5:$A$304,0)),""))</f>
        <v>0</v>
      </c>
      <c r="T158" s="20">
        <f>IF(E158="","",IF(G158&lt;&gt;"",G158,IF(S158="","",ROUND(S158*(1-R158),2))))</f>
        <v>0</v>
      </c>
      <c r="U158" s="20">
        <f>IF(E158="","",IFERROR(INDEX(Products!$AH$5:$AH$304,MATCH(E158,Products!$A$5:$A$304,0)),""))</f>
        <v>0</v>
      </c>
      <c r="V158" s="20">
        <f>IF(E158="","",IF(OR(F158="",T158=""),"",ROUND(F158*T158,2)))</f>
        <v>0</v>
      </c>
      <c r="W158" s="20">
        <f>IF(E158="","",IF(OR(F158="",U158=""),"",ROUND(F158*U158+MAX(0,IF(K158="",0,K158)-IF(J158="",0,J158)),2)))</f>
        <v>0</v>
      </c>
      <c r="X158" s="20">
        <f>IF(E158="","",IF(V158="","",ROUND(V158-W158,2)))</f>
        <v>0</v>
      </c>
      <c r="Y158" s="33">
        <f>IF(E158="","",IF(OR(V158="",V158=0),"",X158/V158))</f>
        <v>0</v>
      </c>
      <c r="Z158" s="41">
        <f>IF(E158="","",IFERROR(ROUND(F158*INDEX(Products!$X$5:$X$304,MATCH(E158,Products!$A$5:$A$304,0))/60,1),""))</f>
        <v>0</v>
      </c>
      <c r="AA158" s="20">
        <f>IF(E158="","",IF(OR(Z158="",Z158=0),"",ROUND(X158/Z158,2)))</f>
        <v>0</v>
      </c>
      <c r="AB158" s="42">
        <f>IF(E158="","",IF(V158="","",IF(AND(V158&gt;=MinOrderValue,F158&gt;=MinOrderQty),"Yes","No")))</f>
        <v>0</v>
      </c>
      <c r="AC158" s="32">
        <f>IF(B158="","",IF(I158="","",I158-B158))</f>
        <v>0</v>
      </c>
      <c r="AD158" s="43">
        <f>IF(B158="","",IF(E158="","Add - which product?",IF(X158&lt;0,"Loss - this order costs you money",IF(AND(Y158&lt;&gt;"",Y158&lt;TargetWholesaleMargin),"Low margin - the discount is too deep",IF(AND(H158&lt;&gt;"",I158="",H158&lt;TodayDate),"Overdue - not despatched",IF(AND(M158="No",I158&lt;&gt;"",TodayDate-I158&gt;30),"Chase - unpaid over 30 days",IF(AB158="No","Check - below your minimum order","OK")))))))</f>
        <v>0</v>
      </c>
    </row>
    <row r="159" spans="1:30">
      <c r="A159" s="38">
        <f>IF(B159="","",OrderPrefix&amp;TEXT(ROW()-4,"0000"))</f>
        <v>0</v>
      </c>
      <c r="O159" s="13">
        <f>IF(C159="","",IFERROR(INDEX('Wholesale Customers'!$B$5:$B$64,MATCH(C159,'Wholesale Customers'!$A$5:$A$64,0)),"Not found"))</f>
        <v>0</v>
      </c>
      <c r="P159" s="13">
        <f>IF(E159="","",IFERROR(INDEX(Products!$B$5:$B$304,MATCH(E159,Products!$A$5:$A$304,0)),"Not found"))</f>
        <v>0</v>
      </c>
      <c r="Q159" s="13">
        <f>IF(B159="","",TEXT(B159,"yyyy-mm"))</f>
        <v>0</v>
      </c>
      <c r="R159" s="33">
        <f>IF(C159="","",IFERROR(INDEX('Wholesale Customers'!$P$5:$P$64,MATCH(C159,'Wholesale Customers'!$A$5:$A$64,0)),WholesaleDiscount))</f>
        <v>0</v>
      </c>
      <c r="S159" s="20">
        <f>IF(E159="","",IFERROR(INDEX(Products!$AR$5:$AR$304,MATCH(E159,Products!$A$5:$A$304,0)),""))</f>
        <v>0</v>
      </c>
      <c r="T159" s="20">
        <f>IF(E159="","",IF(G159&lt;&gt;"",G159,IF(S159="","",ROUND(S159*(1-R159),2))))</f>
        <v>0</v>
      </c>
      <c r="U159" s="20">
        <f>IF(E159="","",IFERROR(INDEX(Products!$AH$5:$AH$304,MATCH(E159,Products!$A$5:$A$304,0)),""))</f>
        <v>0</v>
      </c>
      <c r="V159" s="20">
        <f>IF(E159="","",IF(OR(F159="",T159=""),"",ROUND(F159*T159,2)))</f>
        <v>0</v>
      </c>
      <c r="W159" s="20">
        <f>IF(E159="","",IF(OR(F159="",U159=""),"",ROUND(F159*U159+MAX(0,IF(K159="",0,K159)-IF(J159="",0,J159)),2)))</f>
        <v>0</v>
      </c>
      <c r="X159" s="20">
        <f>IF(E159="","",IF(V159="","",ROUND(V159-W159,2)))</f>
        <v>0</v>
      </c>
      <c r="Y159" s="33">
        <f>IF(E159="","",IF(OR(V159="",V159=0),"",X159/V159))</f>
        <v>0</v>
      </c>
      <c r="Z159" s="41">
        <f>IF(E159="","",IFERROR(ROUND(F159*INDEX(Products!$X$5:$X$304,MATCH(E159,Products!$A$5:$A$304,0))/60,1),""))</f>
        <v>0</v>
      </c>
      <c r="AA159" s="20">
        <f>IF(E159="","",IF(OR(Z159="",Z159=0),"",ROUND(X159/Z159,2)))</f>
        <v>0</v>
      </c>
      <c r="AB159" s="42">
        <f>IF(E159="","",IF(V159="","",IF(AND(V159&gt;=MinOrderValue,F159&gt;=MinOrderQty),"Yes","No")))</f>
        <v>0</v>
      </c>
      <c r="AC159" s="32">
        <f>IF(B159="","",IF(I159="","",I159-B159))</f>
        <v>0</v>
      </c>
      <c r="AD159" s="43">
        <f>IF(B159="","",IF(E159="","Add - which product?",IF(X159&lt;0,"Loss - this order costs you money",IF(AND(Y159&lt;&gt;"",Y159&lt;TargetWholesaleMargin),"Low margin - the discount is too deep",IF(AND(H159&lt;&gt;"",I159="",H159&lt;TodayDate),"Overdue - not despatched",IF(AND(M159="No",I159&lt;&gt;"",TodayDate-I159&gt;30),"Chase - unpaid over 30 days",IF(AB159="No","Check - below your minimum order","OK")))))))</f>
        <v>0</v>
      </c>
    </row>
    <row r="160" spans="1:30">
      <c r="A160" s="38">
        <f>IF(B160="","",OrderPrefix&amp;TEXT(ROW()-4,"0000"))</f>
        <v>0</v>
      </c>
      <c r="O160" s="13">
        <f>IF(C160="","",IFERROR(INDEX('Wholesale Customers'!$B$5:$B$64,MATCH(C160,'Wholesale Customers'!$A$5:$A$64,0)),"Not found"))</f>
        <v>0</v>
      </c>
      <c r="P160" s="13">
        <f>IF(E160="","",IFERROR(INDEX(Products!$B$5:$B$304,MATCH(E160,Products!$A$5:$A$304,0)),"Not found"))</f>
        <v>0</v>
      </c>
      <c r="Q160" s="13">
        <f>IF(B160="","",TEXT(B160,"yyyy-mm"))</f>
        <v>0</v>
      </c>
      <c r="R160" s="33">
        <f>IF(C160="","",IFERROR(INDEX('Wholesale Customers'!$P$5:$P$64,MATCH(C160,'Wholesale Customers'!$A$5:$A$64,0)),WholesaleDiscount))</f>
        <v>0</v>
      </c>
      <c r="S160" s="20">
        <f>IF(E160="","",IFERROR(INDEX(Products!$AR$5:$AR$304,MATCH(E160,Products!$A$5:$A$304,0)),""))</f>
        <v>0</v>
      </c>
      <c r="T160" s="20">
        <f>IF(E160="","",IF(G160&lt;&gt;"",G160,IF(S160="","",ROUND(S160*(1-R160),2))))</f>
        <v>0</v>
      </c>
      <c r="U160" s="20">
        <f>IF(E160="","",IFERROR(INDEX(Products!$AH$5:$AH$304,MATCH(E160,Products!$A$5:$A$304,0)),""))</f>
        <v>0</v>
      </c>
      <c r="V160" s="20">
        <f>IF(E160="","",IF(OR(F160="",T160=""),"",ROUND(F160*T160,2)))</f>
        <v>0</v>
      </c>
      <c r="W160" s="20">
        <f>IF(E160="","",IF(OR(F160="",U160=""),"",ROUND(F160*U160+MAX(0,IF(K160="",0,K160)-IF(J160="",0,J160)),2)))</f>
        <v>0</v>
      </c>
      <c r="X160" s="20">
        <f>IF(E160="","",IF(V160="","",ROUND(V160-W160,2)))</f>
        <v>0</v>
      </c>
      <c r="Y160" s="33">
        <f>IF(E160="","",IF(OR(V160="",V160=0),"",X160/V160))</f>
        <v>0</v>
      </c>
      <c r="Z160" s="41">
        <f>IF(E160="","",IFERROR(ROUND(F160*INDEX(Products!$X$5:$X$304,MATCH(E160,Products!$A$5:$A$304,0))/60,1),""))</f>
        <v>0</v>
      </c>
      <c r="AA160" s="20">
        <f>IF(E160="","",IF(OR(Z160="",Z160=0),"",ROUND(X160/Z160,2)))</f>
        <v>0</v>
      </c>
      <c r="AB160" s="42">
        <f>IF(E160="","",IF(V160="","",IF(AND(V160&gt;=MinOrderValue,F160&gt;=MinOrderQty),"Yes","No")))</f>
        <v>0</v>
      </c>
      <c r="AC160" s="32">
        <f>IF(B160="","",IF(I160="","",I160-B160))</f>
        <v>0</v>
      </c>
      <c r="AD160" s="43">
        <f>IF(B160="","",IF(E160="","Add - which product?",IF(X160&lt;0,"Loss - this order costs you money",IF(AND(Y160&lt;&gt;"",Y160&lt;TargetWholesaleMargin),"Low margin - the discount is too deep",IF(AND(H160&lt;&gt;"",I160="",H160&lt;TodayDate),"Overdue - not despatched",IF(AND(M160="No",I160&lt;&gt;"",TodayDate-I160&gt;30),"Chase - unpaid over 30 days",IF(AB160="No","Check - below your minimum order","OK")))))))</f>
        <v>0</v>
      </c>
    </row>
    <row r="161" spans="1:30">
      <c r="A161" s="38">
        <f>IF(B161="","",OrderPrefix&amp;TEXT(ROW()-4,"0000"))</f>
        <v>0</v>
      </c>
      <c r="O161" s="13">
        <f>IF(C161="","",IFERROR(INDEX('Wholesale Customers'!$B$5:$B$64,MATCH(C161,'Wholesale Customers'!$A$5:$A$64,0)),"Not found"))</f>
        <v>0</v>
      </c>
      <c r="P161" s="13">
        <f>IF(E161="","",IFERROR(INDEX(Products!$B$5:$B$304,MATCH(E161,Products!$A$5:$A$304,0)),"Not found"))</f>
        <v>0</v>
      </c>
      <c r="Q161" s="13">
        <f>IF(B161="","",TEXT(B161,"yyyy-mm"))</f>
        <v>0</v>
      </c>
      <c r="R161" s="33">
        <f>IF(C161="","",IFERROR(INDEX('Wholesale Customers'!$P$5:$P$64,MATCH(C161,'Wholesale Customers'!$A$5:$A$64,0)),WholesaleDiscount))</f>
        <v>0</v>
      </c>
      <c r="S161" s="20">
        <f>IF(E161="","",IFERROR(INDEX(Products!$AR$5:$AR$304,MATCH(E161,Products!$A$5:$A$304,0)),""))</f>
        <v>0</v>
      </c>
      <c r="T161" s="20">
        <f>IF(E161="","",IF(G161&lt;&gt;"",G161,IF(S161="","",ROUND(S161*(1-R161),2))))</f>
        <v>0</v>
      </c>
      <c r="U161" s="20">
        <f>IF(E161="","",IFERROR(INDEX(Products!$AH$5:$AH$304,MATCH(E161,Products!$A$5:$A$304,0)),""))</f>
        <v>0</v>
      </c>
      <c r="V161" s="20">
        <f>IF(E161="","",IF(OR(F161="",T161=""),"",ROUND(F161*T161,2)))</f>
        <v>0</v>
      </c>
      <c r="W161" s="20">
        <f>IF(E161="","",IF(OR(F161="",U161=""),"",ROUND(F161*U161+MAX(0,IF(K161="",0,K161)-IF(J161="",0,J161)),2)))</f>
        <v>0</v>
      </c>
      <c r="X161" s="20">
        <f>IF(E161="","",IF(V161="","",ROUND(V161-W161,2)))</f>
        <v>0</v>
      </c>
      <c r="Y161" s="33">
        <f>IF(E161="","",IF(OR(V161="",V161=0),"",X161/V161))</f>
        <v>0</v>
      </c>
      <c r="Z161" s="41">
        <f>IF(E161="","",IFERROR(ROUND(F161*INDEX(Products!$X$5:$X$304,MATCH(E161,Products!$A$5:$A$304,0))/60,1),""))</f>
        <v>0</v>
      </c>
      <c r="AA161" s="20">
        <f>IF(E161="","",IF(OR(Z161="",Z161=0),"",ROUND(X161/Z161,2)))</f>
        <v>0</v>
      </c>
      <c r="AB161" s="42">
        <f>IF(E161="","",IF(V161="","",IF(AND(V161&gt;=MinOrderValue,F161&gt;=MinOrderQty),"Yes","No")))</f>
        <v>0</v>
      </c>
      <c r="AC161" s="32">
        <f>IF(B161="","",IF(I161="","",I161-B161))</f>
        <v>0</v>
      </c>
      <c r="AD161" s="43">
        <f>IF(B161="","",IF(E161="","Add - which product?",IF(X161&lt;0,"Loss - this order costs you money",IF(AND(Y161&lt;&gt;"",Y161&lt;TargetWholesaleMargin),"Low margin - the discount is too deep",IF(AND(H161&lt;&gt;"",I161="",H161&lt;TodayDate),"Overdue - not despatched",IF(AND(M161="No",I161&lt;&gt;"",TodayDate-I161&gt;30),"Chase - unpaid over 30 days",IF(AB161="No","Check - below your minimum order","OK")))))))</f>
        <v>0</v>
      </c>
    </row>
    <row r="162" spans="1:30">
      <c r="A162" s="38">
        <f>IF(B162="","",OrderPrefix&amp;TEXT(ROW()-4,"0000"))</f>
        <v>0</v>
      </c>
      <c r="O162" s="13">
        <f>IF(C162="","",IFERROR(INDEX('Wholesale Customers'!$B$5:$B$64,MATCH(C162,'Wholesale Customers'!$A$5:$A$64,0)),"Not found"))</f>
        <v>0</v>
      </c>
      <c r="P162" s="13">
        <f>IF(E162="","",IFERROR(INDEX(Products!$B$5:$B$304,MATCH(E162,Products!$A$5:$A$304,0)),"Not found"))</f>
        <v>0</v>
      </c>
      <c r="Q162" s="13">
        <f>IF(B162="","",TEXT(B162,"yyyy-mm"))</f>
        <v>0</v>
      </c>
      <c r="R162" s="33">
        <f>IF(C162="","",IFERROR(INDEX('Wholesale Customers'!$P$5:$P$64,MATCH(C162,'Wholesale Customers'!$A$5:$A$64,0)),WholesaleDiscount))</f>
        <v>0</v>
      </c>
      <c r="S162" s="20">
        <f>IF(E162="","",IFERROR(INDEX(Products!$AR$5:$AR$304,MATCH(E162,Products!$A$5:$A$304,0)),""))</f>
        <v>0</v>
      </c>
      <c r="T162" s="20">
        <f>IF(E162="","",IF(G162&lt;&gt;"",G162,IF(S162="","",ROUND(S162*(1-R162),2))))</f>
        <v>0</v>
      </c>
      <c r="U162" s="20">
        <f>IF(E162="","",IFERROR(INDEX(Products!$AH$5:$AH$304,MATCH(E162,Products!$A$5:$A$304,0)),""))</f>
        <v>0</v>
      </c>
      <c r="V162" s="20">
        <f>IF(E162="","",IF(OR(F162="",T162=""),"",ROUND(F162*T162,2)))</f>
        <v>0</v>
      </c>
      <c r="W162" s="20">
        <f>IF(E162="","",IF(OR(F162="",U162=""),"",ROUND(F162*U162+MAX(0,IF(K162="",0,K162)-IF(J162="",0,J162)),2)))</f>
        <v>0</v>
      </c>
      <c r="X162" s="20">
        <f>IF(E162="","",IF(V162="","",ROUND(V162-W162,2)))</f>
        <v>0</v>
      </c>
      <c r="Y162" s="33">
        <f>IF(E162="","",IF(OR(V162="",V162=0),"",X162/V162))</f>
        <v>0</v>
      </c>
      <c r="Z162" s="41">
        <f>IF(E162="","",IFERROR(ROUND(F162*INDEX(Products!$X$5:$X$304,MATCH(E162,Products!$A$5:$A$304,0))/60,1),""))</f>
        <v>0</v>
      </c>
      <c r="AA162" s="20">
        <f>IF(E162="","",IF(OR(Z162="",Z162=0),"",ROUND(X162/Z162,2)))</f>
        <v>0</v>
      </c>
      <c r="AB162" s="42">
        <f>IF(E162="","",IF(V162="","",IF(AND(V162&gt;=MinOrderValue,F162&gt;=MinOrderQty),"Yes","No")))</f>
        <v>0</v>
      </c>
      <c r="AC162" s="32">
        <f>IF(B162="","",IF(I162="","",I162-B162))</f>
        <v>0</v>
      </c>
      <c r="AD162" s="43">
        <f>IF(B162="","",IF(E162="","Add - which product?",IF(X162&lt;0,"Loss - this order costs you money",IF(AND(Y162&lt;&gt;"",Y162&lt;TargetWholesaleMargin),"Low margin - the discount is too deep",IF(AND(H162&lt;&gt;"",I162="",H162&lt;TodayDate),"Overdue - not despatched",IF(AND(M162="No",I162&lt;&gt;"",TodayDate-I162&gt;30),"Chase - unpaid over 30 days",IF(AB162="No","Check - below your minimum order","OK")))))))</f>
        <v>0</v>
      </c>
    </row>
    <row r="163" spans="1:30">
      <c r="A163" s="38">
        <f>IF(B163="","",OrderPrefix&amp;TEXT(ROW()-4,"0000"))</f>
        <v>0</v>
      </c>
      <c r="O163" s="13">
        <f>IF(C163="","",IFERROR(INDEX('Wholesale Customers'!$B$5:$B$64,MATCH(C163,'Wholesale Customers'!$A$5:$A$64,0)),"Not found"))</f>
        <v>0</v>
      </c>
      <c r="P163" s="13">
        <f>IF(E163="","",IFERROR(INDEX(Products!$B$5:$B$304,MATCH(E163,Products!$A$5:$A$304,0)),"Not found"))</f>
        <v>0</v>
      </c>
      <c r="Q163" s="13">
        <f>IF(B163="","",TEXT(B163,"yyyy-mm"))</f>
        <v>0</v>
      </c>
      <c r="R163" s="33">
        <f>IF(C163="","",IFERROR(INDEX('Wholesale Customers'!$P$5:$P$64,MATCH(C163,'Wholesale Customers'!$A$5:$A$64,0)),WholesaleDiscount))</f>
        <v>0</v>
      </c>
      <c r="S163" s="20">
        <f>IF(E163="","",IFERROR(INDEX(Products!$AR$5:$AR$304,MATCH(E163,Products!$A$5:$A$304,0)),""))</f>
        <v>0</v>
      </c>
      <c r="T163" s="20">
        <f>IF(E163="","",IF(G163&lt;&gt;"",G163,IF(S163="","",ROUND(S163*(1-R163),2))))</f>
        <v>0</v>
      </c>
      <c r="U163" s="20">
        <f>IF(E163="","",IFERROR(INDEX(Products!$AH$5:$AH$304,MATCH(E163,Products!$A$5:$A$304,0)),""))</f>
        <v>0</v>
      </c>
      <c r="V163" s="20">
        <f>IF(E163="","",IF(OR(F163="",T163=""),"",ROUND(F163*T163,2)))</f>
        <v>0</v>
      </c>
      <c r="W163" s="20">
        <f>IF(E163="","",IF(OR(F163="",U163=""),"",ROUND(F163*U163+MAX(0,IF(K163="",0,K163)-IF(J163="",0,J163)),2)))</f>
        <v>0</v>
      </c>
      <c r="X163" s="20">
        <f>IF(E163="","",IF(V163="","",ROUND(V163-W163,2)))</f>
        <v>0</v>
      </c>
      <c r="Y163" s="33">
        <f>IF(E163="","",IF(OR(V163="",V163=0),"",X163/V163))</f>
        <v>0</v>
      </c>
      <c r="Z163" s="41">
        <f>IF(E163="","",IFERROR(ROUND(F163*INDEX(Products!$X$5:$X$304,MATCH(E163,Products!$A$5:$A$304,0))/60,1),""))</f>
        <v>0</v>
      </c>
      <c r="AA163" s="20">
        <f>IF(E163="","",IF(OR(Z163="",Z163=0),"",ROUND(X163/Z163,2)))</f>
        <v>0</v>
      </c>
      <c r="AB163" s="42">
        <f>IF(E163="","",IF(V163="","",IF(AND(V163&gt;=MinOrderValue,F163&gt;=MinOrderQty),"Yes","No")))</f>
        <v>0</v>
      </c>
      <c r="AC163" s="32">
        <f>IF(B163="","",IF(I163="","",I163-B163))</f>
        <v>0</v>
      </c>
      <c r="AD163" s="43">
        <f>IF(B163="","",IF(E163="","Add - which product?",IF(X163&lt;0,"Loss - this order costs you money",IF(AND(Y163&lt;&gt;"",Y163&lt;TargetWholesaleMargin),"Low margin - the discount is too deep",IF(AND(H163&lt;&gt;"",I163="",H163&lt;TodayDate),"Overdue - not despatched",IF(AND(M163="No",I163&lt;&gt;"",TodayDate-I163&gt;30),"Chase - unpaid over 30 days",IF(AB163="No","Check - below your minimum order","OK")))))))</f>
        <v>0</v>
      </c>
    </row>
    <row r="164" spans="1:30">
      <c r="A164" s="38">
        <f>IF(B164="","",OrderPrefix&amp;TEXT(ROW()-4,"0000"))</f>
        <v>0</v>
      </c>
      <c r="O164" s="13">
        <f>IF(C164="","",IFERROR(INDEX('Wholesale Customers'!$B$5:$B$64,MATCH(C164,'Wholesale Customers'!$A$5:$A$64,0)),"Not found"))</f>
        <v>0</v>
      </c>
      <c r="P164" s="13">
        <f>IF(E164="","",IFERROR(INDEX(Products!$B$5:$B$304,MATCH(E164,Products!$A$5:$A$304,0)),"Not found"))</f>
        <v>0</v>
      </c>
      <c r="Q164" s="13">
        <f>IF(B164="","",TEXT(B164,"yyyy-mm"))</f>
        <v>0</v>
      </c>
      <c r="R164" s="33">
        <f>IF(C164="","",IFERROR(INDEX('Wholesale Customers'!$P$5:$P$64,MATCH(C164,'Wholesale Customers'!$A$5:$A$64,0)),WholesaleDiscount))</f>
        <v>0</v>
      </c>
      <c r="S164" s="20">
        <f>IF(E164="","",IFERROR(INDEX(Products!$AR$5:$AR$304,MATCH(E164,Products!$A$5:$A$304,0)),""))</f>
        <v>0</v>
      </c>
      <c r="T164" s="20">
        <f>IF(E164="","",IF(G164&lt;&gt;"",G164,IF(S164="","",ROUND(S164*(1-R164),2))))</f>
        <v>0</v>
      </c>
      <c r="U164" s="20">
        <f>IF(E164="","",IFERROR(INDEX(Products!$AH$5:$AH$304,MATCH(E164,Products!$A$5:$A$304,0)),""))</f>
        <v>0</v>
      </c>
      <c r="V164" s="20">
        <f>IF(E164="","",IF(OR(F164="",T164=""),"",ROUND(F164*T164,2)))</f>
        <v>0</v>
      </c>
      <c r="W164" s="20">
        <f>IF(E164="","",IF(OR(F164="",U164=""),"",ROUND(F164*U164+MAX(0,IF(K164="",0,K164)-IF(J164="",0,J164)),2)))</f>
        <v>0</v>
      </c>
      <c r="X164" s="20">
        <f>IF(E164="","",IF(V164="","",ROUND(V164-W164,2)))</f>
        <v>0</v>
      </c>
      <c r="Y164" s="33">
        <f>IF(E164="","",IF(OR(V164="",V164=0),"",X164/V164))</f>
        <v>0</v>
      </c>
      <c r="Z164" s="41">
        <f>IF(E164="","",IFERROR(ROUND(F164*INDEX(Products!$X$5:$X$304,MATCH(E164,Products!$A$5:$A$304,0))/60,1),""))</f>
        <v>0</v>
      </c>
      <c r="AA164" s="20">
        <f>IF(E164="","",IF(OR(Z164="",Z164=0),"",ROUND(X164/Z164,2)))</f>
        <v>0</v>
      </c>
      <c r="AB164" s="42">
        <f>IF(E164="","",IF(V164="","",IF(AND(V164&gt;=MinOrderValue,F164&gt;=MinOrderQty),"Yes","No")))</f>
        <v>0</v>
      </c>
      <c r="AC164" s="32">
        <f>IF(B164="","",IF(I164="","",I164-B164))</f>
        <v>0</v>
      </c>
      <c r="AD164" s="43">
        <f>IF(B164="","",IF(E164="","Add - which product?",IF(X164&lt;0,"Loss - this order costs you money",IF(AND(Y164&lt;&gt;"",Y164&lt;TargetWholesaleMargin),"Low margin - the discount is too deep",IF(AND(H164&lt;&gt;"",I164="",H164&lt;TodayDate),"Overdue - not despatched",IF(AND(M164="No",I164&lt;&gt;"",TodayDate-I164&gt;30),"Chase - unpaid over 30 days",IF(AB164="No","Check - below your minimum order","OK")))))))</f>
        <v>0</v>
      </c>
    </row>
    <row r="165" spans="1:30">
      <c r="A165" s="38">
        <f>IF(B165="","",OrderPrefix&amp;TEXT(ROW()-4,"0000"))</f>
        <v>0</v>
      </c>
      <c r="O165" s="13">
        <f>IF(C165="","",IFERROR(INDEX('Wholesale Customers'!$B$5:$B$64,MATCH(C165,'Wholesale Customers'!$A$5:$A$64,0)),"Not found"))</f>
        <v>0</v>
      </c>
      <c r="P165" s="13">
        <f>IF(E165="","",IFERROR(INDEX(Products!$B$5:$B$304,MATCH(E165,Products!$A$5:$A$304,0)),"Not found"))</f>
        <v>0</v>
      </c>
      <c r="Q165" s="13">
        <f>IF(B165="","",TEXT(B165,"yyyy-mm"))</f>
        <v>0</v>
      </c>
      <c r="R165" s="33">
        <f>IF(C165="","",IFERROR(INDEX('Wholesale Customers'!$P$5:$P$64,MATCH(C165,'Wholesale Customers'!$A$5:$A$64,0)),WholesaleDiscount))</f>
        <v>0</v>
      </c>
      <c r="S165" s="20">
        <f>IF(E165="","",IFERROR(INDEX(Products!$AR$5:$AR$304,MATCH(E165,Products!$A$5:$A$304,0)),""))</f>
        <v>0</v>
      </c>
      <c r="T165" s="20">
        <f>IF(E165="","",IF(G165&lt;&gt;"",G165,IF(S165="","",ROUND(S165*(1-R165),2))))</f>
        <v>0</v>
      </c>
      <c r="U165" s="20">
        <f>IF(E165="","",IFERROR(INDEX(Products!$AH$5:$AH$304,MATCH(E165,Products!$A$5:$A$304,0)),""))</f>
        <v>0</v>
      </c>
      <c r="V165" s="20">
        <f>IF(E165="","",IF(OR(F165="",T165=""),"",ROUND(F165*T165,2)))</f>
        <v>0</v>
      </c>
      <c r="W165" s="20">
        <f>IF(E165="","",IF(OR(F165="",U165=""),"",ROUND(F165*U165+MAX(0,IF(K165="",0,K165)-IF(J165="",0,J165)),2)))</f>
        <v>0</v>
      </c>
      <c r="X165" s="20">
        <f>IF(E165="","",IF(V165="","",ROUND(V165-W165,2)))</f>
        <v>0</v>
      </c>
      <c r="Y165" s="33">
        <f>IF(E165="","",IF(OR(V165="",V165=0),"",X165/V165))</f>
        <v>0</v>
      </c>
      <c r="Z165" s="41">
        <f>IF(E165="","",IFERROR(ROUND(F165*INDEX(Products!$X$5:$X$304,MATCH(E165,Products!$A$5:$A$304,0))/60,1),""))</f>
        <v>0</v>
      </c>
      <c r="AA165" s="20">
        <f>IF(E165="","",IF(OR(Z165="",Z165=0),"",ROUND(X165/Z165,2)))</f>
        <v>0</v>
      </c>
      <c r="AB165" s="42">
        <f>IF(E165="","",IF(V165="","",IF(AND(V165&gt;=MinOrderValue,F165&gt;=MinOrderQty),"Yes","No")))</f>
        <v>0</v>
      </c>
      <c r="AC165" s="32">
        <f>IF(B165="","",IF(I165="","",I165-B165))</f>
        <v>0</v>
      </c>
      <c r="AD165" s="43">
        <f>IF(B165="","",IF(E165="","Add - which product?",IF(X165&lt;0,"Loss - this order costs you money",IF(AND(Y165&lt;&gt;"",Y165&lt;TargetWholesaleMargin),"Low margin - the discount is too deep",IF(AND(H165&lt;&gt;"",I165="",H165&lt;TodayDate),"Overdue - not despatched",IF(AND(M165="No",I165&lt;&gt;"",TodayDate-I165&gt;30),"Chase - unpaid over 30 days",IF(AB165="No","Check - below your minimum order","OK")))))))</f>
        <v>0</v>
      </c>
    </row>
    <row r="166" spans="1:30">
      <c r="A166" s="38">
        <f>IF(B166="","",OrderPrefix&amp;TEXT(ROW()-4,"0000"))</f>
        <v>0</v>
      </c>
      <c r="O166" s="13">
        <f>IF(C166="","",IFERROR(INDEX('Wholesale Customers'!$B$5:$B$64,MATCH(C166,'Wholesale Customers'!$A$5:$A$64,0)),"Not found"))</f>
        <v>0</v>
      </c>
      <c r="P166" s="13">
        <f>IF(E166="","",IFERROR(INDEX(Products!$B$5:$B$304,MATCH(E166,Products!$A$5:$A$304,0)),"Not found"))</f>
        <v>0</v>
      </c>
      <c r="Q166" s="13">
        <f>IF(B166="","",TEXT(B166,"yyyy-mm"))</f>
        <v>0</v>
      </c>
      <c r="R166" s="33">
        <f>IF(C166="","",IFERROR(INDEX('Wholesale Customers'!$P$5:$P$64,MATCH(C166,'Wholesale Customers'!$A$5:$A$64,0)),WholesaleDiscount))</f>
        <v>0</v>
      </c>
      <c r="S166" s="20">
        <f>IF(E166="","",IFERROR(INDEX(Products!$AR$5:$AR$304,MATCH(E166,Products!$A$5:$A$304,0)),""))</f>
        <v>0</v>
      </c>
      <c r="T166" s="20">
        <f>IF(E166="","",IF(G166&lt;&gt;"",G166,IF(S166="","",ROUND(S166*(1-R166),2))))</f>
        <v>0</v>
      </c>
      <c r="U166" s="20">
        <f>IF(E166="","",IFERROR(INDEX(Products!$AH$5:$AH$304,MATCH(E166,Products!$A$5:$A$304,0)),""))</f>
        <v>0</v>
      </c>
      <c r="V166" s="20">
        <f>IF(E166="","",IF(OR(F166="",T166=""),"",ROUND(F166*T166,2)))</f>
        <v>0</v>
      </c>
      <c r="W166" s="20">
        <f>IF(E166="","",IF(OR(F166="",U166=""),"",ROUND(F166*U166+MAX(0,IF(K166="",0,K166)-IF(J166="",0,J166)),2)))</f>
        <v>0</v>
      </c>
      <c r="X166" s="20">
        <f>IF(E166="","",IF(V166="","",ROUND(V166-W166,2)))</f>
        <v>0</v>
      </c>
      <c r="Y166" s="33">
        <f>IF(E166="","",IF(OR(V166="",V166=0),"",X166/V166))</f>
        <v>0</v>
      </c>
      <c r="Z166" s="41">
        <f>IF(E166="","",IFERROR(ROUND(F166*INDEX(Products!$X$5:$X$304,MATCH(E166,Products!$A$5:$A$304,0))/60,1),""))</f>
        <v>0</v>
      </c>
      <c r="AA166" s="20">
        <f>IF(E166="","",IF(OR(Z166="",Z166=0),"",ROUND(X166/Z166,2)))</f>
        <v>0</v>
      </c>
      <c r="AB166" s="42">
        <f>IF(E166="","",IF(V166="","",IF(AND(V166&gt;=MinOrderValue,F166&gt;=MinOrderQty),"Yes","No")))</f>
        <v>0</v>
      </c>
      <c r="AC166" s="32">
        <f>IF(B166="","",IF(I166="","",I166-B166))</f>
        <v>0</v>
      </c>
      <c r="AD166" s="43">
        <f>IF(B166="","",IF(E166="","Add - which product?",IF(X166&lt;0,"Loss - this order costs you money",IF(AND(Y166&lt;&gt;"",Y166&lt;TargetWholesaleMargin),"Low margin - the discount is too deep",IF(AND(H166&lt;&gt;"",I166="",H166&lt;TodayDate),"Overdue - not despatched",IF(AND(M166="No",I166&lt;&gt;"",TodayDate-I166&gt;30),"Chase - unpaid over 30 days",IF(AB166="No","Check - below your minimum order","OK")))))))</f>
        <v>0</v>
      </c>
    </row>
    <row r="167" spans="1:30">
      <c r="A167" s="38">
        <f>IF(B167="","",OrderPrefix&amp;TEXT(ROW()-4,"0000"))</f>
        <v>0</v>
      </c>
      <c r="O167" s="13">
        <f>IF(C167="","",IFERROR(INDEX('Wholesale Customers'!$B$5:$B$64,MATCH(C167,'Wholesale Customers'!$A$5:$A$64,0)),"Not found"))</f>
        <v>0</v>
      </c>
      <c r="P167" s="13">
        <f>IF(E167="","",IFERROR(INDEX(Products!$B$5:$B$304,MATCH(E167,Products!$A$5:$A$304,0)),"Not found"))</f>
        <v>0</v>
      </c>
      <c r="Q167" s="13">
        <f>IF(B167="","",TEXT(B167,"yyyy-mm"))</f>
        <v>0</v>
      </c>
      <c r="R167" s="33">
        <f>IF(C167="","",IFERROR(INDEX('Wholesale Customers'!$P$5:$P$64,MATCH(C167,'Wholesale Customers'!$A$5:$A$64,0)),WholesaleDiscount))</f>
        <v>0</v>
      </c>
      <c r="S167" s="20">
        <f>IF(E167="","",IFERROR(INDEX(Products!$AR$5:$AR$304,MATCH(E167,Products!$A$5:$A$304,0)),""))</f>
        <v>0</v>
      </c>
      <c r="T167" s="20">
        <f>IF(E167="","",IF(G167&lt;&gt;"",G167,IF(S167="","",ROUND(S167*(1-R167),2))))</f>
        <v>0</v>
      </c>
      <c r="U167" s="20">
        <f>IF(E167="","",IFERROR(INDEX(Products!$AH$5:$AH$304,MATCH(E167,Products!$A$5:$A$304,0)),""))</f>
        <v>0</v>
      </c>
      <c r="V167" s="20">
        <f>IF(E167="","",IF(OR(F167="",T167=""),"",ROUND(F167*T167,2)))</f>
        <v>0</v>
      </c>
      <c r="W167" s="20">
        <f>IF(E167="","",IF(OR(F167="",U167=""),"",ROUND(F167*U167+MAX(0,IF(K167="",0,K167)-IF(J167="",0,J167)),2)))</f>
        <v>0</v>
      </c>
      <c r="X167" s="20">
        <f>IF(E167="","",IF(V167="","",ROUND(V167-W167,2)))</f>
        <v>0</v>
      </c>
      <c r="Y167" s="33">
        <f>IF(E167="","",IF(OR(V167="",V167=0),"",X167/V167))</f>
        <v>0</v>
      </c>
      <c r="Z167" s="41">
        <f>IF(E167="","",IFERROR(ROUND(F167*INDEX(Products!$X$5:$X$304,MATCH(E167,Products!$A$5:$A$304,0))/60,1),""))</f>
        <v>0</v>
      </c>
      <c r="AA167" s="20">
        <f>IF(E167="","",IF(OR(Z167="",Z167=0),"",ROUND(X167/Z167,2)))</f>
        <v>0</v>
      </c>
      <c r="AB167" s="42">
        <f>IF(E167="","",IF(V167="","",IF(AND(V167&gt;=MinOrderValue,F167&gt;=MinOrderQty),"Yes","No")))</f>
        <v>0</v>
      </c>
      <c r="AC167" s="32">
        <f>IF(B167="","",IF(I167="","",I167-B167))</f>
        <v>0</v>
      </c>
      <c r="AD167" s="43">
        <f>IF(B167="","",IF(E167="","Add - which product?",IF(X167&lt;0,"Loss - this order costs you money",IF(AND(Y167&lt;&gt;"",Y167&lt;TargetWholesaleMargin),"Low margin - the discount is too deep",IF(AND(H167&lt;&gt;"",I167="",H167&lt;TodayDate),"Overdue - not despatched",IF(AND(M167="No",I167&lt;&gt;"",TodayDate-I167&gt;30),"Chase - unpaid over 30 days",IF(AB167="No","Check - below your minimum order","OK")))))))</f>
        <v>0</v>
      </c>
    </row>
    <row r="168" spans="1:30">
      <c r="A168" s="38">
        <f>IF(B168="","",OrderPrefix&amp;TEXT(ROW()-4,"0000"))</f>
        <v>0</v>
      </c>
      <c r="O168" s="13">
        <f>IF(C168="","",IFERROR(INDEX('Wholesale Customers'!$B$5:$B$64,MATCH(C168,'Wholesale Customers'!$A$5:$A$64,0)),"Not found"))</f>
        <v>0</v>
      </c>
      <c r="P168" s="13">
        <f>IF(E168="","",IFERROR(INDEX(Products!$B$5:$B$304,MATCH(E168,Products!$A$5:$A$304,0)),"Not found"))</f>
        <v>0</v>
      </c>
      <c r="Q168" s="13">
        <f>IF(B168="","",TEXT(B168,"yyyy-mm"))</f>
        <v>0</v>
      </c>
      <c r="R168" s="33">
        <f>IF(C168="","",IFERROR(INDEX('Wholesale Customers'!$P$5:$P$64,MATCH(C168,'Wholesale Customers'!$A$5:$A$64,0)),WholesaleDiscount))</f>
        <v>0</v>
      </c>
      <c r="S168" s="20">
        <f>IF(E168="","",IFERROR(INDEX(Products!$AR$5:$AR$304,MATCH(E168,Products!$A$5:$A$304,0)),""))</f>
        <v>0</v>
      </c>
      <c r="T168" s="20">
        <f>IF(E168="","",IF(G168&lt;&gt;"",G168,IF(S168="","",ROUND(S168*(1-R168),2))))</f>
        <v>0</v>
      </c>
      <c r="U168" s="20">
        <f>IF(E168="","",IFERROR(INDEX(Products!$AH$5:$AH$304,MATCH(E168,Products!$A$5:$A$304,0)),""))</f>
        <v>0</v>
      </c>
      <c r="V168" s="20">
        <f>IF(E168="","",IF(OR(F168="",T168=""),"",ROUND(F168*T168,2)))</f>
        <v>0</v>
      </c>
      <c r="W168" s="20">
        <f>IF(E168="","",IF(OR(F168="",U168=""),"",ROUND(F168*U168+MAX(0,IF(K168="",0,K168)-IF(J168="",0,J168)),2)))</f>
        <v>0</v>
      </c>
      <c r="X168" s="20">
        <f>IF(E168="","",IF(V168="","",ROUND(V168-W168,2)))</f>
        <v>0</v>
      </c>
      <c r="Y168" s="33">
        <f>IF(E168="","",IF(OR(V168="",V168=0),"",X168/V168))</f>
        <v>0</v>
      </c>
      <c r="Z168" s="41">
        <f>IF(E168="","",IFERROR(ROUND(F168*INDEX(Products!$X$5:$X$304,MATCH(E168,Products!$A$5:$A$304,0))/60,1),""))</f>
        <v>0</v>
      </c>
      <c r="AA168" s="20">
        <f>IF(E168="","",IF(OR(Z168="",Z168=0),"",ROUND(X168/Z168,2)))</f>
        <v>0</v>
      </c>
      <c r="AB168" s="42">
        <f>IF(E168="","",IF(V168="","",IF(AND(V168&gt;=MinOrderValue,F168&gt;=MinOrderQty),"Yes","No")))</f>
        <v>0</v>
      </c>
      <c r="AC168" s="32">
        <f>IF(B168="","",IF(I168="","",I168-B168))</f>
        <v>0</v>
      </c>
      <c r="AD168" s="43">
        <f>IF(B168="","",IF(E168="","Add - which product?",IF(X168&lt;0,"Loss - this order costs you money",IF(AND(Y168&lt;&gt;"",Y168&lt;TargetWholesaleMargin),"Low margin - the discount is too deep",IF(AND(H168&lt;&gt;"",I168="",H168&lt;TodayDate),"Overdue - not despatched",IF(AND(M168="No",I168&lt;&gt;"",TodayDate-I168&gt;30),"Chase - unpaid over 30 days",IF(AB168="No","Check - below your minimum order","OK")))))))</f>
        <v>0</v>
      </c>
    </row>
    <row r="169" spans="1:30">
      <c r="A169" s="38">
        <f>IF(B169="","",OrderPrefix&amp;TEXT(ROW()-4,"0000"))</f>
        <v>0</v>
      </c>
      <c r="O169" s="13">
        <f>IF(C169="","",IFERROR(INDEX('Wholesale Customers'!$B$5:$B$64,MATCH(C169,'Wholesale Customers'!$A$5:$A$64,0)),"Not found"))</f>
        <v>0</v>
      </c>
      <c r="P169" s="13">
        <f>IF(E169="","",IFERROR(INDEX(Products!$B$5:$B$304,MATCH(E169,Products!$A$5:$A$304,0)),"Not found"))</f>
        <v>0</v>
      </c>
      <c r="Q169" s="13">
        <f>IF(B169="","",TEXT(B169,"yyyy-mm"))</f>
        <v>0</v>
      </c>
      <c r="R169" s="33">
        <f>IF(C169="","",IFERROR(INDEX('Wholesale Customers'!$P$5:$P$64,MATCH(C169,'Wholesale Customers'!$A$5:$A$64,0)),WholesaleDiscount))</f>
        <v>0</v>
      </c>
      <c r="S169" s="20">
        <f>IF(E169="","",IFERROR(INDEX(Products!$AR$5:$AR$304,MATCH(E169,Products!$A$5:$A$304,0)),""))</f>
        <v>0</v>
      </c>
      <c r="T169" s="20">
        <f>IF(E169="","",IF(G169&lt;&gt;"",G169,IF(S169="","",ROUND(S169*(1-R169),2))))</f>
        <v>0</v>
      </c>
      <c r="U169" s="20">
        <f>IF(E169="","",IFERROR(INDEX(Products!$AH$5:$AH$304,MATCH(E169,Products!$A$5:$A$304,0)),""))</f>
        <v>0</v>
      </c>
      <c r="V169" s="20">
        <f>IF(E169="","",IF(OR(F169="",T169=""),"",ROUND(F169*T169,2)))</f>
        <v>0</v>
      </c>
      <c r="W169" s="20">
        <f>IF(E169="","",IF(OR(F169="",U169=""),"",ROUND(F169*U169+MAX(0,IF(K169="",0,K169)-IF(J169="",0,J169)),2)))</f>
        <v>0</v>
      </c>
      <c r="X169" s="20">
        <f>IF(E169="","",IF(V169="","",ROUND(V169-W169,2)))</f>
        <v>0</v>
      </c>
      <c r="Y169" s="33">
        <f>IF(E169="","",IF(OR(V169="",V169=0),"",X169/V169))</f>
        <v>0</v>
      </c>
      <c r="Z169" s="41">
        <f>IF(E169="","",IFERROR(ROUND(F169*INDEX(Products!$X$5:$X$304,MATCH(E169,Products!$A$5:$A$304,0))/60,1),""))</f>
        <v>0</v>
      </c>
      <c r="AA169" s="20">
        <f>IF(E169="","",IF(OR(Z169="",Z169=0),"",ROUND(X169/Z169,2)))</f>
        <v>0</v>
      </c>
      <c r="AB169" s="42">
        <f>IF(E169="","",IF(V169="","",IF(AND(V169&gt;=MinOrderValue,F169&gt;=MinOrderQty),"Yes","No")))</f>
        <v>0</v>
      </c>
      <c r="AC169" s="32">
        <f>IF(B169="","",IF(I169="","",I169-B169))</f>
        <v>0</v>
      </c>
      <c r="AD169" s="43">
        <f>IF(B169="","",IF(E169="","Add - which product?",IF(X169&lt;0,"Loss - this order costs you money",IF(AND(Y169&lt;&gt;"",Y169&lt;TargetWholesaleMargin),"Low margin - the discount is too deep",IF(AND(H169&lt;&gt;"",I169="",H169&lt;TodayDate),"Overdue - not despatched",IF(AND(M169="No",I169&lt;&gt;"",TodayDate-I169&gt;30),"Chase - unpaid over 30 days",IF(AB169="No","Check - below your minimum order","OK")))))))</f>
        <v>0</v>
      </c>
    </row>
    <row r="170" spans="1:30">
      <c r="A170" s="38">
        <f>IF(B170="","",OrderPrefix&amp;TEXT(ROW()-4,"0000"))</f>
        <v>0</v>
      </c>
      <c r="O170" s="13">
        <f>IF(C170="","",IFERROR(INDEX('Wholesale Customers'!$B$5:$B$64,MATCH(C170,'Wholesale Customers'!$A$5:$A$64,0)),"Not found"))</f>
        <v>0</v>
      </c>
      <c r="P170" s="13">
        <f>IF(E170="","",IFERROR(INDEX(Products!$B$5:$B$304,MATCH(E170,Products!$A$5:$A$304,0)),"Not found"))</f>
        <v>0</v>
      </c>
      <c r="Q170" s="13">
        <f>IF(B170="","",TEXT(B170,"yyyy-mm"))</f>
        <v>0</v>
      </c>
      <c r="R170" s="33">
        <f>IF(C170="","",IFERROR(INDEX('Wholesale Customers'!$P$5:$P$64,MATCH(C170,'Wholesale Customers'!$A$5:$A$64,0)),WholesaleDiscount))</f>
        <v>0</v>
      </c>
      <c r="S170" s="20">
        <f>IF(E170="","",IFERROR(INDEX(Products!$AR$5:$AR$304,MATCH(E170,Products!$A$5:$A$304,0)),""))</f>
        <v>0</v>
      </c>
      <c r="T170" s="20">
        <f>IF(E170="","",IF(G170&lt;&gt;"",G170,IF(S170="","",ROUND(S170*(1-R170),2))))</f>
        <v>0</v>
      </c>
      <c r="U170" s="20">
        <f>IF(E170="","",IFERROR(INDEX(Products!$AH$5:$AH$304,MATCH(E170,Products!$A$5:$A$304,0)),""))</f>
        <v>0</v>
      </c>
      <c r="V170" s="20">
        <f>IF(E170="","",IF(OR(F170="",T170=""),"",ROUND(F170*T170,2)))</f>
        <v>0</v>
      </c>
      <c r="W170" s="20">
        <f>IF(E170="","",IF(OR(F170="",U170=""),"",ROUND(F170*U170+MAX(0,IF(K170="",0,K170)-IF(J170="",0,J170)),2)))</f>
        <v>0</v>
      </c>
      <c r="X170" s="20">
        <f>IF(E170="","",IF(V170="","",ROUND(V170-W170,2)))</f>
        <v>0</v>
      </c>
      <c r="Y170" s="33">
        <f>IF(E170="","",IF(OR(V170="",V170=0),"",X170/V170))</f>
        <v>0</v>
      </c>
      <c r="Z170" s="41">
        <f>IF(E170="","",IFERROR(ROUND(F170*INDEX(Products!$X$5:$X$304,MATCH(E170,Products!$A$5:$A$304,0))/60,1),""))</f>
        <v>0</v>
      </c>
      <c r="AA170" s="20">
        <f>IF(E170="","",IF(OR(Z170="",Z170=0),"",ROUND(X170/Z170,2)))</f>
        <v>0</v>
      </c>
      <c r="AB170" s="42">
        <f>IF(E170="","",IF(V170="","",IF(AND(V170&gt;=MinOrderValue,F170&gt;=MinOrderQty),"Yes","No")))</f>
        <v>0</v>
      </c>
      <c r="AC170" s="32">
        <f>IF(B170="","",IF(I170="","",I170-B170))</f>
        <v>0</v>
      </c>
      <c r="AD170" s="43">
        <f>IF(B170="","",IF(E170="","Add - which product?",IF(X170&lt;0,"Loss - this order costs you money",IF(AND(Y170&lt;&gt;"",Y170&lt;TargetWholesaleMargin),"Low margin - the discount is too deep",IF(AND(H170&lt;&gt;"",I170="",H170&lt;TodayDate),"Overdue - not despatched",IF(AND(M170="No",I170&lt;&gt;"",TodayDate-I170&gt;30),"Chase - unpaid over 30 days",IF(AB170="No","Check - below your minimum order","OK")))))))</f>
        <v>0</v>
      </c>
    </row>
    <row r="171" spans="1:30">
      <c r="A171" s="38">
        <f>IF(B171="","",OrderPrefix&amp;TEXT(ROW()-4,"0000"))</f>
        <v>0</v>
      </c>
      <c r="O171" s="13">
        <f>IF(C171="","",IFERROR(INDEX('Wholesale Customers'!$B$5:$B$64,MATCH(C171,'Wholesale Customers'!$A$5:$A$64,0)),"Not found"))</f>
        <v>0</v>
      </c>
      <c r="P171" s="13">
        <f>IF(E171="","",IFERROR(INDEX(Products!$B$5:$B$304,MATCH(E171,Products!$A$5:$A$304,0)),"Not found"))</f>
        <v>0</v>
      </c>
      <c r="Q171" s="13">
        <f>IF(B171="","",TEXT(B171,"yyyy-mm"))</f>
        <v>0</v>
      </c>
      <c r="R171" s="33">
        <f>IF(C171="","",IFERROR(INDEX('Wholesale Customers'!$P$5:$P$64,MATCH(C171,'Wholesale Customers'!$A$5:$A$64,0)),WholesaleDiscount))</f>
        <v>0</v>
      </c>
      <c r="S171" s="20">
        <f>IF(E171="","",IFERROR(INDEX(Products!$AR$5:$AR$304,MATCH(E171,Products!$A$5:$A$304,0)),""))</f>
        <v>0</v>
      </c>
      <c r="T171" s="20">
        <f>IF(E171="","",IF(G171&lt;&gt;"",G171,IF(S171="","",ROUND(S171*(1-R171),2))))</f>
        <v>0</v>
      </c>
      <c r="U171" s="20">
        <f>IF(E171="","",IFERROR(INDEX(Products!$AH$5:$AH$304,MATCH(E171,Products!$A$5:$A$304,0)),""))</f>
        <v>0</v>
      </c>
      <c r="V171" s="20">
        <f>IF(E171="","",IF(OR(F171="",T171=""),"",ROUND(F171*T171,2)))</f>
        <v>0</v>
      </c>
      <c r="W171" s="20">
        <f>IF(E171="","",IF(OR(F171="",U171=""),"",ROUND(F171*U171+MAX(0,IF(K171="",0,K171)-IF(J171="",0,J171)),2)))</f>
        <v>0</v>
      </c>
      <c r="X171" s="20">
        <f>IF(E171="","",IF(V171="","",ROUND(V171-W171,2)))</f>
        <v>0</v>
      </c>
      <c r="Y171" s="33">
        <f>IF(E171="","",IF(OR(V171="",V171=0),"",X171/V171))</f>
        <v>0</v>
      </c>
      <c r="Z171" s="41">
        <f>IF(E171="","",IFERROR(ROUND(F171*INDEX(Products!$X$5:$X$304,MATCH(E171,Products!$A$5:$A$304,0))/60,1),""))</f>
        <v>0</v>
      </c>
      <c r="AA171" s="20">
        <f>IF(E171="","",IF(OR(Z171="",Z171=0),"",ROUND(X171/Z171,2)))</f>
        <v>0</v>
      </c>
      <c r="AB171" s="42">
        <f>IF(E171="","",IF(V171="","",IF(AND(V171&gt;=MinOrderValue,F171&gt;=MinOrderQty),"Yes","No")))</f>
        <v>0</v>
      </c>
      <c r="AC171" s="32">
        <f>IF(B171="","",IF(I171="","",I171-B171))</f>
        <v>0</v>
      </c>
      <c r="AD171" s="43">
        <f>IF(B171="","",IF(E171="","Add - which product?",IF(X171&lt;0,"Loss - this order costs you money",IF(AND(Y171&lt;&gt;"",Y171&lt;TargetWholesaleMargin),"Low margin - the discount is too deep",IF(AND(H171&lt;&gt;"",I171="",H171&lt;TodayDate),"Overdue - not despatched",IF(AND(M171="No",I171&lt;&gt;"",TodayDate-I171&gt;30),"Chase - unpaid over 30 days",IF(AB171="No","Check - below your minimum order","OK")))))))</f>
        <v>0</v>
      </c>
    </row>
    <row r="172" spans="1:30">
      <c r="A172" s="38">
        <f>IF(B172="","",OrderPrefix&amp;TEXT(ROW()-4,"0000"))</f>
        <v>0</v>
      </c>
      <c r="O172" s="13">
        <f>IF(C172="","",IFERROR(INDEX('Wholesale Customers'!$B$5:$B$64,MATCH(C172,'Wholesale Customers'!$A$5:$A$64,0)),"Not found"))</f>
        <v>0</v>
      </c>
      <c r="P172" s="13">
        <f>IF(E172="","",IFERROR(INDEX(Products!$B$5:$B$304,MATCH(E172,Products!$A$5:$A$304,0)),"Not found"))</f>
        <v>0</v>
      </c>
      <c r="Q172" s="13">
        <f>IF(B172="","",TEXT(B172,"yyyy-mm"))</f>
        <v>0</v>
      </c>
      <c r="R172" s="33">
        <f>IF(C172="","",IFERROR(INDEX('Wholesale Customers'!$P$5:$P$64,MATCH(C172,'Wholesale Customers'!$A$5:$A$64,0)),WholesaleDiscount))</f>
        <v>0</v>
      </c>
      <c r="S172" s="20">
        <f>IF(E172="","",IFERROR(INDEX(Products!$AR$5:$AR$304,MATCH(E172,Products!$A$5:$A$304,0)),""))</f>
        <v>0</v>
      </c>
      <c r="T172" s="20">
        <f>IF(E172="","",IF(G172&lt;&gt;"",G172,IF(S172="","",ROUND(S172*(1-R172),2))))</f>
        <v>0</v>
      </c>
      <c r="U172" s="20">
        <f>IF(E172="","",IFERROR(INDEX(Products!$AH$5:$AH$304,MATCH(E172,Products!$A$5:$A$304,0)),""))</f>
        <v>0</v>
      </c>
      <c r="V172" s="20">
        <f>IF(E172="","",IF(OR(F172="",T172=""),"",ROUND(F172*T172,2)))</f>
        <v>0</v>
      </c>
      <c r="W172" s="20">
        <f>IF(E172="","",IF(OR(F172="",U172=""),"",ROUND(F172*U172+MAX(0,IF(K172="",0,K172)-IF(J172="",0,J172)),2)))</f>
        <v>0</v>
      </c>
      <c r="X172" s="20">
        <f>IF(E172="","",IF(V172="","",ROUND(V172-W172,2)))</f>
        <v>0</v>
      </c>
      <c r="Y172" s="33">
        <f>IF(E172="","",IF(OR(V172="",V172=0),"",X172/V172))</f>
        <v>0</v>
      </c>
      <c r="Z172" s="41">
        <f>IF(E172="","",IFERROR(ROUND(F172*INDEX(Products!$X$5:$X$304,MATCH(E172,Products!$A$5:$A$304,0))/60,1),""))</f>
        <v>0</v>
      </c>
      <c r="AA172" s="20">
        <f>IF(E172="","",IF(OR(Z172="",Z172=0),"",ROUND(X172/Z172,2)))</f>
        <v>0</v>
      </c>
      <c r="AB172" s="42">
        <f>IF(E172="","",IF(V172="","",IF(AND(V172&gt;=MinOrderValue,F172&gt;=MinOrderQty),"Yes","No")))</f>
        <v>0</v>
      </c>
      <c r="AC172" s="32">
        <f>IF(B172="","",IF(I172="","",I172-B172))</f>
        <v>0</v>
      </c>
      <c r="AD172" s="43">
        <f>IF(B172="","",IF(E172="","Add - which product?",IF(X172&lt;0,"Loss - this order costs you money",IF(AND(Y172&lt;&gt;"",Y172&lt;TargetWholesaleMargin),"Low margin - the discount is too deep",IF(AND(H172&lt;&gt;"",I172="",H172&lt;TodayDate),"Overdue - not despatched",IF(AND(M172="No",I172&lt;&gt;"",TodayDate-I172&gt;30),"Chase - unpaid over 30 days",IF(AB172="No","Check - below your minimum order","OK")))))))</f>
        <v>0</v>
      </c>
    </row>
    <row r="173" spans="1:30">
      <c r="A173" s="38">
        <f>IF(B173="","",OrderPrefix&amp;TEXT(ROW()-4,"0000"))</f>
        <v>0</v>
      </c>
      <c r="O173" s="13">
        <f>IF(C173="","",IFERROR(INDEX('Wholesale Customers'!$B$5:$B$64,MATCH(C173,'Wholesale Customers'!$A$5:$A$64,0)),"Not found"))</f>
        <v>0</v>
      </c>
      <c r="P173" s="13">
        <f>IF(E173="","",IFERROR(INDEX(Products!$B$5:$B$304,MATCH(E173,Products!$A$5:$A$304,0)),"Not found"))</f>
        <v>0</v>
      </c>
      <c r="Q173" s="13">
        <f>IF(B173="","",TEXT(B173,"yyyy-mm"))</f>
        <v>0</v>
      </c>
      <c r="R173" s="33">
        <f>IF(C173="","",IFERROR(INDEX('Wholesale Customers'!$P$5:$P$64,MATCH(C173,'Wholesale Customers'!$A$5:$A$64,0)),WholesaleDiscount))</f>
        <v>0</v>
      </c>
      <c r="S173" s="20">
        <f>IF(E173="","",IFERROR(INDEX(Products!$AR$5:$AR$304,MATCH(E173,Products!$A$5:$A$304,0)),""))</f>
        <v>0</v>
      </c>
      <c r="T173" s="20">
        <f>IF(E173="","",IF(G173&lt;&gt;"",G173,IF(S173="","",ROUND(S173*(1-R173),2))))</f>
        <v>0</v>
      </c>
      <c r="U173" s="20">
        <f>IF(E173="","",IFERROR(INDEX(Products!$AH$5:$AH$304,MATCH(E173,Products!$A$5:$A$304,0)),""))</f>
        <v>0</v>
      </c>
      <c r="V173" s="20">
        <f>IF(E173="","",IF(OR(F173="",T173=""),"",ROUND(F173*T173,2)))</f>
        <v>0</v>
      </c>
      <c r="W173" s="20">
        <f>IF(E173="","",IF(OR(F173="",U173=""),"",ROUND(F173*U173+MAX(0,IF(K173="",0,K173)-IF(J173="",0,J173)),2)))</f>
        <v>0</v>
      </c>
      <c r="X173" s="20">
        <f>IF(E173="","",IF(V173="","",ROUND(V173-W173,2)))</f>
        <v>0</v>
      </c>
      <c r="Y173" s="33">
        <f>IF(E173="","",IF(OR(V173="",V173=0),"",X173/V173))</f>
        <v>0</v>
      </c>
      <c r="Z173" s="41">
        <f>IF(E173="","",IFERROR(ROUND(F173*INDEX(Products!$X$5:$X$304,MATCH(E173,Products!$A$5:$A$304,0))/60,1),""))</f>
        <v>0</v>
      </c>
      <c r="AA173" s="20">
        <f>IF(E173="","",IF(OR(Z173="",Z173=0),"",ROUND(X173/Z173,2)))</f>
        <v>0</v>
      </c>
      <c r="AB173" s="42">
        <f>IF(E173="","",IF(V173="","",IF(AND(V173&gt;=MinOrderValue,F173&gt;=MinOrderQty),"Yes","No")))</f>
        <v>0</v>
      </c>
      <c r="AC173" s="32">
        <f>IF(B173="","",IF(I173="","",I173-B173))</f>
        <v>0</v>
      </c>
      <c r="AD173" s="43">
        <f>IF(B173="","",IF(E173="","Add - which product?",IF(X173&lt;0,"Loss - this order costs you money",IF(AND(Y173&lt;&gt;"",Y173&lt;TargetWholesaleMargin),"Low margin - the discount is too deep",IF(AND(H173&lt;&gt;"",I173="",H173&lt;TodayDate),"Overdue - not despatched",IF(AND(M173="No",I173&lt;&gt;"",TodayDate-I173&gt;30),"Chase - unpaid over 30 days",IF(AB173="No","Check - below your minimum order","OK")))))))</f>
        <v>0</v>
      </c>
    </row>
    <row r="174" spans="1:30">
      <c r="A174" s="38">
        <f>IF(B174="","",OrderPrefix&amp;TEXT(ROW()-4,"0000"))</f>
        <v>0</v>
      </c>
      <c r="O174" s="13">
        <f>IF(C174="","",IFERROR(INDEX('Wholesale Customers'!$B$5:$B$64,MATCH(C174,'Wholesale Customers'!$A$5:$A$64,0)),"Not found"))</f>
        <v>0</v>
      </c>
      <c r="P174" s="13">
        <f>IF(E174="","",IFERROR(INDEX(Products!$B$5:$B$304,MATCH(E174,Products!$A$5:$A$304,0)),"Not found"))</f>
        <v>0</v>
      </c>
      <c r="Q174" s="13">
        <f>IF(B174="","",TEXT(B174,"yyyy-mm"))</f>
        <v>0</v>
      </c>
      <c r="R174" s="33">
        <f>IF(C174="","",IFERROR(INDEX('Wholesale Customers'!$P$5:$P$64,MATCH(C174,'Wholesale Customers'!$A$5:$A$64,0)),WholesaleDiscount))</f>
        <v>0</v>
      </c>
      <c r="S174" s="20">
        <f>IF(E174="","",IFERROR(INDEX(Products!$AR$5:$AR$304,MATCH(E174,Products!$A$5:$A$304,0)),""))</f>
        <v>0</v>
      </c>
      <c r="T174" s="20">
        <f>IF(E174="","",IF(G174&lt;&gt;"",G174,IF(S174="","",ROUND(S174*(1-R174),2))))</f>
        <v>0</v>
      </c>
      <c r="U174" s="20">
        <f>IF(E174="","",IFERROR(INDEX(Products!$AH$5:$AH$304,MATCH(E174,Products!$A$5:$A$304,0)),""))</f>
        <v>0</v>
      </c>
      <c r="V174" s="20">
        <f>IF(E174="","",IF(OR(F174="",T174=""),"",ROUND(F174*T174,2)))</f>
        <v>0</v>
      </c>
      <c r="W174" s="20">
        <f>IF(E174="","",IF(OR(F174="",U174=""),"",ROUND(F174*U174+MAX(0,IF(K174="",0,K174)-IF(J174="",0,J174)),2)))</f>
        <v>0</v>
      </c>
      <c r="X174" s="20">
        <f>IF(E174="","",IF(V174="","",ROUND(V174-W174,2)))</f>
        <v>0</v>
      </c>
      <c r="Y174" s="33">
        <f>IF(E174="","",IF(OR(V174="",V174=0),"",X174/V174))</f>
        <v>0</v>
      </c>
      <c r="Z174" s="41">
        <f>IF(E174="","",IFERROR(ROUND(F174*INDEX(Products!$X$5:$X$304,MATCH(E174,Products!$A$5:$A$304,0))/60,1),""))</f>
        <v>0</v>
      </c>
      <c r="AA174" s="20">
        <f>IF(E174="","",IF(OR(Z174="",Z174=0),"",ROUND(X174/Z174,2)))</f>
        <v>0</v>
      </c>
      <c r="AB174" s="42">
        <f>IF(E174="","",IF(V174="","",IF(AND(V174&gt;=MinOrderValue,F174&gt;=MinOrderQty),"Yes","No")))</f>
        <v>0</v>
      </c>
      <c r="AC174" s="32">
        <f>IF(B174="","",IF(I174="","",I174-B174))</f>
        <v>0</v>
      </c>
      <c r="AD174" s="43">
        <f>IF(B174="","",IF(E174="","Add - which product?",IF(X174&lt;0,"Loss - this order costs you money",IF(AND(Y174&lt;&gt;"",Y174&lt;TargetWholesaleMargin),"Low margin - the discount is too deep",IF(AND(H174&lt;&gt;"",I174="",H174&lt;TodayDate),"Overdue - not despatched",IF(AND(M174="No",I174&lt;&gt;"",TodayDate-I174&gt;30),"Chase - unpaid over 30 days",IF(AB174="No","Check - below your minimum order","OK")))))))</f>
        <v>0</v>
      </c>
    </row>
    <row r="175" spans="1:30">
      <c r="A175" s="38">
        <f>IF(B175="","",OrderPrefix&amp;TEXT(ROW()-4,"0000"))</f>
        <v>0</v>
      </c>
      <c r="O175" s="13">
        <f>IF(C175="","",IFERROR(INDEX('Wholesale Customers'!$B$5:$B$64,MATCH(C175,'Wholesale Customers'!$A$5:$A$64,0)),"Not found"))</f>
        <v>0</v>
      </c>
      <c r="P175" s="13">
        <f>IF(E175="","",IFERROR(INDEX(Products!$B$5:$B$304,MATCH(E175,Products!$A$5:$A$304,0)),"Not found"))</f>
        <v>0</v>
      </c>
      <c r="Q175" s="13">
        <f>IF(B175="","",TEXT(B175,"yyyy-mm"))</f>
        <v>0</v>
      </c>
      <c r="R175" s="33">
        <f>IF(C175="","",IFERROR(INDEX('Wholesale Customers'!$P$5:$P$64,MATCH(C175,'Wholesale Customers'!$A$5:$A$64,0)),WholesaleDiscount))</f>
        <v>0</v>
      </c>
      <c r="S175" s="20">
        <f>IF(E175="","",IFERROR(INDEX(Products!$AR$5:$AR$304,MATCH(E175,Products!$A$5:$A$304,0)),""))</f>
        <v>0</v>
      </c>
      <c r="T175" s="20">
        <f>IF(E175="","",IF(G175&lt;&gt;"",G175,IF(S175="","",ROUND(S175*(1-R175),2))))</f>
        <v>0</v>
      </c>
      <c r="U175" s="20">
        <f>IF(E175="","",IFERROR(INDEX(Products!$AH$5:$AH$304,MATCH(E175,Products!$A$5:$A$304,0)),""))</f>
        <v>0</v>
      </c>
      <c r="V175" s="20">
        <f>IF(E175="","",IF(OR(F175="",T175=""),"",ROUND(F175*T175,2)))</f>
        <v>0</v>
      </c>
      <c r="W175" s="20">
        <f>IF(E175="","",IF(OR(F175="",U175=""),"",ROUND(F175*U175+MAX(0,IF(K175="",0,K175)-IF(J175="",0,J175)),2)))</f>
        <v>0</v>
      </c>
      <c r="X175" s="20">
        <f>IF(E175="","",IF(V175="","",ROUND(V175-W175,2)))</f>
        <v>0</v>
      </c>
      <c r="Y175" s="33">
        <f>IF(E175="","",IF(OR(V175="",V175=0),"",X175/V175))</f>
        <v>0</v>
      </c>
      <c r="Z175" s="41">
        <f>IF(E175="","",IFERROR(ROUND(F175*INDEX(Products!$X$5:$X$304,MATCH(E175,Products!$A$5:$A$304,0))/60,1),""))</f>
        <v>0</v>
      </c>
      <c r="AA175" s="20">
        <f>IF(E175="","",IF(OR(Z175="",Z175=0),"",ROUND(X175/Z175,2)))</f>
        <v>0</v>
      </c>
      <c r="AB175" s="42">
        <f>IF(E175="","",IF(V175="","",IF(AND(V175&gt;=MinOrderValue,F175&gt;=MinOrderQty),"Yes","No")))</f>
        <v>0</v>
      </c>
      <c r="AC175" s="32">
        <f>IF(B175="","",IF(I175="","",I175-B175))</f>
        <v>0</v>
      </c>
      <c r="AD175" s="43">
        <f>IF(B175="","",IF(E175="","Add - which product?",IF(X175&lt;0,"Loss - this order costs you money",IF(AND(Y175&lt;&gt;"",Y175&lt;TargetWholesaleMargin),"Low margin - the discount is too deep",IF(AND(H175&lt;&gt;"",I175="",H175&lt;TodayDate),"Overdue - not despatched",IF(AND(M175="No",I175&lt;&gt;"",TodayDate-I175&gt;30),"Chase - unpaid over 30 days",IF(AB175="No","Check - below your minimum order","OK")))))))</f>
        <v>0</v>
      </c>
    </row>
    <row r="176" spans="1:30">
      <c r="A176" s="38">
        <f>IF(B176="","",OrderPrefix&amp;TEXT(ROW()-4,"0000"))</f>
        <v>0</v>
      </c>
      <c r="O176" s="13">
        <f>IF(C176="","",IFERROR(INDEX('Wholesale Customers'!$B$5:$B$64,MATCH(C176,'Wholesale Customers'!$A$5:$A$64,0)),"Not found"))</f>
        <v>0</v>
      </c>
      <c r="P176" s="13">
        <f>IF(E176="","",IFERROR(INDEX(Products!$B$5:$B$304,MATCH(E176,Products!$A$5:$A$304,0)),"Not found"))</f>
        <v>0</v>
      </c>
      <c r="Q176" s="13">
        <f>IF(B176="","",TEXT(B176,"yyyy-mm"))</f>
        <v>0</v>
      </c>
      <c r="R176" s="33">
        <f>IF(C176="","",IFERROR(INDEX('Wholesale Customers'!$P$5:$P$64,MATCH(C176,'Wholesale Customers'!$A$5:$A$64,0)),WholesaleDiscount))</f>
        <v>0</v>
      </c>
      <c r="S176" s="20">
        <f>IF(E176="","",IFERROR(INDEX(Products!$AR$5:$AR$304,MATCH(E176,Products!$A$5:$A$304,0)),""))</f>
        <v>0</v>
      </c>
      <c r="T176" s="20">
        <f>IF(E176="","",IF(G176&lt;&gt;"",G176,IF(S176="","",ROUND(S176*(1-R176),2))))</f>
        <v>0</v>
      </c>
      <c r="U176" s="20">
        <f>IF(E176="","",IFERROR(INDEX(Products!$AH$5:$AH$304,MATCH(E176,Products!$A$5:$A$304,0)),""))</f>
        <v>0</v>
      </c>
      <c r="V176" s="20">
        <f>IF(E176="","",IF(OR(F176="",T176=""),"",ROUND(F176*T176,2)))</f>
        <v>0</v>
      </c>
      <c r="W176" s="20">
        <f>IF(E176="","",IF(OR(F176="",U176=""),"",ROUND(F176*U176+MAX(0,IF(K176="",0,K176)-IF(J176="",0,J176)),2)))</f>
        <v>0</v>
      </c>
      <c r="X176" s="20">
        <f>IF(E176="","",IF(V176="","",ROUND(V176-W176,2)))</f>
        <v>0</v>
      </c>
      <c r="Y176" s="33">
        <f>IF(E176="","",IF(OR(V176="",V176=0),"",X176/V176))</f>
        <v>0</v>
      </c>
      <c r="Z176" s="41">
        <f>IF(E176="","",IFERROR(ROUND(F176*INDEX(Products!$X$5:$X$304,MATCH(E176,Products!$A$5:$A$304,0))/60,1),""))</f>
        <v>0</v>
      </c>
      <c r="AA176" s="20">
        <f>IF(E176="","",IF(OR(Z176="",Z176=0),"",ROUND(X176/Z176,2)))</f>
        <v>0</v>
      </c>
      <c r="AB176" s="42">
        <f>IF(E176="","",IF(V176="","",IF(AND(V176&gt;=MinOrderValue,F176&gt;=MinOrderQty),"Yes","No")))</f>
        <v>0</v>
      </c>
      <c r="AC176" s="32">
        <f>IF(B176="","",IF(I176="","",I176-B176))</f>
        <v>0</v>
      </c>
      <c r="AD176" s="43">
        <f>IF(B176="","",IF(E176="","Add - which product?",IF(X176&lt;0,"Loss - this order costs you money",IF(AND(Y176&lt;&gt;"",Y176&lt;TargetWholesaleMargin),"Low margin - the discount is too deep",IF(AND(H176&lt;&gt;"",I176="",H176&lt;TodayDate),"Overdue - not despatched",IF(AND(M176="No",I176&lt;&gt;"",TodayDate-I176&gt;30),"Chase - unpaid over 30 days",IF(AB176="No","Check - below your minimum order","OK")))))))</f>
        <v>0</v>
      </c>
    </row>
    <row r="177" spans="1:30">
      <c r="A177" s="38">
        <f>IF(B177="","",OrderPrefix&amp;TEXT(ROW()-4,"0000"))</f>
        <v>0</v>
      </c>
      <c r="O177" s="13">
        <f>IF(C177="","",IFERROR(INDEX('Wholesale Customers'!$B$5:$B$64,MATCH(C177,'Wholesale Customers'!$A$5:$A$64,0)),"Not found"))</f>
        <v>0</v>
      </c>
      <c r="P177" s="13">
        <f>IF(E177="","",IFERROR(INDEX(Products!$B$5:$B$304,MATCH(E177,Products!$A$5:$A$304,0)),"Not found"))</f>
        <v>0</v>
      </c>
      <c r="Q177" s="13">
        <f>IF(B177="","",TEXT(B177,"yyyy-mm"))</f>
        <v>0</v>
      </c>
      <c r="R177" s="33">
        <f>IF(C177="","",IFERROR(INDEX('Wholesale Customers'!$P$5:$P$64,MATCH(C177,'Wholesale Customers'!$A$5:$A$64,0)),WholesaleDiscount))</f>
        <v>0</v>
      </c>
      <c r="S177" s="20">
        <f>IF(E177="","",IFERROR(INDEX(Products!$AR$5:$AR$304,MATCH(E177,Products!$A$5:$A$304,0)),""))</f>
        <v>0</v>
      </c>
      <c r="T177" s="20">
        <f>IF(E177="","",IF(G177&lt;&gt;"",G177,IF(S177="","",ROUND(S177*(1-R177),2))))</f>
        <v>0</v>
      </c>
      <c r="U177" s="20">
        <f>IF(E177="","",IFERROR(INDEX(Products!$AH$5:$AH$304,MATCH(E177,Products!$A$5:$A$304,0)),""))</f>
        <v>0</v>
      </c>
      <c r="V177" s="20">
        <f>IF(E177="","",IF(OR(F177="",T177=""),"",ROUND(F177*T177,2)))</f>
        <v>0</v>
      </c>
      <c r="W177" s="20">
        <f>IF(E177="","",IF(OR(F177="",U177=""),"",ROUND(F177*U177+MAX(0,IF(K177="",0,K177)-IF(J177="",0,J177)),2)))</f>
        <v>0</v>
      </c>
      <c r="X177" s="20">
        <f>IF(E177="","",IF(V177="","",ROUND(V177-W177,2)))</f>
        <v>0</v>
      </c>
      <c r="Y177" s="33">
        <f>IF(E177="","",IF(OR(V177="",V177=0),"",X177/V177))</f>
        <v>0</v>
      </c>
      <c r="Z177" s="41">
        <f>IF(E177="","",IFERROR(ROUND(F177*INDEX(Products!$X$5:$X$304,MATCH(E177,Products!$A$5:$A$304,0))/60,1),""))</f>
        <v>0</v>
      </c>
      <c r="AA177" s="20">
        <f>IF(E177="","",IF(OR(Z177="",Z177=0),"",ROUND(X177/Z177,2)))</f>
        <v>0</v>
      </c>
      <c r="AB177" s="42">
        <f>IF(E177="","",IF(V177="","",IF(AND(V177&gt;=MinOrderValue,F177&gt;=MinOrderQty),"Yes","No")))</f>
        <v>0</v>
      </c>
      <c r="AC177" s="32">
        <f>IF(B177="","",IF(I177="","",I177-B177))</f>
        <v>0</v>
      </c>
      <c r="AD177" s="43">
        <f>IF(B177="","",IF(E177="","Add - which product?",IF(X177&lt;0,"Loss - this order costs you money",IF(AND(Y177&lt;&gt;"",Y177&lt;TargetWholesaleMargin),"Low margin - the discount is too deep",IF(AND(H177&lt;&gt;"",I177="",H177&lt;TodayDate),"Overdue - not despatched",IF(AND(M177="No",I177&lt;&gt;"",TodayDate-I177&gt;30),"Chase - unpaid over 30 days",IF(AB177="No","Check - below your minimum order","OK")))))))</f>
        <v>0</v>
      </c>
    </row>
    <row r="178" spans="1:30">
      <c r="A178" s="38">
        <f>IF(B178="","",OrderPrefix&amp;TEXT(ROW()-4,"0000"))</f>
        <v>0</v>
      </c>
      <c r="O178" s="13">
        <f>IF(C178="","",IFERROR(INDEX('Wholesale Customers'!$B$5:$B$64,MATCH(C178,'Wholesale Customers'!$A$5:$A$64,0)),"Not found"))</f>
        <v>0</v>
      </c>
      <c r="P178" s="13">
        <f>IF(E178="","",IFERROR(INDEX(Products!$B$5:$B$304,MATCH(E178,Products!$A$5:$A$304,0)),"Not found"))</f>
        <v>0</v>
      </c>
      <c r="Q178" s="13">
        <f>IF(B178="","",TEXT(B178,"yyyy-mm"))</f>
        <v>0</v>
      </c>
      <c r="R178" s="33">
        <f>IF(C178="","",IFERROR(INDEX('Wholesale Customers'!$P$5:$P$64,MATCH(C178,'Wholesale Customers'!$A$5:$A$64,0)),WholesaleDiscount))</f>
        <v>0</v>
      </c>
      <c r="S178" s="20">
        <f>IF(E178="","",IFERROR(INDEX(Products!$AR$5:$AR$304,MATCH(E178,Products!$A$5:$A$304,0)),""))</f>
        <v>0</v>
      </c>
      <c r="T178" s="20">
        <f>IF(E178="","",IF(G178&lt;&gt;"",G178,IF(S178="","",ROUND(S178*(1-R178),2))))</f>
        <v>0</v>
      </c>
      <c r="U178" s="20">
        <f>IF(E178="","",IFERROR(INDEX(Products!$AH$5:$AH$304,MATCH(E178,Products!$A$5:$A$304,0)),""))</f>
        <v>0</v>
      </c>
      <c r="V178" s="20">
        <f>IF(E178="","",IF(OR(F178="",T178=""),"",ROUND(F178*T178,2)))</f>
        <v>0</v>
      </c>
      <c r="W178" s="20">
        <f>IF(E178="","",IF(OR(F178="",U178=""),"",ROUND(F178*U178+MAX(0,IF(K178="",0,K178)-IF(J178="",0,J178)),2)))</f>
        <v>0</v>
      </c>
      <c r="X178" s="20">
        <f>IF(E178="","",IF(V178="","",ROUND(V178-W178,2)))</f>
        <v>0</v>
      </c>
      <c r="Y178" s="33">
        <f>IF(E178="","",IF(OR(V178="",V178=0),"",X178/V178))</f>
        <v>0</v>
      </c>
      <c r="Z178" s="41">
        <f>IF(E178="","",IFERROR(ROUND(F178*INDEX(Products!$X$5:$X$304,MATCH(E178,Products!$A$5:$A$304,0))/60,1),""))</f>
        <v>0</v>
      </c>
      <c r="AA178" s="20">
        <f>IF(E178="","",IF(OR(Z178="",Z178=0),"",ROUND(X178/Z178,2)))</f>
        <v>0</v>
      </c>
      <c r="AB178" s="42">
        <f>IF(E178="","",IF(V178="","",IF(AND(V178&gt;=MinOrderValue,F178&gt;=MinOrderQty),"Yes","No")))</f>
        <v>0</v>
      </c>
      <c r="AC178" s="32">
        <f>IF(B178="","",IF(I178="","",I178-B178))</f>
        <v>0</v>
      </c>
      <c r="AD178" s="43">
        <f>IF(B178="","",IF(E178="","Add - which product?",IF(X178&lt;0,"Loss - this order costs you money",IF(AND(Y178&lt;&gt;"",Y178&lt;TargetWholesaleMargin),"Low margin - the discount is too deep",IF(AND(H178&lt;&gt;"",I178="",H178&lt;TodayDate),"Overdue - not despatched",IF(AND(M178="No",I178&lt;&gt;"",TodayDate-I178&gt;30),"Chase - unpaid over 30 days",IF(AB178="No","Check - below your minimum order","OK")))))))</f>
        <v>0</v>
      </c>
    </row>
    <row r="179" spans="1:30">
      <c r="A179" s="38">
        <f>IF(B179="","",OrderPrefix&amp;TEXT(ROW()-4,"0000"))</f>
        <v>0</v>
      </c>
      <c r="O179" s="13">
        <f>IF(C179="","",IFERROR(INDEX('Wholesale Customers'!$B$5:$B$64,MATCH(C179,'Wholesale Customers'!$A$5:$A$64,0)),"Not found"))</f>
        <v>0</v>
      </c>
      <c r="P179" s="13">
        <f>IF(E179="","",IFERROR(INDEX(Products!$B$5:$B$304,MATCH(E179,Products!$A$5:$A$304,0)),"Not found"))</f>
        <v>0</v>
      </c>
      <c r="Q179" s="13">
        <f>IF(B179="","",TEXT(B179,"yyyy-mm"))</f>
        <v>0</v>
      </c>
      <c r="R179" s="33">
        <f>IF(C179="","",IFERROR(INDEX('Wholesale Customers'!$P$5:$P$64,MATCH(C179,'Wholesale Customers'!$A$5:$A$64,0)),WholesaleDiscount))</f>
        <v>0</v>
      </c>
      <c r="S179" s="20">
        <f>IF(E179="","",IFERROR(INDEX(Products!$AR$5:$AR$304,MATCH(E179,Products!$A$5:$A$304,0)),""))</f>
        <v>0</v>
      </c>
      <c r="T179" s="20">
        <f>IF(E179="","",IF(G179&lt;&gt;"",G179,IF(S179="","",ROUND(S179*(1-R179),2))))</f>
        <v>0</v>
      </c>
      <c r="U179" s="20">
        <f>IF(E179="","",IFERROR(INDEX(Products!$AH$5:$AH$304,MATCH(E179,Products!$A$5:$A$304,0)),""))</f>
        <v>0</v>
      </c>
      <c r="V179" s="20">
        <f>IF(E179="","",IF(OR(F179="",T179=""),"",ROUND(F179*T179,2)))</f>
        <v>0</v>
      </c>
      <c r="W179" s="20">
        <f>IF(E179="","",IF(OR(F179="",U179=""),"",ROUND(F179*U179+MAX(0,IF(K179="",0,K179)-IF(J179="",0,J179)),2)))</f>
        <v>0</v>
      </c>
      <c r="X179" s="20">
        <f>IF(E179="","",IF(V179="","",ROUND(V179-W179,2)))</f>
        <v>0</v>
      </c>
      <c r="Y179" s="33">
        <f>IF(E179="","",IF(OR(V179="",V179=0),"",X179/V179))</f>
        <v>0</v>
      </c>
      <c r="Z179" s="41">
        <f>IF(E179="","",IFERROR(ROUND(F179*INDEX(Products!$X$5:$X$304,MATCH(E179,Products!$A$5:$A$304,0))/60,1),""))</f>
        <v>0</v>
      </c>
      <c r="AA179" s="20">
        <f>IF(E179="","",IF(OR(Z179="",Z179=0),"",ROUND(X179/Z179,2)))</f>
        <v>0</v>
      </c>
      <c r="AB179" s="42">
        <f>IF(E179="","",IF(V179="","",IF(AND(V179&gt;=MinOrderValue,F179&gt;=MinOrderQty),"Yes","No")))</f>
        <v>0</v>
      </c>
      <c r="AC179" s="32">
        <f>IF(B179="","",IF(I179="","",I179-B179))</f>
        <v>0</v>
      </c>
      <c r="AD179" s="43">
        <f>IF(B179="","",IF(E179="","Add - which product?",IF(X179&lt;0,"Loss - this order costs you money",IF(AND(Y179&lt;&gt;"",Y179&lt;TargetWholesaleMargin),"Low margin - the discount is too deep",IF(AND(H179&lt;&gt;"",I179="",H179&lt;TodayDate),"Overdue - not despatched",IF(AND(M179="No",I179&lt;&gt;"",TodayDate-I179&gt;30),"Chase - unpaid over 30 days",IF(AB179="No","Check - below your minimum order","OK")))))))</f>
        <v>0</v>
      </c>
    </row>
    <row r="180" spans="1:30">
      <c r="A180" s="38">
        <f>IF(B180="","",OrderPrefix&amp;TEXT(ROW()-4,"0000"))</f>
        <v>0</v>
      </c>
      <c r="O180" s="13">
        <f>IF(C180="","",IFERROR(INDEX('Wholesale Customers'!$B$5:$B$64,MATCH(C180,'Wholesale Customers'!$A$5:$A$64,0)),"Not found"))</f>
        <v>0</v>
      </c>
      <c r="P180" s="13">
        <f>IF(E180="","",IFERROR(INDEX(Products!$B$5:$B$304,MATCH(E180,Products!$A$5:$A$304,0)),"Not found"))</f>
        <v>0</v>
      </c>
      <c r="Q180" s="13">
        <f>IF(B180="","",TEXT(B180,"yyyy-mm"))</f>
        <v>0</v>
      </c>
      <c r="R180" s="33">
        <f>IF(C180="","",IFERROR(INDEX('Wholesale Customers'!$P$5:$P$64,MATCH(C180,'Wholesale Customers'!$A$5:$A$64,0)),WholesaleDiscount))</f>
        <v>0</v>
      </c>
      <c r="S180" s="20">
        <f>IF(E180="","",IFERROR(INDEX(Products!$AR$5:$AR$304,MATCH(E180,Products!$A$5:$A$304,0)),""))</f>
        <v>0</v>
      </c>
      <c r="T180" s="20">
        <f>IF(E180="","",IF(G180&lt;&gt;"",G180,IF(S180="","",ROUND(S180*(1-R180),2))))</f>
        <v>0</v>
      </c>
      <c r="U180" s="20">
        <f>IF(E180="","",IFERROR(INDEX(Products!$AH$5:$AH$304,MATCH(E180,Products!$A$5:$A$304,0)),""))</f>
        <v>0</v>
      </c>
      <c r="V180" s="20">
        <f>IF(E180="","",IF(OR(F180="",T180=""),"",ROUND(F180*T180,2)))</f>
        <v>0</v>
      </c>
      <c r="W180" s="20">
        <f>IF(E180="","",IF(OR(F180="",U180=""),"",ROUND(F180*U180+MAX(0,IF(K180="",0,K180)-IF(J180="",0,J180)),2)))</f>
        <v>0</v>
      </c>
      <c r="X180" s="20">
        <f>IF(E180="","",IF(V180="","",ROUND(V180-W180,2)))</f>
        <v>0</v>
      </c>
      <c r="Y180" s="33">
        <f>IF(E180="","",IF(OR(V180="",V180=0),"",X180/V180))</f>
        <v>0</v>
      </c>
      <c r="Z180" s="41">
        <f>IF(E180="","",IFERROR(ROUND(F180*INDEX(Products!$X$5:$X$304,MATCH(E180,Products!$A$5:$A$304,0))/60,1),""))</f>
        <v>0</v>
      </c>
      <c r="AA180" s="20">
        <f>IF(E180="","",IF(OR(Z180="",Z180=0),"",ROUND(X180/Z180,2)))</f>
        <v>0</v>
      </c>
      <c r="AB180" s="42">
        <f>IF(E180="","",IF(V180="","",IF(AND(V180&gt;=MinOrderValue,F180&gt;=MinOrderQty),"Yes","No")))</f>
        <v>0</v>
      </c>
      <c r="AC180" s="32">
        <f>IF(B180="","",IF(I180="","",I180-B180))</f>
        <v>0</v>
      </c>
      <c r="AD180" s="43">
        <f>IF(B180="","",IF(E180="","Add - which product?",IF(X180&lt;0,"Loss - this order costs you money",IF(AND(Y180&lt;&gt;"",Y180&lt;TargetWholesaleMargin),"Low margin - the discount is too deep",IF(AND(H180&lt;&gt;"",I180="",H180&lt;TodayDate),"Overdue - not despatched",IF(AND(M180="No",I180&lt;&gt;"",TodayDate-I180&gt;30),"Chase - unpaid over 30 days",IF(AB180="No","Check - below your minimum order","OK")))))))</f>
        <v>0</v>
      </c>
    </row>
    <row r="181" spans="1:30">
      <c r="A181" s="38">
        <f>IF(B181="","",OrderPrefix&amp;TEXT(ROW()-4,"0000"))</f>
        <v>0</v>
      </c>
      <c r="O181" s="13">
        <f>IF(C181="","",IFERROR(INDEX('Wholesale Customers'!$B$5:$B$64,MATCH(C181,'Wholesale Customers'!$A$5:$A$64,0)),"Not found"))</f>
        <v>0</v>
      </c>
      <c r="P181" s="13">
        <f>IF(E181="","",IFERROR(INDEX(Products!$B$5:$B$304,MATCH(E181,Products!$A$5:$A$304,0)),"Not found"))</f>
        <v>0</v>
      </c>
      <c r="Q181" s="13">
        <f>IF(B181="","",TEXT(B181,"yyyy-mm"))</f>
        <v>0</v>
      </c>
      <c r="R181" s="33">
        <f>IF(C181="","",IFERROR(INDEX('Wholesale Customers'!$P$5:$P$64,MATCH(C181,'Wholesale Customers'!$A$5:$A$64,0)),WholesaleDiscount))</f>
        <v>0</v>
      </c>
      <c r="S181" s="20">
        <f>IF(E181="","",IFERROR(INDEX(Products!$AR$5:$AR$304,MATCH(E181,Products!$A$5:$A$304,0)),""))</f>
        <v>0</v>
      </c>
      <c r="T181" s="20">
        <f>IF(E181="","",IF(G181&lt;&gt;"",G181,IF(S181="","",ROUND(S181*(1-R181),2))))</f>
        <v>0</v>
      </c>
      <c r="U181" s="20">
        <f>IF(E181="","",IFERROR(INDEX(Products!$AH$5:$AH$304,MATCH(E181,Products!$A$5:$A$304,0)),""))</f>
        <v>0</v>
      </c>
      <c r="V181" s="20">
        <f>IF(E181="","",IF(OR(F181="",T181=""),"",ROUND(F181*T181,2)))</f>
        <v>0</v>
      </c>
      <c r="W181" s="20">
        <f>IF(E181="","",IF(OR(F181="",U181=""),"",ROUND(F181*U181+MAX(0,IF(K181="",0,K181)-IF(J181="",0,J181)),2)))</f>
        <v>0</v>
      </c>
      <c r="X181" s="20">
        <f>IF(E181="","",IF(V181="","",ROUND(V181-W181,2)))</f>
        <v>0</v>
      </c>
      <c r="Y181" s="33">
        <f>IF(E181="","",IF(OR(V181="",V181=0),"",X181/V181))</f>
        <v>0</v>
      </c>
      <c r="Z181" s="41">
        <f>IF(E181="","",IFERROR(ROUND(F181*INDEX(Products!$X$5:$X$304,MATCH(E181,Products!$A$5:$A$304,0))/60,1),""))</f>
        <v>0</v>
      </c>
      <c r="AA181" s="20">
        <f>IF(E181="","",IF(OR(Z181="",Z181=0),"",ROUND(X181/Z181,2)))</f>
        <v>0</v>
      </c>
      <c r="AB181" s="42">
        <f>IF(E181="","",IF(V181="","",IF(AND(V181&gt;=MinOrderValue,F181&gt;=MinOrderQty),"Yes","No")))</f>
        <v>0</v>
      </c>
      <c r="AC181" s="32">
        <f>IF(B181="","",IF(I181="","",I181-B181))</f>
        <v>0</v>
      </c>
      <c r="AD181" s="43">
        <f>IF(B181="","",IF(E181="","Add - which product?",IF(X181&lt;0,"Loss - this order costs you money",IF(AND(Y181&lt;&gt;"",Y181&lt;TargetWholesaleMargin),"Low margin - the discount is too deep",IF(AND(H181&lt;&gt;"",I181="",H181&lt;TodayDate),"Overdue - not despatched",IF(AND(M181="No",I181&lt;&gt;"",TodayDate-I181&gt;30),"Chase - unpaid over 30 days",IF(AB181="No","Check - below your minimum order","OK")))))))</f>
        <v>0</v>
      </c>
    </row>
    <row r="182" spans="1:30">
      <c r="A182" s="38">
        <f>IF(B182="","",OrderPrefix&amp;TEXT(ROW()-4,"0000"))</f>
        <v>0</v>
      </c>
      <c r="O182" s="13">
        <f>IF(C182="","",IFERROR(INDEX('Wholesale Customers'!$B$5:$B$64,MATCH(C182,'Wholesale Customers'!$A$5:$A$64,0)),"Not found"))</f>
        <v>0</v>
      </c>
      <c r="P182" s="13">
        <f>IF(E182="","",IFERROR(INDEX(Products!$B$5:$B$304,MATCH(E182,Products!$A$5:$A$304,0)),"Not found"))</f>
        <v>0</v>
      </c>
      <c r="Q182" s="13">
        <f>IF(B182="","",TEXT(B182,"yyyy-mm"))</f>
        <v>0</v>
      </c>
      <c r="R182" s="33">
        <f>IF(C182="","",IFERROR(INDEX('Wholesale Customers'!$P$5:$P$64,MATCH(C182,'Wholesale Customers'!$A$5:$A$64,0)),WholesaleDiscount))</f>
        <v>0</v>
      </c>
      <c r="S182" s="20">
        <f>IF(E182="","",IFERROR(INDEX(Products!$AR$5:$AR$304,MATCH(E182,Products!$A$5:$A$304,0)),""))</f>
        <v>0</v>
      </c>
      <c r="T182" s="20">
        <f>IF(E182="","",IF(G182&lt;&gt;"",G182,IF(S182="","",ROUND(S182*(1-R182),2))))</f>
        <v>0</v>
      </c>
      <c r="U182" s="20">
        <f>IF(E182="","",IFERROR(INDEX(Products!$AH$5:$AH$304,MATCH(E182,Products!$A$5:$A$304,0)),""))</f>
        <v>0</v>
      </c>
      <c r="V182" s="20">
        <f>IF(E182="","",IF(OR(F182="",T182=""),"",ROUND(F182*T182,2)))</f>
        <v>0</v>
      </c>
      <c r="W182" s="20">
        <f>IF(E182="","",IF(OR(F182="",U182=""),"",ROUND(F182*U182+MAX(0,IF(K182="",0,K182)-IF(J182="",0,J182)),2)))</f>
        <v>0</v>
      </c>
      <c r="X182" s="20">
        <f>IF(E182="","",IF(V182="","",ROUND(V182-W182,2)))</f>
        <v>0</v>
      </c>
      <c r="Y182" s="33">
        <f>IF(E182="","",IF(OR(V182="",V182=0),"",X182/V182))</f>
        <v>0</v>
      </c>
      <c r="Z182" s="41">
        <f>IF(E182="","",IFERROR(ROUND(F182*INDEX(Products!$X$5:$X$304,MATCH(E182,Products!$A$5:$A$304,0))/60,1),""))</f>
        <v>0</v>
      </c>
      <c r="AA182" s="20">
        <f>IF(E182="","",IF(OR(Z182="",Z182=0),"",ROUND(X182/Z182,2)))</f>
        <v>0</v>
      </c>
      <c r="AB182" s="42">
        <f>IF(E182="","",IF(V182="","",IF(AND(V182&gt;=MinOrderValue,F182&gt;=MinOrderQty),"Yes","No")))</f>
        <v>0</v>
      </c>
      <c r="AC182" s="32">
        <f>IF(B182="","",IF(I182="","",I182-B182))</f>
        <v>0</v>
      </c>
      <c r="AD182" s="43">
        <f>IF(B182="","",IF(E182="","Add - which product?",IF(X182&lt;0,"Loss - this order costs you money",IF(AND(Y182&lt;&gt;"",Y182&lt;TargetWholesaleMargin),"Low margin - the discount is too deep",IF(AND(H182&lt;&gt;"",I182="",H182&lt;TodayDate),"Overdue - not despatched",IF(AND(M182="No",I182&lt;&gt;"",TodayDate-I182&gt;30),"Chase - unpaid over 30 days",IF(AB182="No","Check - below your minimum order","OK")))))))</f>
        <v>0</v>
      </c>
    </row>
    <row r="183" spans="1:30">
      <c r="A183" s="38">
        <f>IF(B183="","",OrderPrefix&amp;TEXT(ROW()-4,"0000"))</f>
        <v>0</v>
      </c>
      <c r="O183" s="13">
        <f>IF(C183="","",IFERROR(INDEX('Wholesale Customers'!$B$5:$B$64,MATCH(C183,'Wholesale Customers'!$A$5:$A$64,0)),"Not found"))</f>
        <v>0</v>
      </c>
      <c r="P183" s="13">
        <f>IF(E183="","",IFERROR(INDEX(Products!$B$5:$B$304,MATCH(E183,Products!$A$5:$A$304,0)),"Not found"))</f>
        <v>0</v>
      </c>
      <c r="Q183" s="13">
        <f>IF(B183="","",TEXT(B183,"yyyy-mm"))</f>
        <v>0</v>
      </c>
      <c r="R183" s="33">
        <f>IF(C183="","",IFERROR(INDEX('Wholesale Customers'!$P$5:$P$64,MATCH(C183,'Wholesale Customers'!$A$5:$A$64,0)),WholesaleDiscount))</f>
        <v>0</v>
      </c>
      <c r="S183" s="20">
        <f>IF(E183="","",IFERROR(INDEX(Products!$AR$5:$AR$304,MATCH(E183,Products!$A$5:$A$304,0)),""))</f>
        <v>0</v>
      </c>
      <c r="T183" s="20">
        <f>IF(E183="","",IF(G183&lt;&gt;"",G183,IF(S183="","",ROUND(S183*(1-R183),2))))</f>
        <v>0</v>
      </c>
      <c r="U183" s="20">
        <f>IF(E183="","",IFERROR(INDEX(Products!$AH$5:$AH$304,MATCH(E183,Products!$A$5:$A$304,0)),""))</f>
        <v>0</v>
      </c>
      <c r="V183" s="20">
        <f>IF(E183="","",IF(OR(F183="",T183=""),"",ROUND(F183*T183,2)))</f>
        <v>0</v>
      </c>
      <c r="W183" s="20">
        <f>IF(E183="","",IF(OR(F183="",U183=""),"",ROUND(F183*U183+MAX(0,IF(K183="",0,K183)-IF(J183="",0,J183)),2)))</f>
        <v>0</v>
      </c>
      <c r="X183" s="20">
        <f>IF(E183="","",IF(V183="","",ROUND(V183-W183,2)))</f>
        <v>0</v>
      </c>
      <c r="Y183" s="33">
        <f>IF(E183="","",IF(OR(V183="",V183=0),"",X183/V183))</f>
        <v>0</v>
      </c>
      <c r="Z183" s="41">
        <f>IF(E183="","",IFERROR(ROUND(F183*INDEX(Products!$X$5:$X$304,MATCH(E183,Products!$A$5:$A$304,0))/60,1),""))</f>
        <v>0</v>
      </c>
      <c r="AA183" s="20">
        <f>IF(E183="","",IF(OR(Z183="",Z183=0),"",ROUND(X183/Z183,2)))</f>
        <v>0</v>
      </c>
      <c r="AB183" s="42">
        <f>IF(E183="","",IF(V183="","",IF(AND(V183&gt;=MinOrderValue,F183&gt;=MinOrderQty),"Yes","No")))</f>
        <v>0</v>
      </c>
      <c r="AC183" s="32">
        <f>IF(B183="","",IF(I183="","",I183-B183))</f>
        <v>0</v>
      </c>
      <c r="AD183" s="43">
        <f>IF(B183="","",IF(E183="","Add - which product?",IF(X183&lt;0,"Loss - this order costs you money",IF(AND(Y183&lt;&gt;"",Y183&lt;TargetWholesaleMargin),"Low margin - the discount is too deep",IF(AND(H183&lt;&gt;"",I183="",H183&lt;TodayDate),"Overdue - not despatched",IF(AND(M183="No",I183&lt;&gt;"",TodayDate-I183&gt;30),"Chase - unpaid over 30 days",IF(AB183="No","Check - below your minimum order","OK")))))))</f>
        <v>0</v>
      </c>
    </row>
    <row r="184" spans="1:30">
      <c r="A184" s="38">
        <f>IF(B184="","",OrderPrefix&amp;TEXT(ROW()-4,"0000"))</f>
        <v>0</v>
      </c>
      <c r="O184" s="13">
        <f>IF(C184="","",IFERROR(INDEX('Wholesale Customers'!$B$5:$B$64,MATCH(C184,'Wholesale Customers'!$A$5:$A$64,0)),"Not found"))</f>
        <v>0</v>
      </c>
      <c r="P184" s="13">
        <f>IF(E184="","",IFERROR(INDEX(Products!$B$5:$B$304,MATCH(E184,Products!$A$5:$A$304,0)),"Not found"))</f>
        <v>0</v>
      </c>
      <c r="Q184" s="13">
        <f>IF(B184="","",TEXT(B184,"yyyy-mm"))</f>
        <v>0</v>
      </c>
      <c r="R184" s="33">
        <f>IF(C184="","",IFERROR(INDEX('Wholesale Customers'!$P$5:$P$64,MATCH(C184,'Wholesale Customers'!$A$5:$A$64,0)),WholesaleDiscount))</f>
        <v>0</v>
      </c>
      <c r="S184" s="20">
        <f>IF(E184="","",IFERROR(INDEX(Products!$AR$5:$AR$304,MATCH(E184,Products!$A$5:$A$304,0)),""))</f>
        <v>0</v>
      </c>
      <c r="T184" s="20">
        <f>IF(E184="","",IF(G184&lt;&gt;"",G184,IF(S184="","",ROUND(S184*(1-R184),2))))</f>
        <v>0</v>
      </c>
      <c r="U184" s="20">
        <f>IF(E184="","",IFERROR(INDEX(Products!$AH$5:$AH$304,MATCH(E184,Products!$A$5:$A$304,0)),""))</f>
        <v>0</v>
      </c>
      <c r="V184" s="20">
        <f>IF(E184="","",IF(OR(F184="",T184=""),"",ROUND(F184*T184,2)))</f>
        <v>0</v>
      </c>
      <c r="W184" s="20">
        <f>IF(E184="","",IF(OR(F184="",U184=""),"",ROUND(F184*U184+MAX(0,IF(K184="",0,K184)-IF(J184="",0,J184)),2)))</f>
        <v>0</v>
      </c>
      <c r="X184" s="20">
        <f>IF(E184="","",IF(V184="","",ROUND(V184-W184,2)))</f>
        <v>0</v>
      </c>
      <c r="Y184" s="33">
        <f>IF(E184="","",IF(OR(V184="",V184=0),"",X184/V184))</f>
        <v>0</v>
      </c>
      <c r="Z184" s="41">
        <f>IF(E184="","",IFERROR(ROUND(F184*INDEX(Products!$X$5:$X$304,MATCH(E184,Products!$A$5:$A$304,0))/60,1),""))</f>
        <v>0</v>
      </c>
      <c r="AA184" s="20">
        <f>IF(E184="","",IF(OR(Z184="",Z184=0),"",ROUND(X184/Z184,2)))</f>
        <v>0</v>
      </c>
      <c r="AB184" s="42">
        <f>IF(E184="","",IF(V184="","",IF(AND(V184&gt;=MinOrderValue,F184&gt;=MinOrderQty),"Yes","No")))</f>
        <v>0</v>
      </c>
      <c r="AC184" s="32">
        <f>IF(B184="","",IF(I184="","",I184-B184))</f>
        <v>0</v>
      </c>
      <c r="AD184" s="43">
        <f>IF(B184="","",IF(E184="","Add - which product?",IF(X184&lt;0,"Loss - this order costs you money",IF(AND(Y184&lt;&gt;"",Y184&lt;TargetWholesaleMargin),"Low margin - the discount is too deep",IF(AND(H184&lt;&gt;"",I184="",H184&lt;TodayDate),"Overdue - not despatched",IF(AND(M184="No",I184&lt;&gt;"",TodayDate-I184&gt;30),"Chase - unpaid over 30 days",IF(AB184="No","Check - below your minimum order","OK")))))))</f>
        <v>0</v>
      </c>
    </row>
    <row r="185" spans="1:30">
      <c r="A185" s="38">
        <f>IF(B185="","",OrderPrefix&amp;TEXT(ROW()-4,"0000"))</f>
        <v>0</v>
      </c>
      <c r="O185" s="13">
        <f>IF(C185="","",IFERROR(INDEX('Wholesale Customers'!$B$5:$B$64,MATCH(C185,'Wholesale Customers'!$A$5:$A$64,0)),"Not found"))</f>
        <v>0</v>
      </c>
      <c r="P185" s="13">
        <f>IF(E185="","",IFERROR(INDEX(Products!$B$5:$B$304,MATCH(E185,Products!$A$5:$A$304,0)),"Not found"))</f>
        <v>0</v>
      </c>
      <c r="Q185" s="13">
        <f>IF(B185="","",TEXT(B185,"yyyy-mm"))</f>
        <v>0</v>
      </c>
      <c r="R185" s="33">
        <f>IF(C185="","",IFERROR(INDEX('Wholesale Customers'!$P$5:$P$64,MATCH(C185,'Wholesale Customers'!$A$5:$A$64,0)),WholesaleDiscount))</f>
        <v>0</v>
      </c>
      <c r="S185" s="20">
        <f>IF(E185="","",IFERROR(INDEX(Products!$AR$5:$AR$304,MATCH(E185,Products!$A$5:$A$304,0)),""))</f>
        <v>0</v>
      </c>
      <c r="T185" s="20">
        <f>IF(E185="","",IF(G185&lt;&gt;"",G185,IF(S185="","",ROUND(S185*(1-R185),2))))</f>
        <v>0</v>
      </c>
      <c r="U185" s="20">
        <f>IF(E185="","",IFERROR(INDEX(Products!$AH$5:$AH$304,MATCH(E185,Products!$A$5:$A$304,0)),""))</f>
        <v>0</v>
      </c>
      <c r="V185" s="20">
        <f>IF(E185="","",IF(OR(F185="",T185=""),"",ROUND(F185*T185,2)))</f>
        <v>0</v>
      </c>
      <c r="W185" s="20">
        <f>IF(E185="","",IF(OR(F185="",U185=""),"",ROUND(F185*U185+MAX(0,IF(K185="",0,K185)-IF(J185="",0,J185)),2)))</f>
        <v>0</v>
      </c>
      <c r="X185" s="20">
        <f>IF(E185="","",IF(V185="","",ROUND(V185-W185,2)))</f>
        <v>0</v>
      </c>
      <c r="Y185" s="33">
        <f>IF(E185="","",IF(OR(V185="",V185=0),"",X185/V185))</f>
        <v>0</v>
      </c>
      <c r="Z185" s="41">
        <f>IF(E185="","",IFERROR(ROUND(F185*INDEX(Products!$X$5:$X$304,MATCH(E185,Products!$A$5:$A$304,0))/60,1),""))</f>
        <v>0</v>
      </c>
      <c r="AA185" s="20">
        <f>IF(E185="","",IF(OR(Z185="",Z185=0),"",ROUND(X185/Z185,2)))</f>
        <v>0</v>
      </c>
      <c r="AB185" s="42">
        <f>IF(E185="","",IF(V185="","",IF(AND(V185&gt;=MinOrderValue,F185&gt;=MinOrderQty),"Yes","No")))</f>
        <v>0</v>
      </c>
      <c r="AC185" s="32">
        <f>IF(B185="","",IF(I185="","",I185-B185))</f>
        <v>0</v>
      </c>
      <c r="AD185" s="43">
        <f>IF(B185="","",IF(E185="","Add - which product?",IF(X185&lt;0,"Loss - this order costs you money",IF(AND(Y185&lt;&gt;"",Y185&lt;TargetWholesaleMargin),"Low margin - the discount is too deep",IF(AND(H185&lt;&gt;"",I185="",H185&lt;TodayDate),"Overdue - not despatched",IF(AND(M185="No",I185&lt;&gt;"",TodayDate-I185&gt;30),"Chase - unpaid over 30 days",IF(AB185="No","Check - below your minimum order","OK")))))))</f>
        <v>0</v>
      </c>
    </row>
    <row r="186" spans="1:30">
      <c r="A186" s="38">
        <f>IF(B186="","",OrderPrefix&amp;TEXT(ROW()-4,"0000"))</f>
        <v>0</v>
      </c>
      <c r="O186" s="13">
        <f>IF(C186="","",IFERROR(INDEX('Wholesale Customers'!$B$5:$B$64,MATCH(C186,'Wholesale Customers'!$A$5:$A$64,0)),"Not found"))</f>
        <v>0</v>
      </c>
      <c r="P186" s="13">
        <f>IF(E186="","",IFERROR(INDEX(Products!$B$5:$B$304,MATCH(E186,Products!$A$5:$A$304,0)),"Not found"))</f>
        <v>0</v>
      </c>
      <c r="Q186" s="13">
        <f>IF(B186="","",TEXT(B186,"yyyy-mm"))</f>
        <v>0</v>
      </c>
      <c r="R186" s="33">
        <f>IF(C186="","",IFERROR(INDEX('Wholesale Customers'!$P$5:$P$64,MATCH(C186,'Wholesale Customers'!$A$5:$A$64,0)),WholesaleDiscount))</f>
        <v>0</v>
      </c>
      <c r="S186" s="20">
        <f>IF(E186="","",IFERROR(INDEX(Products!$AR$5:$AR$304,MATCH(E186,Products!$A$5:$A$304,0)),""))</f>
        <v>0</v>
      </c>
      <c r="T186" s="20">
        <f>IF(E186="","",IF(G186&lt;&gt;"",G186,IF(S186="","",ROUND(S186*(1-R186),2))))</f>
        <v>0</v>
      </c>
      <c r="U186" s="20">
        <f>IF(E186="","",IFERROR(INDEX(Products!$AH$5:$AH$304,MATCH(E186,Products!$A$5:$A$304,0)),""))</f>
        <v>0</v>
      </c>
      <c r="V186" s="20">
        <f>IF(E186="","",IF(OR(F186="",T186=""),"",ROUND(F186*T186,2)))</f>
        <v>0</v>
      </c>
      <c r="W186" s="20">
        <f>IF(E186="","",IF(OR(F186="",U186=""),"",ROUND(F186*U186+MAX(0,IF(K186="",0,K186)-IF(J186="",0,J186)),2)))</f>
        <v>0</v>
      </c>
      <c r="X186" s="20">
        <f>IF(E186="","",IF(V186="","",ROUND(V186-W186,2)))</f>
        <v>0</v>
      </c>
      <c r="Y186" s="33">
        <f>IF(E186="","",IF(OR(V186="",V186=0),"",X186/V186))</f>
        <v>0</v>
      </c>
      <c r="Z186" s="41">
        <f>IF(E186="","",IFERROR(ROUND(F186*INDEX(Products!$X$5:$X$304,MATCH(E186,Products!$A$5:$A$304,0))/60,1),""))</f>
        <v>0</v>
      </c>
      <c r="AA186" s="20">
        <f>IF(E186="","",IF(OR(Z186="",Z186=0),"",ROUND(X186/Z186,2)))</f>
        <v>0</v>
      </c>
      <c r="AB186" s="42">
        <f>IF(E186="","",IF(V186="","",IF(AND(V186&gt;=MinOrderValue,F186&gt;=MinOrderQty),"Yes","No")))</f>
        <v>0</v>
      </c>
      <c r="AC186" s="32">
        <f>IF(B186="","",IF(I186="","",I186-B186))</f>
        <v>0</v>
      </c>
      <c r="AD186" s="43">
        <f>IF(B186="","",IF(E186="","Add - which product?",IF(X186&lt;0,"Loss - this order costs you money",IF(AND(Y186&lt;&gt;"",Y186&lt;TargetWholesaleMargin),"Low margin - the discount is too deep",IF(AND(H186&lt;&gt;"",I186="",H186&lt;TodayDate),"Overdue - not despatched",IF(AND(M186="No",I186&lt;&gt;"",TodayDate-I186&gt;30),"Chase - unpaid over 30 days",IF(AB186="No","Check - below your minimum order","OK")))))))</f>
        <v>0</v>
      </c>
    </row>
    <row r="187" spans="1:30">
      <c r="A187" s="38">
        <f>IF(B187="","",OrderPrefix&amp;TEXT(ROW()-4,"0000"))</f>
        <v>0</v>
      </c>
      <c r="O187" s="13">
        <f>IF(C187="","",IFERROR(INDEX('Wholesale Customers'!$B$5:$B$64,MATCH(C187,'Wholesale Customers'!$A$5:$A$64,0)),"Not found"))</f>
        <v>0</v>
      </c>
      <c r="P187" s="13">
        <f>IF(E187="","",IFERROR(INDEX(Products!$B$5:$B$304,MATCH(E187,Products!$A$5:$A$304,0)),"Not found"))</f>
        <v>0</v>
      </c>
      <c r="Q187" s="13">
        <f>IF(B187="","",TEXT(B187,"yyyy-mm"))</f>
        <v>0</v>
      </c>
      <c r="R187" s="33">
        <f>IF(C187="","",IFERROR(INDEX('Wholesale Customers'!$P$5:$P$64,MATCH(C187,'Wholesale Customers'!$A$5:$A$64,0)),WholesaleDiscount))</f>
        <v>0</v>
      </c>
      <c r="S187" s="20">
        <f>IF(E187="","",IFERROR(INDEX(Products!$AR$5:$AR$304,MATCH(E187,Products!$A$5:$A$304,0)),""))</f>
        <v>0</v>
      </c>
      <c r="T187" s="20">
        <f>IF(E187="","",IF(G187&lt;&gt;"",G187,IF(S187="","",ROUND(S187*(1-R187),2))))</f>
        <v>0</v>
      </c>
      <c r="U187" s="20">
        <f>IF(E187="","",IFERROR(INDEX(Products!$AH$5:$AH$304,MATCH(E187,Products!$A$5:$A$304,0)),""))</f>
        <v>0</v>
      </c>
      <c r="V187" s="20">
        <f>IF(E187="","",IF(OR(F187="",T187=""),"",ROUND(F187*T187,2)))</f>
        <v>0</v>
      </c>
      <c r="W187" s="20">
        <f>IF(E187="","",IF(OR(F187="",U187=""),"",ROUND(F187*U187+MAX(0,IF(K187="",0,K187)-IF(J187="",0,J187)),2)))</f>
        <v>0</v>
      </c>
      <c r="X187" s="20">
        <f>IF(E187="","",IF(V187="","",ROUND(V187-W187,2)))</f>
        <v>0</v>
      </c>
      <c r="Y187" s="33">
        <f>IF(E187="","",IF(OR(V187="",V187=0),"",X187/V187))</f>
        <v>0</v>
      </c>
      <c r="Z187" s="41">
        <f>IF(E187="","",IFERROR(ROUND(F187*INDEX(Products!$X$5:$X$304,MATCH(E187,Products!$A$5:$A$304,0))/60,1),""))</f>
        <v>0</v>
      </c>
      <c r="AA187" s="20">
        <f>IF(E187="","",IF(OR(Z187="",Z187=0),"",ROUND(X187/Z187,2)))</f>
        <v>0</v>
      </c>
      <c r="AB187" s="42">
        <f>IF(E187="","",IF(V187="","",IF(AND(V187&gt;=MinOrderValue,F187&gt;=MinOrderQty),"Yes","No")))</f>
        <v>0</v>
      </c>
      <c r="AC187" s="32">
        <f>IF(B187="","",IF(I187="","",I187-B187))</f>
        <v>0</v>
      </c>
      <c r="AD187" s="43">
        <f>IF(B187="","",IF(E187="","Add - which product?",IF(X187&lt;0,"Loss - this order costs you money",IF(AND(Y187&lt;&gt;"",Y187&lt;TargetWholesaleMargin),"Low margin - the discount is too deep",IF(AND(H187&lt;&gt;"",I187="",H187&lt;TodayDate),"Overdue - not despatched",IF(AND(M187="No",I187&lt;&gt;"",TodayDate-I187&gt;30),"Chase - unpaid over 30 days",IF(AB187="No","Check - below your minimum order","OK")))))))</f>
        <v>0</v>
      </c>
    </row>
    <row r="188" spans="1:30">
      <c r="A188" s="38">
        <f>IF(B188="","",OrderPrefix&amp;TEXT(ROW()-4,"0000"))</f>
        <v>0</v>
      </c>
      <c r="O188" s="13">
        <f>IF(C188="","",IFERROR(INDEX('Wholesale Customers'!$B$5:$B$64,MATCH(C188,'Wholesale Customers'!$A$5:$A$64,0)),"Not found"))</f>
        <v>0</v>
      </c>
      <c r="P188" s="13">
        <f>IF(E188="","",IFERROR(INDEX(Products!$B$5:$B$304,MATCH(E188,Products!$A$5:$A$304,0)),"Not found"))</f>
        <v>0</v>
      </c>
      <c r="Q188" s="13">
        <f>IF(B188="","",TEXT(B188,"yyyy-mm"))</f>
        <v>0</v>
      </c>
      <c r="R188" s="33">
        <f>IF(C188="","",IFERROR(INDEX('Wholesale Customers'!$P$5:$P$64,MATCH(C188,'Wholesale Customers'!$A$5:$A$64,0)),WholesaleDiscount))</f>
        <v>0</v>
      </c>
      <c r="S188" s="20">
        <f>IF(E188="","",IFERROR(INDEX(Products!$AR$5:$AR$304,MATCH(E188,Products!$A$5:$A$304,0)),""))</f>
        <v>0</v>
      </c>
      <c r="T188" s="20">
        <f>IF(E188="","",IF(G188&lt;&gt;"",G188,IF(S188="","",ROUND(S188*(1-R188),2))))</f>
        <v>0</v>
      </c>
      <c r="U188" s="20">
        <f>IF(E188="","",IFERROR(INDEX(Products!$AH$5:$AH$304,MATCH(E188,Products!$A$5:$A$304,0)),""))</f>
        <v>0</v>
      </c>
      <c r="V188" s="20">
        <f>IF(E188="","",IF(OR(F188="",T188=""),"",ROUND(F188*T188,2)))</f>
        <v>0</v>
      </c>
      <c r="W188" s="20">
        <f>IF(E188="","",IF(OR(F188="",U188=""),"",ROUND(F188*U188+MAX(0,IF(K188="",0,K188)-IF(J188="",0,J188)),2)))</f>
        <v>0</v>
      </c>
      <c r="X188" s="20">
        <f>IF(E188="","",IF(V188="","",ROUND(V188-W188,2)))</f>
        <v>0</v>
      </c>
      <c r="Y188" s="33">
        <f>IF(E188="","",IF(OR(V188="",V188=0),"",X188/V188))</f>
        <v>0</v>
      </c>
      <c r="Z188" s="41">
        <f>IF(E188="","",IFERROR(ROUND(F188*INDEX(Products!$X$5:$X$304,MATCH(E188,Products!$A$5:$A$304,0))/60,1),""))</f>
        <v>0</v>
      </c>
      <c r="AA188" s="20">
        <f>IF(E188="","",IF(OR(Z188="",Z188=0),"",ROUND(X188/Z188,2)))</f>
        <v>0</v>
      </c>
      <c r="AB188" s="42">
        <f>IF(E188="","",IF(V188="","",IF(AND(V188&gt;=MinOrderValue,F188&gt;=MinOrderQty),"Yes","No")))</f>
        <v>0</v>
      </c>
      <c r="AC188" s="32">
        <f>IF(B188="","",IF(I188="","",I188-B188))</f>
        <v>0</v>
      </c>
      <c r="AD188" s="43">
        <f>IF(B188="","",IF(E188="","Add - which product?",IF(X188&lt;0,"Loss - this order costs you money",IF(AND(Y188&lt;&gt;"",Y188&lt;TargetWholesaleMargin),"Low margin - the discount is too deep",IF(AND(H188&lt;&gt;"",I188="",H188&lt;TodayDate),"Overdue - not despatched",IF(AND(M188="No",I188&lt;&gt;"",TodayDate-I188&gt;30),"Chase - unpaid over 30 days",IF(AB188="No","Check - below your minimum order","OK")))))))</f>
        <v>0</v>
      </c>
    </row>
    <row r="189" spans="1:30">
      <c r="A189" s="38">
        <f>IF(B189="","",OrderPrefix&amp;TEXT(ROW()-4,"0000"))</f>
        <v>0</v>
      </c>
      <c r="O189" s="13">
        <f>IF(C189="","",IFERROR(INDEX('Wholesale Customers'!$B$5:$B$64,MATCH(C189,'Wholesale Customers'!$A$5:$A$64,0)),"Not found"))</f>
        <v>0</v>
      </c>
      <c r="P189" s="13">
        <f>IF(E189="","",IFERROR(INDEX(Products!$B$5:$B$304,MATCH(E189,Products!$A$5:$A$304,0)),"Not found"))</f>
        <v>0</v>
      </c>
      <c r="Q189" s="13">
        <f>IF(B189="","",TEXT(B189,"yyyy-mm"))</f>
        <v>0</v>
      </c>
      <c r="R189" s="33">
        <f>IF(C189="","",IFERROR(INDEX('Wholesale Customers'!$P$5:$P$64,MATCH(C189,'Wholesale Customers'!$A$5:$A$64,0)),WholesaleDiscount))</f>
        <v>0</v>
      </c>
      <c r="S189" s="20">
        <f>IF(E189="","",IFERROR(INDEX(Products!$AR$5:$AR$304,MATCH(E189,Products!$A$5:$A$304,0)),""))</f>
        <v>0</v>
      </c>
      <c r="T189" s="20">
        <f>IF(E189="","",IF(G189&lt;&gt;"",G189,IF(S189="","",ROUND(S189*(1-R189),2))))</f>
        <v>0</v>
      </c>
      <c r="U189" s="20">
        <f>IF(E189="","",IFERROR(INDEX(Products!$AH$5:$AH$304,MATCH(E189,Products!$A$5:$A$304,0)),""))</f>
        <v>0</v>
      </c>
      <c r="V189" s="20">
        <f>IF(E189="","",IF(OR(F189="",T189=""),"",ROUND(F189*T189,2)))</f>
        <v>0</v>
      </c>
      <c r="W189" s="20">
        <f>IF(E189="","",IF(OR(F189="",U189=""),"",ROUND(F189*U189+MAX(0,IF(K189="",0,K189)-IF(J189="",0,J189)),2)))</f>
        <v>0</v>
      </c>
      <c r="X189" s="20">
        <f>IF(E189="","",IF(V189="","",ROUND(V189-W189,2)))</f>
        <v>0</v>
      </c>
      <c r="Y189" s="33">
        <f>IF(E189="","",IF(OR(V189="",V189=0),"",X189/V189))</f>
        <v>0</v>
      </c>
      <c r="Z189" s="41">
        <f>IF(E189="","",IFERROR(ROUND(F189*INDEX(Products!$X$5:$X$304,MATCH(E189,Products!$A$5:$A$304,0))/60,1),""))</f>
        <v>0</v>
      </c>
      <c r="AA189" s="20">
        <f>IF(E189="","",IF(OR(Z189="",Z189=0),"",ROUND(X189/Z189,2)))</f>
        <v>0</v>
      </c>
      <c r="AB189" s="42">
        <f>IF(E189="","",IF(V189="","",IF(AND(V189&gt;=MinOrderValue,F189&gt;=MinOrderQty),"Yes","No")))</f>
        <v>0</v>
      </c>
      <c r="AC189" s="32">
        <f>IF(B189="","",IF(I189="","",I189-B189))</f>
        <v>0</v>
      </c>
      <c r="AD189" s="43">
        <f>IF(B189="","",IF(E189="","Add - which product?",IF(X189&lt;0,"Loss - this order costs you money",IF(AND(Y189&lt;&gt;"",Y189&lt;TargetWholesaleMargin),"Low margin - the discount is too deep",IF(AND(H189&lt;&gt;"",I189="",H189&lt;TodayDate),"Overdue - not despatched",IF(AND(M189="No",I189&lt;&gt;"",TodayDate-I189&gt;30),"Chase - unpaid over 30 days",IF(AB189="No","Check - below your minimum order","OK")))))))</f>
        <v>0</v>
      </c>
    </row>
    <row r="190" spans="1:30">
      <c r="A190" s="38">
        <f>IF(B190="","",OrderPrefix&amp;TEXT(ROW()-4,"0000"))</f>
        <v>0</v>
      </c>
      <c r="O190" s="13">
        <f>IF(C190="","",IFERROR(INDEX('Wholesale Customers'!$B$5:$B$64,MATCH(C190,'Wholesale Customers'!$A$5:$A$64,0)),"Not found"))</f>
        <v>0</v>
      </c>
      <c r="P190" s="13">
        <f>IF(E190="","",IFERROR(INDEX(Products!$B$5:$B$304,MATCH(E190,Products!$A$5:$A$304,0)),"Not found"))</f>
        <v>0</v>
      </c>
      <c r="Q190" s="13">
        <f>IF(B190="","",TEXT(B190,"yyyy-mm"))</f>
        <v>0</v>
      </c>
      <c r="R190" s="33">
        <f>IF(C190="","",IFERROR(INDEX('Wholesale Customers'!$P$5:$P$64,MATCH(C190,'Wholesale Customers'!$A$5:$A$64,0)),WholesaleDiscount))</f>
        <v>0</v>
      </c>
      <c r="S190" s="20">
        <f>IF(E190="","",IFERROR(INDEX(Products!$AR$5:$AR$304,MATCH(E190,Products!$A$5:$A$304,0)),""))</f>
        <v>0</v>
      </c>
      <c r="T190" s="20">
        <f>IF(E190="","",IF(G190&lt;&gt;"",G190,IF(S190="","",ROUND(S190*(1-R190),2))))</f>
        <v>0</v>
      </c>
      <c r="U190" s="20">
        <f>IF(E190="","",IFERROR(INDEX(Products!$AH$5:$AH$304,MATCH(E190,Products!$A$5:$A$304,0)),""))</f>
        <v>0</v>
      </c>
      <c r="V190" s="20">
        <f>IF(E190="","",IF(OR(F190="",T190=""),"",ROUND(F190*T190,2)))</f>
        <v>0</v>
      </c>
      <c r="W190" s="20">
        <f>IF(E190="","",IF(OR(F190="",U190=""),"",ROUND(F190*U190+MAX(0,IF(K190="",0,K190)-IF(J190="",0,J190)),2)))</f>
        <v>0</v>
      </c>
      <c r="X190" s="20">
        <f>IF(E190="","",IF(V190="","",ROUND(V190-W190,2)))</f>
        <v>0</v>
      </c>
      <c r="Y190" s="33">
        <f>IF(E190="","",IF(OR(V190="",V190=0),"",X190/V190))</f>
        <v>0</v>
      </c>
      <c r="Z190" s="41">
        <f>IF(E190="","",IFERROR(ROUND(F190*INDEX(Products!$X$5:$X$304,MATCH(E190,Products!$A$5:$A$304,0))/60,1),""))</f>
        <v>0</v>
      </c>
      <c r="AA190" s="20">
        <f>IF(E190="","",IF(OR(Z190="",Z190=0),"",ROUND(X190/Z190,2)))</f>
        <v>0</v>
      </c>
      <c r="AB190" s="42">
        <f>IF(E190="","",IF(V190="","",IF(AND(V190&gt;=MinOrderValue,F190&gt;=MinOrderQty),"Yes","No")))</f>
        <v>0</v>
      </c>
      <c r="AC190" s="32">
        <f>IF(B190="","",IF(I190="","",I190-B190))</f>
        <v>0</v>
      </c>
      <c r="AD190" s="43">
        <f>IF(B190="","",IF(E190="","Add - which product?",IF(X190&lt;0,"Loss - this order costs you money",IF(AND(Y190&lt;&gt;"",Y190&lt;TargetWholesaleMargin),"Low margin - the discount is too deep",IF(AND(H190&lt;&gt;"",I190="",H190&lt;TodayDate),"Overdue - not despatched",IF(AND(M190="No",I190&lt;&gt;"",TodayDate-I190&gt;30),"Chase - unpaid over 30 days",IF(AB190="No","Check - below your minimum order","OK")))))))</f>
        <v>0</v>
      </c>
    </row>
    <row r="191" spans="1:30">
      <c r="A191" s="38">
        <f>IF(B191="","",OrderPrefix&amp;TEXT(ROW()-4,"0000"))</f>
        <v>0</v>
      </c>
      <c r="O191" s="13">
        <f>IF(C191="","",IFERROR(INDEX('Wholesale Customers'!$B$5:$B$64,MATCH(C191,'Wholesale Customers'!$A$5:$A$64,0)),"Not found"))</f>
        <v>0</v>
      </c>
      <c r="P191" s="13">
        <f>IF(E191="","",IFERROR(INDEX(Products!$B$5:$B$304,MATCH(E191,Products!$A$5:$A$304,0)),"Not found"))</f>
        <v>0</v>
      </c>
      <c r="Q191" s="13">
        <f>IF(B191="","",TEXT(B191,"yyyy-mm"))</f>
        <v>0</v>
      </c>
      <c r="R191" s="33">
        <f>IF(C191="","",IFERROR(INDEX('Wholesale Customers'!$P$5:$P$64,MATCH(C191,'Wholesale Customers'!$A$5:$A$64,0)),WholesaleDiscount))</f>
        <v>0</v>
      </c>
      <c r="S191" s="20">
        <f>IF(E191="","",IFERROR(INDEX(Products!$AR$5:$AR$304,MATCH(E191,Products!$A$5:$A$304,0)),""))</f>
        <v>0</v>
      </c>
      <c r="T191" s="20">
        <f>IF(E191="","",IF(G191&lt;&gt;"",G191,IF(S191="","",ROUND(S191*(1-R191),2))))</f>
        <v>0</v>
      </c>
      <c r="U191" s="20">
        <f>IF(E191="","",IFERROR(INDEX(Products!$AH$5:$AH$304,MATCH(E191,Products!$A$5:$A$304,0)),""))</f>
        <v>0</v>
      </c>
      <c r="V191" s="20">
        <f>IF(E191="","",IF(OR(F191="",T191=""),"",ROUND(F191*T191,2)))</f>
        <v>0</v>
      </c>
      <c r="W191" s="20">
        <f>IF(E191="","",IF(OR(F191="",U191=""),"",ROUND(F191*U191+MAX(0,IF(K191="",0,K191)-IF(J191="",0,J191)),2)))</f>
        <v>0</v>
      </c>
      <c r="X191" s="20">
        <f>IF(E191="","",IF(V191="","",ROUND(V191-W191,2)))</f>
        <v>0</v>
      </c>
      <c r="Y191" s="33">
        <f>IF(E191="","",IF(OR(V191="",V191=0),"",X191/V191))</f>
        <v>0</v>
      </c>
      <c r="Z191" s="41">
        <f>IF(E191="","",IFERROR(ROUND(F191*INDEX(Products!$X$5:$X$304,MATCH(E191,Products!$A$5:$A$304,0))/60,1),""))</f>
        <v>0</v>
      </c>
      <c r="AA191" s="20">
        <f>IF(E191="","",IF(OR(Z191="",Z191=0),"",ROUND(X191/Z191,2)))</f>
        <v>0</v>
      </c>
      <c r="AB191" s="42">
        <f>IF(E191="","",IF(V191="","",IF(AND(V191&gt;=MinOrderValue,F191&gt;=MinOrderQty),"Yes","No")))</f>
        <v>0</v>
      </c>
      <c r="AC191" s="32">
        <f>IF(B191="","",IF(I191="","",I191-B191))</f>
        <v>0</v>
      </c>
      <c r="AD191" s="43">
        <f>IF(B191="","",IF(E191="","Add - which product?",IF(X191&lt;0,"Loss - this order costs you money",IF(AND(Y191&lt;&gt;"",Y191&lt;TargetWholesaleMargin),"Low margin - the discount is too deep",IF(AND(H191&lt;&gt;"",I191="",H191&lt;TodayDate),"Overdue - not despatched",IF(AND(M191="No",I191&lt;&gt;"",TodayDate-I191&gt;30),"Chase - unpaid over 30 days",IF(AB191="No","Check - below your minimum order","OK")))))))</f>
        <v>0</v>
      </c>
    </row>
    <row r="192" spans="1:30">
      <c r="A192" s="38">
        <f>IF(B192="","",OrderPrefix&amp;TEXT(ROW()-4,"0000"))</f>
        <v>0</v>
      </c>
      <c r="O192" s="13">
        <f>IF(C192="","",IFERROR(INDEX('Wholesale Customers'!$B$5:$B$64,MATCH(C192,'Wholesale Customers'!$A$5:$A$64,0)),"Not found"))</f>
        <v>0</v>
      </c>
      <c r="P192" s="13">
        <f>IF(E192="","",IFERROR(INDEX(Products!$B$5:$B$304,MATCH(E192,Products!$A$5:$A$304,0)),"Not found"))</f>
        <v>0</v>
      </c>
      <c r="Q192" s="13">
        <f>IF(B192="","",TEXT(B192,"yyyy-mm"))</f>
        <v>0</v>
      </c>
      <c r="R192" s="33">
        <f>IF(C192="","",IFERROR(INDEX('Wholesale Customers'!$P$5:$P$64,MATCH(C192,'Wholesale Customers'!$A$5:$A$64,0)),WholesaleDiscount))</f>
        <v>0</v>
      </c>
      <c r="S192" s="20">
        <f>IF(E192="","",IFERROR(INDEX(Products!$AR$5:$AR$304,MATCH(E192,Products!$A$5:$A$304,0)),""))</f>
        <v>0</v>
      </c>
      <c r="T192" s="20">
        <f>IF(E192="","",IF(G192&lt;&gt;"",G192,IF(S192="","",ROUND(S192*(1-R192),2))))</f>
        <v>0</v>
      </c>
      <c r="U192" s="20">
        <f>IF(E192="","",IFERROR(INDEX(Products!$AH$5:$AH$304,MATCH(E192,Products!$A$5:$A$304,0)),""))</f>
        <v>0</v>
      </c>
      <c r="V192" s="20">
        <f>IF(E192="","",IF(OR(F192="",T192=""),"",ROUND(F192*T192,2)))</f>
        <v>0</v>
      </c>
      <c r="W192" s="20">
        <f>IF(E192="","",IF(OR(F192="",U192=""),"",ROUND(F192*U192+MAX(0,IF(K192="",0,K192)-IF(J192="",0,J192)),2)))</f>
        <v>0</v>
      </c>
      <c r="X192" s="20">
        <f>IF(E192="","",IF(V192="","",ROUND(V192-W192,2)))</f>
        <v>0</v>
      </c>
      <c r="Y192" s="33">
        <f>IF(E192="","",IF(OR(V192="",V192=0),"",X192/V192))</f>
        <v>0</v>
      </c>
      <c r="Z192" s="41">
        <f>IF(E192="","",IFERROR(ROUND(F192*INDEX(Products!$X$5:$X$304,MATCH(E192,Products!$A$5:$A$304,0))/60,1),""))</f>
        <v>0</v>
      </c>
      <c r="AA192" s="20">
        <f>IF(E192="","",IF(OR(Z192="",Z192=0),"",ROUND(X192/Z192,2)))</f>
        <v>0</v>
      </c>
      <c r="AB192" s="42">
        <f>IF(E192="","",IF(V192="","",IF(AND(V192&gt;=MinOrderValue,F192&gt;=MinOrderQty),"Yes","No")))</f>
        <v>0</v>
      </c>
      <c r="AC192" s="32">
        <f>IF(B192="","",IF(I192="","",I192-B192))</f>
        <v>0</v>
      </c>
      <c r="AD192" s="43">
        <f>IF(B192="","",IF(E192="","Add - which product?",IF(X192&lt;0,"Loss - this order costs you money",IF(AND(Y192&lt;&gt;"",Y192&lt;TargetWholesaleMargin),"Low margin - the discount is too deep",IF(AND(H192&lt;&gt;"",I192="",H192&lt;TodayDate),"Overdue - not despatched",IF(AND(M192="No",I192&lt;&gt;"",TodayDate-I192&gt;30),"Chase - unpaid over 30 days",IF(AB192="No","Check - below your minimum order","OK")))))))</f>
        <v>0</v>
      </c>
    </row>
    <row r="193" spans="1:30">
      <c r="A193" s="38">
        <f>IF(B193="","",OrderPrefix&amp;TEXT(ROW()-4,"0000"))</f>
        <v>0</v>
      </c>
      <c r="O193" s="13">
        <f>IF(C193="","",IFERROR(INDEX('Wholesale Customers'!$B$5:$B$64,MATCH(C193,'Wholesale Customers'!$A$5:$A$64,0)),"Not found"))</f>
        <v>0</v>
      </c>
      <c r="P193" s="13">
        <f>IF(E193="","",IFERROR(INDEX(Products!$B$5:$B$304,MATCH(E193,Products!$A$5:$A$304,0)),"Not found"))</f>
        <v>0</v>
      </c>
      <c r="Q193" s="13">
        <f>IF(B193="","",TEXT(B193,"yyyy-mm"))</f>
        <v>0</v>
      </c>
      <c r="R193" s="33">
        <f>IF(C193="","",IFERROR(INDEX('Wholesale Customers'!$P$5:$P$64,MATCH(C193,'Wholesale Customers'!$A$5:$A$64,0)),WholesaleDiscount))</f>
        <v>0</v>
      </c>
      <c r="S193" s="20">
        <f>IF(E193="","",IFERROR(INDEX(Products!$AR$5:$AR$304,MATCH(E193,Products!$A$5:$A$304,0)),""))</f>
        <v>0</v>
      </c>
      <c r="T193" s="20">
        <f>IF(E193="","",IF(G193&lt;&gt;"",G193,IF(S193="","",ROUND(S193*(1-R193),2))))</f>
        <v>0</v>
      </c>
      <c r="U193" s="20">
        <f>IF(E193="","",IFERROR(INDEX(Products!$AH$5:$AH$304,MATCH(E193,Products!$A$5:$A$304,0)),""))</f>
        <v>0</v>
      </c>
      <c r="V193" s="20">
        <f>IF(E193="","",IF(OR(F193="",T193=""),"",ROUND(F193*T193,2)))</f>
        <v>0</v>
      </c>
      <c r="W193" s="20">
        <f>IF(E193="","",IF(OR(F193="",U193=""),"",ROUND(F193*U193+MAX(0,IF(K193="",0,K193)-IF(J193="",0,J193)),2)))</f>
        <v>0</v>
      </c>
      <c r="X193" s="20">
        <f>IF(E193="","",IF(V193="","",ROUND(V193-W193,2)))</f>
        <v>0</v>
      </c>
      <c r="Y193" s="33">
        <f>IF(E193="","",IF(OR(V193="",V193=0),"",X193/V193))</f>
        <v>0</v>
      </c>
      <c r="Z193" s="41">
        <f>IF(E193="","",IFERROR(ROUND(F193*INDEX(Products!$X$5:$X$304,MATCH(E193,Products!$A$5:$A$304,0))/60,1),""))</f>
        <v>0</v>
      </c>
      <c r="AA193" s="20">
        <f>IF(E193="","",IF(OR(Z193="",Z193=0),"",ROUND(X193/Z193,2)))</f>
        <v>0</v>
      </c>
      <c r="AB193" s="42">
        <f>IF(E193="","",IF(V193="","",IF(AND(V193&gt;=MinOrderValue,F193&gt;=MinOrderQty),"Yes","No")))</f>
        <v>0</v>
      </c>
      <c r="AC193" s="32">
        <f>IF(B193="","",IF(I193="","",I193-B193))</f>
        <v>0</v>
      </c>
      <c r="AD193" s="43">
        <f>IF(B193="","",IF(E193="","Add - which product?",IF(X193&lt;0,"Loss - this order costs you money",IF(AND(Y193&lt;&gt;"",Y193&lt;TargetWholesaleMargin),"Low margin - the discount is too deep",IF(AND(H193&lt;&gt;"",I193="",H193&lt;TodayDate),"Overdue - not despatched",IF(AND(M193="No",I193&lt;&gt;"",TodayDate-I193&gt;30),"Chase - unpaid over 30 days",IF(AB193="No","Check - below your minimum order","OK")))))))</f>
        <v>0</v>
      </c>
    </row>
    <row r="194" spans="1:30">
      <c r="A194" s="38">
        <f>IF(B194="","",OrderPrefix&amp;TEXT(ROW()-4,"0000"))</f>
        <v>0</v>
      </c>
      <c r="O194" s="13">
        <f>IF(C194="","",IFERROR(INDEX('Wholesale Customers'!$B$5:$B$64,MATCH(C194,'Wholesale Customers'!$A$5:$A$64,0)),"Not found"))</f>
        <v>0</v>
      </c>
      <c r="P194" s="13">
        <f>IF(E194="","",IFERROR(INDEX(Products!$B$5:$B$304,MATCH(E194,Products!$A$5:$A$304,0)),"Not found"))</f>
        <v>0</v>
      </c>
      <c r="Q194" s="13">
        <f>IF(B194="","",TEXT(B194,"yyyy-mm"))</f>
        <v>0</v>
      </c>
      <c r="R194" s="33">
        <f>IF(C194="","",IFERROR(INDEX('Wholesale Customers'!$P$5:$P$64,MATCH(C194,'Wholesale Customers'!$A$5:$A$64,0)),WholesaleDiscount))</f>
        <v>0</v>
      </c>
      <c r="S194" s="20">
        <f>IF(E194="","",IFERROR(INDEX(Products!$AR$5:$AR$304,MATCH(E194,Products!$A$5:$A$304,0)),""))</f>
        <v>0</v>
      </c>
      <c r="T194" s="20">
        <f>IF(E194="","",IF(G194&lt;&gt;"",G194,IF(S194="","",ROUND(S194*(1-R194),2))))</f>
        <v>0</v>
      </c>
      <c r="U194" s="20">
        <f>IF(E194="","",IFERROR(INDEX(Products!$AH$5:$AH$304,MATCH(E194,Products!$A$5:$A$304,0)),""))</f>
        <v>0</v>
      </c>
      <c r="V194" s="20">
        <f>IF(E194="","",IF(OR(F194="",T194=""),"",ROUND(F194*T194,2)))</f>
        <v>0</v>
      </c>
      <c r="W194" s="20">
        <f>IF(E194="","",IF(OR(F194="",U194=""),"",ROUND(F194*U194+MAX(0,IF(K194="",0,K194)-IF(J194="",0,J194)),2)))</f>
        <v>0</v>
      </c>
      <c r="X194" s="20">
        <f>IF(E194="","",IF(V194="","",ROUND(V194-W194,2)))</f>
        <v>0</v>
      </c>
      <c r="Y194" s="33">
        <f>IF(E194="","",IF(OR(V194="",V194=0),"",X194/V194))</f>
        <v>0</v>
      </c>
      <c r="Z194" s="41">
        <f>IF(E194="","",IFERROR(ROUND(F194*INDEX(Products!$X$5:$X$304,MATCH(E194,Products!$A$5:$A$304,0))/60,1),""))</f>
        <v>0</v>
      </c>
      <c r="AA194" s="20">
        <f>IF(E194="","",IF(OR(Z194="",Z194=0),"",ROUND(X194/Z194,2)))</f>
        <v>0</v>
      </c>
      <c r="AB194" s="42">
        <f>IF(E194="","",IF(V194="","",IF(AND(V194&gt;=MinOrderValue,F194&gt;=MinOrderQty),"Yes","No")))</f>
        <v>0</v>
      </c>
      <c r="AC194" s="32">
        <f>IF(B194="","",IF(I194="","",I194-B194))</f>
        <v>0</v>
      </c>
      <c r="AD194" s="43">
        <f>IF(B194="","",IF(E194="","Add - which product?",IF(X194&lt;0,"Loss - this order costs you money",IF(AND(Y194&lt;&gt;"",Y194&lt;TargetWholesaleMargin),"Low margin - the discount is too deep",IF(AND(H194&lt;&gt;"",I194="",H194&lt;TodayDate),"Overdue - not despatched",IF(AND(M194="No",I194&lt;&gt;"",TodayDate-I194&gt;30),"Chase - unpaid over 30 days",IF(AB194="No","Check - below your minimum order","OK")))))))</f>
        <v>0</v>
      </c>
    </row>
    <row r="195" spans="1:30">
      <c r="A195" s="38">
        <f>IF(B195="","",OrderPrefix&amp;TEXT(ROW()-4,"0000"))</f>
        <v>0</v>
      </c>
      <c r="O195" s="13">
        <f>IF(C195="","",IFERROR(INDEX('Wholesale Customers'!$B$5:$B$64,MATCH(C195,'Wholesale Customers'!$A$5:$A$64,0)),"Not found"))</f>
        <v>0</v>
      </c>
      <c r="P195" s="13">
        <f>IF(E195="","",IFERROR(INDEX(Products!$B$5:$B$304,MATCH(E195,Products!$A$5:$A$304,0)),"Not found"))</f>
        <v>0</v>
      </c>
      <c r="Q195" s="13">
        <f>IF(B195="","",TEXT(B195,"yyyy-mm"))</f>
        <v>0</v>
      </c>
      <c r="R195" s="33">
        <f>IF(C195="","",IFERROR(INDEX('Wholesale Customers'!$P$5:$P$64,MATCH(C195,'Wholesale Customers'!$A$5:$A$64,0)),WholesaleDiscount))</f>
        <v>0</v>
      </c>
      <c r="S195" s="20">
        <f>IF(E195="","",IFERROR(INDEX(Products!$AR$5:$AR$304,MATCH(E195,Products!$A$5:$A$304,0)),""))</f>
        <v>0</v>
      </c>
      <c r="T195" s="20">
        <f>IF(E195="","",IF(G195&lt;&gt;"",G195,IF(S195="","",ROUND(S195*(1-R195),2))))</f>
        <v>0</v>
      </c>
      <c r="U195" s="20">
        <f>IF(E195="","",IFERROR(INDEX(Products!$AH$5:$AH$304,MATCH(E195,Products!$A$5:$A$304,0)),""))</f>
        <v>0</v>
      </c>
      <c r="V195" s="20">
        <f>IF(E195="","",IF(OR(F195="",T195=""),"",ROUND(F195*T195,2)))</f>
        <v>0</v>
      </c>
      <c r="W195" s="20">
        <f>IF(E195="","",IF(OR(F195="",U195=""),"",ROUND(F195*U195+MAX(0,IF(K195="",0,K195)-IF(J195="",0,J195)),2)))</f>
        <v>0</v>
      </c>
      <c r="X195" s="20">
        <f>IF(E195="","",IF(V195="","",ROUND(V195-W195,2)))</f>
        <v>0</v>
      </c>
      <c r="Y195" s="33">
        <f>IF(E195="","",IF(OR(V195="",V195=0),"",X195/V195))</f>
        <v>0</v>
      </c>
      <c r="Z195" s="41">
        <f>IF(E195="","",IFERROR(ROUND(F195*INDEX(Products!$X$5:$X$304,MATCH(E195,Products!$A$5:$A$304,0))/60,1),""))</f>
        <v>0</v>
      </c>
      <c r="AA195" s="20">
        <f>IF(E195="","",IF(OR(Z195="",Z195=0),"",ROUND(X195/Z195,2)))</f>
        <v>0</v>
      </c>
      <c r="AB195" s="42">
        <f>IF(E195="","",IF(V195="","",IF(AND(V195&gt;=MinOrderValue,F195&gt;=MinOrderQty),"Yes","No")))</f>
        <v>0</v>
      </c>
      <c r="AC195" s="32">
        <f>IF(B195="","",IF(I195="","",I195-B195))</f>
        <v>0</v>
      </c>
      <c r="AD195" s="43">
        <f>IF(B195="","",IF(E195="","Add - which product?",IF(X195&lt;0,"Loss - this order costs you money",IF(AND(Y195&lt;&gt;"",Y195&lt;TargetWholesaleMargin),"Low margin - the discount is too deep",IF(AND(H195&lt;&gt;"",I195="",H195&lt;TodayDate),"Overdue - not despatched",IF(AND(M195="No",I195&lt;&gt;"",TodayDate-I195&gt;30),"Chase - unpaid over 30 days",IF(AB195="No","Check - below your minimum order","OK")))))))</f>
        <v>0</v>
      </c>
    </row>
    <row r="196" spans="1:30">
      <c r="A196" s="38">
        <f>IF(B196="","",OrderPrefix&amp;TEXT(ROW()-4,"0000"))</f>
        <v>0</v>
      </c>
      <c r="O196" s="13">
        <f>IF(C196="","",IFERROR(INDEX('Wholesale Customers'!$B$5:$B$64,MATCH(C196,'Wholesale Customers'!$A$5:$A$64,0)),"Not found"))</f>
        <v>0</v>
      </c>
      <c r="P196" s="13">
        <f>IF(E196="","",IFERROR(INDEX(Products!$B$5:$B$304,MATCH(E196,Products!$A$5:$A$304,0)),"Not found"))</f>
        <v>0</v>
      </c>
      <c r="Q196" s="13">
        <f>IF(B196="","",TEXT(B196,"yyyy-mm"))</f>
        <v>0</v>
      </c>
      <c r="R196" s="33">
        <f>IF(C196="","",IFERROR(INDEX('Wholesale Customers'!$P$5:$P$64,MATCH(C196,'Wholesale Customers'!$A$5:$A$64,0)),WholesaleDiscount))</f>
        <v>0</v>
      </c>
      <c r="S196" s="20">
        <f>IF(E196="","",IFERROR(INDEX(Products!$AR$5:$AR$304,MATCH(E196,Products!$A$5:$A$304,0)),""))</f>
        <v>0</v>
      </c>
      <c r="T196" s="20">
        <f>IF(E196="","",IF(G196&lt;&gt;"",G196,IF(S196="","",ROUND(S196*(1-R196),2))))</f>
        <v>0</v>
      </c>
      <c r="U196" s="20">
        <f>IF(E196="","",IFERROR(INDEX(Products!$AH$5:$AH$304,MATCH(E196,Products!$A$5:$A$304,0)),""))</f>
        <v>0</v>
      </c>
      <c r="V196" s="20">
        <f>IF(E196="","",IF(OR(F196="",T196=""),"",ROUND(F196*T196,2)))</f>
        <v>0</v>
      </c>
      <c r="W196" s="20">
        <f>IF(E196="","",IF(OR(F196="",U196=""),"",ROUND(F196*U196+MAX(0,IF(K196="",0,K196)-IF(J196="",0,J196)),2)))</f>
        <v>0</v>
      </c>
      <c r="X196" s="20">
        <f>IF(E196="","",IF(V196="","",ROUND(V196-W196,2)))</f>
        <v>0</v>
      </c>
      <c r="Y196" s="33">
        <f>IF(E196="","",IF(OR(V196="",V196=0),"",X196/V196))</f>
        <v>0</v>
      </c>
      <c r="Z196" s="41">
        <f>IF(E196="","",IFERROR(ROUND(F196*INDEX(Products!$X$5:$X$304,MATCH(E196,Products!$A$5:$A$304,0))/60,1),""))</f>
        <v>0</v>
      </c>
      <c r="AA196" s="20">
        <f>IF(E196="","",IF(OR(Z196="",Z196=0),"",ROUND(X196/Z196,2)))</f>
        <v>0</v>
      </c>
      <c r="AB196" s="42">
        <f>IF(E196="","",IF(V196="","",IF(AND(V196&gt;=MinOrderValue,F196&gt;=MinOrderQty),"Yes","No")))</f>
        <v>0</v>
      </c>
      <c r="AC196" s="32">
        <f>IF(B196="","",IF(I196="","",I196-B196))</f>
        <v>0</v>
      </c>
      <c r="AD196" s="43">
        <f>IF(B196="","",IF(E196="","Add - which product?",IF(X196&lt;0,"Loss - this order costs you money",IF(AND(Y196&lt;&gt;"",Y196&lt;TargetWholesaleMargin),"Low margin - the discount is too deep",IF(AND(H196&lt;&gt;"",I196="",H196&lt;TodayDate),"Overdue - not despatched",IF(AND(M196="No",I196&lt;&gt;"",TodayDate-I196&gt;30),"Chase - unpaid over 30 days",IF(AB196="No","Check - below your minimum order","OK")))))))</f>
        <v>0</v>
      </c>
    </row>
    <row r="197" spans="1:30">
      <c r="A197" s="38">
        <f>IF(B197="","",OrderPrefix&amp;TEXT(ROW()-4,"0000"))</f>
        <v>0</v>
      </c>
      <c r="O197" s="13">
        <f>IF(C197="","",IFERROR(INDEX('Wholesale Customers'!$B$5:$B$64,MATCH(C197,'Wholesale Customers'!$A$5:$A$64,0)),"Not found"))</f>
        <v>0</v>
      </c>
      <c r="P197" s="13">
        <f>IF(E197="","",IFERROR(INDEX(Products!$B$5:$B$304,MATCH(E197,Products!$A$5:$A$304,0)),"Not found"))</f>
        <v>0</v>
      </c>
      <c r="Q197" s="13">
        <f>IF(B197="","",TEXT(B197,"yyyy-mm"))</f>
        <v>0</v>
      </c>
      <c r="R197" s="33">
        <f>IF(C197="","",IFERROR(INDEX('Wholesale Customers'!$P$5:$P$64,MATCH(C197,'Wholesale Customers'!$A$5:$A$64,0)),WholesaleDiscount))</f>
        <v>0</v>
      </c>
      <c r="S197" s="20">
        <f>IF(E197="","",IFERROR(INDEX(Products!$AR$5:$AR$304,MATCH(E197,Products!$A$5:$A$304,0)),""))</f>
        <v>0</v>
      </c>
      <c r="T197" s="20">
        <f>IF(E197="","",IF(G197&lt;&gt;"",G197,IF(S197="","",ROUND(S197*(1-R197),2))))</f>
        <v>0</v>
      </c>
      <c r="U197" s="20">
        <f>IF(E197="","",IFERROR(INDEX(Products!$AH$5:$AH$304,MATCH(E197,Products!$A$5:$A$304,0)),""))</f>
        <v>0</v>
      </c>
      <c r="V197" s="20">
        <f>IF(E197="","",IF(OR(F197="",T197=""),"",ROUND(F197*T197,2)))</f>
        <v>0</v>
      </c>
      <c r="W197" s="20">
        <f>IF(E197="","",IF(OR(F197="",U197=""),"",ROUND(F197*U197+MAX(0,IF(K197="",0,K197)-IF(J197="",0,J197)),2)))</f>
        <v>0</v>
      </c>
      <c r="X197" s="20">
        <f>IF(E197="","",IF(V197="","",ROUND(V197-W197,2)))</f>
        <v>0</v>
      </c>
      <c r="Y197" s="33">
        <f>IF(E197="","",IF(OR(V197="",V197=0),"",X197/V197))</f>
        <v>0</v>
      </c>
      <c r="Z197" s="41">
        <f>IF(E197="","",IFERROR(ROUND(F197*INDEX(Products!$X$5:$X$304,MATCH(E197,Products!$A$5:$A$304,0))/60,1),""))</f>
        <v>0</v>
      </c>
      <c r="AA197" s="20">
        <f>IF(E197="","",IF(OR(Z197="",Z197=0),"",ROUND(X197/Z197,2)))</f>
        <v>0</v>
      </c>
      <c r="AB197" s="42">
        <f>IF(E197="","",IF(V197="","",IF(AND(V197&gt;=MinOrderValue,F197&gt;=MinOrderQty),"Yes","No")))</f>
        <v>0</v>
      </c>
      <c r="AC197" s="32">
        <f>IF(B197="","",IF(I197="","",I197-B197))</f>
        <v>0</v>
      </c>
      <c r="AD197" s="43">
        <f>IF(B197="","",IF(E197="","Add - which product?",IF(X197&lt;0,"Loss - this order costs you money",IF(AND(Y197&lt;&gt;"",Y197&lt;TargetWholesaleMargin),"Low margin - the discount is too deep",IF(AND(H197&lt;&gt;"",I197="",H197&lt;TodayDate),"Overdue - not despatched",IF(AND(M197="No",I197&lt;&gt;"",TodayDate-I197&gt;30),"Chase - unpaid over 30 days",IF(AB197="No","Check - below your minimum order","OK")))))))</f>
        <v>0</v>
      </c>
    </row>
    <row r="198" spans="1:30">
      <c r="A198" s="38">
        <f>IF(B198="","",OrderPrefix&amp;TEXT(ROW()-4,"0000"))</f>
        <v>0</v>
      </c>
      <c r="O198" s="13">
        <f>IF(C198="","",IFERROR(INDEX('Wholesale Customers'!$B$5:$B$64,MATCH(C198,'Wholesale Customers'!$A$5:$A$64,0)),"Not found"))</f>
        <v>0</v>
      </c>
      <c r="P198" s="13">
        <f>IF(E198="","",IFERROR(INDEX(Products!$B$5:$B$304,MATCH(E198,Products!$A$5:$A$304,0)),"Not found"))</f>
        <v>0</v>
      </c>
      <c r="Q198" s="13">
        <f>IF(B198="","",TEXT(B198,"yyyy-mm"))</f>
        <v>0</v>
      </c>
      <c r="R198" s="33">
        <f>IF(C198="","",IFERROR(INDEX('Wholesale Customers'!$P$5:$P$64,MATCH(C198,'Wholesale Customers'!$A$5:$A$64,0)),WholesaleDiscount))</f>
        <v>0</v>
      </c>
      <c r="S198" s="20">
        <f>IF(E198="","",IFERROR(INDEX(Products!$AR$5:$AR$304,MATCH(E198,Products!$A$5:$A$304,0)),""))</f>
        <v>0</v>
      </c>
      <c r="T198" s="20">
        <f>IF(E198="","",IF(G198&lt;&gt;"",G198,IF(S198="","",ROUND(S198*(1-R198),2))))</f>
        <v>0</v>
      </c>
      <c r="U198" s="20">
        <f>IF(E198="","",IFERROR(INDEX(Products!$AH$5:$AH$304,MATCH(E198,Products!$A$5:$A$304,0)),""))</f>
        <v>0</v>
      </c>
      <c r="V198" s="20">
        <f>IF(E198="","",IF(OR(F198="",T198=""),"",ROUND(F198*T198,2)))</f>
        <v>0</v>
      </c>
      <c r="W198" s="20">
        <f>IF(E198="","",IF(OR(F198="",U198=""),"",ROUND(F198*U198+MAX(0,IF(K198="",0,K198)-IF(J198="",0,J198)),2)))</f>
        <v>0</v>
      </c>
      <c r="X198" s="20">
        <f>IF(E198="","",IF(V198="","",ROUND(V198-W198,2)))</f>
        <v>0</v>
      </c>
      <c r="Y198" s="33">
        <f>IF(E198="","",IF(OR(V198="",V198=0),"",X198/V198))</f>
        <v>0</v>
      </c>
      <c r="Z198" s="41">
        <f>IF(E198="","",IFERROR(ROUND(F198*INDEX(Products!$X$5:$X$304,MATCH(E198,Products!$A$5:$A$304,0))/60,1),""))</f>
        <v>0</v>
      </c>
      <c r="AA198" s="20">
        <f>IF(E198="","",IF(OR(Z198="",Z198=0),"",ROUND(X198/Z198,2)))</f>
        <v>0</v>
      </c>
      <c r="AB198" s="42">
        <f>IF(E198="","",IF(V198="","",IF(AND(V198&gt;=MinOrderValue,F198&gt;=MinOrderQty),"Yes","No")))</f>
        <v>0</v>
      </c>
      <c r="AC198" s="32">
        <f>IF(B198="","",IF(I198="","",I198-B198))</f>
        <v>0</v>
      </c>
      <c r="AD198" s="43">
        <f>IF(B198="","",IF(E198="","Add - which product?",IF(X198&lt;0,"Loss - this order costs you money",IF(AND(Y198&lt;&gt;"",Y198&lt;TargetWholesaleMargin),"Low margin - the discount is too deep",IF(AND(H198&lt;&gt;"",I198="",H198&lt;TodayDate),"Overdue - not despatched",IF(AND(M198="No",I198&lt;&gt;"",TodayDate-I198&gt;30),"Chase - unpaid over 30 days",IF(AB198="No","Check - below your minimum order","OK")))))))</f>
        <v>0</v>
      </c>
    </row>
    <row r="199" spans="1:30">
      <c r="A199" s="38">
        <f>IF(B199="","",OrderPrefix&amp;TEXT(ROW()-4,"0000"))</f>
        <v>0</v>
      </c>
      <c r="O199" s="13">
        <f>IF(C199="","",IFERROR(INDEX('Wholesale Customers'!$B$5:$B$64,MATCH(C199,'Wholesale Customers'!$A$5:$A$64,0)),"Not found"))</f>
        <v>0</v>
      </c>
      <c r="P199" s="13">
        <f>IF(E199="","",IFERROR(INDEX(Products!$B$5:$B$304,MATCH(E199,Products!$A$5:$A$304,0)),"Not found"))</f>
        <v>0</v>
      </c>
      <c r="Q199" s="13">
        <f>IF(B199="","",TEXT(B199,"yyyy-mm"))</f>
        <v>0</v>
      </c>
      <c r="R199" s="33">
        <f>IF(C199="","",IFERROR(INDEX('Wholesale Customers'!$P$5:$P$64,MATCH(C199,'Wholesale Customers'!$A$5:$A$64,0)),WholesaleDiscount))</f>
        <v>0</v>
      </c>
      <c r="S199" s="20">
        <f>IF(E199="","",IFERROR(INDEX(Products!$AR$5:$AR$304,MATCH(E199,Products!$A$5:$A$304,0)),""))</f>
        <v>0</v>
      </c>
      <c r="T199" s="20">
        <f>IF(E199="","",IF(G199&lt;&gt;"",G199,IF(S199="","",ROUND(S199*(1-R199),2))))</f>
        <v>0</v>
      </c>
      <c r="U199" s="20">
        <f>IF(E199="","",IFERROR(INDEX(Products!$AH$5:$AH$304,MATCH(E199,Products!$A$5:$A$304,0)),""))</f>
        <v>0</v>
      </c>
      <c r="V199" s="20">
        <f>IF(E199="","",IF(OR(F199="",T199=""),"",ROUND(F199*T199,2)))</f>
        <v>0</v>
      </c>
      <c r="W199" s="20">
        <f>IF(E199="","",IF(OR(F199="",U199=""),"",ROUND(F199*U199+MAX(0,IF(K199="",0,K199)-IF(J199="",0,J199)),2)))</f>
        <v>0</v>
      </c>
      <c r="X199" s="20">
        <f>IF(E199="","",IF(V199="","",ROUND(V199-W199,2)))</f>
        <v>0</v>
      </c>
      <c r="Y199" s="33">
        <f>IF(E199="","",IF(OR(V199="",V199=0),"",X199/V199))</f>
        <v>0</v>
      </c>
      <c r="Z199" s="41">
        <f>IF(E199="","",IFERROR(ROUND(F199*INDEX(Products!$X$5:$X$304,MATCH(E199,Products!$A$5:$A$304,0))/60,1),""))</f>
        <v>0</v>
      </c>
      <c r="AA199" s="20">
        <f>IF(E199="","",IF(OR(Z199="",Z199=0),"",ROUND(X199/Z199,2)))</f>
        <v>0</v>
      </c>
      <c r="AB199" s="42">
        <f>IF(E199="","",IF(V199="","",IF(AND(V199&gt;=MinOrderValue,F199&gt;=MinOrderQty),"Yes","No")))</f>
        <v>0</v>
      </c>
      <c r="AC199" s="32">
        <f>IF(B199="","",IF(I199="","",I199-B199))</f>
        <v>0</v>
      </c>
      <c r="AD199" s="43">
        <f>IF(B199="","",IF(E199="","Add - which product?",IF(X199&lt;0,"Loss - this order costs you money",IF(AND(Y199&lt;&gt;"",Y199&lt;TargetWholesaleMargin),"Low margin - the discount is too deep",IF(AND(H199&lt;&gt;"",I199="",H199&lt;TodayDate),"Overdue - not despatched",IF(AND(M199="No",I199&lt;&gt;"",TodayDate-I199&gt;30),"Chase - unpaid over 30 days",IF(AB199="No","Check - below your minimum order","OK")))))))</f>
        <v>0</v>
      </c>
    </row>
    <row r="200" spans="1:30">
      <c r="A200" s="38">
        <f>IF(B200="","",OrderPrefix&amp;TEXT(ROW()-4,"0000"))</f>
        <v>0</v>
      </c>
      <c r="O200" s="13">
        <f>IF(C200="","",IFERROR(INDEX('Wholesale Customers'!$B$5:$B$64,MATCH(C200,'Wholesale Customers'!$A$5:$A$64,0)),"Not found"))</f>
        <v>0</v>
      </c>
      <c r="P200" s="13">
        <f>IF(E200="","",IFERROR(INDEX(Products!$B$5:$B$304,MATCH(E200,Products!$A$5:$A$304,0)),"Not found"))</f>
        <v>0</v>
      </c>
      <c r="Q200" s="13">
        <f>IF(B200="","",TEXT(B200,"yyyy-mm"))</f>
        <v>0</v>
      </c>
      <c r="R200" s="33">
        <f>IF(C200="","",IFERROR(INDEX('Wholesale Customers'!$P$5:$P$64,MATCH(C200,'Wholesale Customers'!$A$5:$A$64,0)),WholesaleDiscount))</f>
        <v>0</v>
      </c>
      <c r="S200" s="20">
        <f>IF(E200="","",IFERROR(INDEX(Products!$AR$5:$AR$304,MATCH(E200,Products!$A$5:$A$304,0)),""))</f>
        <v>0</v>
      </c>
      <c r="T200" s="20">
        <f>IF(E200="","",IF(G200&lt;&gt;"",G200,IF(S200="","",ROUND(S200*(1-R200),2))))</f>
        <v>0</v>
      </c>
      <c r="U200" s="20">
        <f>IF(E200="","",IFERROR(INDEX(Products!$AH$5:$AH$304,MATCH(E200,Products!$A$5:$A$304,0)),""))</f>
        <v>0</v>
      </c>
      <c r="V200" s="20">
        <f>IF(E200="","",IF(OR(F200="",T200=""),"",ROUND(F200*T200,2)))</f>
        <v>0</v>
      </c>
      <c r="W200" s="20">
        <f>IF(E200="","",IF(OR(F200="",U200=""),"",ROUND(F200*U200+MAX(0,IF(K200="",0,K200)-IF(J200="",0,J200)),2)))</f>
        <v>0</v>
      </c>
      <c r="X200" s="20">
        <f>IF(E200="","",IF(V200="","",ROUND(V200-W200,2)))</f>
        <v>0</v>
      </c>
      <c r="Y200" s="33">
        <f>IF(E200="","",IF(OR(V200="",V200=0),"",X200/V200))</f>
        <v>0</v>
      </c>
      <c r="Z200" s="41">
        <f>IF(E200="","",IFERROR(ROUND(F200*INDEX(Products!$X$5:$X$304,MATCH(E200,Products!$A$5:$A$304,0))/60,1),""))</f>
        <v>0</v>
      </c>
      <c r="AA200" s="20">
        <f>IF(E200="","",IF(OR(Z200="",Z200=0),"",ROUND(X200/Z200,2)))</f>
        <v>0</v>
      </c>
      <c r="AB200" s="42">
        <f>IF(E200="","",IF(V200="","",IF(AND(V200&gt;=MinOrderValue,F200&gt;=MinOrderQty),"Yes","No")))</f>
        <v>0</v>
      </c>
      <c r="AC200" s="32">
        <f>IF(B200="","",IF(I200="","",I200-B200))</f>
        <v>0</v>
      </c>
      <c r="AD200" s="43">
        <f>IF(B200="","",IF(E200="","Add - which product?",IF(X200&lt;0,"Loss - this order costs you money",IF(AND(Y200&lt;&gt;"",Y200&lt;TargetWholesaleMargin),"Low margin - the discount is too deep",IF(AND(H200&lt;&gt;"",I200="",H200&lt;TodayDate),"Overdue - not despatched",IF(AND(M200="No",I200&lt;&gt;"",TodayDate-I200&gt;30),"Chase - unpaid over 30 days",IF(AB200="No","Check - below your minimum order","OK")))))))</f>
        <v>0</v>
      </c>
    </row>
    <row r="201" spans="1:30">
      <c r="A201" s="38">
        <f>IF(B201="","",OrderPrefix&amp;TEXT(ROW()-4,"0000"))</f>
        <v>0</v>
      </c>
      <c r="O201" s="13">
        <f>IF(C201="","",IFERROR(INDEX('Wholesale Customers'!$B$5:$B$64,MATCH(C201,'Wholesale Customers'!$A$5:$A$64,0)),"Not found"))</f>
        <v>0</v>
      </c>
      <c r="P201" s="13">
        <f>IF(E201="","",IFERROR(INDEX(Products!$B$5:$B$304,MATCH(E201,Products!$A$5:$A$304,0)),"Not found"))</f>
        <v>0</v>
      </c>
      <c r="Q201" s="13">
        <f>IF(B201="","",TEXT(B201,"yyyy-mm"))</f>
        <v>0</v>
      </c>
      <c r="R201" s="33">
        <f>IF(C201="","",IFERROR(INDEX('Wholesale Customers'!$P$5:$P$64,MATCH(C201,'Wholesale Customers'!$A$5:$A$64,0)),WholesaleDiscount))</f>
        <v>0</v>
      </c>
      <c r="S201" s="20">
        <f>IF(E201="","",IFERROR(INDEX(Products!$AR$5:$AR$304,MATCH(E201,Products!$A$5:$A$304,0)),""))</f>
        <v>0</v>
      </c>
      <c r="T201" s="20">
        <f>IF(E201="","",IF(G201&lt;&gt;"",G201,IF(S201="","",ROUND(S201*(1-R201),2))))</f>
        <v>0</v>
      </c>
      <c r="U201" s="20">
        <f>IF(E201="","",IFERROR(INDEX(Products!$AH$5:$AH$304,MATCH(E201,Products!$A$5:$A$304,0)),""))</f>
        <v>0</v>
      </c>
      <c r="V201" s="20">
        <f>IF(E201="","",IF(OR(F201="",T201=""),"",ROUND(F201*T201,2)))</f>
        <v>0</v>
      </c>
      <c r="W201" s="20">
        <f>IF(E201="","",IF(OR(F201="",U201=""),"",ROUND(F201*U201+MAX(0,IF(K201="",0,K201)-IF(J201="",0,J201)),2)))</f>
        <v>0</v>
      </c>
      <c r="X201" s="20">
        <f>IF(E201="","",IF(V201="","",ROUND(V201-W201,2)))</f>
        <v>0</v>
      </c>
      <c r="Y201" s="33">
        <f>IF(E201="","",IF(OR(V201="",V201=0),"",X201/V201))</f>
        <v>0</v>
      </c>
      <c r="Z201" s="41">
        <f>IF(E201="","",IFERROR(ROUND(F201*INDEX(Products!$X$5:$X$304,MATCH(E201,Products!$A$5:$A$304,0))/60,1),""))</f>
        <v>0</v>
      </c>
      <c r="AA201" s="20">
        <f>IF(E201="","",IF(OR(Z201="",Z201=0),"",ROUND(X201/Z201,2)))</f>
        <v>0</v>
      </c>
      <c r="AB201" s="42">
        <f>IF(E201="","",IF(V201="","",IF(AND(V201&gt;=MinOrderValue,F201&gt;=MinOrderQty),"Yes","No")))</f>
        <v>0</v>
      </c>
      <c r="AC201" s="32">
        <f>IF(B201="","",IF(I201="","",I201-B201))</f>
        <v>0</v>
      </c>
      <c r="AD201" s="43">
        <f>IF(B201="","",IF(E201="","Add - which product?",IF(X201&lt;0,"Loss - this order costs you money",IF(AND(Y201&lt;&gt;"",Y201&lt;TargetWholesaleMargin),"Low margin - the discount is too deep",IF(AND(H201&lt;&gt;"",I201="",H201&lt;TodayDate),"Overdue - not despatched",IF(AND(M201="No",I201&lt;&gt;"",TodayDate-I201&gt;30),"Chase - unpaid over 30 days",IF(AB201="No","Check - below your minimum order","OK")))))))</f>
        <v>0</v>
      </c>
    </row>
    <row r="202" spans="1:30">
      <c r="A202" s="38">
        <f>IF(B202="","",OrderPrefix&amp;TEXT(ROW()-4,"0000"))</f>
        <v>0</v>
      </c>
      <c r="O202" s="13">
        <f>IF(C202="","",IFERROR(INDEX('Wholesale Customers'!$B$5:$B$64,MATCH(C202,'Wholesale Customers'!$A$5:$A$64,0)),"Not found"))</f>
        <v>0</v>
      </c>
      <c r="P202" s="13">
        <f>IF(E202="","",IFERROR(INDEX(Products!$B$5:$B$304,MATCH(E202,Products!$A$5:$A$304,0)),"Not found"))</f>
        <v>0</v>
      </c>
      <c r="Q202" s="13">
        <f>IF(B202="","",TEXT(B202,"yyyy-mm"))</f>
        <v>0</v>
      </c>
      <c r="R202" s="33">
        <f>IF(C202="","",IFERROR(INDEX('Wholesale Customers'!$P$5:$P$64,MATCH(C202,'Wholesale Customers'!$A$5:$A$64,0)),WholesaleDiscount))</f>
        <v>0</v>
      </c>
      <c r="S202" s="20">
        <f>IF(E202="","",IFERROR(INDEX(Products!$AR$5:$AR$304,MATCH(E202,Products!$A$5:$A$304,0)),""))</f>
        <v>0</v>
      </c>
      <c r="T202" s="20">
        <f>IF(E202="","",IF(G202&lt;&gt;"",G202,IF(S202="","",ROUND(S202*(1-R202),2))))</f>
        <v>0</v>
      </c>
      <c r="U202" s="20">
        <f>IF(E202="","",IFERROR(INDEX(Products!$AH$5:$AH$304,MATCH(E202,Products!$A$5:$A$304,0)),""))</f>
        <v>0</v>
      </c>
      <c r="V202" s="20">
        <f>IF(E202="","",IF(OR(F202="",T202=""),"",ROUND(F202*T202,2)))</f>
        <v>0</v>
      </c>
      <c r="W202" s="20">
        <f>IF(E202="","",IF(OR(F202="",U202=""),"",ROUND(F202*U202+MAX(0,IF(K202="",0,K202)-IF(J202="",0,J202)),2)))</f>
        <v>0</v>
      </c>
      <c r="X202" s="20">
        <f>IF(E202="","",IF(V202="","",ROUND(V202-W202,2)))</f>
        <v>0</v>
      </c>
      <c r="Y202" s="33">
        <f>IF(E202="","",IF(OR(V202="",V202=0),"",X202/V202))</f>
        <v>0</v>
      </c>
      <c r="Z202" s="41">
        <f>IF(E202="","",IFERROR(ROUND(F202*INDEX(Products!$X$5:$X$304,MATCH(E202,Products!$A$5:$A$304,0))/60,1),""))</f>
        <v>0</v>
      </c>
      <c r="AA202" s="20">
        <f>IF(E202="","",IF(OR(Z202="",Z202=0),"",ROUND(X202/Z202,2)))</f>
        <v>0</v>
      </c>
      <c r="AB202" s="42">
        <f>IF(E202="","",IF(V202="","",IF(AND(V202&gt;=MinOrderValue,F202&gt;=MinOrderQty),"Yes","No")))</f>
        <v>0</v>
      </c>
      <c r="AC202" s="32">
        <f>IF(B202="","",IF(I202="","",I202-B202))</f>
        <v>0</v>
      </c>
      <c r="AD202" s="43">
        <f>IF(B202="","",IF(E202="","Add - which product?",IF(X202&lt;0,"Loss - this order costs you money",IF(AND(Y202&lt;&gt;"",Y202&lt;TargetWholesaleMargin),"Low margin - the discount is too deep",IF(AND(H202&lt;&gt;"",I202="",H202&lt;TodayDate),"Overdue - not despatched",IF(AND(M202="No",I202&lt;&gt;"",TodayDate-I202&gt;30),"Chase - unpaid over 30 days",IF(AB202="No","Check - below your minimum order","OK")))))))</f>
        <v>0</v>
      </c>
    </row>
    <row r="203" spans="1:30">
      <c r="A203" s="38">
        <f>IF(B203="","",OrderPrefix&amp;TEXT(ROW()-4,"0000"))</f>
        <v>0</v>
      </c>
      <c r="O203" s="13">
        <f>IF(C203="","",IFERROR(INDEX('Wholesale Customers'!$B$5:$B$64,MATCH(C203,'Wholesale Customers'!$A$5:$A$64,0)),"Not found"))</f>
        <v>0</v>
      </c>
      <c r="P203" s="13">
        <f>IF(E203="","",IFERROR(INDEX(Products!$B$5:$B$304,MATCH(E203,Products!$A$5:$A$304,0)),"Not found"))</f>
        <v>0</v>
      </c>
      <c r="Q203" s="13">
        <f>IF(B203="","",TEXT(B203,"yyyy-mm"))</f>
        <v>0</v>
      </c>
      <c r="R203" s="33">
        <f>IF(C203="","",IFERROR(INDEX('Wholesale Customers'!$P$5:$P$64,MATCH(C203,'Wholesale Customers'!$A$5:$A$64,0)),WholesaleDiscount))</f>
        <v>0</v>
      </c>
      <c r="S203" s="20">
        <f>IF(E203="","",IFERROR(INDEX(Products!$AR$5:$AR$304,MATCH(E203,Products!$A$5:$A$304,0)),""))</f>
        <v>0</v>
      </c>
      <c r="T203" s="20">
        <f>IF(E203="","",IF(G203&lt;&gt;"",G203,IF(S203="","",ROUND(S203*(1-R203),2))))</f>
        <v>0</v>
      </c>
      <c r="U203" s="20">
        <f>IF(E203="","",IFERROR(INDEX(Products!$AH$5:$AH$304,MATCH(E203,Products!$A$5:$A$304,0)),""))</f>
        <v>0</v>
      </c>
      <c r="V203" s="20">
        <f>IF(E203="","",IF(OR(F203="",T203=""),"",ROUND(F203*T203,2)))</f>
        <v>0</v>
      </c>
      <c r="W203" s="20">
        <f>IF(E203="","",IF(OR(F203="",U203=""),"",ROUND(F203*U203+MAX(0,IF(K203="",0,K203)-IF(J203="",0,J203)),2)))</f>
        <v>0</v>
      </c>
      <c r="X203" s="20">
        <f>IF(E203="","",IF(V203="","",ROUND(V203-W203,2)))</f>
        <v>0</v>
      </c>
      <c r="Y203" s="33">
        <f>IF(E203="","",IF(OR(V203="",V203=0),"",X203/V203))</f>
        <v>0</v>
      </c>
      <c r="Z203" s="41">
        <f>IF(E203="","",IFERROR(ROUND(F203*INDEX(Products!$X$5:$X$304,MATCH(E203,Products!$A$5:$A$304,0))/60,1),""))</f>
        <v>0</v>
      </c>
      <c r="AA203" s="20">
        <f>IF(E203="","",IF(OR(Z203="",Z203=0),"",ROUND(X203/Z203,2)))</f>
        <v>0</v>
      </c>
      <c r="AB203" s="42">
        <f>IF(E203="","",IF(V203="","",IF(AND(V203&gt;=MinOrderValue,F203&gt;=MinOrderQty),"Yes","No")))</f>
        <v>0</v>
      </c>
      <c r="AC203" s="32">
        <f>IF(B203="","",IF(I203="","",I203-B203))</f>
        <v>0</v>
      </c>
      <c r="AD203" s="43">
        <f>IF(B203="","",IF(E203="","Add - which product?",IF(X203&lt;0,"Loss - this order costs you money",IF(AND(Y203&lt;&gt;"",Y203&lt;TargetWholesaleMargin),"Low margin - the discount is too deep",IF(AND(H203&lt;&gt;"",I203="",H203&lt;TodayDate),"Overdue - not despatched",IF(AND(M203="No",I203&lt;&gt;"",TodayDate-I203&gt;30),"Chase - unpaid over 30 days",IF(AB203="No","Check - below your minimum order","OK")))))))</f>
        <v>0</v>
      </c>
    </row>
    <row r="204" spans="1:30">
      <c r="A204" s="38">
        <f>IF(B204="","",OrderPrefix&amp;TEXT(ROW()-4,"0000"))</f>
        <v>0</v>
      </c>
      <c r="O204" s="13">
        <f>IF(C204="","",IFERROR(INDEX('Wholesale Customers'!$B$5:$B$64,MATCH(C204,'Wholesale Customers'!$A$5:$A$64,0)),"Not found"))</f>
        <v>0</v>
      </c>
      <c r="P204" s="13">
        <f>IF(E204="","",IFERROR(INDEX(Products!$B$5:$B$304,MATCH(E204,Products!$A$5:$A$304,0)),"Not found"))</f>
        <v>0</v>
      </c>
      <c r="Q204" s="13">
        <f>IF(B204="","",TEXT(B204,"yyyy-mm"))</f>
        <v>0</v>
      </c>
      <c r="R204" s="33">
        <f>IF(C204="","",IFERROR(INDEX('Wholesale Customers'!$P$5:$P$64,MATCH(C204,'Wholesale Customers'!$A$5:$A$64,0)),WholesaleDiscount))</f>
        <v>0</v>
      </c>
      <c r="S204" s="20">
        <f>IF(E204="","",IFERROR(INDEX(Products!$AR$5:$AR$304,MATCH(E204,Products!$A$5:$A$304,0)),""))</f>
        <v>0</v>
      </c>
      <c r="T204" s="20">
        <f>IF(E204="","",IF(G204&lt;&gt;"",G204,IF(S204="","",ROUND(S204*(1-R204),2))))</f>
        <v>0</v>
      </c>
      <c r="U204" s="20">
        <f>IF(E204="","",IFERROR(INDEX(Products!$AH$5:$AH$304,MATCH(E204,Products!$A$5:$A$304,0)),""))</f>
        <v>0</v>
      </c>
      <c r="V204" s="20">
        <f>IF(E204="","",IF(OR(F204="",T204=""),"",ROUND(F204*T204,2)))</f>
        <v>0</v>
      </c>
      <c r="W204" s="20">
        <f>IF(E204="","",IF(OR(F204="",U204=""),"",ROUND(F204*U204+MAX(0,IF(K204="",0,K204)-IF(J204="",0,J204)),2)))</f>
        <v>0</v>
      </c>
      <c r="X204" s="20">
        <f>IF(E204="","",IF(V204="","",ROUND(V204-W204,2)))</f>
        <v>0</v>
      </c>
      <c r="Y204" s="33">
        <f>IF(E204="","",IF(OR(V204="",V204=0),"",X204/V204))</f>
        <v>0</v>
      </c>
      <c r="Z204" s="41">
        <f>IF(E204="","",IFERROR(ROUND(F204*INDEX(Products!$X$5:$X$304,MATCH(E204,Products!$A$5:$A$304,0))/60,1),""))</f>
        <v>0</v>
      </c>
      <c r="AA204" s="20">
        <f>IF(E204="","",IF(OR(Z204="",Z204=0),"",ROUND(X204/Z204,2)))</f>
        <v>0</v>
      </c>
      <c r="AB204" s="42">
        <f>IF(E204="","",IF(V204="","",IF(AND(V204&gt;=MinOrderValue,F204&gt;=MinOrderQty),"Yes","No")))</f>
        <v>0</v>
      </c>
      <c r="AC204" s="32">
        <f>IF(B204="","",IF(I204="","",I204-B204))</f>
        <v>0</v>
      </c>
      <c r="AD204" s="43">
        <f>IF(B204="","",IF(E204="","Add - which product?",IF(X204&lt;0,"Loss - this order costs you money",IF(AND(Y204&lt;&gt;"",Y204&lt;TargetWholesaleMargin),"Low margin - the discount is too deep",IF(AND(H204&lt;&gt;"",I204="",H204&lt;TodayDate),"Overdue - not despatched",IF(AND(M204="No",I204&lt;&gt;"",TodayDate-I204&gt;30),"Chase - unpaid over 30 days",IF(AB204="No","Check - below your minimum order","OK")))))))</f>
        <v>0</v>
      </c>
    </row>
  </sheetData>
  <sheetProtection password="EC7C" sheet="1" objects="1" scenarios="1" formatCells="0" formatColumns="0" formatRows="0" insertRows="0" insertHyperlinks="0" deleteRows="0" autoFilter="0"/>
  <autoFilter ref="A4:AD20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D5:AD204">
    <cfRule type="beginsWith" dxfId="1" priority="52" operator="beginsWith" text="OK">
      <formula>LEFT(AD5,2)="OK"</formula>
    </cfRule>
    <cfRule type="containsText" dxfId="2" priority="53" operator="containsText" text="Overdue">
      <formula>NOT(ISERROR(SEARCH("Overdue",AD5)))</formula>
    </cfRule>
    <cfRule type="containsText" dxfId="2" priority="54" operator="containsText" text="Late">
      <formula>NOT(ISERROR(SEARCH("Late",AD5)))</formula>
    </cfRule>
    <cfRule type="containsText" dxfId="2" priority="55" operator="containsText" text="Missing">
      <formula>NOT(ISERROR(SEARCH("Missing",AD5)))</formula>
    </cfRule>
    <cfRule type="containsText" dxfId="2" priority="56" operator="containsText" text="Conflict">
      <formula>NOT(ISERROR(SEARCH("Conflict",AD5)))</formula>
    </cfRule>
    <cfRule type="containsText" dxfId="2" priority="57" operator="containsText" text="Clash">
      <formula>NOT(ISERROR(SEARCH("Clash",AD5)))</formula>
    </cfRule>
    <cfRule type="containsText" dxfId="2" priority="58" operator="containsText" text="Expired">
      <formula>NOT(ISERROR(SEARCH("Expired",AD5)))</formula>
    </cfRule>
    <cfRule type="containsText" dxfId="2" priority="59" operator="containsText" text="Duplicate">
      <formula>NOT(ISERROR(SEARCH("Duplicate",AD5)))</formula>
    </cfRule>
    <cfRule type="containsText" dxfId="2" priority="60" operator="containsText" text="Unpaid">
      <formula>NOT(ISERROR(SEARCH("Unpaid",AD5)))</formula>
    </cfRule>
    <cfRule type="containsText" dxfId="2" priority="61" operator="containsText" text="Loss">
      <formula>NOT(ISERROR(SEARCH("Loss",AD5)))</formula>
    </cfRule>
    <cfRule type="containsText" dxfId="2" priority="62" operator="containsText" text="Below">
      <formula>NOT(ISERROR(SEARCH("Below",AD5)))</formula>
    </cfRule>
    <cfRule type="containsText" dxfId="0" priority="63" operator="containsText" text="Action">
      <formula>NOT(ISERROR(SEARCH("Action",AD5)))</formula>
    </cfRule>
    <cfRule type="containsText" dxfId="0" priority="64" operator="containsText" text="Due">
      <formula>NOT(ISERROR(SEARCH("Due",AD5)))</formula>
    </cfRule>
    <cfRule type="containsText" dxfId="0" priority="65" operator="containsText" text="Check">
      <formula>NOT(ISERROR(SEARCH("Check",AD5)))</formula>
    </cfRule>
    <cfRule type="containsText" dxfId="0" priority="66" operator="containsText" text="Chase">
      <formula>NOT(ISERROR(SEARCH("Chase",AD5)))</formula>
    </cfRule>
    <cfRule type="containsText" dxfId="0" priority="67" operator="containsText" text="Assign">
      <formula>NOT(ISERROR(SEARCH("Assign",AD5)))</formula>
    </cfRule>
    <cfRule type="containsText" dxfId="0" priority="68" operator="containsText" text="Confirm">
      <formula>NOT(ISERROR(SEARCH("Confirm",AD5)))</formula>
    </cfRule>
    <cfRule type="containsText" dxfId="0" priority="69" operator="containsText" text="Order">
      <formula>NOT(ISERROR(SEARCH("Order",AD5)))</formula>
    </cfRule>
    <cfRule type="containsText" dxfId="3" priority="70" operator="containsText" text="Today">
      <formula>NOT(ISERROR(SEARCH("Today",AD5)))</formula>
    </cfRule>
    <cfRule type="containsText" dxfId="3" priority="71" operator="containsText" text="Upcoming">
      <formula>NOT(ISERROR(SEARCH("Upcoming",AD5)))</formula>
    </cfRule>
    <cfRule type="containsText" dxfId="3" priority="72" operator="containsText" text="Tomorrow">
      <formula>NOT(ISERROR(SEARCH("Tomorrow",AD5)))</formula>
    </cfRule>
  </conditionalFormatting>
  <conditionalFormatting sqref="L5:L204">
    <cfRule type="containsText" dxfId="1" priority="1" operator="containsText" text="Completed">
      <formula>NOT(ISERROR(SEARCH("Completed",L5)))</formula>
    </cfRule>
    <cfRule type="containsText" dxfId="1" priority="2" operator="containsText" text="Complete">
      <formula>NOT(ISERROR(SEARCH("Complete",L5)))</formula>
    </cfRule>
    <cfRule type="containsText" dxfId="1" priority="3" operator="containsText" text="Done">
      <formula>NOT(ISERROR(SEARCH("Done",L5)))</formula>
    </cfRule>
    <cfRule type="containsText" dxfId="1" priority="4" operator="containsText" text="Paid">
      <formula>NOT(ISERROR(SEARCH("Paid",L5)))</formula>
    </cfRule>
    <cfRule type="containsText" dxfId="1" priority="5" operator="containsText" text="Accepted">
      <formula>NOT(ISERROR(SEARCH("Accepted",L5)))</formula>
    </cfRule>
    <cfRule type="containsText" dxfId="1" priority="6" operator="containsText" text="Won">
      <formula>NOT(ISERROR(SEARCH("Won",L5)))</formula>
    </cfRule>
    <cfRule type="containsText" dxfId="1" priority="7" operator="containsText" text="Active">
      <formula>NOT(ISERROR(SEARCH("Active",L5)))</formula>
    </cfRule>
    <cfRule type="containsText" dxfId="1" priority="8" operator="containsText" text="In stock">
      <formula>NOT(ISERROR(SEARCH("In stock",L5)))</formula>
    </cfRule>
    <cfRule type="containsText" dxfId="1" priority="9" operator="containsText" text="Resolved">
      <formula>NOT(ISERROR(SEARCH("Resolved",L5)))</formula>
    </cfRule>
    <cfRule type="containsText" dxfId="1" priority="10" operator="containsText" text="Signed">
      <formula>NOT(ISERROR(SEARCH("Signed",L5)))</formula>
    </cfRule>
    <cfRule type="containsText" dxfId="1" priority="11" operator="containsText" text="Yes">
      <formula>NOT(ISERROR(SEARCH("Yes",L5)))</formula>
    </cfRule>
    <cfRule type="containsText" dxfId="3" priority="12" operator="containsText" text="Booked">
      <formula>NOT(ISERROR(SEARCH("Booked",L5)))</formula>
    </cfRule>
    <cfRule type="containsText" dxfId="3" priority="13" operator="containsText" text="Confirmed">
      <formula>NOT(ISERROR(SEARCH("Confirmed",L5)))</formula>
    </cfRule>
    <cfRule type="containsText" dxfId="3" priority="14" operator="containsText" text="Scheduled">
      <formula>NOT(ISERROR(SEARCH("Scheduled",L5)))</formula>
    </cfRule>
    <cfRule type="containsText" dxfId="3" priority="15" operator="containsText" text="In progress">
      <formula>NOT(ISERROR(SEARCH("In progress",L5)))</formula>
    </cfRule>
    <cfRule type="containsText" dxfId="3" priority="16" operator="containsText" text="Sent">
      <formula>NOT(ISERROR(SEARCH("Sent",L5)))</formula>
    </cfRule>
    <cfRule type="containsText" dxfId="3" priority="17" operator="containsText" text="Invoiced">
      <formula>NOT(ISERROR(SEARCH("Invoiced",L5)))</formula>
    </cfRule>
    <cfRule type="containsText" dxfId="3" priority="18" operator="containsText" text="Quoted">
      <formula>NOT(ISERROR(SEARCH("Quoted",L5)))</formula>
    </cfRule>
    <cfRule type="containsText" dxfId="3" priority="19" operator="containsText" text="Prospect">
      <formula>NOT(ISERROR(SEARCH("Prospect",L5)))</formula>
    </cfRule>
    <cfRule type="containsText" dxfId="0" priority="20" operator="containsText" text="Draft">
      <formula>NOT(ISERROR(SEARCH("Draft",L5)))</formula>
    </cfRule>
    <cfRule type="containsText" dxfId="0" priority="21" operator="containsText" text="Enquiry">
      <formula>NOT(ISERROR(SEARCH("Enquiry",L5)))</formula>
    </cfRule>
    <cfRule type="containsText" dxfId="0" priority="22" operator="containsText" text="Pending">
      <formula>NOT(ISERROR(SEARCH("Pending",L5)))</formula>
    </cfRule>
    <cfRule type="containsText" dxfId="0" priority="23" operator="containsText" text="Part paid">
      <formula>NOT(ISERROR(SEARCH("Part paid",L5)))</formula>
    </cfRule>
    <cfRule type="containsText" dxfId="0" priority="24" operator="containsText" text="Followed up">
      <formula>NOT(ISERROR(SEARCH("Followed up",L5)))</formula>
    </cfRule>
    <cfRule type="containsText" dxfId="0" priority="25" operator="containsText" text="Low stock">
      <formula>NOT(ISERROR(SEARCH("Low stock",L5)))</formula>
    </cfRule>
    <cfRule type="containsText" dxfId="0" priority="26" operator="containsText" text="Due soon">
      <formula>NOT(ISERROR(SEARCH("Due soon",L5)))</formula>
    </cfRule>
    <cfRule type="containsText" dxfId="0" priority="27" operator="containsText" text="On hold">
      <formula>NOT(ISERROR(SEARCH("On hold",L5)))</formula>
    </cfRule>
    <cfRule type="containsText" dxfId="0" priority="28" operator="containsText" text="Unassigned">
      <formula>NOT(ISERROR(SEARCH("Unassigned",L5)))</formula>
    </cfRule>
    <cfRule type="containsText" dxfId="2" priority="29" operator="containsText" text="Overdue">
      <formula>NOT(ISERROR(SEARCH("Overdue",L5)))</formula>
    </cfRule>
    <cfRule type="containsText" dxfId="2" priority="30" operator="containsText" text="Cancelled">
      <formula>NOT(ISERROR(SEARCH("Cancelled",L5)))</formula>
    </cfRule>
    <cfRule type="containsText" dxfId="2" priority="31" operator="containsText" text="Declined">
      <formula>NOT(ISERROR(SEARCH("Declined",L5)))</formula>
    </cfRule>
    <cfRule type="containsText" dxfId="2" priority="32" operator="containsText" text="Lost">
      <formula>NOT(ISERROR(SEARCH("Lost",L5)))</formula>
    </cfRule>
    <cfRule type="containsText" dxfId="2" priority="33" operator="containsText" text="No access">
      <formula>NOT(ISERROR(SEARCH("No access",L5)))</formula>
    </cfRule>
    <cfRule type="containsText" dxfId="2" priority="34" operator="containsText" text="Out of stock">
      <formula>NOT(ISERROR(SEARCH("Out of stock",L5)))</formula>
    </cfRule>
    <cfRule type="containsText" dxfId="2" priority="35" operator="containsText" text="Written off">
      <formula>NOT(ISERROR(SEARCH("Written off",L5)))</formula>
    </cfRule>
    <cfRule type="containsText" dxfId="2" priority="36" operator="containsText" text="Expired">
      <formula>NOT(ISERROR(SEARCH("Expired",L5)))</formula>
    </cfRule>
    <cfRule type="containsText" dxfId="4" priority="37" operator="containsText" text="Discontinued">
      <formula>NOT(ISERROR(SEARCH("Discontinued",L5)))</formula>
    </cfRule>
    <cfRule type="containsText" dxfId="4" priority="38" operator="containsText" text="Idea">
      <formula>NOT(ISERROR(SEARCH("Idea",L5)))</formula>
    </cfRule>
    <cfRule type="containsText" dxfId="0" priority="39" operator="containsText" text="Prototype">
      <formula>NOT(ISERROR(SEARCH("Prototype",L5)))</formula>
    </cfRule>
    <cfRule type="containsText" dxfId="3" priority="40" operator="containsText" text="Made to order">
      <formula>NOT(ISERROR(SEARCH("Made to order",L5)))</formula>
    </cfRule>
    <cfRule type="containsText" dxfId="3" priority="41" operator="containsText" text="Seasonal">
      <formula>NOT(ISERROR(SEARCH("Seasonal",L5)))</formula>
    </cfRule>
    <cfRule type="containsText" dxfId="0" priority="42" operator="containsText" text="Review">
      <formula>NOT(ISERROR(SEARCH("Review",L5)))</formula>
    </cfRule>
    <cfRule type="containsText" dxfId="0" priority="43" operator="containsText" text="Raise price">
      <formula>NOT(ISERROR(SEARCH("Raise price",L5)))</formula>
    </cfRule>
    <cfRule type="containsText" dxfId="4" priority="44" operator="containsText" text="Inactive">
      <formula>NOT(ISERROR(SEARCH("Inactive",L5)))</formula>
    </cfRule>
    <cfRule type="containsText" dxfId="4" priority="45" operator="containsText" text="Archived">
      <formula>NOT(ISERROR(SEARCH("Archived",L5)))</formula>
    </cfRule>
    <cfRule type="containsText" dxfId="4" priority="46" operator="containsText" text="Not needed">
      <formula>NOT(ISERROR(SEARCH("Not needed",L5)))</formula>
    </cfRule>
  </conditionalFormatting>
  <conditionalFormatting sqref="X5:X204">
    <cfRule type="cellIs" dxfId="5" priority="47" operator="lessThan">
      <formula>0</formula>
    </cfRule>
    <cfRule type="cellIs" dxfId="1" priority="48" operator="greaterThan">
      <formula>0</formula>
    </cfRule>
  </conditionalFormatting>
  <conditionalFormatting sqref="Y5:Y204">
    <cfRule type="cellIs" dxfId="2" priority="49" operator="lessThan">
      <formula>0</formula>
    </cfRule>
    <cfRule type="cellIs" dxfId="0" priority="50" operator="lessThan">
      <formula>TargetWholesaleMargin</formula>
    </cfRule>
    <cfRule type="cellIs" dxfId="1" priority="51" operator="greaterThanOrEqual">
      <formula>TargetWholesaleMargin</formula>
    </cfRule>
  </conditionalFormatting>
  <dataValidations count="11">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C5:C204">
      <formula1>CustomerIDs</formula1>
    </dataValidation>
    <dataValidation type="list" allowBlank="1" showInputMessage="1" showErrorMessage="1" sqref="E5:E204">
      <formula1>ProductIDs</formula1>
    </dataValidation>
    <dataValidation type="whole" allowBlank="1" showInputMessage="1" showErrorMessage="1" errorTitle="Check the value" error="Enter a number between 1 and 1000000." sqref="F5:F204">
      <formula1>1</formula1>
      <formula2>1000000</formula2>
    </dataValidation>
    <dataValidation type="decimal" allowBlank="1" showInputMessage="1" showErrorMessage="1" errorTitle="Check the value" error="Enter a number between 0 and 1000000." promptTitle="Agreed price each" prompt="Leave blank to use the catalog price at this customer's discount." sqref="G5:G204">
      <formula1>0</formula1>
      <formula2>1000000</formula2>
    </dataValidation>
    <dataValidation type="date" allowBlank="1" showInputMessage="1" showErrorMessage="1" errorTitle="Check the date" error="Enter a real date between 2000 and 2100." sqref="H5:H204">
      <formula1>36526</formula1>
      <formula2>73415</formula2>
    </dataValidation>
    <dataValidation type="date" allowBlank="1" showInputMessage="1" showErrorMessage="1" errorTitle="Check the date" error="Enter a real date between 2000 and 2100." sqref="I5:I204">
      <formula1>36526</formula1>
      <formula2>73415</formula2>
    </dataValidation>
    <dataValidation type="decimal" allowBlank="1" showInputMessage="1" showErrorMessage="1" errorTitle="Check the value" error="Enter a number between 0 and 100000." sqref="J5:J204">
      <formula1>0</formula1>
      <formula2>100000</formula2>
    </dataValidation>
    <dataValidation type="decimal" allowBlank="1" showInputMessage="1" showErrorMessage="1" errorTitle="Check the value" error="Enter a number between 0 and 100000." sqref="K5:K204">
      <formula1>0</formula1>
      <formula2>100000</formula2>
    </dataValidation>
    <dataValidation type="list" allowBlank="1" showInputMessage="1" showErrorMessage="1" sqref="L5:L204">
      <formula1>OrderStatusList</formula1>
    </dataValidation>
    <dataValidation type="list" allowBlank="1" showInputMessage="1" showErrorMessage="1" sqref="M5:M204">
      <formula1>YesNoList</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 ref="M3" location="'Wholesale Calculator'!A1" display="&gt; Wholesale"/>
    <hyperlink ref="O3" location="Sales!A1" display="&gt; Sales"/>
    <hyperlink ref="Q3" location="Help!A1" display="&gt; Help"/>
  </hyperlinks>
  <pageMargins left="0.4" right="0.4" top="0.6" bottom="0.5" header="0.3" footer="0.3"/>
  <pageSetup paperSize="9" fitToHeight="0" orientation="landscape"/>
  <headerFooter>
    <oddHeader>&amp;L&amp;"Calibri,Bold"&amp;12&amp;C&amp;"Calibri,Bold"&amp;11Wholesale Orders&amp;R&amp;"Calibri,Italic"&amp;9Handmade Product Pricing &amp; Profit Calculator</oddHeader>
    <oddFooter>&amp;L&amp;"Calibri,Italic"&amp;8Novality Store - v1.0.0&amp;C&amp;"Calibri,Italic"&amp;8Page &amp;P of &amp;N&amp;R&amp;"Calibri,Italic"&amp;8&amp;D</oddFooter>
  </headerFooter>
  <legacyDrawing r:id="rId1"/>
</worksheet>
</file>

<file path=xl/worksheets/sheet34.xml><?xml version="1.0" encoding="utf-8"?>
<worksheet xmlns="http://schemas.openxmlformats.org/spreadsheetml/2006/main" xmlns:r="http://schemas.openxmlformats.org/officeDocument/2006/relationships">
  <sheetPr>
    <tabColor rgb="FF5E7B5A"/>
    <pageSetUpPr fitToPage="1"/>
  </sheetPr>
  <dimension ref="A1:L67"/>
  <sheetViews>
    <sheetView showGridLines="0" workbookViewId="0">
      <pane ySplit="4" topLeftCell="A5" activePane="bottomLeft" state="frozen"/>
      <selection pane="bottomLeft"/>
    </sheetView>
  </sheetViews>
  <sheetFormatPr defaultRowHeight="15"/>
  <cols>
    <col min="1" max="1" width="3.2109375" customWidth="1"/>
    <col min="2" max="2" width="30.7109375" style="11" customWidth="1"/>
    <col min="3" max="3" width="14.7109375" customWidth="1"/>
    <col min="4" max="4" width="14.7109375" customWidth="1"/>
    <col min="5" max="5" width="14.7109375" customWidth="1"/>
    <col min="6" max="6" width="14.7109375" customWidth="1"/>
    <col min="7" max="7" width="14.7109375" customWidth="1"/>
    <col min="8" max="8" width="14.7109375" customWidth="1"/>
    <col min="9" max="9" width="14.7109375" customWidth="1"/>
    <col min="10" max="10" width="14.7109375" customWidth="1"/>
    <col min="11" max="11" width="14.7109375" customWidth="1"/>
    <col min="12" max="12" width="14.7109375" customWidth="1"/>
    <col min="2" max="2" width="30.7109375" customWidth="1"/>
    <col min="3" max="3" width="11.7109375" customWidth="1"/>
    <col min="4" max="4" width="12.7109375" customWidth="1"/>
    <col min="5" max="5" width="12.7109375" customWidth="1"/>
    <col min="6" max="6" width="12.7109375" customWidth="1"/>
    <col min="7" max="7" width="12.7109375" customWidth="1"/>
    <col min="8" max="8" width="12.7109375" customWidth="1"/>
    <col min="9" max="9" width="12.7109375" customWidth="1"/>
    <col min="10" max="10" width="22.7109375" customWidth="1"/>
    <col min="2" max="2" width="22.7109375" customWidth="1"/>
    <col min="3" max="3" width="15.7109375" customWidth="1"/>
    <col min="4" max="4" width="12.7109375" customWidth="1"/>
    <col min="5" max="5" width="20.7109375" customWidth="1"/>
    <col min="6" max="6" width="13.7109375" customWidth="1"/>
    <col min="7" max="7" width="12.7109375" customWidth="1"/>
    <col min="8" max="8" width="18.7109375" customWidth="1"/>
    <col min="9" max="9" width="13.7109375" customWidth="1"/>
    <col min="2" max="2" width="18.7109375" customWidth="1"/>
    <col min="3" max="3" width="17.7109375" customWidth="1"/>
    <col min="4" max="4" width="16.7109375" customWidth="1"/>
    <col min="5" max="5" width="24.7109375" customWidth="1"/>
    <col min="6" max="6" width="20.7109375" customWidth="1"/>
    <col min="7" max="7" width="13.7109375" customWidth="1"/>
    <col min="8" max="8" width="24.7109375" customWidth="1"/>
    <col min="2" max="2" width="14.7109375" customWidth="1"/>
    <col min="3" max="3" width="13.7109375" customWidth="1"/>
    <col min="4" max="4" width="13.7109375" customWidth="1"/>
    <col min="5" max="5" width="13.7109375" customWidth="1"/>
    <col min="6" max="6" width="14.7109375" customWidth="1"/>
    <col min="7" max="7" width="10.7109375" customWidth="1"/>
    <col min="8" max="8" width="16.7109375" customWidth="1"/>
  </cols>
  <sheetData>
    <row r="1" spans="1:12" ht="34" customHeight="1">
      <c r="A1" s="2" t="s">
        <v>1948</v>
      </c>
      <c r="B1" s="2"/>
      <c r="C1" s="2"/>
      <c r="D1" s="2"/>
      <c r="E1" s="2"/>
      <c r="F1" s="2"/>
      <c r="G1" s="2"/>
      <c r="H1" s="2"/>
      <c r="I1" s="2"/>
      <c r="J1" s="3" t="s">
        <v>1</v>
      </c>
      <c r="K1" s="3"/>
      <c r="L1" s="3"/>
    </row>
    <row r="2" spans="1:12" ht="18" customHeight="1">
      <c r="A2" s="4" t="s">
        <v>1949</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1950</v>
      </c>
      <c r="B5" s="7"/>
      <c r="C5" s="7"/>
      <c r="D5" s="7"/>
      <c r="E5" s="7"/>
      <c r="F5" s="7"/>
      <c r="G5" s="7"/>
      <c r="H5" s="7"/>
      <c r="I5" s="7"/>
      <c r="J5" s="7"/>
      <c r="K5" s="7"/>
      <c r="L5" s="7"/>
    </row>
    <row r="6" spans="1:12" ht="30" customHeight="1">
      <c r="B6" s="6" t="s">
        <v>1951</v>
      </c>
      <c r="C6" s="6"/>
      <c r="D6" s="6"/>
      <c r="E6" s="6"/>
      <c r="F6" s="6"/>
      <c r="G6" s="6"/>
      <c r="H6" s="6"/>
      <c r="I6" s="6"/>
      <c r="J6" s="6"/>
      <c r="K6" s="6"/>
      <c r="L6" s="6"/>
    </row>
    <row r="7" spans="1:12" ht="26" customHeight="1">
      <c r="B7" s="8" t="s">
        <v>354</v>
      </c>
      <c r="C7" s="9" t="s">
        <v>33</v>
      </c>
      <c r="D7" s="9" t="s">
        <v>461</v>
      </c>
      <c r="E7" s="9">
        <f>IFERROR(INDEX(ScenarioNames,1),"")</f>
        <v>0</v>
      </c>
      <c r="F7" s="9">
        <f>IFERROR(INDEX(ScenarioNames,2),"")</f>
        <v>0</v>
      </c>
      <c r="G7" s="9">
        <f>IFERROR(INDEX(ScenarioNames,3),"")</f>
        <v>0</v>
      </c>
      <c r="H7" s="9">
        <f>IFERROR(INDEX(ScenarioNames,4),"")</f>
        <v>0</v>
      </c>
      <c r="I7" s="9">
        <f>IFERROR(INDEX(ScenarioNames,5),"")</f>
        <v>0</v>
      </c>
      <c r="J7" s="9" t="s">
        <v>1952</v>
      </c>
    </row>
    <row r="8" spans="1:12">
      <c r="B8" s="13">
        <f>IFERROR(INDEX(Products!$B$5:$B$304,1)&amp;"","")</f>
        <v>0</v>
      </c>
      <c r="C8" s="20">
        <f>IF(IFERROR(INDEX(Products!$B$5:$B$304,1)&amp;"","")="","",IFERROR(INDEX(Products!$AT$5:$AT$304,1),""))</f>
        <v>0</v>
      </c>
      <c r="D8" s="20">
        <f>IF(IFERROR(INDEX(Products!$B$5:$B$304,1)&amp;"","")="","",IFERROR(INDEX(Products!$AR$5:$AR$304,1),""))</f>
        <v>0</v>
      </c>
      <c r="E8" s="20">
        <f>IF(C8="","",IF((1-IFERROR(INDEX(ScenarioMargins,1),0)-IFERROR(INDEX(Products!$AI$5:$AI$304,1)*1,0))&lt;=0,"",ROUND(IF(RoundingRule="None",((C8+IFERROR(INDEX(Products!$AK$5:$AK$304,1)*1,0))/(1-IFERROR(INDEX(ScenarioMargins,1),0)-IFERROR(INDEX(Products!$AI$5:$AI$304,1)*1,0))),IF(RoundingRule="Nearest 0.99",MAX(0.99,CEILING(((C8+IFERROR(INDEX(Products!$AK$5:$AK$304,1)*1,0))/(1-IFERROR(INDEX(ScenarioMargins,1),0)-IFERROR(INDEX(Products!$AI$5:$AI$304,1)*1,0))),1)-0.01),IF(RoundingRule="Nearest 0.95",MAX(0.95,CEILING(((C8+IFERROR(INDEX(Products!$AK$5:$AK$304,1)*1,0))/(1-IFERROR(INDEX(ScenarioMargins,1),0)-IFERROR(INDEX(Products!$AI$5:$AI$304,1)*1,0))),1)-0.05),IF(RoundingRule="Nearest 0.50",CEILING(((C8+IFERROR(INDEX(Products!$AK$5:$AK$304,1)*1,0))/(1-IFERROR(INDEX(ScenarioMargins,1),0)-IFERROR(INDEX(Products!$AI$5:$AI$304,1)*1,0))),0.5),IF(RoundingRule="Nearest 1",CEILING(((C8+IFERROR(INDEX(Products!$AK$5:$AK$304,1)*1,0))/(1-IFERROR(INDEX(ScenarioMargins,1),0)-IFERROR(INDEX(Products!$AI$5:$AI$304,1)*1,0))),1),IF(RoundingRule="Nearest 5",CEILING(((C8+IFERROR(INDEX(Products!$AK$5:$AK$304,1)*1,0))/(1-IFERROR(INDEX(ScenarioMargins,1),0)-IFERROR(INDEX(Products!$AI$5:$AI$304,1)*1,0))),5),IF(RoundingRule="Up to whole 1",CEILING(((C8+IFERROR(INDEX(Products!$AK$5:$AK$304,1)*1,0))/(1-IFERROR(INDEX(ScenarioMargins,1),0)-IFERROR(INDEX(Products!$AI$5:$AI$304,1)*1,0))),1),IF(RoundingRule="Up to whole 5",CEILING(((C8+IFERROR(INDEX(Products!$AK$5:$AK$304,1)*1,0))/(1-IFERROR(INDEX(ScenarioMargins,1),0)-IFERROR(INDEX(Products!$AI$5:$AI$304,1)*1,0))),5),ROUND(((C8+IFERROR(INDEX(Products!$AK$5:$AK$304,1)*1,0))/(1-IFERROR(INDEX(ScenarioMargins,1),0)-IFERROR(INDEX(Products!$AI$5:$AI$304,1)*1,0))),2))))))))),2)))</f>
        <v>0</v>
      </c>
      <c r="F8" s="20">
        <f>IF(C8="","",IF((1-IFERROR(INDEX(ScenarioMargins,2),0)-IFERROR(INDEX(Products!$AI$5:$AI$304,1)*1,0))&lt;=0,"",ROUND(IF(RoundingRule="None",((C8+IFERROR(INDEX(Products!$AK$5:$AK$304,1)*1,0))/(1-IFERROR(INDEX(ScenarioMargins,2),0)-IFERROR(INDEX(Products!$AI$5:$AI$304,1)*1,0))),IF(RoundingRule="Nearest 0.99",MAX(0.99,CEILING(((C8+IFERROR(INDEX(Products!$AK$5:$AK$304,1)*1,0))/(1-IFERROR(INDEX(ScenarioMargins,2),0)-IFERROR(INDEX(Products!$AI$5:$AI$304,1)*1,0))),1)-0.01),IF(RoundingRule="Nearest 0.95",MAX(0.95,CEILING(((C8+IFERROR(INDEX(Products!$AK$5:$AK$304,1)*1,0))/(1-IFERROR(INDEX(ScenarioMargins,2),0)-IFERROR(INDEX(Products!$AI$5:$AI$304,1)*1,0))),1)-0.05),IF(RoundingRule="Nearest 0.50",CEILING(((C8+IFERROR(INDEX(Products!$AK$5:$AK$304,1)*1,0))/(1-IFERROR(INDEX(ScenarioMargins,2),0)-IFERROR(INDEX(Products!$AI$5:$AI$304,1)*1,0))),0.5),IF(RoundingRule="Nearest 1",CEILING(((C8+IFERROR(INDEX(Products!$AK$5:$AK$304,1)*1,0))/(1-IFERROR(INDEX(ScenarioMargins,2),0)-IFERROR(INDEX(Products!$AI$5:$AI$304,1)*1,0))),1),IF(RoundingRule="Nearest 5",CEILING(((C8+IFERROR(INDEX(Products!$AK$5:$AK$304,1)*1,0))/(1-IFERROR(INDEX(ScenarioMargins,2),0)-IFERROR(INDEX(Products!$AI$5:$AI$304,1)*1,0))),5),IF(RoundingRule="Up to whole 1",CEILING(((C8+IFERROR(INDEX(Products!$AK$5:$AK$304,1)*1,0))/(1-IFERROR(INDEX(ScenarioMargins,2),0)-IFERROR(INDEX(Products!$AI$5:$AI$304,1)*1,0))),1),IF(RoundingRule="Up to whole 5",CEILING(((C8+IFERROR(INDEX(Products!$AK$5:$AK$304,1)*1,0))/(1-IFERROR(INDEX(ScenarioMargins,2),0)-IFERROR(INDEX(Products!$AI$5:$AI$304,1)*1,0))),5),ROUND(((C8+IFERROR(INDEX(Products!$AK$5:$AK$304,1)*1,0))/(1-IFERROR(INDEX(ScenarioMargins,2),0)-IFERROR(INDEX(Products!$AI$5:$AI$304,1)*1,0))),2))))))))),2)))</f>
        <v>0</v>
      </c>
      <c r="G8" s="20">
        <f>IF(C8="","",IF((1-IFERROR(INDEX(ScenarioMargins,3),0)-IFERROR(INDEX(Products!$AI$5:$AI$304,1)*1,0))&lt;=0,"",ROUND(IF(RoundingRule="None",((C8+IFERROR(INDEX(Products!$AK$5:$AK$304,1)*1,0))/(1-IFERROR(INDEX(ScenarioMargins,3),0)-IFERROR(INDEX(Products!$AI$5:$AI$304,1)*1,0))),IF(RoundingRule="Nearest 0.99",MAX(0.99,CEILING(((C8+IFERROR(INDEX(Products!$AK$5:$AK$304,1)*1,0))/(1-IFERROR(INDEX(ScenarioMargins,3),0)-IFERROR(INDEX(Products!$AI$5:$AI$304,1)*1,0))),1)-0.01),IF(RoundingRule="Nearest 0.95",MAX(0.95,CEILING(((C8+IFERROR(INDEX(Products!$AK$5:$AK$304,1)*1,0))/(1-IFERROR(INDEX(ScenarioMargins,3),0)-IFERROR(INDEX(Products!$AI$5:$AI$304,1)*1,0))),1)-0.05),IF(RoundingRule="Nearest 0.50",CEILING(((C8+IFERROR(INDEX(Products!$AK$5:$AK$304,1)*1,0))/(1-IFERROR(INDEX(ScenarioMargins,3),0)-IFERROR(INDEX(Products!$AI$5:$AI$304,1)*1,0))),0.5),IF(RoundingRule="Nearest 1",CEILING(((C8+IFERROR(INDEX(Products!$AK$5:$AK$304,1)*1,0))/(1-IFERROR(INDEX(ScenarioMargins,3),0)-IFERROR(INDEX(Products!$AI$5:$AI$304,1)*1,0))),1),IF(RoundingRule="Nearest 5",CEILING(((C8+IFERROR(INDEX(Products!$AK$5:$AK$304,1)*1,0))/(1-IFERROR(INDEX(ScenarioMargins,3),0)-IFERROR(INDEX(Products!$AI$5:$AI$304,1)*1,0))),5),IF(RoundingRule="Up to whole 1",CEILING(((C8+IFERROR(INDEX(Products!$AK$5:$AK$304,1)*1,0))/(1-IFERROR(INDEX(ScenarioMargins,3),0)-IFERROR(INDEX(Products!$AI$5:$AI$304,1)*1,0))),1),IF(RoundingRule="Up to whole 5",CEILING(((C8+IFERROR(INDEX(Products!$AK$5:$AK$304,1)*1,0))/(1-IFERROR(INDEX(ScenarioMargins,3),0)-IFERROR(INDEX(Products!$AI$5:$AI$304,1)*1,0))),5),ROUND(((C8+IFERROR(INDEX(Products!$AK$5:$AK$304,1)*1,0))/(1-IFERROR(INDEX(ScenarioMargins,3),0)-IFERROR(INDEX(Products!$AI$5:$AI$304,1)*1,0))),2))))))))),2)))</f>
        <v>0</v>
      </c>
      <c r="H8" s="20">
        <f>IF(C8="","",IF((1-IFERROR(INDEX(ScenarioMargins,4),0)-IFERROR(INDEX(Products!$AI$5:$AI$304,1)*1,0))&lt;=0,"",ROUND(IF(RoundingRule="None",((C8+IFERROR(INDEX(Products!$AK$5:$AK$304,1)*1,0))/(1-IFERROR(INDEX(ScenarioMargins,4),0)-IFERROR(INDEX(Products!$AI$5:$AI$304,1)*1,0))),IF(RoundingRule="Nearest 0.99",MAX(0.99,CEILING(((C8+IFERROR(INDEX(Products!$AK$5:$AK$304,1)*1,0))/(1-IFERROR(INDEX(ScenarioMargins,4),0)-IFERROR(INDEX(Products!$AI$5:$AI$304,1)*1,0))),1)-0.01),IF(RoundingRule="Nearest 0.95",MAX(0.95,CEILING(((C8+IFERROR(INDEX(Products!$AK$5:$AK$304,1)*1,0))/(1-IFERROR(INDEX(ScenarioMargins,4),0)-IFERROR(INDEX(Products!$AI$5:$AI$304,1)*1,0))),1)-0.05),IF(RoundingRule="Nearest 0.50",CEILING(((C8+IFERROR(INDEX(Products!$AK$5:$AK$304,1)*1,0))/(1-IFERROR(INDEX(ScenarioMargins,4),0)-IFERROR(INDEX(Products!$AI$5:$AI$304,1)*1,0))),0.5),IF(RoundingRule="Nearest 1",CEILING(((C8+IFERROR(INDEX(Products!$AK$5:$AK$304,1)*1,0))/(1-IFERROR(INDEX(ScenarioMargins,4),0)-IFERROR(INDEX(Products!$AI$5:$AI$304,1)*1,0))),1),IF(RoundingRule="Nearest 5",CEILING(((C8+IFERROR(INDEX(Products!$AK$5:$AK$304,1)*1,0))/(1-IFERROR(INDEX(ScenarioMargins,4),0)-IFERROR(INDEX(Products!$AI$5:$AI$304,1)*1,0))),5),IF(RoundingRule="Up to whole 1",CEILING(((C8+IFERROR(INDEX(Products!$AK$5:$AK$304,1)*1,0))/(1-IFERROR(INDEX(ScenarioMargins,4),0)-IFERROR(INDEX(Products!$AI$5:$AI$304,1)*1,0))),1),IF(RoundingRule="Up to whole 5",CEILING(((C8+IFERROR(INDEX(Products!$AK$5:$AK$304,1)*1,0))/(1-IFERROR(INDEX(ScenarioMargins,4),0)-IFERROR(INDEX(Products!$AI$5:$AI$304,1)*1,0))),5),ROUND(((C8+IFERROR(INDEX(Products!$AK$5:$AK$304,1)*1,0))/(1-IFERROR(INDEX(ScenarioMargins,4),0)-IFERROR(INDEX(Products!$AI$5:$AI$304,1)*1,0))),2))))))))),2)))</f>
        <v>0</v>
      </c>
      <c r="I8" s="20">
        <f>IF(C8="","",IF((1-IFERROR(INDEX(ScenarioMargins,5),0)-IFERROR(INDEX(Products!$AI$5:$AI$304,1)*1,0))&lt;=0,"",ROUND(IF(RoundingRule="None",((C8+IFERROR(INDEX(Products!$AK$5:$AK$304,1)*1,0))/(1-IFERROR(INDEX(ScenarioMargins,5),0)-IFERROR(INDEX(Products!$AI$5:$AI$304,1)*1,0))),IF(RoundingRule="Nearest 0.99",MAX(0.99,CEILING(((C8+IFERROR(INDEX(Products!$AK$5:$AK$304,1)*1,0))/(1-IFERROR(INDEX(ScenarioMargins,5),0)-IFERROR(INDEX(Products!$AI$5:$AI$304,1)*1,0))),1)-0.01),IF(RoundingRule="Nearest 0.95",MAX(0.95,CEILING(((C8+IFERROR(INDEX(Products!$AK$5:$AK$304,1)*1,0))/(1-IFERROR(INDEX(ScenarioMargins,5),0)-IFERROR(INDEX(Products!$AI$5:$AI$304,1)*1,0))),1)-0.05),IF(RoundingRule="Nearest 0.50",CEILING(((C8+IFERROR(INDEX(Products!$AK$5:$AK$304,1)*1,0))/(1-IFERROR(INDEX(ScenarioMargins,5),0)-IFERROR(INDEX(Products!$AI$5:$AI$304,1)*1,0))),0.5),IF(RoundingRule="Nearest 1",CEILING(((C8+IFERROR(INDEX(Products!$AK$5:$AK$304,1)*1,0))/(1-IFERROR(INDEX(ScenarioMargins,5),0)-IFERROR(INDEX(Products!$AI$5:$AI$304,1)*1,0))),1),IF(RoundingRule="Nearest 5",CEILING(((C8+IFERROR(INDEX(Products!$AK$5:$AK$304,1)*1,0))/(1-IFERROR(INDEX(ScenarioMargins,5),0)-IFERROR(INDEX(Products!$AI$5:$AI$304,1)*1,0))),5),IF(RoundingRule="Up to whole 1",CEILING(((C8+IFERROR(INDEX(Products!$AK$5:$AK$304,1)*1,0))/(1-IFERROR(INDEX(ScenarioMargins,5),0)-IFERROR(INDEX(Products!$AI$5:$AI$304,1)*1,0))),1),IF(RoundingRule="Up to whole 5",CEILING(((C8+IFERROR(INDEX(Products!$AK$5:$AK$304,1)*1,0))/(1-IFERROR(INDEX(ScenarioMargins,5),0)-IFERROR(INDEX(Products!$AI$5:$AI$304,1)*1,0))),5),ROUND(((C8+IFERROR(INDEX(Products!$AK$5:$AK$304,1)*1,0))/(1-IFERROR(INDEX(ScenarioMargins,5),0)-IFERROR(INDEX(Products!$AI$5:$AI$304,1)*1,0))),2))))))))),2)))</f>
        <v>0</v>
      </c>
      <c r="J8" s="13">
        <f>IF(D8="","",IF(D8&lt;E8,"Below the lowest",IF(D8&lt;F8,"Budget",IF(D8&lt;G8,"Conservative",IF(D8&lt;H8,"Standard",IF(D8&lt;I8,"Premium","Luxury"))))))</f>
        <v>0</v>
      </c>
    </row>
    <row r="9" spans="1:12">
      <c r="B9" s="13">
        <f>IFERROR(INDEX(Products!$B$5:$B$304,2)&amp;"","")</f>
        <v>0</v>
      </c>
      <c r="C9" s="20">
        <f>IF(IFERROR(INDEX(Products!$B$5:$B$304,2)&amp;"","")="","",IFERROR(INDEX(Products!$AT$5:$AT$304,2),""))</f>
        <v>0</v>
      </c>
      <c r="D9" s="20">
        <f>IF(IFERROR(INDEX(Products!$B$5:$B$304,2)&amp;"","")="","",IFERROR(INDEX(Products!$AR$5:$AR$304,2),""))</f>
        <v>0</v>
      </c>
      <c r="E9" s="20">
        <f>IF(C9="","",IF((1-IFERROR(INDEX(ScenarioMargins,1),0)-IFERROR(INDEX(Products!$AI$5:$AI$304,2)*1,0))&lt;=0,"",ROUND(IF(RoundingRule="None",((C9+IFERROR(INDEX(Products!$AK$5:$AK$304,2)*1,0))/(1-IFERROR(INDEX(ScenarioMargins,1),0)-IFERROR(INDEX(Products!$AI$5:$AI$304,2)*1,0))),IF(RoundingRule="Nearest 0.99",MAX(0.99,CEILING(((C9+IFERROR(INDEX(Products!$AK$5:$AK$304,2)*1,0))/(1-IFERROR(INDEX(ScenarioMargins,1),0)-IFERROR(INDEX(Products!$AI$5:$AI$304,2)*1,0))),1)-0.01),IF(RoundingRule="Nearest 0.95",MAX(0.95,CEILING(((C9+IFERROR(INDEX(Products!$AK$5:$AK$304,2)*1,0))/(1-IFERROR(INDEX(ScenarioMargins,1),0)-IFERROR(INDEX(Products!$AI$5:$AI$304,2)*1,0))),1)-0.05),IF(RoundingRule="Nearest 0.50",CEILING(((C9+IFERROR(INDEX(Products!$AK$5:$AK$304,2)*1,0))/(1-IFERROR(INDEX(ScenarioMargins,1),0)-IFERROR(INDEX(Products!$AI$5:$AI$304,2)*1,0))),0.5),IF(RoundingRule="Nearest 1",CEILING(((C9+IFERROR(INDEX(Products!$AK$5:$AK$304,2)*1,0))/(1-IFERROR(INDEX(ScenarioMargins,1),0)-IFERROR(INDEX(Products!$AI$5:$AI$304,2)*1,0))),1),IF(RoundingRule="Nearest 5",CEILING(((C9+IFERROR(INDEX(Products!$AK$5:$AK$304,2)*1,0))/(1-IFERROR(INDEX(ScenarioMargins,1),0)-IFERROR(INDEX(Products!$AI$5:$AI$304,2)*1,0))),5),IF(RoundingRule="Up to whole 1",CEILING(((C9+IFERROR(INDEX(Products!$AK$5:$AK$304,2)*1,0))/(1-IFERROR(INDEX(ScenarioMargins,1),0)-IFERROR(INDEX(Products!$AI$5:$AI$304,2)*1,0))),1),IF(RoundingRule="Up to whole 5",CEILING(((C9+IFERROR(INDEX(Products!$AK$5:$AK$304,2)*1,0))/(1-IFERROR(INDEX(ScenarioMargins,1),0)-IFERROR(INDEX(Products!$AI$5:$AI$304,2)*1,0))),5),ROUND(((C9+IFERROR(INDEX(Products!$AK$5:$AK$304,2)*1,0))/(1-IFERROR(INDEX(ScenarioMargins,1),0)-IFERROR(INDEX(Products!$AI$5:$AI$304,2)*1,0))),2))))))))),2)))</f>
        <v>0</v>
      </c>
      <c r="F9" s="20">
        <f>IF(C9="","",IF((1-IFERROR(INDEX(ScenarioMargins,2),0)-IFERROR(INDEX(Products!$AI$5:$AI$304,2)*1,0))&lt;=0,"",ROUND(IF(RoundingRule="None",((C9+IFERROR(INDEX(Products!$AK$5:$AK$304,2)*1,0))/(1-IFERROR(INDEX(ScenarioMargins,2),0)-IFERROR(INDEX(Products!$AI$5:$AI$304,2)*1,0))),IF(RoundingRule="Nearest 0.99",MAX(0.99,CEILING(((C9+IFERROR(INDEX(Products!$AK$5:$AK$304,2)*1,0))/(1-IFERROR(INDEX(ScenarioMargins,2),0)-IFERROR(INDEX(Products!$AI$5:$AI$304,2)*1,0))),1)-0.01),IF(RoundingRule="Nearest 0.95",MAX(0.95,CEILING(((C9+IFERROR(INDEX(Products!$AK$5:$AK$304,2)*1,0))/(1-IFERROR(INDEX(ScenarioMargins,2),0)-IFERROR(INDEX(Products!$AI$5:$AI$304,2)*1,0))),1)-0.05),IF(RoundingRule="Nearest 0.50",CEILING(((C9+IFERROR(INDEX(Products!$AK$5:$AK$304,2)*1,0))/(1-IFERROR(INDEX(ScenarioMargins,2),0)-IFERROR(INDEX(Products!$AI$5:$AI$304,2)*1,0))),0.5),IF(RoundingRule="Nearest 1",CEILING(((C9+IFERROR(INDEX(Products!$AK$5:$AK$304,2)*1,0))/(1-IFERROR(INDEX(ScenarioMargins,2),0)-IFERROR(INDEX(Products!$AI$5:$AI$304,2)*1,0))),1),IF(RoundingRule="Nearest 5",CEILING(((C9+IFERROR(INDEX(Products!$AK$5:$AK$304,2)*1,0))/(1-IFERROR(INDEX(ScenarioMargins,2),0)-IFERROR(INDEX(Products!$AI$5:$AI$304,2)*1,0))),5),IF(RoundingRule="Up to whole 1",CEILING(((C9+IFERROR(INDEX(Products!$AK$5:$AK$304,2)*1,0))/(1-IFERROR(INDEX(ScenarioMargins,2),0)-IFERROR(INDEX(Products!$AI$5:$AI$304,2)*1,0))),1),IF(RoundingRule="Up to whole 5",CEILING(((C9+IFERROR(INDEX(Products!$AK$5:$AK$304,2)*1,0))/(1-IFERROR(INDEX(ScenarioMargins,2),0)-IFERROR(INDEX(Products!$AI$5:$AI$304,2)*1,0))),5),ROUND(((C9+IFERROR(INDEX(Products!$AK$5:$AK$304,2)*1,0))/(1-IFERROR(INDEX(ScenarioMargins,2),0)-IFERROR(INDEX(Products!$AI$5:$AI$304,2)*1,0))),2))))))))),2)))</f>
        <v>0</v>
      </c>
      <c r="G9" s="20">
        <f>IF(C9="","",IF((1-IFERROR(INDEX(ScenarioMargins,3),0)-IFERROR(INDEX(Products!$AI$5:$AI$304,2)*1,0))&lt;=0,"",ROUND(IF(RoundingRule="None",((C9+IFERROR(INDEX(Products!$AK$5:$AK$304,2)*1,0))/(1-IFERROR(INDEX(ScenarioMargins,3),0)-IFERROR(INDEX(Products!$AI$5:$AI$304,2)*1,0))),IF(RoundingRule="Nearest 0.99",MAX(0.99,CEILING(((C9+IFERROR(INDEX(Products!$AK$5:$AK$304,2)*1,0))/(1-IFERROR(INDEX(ScenarioMargins,3),0)-IFERROR(INDEX(Products!$AI$5:$AI$304,2)*1,0))),1)-0.01),IF(RoundingRule="Nearest 0.95",MAX(0.95,CEILING(((C9+IFERROR(INDEX(Products!$AK$5:$AK$304,2)*1,0))/(1-IFERROR(INDEX(ScenarioMargins,3),0)-IFERROR(INDEX(Products!$AI$5:$AI$304,2)*1,0))),1)-0.05),IF(RoundingRule="Nearest 0.50",CEILING(((C9+IFERROR(INDEX(Products!$AK$5:$AK$304,2)*1,0))/(1-IFERROR(INDEX(ScenarioMargins,3),0)-IFERROR(INDEX(Products!$AI$5:$AI$304,2)*1,0))),0.5),IF(RoundingRule="Nearest 1",CEILING(((C9+IFERROR(INDEX(Products!$AK$5:$AK$304,2)*1,0))/(1-IFERROR(INDEX(ScenarioMargins,3),0)-IFERROR(INDEX(Products!$AI$5:$AI$304,2)*1,0))),1),IF(RoundingRule="Nearest 5",CEILING(((C9+IFERROR(INDEX(Products!$AK$5:$AK$304,2)*1,0))/(1-IFERROR(INDEX(ScenarioMargins,3),0)-IFERROR(INDEX(Products!$AI$5:$AI$304,2)*1,0))),5),IF(RoundingRule="Up to whole 1",CEILING(((C9+IFERROR(INDEX(Products!$AK$5:$AK$304,2)*1,0))/(1-IFERROR(INDEX(ScenarioMargins,3),0)-IFERROR(INDEX(Products!$AI$5:$AI$304,2)*1,0))),1),IF(RoundingRule="Up to whole 5",CEILING(((C9+IFERROR(INDEX(Products!$AK$5:$AK$304,2)*1,0))/(1-IFERROR(INDEX(ScenarioMargins,3),0)-IFERROR(INDEX(Products!$AI$5:$AI$304,2)*1,0))),5),ROUND(((C9+IFERROR(INDEX(Products!$AK$5:$AK$304,2)*1,0))/(1-IFERROR(INDEX(ScenarioMargins,3),0)-IFERROR(INDEX(Products!$AI$5:$AI$304,2)*1,0))),2))))))))),2)))</f>
        <v>0</v>
      </c>
      <c r="H9" s="20">
        <f>IF(C9="","",IF((1-IFERROR(INDEX(ScenarioMargins,4),0)-IFERROR(INDEX(Products!$AI$5:$AI$304,2)*1,0))&lt;=0,"",ROUND(IF(RoundingRule="None",((C9+IFERROR(INDEX(Products!$AK$5:$AK$304,2)*1,0))/(1-IFERROR(INDEX(ScenarioMargins,4),0)-IFERROR(INDEX(Products!$AI$5:$AI$304,2)*1,0))),IF(RoundingRule="Nearest 0.99",MAX(0.99,CEILING(((C9+IFERROR(INDEX(Products!$AK$5:$AK$304,2)*1,0))/(1-IFERROR(INDEX(ScenarioMargins,4),0)-IFERROR(INDEX(Products!$AI$5:$AI$304,2)*1,0))),1)-0.01),IF(RoundingRule="Nearest 0.95",MAX(0.95,CEILING(((C9+IFERROR(INDEX(Products!$AK$5:$AK$304,2)*1,0))/(1-IFERROR(INDEX(ScenarioMargins,4),0)-IFERROR(INDEX(Products!$AI$5:$AI$304,2)*1,0))),1)-0.05),IF(RoundingRule="Nearest 0.50",CEILING(((C9+IFERROR(INDEX(Products!$AK$5:$AK$304,2)*1,0))/(1-IFERROR(INDEX(ScenarioMargins,4),0)-IFERROR(INDEX(Products!$AI$5:$AI$304,2)*1,0))),0.5),IF(RoundingRule="Nearest 1",CEILING(((C9+IFERROR(INDEX(Products!$AK$5:$AK$304,2)*1,0))/(1-IFERROR(INDEX(ScenarioMargins,4),0)-IFERROR(INDEX(Products!$AI$5:$AI$304,2)*1,0))),1),IF(RoundingRule="Nearest 5",CEILING(((C9+IFERROR(INDEX(Products!$AK$5:$AK$304,2)*1,0))/(1-IFERROR(INDEX(ScenarioMargins,4),0)-IFERROR(INDEX(Products!$AI$5:$AI$304,2)*1,0))),5),IF(RoundingRule="Up to whole 1",CEILING(((C9+IFERROR(INDEX(Products!$AK$5:$AK$304,2)*1,0))/(1-IFERROR(INDEX(ScenarioMargins,4),0)-IFERROR(INDEX(Products!$AI$5:$AI$304,2)*1,0))),1),IF(RoundingRule="Up to whole 5",CEILING(((C9+IFERROR(INDEX(Products!$AK$5:$AK$304,2)*1,0))/(1-IFERROR(INDEX(ScenarioMargins,4),0)-IFERROR(INDEX(Products!$AI$5:$AI$304,2)*1,0))),5),ROUND(((C9+IFERROR(INDEX(Products!$AK$5:$AK$304,2)*1,0))/(1-IFERROR(INDEX(ScenarioMargins,4),0)-IFERROR(INDEX(Products!$AI$5:$AI$304,2)*1,0))),2))))))))),2)))</f>
        <v>0</v>
      </c>
      <c r="I9" s="20">
        <f>IF(C9="","",IF((1-IFERROR(INDEX(ScenarioMargins,5),0)-IFERROR(INDEX(Products!$AI$5:$AI$304,2)*1,0))&lt;=0,"",ROUND(IF(RoundingRule="None",((C9+IFERROR(INDEX(Products!$AK$5:$AK$304,2)*1,0))/(1-IFERROR(INDEX(ScenarioMargins,5),0)-IFERROR(INDEX(Products!$AI$5:$AI$304,2)*1,0))),IF(RoundingRule="Nearest 0.99",MAX(0.99,CEILING(((C9+IFERROR(INDEX(Products!$AK$5:$AK$304,2)*1,0))/(1-IFERROR(INDEX(ScenarioMargins,5),0)-IFERROR(INDEX(Products!$AI$5:$AI$304,2)*1,0))),1)-0.01),IF(RoundingRule="Nearest 0.95",MAX(0.95,CEILING(((C9+IFERROR(INDEX(Products!$AK$5:$AK$304,2)*1,0))/(1-IFERROR(INDEX(ScenarioMargins,5),0)-IFERROR(INDEX(Products!$AI$5:$AI$304,2)*1,0))),1)-0.05),IF(RoundingRule="Nearest 0.50",CEILING(((C9+IFERROR(INDEX(Products!$AK$5:$AK$304,2)*1,0))/(1-IFERROR(INDEX(ScenarioMargins,5),0)-IFERROR(INDEX(Products!$AI$5:$AI$304,2)*1,0))),0.5),IF(RoundingRule="Nearest 1",CEILING(((C9+IFERROR(INDEX(Products!$AK$5:$AK$304,2)*1,0))/(1-IFERROR(INDEX(ScenarioMargins,5),0)-IFERROR(INDEX(Products!$AI$5:$AI$304,2)*1,0))),1),IF(RoundingRule="Nearest 5",CEILING(((C9+IFERROR(INDEX(Products!$AK$5:$AK$304,2)*1,0))/(1-IFERROR(INDEX(ScenarioMargins,5),0)-IFERROR(INDEX(Products!$AI$5:$AI$304,2)*1,0))),5),IF(RoundingRule="Up to whole 1",CEILING(((C9+IFERROR(INDEX(Products!$AK$5:$AK$304,2)*1,0))/(1-IFERROR(INDEX(ScenarioMargins,5),0)-IFERROR(INDEX(Products!$AI$5:$AI$304,2)*1,0))),1),IF(RoundingRule="Up to whole 5",CEILING(((C9+IFERROR(INDEX(Products!$AK$5:$AK$304,2)*1,0))/(1-IFERROR(INDEX(ScenarioMargins,5),0)-IFERROR(INDEX(Products!$AI$5:$AI$304,2)*1,0))),5),ROUND(((C9+IFERROR(INDEX(Products!$AK$5:$AK$304,2)*1,0))/(1-IFERROR(INDEX(ScenarioMargins,5),0)-IFERROR(INDEX(Products!$AI$5:$AI$304,2)*1,0))),2))))))))),2)))</f>
        <v>0</v>
      </c>
      <c r="J9" s="13">
        <f>IF(D9="","",IF(D9&lt;E9,"Below the lowest",IF(D9&lt;F9,"Budget",IF(D9&lt;G9,"Conservative",IF(D9&lt;H9,"Standard",IF(D9&lt;I9,"Premium","Luxury"))))))</f>
        <v>0</v>
      </c>
    </row>
    <row r="10" spans="1:12">
      <c r="B10" s="13">
        <f>IFERROR(INDEX(Products!$B$5:$B$304,3)&amp;"","")</f>
        <v>0</v>
      </c>
      <c r="C10" s="20">
        <f>IF(IFERROR(INDEX(Products!$B$5:$B$304,3)&amp;"","")="","",IFERROR(INDEX(Products!$AT$5:$AT$304,3),""))</f>
        <v>0</v>
      </c>
      <c r="D10" s="20">
        <f>IF(IFERROR(INDEX(Products!$B$5:$B$304,3)&amp;"","")="","",IFERROR(INDEX(Products!$AR$5:$AR$304,3),""))</f>
        <v>0</v>
      </c>
      <c r="E10" s="20">
        <f>IF(C10="","",IF((1-IFERROR(INDEX(ScenarioMargins,1),0)-IFERROR(INDEX(Products!$AI$5:$AI$304,3)*1,0))&lt;=0,"",ROUND(IF(RoundingRule="None",((C10+IFERROR(INDEX(Products!$AK$5:$AK$304,3)*1,0))/(1-IFERROR(INDEX(ScenarioMargins,1),0)-IFERROR(INDEX(Products!$AI$5:$AI$304,3)*1,0))),IF(RoundingRule="Nearest 0.99",MAX(0.99,CEILING(((C10+IFERROR(INDEX(Products!$AK$5:$AK$304,3)*1,0))/(1-IFERROR(INDEX(ScenarioMargins,1),0)-IFERROR(INDEX(Products!$AI$5:$AI$304,3)*1,0))),1)-0.01),IF(RoundingRule="Nearest 0.95",MAX(0.95,CEILING(((C10+IFERROR(INDEX(Products!$AK$5:$AK$304,3)*1,0))/(1-IFERROR(INDEX(ScenarioMargins,1),0)-IFERROR(INDEX(Products!$AI$5:$AI$304,3)*1,0))),1)-0.05),IF(RoundingRule="Nearest 0.50",CEILING(((C10+IFERROR(INDEX(Products!$AK$5:$AK$304,3)*1,0))/(1-IFERROR(INDEX(ScenarioMargins,1),0)-IFERROR(INDEX(Products!$AI$5:$AI$304,3)*1,0))),0.5),IF(RoundingRule="Nearest 1",CEILING(((C10+IFERROR(INDEX(Products!$AK$5:$AK$304,3)*1,0))/(1-IFERROR(INDEX(ScenarioMargins,1),0)-IFERROR(INDEX(Products!$AI$5:$AI$304,3)*1,0))),1),IF(RoundingRule="Nearest 5",CEILING(((C10+IFERROR(INDEX(Products!$AK$5:$AK$304,3)*1,0))/(1-IFERROR(INDEX(ScenarioMargins,1),0)-IFERROR(INDEX(Products!$AI$5:$AI$304,3)*1,0))),5),IF(RoundingRule="Up to whole 1",CEILING(((C10+IFERROR(INDEX(Products!$AK$5:$AK$304,3)*1,0))/(1-IFERROR(INDEX(ScenarioMargins,1),0)-IFERROR(INDEX(Products!$AI$5:$AI$304,3)*1,0))),1),IF(RoundingRule="Up to whole 5",CEILING(((C10+IFERROR(INDEX(Products!$AK$5:$AK$304,3)*1,0))/(1-IFERROR(INDEX(ScenarioMargins,1),0)-IFERROR(INDEX(Products!$AI$5:$AI$304,3)*1,0))),5),ROUND(((C10+IFERROR(INDEX(Products!$AK$5:$AK$304,3)*1,0))/(1-IFERROR(INDEX(ScenarioMargins,1),0)-IFERROR(INDEX(Products!$AI$5:$AI$304,3)*1,0))),2))))))))),2)))</f>
        <v>0</v>
      </c>
      <c r="F10" s="20">
        <f>IF(C10="","",IF((1-IFERROR(INDEX(ScenarioMargins,2),0)-IFERROR(INDEX(Products!$AI$5:$AI$304,3)*1,0))&lt;=0,"",ROUND(IF(RoundingRule="None",((C10+IFERROR(INDEX(Products!$AK$5:$AK$304,3)*1,0))/(1-IFERROR(INDEX(ScenarioMargins,2),0)-IFERROR(INDEX(Products!$AI$5:$AI$304,3)*1,0))),IF(RoundingRule="Nearest 0.99",MAX(0.99,CEILING(((C10+IFERROR(INDEX(Products!$AK$5:$AK$304,3)*1,0))/(1-IFERROR(INDEX(ScenarioMargins,2),0)-IFERROR(INDEX(Products!$AI$5:$AI$304,3)*1,0))),1)-0.01),IF(RoundingRule="Nearest 0.95",MAX(0.95,CEILING(((C10+IFERROR(INDEX(Products!$AK$5:$AK$304,3)*1,0))/(1-IFERROR(INDEX(ScenarioMargins,2),0)-IFERROR(INDEX(Products!$AI$5:$AI$304,3)*1,0))),1)-0.05),IF(RoundingRule="Nearest 0.50",CEILING(((C10+IFERROR(INDEX(Products!$AK$5:$AK$304,3)*1,0))/(1-IFERROR(INDEX(ScenarioMargins,2),0)-IFERROR(INDEX(Products!$AI$5:$AI$304,3)*1,0))),0.5),IF(RoundingRule="Nearest 1",CEILING(((C10+IFERROR(INDEX(Products!$AK$5:$AK$304,3)*1,0))/(1-IFERROR(INDEX(ScenarioMargins,2),0)-IFERROR(INDEX(Products!$AI$5:$AI$304,3)*1,0))),1),IF(RoundingRule="Nearest 5",CEILING(((C10+IFERROR(INDEX(Products!$AK$5:$AK$304,3)*1,0))/(1-IFERROR(INDEX(ScenarioMargins,2),0)-IFERROR(INDEX(Products!$AI$5:$AI$304,3)*1,0))),5),IF(RoundingRule="Up to whole 1",CEILING(((C10+IFERROR(INDEX(Products!$AK$5:$AK$304,3)*1,0))/(1-IFERROR(INDEX(ScenarioMargins,2),0)-IFERROR(INDEX(Products!$AI$5:$AI$304,3)*1,0))),1),IF(RoundingRule="Up to whole 5",CEILING(((C10+IFERROR(INDEX(Products!$AK$5:$AK$304,3)*1,0))/(1-IFERROR(INDEX(ScenarioMargins,2),0)-IFERROR(INDEX(Products!$AI$5:$AI$304,3)*1,0))),5),ROUND(((C10+IFERROR(INDEX(Products!$AK$5:$AK$304,3)*1,0))/(1-IFERROR(INDEX(ScenarioMargins,2),0)-IFERROR(INDEX(Products!$AI$5:$AI$304,3)*1,0))),2))))))))),2)))</f>
        <v>0</v>
      </c>
      <c r="G10" s="20">
        <f>IF(C10="","",IF((1-IFERROR(INDEX(ScenarioMargins,3),0)-IFERROR(INDEX(Products!$AI$5:$AI$304,3)*1,0))&lt;=0,"",ROUND(IF(RoundingRule="None",((C10+IFERROR(INDEX(Products!$AK$5:$AK$304,3)*1,0))/(1-IFERROR(INDEX(ScenarioMargins,3),0)-IFERROR(INDEX(Products!$AI$5:$AI$304,3)*1,0))),IF(RoundingRule="Nearest 0.99",MAX(0.99,CEILING(((C10+IFERROR(INDEX(Products!$AK$5:$AK$304,3)*1,0))/(1-IFERROR(INDEX(ScenarioMargins,3),0)-IFERROR(INDEX(Products!$AI$5:$AI$304,3)*1,0))),1)-0.01),IF(RoundingRule="Nearest 0.95",MAX(0.95,CEILING(((C10+IFERROR(INDEX(Products!$AK$5:$AK$304,3)*1,0))/(1-IFERROR(INDEX(ScenarioMargins,3),0)-IFERROR(INDEX(Products!$AI$5:$AI$304,3)*1,0))),1)-0.05),IF(RoundingRule="Nearest 0.50",CEILING(((C10+IFERROR(INDEX(Products!$AK$5:$AK$304,3)*1,0))/(1-IFERROR(INDEX(ScenarioMargins,3),0)-IFERROR(INDEX(Products!$AI$5:$AI$304,3)*1,0))),0.5),IF(RoundingRule="Nearest 1",CEILING(((C10+IFERROR(INDEX(Products!$AK$5:$AK$304,3)*1,0))/(1-IFERROR(INDEX(ScenarioMargins,3),0)-IFERROR(INDEX(Products!$AI$5:$AI$304,3)*1,0))),1),IF(RoundingRule="Nearest 5",CEILING(((C10+IFERROR(INDEX(Products!$AK$5:$AK$304,3)*1,0))/(1-IFERROR(INDEX(ScenarioMargins,3),0)-IFERROR(INDEX(Products!$AI$5:$AI$304,3)*1,0))),5),IF(RoundingRule="Up to whole 1",CEILING(((C10+IFERROR(INDEX(Products!$AK$5:$AK$304,3)*1,0))/(1-IFERROR(INDEX(ScenarioMargins,3),0)-IFERROR(INDEX(Products!$AI$5:$AI$304,3)*1,0))),1),IF(RoundingRule="Up to whole 5",CEILING(((C10+IFERROR(INDEX(Products!$AK$5:$AK$304,3)*1,0))/(1-IFERROR(INDEX(ScenarioMargins,3),0)-IFERROR(INDEX(Products!$AI$5:$AI$304,3)*1,0))),5),ROUND(((C10+IFERROR(INDEX(Products!$AK$5:$AK$304,3)*1,0))/(1-IFERROR(INDEX(ScenarioMargins,3),0)-IFERROR(INDEX(Products!$AI$5:$AI$304,3)*1,0))),2))))))))),2)))</f>
        <v>0</v>
      </c>
      <c r="H10" s="20">
        <f>IF(C10="","",IF((1-IFERROR(INDEX(ScenarioMargins,4),0)-IFERROR(INDEX(Products!$AI$5:$AI$304,3)*1,0))&lt;=0,"",ROUND(IF(RoundingRule="None",((C10+IFERROR(INDEX(Products!$AK$5:$AK$304,3)*1,0))/(1-IFERROR(INDEX(ScenarioMargins,4),0)-IFERROR(INDEX(Products!$AI$5:$AI$304,3)*1,0))),IF(RoundingRule="Nearest 0.99",MAX(0.99,CEILING(((C10+IFERROR(INDEX(Products!$AK$5:$AK$304,3)*1,0))/(1-IFERROR(INDEX(ScenarioMargins,4),0)-IFERROR(INDEX(Products!$AI$5:$AI$304,3)*1,0))),1)-0.01),IF(RoundingRule="Nearest 0.95",MAX(0.95,CEILING(((C10+IFERROR(INDEX(Products!$AK$5:$AK$304,3)*1,0))/(1-IFERROR(INDEX(ScenarioMargins,4),0)-IFERROR(INDEX(Products!$AI$5:$AI$304,3)*1,0))),1)-0.05),IF(RoundingRule="Nearest 0.50",CEILING(((C10+IFERROR(INDEX(Products!$AK$5:$AK$304,3)*1,0))/(1-IFERROR(INDEX(ScenarioMargins,4),0)-IFERROR(INDEX(Products!$AI$5:$AI$304,3)*1,0))),0.5),IF(RoundingRule="Nearest 1",CEILING(((C10+IFERROR(INDEX(Products!$AK$5:$AK$304,3)*1,0))/(1-IFERROR(INDEX(ScenarioMargins,4),0)-IFERROR(INDEX(Products!$AI$5:$AI$304,3)*1,0))),1),IF(RoundingRule="Nearest 5",CEILING(((C10+IFERROR(INDEX(Products!$AK$5:$AK$304,3)*1,0))/(1-IFERROR(INDEX(ScenarioMargins,4),0)-IFERROR(INDEX(Products!$AI$5:$AI$304,3)*1,0))),5),IF(RoundingRule="Up to whole 1",CEILING(((C10+IFERROR(INDEX(Products!$AK$5:$AK$304,3)*1,0))/(1-IFERROR(INDEX(ScenarioMargins,4),0)-IFERROR(INDEX(Products!$AI$5:$AI$304,3)*1,0))),1),IF(RoundingRule="Up to whole 5",CEILING(((C10+IFERROR(INDEX(Products!$AK$5:$AK$304,3)*1,0))/(1-IFERROR(INDEX(ScenarioMargins,4),0)-IFERROR(INDEX(Products!$AI$5:$AI$304,3)*1,0))),5),ROUND(((C10+IFERROR(INDEX(Products!$AK$5:$AK$304,3)*1,0))/(1-IFERROR(INDEX(ScenarioMargins,4),0)-IFERROR(INDEX(Products!$AI$5:$AI$304,3)*1,0))),2))))))))),2)))</f>
        <v>0</v>
      </c>
      <c r="I10" s="20">
        <f>IF(C10="","",IF((1-IFERROR(INDEX(ScenarioMargins,5),0)-IFERROR(INDEX(Products!$AI$5:$AI$304,3)*1,0))&lt;=0,"",ROUND(IF(RoundingRule="None",((C10+IFERROR(INDEX(Products!$AK$5:$AK$304,3)*1,0))/(1-IFERROR(INDEX(ScenarioMargins,5),0)-IFERROR(INDEX(Products!$AI$5:$AI$304,3)*1,0))),IF(RoundingRule="Nearest 0.99",MAX(0.99,CEILING(((C10+IFERROR(INDEX(Products!$AK$5:$AK$304,3)*1,0))/(1-IFERROR(INDEX(ScenarioMargins,5),0)-IFERROR(INDEX(Products!$AI$5:$AI$304,3)*1,0))),1)-0.01),IF(RoundingRule="Nearest 0.95",MAX(0.95,CEILING(((C10+IFERROR(INDEX(Products!$AK$5:$AK$304,3)*1,0))/(1-IFERROR(INDEX(ScenarioMargins,5),0)-IFERROR(INDEX(Products!$AI$5:$AI$304,3)*1,0))),1)-0.05),IF(RoundingRule="Nearest 0.50",CEILING(((C10+IFERROR(INDEX(Products!$AK$5:$AK$304,3)*1,0))/(1-IFERROR(INDEX(ScenarioMargins,5),0)-IFERROR(INDEX(Products!$AI$5:$AI$304,3)*1,0))),0.5),IF(RoundingRule="Nearest 1",CEILING(((C10+IFERROR(INDEX(Products!$AK$5:$AK$304,3)*1,0))/(1-IFERROR(INDEX(ScenarioMargins,5),0)-IFERROR(INDEX(Products!$AI$5:$AI$304,3)*1,0))),1),IF(RoundingRule="Nearest 5",CEILING(((C10+IFERROR(INDEX(Products!$AK$5:$AK$304,3)*1,0))/(1-IFERROR(INDEX(ScenarioMargins,5),0)-IFERROR(INDEX(Products!$AI$5:$AI$304,3)*1,0))),5),IF(RoundingRule="Up to whole 1",CEILING(((C10+IFERROR(INDEX(Products!$AK$5:$AK$304,3)*1,0))/(1-IFERROR(INDEX(ScenarioMargins,5),0)-IFERROR(INDEX(Products!$AI$5:$AI$304,3)*1,0))),1),IF(RoundingRule="Up to whole 5",CEILING(((C10+IFERROR(INDEX(Products!$AK$5:$AK$304,3)*1,0))/(1-IFERROR(INDEX(ScenarioMargins,5),0)-IFERROR(INDEX(Products!$AI$5:$AI$304,3)*1,0))),5),ROUND(((C10+IFERROR(INDEX(Products!$AK$5:$AK$304,3)*1,0))/(1-IFERROR(INDEX(ScenarioMargins,5),0)-IFERROR(INDEX(Products!$AI$5:$AI$304,3)*1,0))),2))))))))),2)))</f>
        <v>0</v>
      </c>
      <c r="J10" s="13">
        <f>IF(D10="","",IF(D10&lt;E10,"Below the lowest",IF(D10&lt;F10,"Budget",IF(D10&lt;G10,"Conservative",IF(D10&lt;H10,"Standard",IF(D10&lt;I10,"Premium","Luxury"))))))</f>
        <v>0</v>
      </c>
    </row>
    <row r="11" spans="1:12">
      <c r="B11" s="13">
        <f>IFERROR(INDEX(Products!$B$5:$B$304,4)&amp;"","")</f>
        <v>0</v>
      </c>
      <c r="C11" s="20">
        <f>IF(IFERROR(INDEX(Products!$B$5:$B$304,4)&amp;"","")="","",IFERROR(INDEX(Products!$AT$5:$AT$304,4),""))</f>
        <v>0</v>
      </c>
      <c r="D11" s="20">
        <f>IF(IFERROR(INDEX(Products!$B$5:$B$304,4)&amp;"","")="","",IFERROR(INDEX(Products!$AR$5:$AR$304,4),""))</f>
        <v>0</v>
      </c>
      <c r="E11" s="20">
        <f>IF(C11="","",IF((1-IFERROR(INDEX(ScenarioMargins,1),0)-IFERROR(INDEX(Products!$AI$5:$AI$304,4)*1,0))&lt;=0,"",ROUND(IF(RoundingRule="None",((C11+IFERROR(INDEX(Products!$AK$5:$AK$304,4)*1,0))/(1-IFERROR(INDEX(ScenarioMargins,1),0)-IFERROR(INDEX(Products!$AI$5:$AI$304,4)*1,0))),IF(RoundingRule="Nearest 0.99",MAX(0.99,CEILING(((C11+IFERROR(INDEX(Products!$AK$5:$AK$304,4)*1,0))/(1-IFERROR(INDEX(ScenarioMargins,1),0)-IFERROR(INDEX(Products!$AI$5:$AI$304,4)*1,0))),1)-0.01),IF(RoundingRule="Nearest 0.95",MAX(0.95,CEILING(((C11+IFERROR(INDEX(Products!$AK$5:$AK$304,4)*1,0))/(1-IFERROR(INDEX(ScenarioMargins,1),0)-IFERROR(INDEX(Products!$AI$5:$AI$304,4)*1,0))),1)-0.05),IF(RoundingRule="Nearest 0.50",CEILING(((C11+IFERROR(INDEX(Products!$AK$5:$AK$304,4)*1,0))/(1-IFERROR(INDEX(ScenarioMargins,1),0)-IFERROR(INDEX(Products!$AI$5:$AI$304,4)*1,0))),0.5),IF(RoundingRule="Nearest 1",CEILING(((C11+IFERROR(INDEX(Products!$AK$5:$AK$304,4)*1,0))/(1-IFERROR(INDEX(ScenarioMargins,1),0)-IFERROR(INDEX(Products!$AI$5:$AI$304,4)*1,0))),1),IF(RoundingRule="Nearest 5",CEILING(((C11+IFERROR(INDEX(Products!$AK$5:$AK$304,4)*1,0))/(1-IFERROR(INDEX(ScenarioMargins,1),0)-IFERROR(INDEX(Products!$AI$5:$AI$304,4)*1,0))),5),IF(RoundingRule="Up to whole 1",CEILING(((C11+IFERROR(INDEX(Products!$AK$5:$AK$304,4)*1,0))/(1-IFERROR(INDEX(ScenarioMargins,1),0)-IFERROR(INDEX(Products!$AI$5:$AI$304,4)*1,0))),1),IF(RoundingRule="Up to whole 5",CEILING(((C11+IFERROR(INDEX(Products!$AK$5:$AK$304,4)*1,0))/(1-IFERROR(INDEX(ScenarioMargins,1),0)-IFERROR(INDEX(Products!$AI$5:$AI$304,4)*1,0))),5),ROUND(((C11+IFERROR(INDEX(Products!$AK$5:$AK$304,4)*1,0))/(1-IFERROR(INDEX(ScenarioMargins,1),0)-IFERROR(INDEX(Products!$AI$5:$AI$304,4)*1,0))),2))))))))),2)))</f>
        <v>0</v>
      </c>
      <c r="F11" s="20">
        <f>IF(C11="","",IF((1-IFERROR(INDEX(ScenarioMargins,2),0)-IFERROR(INDEX(Products!$AI$5:$AI$304,4)*1,0))&lt;=0,"",ROUND(IF(RoundingRule="None",((C11+IFERROR(INDEX(Products!$AK$5:$AK$304,4)*1,0))/(1-IFERROR(INDEX(ScenarioMargins,2),0)-IFERROR(INDEX(Products!$AI$5:$AI$304,4)*1,0))),IF(RoundingRule="Nearest 0.99",MAX(0.99,CEILING(((C11+IFERROR(INDEX(Products!$AK$5:$AK$304,4)*1,0))/(1-IFERROR(INDEX(ScenarioMargins,2),0)-IFERROR(INDEX(Products!$AI$5:$AI$304,4)*1,0))),1)-0.01),IF(RoundingRule="Nearest 0.95",MAX(0.95,CEILING(((C11+IFERROR(INDEX(Products!$AK$5:$AK$304,4)*1,0))/(1-IFERROR(INDEX(ScenarioMargins,2),0)-IFERROR(INDEX(Products!$AI$5:$AI$304,4)*1,0))),1)-0.05),IF(RoundingRule="Nearest 0.50",CEILING(((C11+IFERROR(INDEX(Products!$AK$5:$AK$304,4)*1,0))/(1-IFERROR(INDEX(ScenarioMargins,2),0)-IFERROR(INDEX(Products!$AI$5:$AI$304,4)*1,0))),0.5),IF(RoundingRule="Nearest 1",CEILING(((C11+IFERROR(INDEX(Products!$AK$5:$AK$304,4)*1,0))/(1-IFERROR(INDEX(ScenarioMargins,2),0)-IFERROR(INDEX(Products!$AI$5:$AI$304,4)*1,0))),1),IF(RoundingRule="Nearest 5",CEILING(((C11+IFERROR(INDEX(Products!$AK$5:$AK$304,4)*1,0))/(1-IFERROR(INDEX(ScenarioMargins,2),0)-IFERROR(INDEX(Products!$AI$5:$AI$304,4)*1,0))),5),IF(RoundingRule="Up to whole 1",CEILING(((C11+IFERROR(INDEX(Products!$AK$5:$AK$304,4)*1,0))/(1-IFERROR(INDEX(ScenarioMargins,2),0)-IFERROR(INDEX(Products!$AI$5:$AI$304,4)*1,0))),1),IF(RoundingRule="Up to whole 5",CEILING(((C11+IFERROR(INDEX(Products!$AK$5:$AK$304,4)*1,0))/(1-IFERROR(INDEX(ScenarioMargins,2),0)-IFERROR(INDEX(Products!$AI$5:$AI$304,4)*1,0))),5),ROUND(((C11+IFERROR(INDEX(Products!$AK$5:$AK$304,4)*1,0))/(1-IFERROR(INDEX(ScenarioMargins,2),0)-IFERROR(INDEX(Products!$AI$5:$AI$304,4)*1,0))),2))))))))),2)))</f>
        <v>0</v>
      </c>
      <c r="G11" s="20">
        <f>IF(C11="","",IF((1-IFERROR(INDEX(ScenarioMargins,3),0)-IFERROR(INDEX(Products!$AI$5:$AI$304,4)*1,0))&lt;=0,"",ROUND(IF(RoundingRule="None",((C11+IFERROR(INDEX(Products!$AK$5:$AK$304,4)*1,0))/(1-IFERROR(INDEX(ScenarioMargins,3),0)-IFERROR(INDEX(Products!$AI$5:$AI$304,4)*1,0))),IF(RoundingRule="Nearest 0.99",MAX(0.99,CEILING(((C11+IFERROR(INDEX(Products!$AK$5:$AK$304,4)*1,0))/(1-IFERROR(INDEX(ScenarioMargins,3),0)-IFERROR(INDEX(Products!$AI$5:$AI$304,4)*1,0))),1)-0.01),IF(RoundingRule="Nearest 0.95",MAX(0.95,CEILING(((C11+IFERROR(INDEX(Products!$AK$5:$AK$304,4)*1,0))/(1-IFERROR(INDEX(ScenarioMargins,3),0)-IFERROR(INDEX(Products!$AI$5:$AI$304,4)*1,0))),1)-0.05),IF(RoundingRule="Nearest 0.50",CEILING(((C11+IFERROR(INDEX(Products!$AK$5:$AK$304,4)*1,0))/(1-IFERROR(INDEX(ScenarioMargins,3),0)-IFERROR(INDEX(Products!$AI$5:$AI$304,4)*1,0))),0.5),IF(RoundingRule="Nearest 1",CEILING(((C11+IFERROR(INDEX(Products!$AK$5:$AK$304,4)*1,0))/(1-IFERROR(INDEX(ScenarioMargins,3),0)-IFERROR(INDEX(Products!$AI$5:$AI$304,4)*1,0))),1),IF(RoundingRule="Nearest 5",CEILING(((C11+IFERROR(INDEX(Products!$AK$5:$AK$304,4)*1,0))/(1-IFERROR(INDEX(ScenarioMargins,3),0)-IFERROR(INDEX(Products!$AI$5:$AI$304,4)*1,0))),5),IF(RoundingRule="Up to whole 1",CEILING(((C11+IFERROR(INDEX(Products!$AK$5:$AK$304,4)*1,0))/(1-IFERROR(INDEX(ScenarioMargins,3),0)-IFERROR(INDEX(Products!$AI$5:$AI$304,4)*1,0))),1),IF(RoundingRule="Up to whole 5",CEILING(((C11+IFERROR(INDEX(Products!$AK$5:$AK$304,4)*1,0))/(1-IFERROR(INDEX(ScenarioMargins,3),0)-IFERROR(INDEX(Products!$AI$5:$AI$304,4)*1,0))),5),ROUND(((C11+IFERROR(INDEX(Products!$AK$5:$AK$304,4)*1,0))/(1-IFERROR(INDEX(ScenarioMargins,3),0)-IFERROR(INDEX(Products!$AI$5:$AI$304,4)*1,0))),2))))))))),2)))</f>
        <v>0</v>
      </c>
      <c r="H11" s="20">
        <f>IF(C11="","",IF((1-IFERROR(INDEX(ScenarioMargins,4),0)-IFERROR(INDEX(Products!$AI$5:$AI$304,4)*1,0))&lt;=0,"",ROUND(IF(RoundingRule="None",((C11+IFERROR(INDEX(Products!$AK$5:$AK$304,4)*1,0))/(1-IFERROR(INDEX(ScenarioMargins,4),0)-IFERROR(INDEX(Products!$AI$5:$AI$304,4)*1,0))),IF(RoundingRule="Nearest 0.99",MAX(0.99,CEILING(((C11+IFERROR(INDEX(Products!$AK$5:$AK$304,4)*1,0))/(1-IFERROR(INDEX(ScenarioMargins,4),0)-IFERROR(INDEX(Products!$AI$5:$AI$304,4)*1,0))),1)-0.01),IF(RoundingRule="Nearest 0.95",MAX(0.95,CEILING(((C11+IFERROR(INDEX(Products!$AK$5:$AK$304,4)*1,0))/(1-IFERROR(INDEX(ScenarioMargins,4),0)-IFERROR(INDEX(Products!$AI$5:$AI$304,4)*1,0))),1)-0.05),IF(RoundingRule="Nearest 0.50",CEILING(((C11+IFERROR(INDEX(Products!$AK$5:$AK$304,4)*1,0))/(1-IFERROR(INDEX(ScenarioMargins,4),0)-IFERROR(INDEX(Products!$AI$5:$AI$304,4)*1,0))),0.5),IF(RoundingRule="Nearest 1",CEILING(((C11+IFERROR(INDEX(Products!$AK$5:$AK$304,4)*1,0))/(1-IFERROR(INDEX(ScenarioMargins,4),0)-IFERROR(INDEX(Products!$AI$5:$AI$304,4)*1,0))),1),IF(RoundingRule="Nearest 5",CEILING(((C11+IFERROR(INDEX(Products!$AK$5:$AK$304,4)*1,0))/(1-IFERROR(INDEX(ScenarioMargins,4),0)-IFERROR(INDEX(Products!$AI$5:$AI$304,4)*1,0))),5),IF(RoundingRule="Up to whole 1",CEILING(((C11+IFERROR(INDEX(Products!$AK$5:$AK$304,4)*1,0))/(1-IFERROR(INDEX(ScenarioMargins,4),0)-IFERROR(INDEX(Products!$AI$5:$AI$304,4)*1,0))),1),IF(RoundingRule="Up to whole 5",CEILING(((C11+IFERROR(INDEX(Products!$AK$5:$AK$304,4)*1,0))/(1-IFERROR(INDEX(ScenarioMargins,4),0)-IFERROR(INDEX(Products!$AI$5:$AI$304,4)*1,0))),5),ROUND(((C11+IFERROR(INDEX(Products!$AK$5:$AK$304,4)*1,0))/(1-IFERROR(INDEX(ScenarioMargins,4),0)-IFERROR(INDEX(Products!$AI$5:$AI$304,4)*1,0))),2))))))))),2)))</f>
        <v>0</v>
      </c>
      <c r="I11" s="20">
        <f>IF(C11="","",IF((1-IFERROR(INDEX(ScenarioMargins,5),0)-IFERROR(INDEX(Products!$AI$5:$AI$304,4)*1,0))&lt;=0,"",ROUND(IF(RoundingRule="None",((C11+IFERROR(INDEX(Products!$AK$5:$AK$304,4)*1,0))/(1-IFERROR(INDEX(ScenarioMargins,5),0)-IFERROR(INDEX(Products!$AI$5:$AI$304,4)*1,0))),IF(RoundingRule="Nearest 0.99",MAX(0.99,CEILING(((C11+IFERROR(INDEX(Products!$AK$5:$AK$304,4)*1,0))/(1-IFERROR(INDEX(ScenarioMargins,5),0)-IFERROR(INDEX(Products!$AI$5:$AI$304,4)*1,0))),1)-0.01),IF(RoundingRule="Nearest 0.95",MAX(0.95,CEILING(((C11+IFERROR(INDEX(Products!$AK$5:$AK$304,4)*1,0))/(1-IFERROR(INDEX(ScenarioMargins,5),0)-IFERROR(INDEX(Products!$AI$5:$AI$304,4)*1,0))),1)-0.05),IF(RoundingRule="Nearest 0.50",CEILING(((C11+IFERROR(INDEX(Products!$AK$5:$AK$304,4)*1,0))/(1-IFERROR(INDEX(ScenarioMargins,5),0)-IFERROR(INDEX(Products!$AI$5:$AI$304,4)*1,0))),0.5),IF(RoundingRule="Nearest 1",CEILING(((C11+IFERROR(INDEX(Products!$AK$5:$AK$304,4)*1,0))/(1-IFERROR(INDEX(ScenarioMargins,5),0)-IFERROR(INDEX(Products!$AI$5:$AI$304,4)*1,0))),1),IF(RoundingRule="Nearest 5",CEILING(((C11+IFERROR(INDEX(Products!$AK$5:$AK$304,4)*1,0))/(1-IFERROR(INDEX(ScenarioMargins,5),0)-IFERROR(INDEX(Products!$AI$5:$AI$304,4)*1,0))),5),IF(RoundingRule="Up to whole 1",CEILING(((C11+IFERROR(INDEX(Products!$AK$5:$AK$304,4)*1,0))/(1-IFERROR(INDEX(ScenarioMargins,5),0)-IFERROR(INDEX(Products!$AI$5:$AI$304,4)*1,0))),1),IF(RoundingRule="Up to whole 5",CEILING(((C11+IFERROR(INDEX(Products!$AK$5:$AK$304,4)*1,0))/(1-IFERROR(INDEX(ScenarioMargins,5),0)-IFERROR(INDEX(Products!$AI$5:$AI$304,4)*1,0))),5),ROUND(((C11+IFERROR(INDEX(Products!$AK$5:$AK$304,4)*1,0))/(1-IFERROR(INDEX(ScenarioMargins,5),0)-IFERROR(INDEX(Products!$AI$5:$AI$304,4)*1,0))),2))))))))),2)))</f>
        <v>0</v>
      </c>
      <c r="J11" s="13">
        <f>IF(D11="","",IF(D11&lt;E11,"Below the lowest",IF(D11&lt;F11,"Budget",IF(D11&lt;G11,"Conservative",IF(D11&lt;H11,"Standard",IF(D11&lt;I11,"Premium","Luxury"))))))</f>
        <v>0</v>
      </c>
    </row>
    <row r="12" spans="1:12">
      <c r="B12" s="13">
        <f>IFERROR(INDEX(Products!$B$5:$B$304,5)&amp;"","")</f>
        <v>0</v>
      </c>
      <c r="C12" s="20">
        <f>IF(IFERROR(INDEX(Products!$B$5:$B$304,5)&amp;"","")="","",IFERROR(INDEX(Products!$AT$5:$AT$304,5),""))</f>
        <v>0</v>
      </c>
      <c r="D12" s="20">
        <f>IF(IFERROR(INDEX(Products!$B$5:$B$304,5)&amp;"","")="","",IFERROR(INDEX(Products!$AR$5:$AR$304,5),""))</f>
        <v>0</v>
      </c>
      <c r="E12" s="20">
        <f>IF(C12="","",IF((1-IFERROR(INDEX(ScenarioMargins,1),0)-IFERROR(INDEX(Products!$AI$5:$AI$304,5)*1,0))&lt;=0,"",ROUND(IF(RoundingRule="None",((C12+IFERROR(INDEX(Products!$AK$5:$AK$304,5)*1,0))/(1-IFERROR(INDEX(ScenarioMargins,1),0)-IFERROR(INDEX(Products!$AI$5:$AI$304,5)*1,0))),IF(RoundingRule="Nearest 0.99",MAX(0.99,CEILING(((C12+IFERROR(INDEX(Products!$AK$5:$AK$304,5)*1,0))/(1-IFERROR(INDEX(ScenarioMargins,1),0)-IFERROR(INDEX(Products!$AI$5:$AI$304,5)*1,0))),1)-0.01),IF(RoundingRule="Nearest 0.95",MAX(0.95,CEILING(((C12+IFERROR(INDEX(Products!$AK$5:$AK$304,5)*1,0))/(1-IFERROR(INDEX(ScenarioMargins,1),0)-IFERROR(INDEX(Products!$AI$5:$AI$304,5)*1,0))),1)-0.05),IF(RoundingRule="Nearest 0.50",CEILING(((C12+IFERROR(INDEX(Products!$AK$5:$AK$304,5)*1,0))/(1-IFERROR(INDEX(ScenarioMargins,1),0)-IFERROR(INDEX(Products!$AI$5:$AI$304,5)*1,0))),0.5),IF(RoundingRule="Nearest 1",CEILING(((C12+IFERROR(INDEX(Products!$AK$5:$AK$304,5)*1,0))/(1-IFERROR(INDEX(ScenarioMargins,1),0)-IFERROR(INDEX(Products!$AI$5:$AI$304,5)*1,0))),1),IF(RoundingRule="Nearest 5",CEILING(((C12+IFERROR(INDEX(Products!$AK$5:$AK$304,5)*1,0))/(1-IFERROR(INDEX(ScenarioMargins,1),0)-IFERROR(INDEX(Products!$AI$5:$AI$304,5)*1,0))),5),IF(RoundingRule="Up to whole 1",CEILING(((C12+IFERROR(INDEX(Products!$AK$5:$AK$304,5)*1,0))/(1-IFERROR(INDEX(ScenarioMargins,1),0)-IFERROR(INDEX(Products!$AI$5:$AI$304,5)*1,0))),1),IF(RoundingRule="Up to whole 5",CEILING(((C12+IFERROR(INDEX(Products!$AK$5:$AK$304,5)*1,0))/(1-IFERROR(INDEX(ScenarioMargins,1),0)-IFERROR(INDEX(Products!$AI$5:$AI$304,5)*1,0))),5),ROUND(((C12+IFERROR(INDEX(Products!$AK$5:$AK$304,5)*1,0))/(1-IFERROR(INDEX(ScenarioMargins,1),0)-IFERROR(INDEX(Products!$AI$5:$AI$304,5)*1,0))),2))))))))),2)))</f>
        <v>0</v>
      </c>
      <c r="F12" s="20">
        <f>IF(C12="","",IF((1-IFERROR(INDEX(ScenarioMargins,2),0)-IFERROR(INDEX(Products!$AI$5:$AI$304,5)*1,0))&lt;=0,"",ROUND(IF(RoundingRule="None",((C12+IFERROR(INDEX(Products!$AK$5:$AK$304,5)*1,0))/(1-IFERROR(INDEX(ScenarioMargins,2),0)-IFERROR(INDEX(Products!$AI$5:$AI$304,5)*1,0))),IF(RoundingRule="Nearest 0.99",MAX(0.99,CEILING(((C12+IFERROR(INDEX(Products!$AK$5:$AK$304,5)*1,0))/(1-IFERROR(INDEX(ScenarioMargins,2),0)-IFERROR(INDEX(Products!$AI$5:$AI$304,5)*1,0))),1)-0.01),IF(RoundingRule="Nearest 0.95",MAX(0.95,CEILING(((C12+IFERROR(INDEX(Products!$AK$5:$AK$304,5)*1,0))/(1-IFERROR(INDEX(ScenarioMargins,2),0)-IFERROR(INDEX(Products!$AI$5:$AI$304,5)*1,0))),1)-0.05),IF(RoundingRule="Nearest 0.50",CEILING(((C12+IFERROR(INDEX(Products!$AK$5:$AK$304,5)*1,0))/(1-IFERROR(INDEX(ScenarioMargins,2),0)-IFERROR(INDEX(Products!$AI$5:$AI$304,5)*1,0))),0.5),IF(RoundingRule="Nearest 1",CEILING(((C12+IFERROR(INDEX(Products!$AK$5:$AK$304,5)*1,0))/(1-IFERROR(INDEX(ScenarioMargins,2),0)-IFERROR(INDEX(Products!$AI$5:$AI$304,5)*1,0))),1),IF(RoundingRule="Nearest 5",CEILING(((C12+IFERROR(INDEX(Products!$AK$5:$AK$304,5)*1,0))/(1-IFERROR(INDEX(ScenarioMargins,2),0)-IFERROR(INDEX(Products!$AI$5:$AI$304,5)*1,0))),5),IF(RoundingRule="Up to whole 1",CEILING(((C12+IFERROR(INDEX(Products!$AK$5:$AK$304,5)*1,0))/(1-IFERROR(INDEX(ScenarioMargins,2),0)-IFERROR(INDEX(Products!$AI$5:$AI$304,5)*1,0))),1),IF(RoundingRule="Up to whole 5",CEILING(((C12+IFERROR(INDEX(Products!$AK$5:$AK$304,5)*1,0))/(1-IFERROR(INDEX(ScenarioMargins,2),0)-IFERROR(INDEX(Products!$AI$5:$AI$304,5)*1,0))),5),ROUND(((C12+IFERROR(INDEX(Products!$AK$5:$AK$304,5)*1,0))/(1-IFERROR(INDEX(ScenarioMargins,2),0)-IFERROR(INDEX(Products!$AI$5:$AI$304,5)*1,0))),2))))))))),2)))</f>
        <v>0</v>
      </c>
      <c r="G12" s="20">
        <f>IF(C12="","",IF((1-IFERROR(INDEX(ScenarioMargins,3),0)-IFERROR(INDEX(Products!$AI$5:$AI$304,5)*1,0))&lt;=0,"",ROUND(IF(RoundingRule="None",((C12+IFERROR(INDEX(Products!$AK$5:$AK$304,5)*1,0))/(1-IFERROR(INDEX(ScenarioMargins,3),0)-IFERROR(INDEX(Products!$AI$5:$AI$304,5)*1,0))),IF(RoundingRule="Nearest 0.99",MAX(0.99,CEILING(((C12+IFERROR(INDEX(Products!$AK$5:$AK$304,5)*1,0))/(1-IFERROR(INDEX(ScenarioMargins,3),0)-IFERROR(INDEX(Products!$AI$5:$AI$304,5)*1,0))),1)-0.01),IF(RoundingRule="Nearest 0.95",MAX(0.95,CEILING(((C12+IFERROR(INDEX(Products!$AK$5:$AK$304,5)*1,0))/(1-IFERROR(INDEX(ScenarioMargins,3),0)-IFERROR(INDEX(Products!$AI$5:$AI$304,5)*1,0))),1)-0.05),IF(RoundingRule="Nearest 0.50",CEILING(((C12+IFERROR(INDEX(Products!$AK$5:$AK$304,5)*1,0))/(1-IFERROR(INDEX(ScenarioMargins,3),0)-IFERROR(INDEX(Products!$AI$5:$AI$304,5)*1,0))),0.5),IF(RoundingRule="Nearest 1",CEILING(((C12+IFERROR(INDEX(Products!$AK$5:$AK$304,5)*1,0))/(1-IFERROR(INDEX(ScenarioMargins,3),0)-IFERROR(INDEX(Products!$AI$5:$AI$304,5)*1,0))),1),IF(RoundingRule="Nearest 5",CEILING(((C12+IFERROR(INDEX(Products!$AK$5:$AK$304,5)*1,0))/(1-IFERROR(INDEX(ScenarioMargins,3),0)-IFERROR(INDEX(Products!$AI$5:$AI$304,5)*1,0))),5),IF(RoundingRule="Up to whole 1",CEILING(((C12+IFERROR(INDEX(Products!$AK$5:$AK$304,5)*1,0))/(1-IFERROR(INDEX(ScenarioMargins,3),0)-IFERROR(INDEX(Products!$AI$5:$AI$304,5)*1,0))),1),IF(RoundingRule="Up to whole 5",CEILING(((C12+IFERROR(INDEX(Products!$AK$5:$AK$304,5)*1,0))/(1-IFERROR(INDEX(ScenarioMargins,3),0)-IFERROR(INDEX(Products!$AI$5:$AI$304,5)*1,0))),5),ROUND(((C12+IFERROR(INDEX(Products!$AK$5:$AK$304,5)*1,0))/(1-IFERROR(INDEX(ScenarioMargins,3),0)-IFERROR(INDEX(Products!$AI$5:$AI$304,5)*1,0))),2))))))))),2)))</f>
        <v>0</v>
      </c>
      <c r="H12" s="20">
        <f>IF(C12="","",IF((1-IFERROR(INDEX(ScenarioMargins,4),0)-IFERROR(INDEX(Products!$AI$5:$AI$304,5)*1,0))&lt;=0,"",ROUND(IF(RoundingRule="None",((C12+IFERROR(INDEX(Products!$AK$5:$AK$304,5)*1,0))/(1-IFERROR(INDEX(ScenarioMargins,4),0)-IFERROR(INDEX(Products!$AI$5:$AI$304,5)*1,0))),IF(RoundingRule="Nearest 0.99",MAX(0.99,CEILING(((C12+IFERROR(INDEX(Products!$AK$5:$AK$304,5)*1,0))/(1-IFERROR(INDEX(ScenarioMargins,4),0)-IFERROR(INDEX(Products!$AI$5:$AI$304,5)*1,0))),1)-0.01),IF(RoundingRule="Nearest 0.95",MAX(0.95,CEILING(((C12+IFERROR(INDEX(Products!$AK$5:$AK$304,5)*1,0))/(1-IFERROR(INDEX(ScenarioMargins,4),0)-IFERROR(INDEX(Products!$AI$5:$AI$304,5)*1,0))),1)-0.05),IF(RoundingRule="Nearest 0.50",CEILING(((C12+IFERROR(INDEX(Products!$AK$5:$AK$304,5)*1,0))/(1-IFERROR(INDEX(ScenarioMargins,4),0)-IFERROR(INDEX(Products!$AI$5:$AI$304,5)*1,0))),0.5),IF(RoundingRule="Nearest 1",CEILING(((C12+IFERROR(INDEX(Products!$AK$5:$AK$304,5)*1,0))/(1-IFERROR(INDEX(ScenarioMargins,4),0)-IFERROR(INDEX(Products!$AI$5:$AI$304,5)*1,0))),1),IF(RoundingRule="Nearest 5",CEILING(((C12+IFERROR(INDEX(Products!$AK$5:$AK$304,5)*1,0))/(1-IFERROR(INDEX(ScenarioMargins,4),0)-IFERROR(INDEX(Products!$AI$5:$AI$304,5)*1,0))),5),IF(RoundingRule="Up to whole 1",CEILING(((C12+IFERROR(INDEX(Products!$AK$5:$AK$304,5)*1,0))/(1-IFERROR(INDEX(ScenarioMargins,4),0)-IFERROR(INDEX(Products!$AI$5:$AI$304,5)*1,0))),1),IF(RoundingRule="Up to whole 5",CEILING(((C12+IFERROR(INDEX(Products!$AK$5:$AK$304,5)*1,0))/(1-IFERROR(INDEX(ScenarioMargins,4),0)-IFERROR(INDEX(Products!$AI$5:$AI$304,5)*1,0))),5),ROUND(((C12+IFERROR(INDEX(Products!$AK$5:$AK$304,5)*1,0))/(1-IFERROR(INDEX(ScenarioMargins,4),0)-IFERROR(INDEX(Products!$AI$5:$AI$304,5)*1,0))),2))))))))),2)))</f>
        <v>0</v>
      </c>
      <c r="I12" s="20">
        <f>IF(C12="","",IF((1-IFERROR(INDEX(ScenarioMargins,5),0)-IFERROR(INDEX(Products!$AI$5:$AI$304,5)*1,0))&lt;=0,"",ROUND(IF(RoundingRule="None",((C12+IFERROR(INDEX(Products!$AK$5:$AK$304,5)*1,0))/(1-IFERROR(INDEX(ScenarioMargins,5),0)-IFERROR(INDEX(Products!$AI$5:$AI$304,5)*1,0))),IF(RoundingRule="Nearest 0.99",MAX(0.99,CEILING(((C12+IFERROR(INDEX(Products!$AK$5:$AK$304,5)*1,0))/(1-IFERROR(INDEX(ScenarioMargins,5),0)-IFERROR(INDEX(Products!$AI$5:$AI$304,5)*1,0))),1)-0.01),IF(RoundingRule="Nearest 0.95",MAX(0.95,CEILING(((C12+IFERROR(INDEX(Products!$AK$5:$AK$304,5)*1,0))/(1-IFERROR(INDEX(ScenarioMargins,5),0)-IFERROR(INDEX(Products!$AI$5:$AI$304,5)*1,0))),1)-0.05),IF(RoundingRule="Nearest 0.50",CEILING(((C12+IFERROR(INDEX(Products!$AK$5:$AK$304,5)*1,0))/(1-IFERROR(INDEX(ScenarioMargins,5),0)-IFERROR(INDEX(Products!$AI$5:$AI$304,5)*1,0))),0.5),IF(RoundingRule="Nearest 1",CEILING(((C12+IFERROR(INDEX(Products!$AK$5:$AK$304,5)*1,0))/(1-IFERROR(INDEX(ScenarioMargins,5),0)-IFERROR(INDEX(Products!$AI$5:$AI$304,5)*1,0))),1),IF(RoundingRule="Nearest 5",CEILING(((C12+IFERROR(INDEX(Products!$AK$5:$AK$304,5)*1,0))/(1-IFERROR(INDEX(ScenarioMargins,5),0)-IFERROR(INDEX(Products!$AI$5:$AI$304,5)*1,0))),5),IF(RoundingRule="Up to whole 1",CEILING(((C12+IFERROR(INDEX(Products!$AK$5:$AK$304,5)*1,0))/(1-IFERROR(INDEX(ScenarioMargins,5),0)-IFERROR(INDEX(Products!$AI$5:$AI$304,5)*1,0))),1),IF(RoundingRule="Up to whole 5",CEILING(((C12+IFERROR(INDEX(Products!$AK$5:$AK$304,5)*1,0))/(1-IFERROR(INDEX(ScenarioMargins,5),0)-IFERROR(INDEX(Products!$AI$5:$AI$304,5)*1,0))),5),ROUND(((C12+IFERROR(INDEX(Products!$AK$5:$AK$304,5)*1,0))/(1-IFERROR(INDEX(ScenarioMargins,5),0)-IFERROR(INDEX(Products!$AI$5:$AI$304,5)*1,0))),2))))))))),2)))</f>
        <v>0</v>
      </c>
      <c r="J12" s="13">
        <f>IF(D12="","",IF(D12&lt;E12,"Below the lowest",IF(D12&lt;F12,"Budget",IF(D12&lt;G12,"Conservative",IF(D12&lt;H12,"Standard",IF(D12&lt;I12,"Premium","Luxury"))))))</f>
        <v>0</v>
      </c>
    </row>
    <row r="13" spans="1:12">
      <c r="B13" s="13">
        <f>IFERROR(INDEX(Products!$B$5:$B$304,6)&amp;"","")</f>
        <v>0</v>
      </c>
      <c r="C13" s="20">
        <f>IF(IFERROR(INDEX(Products!$B$5:$B$304,6)&amp;"","")="","",IFERROR(INDEX(Products!$AT$5:$AT$304,6),""))</f>
        <v>0</v>
      </c>
      <c r="D13" s="20">
        <f>IF(IFERROR(INDEX(Products!$B$5:$B$304,6)&amp;"","")="","",IFERROR(INDEX(Products!$AR$5:$AR$304,6),""))</f>
        <v>0</v>
      </c>
      <c r="E13" s="20">
        <f>IF(C13="","",IF((1-IFERROR(INDEX(ScenarioMargins,1),0)-IFERROR(INDEX(Products!$AI$5:$AI$304,6)*1,0))&lt;=0,"",ROUND(IF(RoundingRule="None",((C13+IFERROR(INDEX(Products!$AK$5:$AK$304,6)*1,0))/(1-IFERROR(INDEX(ScenarioMargins,1),0)-IFERROR(INDEX(Products!$AI$5:$AI$304,6)*1,0))),IF(RoundingRule="Nearest 0.99",MAX(0.99,CEILING(((C13+IFERROR(INDEX(Products!$AK$5:$AK$304,6)*1,0))/(1-IFERROR(INDEX(ScenarioMargins,1),0)-IFERROR(INDEX(Products!$AI$5:$AI$304,6)*1,0))),1)-0.01),IF(RoundingRule="Nearest 0.95",MAX(0.95,CEILING(((C13+IFERROR(INDEX(Products!$AK$5:$AK$304,6)*1,0))/(1-IFERROR(INDEX(ScenarioMargins,1),0)-IFERROR(INDEX(Products!$AI$5:$AI$304,6)*1,0))),1)-0.05),IF(RoundingRule="Nearest 0.50",CEILING(((C13+IFERROR(INDEX(Products!$AK$5:$AK$304,6)*1,0))/(1-IFERROR(INDEX(ScenarioMargins,1),0)-IFERROR(INDEX(Products!$AI$5:$AI$304,6)*1,0))),0.5),IF(RoundingRule="Nearest 1",CEILING(((C13+IFERROR(INDEX(Products!$AK$5:$AK$304,6)*1,0))/(1-IFERROR(INDEX(ScenarioMargins,1),0)-IFERROR(INDEX(Products!$AI$5:$AI$304,6)*1,0))),1),IF(RoundingRule="Nearest 5",CEILING(((C13+IFERROR(INDEX(Products!$AK$5:$AK$304,6)*1,0))/(1-IFERROR(INDEX(ScenarioMargins,1),0)-IFERROR(INDEX(Products!$AI$5:$AI$304,6)*1,0))),5),IF(RoundingRule="Up to whole 1",CEILING(((C13+IFERROR(INDEX(Products!$AK$5:$AK$304,6)*1,0))/(1-IFERROR(INDEX(ScenarioMargins,1),0)-IFERROR(INDEX(Products!$AI$5:$AI$304,6)*1,0))),1),IF(RoundingRule="Up to whole 5",CEILING(((C13+IFERROR(INDEX(Products!$AK$5:$AK$304,6)*1,0))/(1-IFERROR(INDEX(ScenarioMargins,1),0)-IFERROR(INDEX(Products!$AI$5:$AI$304,6)*1,0))),5),ROUND(((C13+IFERROR(INDEX(Products!$AK$5:$AK$304,6)*1,0))/(1-IFERROR(INDEX(ScenarioMargins,1),0)-IFERROR(INDEX(Products!$AI$5:$AI$304,6)*1,0))),2))))))))),2)))</f>
        <v>0</v>
      </c>
      <c r="F13" s="20">
        <f>IF(C13="","",IF((1-IFERROR(INDEX(ScenarioMargins,2),0)-IFERROR(INDEX(Products!$AI$5:$AI$304,6)*1,0))&lt;=0,"",ROUND(IF(RoundingRule="None",((C13+IFERROR(INDEX(Products!$AK$5:$AK$304,6)*1,0))/(1-IFERROR(INDEX(ScenarioMargins,2),0)-IFERROR(INDEX(Products!$AI$5:$AI$304,6)*1,0))),IF(RoundingRule="Nearest 0.99",MAX(0.99,CEILING(((C13+IFERROR(INDEX(Products!$AK$5:$AK$304,6)*1,0))/(1-IFERROR(INDEX(ScenarioMargins,2),0)-IFERROR(INDEX(Products!$AI$5:$AI$304,6)*1,0))),1)-0.01),IF(RoundingRule="Nearest 0.95",MAX(0.95,CEILING(((C13+IFERROR(INDEX(Products!$AK$5:$AK$304,6)*1,0))/(1-IFERROR(INDEX(ScenarioMargins,2),0)-IFERROR(INDEX(Products!$AI$5:$AI$304,6)*1,0))),1)-0.05),IF(RoundingRule="Nearest 0.50",CEILING(((C13+IFERROR(INDEX(Products!$AK$5:$AK$304,6)*1,0))/(1-IFERROR(INDEX(ScenarioMargins,2),0)-IFERROR(INDEX(Products!$AI$5:$AI$304,6)*1,0))),0.5),IF(RoundingRule="Nearest 1",CEILING(((C13+IFERROR(INDEX(Products!$AK$5:$AK$304,6)*1,0))/(1-IFERROR(INDEX(ScenarioMargins,2),0)-IFERROR(INDEX(Products!$AI$5:$AI$304,6)*1,0))),1),IF(RoundingRule="Nearest 5",CEILING(((C13+IFERROR(INDEX(Products!$AK$5:$AK$304,6)*1,0))/(1-IFERROR(INDEX(ScenarioMargins,2),0)-IFERROR(INDEX(Products!$AI$5:$AI$304,6)*1,0))),5),IF(RoundingRule="Up to whole 1",CEILING(((C13+IFERROR(INDEX(Products!$AK$5:$AK$304,6)*1,0))/(1-IFERROR(INDEX(ScenarioMargins,2),0)-IFERROR(INDEX(Products!$AI$5:$AI$304,6)*1,0))),1),IF(RoundingRule="Up to whole 5",CEILING(((C13+IFERROR(INDEX(Products!$AK$5:$AK$304,6)*1,0))/(1-IFERROR(INDEX(ScenarioMargins,2),0)-IFERROR(INDEX(Products!$AI$5:$AI$304,6)*1,0))),5),ROUND(((C13+IFERROR(INDEX(Products!$AK$5:$AK$304,6)*1,0))/(1-IFERROR(INDEX(ScenarioMargins,2),0)-IFERROR(INDEX(Products!$AI$5:$AI$304,6)*1,0))),2))))))))),2)))</f>
        <v>0</v>
      </c>
      <c r="G13" s="20">
        <f>IF(C13="","",IF((1-IFERROR(INDEX(ScenarioMargins,3),0)-IFERROR(INDEX(Products!$AI$5:$AI$304,6)*1,0))&lt;=0,"",ROUND(IF(RoundingRule="None",((C13+IFERROR(INDEX(Products!$AK$5:$AK$304,6)*1,0))/(1-IFERROR(INDEX(ScenarioMargins,3),0)-IFERROR(INDEX(Products!$AI$5:$AI$304,6)*1,0))),IF(RoundingRule="Nearest 0.99",MAX(0.99,CEILING(((C13+IFERROR(INDEX(Products!$AK$5:$AK$304,6)*1,0))/(1-IFERROR(INDEX(ScenarioMargins,3),0)-IFERROR(INDEX(Products!$AI$5:$AI$304,6)*1,0))),1)-0.01),IF(RoundingRule="Nearest 0.95",MAX(0.95,CEILING(((C13+IFERROR(INDEX(Products!$AK$5:$AK$304,6)*1,0))/(1-IFERROR(INDEX(ScenarioMargins,3),0)-IFERROR(INDEX(Products!$AI$5:$AI$304,6)*1,0))),1)-0.05),IF(RoundingRule="Nearest 0.50",CEILING(((C13+IFERROR(INDEX(Products!$AK$5:$AK$304,6)*1,0))/(1-IFERROR(INDEX(ScenarioMargins,3),0)-IFERROR(INDEX(Products!$AI$5:$AI$304,6)*1,0))),0.5),IF(RoundingRule="Nearest 1",CEILING(((C13+IFERROR(INDEX(Products!$AK$5:$AK$304,6)*1,0))/(1-IFERROR(INDEX(ScenarioMargins,3),0)-IFERROR(INDEX(Products!$AI$5:$AI$304,6)*1,0))),1),IF(RoundingRule="Nearest 5",CEILING(((C13+IFERROR(INDEX(Products!$AK$5:$AK$304,6)*1,0))/(1-IFERROR(INDEX(ScenarioMargins,3),0)-IFERROR(INDEX(Products!$AI$5:$AI$304,6)*1,0))),5),IF(RoundingRule="Up to whole 1",CEILING(((C13+IFERROR(INDEX(Products!$AK$5:$AK$304,6)*1,0))/(1-IFERROR(INDEX(ScenarioMargins,3),0)-IFERROR(INDEX(Products!$AI$5:$AI$304,6)*1,0))),1),IF(RoundingRule="Up to whole 5",CEILING(((C13+IFERROR(INDEX(Products!$AK$5:$AK$304,6)*1,0))/(1-IFERROR(INDEX(ScenarioMargins,3),0)-IFERROR(INDEX(Products!$AI$5:$AI$304,6)*1,0))),5),ROUND(((C13+IFERROR(INDEX(Products!$AK$5:$AK$304,6)*1,0))/(1-IFERROR(INDEX(ScenarioMargins,3),0)-IFERROR(INDEX(Products!$AI$5:$AI$304,6)*1,0))),2))))))))),2)))</f>
        <v>0</v>
      </c>
      <c r="H13" s="20">
        <f>IF(C13="","",IF((1-IFERROR(INDEX(ScenarioMargins,4),0)-IFERROR(INDEX(Products!$AI$5:$AI$304,6)*1,0))&lt;=0,"",ROUND(IF(RoundingRule="None",((C13+IFERROR(INDEX(Products!$AK$5:$AK$304,6)*1,0))/(1-IFERROR(INDEX(ScenarioMargins,4),0)-IFERROR(INDEX(Products!$AI$5:$AI$304,6)*1,0))),IF(RoundingRule="Nearest 0.99",MAX(0.99,CEILING(((C13+IFERROR(INDEX(Products!$AK$5:$AK$304,6)*1,0))/(1-IFERROR(INDEX(ScenarioMargins,4),0)-IFERROR(INDEX(Products!$AI$5:$AI$304,6)*1,0))),1)-0.01),IF(RoundingRule="Nearest 0.95",MAX(0.95,CEILING(((C13+IFERROR(INDEX(Products!$AK$5:$AK$304,6)*1,0))/(1-IFERROR(INDEX(ScenarioMargins,4),0)-IFERROR(INDEX(Products!$AI$5:$AI$304,6)*1,0))),1)-0.05),IF(RoundingRule="Nearest 0.50",CEILING(((C13+IFERROR(INDEX(Products!$AK$5:$AK$304,6)*1,0))/(1-IFERROR(INDEX(ScenarioMargins,4),0)-IFERROR(INDEX(Products!$AI$5:$AI$304,6)*1,0))),0.5),IF(RoundingRule="Nearest 1",CEILING(((C13+IFERROR(INDEX(Products!$AK$5:$AK$304,6)*1,0))/(1-IFERROR(INDEX(ScenarioMargins,4),0)-IFERROR(INDEX(Products!$AI$5:$AI$304,6)*1,0))),1),IF(RoundingRule="Nearest 5",CEILING(((C13+IFERROR(INDEX(Products!$AK$5:$AK$304,6)*1,0))/(1-IFERROR(INDEX(ScenarioMargins,4),0)-IFERROR(INDEX(Products!$AI$5:$AI$304,6)*1,0))),5),IF(RoundingRule="Up to whole 1",CEILING(((C13+IFERROR(INDEX(Products!$AK$5:$AK$304,6)*1,0))/(1-IFERROR(INDEX(ScenarioMargins,4),0)-IFERROR(INDEX(Products!$AI$5:$AI$304,6)*1,0))),1),IF(RoundingRule="Up to whole 5",CEILING(((C13+IFERROR(INDEX(Products!$AK$5:$AK$304,6)*1,0))/(1-IFERROR(INDEX(ScenarioMargins,4),0)-IFERROR(INDEX(Products!$AI$5:$AI$304,6)*1,0))),5),ROUND(((C13+IFERROR(INDEX(Products!$AK$5:$AK$304,6)*1,0))/(1-IFERROR(INDEX(ScenarioMargins,4),0)-IFERROR(INDEX(Products!$AI$5:$AI$304,6)*1,0))),2))))))))),2)))</f>
        <v>0</v>
      </c>
      <c r="I13" s="20">
        <f>IF(C13="","",IF((1-IFERROR(INDEX(ScenarioMargins,5),0)-IFERROR(INDEX(Products!$AI$5:$AI$304,6)*1,0))&lt;=0,"",ROUND(IF(RoundingRule="None",((C13+IFERROR(INDEX(Products!$AK$5:$AK$304,6)*1,0))/(1-IFERROR(INDEX(ScenarioMargins,5),0)-IFERROR(INDEX(Products!$AI$5:$AI$304,6)*1,0))),IF(RoundingRule="Nearest 0.99",MAX(0.99,CEILING(((C13+IFERROR(INDEX(Products!$AK$5:$AK$304,6)*1,0))/(1-IFERROR(INDEX(ScenarioMargins,5),0)-IFERROR(INDEX(Products!$AI$5:$AI$304,6)*1,0))),1)-0.01),IF(RoundingRule="Nearest 0.95",MAX(0.95,CEILING(((C13+IFERROR(INDEX(Products!$AK$5:$AK$304,6)*1,0))/(1-IFERROR(INDEX(ScenarioMargins,5),0)-IFERROR(INDEX(Products!$AI$5:$AI$304,6)*1,0))),1)-0.05),IF(RoundingRule="Nearest 0.50",CEILING(((C13+IFERROR(INDEX(Products!$AK$5:$AK$304,6)*1,0))/(1-IFERROR(INDEX(ScenarioMargins,5),0)-IFERROR(INDEX(Products!$AI$5:$AI$304,6)*1,0))),0.5),IF(RoundingRule="Nearest 1",CEILING(((C13+IFERROR(INDEX(Products!$AK$5:$AK$304,6)*1,0))/(1-IFERROR(INDEX(ScenarioMargins,5),0)-IFERROR(INDEX(Products!$AI$5:$AI$304,6)*1,0))),1),IF(RoundingRule="Nearest 5",CEILING(((C13+IFERROR(INDEX(Products!$AK$5:$AK$304,6)*1,0))/(1-IFERROR(INDEX(ScenarioMargins,5),0)-IFERROR(INDEX(Products!$AI$5:$AI$304,6)*1,0))),5),IF(RoundingRule="Up to whole 1",CEILING(((C13+IFERROR(INDEX(Products!$AK$5:$AK$304,6)*1,0))/(1-IFERROR(INDEX(ScenarioMargins,5),0)-IFERROR(INDEX(Products!$AI$5:$AI$304,6)*1,0))),1),IF(RoundingRule="Up to whole 5",CEILING(((C13+IFERROR(INDEX(Products!$AK$5:$AK$304,6)*1,0))/(1-IFERROR(INDEX(ScenarioMargins,5),0)-IFERROR(INDEX(Products!$AI$5:$AI$304,6)*1,0))),5),ROUND(((C13+IFERROR(INDEX(Products!$AK$5:$AK$304,6)*1,0))/(1-IFERROR(INDEX(ScenarioMargins,5),0)-IFERROR(INDEX(Products!$AI$5:$AI$304,6)*1,0))),2))))))))),2)))</f>
        <v>0</v>
      </c>
      <c r="J13" s="13">
        <f>IF(D13="","",IF(D13&lt;E13,"Below the lowest",IF(D13&lt;F13,"Budget",IF(D13&lt;G13,"Conservative",IF(D13&lt;H13,"Standard",IF(D13&lt;I13,"Premium","Luxury"))))))</f>
        <v>0</v>
      </c>
    </row>
    <row r="14" spans="1:12">
      <c r="B14" s="13">
        <f>IFERROR(INDEX(Products!$B$5:$B$304,7)&amp;"","")</f>
        <v>0</v>
      </c>
      <c r="C14" s="20">
        <f>IF(IFERROR(INDEX(Products!$B$5:$B$304,7)&amp;"","")="","",IFERROR(INDEX(Products!$AT$5:$AT$304,7),""))</f>
        <v>0</v>
      </c>
      <c r="D14" s="20">
        <f>IF(IFERROR(INDEX(Products!$B$5:$B$304,7)&amp;"","")="","",IFERROR(INDEX(Products!$AR$5:$AR$304,7),""))</f>
        <v>0</v>
      </c>
      <c r="E14" s="20">
        <f>IF(C14="","",IF((1-IFERROR(INDEX(ScenarioMargins,1),0)-IFERROR(INDEX(Products!$AI$5:$AI$304,7)*1,0))&lt;=0,"",ROUND(IF(RoundingRule="None",((C14+IFERROR(INDEX(Products!$AK$5:$AK$304,7)*1,0))/(1-IFERROR(INDEX(ScenarioMargins,1),0)-IFERROR(INDEX(Products!$AI$5:$AI$304,7)*1,0))),IF(RoundingRule="Nearest 0.99",MAX(0.99,CEILING(((C14+IFERROR(INDEX(Products!$AK$5:$AK$304,7)*1,0))/(1-IFERROR(INDEX(ScenarioMargins,1),0)-IFERROR(INDEX(Products!$AI$5:$AI$304,7)*1,0))),1)-0.01),IF(RoundingRule="Nearest 0.95",MAX(0.95,CEILING(((C14+IFERROR(INDEX(Products!$AK$5:$AK$304,7)*1,0))/(1-IFERROR(INDEX(ScenarioMargins,1),0)-IFERROR(INDEX(Products!$AI$5:$AI$304,7)*1,0))),1)-0.05),IF(RoundingRule="Nearest 0.50",CEILING(((C14+IFERROR(INDEX(Products!$AK$5:$AK$304,7)*1,0))/(1-IFERROR(INDEX(ScenarioMargins,1),0)-IFERROR(INDEX(Products!$AI$5:$AI$304,7)*1,0))),0.5),IF(RoundingRule="Nearest 1",CEILING(((C14+IFERROR(INDEX(Products!$AK$5:$AK$304,7)*1,0))/(1-IFERROR(INDEX(ScenarioMargins,1),0)-IFERROR(INDEX(Products!$AI$5:$AI$304,7)*1,0))),1),IF(RoundingRule="Nearest 5",CEILING(((C14+IFERROR(INDEX(Products!$AK$5:$AK$304,7)*1,0))/(1-IFERROR(INDEX(ScenarioMargins,1),0)-IFERROR(INDEX(Products!$AI$5:$AI$304,7)*1,0))),5),IF(RoundingRule="Up to whole 1",CEILING(((C14+IFERROR(INDEX(Products!$AK$5:$AK$304,7)*1,0))/(1-IFERROR(INDEX(ScenarioMargins,1),0)-IFERROR(INDEX(Products!$AI$5:$AI$304,7)*1,0))),1),IF(RoundingRule="Up to whole 5",CEILING(((C14+IFERROR(INDEX(Products!$AK$5:$AK$304,7)*1,0))/(1-IFERROR(INDEX(ScenarioMargins,1),0)-IFERROR(INDEX(Products!$AI$5:$AI$304,7)*1,0))),5),ROUND(((C14+IFERROR(INDEX(Products!$AK$5:$AK$304,7)*1,0))/(1-IFERROR(INDEX(ScenarioMargins,1),0)-IFERROR(INDEX(Products!$AI$5:$AI$304,7)*1,0))),2))))))))),2)))</f>
        <v>0</v>
      </c>
      <c r="F14" s="20">
        <f>IF(C14="","",IF((1-IFERROR(INDEX(ScenarioMargins,2),0)-IFERROR(INDEX(Products!$AI$5:$AI$304,7)*1,0))&lt;=0,"",ROUND(IF(RoundingRule="None",((C14+IFERROR(INDEX(Products!$AK$5:$AK$304,7)*1,0))/(1-IFERROR(INDEX(ScenarioMargins,2),0)-IFERROR(INDEX(Products!$AI$5:$AI$304,7)*1,0))),IF(RoundingRule="Nearest 0.99",MAX(0.99,CEILING(((C14+IFERROR(INDEX(Products!$AK$5:$AK$304,7)*1,0))/(1-IFERROR(INDEX(ScenarioMargins,2),0)-IFERROR(INDEX(Products!$AI$5:$AI$304,7)*1,0))),1)-0.01),IF(RoundingRule="Nearest 0.95",MAX(0.95,CEILING(((C14+IFERROR(INDEX(Products!$AK$5:$AK$304,7)*1,0))/(1-IFERROR(INDEX(ScenarioMargins,2),0)-IFERROR(INDEX(Products!$AI$5:$AI$304,7)*1,0))),1)-0.05),IF(RoundingRule="Nearest 0.50",CEILING(((C14+IFERROR(INDEX(Products!$AK$5:$AK$304,7)*1,0))/(1-IFERROR(INDEX(ScenarioMargins,2),0)-IFERROR(INDEX(Products!$AI$5:$AI$304,7)*1,0))),0.5),IF(RoundingRule="Nearest 1",CEILING(((C14+IFERROR(INDEX(Products!$AK$5:$AK$304,7)*1,0))/(1-IFERROR(INDEX(ScenarioMargins,2),0)-IFERROR(INDEX(Products!$AI$5:$AI$304,7)*1,0))),1),IF(RoundingRule="Nearest 5",CEILING(((C14+IFERROR(INDEX(Products!$AK$5:$AK$304,7)*1,0))/(1-IFERROR(INDEX(ScenarioMargins,2),0)-IFERROR(INDEX(Products!$AI$5:$AI$304,7)*1,0))),5),IF(RoundingRule="Up to whole 1",CEILING(((C14+IFERROR(INDEX(Products!$AK$5:$AK$304,7)*1,0))/(1-IFERROR(INDEX(ScenarioMargins,2),0)-IFERROR(INDEX(Products!$AI$5:$AI$304,7)*1,0))),1),IF(RoundingRule="Up to whole 5",CEILING(((C14+IFERROR(INDEX(Products!$AK$5:$AK$304,7)*1,0))/(1-IFERROR(INDEX(ScenarioMargins,2),0)-IFERROR(INDEX(Products!$AI$5:$AI$304,7)*1,0))),5),ROUND(((C14+IFERROR(INDEX(Products!$AK$5:$AK$304,7)*1,0))/(1-IFERROR(INDEX(ScenarioMargins,2),0)-IFERROR(INDEX(Products!$AI$5:$AI$304,7)*1,0))),2))))))))),2)))</f>
        <v>0</v>
      </c>
      <c r="G14" s="20">
        <f>IF(C14="","",IF((1-IFERROR(INDEX(ScenarioMargins,3),0)-IFERROR(INDEX(Products!$AI$5:$AI$304,7)*1,0))&lt;=0,"",ROUND(IF(RoundingRule="None",((C14+IFERROR(INDEX(Products!$AK$5:$AK$304,7)*1,0))/(1-IFERROR(INDEX(ScenarioMargins,3),0)-IFERROR(INDEX(Products!$AI$5:$AI$304,7)*1,0))),IF(RoundingRule="Nearest 0.99",MAX(0.99,CEILING(((C14+IFERROR(INDEX(Products!$AK$5:$AK$304,7)*1,0))/(1-IFERROR(INDEX(ScenarioMargins,3),0)-IFERROR(INDEX(Products!$AI$5:$AI$304,7)*1,0))),1)-0.01),IF(RoundingRule="Nearest 0.95",MAX(0.95,CEILING(((C14+IFERROR(INDEX(Products!$AK$5:$AK$304,7)*1,0))/(1-IFERROR(INDEX(ScenarioMargins,3),0)-IFERROR(INDEX(Products!$AI$5:$AI$304,7)*1,0))),1)-0.05),IF(RoundingRule="Nearest 0.50",CEILING(((C14+IFERROR(INDEX(Products!$AK$5:$AK$304,7)*1,0))/(1-IFERROR(INDEX(ScenarioMargins,3),0)-IFERROR(INDEX(Products!$AI$5:$AI$304,7)*1,0))),0.5),IF(RoundingRule="Nearest 1",CEILING(((C14+IFERROR(INDEX(Products!$AK$5:$AK$304,7)*1,0))/(1-IFERROR(INDEX(ScenarioMargins,3),0)-IFERROR(INDEX(Products!$AI$5:$AI$304,7)*1,0))),1),IF(RoundingRule="Nearest 5",CEILING(((C14+IFERROR(INDEX(Products!$AK$5:$AK$304,7)*1,0))/(1-IFERROR(INDEX(ScenarioMargins,3),0)-IFERROR(INDEX(Products!$AI$5:$AI$304,7)*1,0))),5),IF(RoundingRule="Up to whole 1",CEILING(((C14+IFERROR(INDEX(Products!$AK$5:$AK$304,7)*1,0))/(1-IFERROR(INDEX(ScenarioMargins,3),0)-IFERROR(INDEX(Products!$AI$5:$AI$304,7)*1,0))),1),IF(RoundingRule="Up to whole 5",CEILING(((C14+IFERROR(INDEX(Products!$AK$5:$AK$304,7)*1,0))/(1-IFERROR(INDEX(ScenarioMargins,3),0)-IFERROR(INDEX(Products!$AI$5:$AI$304,7)*1,0))),5),ROUND(((C14+IFERROR(INDEX(Products!$AK$5:$AK$304,7)*1,0))/(1-IFERROR(INDEX(ScenarioMargins,3),0)-IFERROR(INDEX(Products!$AI$5:$AI$304,7)*1,0))),2))))))))),2)))</f>
        <v>0</v>
      </c>
      <c r="H14" s="20">
        <f>IF(C14="","",IF((1-IFERROR(INDEX(ScenarioMargins,4),0)-IFERROR(INDEX(Products!$AI$5:$AI$304,7)*1,0))&lt;=0,"",ROUND(IF(RoundingRule="None",((C14+IFERROR(INDEX(Products!$AK$5:$AK$304,7)*1,0))/(1-IFERROR(INDEX(ScenarioMargins,4),0)-IFERROR(INDEX(Products!$AI$5:$AI$304,7)*1,0))),IF(RoundingRule="Nearest 0.99",MAX(0.99,CEILING(((C14+IFERROR(INDEX(Products!$AK$5:$AK$304,7)*1,0))/(1-IFERROR(INDEX(ScenarioMargins,4),0)-IFERROR(INDEX(Products!$AI$5:$AI$304,7)*1,0))),1)-0.01),IF(RoundingRule="Nearest 0.95",MAX(0.95,CEILING(((C14+IFERROR(INDEX(Products!$AK$5:$AK$304,7)*1,0))/(1-IFERROR(INDEX(ScenarioMargins,4),0)-IFERROR(INDEX(Products!$AI$5:$AI$304,7)*1,0))),1)-0.05),IF(RoundingRule="Nearest 0.50",CEILING(((C14+IFERROR(INDEX(Products!$AK$5:$AK$304,7)*1,0))/(1-IFERROR(INDEX(ScenarioMargins,4),0)-IFERROR(INDEX(Products!$AI$5:$AI$304,7)*1,0))),0.5),IF(RoundingRule="Nearest 1",CEILING(((C14+IFERROR(INDEX(Products!$AK$5:$AK$304,7)*1,0))/(1-IFERROR(INDEX(ScenarioMargins,4),0)-IFERROR(INDEX(Products!$AI$5:$AI$304,7)*1,0))),1),IF(RoundingRule="Nearest 5",CEILING(((C14+IFERROR(INDEX(Products!$AK$5:$AK$304,7)*1,0))/(1-IFERROR(INDEX(ScenarioMargins,4),0)-IFERROR(INDEX(Products!$AI$5:$AI$304,7)*1,0))),5),IF(RoundingRule="Up to whole 1",CEILING(((C14+IFERROR(INDEX(Products!$AK$5:$AK$304,7)*1,0))/(1-IFERROR(INDEX(ScenarioMargins,4),0)-IFERROR(INDEX(Products!$AI$5:$AI$304,7)*1,0))),1),IF(RoundingRule="Up to whole 5",CEILING(((C14+IFERROR(INDEX(Products!$AK$5:$AK$304,7)*1,0))/(1-IFERROR(INDEX(ScenarioMargins,4),0)-IFERROR(INDEX(Products!$AI$5:$AI$304,7)*1,0))),5),ROUND(((C14+IFERROR(INDEX(Products!$AK$5:$AK$304,7)*1,0))/(1-IFERROR(INDEX(ScenarioMargins,4),0)-IFERROR(INDEX(Products!$AI$5:$AI$304,7)*1,0))),2))))))))),2)))</f>
        <v>0</v>
      </c>
      <c r="I14" s="20">
        <f>IF(C14="","",IF((1-IFERROR(INDEX(ScenarioMargins,5),0)-IFERROR(INDEX(Products!$AI$5:$AI$304,7)*1,0))&lt;=0,"",ROUND(IF(RoundingRule="None",((C14+IFERROR(INDEX(Products!$AK$5:$AK$304,7)*1,0))/(1-IFERROR(INDEX(ScenarioMargins,5),0)-IFERROR(INDEX(Products!$AI$5:$AI$304,7)*1,0))),IF(RoundingRule="Nearest 0.99",MAX(0.99,CEILING(((C14+IFERROR(INDEX(Products!$AK$5:$AK$304,7)*1,0))/(1-IFERROR(INDEX(ScenarioMargins,5),0)-IFERROR(INDEX(Products!$AI$5:$AI$304,7)*1,0))),1)-0.01),IF(RoundingRule="Nearest 0.95",MAX(0.95,CEILING(((C14+IFERROR(INDEX(Products!$AK$5:$AK$304,7)*1,0))/(1-IFERROR(INDEX(ScenarioMargins,5),0)-IFERROR(INDEX(Products!$AI$5:$AI$304,7)*1,0))),1)-0.05),IF(RoundingRule="Nearest 0.50",CEILING(((C14+IFERROR(INDEX(Products!$AK$5:$AK$304,7)*1,0))/(1-IFERROR(INDEX(ScenarioMargins,5),0)-IFERROR(INDEX(Products!$AI$5:$AI$304,7)*1,0))),0.5),IF(RoundingRule="Nearest 1",CEILING(((C14+IFERROR(INDEX(Products!$AK$5:$AK$304,7)*1,0))/(1-IFERROR(INDEX(ScenarioMargins,5),0)-IFERROR(INDEX(Products!$AI$5:$AI$304,7)*1,0))),1),IF(RoundingRule="Nearest 5",CEILING(((C14+IFERROR(INDEX(Products!$AK$5:$AK$304,7)*1,0))/(1-IFERROR(INDEX(ScenarioMargins,5),0)-IFERROR(INDEX(Products!$AI$5:$AI$304,7)*1,0))),5),IF(RoundingRule="Up to whole 1",CEILING(((C14+IFERROR(INDEX(Products!$AK$5:$AK$304,7)*1,0))/(1-IFERROR(INDEX(ScenarioMargins,5),0)-IFERROR(INDEX(Products!$AI$5:$AI$304,7)*1,0))),1),IF(RoundingRule="Up to whole 5",CEILING(((C14+IFERROR(INDEX(Products!$AK$5:$AK$304,7)*1,0))/(1-IFERROR(INDEX(ScenarioMargins,5),0)-IFERROR(INDEX(Products!$AI$5:$AI$304,7)*1,0))),5),ROUND(((C14+IFERROR(INDEX(Products!$AK$5:$AK$304,7)*1,0))/(1-IFERROR(INDEX(ScenarioMargins,5),0)-IFERROR(INDEX(Products!$AI$5:$AI$304,7)*1,0))),2))))))))),2)))</f>
        <v>0</v>
      </c>
      <c r="J14" s="13">
        <f>IF(D14="","",IF(D14&lt;E14,"Below the lowest",IF(D14&lt;F14,"Budget",IF(D14&lt;G14,"Conservative",IF(D14&lt;H14,"Standard",IF(D14&lt;I14,"Premium","Luxury"))))))</f>
        <v>0</v>
      </c>
    </row>
    <row r="15" spans="1:12">
      <c r="B15" s="13">
        <f>IFERROR(INDEX(Products!$B$5:$B$304,8)&amp;"","")</f>
        <v>0</v>
      </c>
      <c r="C15" s="20">
        <f>IF(IFERROR(INDEX(Products!$B$5:$B$304,8)&amp;"","")="","",IFERROR(INDEX(Products!$AT$5:$AT$304,8),""))</f>
        <v>0</v>
      </c>
      <c r="D15" s="20">
        <f>IF(IFERROR(INDEX(Products!$B$5:$B$304,8)&amp;"","")="","",IFERROR(INDEX(Products!$AR$5:$AR$304,8),""))</f>
        <v>0</v>
      </c>
      <c r="E15" s="20">
        <f>IF(C15="","",IF((1-IFERROR(INDEX(ScenarioMargins,1),0)-IFERROR(INDEX(Products!$AI$5:$AI$304,8)*1,0))&lt;=0,"",ROUND(IF(RoundingRule="None",((C15+IFERROR(INDEX(Products!$AK$5:$AK$304,8)*1,0))/(1-IFERROR(INDEX(ScenarioMargins,1),0)-IFERROR(INDEX(Products!$AI$5:$AI$304,8)*1,0))),IF(RoundingRule="Nearest 0.99",MAX(0.99,CEILING(((C15+IFERROR(INDEX(Products!$AK$5:$AK$304,8)*1,0))/(1-IFERROR(INDEX(ScenarioMargins,1),0)-IFERROR(INDEX(Products!$AI$5:$AI$304,8)*1,0))),1)-0.01),IF(RoundingRule="Nearest 0.95",MAX(0.95,CEILING(((C15+IFERROR(INDEX(Products!$AK$5:$AK$304,8)*1,0))/(1-IFERROR(INDEX(ScenarioMargins,1),0)-IFERROR(INDEX(Products!$AI$5:$AI$304,8)*1,0))),1)-0.05),IF(RoundingRule="Nearest 0.50",CEILING(((C15+IFERROR(INDEX(Products!$AK$5:$AK$304,8)*1,0))/(1-IFERROR(INDEX(ScenarioMargins,1),0)-IFERROR(INDEX(Products!$AI$5:$AI$304,8)*1,0))),0.5),IF(RoundingRule="Nearest 1",CEILING(((C15+IFERROR(INDEX(Products!$AK$5:$AK$304,8)*1,0))/(1-IFERROR(INDEX(ScenarioMargins,1),0)-IFERROR(INDEX(Products!$AI$5:$AI$304,8)*1,0))),1),IF(RoundingRule="Nearest 5",CEILING(((C15+IFERROR(INDEX(Products!$AK$5:$AK$304,8)*1,0))/(1-IFERROR(INDEX(ScenarioMargins,1),0)-IFERROR(INDEX(Products!$AI$5:$AI$304,8)*1,0))),5),IF(RoundingRule="Up to whole 1",CEILING(((C15+IFERROR(INDEX(Products!$AK$5:$AK$304,8)*1,0))/(1-IFERROR(INDEX(ScenarioMargins,1),0)-IFERROR(INDEX(Products!$AI$5:$AI$304,8)*1,0))),1),IF(RoundingRule="Up to whole 5",CEILING(((C15+IFERROR(INDEX(Products!$AK$5:$AK$304,8)*1,0))/(1-IFERROR(INDEX(ScenarioMargins,1),0)-IFERROR(INDEX(Products!$AI$5:$AI$304,8)*1,0))),5),ROUND(((C15+IFERROR(INDEX(Products!$AK$5:$AK$304,8)*1,0))/(1-IFERROR(INDEX(ScenarioMargins,1),0)-IFERROR(INDEX(Products!$AI$5:$AI$304,8)*1,0))),2))))))))),2)))</f>
        <v>0</v>
      </c>
      <c r="F15" s="20">
        <f>IF(C15="","",IF((1-IFERROR(INDEX(ScenarioMargins,2),0)-IFERROR(INDEX(Products!$AI$5:$AI$304,8)*1,0))&lt;=0,"",ROUND(IF(RoundingRule="None",((C15+IFERROR(INDEX(Products!$AK$5:$AK$304,8)*1,0))/(1-IFERROR(INDEX(ScenarioMargins,2),0)-IFERROR(INDEX(Products!$AI$5:$AI$304,8)*1,0))),IF(RoundingRule="Nearest 0.99",MAX(0.99,CEILING(((C15+IFERROR(INDEX(Products!$AK$5:$AK$304,8)*1,0))/(1-IFERROR(INDEX(ScenarioMargins,2),0)-IFERROR(INDEX(Products!$AI$5:$AI$304,8)*1,0))),1)-0.01),IF(RoundingRule="Nearest 0.95",MAX(0.95,CEILING(((C15+IFERROR(INDEX(Products!$AK$5:$AK$304,8)*1,0))/(1-IFERROR(INDEX(ScenarioMargins,2),0)-IFERROR(INDEX(Products!$AI$5:$AI$304,8)*1,0))),1)-0.05),IF(RoundingRule="Nearest 0.50",CEILING(((C15+IFERROR(INDEX(Products!$AK$5:$AK$304,8)*1,0))/(1-IFERROR(INDEX(ScenarioMargins,2),0)-IFERROR(INDEX(Products!$AI$5:$AI$304,8)*1,0))),0.5),IF(RoundingRule="Nearest 1",CEILING(((C15+IFERROR(INDEX(Products!$AK$5:$AK$304,8)*1,0))/(1-IFERROR(INDEX(ScenarioMargins,2),0)-IFERROR(INDEX(Products!$AI$5:$AI$304,8)*1,0))),1),IF(RoundingRule="Nearest 5",CEILING(((C15+IFERROR(INDEX(Products!$AK$5:$AK$304,8)*1,0))/(1-IFERROR(INDEX(ScenarioMargins,2),0)-IFERROR(INDEX(Products!$AI$5:$AI$304,8)*1,0))),5),IF(RoundingRule="Up to whole 1",CEILING(((C15+IFERROR(INDEX(Products!$AK$5:$AK$304,8)*1,0))/(1-IFERROR(INDEX(ScenarioMargins,2),0)-IFERROR(INDEX(Products!$AI$5:$AI$304,8)*1,0))),1),IF(RoundingRule="Up to whole 5",CEILING(((C15+IFERROR(INDEX(Products!$AK$5:$AK$304,8)*1,0))/(1-IFERROR(INDEX(ScenarioMargins,2),0)-IFERROR(INDEX(Products!$AI$5:$AI$304,8)*1,0))),5),ROUND(((C15+IFERROR(INDEX(Products!$AK$5:$AK$304,8)*1,0))/(1-IFERROR(INDEX(ScenarioMargins,2),0)-IFERROR(INDEX(Products!$AI$5:$AI$304,8)*1,0))),2))))))))),2)))</f>
        <v>0</v>
      </c>
      <c r="G15" s="20">
        <f>IF(C15="","",IF((1-IFERROR(INDEX(ScenarioMargins,3),0)-IFERROR(INDEX(Products!$AI$5:$AI$304,8)*1,0))&lt;=0,"",ROUND(IF(RoundingRule="None",((C15+IFERROR(INDEX(Products!$AK$5:$AK$304,8)*1,0))/(1-IFERROR(INDEX(ScenarioMargins,3),0)-IFERROR(INDEX(Products!$AI$5:$AI$304,8)*1,0))),IF(RoundingRule="Nearest 0.99",MAX(0.99,CEILING(((C15+IFERROR(INDEX(Products!$AK$5:$AK$304,8)*1,0))/(1-IFERROR(INDEX(ScenarioMargins,3),0)-IFERROR(INDEX(Products!$AI$5:$AI$304,8)*1,0))),1)-0.01),IF(RoundingRule="Nearest 0.95",MAX(0.95,CEILING(((C15+IFERROR(INDEX(Products!$AK$5:$AK$304,8)*1,0))/(1-IFERROR(INDEX(ScenarioMargins,3),0)-IFERROR(INDEX(Products!$AI$5:$AI$304,8)*1,0))),1)-0.05),IF(RoundingRule="Nearest 0.50",CEILING(((C15+IFERROR(INDEX(Products!$AK$5:$AK$304,8)*1,0))/(1-IFERROR(INDEX(ScenarioMargins,3),0)-IFERROR(INDEX(Products!$AI$5:$AI$304,8)*1,0))),0.5),IF(RoundingRule="Nearest 1",CEILING(((C15+IFERROR(INDEX(Products!$AK$5:$AK$304,8)*1,0))/(1-IFERROR(INDEX(ScenarioMargins,3),0)-IFERROR(INDEX(Products!$AI$5:$AI$304,8)*1,0))),1),IF(RoundingRule="Nearest 5",CEILING(((C15+IFERROR(INDEX(Products!$AK$5:$AK$304,8)*1,0))/(1-IFERROR(INDEX(ScenarioMargins,3),0)-IFERROR(INDEX(Products!$AI$5:$AI$304,8)*1,0))),5),IF(RoundingRule="Up to whole 1",CEILING(((C15+IFERROR(INDEX(Products!$AK$5:$AK$304,8)*1,0))/(1-IFERROR(INDEX(ScenarioMargins,3),0)-IFERROR(INDEX(Products!$AI$5:$AI$304,8)*1,0))),1),IF(RoundingRule="Up to whole 5",CEILING(((C15+IFERROR(INDEX(Products!$AK$5:$AK$304,8)*1,0))/(1-IFERROR(INDEX(ScenarioMargins,3),0)-IFERROR(INDEX(Products!$AI$5:$AI$304,8)*1,0))),5),ROUND(((C15+IFERROR(INDEX(Products!$AK$5:$AK$304,8)*1,0))/(1-IFERROR(INDEX(ScenarioMargins,3),0)-IFERROR(INDEX(Products!$AI$5:$AI$304,8)*1,0))),2))))))))),2)))</f>
        <v>0</v>
      </c>
      <c r="H15" s="20">
        <f>IF(C15="","",IF((1-IFERROR(INDEX(ScenarioMargins,4),0)-IFERROR(INDEX(Products!$AI$5:$AI$304,8)*1,0))&lt;=0,"",ROUND(IF(RoundingRule="None",((C15+IFERROR(INDEX(Products!$AK$5:$AK$304,8)*1,0))/(1-IFERROR(INDEX(ScenarioMargins,4),0)-IFERROR(INDEX(Products!$AI$5:$AI$304,8)*1,0))),IF(RoundingRule="Nearest 0.99",MAX(0.99,CEILING(((C15+IFERROR(INDEX(Products!$AK$5:$AK$304,8)*1,0))/(1-IFERROR(INDEX(ScenarioMargins,4),0)-IFERROR(INDEX(Products!$AI$5:$AI$304,8)*1,0))),1)-0.01),IF(RoundingRule="Nearest 0.95",MAX(0.95,CEILING(((C15+IFERROR(INDEX(Products!$AK$5:$AK$304,8)*1,0))/(1-IFERROR(INDEX(ScenarioMargins,4),0)-IFERROR(INDEX(Products!$AI$5:$AI$304,8)*1,0))),1)-0.05),IF(RoundingRule="Nearest 0.50",CEILING(((C15+IFERROR(INDEX(Products!$AK$5:$AK$304,8)*1,0))/(1-IFERROR(INDEX(ScenarioMargins,4),0)-IFERROR(INDEX(Products!$AI$5:$AI$304,8)*1,0))),0.5),IF(RoundingRule="Nearest 1",CEILING(((C15+IFERROR(INDEX(Products!$AK$5:$AK$304,8)*1,0))/(1-IFERROR(INDEX(ScenarioMargins,4),0)-IFERROR(INDEX(Products!$AI$5:$AI$304,8)*1,0))),1),IF(RoundingRule="Nearest 5",CEILING(((C15+IFERROR(INDEX(Products!$AK$5:$AK$304,8)*1,0))/(1-IFERROR(INDEX(ScenarioMargins,4),0)-IFERROR(INDEX(Products!$AI$5:$AI$304,8)*1,0))),5),IF(RoundingRule="Up to whole 1",CEILING(((C15+IFERROR(INDEX(Products!$AK$5:$AK$304,8)*1,0))/(1-IFERROR(INDEX(ScenarioMargins,4),0)-IFERROR(INDEX(Products!$AI$5:$AI$304,8)*1,0))),1),IF(RoundingRule="Up to whole 5",CEILING(((C15+IFERROR(INDEX(Products!$AK$5:$AK$304,8)*1,0))/(1-IFERROR(INDEX(ScenarioMargins,4),0)-IFERROR(INDEX(Products!$AI$5:$AI$304,8)*1,0))),5),ROUND(((C15+IFERROR(INDEX(Products!$AK$5:$AK$304,8)*1,0))/(1-IFERROR(INDEX(ScenarioMargins,4),0)-IFERROR(INDEX(Products!$AI$5:$AI$304,8)*1,0))),2))))))))),2)))</f>
        <v>0</v>
      </c>
      <c r="I15" s="20">
        <f>IF(C15="","",IF((1-IFERROR(INDEX(ScenarioMargins,5),0)-IFERROR(INDEX(Products!$AI$5:$AI$304,8)*1,0))&lt;=0,"",ROUND(IF(RoundingRule="None",((C15+IFERROR(INDEX(Products!$AK$5:$AK$304,8)*1,0))/(1-IFERROR(INDEX(ScenarioMargins,5),0)-IFERROR(INDEX(Products!$AI$5:$AI$304,8)*1,0))),IF(RoundingRule="Nearest 0.99",MAX(0.99,CEILING(((C15+IFERROR(INDEX(Products!$AK$5:$AK$304,8)*1,0))/(1-IFERROR(INDEX(ScenarioMargins,5),0)-IFERROR(INDEX(Products!$AI$5:$AI$304,8)*1,0))),1)-0.01),IF(RoundingRule="Nearest 0.95",MAX(0.95,CEILING(((C15+IFERROR(INDEX(Products!$AK$5:$AK$304,8)*1,0))/(1-IFERROR(INDEX(ScenarioMargins,5),0)-IFERROR(INDEX(Products!$AI$5:$AI$304,8)*1,0))),1)-0.05),IF(RoundingRule="Nearest 0.50",CEILING(((C15+IFERROR(INDEX(Products!$AK$5:$AK$304,8)*1,0))/(1-IFERROR(INDEX(ScenarioMargins,5),0)-IFERROR(INDEX(Products!$AI$5:$AI$304,8)*1,0))),0.5),IF(RoundingRule="Nearest 1",CEILING(((C15+IFERROR(INDEX(Products!$AK$5:$AK$304,8)*1,0))/(1-IFERROR(INDEX(ScenarioMargins,5),0)-IFERROR(INDEX(Products!$AI$5:$AI$304,8)*1,0))),1),IF(RoundingRule="Nearest 5",CEILING(((C15+IFERROR(INDEX(Products!$AK$5:$AK$304,8)*1,0))/(1-IFERROR(INDEX(ScenarioMargins,5),0)-IFERROR(INDEX(Products!$AI$5:$AI$304,8)*1,0))),5),IF(RoundingRule="Up to whole 1",CEILING(((C15+IFERROR(INDEX(Products!$AK$5:$AK$304,8)*1,0))/(1-IFERROR(INDEX(ScenarioMargins,5),0)-IFERROR(INDEX(Products!$AI$5:$AI$304,8)*1,0))),1),IF(RoundingRule="Up to whole 5",CEILING(((C15+IFERROR(INDEX(Products!$AK$5:$AK$304,8)*1,0))/(1-IFERROR(INDEX(ScenarioMargins,5),0)-IFERROR(INDEX(Products!$AI$5:$AI$304,8)*1,0))),5),ROUND(((C15+IFERROR(INDEX(Products!$AK$5:$AK$304,8)*1,0))/(1-IFERROR(INDEX(ScenarioMargins,5),0)-IFERROR(INDEX(Products!$AI$5:$AI$304,8)*1,0))),2))))))))),2)))</f>
        <v>0</v>
      </c>
      <c r="J15" s="13">
        <f>IF(D15="","",IF(D15&lt;E15,"Below the lowest",IF(D15&lt;F15,"Budget",IF(D15&lt;G15,"Conservative",IF(D15&lt;H15,"Standard",IF(D15&lt;I15,"Premium","Luxury"))))))</f>
        <v>0</v>
      </c>
    </row>
    <row r="16" spans="1:12">
      <c r="B16" s="13">
        <f>IFERROR(INDEX(Products!$B$5:$B$304,9)&amp;"","")</f>
        <v>0</v>
      </c>
      <c r="C16" s="20">
        <f>IF(IFERROR(INDEX(Products!$B$5:$B$304,9)&amp;"","")="","",IFERROR(INDEX(Products!$AT$5:$AT$304,9),""))</f>
        <v>0</v>
      </c>
      <c r="D16" s="20">
        <f>IF(IFERROR(INDEX(Products!$B$5:$B$304,9)&amp;"","")="","",IFERROR(INDEX(Products!$AR$5:$AR$304,9),""))</f>
        <v>0</v>
      </c>
      <c r="E16" s="20">
        <f>IF(C16="","",IF((1-IFERROR(INDEX(ScenarioMargins,1),0)-IFERROR(INDEX(Products!$AI$5:$AI$304,9)*1,0))&lt;=0,"",ROUND(IF(RoundingRule="None",((C16+IFERROR(INDEX(Products!$AK$5:$AK$304,9)*1,0))/(1-IFERROR(INDEX(ScenarioMargins,1),0)-IFERROR(INDEX(Products!$AI$5:$AI$304,9)*1,0))),IF(RoundingRule="Nearest 0.99",MAX(0.99,CEILING(((C16+IFERROR(INDEX(Products!$AK$5:$AK$304,9)*1,0))/(1-IFERROR(INDEX(ScenarioMargins,1),0)-IFERROR(INDEX(Products!$AI$5:$AI$304,9)*1,0))),1)-0.01),IF(RoundingRule="Nearest 0.95",MAX(0.95,CEILING(((C16+IFERROR(INDEX(Products!$AK$5:$AK$304,9)*1,0))/(1-IFERROR(INDEX(ScenarioMargins,1),0)-IFERROR(INDEX(Products!$AI$5:$AI$304,9)*1,0))),1)-0.05),IF(RoundingRule="Nearest 0.50",CEILING(((C16+IFERROR(INDEX(Products!$AK$5:$AK$304,9)*1,0))/(1-IFERROR(INDEX(ScenarioMargins,1),0)-IFERROR(INDEX(Products!$AI$5:$AI$304,9)*1,0))),0.5),IF(RoundingRule="Nearest 1",CEILING(((C16+IFERROR(INDEX(Products!$AK$5:$AK$304,9)*1,0))/(1-IFERROR(INDEX(ScenarioMargins,1),0)-IFERROR(INDEX(Products!$AI$5:$AI$304,9)*1,0))),1),IF(RoundingRule="Nearest 5",CEILING(((C16+IFERROR(INDEX(Products!$AK$5:$AK$304,9)*1,0))/(1-IFERROR(INDEX(ScenarioMargins,1),0)-IFERROR(INDEX(Products!$AI$5:$AI$304,9)*1,0))),5),IF(RoundingRule="Up to whole 1",CEILING(((C16+IFERROR(INDEX(Products!$AK$5:$AK$304,9)*1,0))/(1-IFERROR(INDEX(ScenarioMargins,1),0)-IFERROR(INDEX(Products!$AI$5:$AI$304,9)*1,0))),1),IF(RoundingRule="Up to whole 5",CEILING(((C16+IFERROR(INDEX(Products!$AK$5:$AK$304,9)*1,0))/(1-IFERROR(INDEX(ScenarioMargins,1),0)-IFERROR(INDEX(Products!$AI$5:$AI$304,9)*1,0))),5),ROUND(((C16+IFERROR(INDEX(Products!$AK$5:$AK$304,9)*1,0))/(1-IFERROR(INDEX(ScenarioMargins,1),0)-IFERROR(INDEX(Products!$AI$5:$AI$304,9)*1,0))),2))))))))),2)))</f>
        <v>0</v>
      </c>
      <c r="F16" s="20">
        <f>IF(C16="","",IF((1-IFERROR(INDEX(ScenarioMargins,2),0)-IFERROR(INDEX(Products!$AI$5:$AI$304,9)*1,0))&lt;=0,"",ROUND(IF(RoundingRule="None",((C16+IFERROR(INDEX(Products!$AK$5:$AK$304,9)*1,0))/(1-IFERROR(INDEX(ScenarioMargins,2),0)-IFERROR(INDEX(Products!$AI$5:$AI$304,9)*1,0))),IF(RoundingRule="Nearest 0.99",MAX(0.99,CEILING(((C16+IFERROR(INDEX(Products!$AK$5:$AK$304,9)*1,0))/(1-IFERROR(INDEX(ScenarioMargins,2),0)-IFERROR(INDEX(Products!$AI$5:$AI$304,9)*1,0))),1)-0.01),IF(RoundingRule="Nearest 0.95",MAX(0.95,CEILING(((C16+IFERROR(INDEX(Products!$AK$5:$AK$304,9)*1,0))/(1-IFERROR(INDEX(ScenarioMargins,2),0)-IFERROR(INDEX(Products!$AI$5:$AI$304,9)*1,0))),1)-0.05),IF(RoundingRule="Nearest 0.50",CEILING(((C16+IFERROR(INDEX(Products!$AK$5:$AK$304,9)*1,0))/(1-IFERROR(INDEX(ScenarioMargins,2),0)-IFERROR(INDEX(Products!$AI$5:$AI$304,9)*1,0))),0.5),IF(RoundingRule="Nearest 1",CEILING(((C16+IFERROR(INDEX(Products!$AK$5:$AK$304,9)*1,0))/(1-IFERROR(INDEX(ScenarioMargins,2),0)-IFERROR(INDEX(Products!$AI$5:$AI$304,9)*1,0))),1),IF(RoundingRule="Nearest 5",CEILING(((C16+IFERROR(INDEX(Products!$AK$5:$AK$304,9)*1,0))/(1-IFERROR(INDEX(ScenarioMargins,2),0)-IFERROR(INDEX(Products!$AI$5:$AI$304,9)*1,0))),5),IF(RoundingRule="Up to whole 1",CEILING(((C16+IFERROR(INDEX(Products!$AK$5:$AK$304,9)*1,0))/(1-IFERROR(INDEX(ScenarioMargins,2),0)-IFERROR(INDEX(Products!$AI$5:$AI$304,9)*1,0))),1),IF(RoundingRule="Up to whole 5",CEILING(((C16+IFERROR(INDEX(Products!$AK$5:$AK$304,9)*1,0))/(1-IFERROR(INDEX(ScenarioMargins,2),0)-IFERROR(INDEX(Products!$AI$5:$AI$304,9)*1,0))),5),ROUND(((C16+IFERROR(INDEX(Products!$AK$5:$AK$304,9)*1,0))/(1-IFERROR(INDEX(ScenarioMargins,2),0)-IFERROR(INDEX(Products!$AI$5:$AI$304,9)*1,0))),2))))))))),2)))</f>
        <v>0</v>
      </c>
      <c r="G16" s="20">
        <f>IF(C16="","",IF((1-IFERROR(INDEX(ScenarioMargins,3),0)-IFERROR(INDEX(Products!$AI$5:$AI$304,9)*1,0))&lt;=0,"",ROUND(IF(RoundingRule="None",((C16+IFERROR(INDEX(Products!$AK$5:$AK$304,9)*1,0))/(1-IFERROR(INDEX(ScenarioMargins,3),0)-IFERROR(INDEX(Products!$AI$5:$AI$304,9)*1,0))),IF(RoundingRule="Nearest 0.99",MAX(0.99,CEILING(((C16+IFERROR(INDEX(Products!$AK$5:$AK$304,9)*1,0))/(1-IFERROR(INDEX(ScenarioMargins,3),0)-IFERROR(INDEX(Products!$AI$5:$AI$304,9)*1,0))),1)-0.01),IF(RoundingRule="Nearest 0.95",MAX(0.95,CEILING(((C16+IFERROR(INDEX(Products!$AK$5:$AK$304,9)*1,0))/(1-IFERROR(INDEX(ScenarioMargins,3),0)-IFERROR(INDEX(Products!$AI$5:$AI$304,9)*1,0))),1)-0.05),IF(RoundingRule="Nearest 0.50",CEILING(((C16+IFERROR(INDEX(Products!$AK$5:$AK$304,9)*1,0))/(1-IFERROR(INDEX(ScenarioMargins,3),0)-IFERROR(INDEX(Products!$AI$5:$AI$304,9)*1,0))),0.5),IF(RoundingRule="Nearest 1",CEILING(((C16+IFERROR(INDEX(Products!$AK$5:$AK$304,9)*1,0))/(1-IFERROR(INDEX(ScenarioMargins,3),0)-IFERROR(INDEX(Products!$AI$5:$AI$304,9)*1,0))),1),IF(RoundingRule="Nearest 5",CEILING(((C16+IFERROR(INDEX(Products!$AK$5:$AK$304,9)*1,0))/(1-IFERROR(INDEX(ScenarioMargins,3),0)-IFERROR(INDEX(Products!$AI$5:$AI$304,9)*1,0))),5),IF(RoundingRule="Up to whole 1",CEILING(((C16+IFERROR(INDEX(Products!$AK$5:$AK$304,9)*1,0))/(1-IFERROR(INDEX(ScenarioMargins,3),0)-IFERROR(INDEX(Products!$AI$5:$AI$304,9)*1,0))),1),IF(RoundingRule="Up to whole 5",CEILING(((C16+IFERROR(INDEX(Products!$AK$5:$AK$304,9)*1,0))/(1-IFERROR(INDEX(ScenarioMargins,3),0)-IFERROR(INDEX(Products!$AI$5:$AI$304,9)*1,0))),5),ROUND(((C16+IFERROR(INDEX(Products!$AK$5:$AK$304,9)*1,0))/(1-IFERROR(INDEX(ScenarioMargins,3),0)-IFERROR(INDEX(Products!$AI$5:$AI$304,9)*1,0))),2))))))))),2)))</f>
        <v>0</v>
      </c>
      <c r="H16" s="20">
        <f>IF(C16="","",IF((1-IFERROR(INDEX(ScenarioMargins,4),0)-IFERROR(INDEX(Products!$AI$5:$AI$304,9)*1,0))&lt;=0,"",ROUND(IF(RoundingRule="None",((C16+IFERROR(INDEX(Products!$AK$5:$AK$304,9)*1,0))/(1-IFERROR(INDEX(ScenarioMargins,4),0)-IFERROR(INDEX(Products!$AI$5:$AI$304,9)*1,0))),IF(RoundingRule="Nearest 0.99",MAX(0.99,CEILING(((C16+IFERROR(INDEX(Products!$AK$5:$AK$304,9)*1,0))/(1-IFERROR(INDEX(ScenarioMargins,4),0)-IFERROR(INDEX(Products!$AI$5:$AI$304,9)*1,0))),1)-0.01),IF(RoundingRule="Nearest 0.95",MAX(0.95,CEILING(((C16+IFERROR(INDEX(Products!$AK$5:$AK$304,9)*1,0))/(1-IFERROR(INDEX(ScenarioMargins,4),0)-IFERROR(INDEX(Products!$AI$5:$AI$304,9)*1,0))),1)-0.05),IF(RoundingRule="Nearest 0.50",CEILING(((C16+IFERROR(INDEX(Products!$AK$5:$AK$304,9)*1,0))/(1-IFERROR(INDEX(ScenarioMargins,4),0)-IFERROR(INDEX(Products!$AI$5:$AI$304,9)*1,0))),0.5),IF(RoundingRule="Nearest 1",CEILING(((C16+IFERROR(INDEX(Products!$AK$5:$AK$304,9)*1,0))/(1-IFERROR(INDEX(ScenarioMargins,4),0)-IFERROR(INDEX(Products!$AI$5:$AI$304,9)*1,0))),1),IF(RoundingRule="Nearest 5",CEILING(((C16+IFERROR(INDEX(Products!$AK$5:$AK$304,9)*1,0))/(1-IFERROR(INDEX(ScenarioMargins,4),0)-IFERROR(INDEX(Products!$AI$5:$AI$304,9)*1,0))),5),IF(RoundingRule="Up to whole 1",CEILING(((C16+IFERROR(INDEX(Products!$AK$5:$AK$304,9)*1,0))/(1-IFERROR(INDEX(ScenarioMargins,4),0)-IFERROR(INDEX(Products!$AI$5:$AI$304,9)*1,0))),1),IF(RoundingRule="Up to whole 5",CEILING(((C16+IFERROR(INDEX(Products!$AK$5:$AK$304,9)*1,0))/(1-IFERROR(INDEX(ScenarioMargins,4),0)-IFERROR(INDEX(Products!$AI$5:$AI$304,9)*1,0))),5),ROUND(((C16+IFERROR(INDEX(Products!$AK$5:$AK$304,9)*1,0))/(1-IFERROR(INDEX(ScenarioMargins,4),0)-IFERROR(INDEX(Products!$AI$5:$AI$304,9)*1,0))),2))))))))),2)))</f>
        <v>0</v>
      </c>
      <c r="I16" s="20">
        <f>IF(C16="","",IF((1-IFERROR(INDEX(ScenarioMargins,5),0)-IFERROR(INDEX(Products!$AI$5:$AI$304,9)*1,0))&lt;=0,"",ROUND(IF(RoundingRule="None",((C16+IFERROR(INDEX(Products!$AK$5:$AK$304,9)*1,0))/(1-IFERROR(INDEX(ScenarioMargins,5),0)-IFERROR(INDEX(Products!$AI$5:$AI$304,9)*1,0))),IF(RoundingRule="Nearest 0.99",MAX(0.99,CEILING(((C16+IFERROR(INDEX(Products!$AK$5:$AK$304,9)*1,0))/(1-IFERROR(INDEX(ScenarioMargins,5),0)-IFERROR(INDEX(Products!$AI$5:$AI$304,9)*1,0))),1)-0.01),IF(RoundingRule="Nearest 0.95",MAX(0.95,CEILING(((C16+IFERROR(INDEX(Products!$AK$5:$AK$304,9)*1,0))/(1-IFERROR(INDEX(ScenarioMargins,5),0)-IFERROR(INDEX(Products!$AI$5:$AI$304,9)*1,0))),1)-0.05),IF(RoundingRule="Nearest 0.50",CEILING(((C16+IFERROR(INDEX(Products!$AK$5:$AK$304,9)*1,0))/(1-IFERROR(INDEX(ScenarioMargins,5),0)-IFERROR(INDEX(Products!$AI$5:$AI$304,9)*1,0))),0.5),IF(RoundingRule="Nearest 1",CEILING(((C16+IFERROR(INDEX(Products!$AK$5:$AK$304,9)*1,0))/(1-IFERROR(INDEX(ScenarioMargins,5),0)-IFERROR(INDEX(Products!$AI$5:$AI$304,9)*1,0))),1),IF(RoundingRule="Nearest 5",CEILING(((C16+IFERROR(INDEX(Products!$AK$5:$AK$304,9)*1,0))/(1-IFERROR(INDEX(ScenarioMargins,5),0)-IFERROR(INDEX(Products!$AI$5:$AI$304,9)*1,0))),5),IF(RoundingRule="Up to whole 1",CEILING(((C16+IFERROR(INDEX(Products!$AK$5:$AK$304,9)*1,0))/(1-IFERROR(INDEX(ScenarioMargins,5),0)-IFERROR(INDEX(Products!$AI$5:$AI$304,9)*1,0))),1),IF(RoundingRule="Up to whole 5",CEILING(((C16+IFERROR(INDEX(Products!$AK$5:$AK$304,9)*1,0))/(1-IFERROR(INDEX(ScenarioMargins,5),0)-IFERROR(INDEX(Products!$AI$5:$AI$304,9)*1,0))),5),ROUND(((C16+IFERROR(INDEX(Products!$AK$5:$AK$304,9)*1,0))/(1-IFERROR(INDEX(ScenarioMargins,5),0)-IFERROR(INDEX(Products!$AI$5:$AI$304,9)*1,0))),2))))))))),2)))</f>
        <v>0</v>
      </c>
      <c r="J16" s="13">
        <f>IF(D16="","",IF(D16&lt;E16,"Below the lowest",IF(D16&lt;F16,"Budget",IF(D16&lt;G16,"Conservative",IF(D16&lt;H16,"Standard",IF(D16&lt;I16,"Premium","Luxury"))))))</f>
        <v>0</v>
      </c>
    </row>
    <row r="17" spans="1:12">
      <c r="B17" s="13">
        <f>IFERROR(INDEX(Products!$B$5:$B$304,10)&amp;"","")</f>
        <v>0</v>
      </c>
      <c r="C17" s="20">
        <f>IF(IFERROR(INDEX(Products!$B$5:$B$304,10)&amp;"","")="","",IFERROR(INDEX(Products!$AT$5:$AT$304,10),""))</f>
        <v>0</v>
      </c>
      <c r="D17" s="20">
        <f>IF(IFERROR(INDEX(Products!$B$5:$B$304,10)&amp;"","")="","",IFERROR(INDEX(Products!$AR$5:$AR$304,10),""))</f>
        <v>0</v>
      </c>
      <c r="E17" s="20">
        <f>IF(C17="","",IF((1-IFERROR(INDEX(ScenarioMargins,1),0)-IFERROR(INDEX(Products!$AI$5:$AI$304,10)*1,0))&lt;=0,"",ROUND(IF(RoundingRule="None",((C17+IFERROR(INDEX(Products!$AK$5:$AK$304,10)*1,0))/(1-IFERROR(INDEX(ScenarioMargins,1),0)-IFERROR(INDEX(Products!$AI$5:$AI$304,10)*1,0))),IF(RoundingRule="Nearest 0.99",MAX(0.99,CEILING(((C17+IFERROR(INDEX(Products!$AK$5:$AK$304,10)*1,0))/(1-IFERROR(INDEX(ScenarioMargins,1),0)-IFERROR(INDEX(Products!$AI$5:$AI$304,10)*1,0))),1)-0.01),IF(RoundingRule="Nearest 0.95",MAX(0.95,CEILING(((C17+IFERROR(INDEX(Products!$AK$5:$AK$304,10)*1,0))/(1-IFERROR(INDEX(ScenarioMargins,1),0)-IFERROR(INDEX(Products!$AI$5:$AI$304,10)*1,0))),1)-0.05),IF(RoundingRule="Nearest 0.50",CEILING(((C17+IFERROR(INDEX(Products!$AK$5:$AK$304,10)*1,0))/(1-IFERROR(INDEX(ScenarioMargins,1),0)-IFERROR(INDEX(Products!$AI$5:$AI$304,10)*1,0))),0.5),IF(RoundingRule="Nearest 1",CEILING(((C17+IFERROR(INDEX(Products!$AK$5:$AK$304,10)*1,0))/(1-IFERROR(INDEX(ScenarioMargins,1),0)-IFERROR(INDEX(Products!$AI$5:$AI$304,10)*1,0))),1),IF(RoundingRule="Nearest 5",CEILING(((C17+IFERROR(INDEX(Products!$AK$5:$AK$304,10)*1,0))/(1-IFERROR(INDEX(ScenarioMargins,1),0)-IFERROR(INDEX(Products!$AI$5:$AI$304,10)*1,0))),5),IF(RoundingRule="Up to whole 1",CEILING(((C17+IFERROR(INDEX(Products!$AK$5:$AK$304,10)*1,0))/(1-IFERROR(INDEX(ScenarioMargins,1),0)-IFERROR(INDEX(Products!$AI$5:$AI$304,10)*1,0))),1),IF(RoundingRule="Up to whole 5",CEILING(((C17+IFERROR(INDEX(Products!$AK$5:$AK$304,10)*1,0))/(1-IFERROR(INDEX(ScenarioMargins,1),0)-IFERROR(INDEX(Products!$AI$5:$AI$304,10)*1,0))),5),ROUND(((C17+IFERROR(INDEX(Products!$AK$5:$AK$304,10)*1,0))/(1-IFERROR(INDEX(ScenarioMargins,1),0)-IFERROR(INDEX(Products!$AI$5:$AI$304,10)*1,0))),2))))))))),2)))</f>
        <v>0</v>
      </c>
      <c r="F17" s="20">
        <f>IF(C17="","",IF((1-IFERROR(INDEX(ScenarioMargins,2),0)-IFERROR(INDEX(Products!$AI$5:$AI$304,10)*1,0))&lt;=0,"",ROUND(IF(RoundingRule="None",((C17+IFERROR(INDEX(Products!$AK$5:$AK$304,10)*1,0))/(1-IFERROR(INDEX(ScenarioMargins,2),0)-IFERROR(INDEX(Products!$AI$5:$AI$304,10)*1,0))),IF(RoundingRule="Nearest 0.99",MAX(0.99,CEILING(((C17+IFERROR(INDEX(Products!$AK$5:$AK$304,10)*1,0))/(1-IFERROR(INDEX(ScenarioMargins,2),0)-IFERROR(INDEX(Products!$AI$5:$AI$304,10)*1,0))),1)-0.01),IF(RoundingRule="Nearest 0.95",MAX(0.95,CEILING(((C17+IFERROR(INDEX(Products!$AK$5:$AK$304,10)*1,0))/(1-IFERROR(INDEX(ScenarioMargins,2),0)-IFERROR(INDEX(Products!$AI$5:$AI$304,10)*1,0))),1)-0.05),IF(RoundingRule="Nearest 0.50",CEILING(((C17+IFERROR(INDEX(Products!$AK$5:$AK$304,10)*1,0))/(1-IFERROR(INDEX(ScenarioMargins,2),0)-IFERROR(INDEX(Products!$AI$5:$AI$304,10)*1,0))),0.5),IF(RoundingRule="Nearest 1",CEILING(((C17+IFERROR(INDEX(Products!$AK$5:$AK$304,10)*1,0))/(1-IFERROR(INDEX(ScenarioMargins,2),0)-IFERROR(INDEX(Products!$AI$5:$AI$304,10)*1,0))),1),IF(RoundingRule="Nearest 5",CEILING(((C17+IFERROR(INDEX(Products!$AK$5:$AK$304,10)*1,0))/(1-IFERROR(INDEX(ScenarioMargins,2),0)-IFERROR(INDEX(Products!$AI$5:$AI$304,10)*1,0))),5),IF(RoundingRule="Up to whole 1",CEILING(((C17+IFERROR(INDEX(Products!$AK$5:$AK$304,10)*1,0))/(1-IFERROR(INDEX(ScenarioMargins,2),0)-IFERROR(INDEX(Products!$AI$5:$AI$304,10)*1,0))),1),IF(RoundingRule="Up to whole 5",CEILING(((C17+IFERROR(INDEX(Products!$AK$5:$AK$304,10)*1,0))/(1-IFERROR(INDEX(ScenarioMargins,2),0)-IFERROR(INDEX(Products!$AI$5:$AI$304,10)*1,0))),5),ROUND(((C17+IFERROR(INDEX(Products!$AK$5:$AK$304,10)*1,0))/(1-IFERROR(INDEX(ScenarioMargins,2),0)-IFERROR(INDEX(Products!$AI$5:$AI$304,10)*1,0))),2))))))))),2)))</f>
        <v>0</v>
      </c>
      <c r="G17" s="20">
        <f>IF(C17="","",IF((1-IFERROR(INDEX(ScenarioMargins,3),0)-IFERROR(INDEX(Products!$AI$5:$AI$304,10)*1,0))&lt;=0,"",ROUND(IF(RoundingRule="None",((C17+IFERROR(INDEX(Products!$AK$5:$AK$304,10)*1,0))/(1-IFERROR(INDEX(ScenarioMargins,3),0)-IFERROR(INDEX(Products!$AI$5:$AI$304,10)*1,0))),IF(RoundingRule="Nearest 0.99",MAX(0.99,CEILING(((C17+IFERROR(INDEX(Products!$AK$5:$AK$304,10)*1,0))/(1-IFERROR(INDEX(ScenarioMargins,3),0)-IFERROR(INDEX(Products!$AI$5:$AI$304,10)*1,0))),1)-0.01),IF(RoundingRule="Nearest 0.95",MAX(0.95,CEILING(((C17+IFERROR(INDEX(Products!$AK$5:$AK$304,10)*1,0))/(1-IFERROR(INDEX(ScenarioMargins,3),0)-IFERROR(INDEX(Products!$AI$5:$AI$304,10)*1,0))),1)-0.05),IF(RoundingRule="Nearest 0.50",CEILING(((C17+IFERROR(INDEX(Products!$AK$5:$AK$304,10)*1,0))/(1-IFERROR(INDEX(ScenarioMargins,3),0)-IFERROR(INDEX(Products!$AI$5:$AI$304,10)*1,0))),0.5),IF(RoundingRule="Nearest 1",CEILING(((C17+IFERROR(INDEX(Products!$AK$5:$AK$304,10)*1,0))/(1-IFERROR(INDEX(ScenarioMargins,3),0)-IFERROR(INDEX(Products!$AI$5:$AI$304,10)*1,0))),1),IF(RoundingRule="Nearest 5",CEILING(((C17+IFERROR(INDEX(Products!$AK$5:$AK$304,10)*1,0))/(1-IFERROR(INDEX(ScenarioMargins,3),0)-IFERROR(INDEX(Products!$AI$5:$AI$304,10)*1,0))),5),IF(RoundingRule="Up to whole 1",CEILING(((C17+IFERROR(INDEX(Products!$AK$5:$AK$304,10)*1,0))/(1-IFERROR(INDEX(ScenarioMargins,3),0)-IFERROR(INDEX(Products!$AI$5:$AI$304,10)*1,0))),1),IF(RoundingRule="Up to whole 5",CEILING(((C17+IFERROR(INDEX(Products!$AK$5:$AK$304,10)*1,0))/(1-IFERROR(INDEX(ScenarioMargins,3),0)-IFERROR(INDEX(Products!$AI$5:$AI$304,10)*1,0))),5),ROUND(((C17+IFERROR(INDEX(Products!$AK$5:$AK$304,10)*1,0))/(1-IFERROR(INDEX(ScenarioMargins,3),0)-IFERROR(INDEX(Products!$AI$5:$AI$304,10)*1,0))),2))))))))),2)))</f>
        <v>0</v>
      </c>
      <c r="H17" s="20">
        <f>IF(C17="","",IF((1-IFERROR(INDEX(ScenarioMargins,4),0)-IFERROR(INDEX(Products!$AI$5:$AI$304,10)*1,0))&lt;=0,"",ROUND(IF(RoundingRule="None",((C17+IFERROR(INDEX(Products!$AK$5:$AK$304,10)*1,0))/(1-IFERROR(INDEX(ScenarioMargins,4),0)-IFERROR(INDEX(Products!$AI$5:$AI$304,10)*1,0))),IF(RoundingRule="Nearest 0.99",MAX(0.99,CEILING(((C17+IFERROR(INDEX(Products!$AK$5:$AK$304,10)*1,0))/(1-IFERROR(INDEX(ScenarioMargins,4),0)-IFERROR(INDEX(Products!$AI$5:$AI$304,10)*1,0))),1)-0.01),IF(RoundingRule="Nearest 0.95",MAX(0.95,CEILING(((C17+IFERROR(INDEX(Products!$AK$5:$AK$304,10)*1,0))/(1-IFERROR(INDEX(ScenarioMargins,4),0)-IFERROR(INDEX(Products!$AI$5:$AI$304,10)*1,0))),1)-0.05),IF(RoundingRule="Nearest 0.50",CEILING(((C17+IFERROR(INDEX(Products!$AK$5:$AK$304,10)*1,0))/(1-IFERROR(INDEX(ScenarioMargins,4),0)-IFERROR(INDEX(Products!$AI$5:$AI$304,10)*1,0))),0.5),IF(RoundingRule="Nearest 1",CEILING(((C17+IFERROR(INDEX(Products!$AK$5:$AK$304,10)*1,0))/(1-IFERROR(INDEX(ScenarioMargins,4),0)-IFERROR(INDEX(Products!$AI$5:$AI$304,10)*1,0))),1),IF(RoundingRule="Nearest 5",CEILING(((C17+IFERROR(INDEX(Products!$AK$5:$AK$304,10)*1,0))/(1-IFERROR(INDEX(ScenarioMargins,4),0)-IFERROR(INDEX(Products!$AI$5:$AI$304,10)*1,0))),5),IF(RoundingRule="Up to whole 1",CEILING(((C17+IFERROR(INDEX(Products!$AK$5:$AK$304,10)*1,0))/(1-IFERROR(INDEX(ScenarioMargins,4),0)-IFERROR(INDEX(Products!$AI$5:$AI$304,10)*1,0))),1),IF(RoundingRule="Up to whole 5",CEILING(((C17+IFERROR(INDEX(Products!$AK$5:$AK$304,10)*1,0))/(1-IFERROR(INDEX(ScenarioMargins,4),0)-IFERROR(INDEX(Products!$AI$5:$AI$304,10)*1,0))),5),ROUND(((C17+IFERROR(INDEX(Products!$AK$5:$AK$304,10)*1,0))/(1-IFERROR(INDEX(ScenarioMargins,4),0)-IFERROR(INDEX(Products!$AI$5:$AI$304,10)*1,0))),2))))))))),2)))</f>
        <v>0</v>
      </c>
      <c r="I17" s="20">
        <f>IF(C17="","",IF((1-IFERROR(INDEX(ScenarioMargins,5),0)-IFERROR(INDEX(Products!$AI$5:$AI$304,10)*1,0))&lt;=0,"",ROUND(IF(RoundingRule="None",((C17+IFERROR(INDEX(Products!$AK$5:$AK$304,10)*1,0))/(1-IFERROR(INDEX(ScenarioMargins,5),0)-IFERROR(INDEX(Products!$AI$5:$AI$304,10)*1,0))),IF(RoundingRule="Nearest 0.99",MAX(0.99,CEILING(((C17+IFERROR(INDEX(Products!$AK$5:$AK$304,10)*1,0))/(1-IFERROR(INDEX(ScenarioMargins,5),0)-IFERROR(INDEX(Products!$AI$5:$AI$304,10)*1,0))),1)-0.01),IF(RoundingRule="Nearest 0.95",MAX(0.95,CEILING(((C17+IFERROR(INDEX(Products!$AK$5:$AK$304,10)*1,0))/(1-IFERROR(INDEX(ScenarioMargins,5),0)-IFERROR(INDEX(Products!$AI$5:$AI$304,10)*1,0))),1)-0.05),IF(RoundingRule="Nearest 0.50",CEILING(((C17+IFERROR(INDEX(Products!$AK$5:$AK$304,10)*1,0))/(1-IFERROR(INDEX(ScenarioMargins,5),0)-IFERROR(INDEX(Products!$AI$5:$AI$304,10)*1,0))),0.5),IF(RoundingRule="Nearest 1",CEILING(((C17+IFERROR(INDEX(Products!$AK$5:$AK$304,10)*1,0))/(1-IFERROR(INDEX(ScenarioMargins,5),0)-IFERROR(INDEX(Products!$AI$5:$AI$304,10)*1,0))),1),IF(RoundingRule="Nearest 5",CEILING(((C17+IFERROR(INDEX(Products!$AK$5:$AK$304,10)*1,0))/(1-IFERROR(INDEX(ScenarioMargins,5),0)-IFERROR(INDEX(Products!$AI$5:$AI$304,10)*1,0))),5),IF(RoundingRule="Up to whole 1",CEILING(((C17+IFERROR(INDEX(Products!$AK$5:$AK$304,10)*1,0))/(1-IFERROR(INDEX(ScenarioMargins,5),0)-IFERROR(INDEX(Products!$AI$5:$AI$304,10)*1,0))),1),IF(RoundingRule="Up to whole 5",CEILING(((C17+IFERROR(INDEX(Products!$AK$5:$AK$304,10)*1,0))/(1-IFERROR(INDEX(ScenarioMargins,5),0)-IFERROR(INDEX(Products!$AI$5:$AI$304,10)*1,0))),5),ROUND(((C17+IFERROR(INDEX(Products!$AK$5:$AK$304,10)*1,0))/(1-IFERROR(INDEX(ScenarioMargins,5),0)-IFERROR(INDEX(Products!$AI$5:$AI$304,10)*1,0))),2))))))))),2)))</f>
        <v>0</v>
      </c>
      <c r="J17" s="13">
        <f>IF(D17="","",IF(D17&lt;E17,"Below the lowest",IF(D17&lt;F17,"Budget",IF(D17&lt;G17,"Conservative",IF(D17&lt;H17,"Standard",IF(D17&lt;I17,"Premium","Luxury"))))))</f>
        <v>0</v>
      </c>
    </row>
    <row r="18" spans="1:12">
      <c r="B18" s="13">
        <f>IFERROR(INDEX(Products!$B$5:$B$304,11)&amp;"","")</f>
        <v>0</v>
      </c>
      <c r="C18" s="20">
        <f>IF(IFERROR(INDEX(Products!$B$5:$B$304,11)&amp;"","")="","",IFERROR(INDEX(Products!$AT$5:$AT$304,11),""))</f>
        <v>0</v>
      </c>
      <c r="D18" s="20">
        <f>IF(IFERROR(INDEX(Products!$B$5:$B$304,11)&amp;"","")="","",IFERROR(INDEX(Products!$AR$5:$AR$304,11),""))</f>
        <v>0</v>
      </c>
      <c r="E18" s="20">
        <f>IF(C18="","",IF((1-IFERROR(INDEX(ScenarioMargins,1),0)-IFERROR(INDEX(Products!$AI$5:$AI$304,11)*1,0))&lt;=0,"",ROUND(IF(RoundingRule="None",((C18+IFERROR(INDEX(Products!$AK$5:$AK$304,11)*1,0))/(1-IFERROR(INDEX(ScenarioMargins,1),0)-IFERROR(INDEX(Products!$AI$5:$AI$304,11)*1,0))),IF(RoundingRule="Nearest 0.99",MAX(0.99,CEILING(((C18+IFERROR(INDEX(Products!$AK$5:$AK$304,11)*1,0))/(1-IFERROR(INDEX(ScenarioMargins,1),0)-IFERROR(INDEX(Products!$AI$5:$AI$304,11)*1,0))),1)-0.01),IF(RoundingRule="Nearest 0.95",MAX(0.95,CEILING(((C18+IFERROR(INDEX(Products!$AK$5:$AK$304,11)*1,0))/(1-IFERROR(INDEX(ScenarioMargins,1),0)-IFERROR(INDEX(Products!$AI$5:$AI$304,11)*1,0))),1)-0.05),IF(RoundingRule="Nearest 0.50",CEILING(((C18+IFERROR(INDEX(Products!$AK$5:$AK$304,11)*1,0))/(1-IFERROR(INDEX(ScenarioMargins,1),0)-IFERROR(INDEX(Products!$AI$5:$AI$304,11)*1,0))),0.5),IF(RoundingRule="Nearest 1",CEILING(((C18+IFERROR(INDEX(Products!$AK$5:$AK$304,11)*1,0))/(1-IFERROR(INDEX(ScenarioMargins,1),0)-IFERROR(INDEX(Products!$AI$5:$AI$304,11)*1,0))),1),IF(RoundingRule="Nearest 5",CEILING(((C18+IFERROR(INDEX(Products!$AK$5:$AK$304,11)*1,0))/(1-IFERROR(INDEX(ScenarioMargins,1),0)-IFERROR(INDEX(Products!$AI$5:$AI$304,11)*1,0))),5),IF(RoundingRule="Up to whole 1",CEILING(((C18+IFERROR(INDEX(Products!$AK$5:$AK$304,11)*1,0))/(1-IFERROR(INDEX(ScenarioMargins,1),0)-IFERROR(INDEX(Products!$AI$5:$AI$304,11)*1,0))),1),IF(RoundingRule="Up to whole 5",CEILING(((C18+IFERROR(INDEX(Products!$AK$5:$AK$304,11)*1,0))/(1-IFERROR(INDEX(ScenarioMargins,1),0)-IFERROR(INDEX(Products!$AI$5:$AI$304,11)*1,0))),5),ROUND(((C18+IFERROR(INDEX(Products!$AK$5:$AK$304,11)*1,0))/(1-IFERROR(INDEX(ScenarioMargins,1),0)-IFERROR(INDEX(Products!$AI$5:$AI$304,11)*1,0))),2))))))))),2)))</f>
        <v>0</v>
      </c>
      <c r="F18" s="20">
        <f>IF(C18="","",IF((1-IFERROR(INDEX(ScenarioMargins,2),0)-IFERROR(INDEX(Products!$AI$5:$AI$304,11)*1,0))&lt;=0,"",ROUND(IF(RoundingRule="None",((C18+IFERROR(INDEX(Products!$AK$5:$AK$304,11)*1,0))/(1-IFERROR(INDEX(ScenarioMargins,2),0)-IFERROR(INDEX(Products!$AI$5:$AI$304,11)*1,0))),IF(RoundingRule="Nearest 0.99",MAX(0.99,CEILING(((C18+IFERROR(INDEX(Products!$AK$5:$AK$304,11)*1,0))/(1-IFERROR(INDEX(ScenarioMargins,2),0)-IFERROR(INDEX(Products!$AI$5:$AI$304,11)*1,0))),1)-0.01),IF(RoundingRule="Nearest 0.95",MAX(0.95,CEILING(((C18+IFERROR(INDEX(Products!$AK$5:$AK$304,11)*1,0))/(1-IFERROR(INDEX(ScenarioMargins,2),0)-IFERROR(INDEX(Products!$AI$5:$AI$304,11)*1,0))),1)-0.05),IF(RoundingRule="Nearest 0.50",CEILING(((C18+IFERROR(INDEX(Products!$AK$5:$AK$304,11)*1,0))/(1-IFERROR(INDEX(ScenarioMargins,2),0)-IFERROR(INDEX(Products!$AI$5:$AI$304,11)*1,0))),0.5),IF(RoundingRule="Nearest 1",CEILING(((C18+IFERROR(INDEX(Products!$AK$5:$AK$304,11)*1,0))/(1-IFERROR(INDEX(ScenarioMargins,2),0)-IFERROR(INDEX(Products!$AI$5:$AI$304,11)*1,0))),1),IF(RoundingRule="Nearest 5",CEILING(((C18+IFERROR(INDEX(Products!$AK$5:$AK$304,11)*1,0))/(1-IFERROR(INDEX(ScenarioMargins,2),0)-IFERROR(INDEX(Products!$AI$5:$AI$304,11)*1,0))),5),IF(RoundingRule="Up to whole 1",CEILING(((C18+IFERROR(INDEX(Products!$AK$5:$AK$304,11)*1,0))/(1-IFERROR(INDEX(ScenarioMargins,2),0)-IFERROR(INDEX(Products!$AI$5:$AI$304,11)*1,0))),1),IF(RoundingRule="Up to whole 5",CEILING(((C18+IFERROR(INDEX(Products!$AK$5:$AK$304,11)*1,0))/(1-IFERROR(INDEX(ScenarioMargins,2),0)-IFERROR(INDEX(Products!$AI$5:$AI$304,11)*1,0))),5),ROUND(((C18+IFERROR(INDEX(Products!$AK$5:$AK$304,11)*1,0))/(1-IFERROR(INDEX(ScenarioMargins,2),0)-IFERROR(INDEX(Products!$AI$5:$AI$304,11)*1,0))),2))))))))),2)))</f>
        <v>0</v>
      </c>
      <c r="G18" s="20">
        <f>IF(C18="","",IF((1-IFERROR(INDEX(ScenarioMargins,3),0)-IFERROR(INDEX(Products!$AI$5:$AI$304,11)*1,0))&lt;=0,"",ROUND(IF(RoundingRule="None",((C18+IFERROR(INDEX(Products!$AK$5:$AK$304,11)*1,0))/(1-IFERROR(INDEX(ScenarioMargins,3),0)-IFERROR(INDEX(Products!$AI$5:$AI$304,11)*1,0))),IF(RoundingRule="Nearest 0.99",MAX(0.99,CEILING(((C18+IFERROR(INDEX(Products!$AK$5:$AK$304,11)*1,0))/(1-IFERROR(INDEX(ScenarioMargins,3),0)-IFERROR(INDEX(Products!$AI$5:$AI$304,11)*1,0))),1)-0.01),IF(RoundingRule="Nearest 0.95",MAX(0.95,CEILING(((C18+IFERROR(INDEX(Products!$AK$5:$AK$304,11)*1,0))/(1-IFERROR(INDEX(ScenarioMargins,3),0)-IFERROR(INDEX(Products!$AI$5:$AI$304,11)*1,0))),1)-0.05),IF(RoundingRule="Nearest 0.50",CEILING(((C18+IFERROR(INDEX(Products!$AK$5:$AK$304,11)*1,0))/(1-IFERROR(INDEX(ScenarioMargins,3),0)-IFERROR(INDEX(Products!$AI$5:$AI$304,11)*1,0))),0.5),IF(RoundingRule="Nearest 1",CEILING(((C18+IFERROR(INDEX(Products!$AK$5:$AK$304,11)*1,0))/(1-IFERROR(INDEX(ScenarioMargins,3),0)-IFERROR(INDEX(Products!$AI$5:$AI$304,11)*1,0))),1),IF(RoundingRule="Nearest 5",CEILING(((C18+IFERROR(INDEX(Products!$AK$5:$AK$304,11)*1,0))/(1-IFERROR(INDEX(ScenarioMargins,3),0)-IFERROR(INDEX(Products!$AI$5:$AI$304,11)*1,0))),5),IF(RoundingRule="Up to whole 1",CEILING(((C18+IFERROR(INDEX(Products!$AK$5:$AK$304,11)*1,0))/(1-IFERROR(INDEX(ScenarioMargins,3),0)-IFERROR(INDEX(Products!$AI$5:$AI$304,11)*1,0))),1),IF(RoundingRule="Up to whole 5",CEILING(((C18+IFERROR(INDEX(Products!$AK$5:$AK$304,11)*1,0))/(1-IFERROR(INDEX(ScenarioMargins,3),0)-IFERROR(INDEX(Products!$AI$5:$AI$304,11)*1,0))),5),ROUND(((C18+IFERROR(INDEX(Products!$AK$5:$AK$304,11)*1,0))/(1-IFERROR(INDEX(ScenarioMargins,3),0)-IFERROR(INDEX(Products!$AI$5:$AI$304,11)*1,0))),2))))))))),2)))</f>
        <v>0</v>
      </c>
      <c r="H18" s="20">
        <f>IF(C18="","",IF((1-IFERROR(INDEX(ScenarioMargins,4),0)-IFERROR(INDEX(Products!$AI$5:$AI$304,11)*1,0))&lt;=0,"",ROUND(IF(RoundingRule="None",((C18+IFERROR(INDEX(Products!$AK$5:$AK$304,11)*1,0))/(1-IFERROR(INDEX(ScenarioMargins,4),0)-IFERROR(INDEX(Products!$AI$5:$AI$304,11)*1,0))),IF(RoundingRule="Nearest 0.99",MAX(0.99,CEILING(((C18+IFERROR(INDEX(Products!$AK$5:$AK$304,11)*1,0))/(1-IFERROR(INDEX(ScenarioMargins,4),0)-IFERROR(INDEX(Products!$AI$5:$AI$304,11)*1,0))),1)-0.01),IF(RoundingRule="Nearest 0.95",MAX(0.95,CEILING(((C18+IFERROR(INDEX(Products!$AK$5:$AK$304,11)*1,0))/(1-IFERROR(INDEX(ScenarioMargins,4),0)-IFERROR(INDEX(Products!$AI$5:$AI$304,11)*1,0))),1)-0.05),IF(RoundingRule="Nearest 0.50",CEILING(((C18+IFERROR(INDEX(Products!$AK$5:$AK$304,11)*1,0))/(1-IFERROR(INDEX(ScenarioMargins,4),0)-IFERROR(INDEX(Products!$AI$5:$AI$304,11)*1,0))),0.5),IF(RoundingRule="Nearest 1",CEILING(((C18+IFERROR(INDEX(Products!$AK$5:$AK$304,11)*1,0))/(1-IFERROR(INDEX(ScenarioMargins,4),0)-IFERROR(INDEX(Products!$AI$5:$AI$304,11)*1,0))),1),IF(RoundingRule="Nearest 5",CEILING(((C18+IFERROR(INDEX(Products!$AK$5:$AK$304,11)*1,0))/(1-IFERROR(INDEX(ScenarioMargins,4),0)-IFERROR(INDEX(Products!$AI$5:$AI$304,11)*1,0))),5),IF(RoundingRule="Up to whole 1",CEILING(((C18+IFERROR(INDEX(Products!$AK$5:$AK$304,11)*1,0))/(1-IFERROR(INDEX(ScenarioMargins,4),0)-IFERROR(INDEX(Products!$AI$5:$AI$304,11)*1,0))),1),IF(RoundingRule="Up to whole 5",CEILING(((C18+IFERROR(INDEX(Products!$AK$5:$AK$304,11)*1,0))/(1-IFERROR(INDEX(ScenarioMargins,4),0)-IFERROR(INDEX(Products!$AI$5:$AI$304,11)*1,0))),5),ROUND(((C18+IFERROR(INDEX(Products!$AK$5:$AK$304,11)*1,0))/(1-IFERROR(INDEX(ScenarioMargins,4),0)-IFERROR(INDEX(Products!$AI$5:$AI$304,11)*1,0))),2))))))))),2)))</f>
        <v>0</v>
      </c>
      <c r="I18" s="20">
        <f>IF(C18="","",IF((1-IFERROR(INDEX(ScenarioMargins,5),0)-IFERROR(INDEX(Products!$AI$5:$AI$304,11)*1,0))&lt;=0,"",ROUND(IF(RoundingRule="None",((C18+IFERROR(INDEX(Products!$AK$5:$AK$304,11)*1,0))/(1-IFERROR(INDEX(ScenarioMargins,5),0)-IFERROR(INDEX(Products!$AI$5:$AI$304,11)*1,0))),IF(RoundingRule="Nearest 0.99",MAX(0.99,CEILING(((C18+IFERROR(INDEX(Products!$AK$5:$AK$304,11)*1,0))/(1-IFERROR(INDEX(ScenarioMargins,5),0)-IFERROR(INDEX(Products!$AI$5:$AI$304,11)*1,0))),1)-0.01),IF(RoundingRule="Nearest 0.95",MAX(0.95,CEILING(((C18+IFERROR(INDEX(Products!$AK$5:$AK$304,11)*1,0))/(1-IFERROR(INDEX(ScenarioMargins,5),0)-IFERROR(INDEX(Products!$AI$5:$AI$304,11)*1,0))),1)-0.05),IF(RoundingRule="Nearest 0.50",CEILING(((C18+IFERROR(INDEX(Products!$AK$5:$AK$304,11)*1,0))/(1-IFERROR(INDEX(ScenarioMargins,5),0)-IFERROR(INDEX(Products!$AI$5:$AI$304,11)*1,0))),0.5),IF(RoundingRule="Nearest 1",CEILING(((C18+IFERROR(INDEX(Products!$AK$5:$AK$304,11)*1,0))/(1-IFERROR(INDEX(ScenarioMargins,5),0)-IFERROR(INDEX(Products!$AI$5:$AI$304,11)*1,0))),1),IF(RoundingRule="Nearest 5",CEILING(((C18+IFERROR(INDEX(Products!$AK$5:$AK$304,11)*1,0))/(1-IFERROR(INDEX(ScenarioMargins,5),0)-IFERROR(INDEX(Products!$AI$5:$AI$304,11)*1,0))),5),IF(RoundingRule="Up to whole 1",CEILING(((C18+IFERROR(INDEX(Products!$AK$5:$AK$304,11)*1,0))/(1-IFERROR(INDEX(ScenarioMargins,5),0)-IFERROR(INDEX(Products!$AI$5:$AI$304,11)*1,0))),1),IF(RoundingRule="Up to whole 5",CEILING(((C18+IFERROR(INDEX(Products!$AK$5:$AK$304,11)*1,0))/(1-IFERROR(INDEX(ScenarioMargins,5),0)-IFERROR(INDEX(Products!$AI$5:$AI$304,11)*1,0))),5),ROUND(((C18+IFERROR(INDEX(Products!$AK$5:$AK$304,11)*1,0))/(1-IFERROR(INDEX(ScenarioMargins,5),0)-IFERROR(INDEX(Products!$AI$5:$AI$304,11)*1,0))),2))))))))),2)))</f>
        <v>0</v>
      </c>
      <c r="J18" s="13">
        <f>IF(D18="","",IF(D18&lt;E18,"Below the lowest",IF(D18&lt;F18,"Budget",IF(D18&lt;G18,"Conservative",IF(D18&lt;H18,"Standard",IF(D18&lt;I18,"Premium","Luxury"))))))</f>
        <v>0</v>
      </c>
    </row>
    <row r="19" spans="1:12">
      <c r="B19" s="13">
        <f>IFERROR(INDEX(Products!$B$5:$B$304,12)&amp;"","")</f>
        <v>0</v>
      </c>
      <c r="C19" s="20">
        <f>IF(IFERROR(INDEX(Products!$B$5:$B$304,12)&amp;"","")="","",IFERROR(INDEX(Products!$AT$5:$AT$304,12),""))</f>
        <v>0</v>
      </c>
      <c r="D19" s="20">
        <f>IF(IFERROR(INDEX(Products!$B$5:$B$304,12)&amp;"","")="","",IFERROR(INDEX(Products!$AR$5:$AR$304,12),""))</f>
        <v>0</v>
      </c>
      <c r="E19" s="20">
        <f>IF(C19="","",IF((1-IFERROR(INDEX(ScenarioMargins,1),0)-IFERROR(INDEX(Products!$AI$5:$AI$304,12)*1,0))&lt;=0,"",ROUND(IF(RoundingRule="None",((C19+IFERROR(INDEX(Products!$AK$5:$AK$304,12)*1,0))/(1-IFERROR(INDEX(ScenarioMargins,1),0)-IFERROR(INDEX(Products!$AI$5:$AI$304,12)*1,0))),IF(RoundingRule="Nearest 0.99",MAX(0.99,CEILING(((C19+IFERROR(INDEX(Products!$AK$5:$AK$304,12)*1,0))/(1-IFERROR(INDEX(ScenarioMargins,1),0)-IFERROR(INDEX(Products!$AI$5:$AI$304,12)*1,0))),1)-0.01),IF(RoundingRule="Nearest 0.95",MAX(0.95,CEILING(((C19+IFERROR(INDEX(Products!$AK$5:$AK$304,12)*1,0))/(1-IFERROR(INDEX(ScenarioMargins,1),0)-IFERROR(INDEX(Products!$AI$5:$AI$304,12)*1,0))),1)-0.05),IF(RoundingRule="Nearest 0.50",CEILING(((C19+IFERROR(INDEX(Products!$AK$5:$AK$304,12)*1,0))/(1-IFERROR(INDEX(ScenarioMargins,1),0)-IFERROR(INDEX(Products!$AI$5:$AI$304,12)*1,0))),0.5),IF(RoundingRule="Nearest 1",CEILING(((C19+IFERROR(INDEX(Products!$AK$5:$AK$304,12)*1,0))/(1-IFERROR(INDEX(ScenarioMargins,1),0)-IFERROR(INDEX(Products!$AI$5:$AI$304,12)*1,0))),1),IF(RoundingRule="Nearest 5",CEILING(((C19+IFERROR(INDEX(Products!$AK$5:$AK$304,12)*1,0))/(1-IFERROR(INDEX(ScenarioMargins,1),0)-IFERROR(INDEX(Products!$AI$5:$AI$304,12)*1,0))),5),IF(RoundingRule="Up to whole 1",CEILING(((C19+IFERROR(INDEX(Products!$AK$5:$AK$304,12)*1,0))/(1-IFERROR(INDEX(ScenarioMargins,1),0)-IFERROR(INDEX(Products!$AI$5:$AI$304,12)*1,0))),1),IF(RoundingRule="Up to whole 5",CEILING(((C19+IFERROR(INDEX(Products!$AK$5:$AK$304,12)*1,0))/(1-IFERROR(INDEX(ScenarioMargins,1),0)-IFERROR(INDEX(Products!$AI$5:$AI$304,12)*1,0))),5),ROUND(((C19+IFERROR(INDEX(Products!$AK$5:$AK$304,12)*1,0))/(1-IFERROR(INDEX(ScenarioMargins,1),0)-IFERROR(INDEX(Products!$AI$5:$AI$304,12)*1,0))),2))))))))),2)))</f>
        <v>0</v>
      </c>
      <c r="F19" s="20">
        <f>IF(C19="","",IF((1-IFERROR(INDEX(ScenarioMargins,2),0)-IFERROR(INDEX(Products!$AI$5:$AI$304,12)*1,0))&lt;=0,"",ROUND(IF(RoundingRule="None",((C19+IFERROR(INDEX(Products!$AK$5:$AK$304,12)*1,0))/(1-IFERROR(INDEX(ScenarioMargins,2),0)-IFERROR(INDEX(Products!$AI$5:$AI$304,12)*1,0))),IF(RoundingRule="Nearest 0.99",MAX(0.99,CEILING(((C19+IFERROR(INDEX(Products!$AK$5:$AK$304,12)*1,0))/(1-IFERROR(INDEX(ScenarioMargins,2),0)-IFERROR(INDEX(Products!$AI$5:$AI$304,12)*1,0))),1)-0.01),IF(RoundingRule="Nearest 0.95",MAX(0.95,CEILING(((C19+IFERROR(INDEX(Products!$AK$5:$AK$304,12)*1,0))/(1-IFERROR(INDEX(ScenarioMargins,2),0)-IFERROR(INDEX(Products!$AI$5:$AI$304,12)*1,0))),1)-0.05),IF(RoundingRule="Nearest 0.50",CEILING(((C19+IFERROR(INDEX(Products!$AK$5:$AK$304,12)*1,0))/(1-IFERROR(INDEX(ScenarioMargins,2),0)-IFERROR(INDEX(Products!$AI$5:$AI$304,12)*1,0))),0.5),IF(RoundingRule="Nearest 1",CEILING(((C19+IFERROR(INDEX(Products!$AK$5:$AK$304,12)*1,0))/(1-IFERROR(INDEX(ScenarioMargins,2),0)-IFERROR(INDEX(Products!$AI$5:$AI$304,12)*1,0))),1),IF(RoundingRule="Nearest 5",CEILING(((C19+IFERROR(INDEX(Products!$AK$5:$AK$304,12)*1,0))/(1-IFERROR(INDEX(ScenarioMargins,2),0)-IFERROR(INDEX(Products!$AI$5:$AI$304,12)*1,0))),5),IF(RoundingRule="Up to whole 1",CEILING(((C19+IFERROR(INDEX(Products!$AK$5:$AK$304,12)*1,0))/(1-IFERROR(INDEX(ScenarioMargins,2),0)-IFERROR(INDEX(Products!$AI$5:$AI$304,12)*1,0))),1),IF(RoundingRule="Up to whole 5",CEILING(((C19+IFERROR(INDEX(Products!$AK$5:$AK$304,12)*1,0))/(1-IFERROR(INDEX(ScenarioMargins,2),0)-IFERROR(INDEX(Products!$AI$5:$AI$304,12)*1,0))),5),ROUND(((C19+IFERROR(INDEX(Products!$AK$5:$AK$304,12)*1,0))/(1-IFERROR(INDEX(ScenarioMargins,2),0)-IFERROR(INDEX(Products!$AI$5:$AI$304,12)*1,0))),2))))))))),2)))</f>
        <v>0</v>
      </c>
      <c r="G19" s="20">
        <f>IF(C19="","",IF((1-IFERROR(INDEX(ScenarioMargins,3),0)-IFERROR(INDEX(Products!$AI$5:$AI$304,12)*1,0))&lt;=0,"",ROUND(IF(RoundingRule="None",((C19+IFERROR(INDEX(Products!$AK$5:$AK$304,12)*1,0))/(1-IFERROR(INDEX(ScenarioMargins,3),0)-IFERROR(INDEX(Products!$AI$5:$AI$304,12)*1,0))),IF(RoundingRule="Nearest 0.99",MAX(0.99,CEILING(((C19+IFERROR(INDEX(Products!$AK$5:$AK$304,12)*1,0))/(1-IFERROR(INDEX(ScenarioMargins,3),0)-IFERROR(INDEX(Products!$AI$5:$AI$304,12)*1,0))),1)-0.01),IF(RoundingRule="Nearest 0.95",MAX(0.95,CEILING(((C19+IFERROR(INDEX(Products!$AK$5:$AK$304,12)*1,0))/(1-IFERROR(INDEX(ScenarioMargins,3),0)-IFERROR(INDEX(Products!$AI$5:$AI$304,12)*1,0))),1)-0.05),IF(RoundingRule="Nearest 0.50",CEILING(((C19+IFERROR(INDEX(Products!$AK$5:$AK$304,12)*1,0))/(1-IFERROR(INDEX(ScenarioMargins,3),0)-IFERROR(INDEX(Products!$AI$5:$AI$304,12)*1,0))),0.5),IF(RoundingRule="Nearest 1",CEILING(((C19+IFERROR(INDEX(Products!$AK$5:$AK$304,12)*1,0))/(1-IFERROR(INDEX(ScenarioMargins,3),0)-IFERROR(INDEX(Products!$AI$5:$AI$304,12)*1,0))),1),IF(RoundingRule="Nearest 5",CEILING(((C19+IFERROR(INDEX(Products!$AK$5:$AK$304,12)*1,0))/(1-IFERROR(INDEX(ScenarioMargins,3),0)-IFERROR(INDEX(Products!$AI$5:$AI$304,12)*1,0))),5),IF(RoundingRule="Up to whole 1",CEILING(((C19+IFERROR(INDEX(Products!$AK$5:$AK$304,12)*1,0))/(1-IFERROR(INDEX(ScenarioMargins,3),0)-IFERROR(INDEX(Products!$AI$5:$AI$304,12)*1,0))),1),IF(RoundingRule="Up to whole 5",CEILING(((C19+IFERROR(INDEX(Products!$AK$5:$AK$304,12)*1,0))/(1-IFERROR(INDEX(ScenarioMargins,3),0)-IFERROR(INDEX(Products!$AI$5:$AI$304,12)*1,0))),5),ROUND(((C19+IFERROR(INDEX(Products!$AK$5:$AK$304,12)*1,0))/(1-IFERROR(INDEX(ScenarioMargins,3),0)-IFERROR(INDEX(Products!$AI$5:$AI$304,12)*1,0))),2))))))))),2)))</f>
        <v>0</v>
      </c>
      <c r="H19" s="20">
        <f>IF(C19="","",IF((1-IFERROR(INDEX(ScenarioMargins,4),0)-IFERROR(INDEX(Products!$AI$5:$AI$304,12)*1,0))&lt;=0,"",ROUND(IF(RoundingRule="None",((C19+IFERROR(INDEX(Products!$AK$5:$AK$304,12)*1,0))/(1-IFERROR(INDEX(ScenarioMargins,4),0)-IFERROR(INDEX(Products!$AI$5:$AI$304,12)*1,0))),IF(RoundingRule="Nearest 0.99",MAX(0.99,CEILING(((C19+IFERROR(INDEX(Products!$AK$5:$AK$304,12)*1,0))/(1-IFERROR(INDEX(ScenarioMargins,4),0)-IFERROR(INDEX(Products!$AI$5:$AI$304,12)*1,0))),1)-0.01),IF(RoundingRule="Nearest 0.95",MAX(0.95,CEILING(((C19+IFERROR(INDEX(Products!$AK$5:$AK$304,12)*1,0))/(1-IFERROR(INDEX(ScenarioMargins,4),0)-IFERROR(INDEX(Products!$AI$5:$AI$304,12)*1,0))),1)-0.05),IF(RoundingRule="Nearest 0.50",CEILING(((C19+IFERROR(INDEX(Products!$AK$5:$AK$304,12)*1,0))/(1-IFERROR(INDEX(ScenarioMargins,4),0)-IFERROR(INDEX(Products!$AI$5:$AI$304,12)*1,0))),0.5),IF(RoundingRule="Nearest 1",CEILING(((C19+IFERROR(INDEX(Products!$AK$5:$AK$304,12)*1,0))/(1-IFERROR(INDEX(ScenarioMargins,4),0)-IFERROR(INDEX(Products!$AI$5:$AI$304,12)*1,0))),1),IF(RoundingRule="Nearest 5",CEILING(((C19+IFERROR(INDEX(Products!$AK$5:$AK$304,12)*1,0))/(1-IFERROR(INDEX(ScenarioMargins,4),0)-IFERROR(INDEX(Products!$AI$5:$AI$304,12)*1,0))),5),IF(RoundingRule="Up to whole 1",CEILING(((C19+IFERROR(INDEX(Products!$AK$5:$AK$304,12)*1,0))/(1-IFERROR(INDEX(ScenarioMargins,4),0)-IFERROR(INDEX(Products!$AI$5:$AI$304,12)*1,0))),1),IF(RoundingRule="Up to whole 5",CEILING(((C19+IFERROR(INDEX(Products!$AK$5:$AK$304,12)*1,0))/(1-IFERROR(INDEX(ScenarioMargins,4),0)-IFERROR(INDEX(Products!$AI$5:$AI$304,12)*1,0))),5),ROUND(((C19+IFERROR(INDEX(Products!$AK$5:$AK$304,12)*1,0))/(1-IFERROR(INDEX(ScenarioMargins,4),0)-IFERROR(INDEX(Products!$AI$5:$AI$304,12)*1,0))),2))))))))),2)))</f>
        <v>0</v>
      </c>
      <c r="I19" s="20">
        <f>IF(C19="","",IF((1-IFERROR(INDEX(ScenarioMargins,5),0)-IFERROR(INDEX(Products!$AI$5:$AI$304,12)*1,0))&lt;=0,"",ROUND(IF(RoundingRule="None",((C19+IFERROR(INDEX(Products!$AK$5:$AK$304,12)*1,0))/(1-IFERROR(INDEX(ScenarioMargins,5),0)-IFERROR(INDEX(Products!$AI$5:$AI$304,12)*1,0))),IF(RoundingRule="Nearest 0.99",MAX(0.99,CEILING(((C19+IFERROR(INDEX(Products!$AK$5:$AK$304,12)*1,0))/(1-IFERROR(INDEX(ScenarioMargins,5),0)-IFERROR(INDEX(Products!$AI$5:$AI$304,12)*1,0))),1)-0.01),IF(RoundingRule="Nearest 0.95",MAX(0.95,CEILING(((C19+IFERROR(INDEX(Products!$AK$5:$AK$304,12)*1,0))/(1-IFERROR(INDEX(ScenarioMargins,5),0)-IFERROR(INDEX(Products!$AI$5:$AI$304,12)*1,0))),1)-0.05),IF(RoundingRule="Nearest 0.50",CEILING(((C19+IFERROR(INDEX(Products!$AK$5:$AK$304,12)*1,0))/(1-IFERROR(INDEX(ScenarioMargins,5),0)-IFERROR(INDEX(Products!$AI$5:$AI$304,12)*1,0))),0.5),IF(RoundingRule="Nearest 1",CEILING(((C19+IFERROR(INDEX(Products!$AK$5:$AK$304,12)*1,0))/(1-IFERROR(INDEX(ScenarioMargins,5),0)-IFERROR(INDEX(Products!$AI$5:$AI$304,12)*1,0))),1),IF(RoundingRule="Nearest 5",CEILING(((C19+IFERROR(INDEX(Products!$AK$5:$AK$304,12)*1,0))/(1-IFERROR(INDEX(ScenarioMargins,5),0)-IFERROR(INDEX(Products!$AI$5:$AI$304,12)*1,0))),5),IF(RoundingRule="Up to whole 1",CEILING(((C19+IFERROR(INDEX(Products!$AK$5:$AK$304,12)*1,0))/(1-IFERROR(INDEX(ScenarioMargins,5),0)-IFERROR(INDEX(Products!$AI$5:$AI$304,12)*1,0))),1),IF(RoundingRule="Up to whole 5",CEILING(((C19+IFERROR(INDEX(Products!$AK$5:$AK$304,12)*1,0))/(1-IFERROR(INDEX(ScenarioMargins,5),0)-IFERROR(INDEX(Products!$AI$5:$AI$304,12)*1,0))),5),ROUND(((C19+IFERROR(INDEX(Products!$AK$5:$AK$304,12)*1,0))/(1-IFERROR(INDEX(ScenarioMargins,5),0)-IFERROR(INDEX(Products!$AI$5:$AI$304,12)*1,0))),2))))))))),2)))</f>
        <v>0</v>
      </c>
      <c r="J19" s="13">
        <f>IF(D19="","",IF(D19&lt;E19,"Below the lowest",IF(D19&lt;F19,"Budget",IF(D19&lt;G19,"Conservative",IF(D19&lt;H19,"Standard",IF(D19&lt;I19,"Premium","Luxury"))))))</f>
        <v>0</v>
      </c>
    </row>
    <row r="20" spans="1:12">
      <c r="B20" s="13">
        <f>IFERROR(INDEX(Products!$B$5:$B$304,13)&amp;"","")</f>
        <v>0</v>
      </c>
      <c r="C20" s="20">
        <f>IF(IFERROR(INDEX(Products!$B$5:$B$304,13)&amp;"","")="","",IFERROR(INDEX(Products!$AT$5:$AT$304,13),""))</f>
        <v>0</v>
      </c>
      <c r="D20" s="20">
        <f>IF(IFERROR(INDEX(Products!$B$5:$B$304,13)&amp;"","")="","",IFERROR(INDEX(Products!$AR$5:$AR$304,13),""))</f>
        <v>0</v>
      </c>
      <c r="E20" s="20">
        <f>IF(C20="","",IF((1-IFERROR(INDEX(ScenarioMargins,1),0)-IFERROR(INDEX(Products!$AI$5:$AI$304,13)*1,0))&lt;=0,"",ROUND(IF(RoundingRule="None",((C20+IFERROR(INDEX(Products!$AK$5:$AK$304,13)*1,0))/(1-IFERROR(INDEX(ScenarioMargins,1),0)-IFERROR(INDEX(Products!$AI$5:$AI$304,13)*1,0))),IF(RoundingRule="Nearest 0.99",MAX(0.99,CEILING(((C20+IFERROR(INDEX(Products!$AK$5:$AK$304,13)*1,0))/(1-IFERROR(INDEX(ScenarioMargins,1),0)-IFERROR(INDEX(Products!$AI$5:$AI$304,13)*1,0))),1)-0.01),IF(RoundingRule="Nearest 0.95",MAX(0.95,CEILING(((C20+IFERROR(INDEX(Products!$AK$5:$AK$304,13)*1,0))/(1-IFERROR(INDEX(ScenarioMargins,1),0)-IFERROR(INDEX(Products!$AI$5:$AI$304,13)*1,0))),1)-0.05),IF(RoundingRule="Nearest 0.50",CEILING(((C20+IFERROR(INDEX(Products!$AK$5:$AK$304,13)*1,0))/(1-IFERROR(INDEX(ScenarioMargins,1),0)-IFERROR(INDEX(Products!$AI$5:$AI$304,13)*1,0))),0.5),IF(RoundingRule="Nearest 1",CEILING(((C20+IFERROR(INDEX(Products!$AK$5:$AK$304,13)*1,0))/(1-IFERROR(INDEX(ScenarioMargins,1),0)-IFERROR(INDEX(Products!$AI$5:$AI$304,13)*1,0))),1),IF(RoundingRule="Nearest 5",CEILING(((C20+IFERROR(INDEX(Products!$AK$5:$AK$304,13)*1,0))/(1-IFERROR(INDEX(ScenarioMargins,1),0)-IFERROR(INDEX(Products!$AI$5:$AI$304,13)*1,0))),5),IF(RoundingRule="Up to whole 1",CEILING(((C20+IFERROR(INDEX(Products!$AK$5:$AK$304,13)*1,0))/(1-IFERROR(INDEX(ScenarioMargins,1),0)-IFERROR(INDEX(Products!$AI$5:$AI$304,13)*1,0))),1),IF(RoundingRule="Up to whole 5",CEILING(((C20+IFERROR(INDEX(Products!$AK$5:$AK$304,13)*1,0))/(1-IFERROR(INDEX(ScenarioMargins,1),0)-IFERROR(INDEX(Products!$AI$5:$AI$304,13)*1,0))),5),ROUND(((C20+IFERROR(INDEX(Products!$AK$5:$AK$304,13)*1,0))/(1-IFERROR(INDEX(ScenarioMargins,1),0)-IFERROR(INDEX(Products!$AI$5:$AI$304,13)*1,0))),2))))))))),2)))</f>
        <v>0</v>
      </c>
      <c r="F20" s="20">
        <f>IF(C20="","",IF((1-IFERROR(INDEX(ScenarioMargins,2),0)-IFERROR(INDEX(Products!$AI$5:$AI$304,13)*1,0))&lt;=0,"",ROUND(IF(RoundingRule="None",((C20+IFERROR(INDEX(Products!$AK$5:$AK$304,13)*1,0))/(1-IFERROR(INDEX(ScenarioMargins,2),0)-IFERROR(INDEX(Products!$AI$5:$AI$304,13)*1,0))),IF(RoundingRule="Nearest 0.99",MAX(0.99,CEILING(((C20+IFERROR(INDEX(Products!$AK$5:$AK$304,13)*1,0))/(1-IFERROR(INDEX(ScenarioMargins,2),0)-IFERROR(INDEX(Products!$AI$5:$AI$304,13)*1,0))),1)-0.01),IF(RoundingRule="Nearest 0.95",MAX(0.95,CEILING(((C20+IFERROR(INDEX(Products!$AK$5:$AK$304,13)*1,0))/(1-IFERROR(INDEX(ScenarioMargins,2),0)-IFERROR(INDEX(Products!$AI$5:$AI$304,13)*1,0))),1)-0.05),IF(RoundingRule="Nearest 0.50",CEILING(((C20+IFERROR(INDEX(Products!$AK$5:$AK$304,13)*1,0))/(1-IFERROR(INDEX(ScenarioMargins,2),0)-IFERROR(INDEX(Products!$AI$5:$AI$304,13)*1,0))),0.5),IF(RoundingRule="Nearest 1",CEILING(((C20+IFERROR(INDEX(Products!$AK$5:$AK$304,13)*1,0))/(1-IFERROR(INDEX(ScenarioMargins,2),0)-IFERROR(INDEX(Products!$AI$5:$AI$304,13)*1,0))),1),IF(RoundingRule="Nearest 5",CEILING(((C20+IFERROR(INDEX(Products!$AK$5:$AK$304,13)*1,0))/(1-IFERROR(INDEX(ScenarioMargins,2),0)-IFERROR(INDEX(Products!$AI$5:$AI$304,13)*1,0))),5),IF(RoundingRule="Up to whole 1",CEILING(((C20+IFERROR(INDEX(Products!$AK$5:$AK$304,13)*1,0))/(1-IFERROR(INDEX(ScenarioMargins,2),0)-IFERROR(INDEX(Products!$AI$5:$AI$304,13)*1,0))),1),IF(RoundingRule="Up to whole 5",CEILING(((C20+IFERROR(INDEX(Products!$AK$5:$AK$304,13)*1,0))/(1-IFERROR(INDEX(ScenarioMargins,2),0)-IFERROR(INDEX(Products!$AI$5:$AI$304,13)*1,0))),5),ROUND(((C20+IFERROR(INDEX(Products!$AK$5:$AK$304,13)*1,0))/(1-IFERROR(INDEX(ScenarioMargins,2),0)-IFERROR(INDEX(Products!$AI$5:$AI$304,13)*1,0))),2))))))))),2)))</f>
        <v>0</v>
      </c>
      <c r="G20" s="20">
        <f>IF(C20="","",IF((1-IFERROR(INDEX(ScenarioMargins,3),0)-IFERROR(INDEX(Products!$AI$5:$AI$304,13)*1,0))&lt;=0,"",ROUND(IF(RoundingRule="None",((C20+IFERROR(INDEX(Products!$AK$5:$AK$304,13)*1,0))/(1-IFERROR(INDEX(ScenarioMargins,3),0)-IFERROR(INDEX(Products!$AI$5:$AI$304,13)*1,0))),IF(RoundingRule="Nearest 0.99",MAX(0.99,CEILING(((C20+IFERROR(INDEX(Products!$AK$5:$AK$304,13)*1,0))/(1-IFERROR(INDEX(ScenarioMargins,3),0)-IFERROR(INDEX(Products!$AI$5:$AI$304,13)*1,0))),1)-0.01),IF(RoundingRule="Nearest 0.95",MAX(0.95,CEILING(((C20+IFERROR(INDEX(Products!$AK$5:$AK$304,13)*1,0))/(1-IFERROR(INDEX(ScenarioMargins,3),0)-IFERROR(INDEX(Products!$AI$5:$AI$304,13)*1,0))),1)-0.05),IF(RoundingRule="Nearest 0.50",CEILING(((C20+IFERROR(INDEX(Products!$AK$5:$AK$304,13)*1,0))/(1-IFERROR(INDEX(ScenarioMargins,3),0)-IFERROR(INDEX(Products!$AI$5:$AI$304,13)*1,0))),0.5),IF(RoundingRule="Nearest 1",CEILING(((C20+IFERROR(INDEX(Products!$AK$5:$AK$304,13)*1,0))/(1-IFERROR(INDEX(ScenarioMargins,3),0)-IFERROR(INDEX(Products!$AI$5:$AI$304,13)*1,0))),1),IF(RoundingRule="Nearest 5",CEILING(((C20+IFERROR(INDEX(Products!$AK$5:$AK$304,13)*1,0))/(1-IFERROR(INDEX(ScenarioMargins,3),0)-IFERROR(INDEX(Products!$AI$5:$AI$304,13)*1,0))),5),IF(RoundingRule="Up to whole 1",CEILING(((C20+IFERROR(INDEX(Products!$AK$5:$AK$304,13)*1,0))/(1-IFERROR(INDEX(ScenarioMargins,3),0)-IFERROR(INDEX(Products!$AI$5:$AI$304,13)*1,0))),1),IF(RoundingRule="Up to whole 5",CEILING(((C20+IFERROR(INDEX(Products!$AK$5:$AK$304,13)*1,0))/(1-IFERROR(INDEX(ScenarioMargins,3),0)-IFERROR(INDEX(Products!$AI$5:$AI$304,13)*1,0))),5),ROUND(((C20+IFERROR(INDEX(Products!$AK$5:$AK$304,13)*1,0))/(1-IFERROR(INDEX(ScenarioMargins,3),0)-IFERROR(INDEX(Products!$AI$5:$AI$304,13)*1,0))),2))))))))),2)))</f>
        <v>0</v>
      </c>
      <c r="H20" s="20">
        <f>IF(C20="","",IF((1-IFERROR(INDEX(ScenarioMargins,4),0)-IFERROR(INDEX(Products!$AI$5:$AI$304,13)*1,0))&lt;=0,"",ROUND(IF(RoundingRule="None",((C20+IFERROR(INDEX(Products!$AK$5:$AK$304,13)*1,0))/(1-IFERROR(INDEX(ScenarioMargins,4),0)-IFERROR(INDEX(Products!$AI$5:$AI$304,13)*1,0))),IF(RoundingRule="Nearest 0.99",MAX(0.99,CEILING(((C20+IFERROR(INDEX(Products!$AK$5:$AK$304,13)*1,0))/(1-IFERROR(INDEX(ScenarioMargins,4),0)-IFERROR(INDEX(Products!$AI$5:$AI$304,13)*1,0))),1)-0.01),IF(RoundingRule="Nearest 0.95",MAX(0.95,CEILING(((C20+IFERROR(INDEX(Products!$AK$5:$AK$304,13)*1,0))/(1-IFERROR(INDEX(ScenarioMargins,4),0)-IFERROR(INDEX(Products!$AI$5:$AI$304,13)*1,0))),1)-0.05),IF(RoundingRule="Nearest 0.50",CEILING(((C20+IFERROR(INDEX(Products!$AK$5:$AK$304,13)*1,0))/(1-IFERROR(INDEX(ScenarioMargins,4),0)-IFERROR(INDEX(Products!$AI$5:$AI$304,13)*1,0))),0.5),IF(RoundingRule="Nearest 1",CEILING(((C20+IFERROR(INDEX(Products!$AK$5:$AK$304,13)*1,0))/(1-IFERROR(INDEX(ScenarioMargins,4),0)-IFERROR(INDEX(Products!$AI$5:$AI$304,13)*1,0))),1),IF(RoundingRule="Nearest 5",CEILING(((C20+IFERROR(INDEX(Products!$AK$5:$AK$304,13)*1,0))/(1-IFERROR(INDEX(ScenarioMargins,4),0)-IFERROR(INDEX(Products!$AI$5:$AI$304,13)*1,0))),5),IF(RoundingRule="Up to whole 1",CEILING(((C20+IFERROR(INDEX(Products!$AK$5:$AK$304,13)*1,0))/(1-IFERROR(INDEX(ScenarioMargins,4),0)-IFERROR(INDEX(Products!$AI$5:$AI$304,13)*1,0))),1),IF(RoundingRule="Up to whole 5",CEILING(((C20+IFERROR(INDEX(Products!$AK$5:$AK$304,13)*1,0))/(1-IFERROR(INDEX(ScenarioMargins,4),0)-IFERROR(INDEX(Products!$AI$5:$AI$304,13)*1,0))),5),ROUND(((C20+IFERROR(INDEX(Products!$AK$5:$AK$304,13)*1,0))/(1-IFERROR(INDEX(ScenarioMargins,4),0)-IFERROR(INDEX(Products!$AI$5:$AI$304,13)*1,0))),2))))))))),2)))</f>
        <v>0</v>
      </c>
      <c r="I20" s="20">
        <f>IF(C20="","",IF((1-IFERROR(INDEX(ScenarioMargins,5),0)-IFERROR(INDEX(Products!$AI$5:$AI$304,13)*1,0))&lt;=0,"",ROUND(IF(RoundingRule="None",((C20+IFERROR(INDEX(Products!$AK$5:$AK$304,13)*1,0))/(1-IFERROR(INDEX(ScenarioMargins,5),0)-IFERROR(INDEX(Products!$AI$5:$AI$304,13)*1,0))),IF(RoundingRule="Nearest 0.99",MAX(0.99,CEILING(((C20+IFERROR(INDEX(Products!$AK$5:$AK$304,13)*1,0))/(1-IFERROR(INDEX(ScenarioMargins,5),0)-IFERROR(INDEX(Products!$AI$5:$AI$304,13)*1,0))),1)-0.01),IF(RoundingRule="Nearest 0.95",MAX(0.95,CEILING(((C20+IFERROR(INDEX(Products!$AK$5:$AK$304,13)*1,0))/(1-IFERROR(INDEX(ScenarioMargins,5),0)-IFERROR(INDEX(Products!$AI$5:$AI$304,13)*1,0))),1)-0.05),IF(RoundingRule="Nearest 0.50",CEILING(((C20+IFERROR(INDEX(Products!$AK$5:$AK$304,13)*1,0))/(1-IFERROR(INDEX(ScenarioMargins,5),0)-IFERROR(INDEX(Products!$AI$5:$AI$304,13)*1,0))),0.5),IF(RoundingRule="Nearest 1",CEILING(((C20+IFERROR(INDEX(Products!$AK$5:$AK$304,13)*1,0))/(1-IFERROR(INDEX(ScenarioMargins,5),0)-IFERROR(INDEX(Products!$AI$5:$AI$304,13)*1,0))),1),IF(RoundingRule="Nearest 5",CEILING(((C20+IFERROR(INDEX(Products!$AK$5:$AK$304,13)*1,0))/(1-IFERROR(INDEX(ScenarioMargins,5),0)-IFERROR(INDEX(Products!$AI$5:$AI$304,13)*1,0))),5),IF(RoundingRule="Up to whole 1",CEILING(((C20+IFERROR(INDEX(Products!$AK$5:$AK$304,13)*1,0))/(1-IFERROR(INDEX(ScenarioMargins,5),0)-IFERROR(INDEX(Products!$AI$5:$AI$304,13)*1,0))),1),IF(RoundingRule="Up to whole 5",CEILING(((C20+IFERROR(INDEX(Products!$AK$5:$AK$304,13)*1,0))/(1-IFERROR(INDEX(ScenarioMargins,5),0)-IFERROR(INDEX(Products!$AI$5:$AI$304,13)*1,0))),5),ROUND(((C20+IFERROR(INDEX(Products!$AK$5:$AK$304,13)*1,0))/(1-IFERROR(INDEX(ScenarioMargins,5),0)-IFERROR(INDEX(Products!$AI$5:$AI$304,13)*1,0))),2))))))))),2)))</f>
        <v>0</v>
      </c>
      <c r="J20" s="13">
        <f>IF(D20="","",IF(D20&lt;E20,"Below the lowest",IF(D20&lt;F20,"Budget",IF(D20&lt;G20,"Conservative",IF(D20&lt;H20,"Standard",IF(D20&lt;I20,"Premium","Luxury"))))))</f>
        <v>0</v>
      </c>
    </row>
    <row r="21" spans="1:12">
      <c r="B21" s="13">
        <f>IFERROR(INDEX(Products!$B$5:$B$304,14)&amp;"","")</f>
        <v>0</v>
      </c>
      <c r="C21" s="20">
        <f>IF(IFERROR(INDEX(Products!$B$5:$B$304,14)&amp;"","")="","",IFERROR(INDEX(Products!$AT$5:$AT$304,14),""))</f>
        <v>0</v>
      </c>
      <c r="D21" s="20">
        <f>IF(IFERROR(INDEX(Products!$B$5:$B$304,14)&amp;"","")="","",IFERROR(INDEX(Products!$AR$5:$AR$304,14),""))</f>
        <v>0</v>
      </c>
      <c r="E21" s="20">
        <f>IF(C21="","",IF((1-IFERROR(INDEX(ScenarioMargins,1),0)-IFERROR(INDEX(Products!$AI$5:$AI$304,14)*1,0))&lt;=0,"",ROUND(IF(RoundingRule="None",((C21+IFERROR(INDEX(Products!$AK$5:$AK$304,14)*1,0))/(1-IFERROR(INDEX(ScenarioMargins,1),0)-IFERROR(INDEX(Products!$AI$5:$AI$304,14)*1,0))),IF(RoundingRule="Nearest 0.99",MAX(0.99,CEILING(((C21+IFERROR(INDEX(Products!$AK$5:$AK$304,14)*1,0))/(1-IFERROR(INDEX(ScenarioMargins,1),0)-IFERROR(INDEX(Products!$AI$5:$AI$304,14)*1,0))),1)-0.01),IF(RoundingRule="Nearest 0.95",MAX(0.95,CEILING(((C21+IFERROR(INDEX(Products!$AK$5:$AK$304,14)*1,0))/(1-IFERROR(INDEX(ScenarioMargins,1),0)-IFERROR(INDEX(Products!$AI$5:$AI$304,14)*1,0))),1)-0.05),IF(RoundingRule="Nearest 0.50",CEILING(((C21+IFERROR(INDEX(Products!$AK$5:$AK$304,14)*1,0))/(1-IFERROR(INDEX(ScenarioMargins,1),0)-IFERROR(INDEX(Products!$AI$5:$AI$304,14)*1,0))),0.5),IF(RoundingRule="Nearest 1",CEILING(((C21+IFERROR(INDEX(Products!$AK$5:$AK$304,14)*1,0))/(1-IFERROR(INDEX(ScenarioMargins,1),0)-IFERROR(INDEX(Products!$AI$5:$AI$304,14)*1,0))),1),IF(RoundingRule="Nearest 5",CEILING(((C21+IFERROR(INDEX(Products!$AK$5:$AK$304,14)*1,0))/(1-IFERROR(INDEX(ScenarioMargins,1),0)-IFERROR(INDEX(Products!$AI$5:$AI$304,14)*1,0))),5),IF(RoundingRule="Up to whole 1",CEILING(((C21+IFERROR(INDEX(Products!$AK$5:$AK$304,14)*1,0))/(1-IFERROR(INDEX(ScenarioMargins,1),0)-IFERROR(INDEX(Products!$AI$5:$AI$304,14)*1,0))),1),IF(RoundingRule="Up to whole 5",CEILING(((C21+IFERROR(INDEX(Products!$AK$5:$AK$304,14)*1,0))/(1-IFERROR(INDEX(ScenarioMargins,1),0)-IFERROR(INDEX(Products!$AI$5:$AI$304,14)*1,0))),5),ROUND(((C21+IFERROR(INDEX(Products!$AK$5:$AK$304,14)*1,0))/(1-IFERROR(INDEX(ScenarioMargins,1),0)-IFERROR(INDEX(Products!$AI$5:$AI$304,14)*1,0))),2))))))))),2)))</f>
        <v>0</v>
      </c>
      <c r="F21" s="20">
        <f>IF(C21="","",IF((1-IFERROR(INDEX(ScenarioMargins,2),0)-IFERROR(INDEX(Products!$AI$5:$AI$304,14)*1,0))&lt;=0,"",ROUND(IF(RoundingRule="None",((C21+IFERROR(INDEX(Products!$AK$5:$AK$304,14)*1,0))/(1-IFERROR(INDEX(ScenarioMargins,2),0)-IFERROR(INDEX(Products!$AI$5:$AI$304,14)*1,0))),IF(RoundingRule="Nearest 0.99",MAX(0.99,CEILING(((C21+IFERROR(INDEX(Products!$AK$5:$AK$304,14)*1,0))/(1-IFERROR(INDEX(ScenarioMargins,2),0)-IFERROR(INDEX(Products!$AI$5:$AI$304,14)*1,0))),1)-0.01),IF(RoundingRule="Nearest 0.95",MAX(0.95,CEILING(((C21+IFERROR(INDEX(Products!$AK$5:$AK$304,14)*1,0))/(1-IFERROR(INDEX(ScenarioMargins,2),0)-IFERROR(INDEX(Products!$AI$5:$AI$304,14)*1,0))),1)-0.05),IF(RoundingRule="Nearest 0.50",CEILING(((C21+IFERROR(INDEX(Products!$AK$5:$AK$304,14)*1,0))/(1-IFERROR(INDEX(ScenarioMargins,2),0)-IFERROR(INDEX(Products!$AI$5:$AI$304,14)*1,0))),0.5),IF(RoundingRule="Nearest 1",CEILING(((C21+IFERROR(INDEX(Products!$AK$5:$AK$304,14)*1,0))/(1-IFERROR(INDEX(ScenarioMargins,2),0)-IFERROR(INDEX(Products!$AI$5:$AI$304,14)*1,0))),1),IF(RoundingRule="Nearest 5",CEILING(((C21+IFERROR(INDEX(Products!$AK$5:$AK$304,14)*1,0))/(1-IFERROR(INDEX(ScenarioMargins,2),0)-IFERROR(INDEX(Products!$AI$5:$AI$304,14)*1,0))),5),IF(RoundingRule="Up to whole 1",CEILING(((C21+IFERROR(INDEX(Products!$AK$5:$AK$304,14)*1,0))/(1-IFERROR(INDEX(ScenarioMargins,2),0)-IFERROR(INDEX(Products!$AI$5:$AI$304,14)*1,0))),1),IF(RoundingRule="Up to whole 5",CEILING(((C21+IFERROR(INDEX(Products!$AK$5:$AK$304,14)*1,0))/(1-IFERROR(INDEX(ScenarioMargins,2),0)-IFERROR(INDEX(Products!$AI$5:$AI$304,14)*1,0))),5),ROUND(((C21+IFERROR(INDEX(Products!$AK$5:$AK$304,14)*1,0))/(1-IFERROR(INDEX(ScenarioMargins,2),0)-IFERROR(INDEX(Products!$AI$5:$AI$304,14)*1,0))),2))))))))),2)))</f>
        <v>0</v>
      </c>
      <c r="G21" s="20">
        <f>IF(C21="","",IF((1-IFERROR(INDEX(ScenarioMargins,3),0)-IFERROR(INDEX(Products!$AI$5:$AI$304,14)*1,0))&lt;=0,"",ROUND(IF(RoundingRule="None",((C21+IFERROR(INDEX(Products!$AK$5:$AK$304,14)*1,0))/(1-IFERROR(INDEX(ScenarioMargins,3),0)-IFERROR(INDEX(Products!$AI$5:$AI$304,14)*1,0))),IF(RoundingRule="Nearest 0.99",MAX(0.99,CEILING(((C21+IFERROR(INDEX(Products!$AK$5:$AK$304,14)*1,0))/(1-IFERROR(INDEX(ScenarioMargins,3),0)-IFERROR(INDEX(Products!$AI$5:$AI$304,14)*1,0))),1)-0.01),IF(RoundingRule="Nearest 0.95",MAX(0.95,CEILING(((C21+IFERROR(INDEX(Products!$AK$5:$AK$304,14)*1,0))/(1-IFERROR(INDEX(ScenarioMargins,3),0)-IFERROR(INDEX(Products!$AI$5:$AI$304,14)*1,0))),1)-0.05),IF(RoundingRule="Nearest 0.50",CEILING(((C21+IFERROR(INDEX(Products!$AK$5:$AK$304,14)*1,0))/(1-IFERROR(INDEX(ScenarioMargins,3),0)-IFERROR(INDEX(Products!$AI$5:$AI$304,14)*1,0))),0.5),IF(RoundingRule="Nearest 1",CEILING(((C21+IFERROR(INDEX(Products!$AK$5:$AK$304,14)*1,0))/(1-IFERROR(INDEX(ScenarioMargins,3),0)-IFERROR(INDEX(Products!$AI$5:$AI$304,14)*1,0))),1),IF(RoundingRule="Nearest 5",CEILING(((C21+IFERROR(INDEX(Products!$AK$5:$AK$304,14)*1,0))/(1-IFERROR(INDEX(ScenarioMargins,3),0)-IFERROR(INDEX(Products!$AI$5:$AI$304,14)*1,0))),5),IF(RoundingRule="Up to whole 1",CEILING(((C21+IFERROR(INDEX(Products!$AK$5:$AK$304,14)*1,0))/(1-IFERROR(INDEX(ScenarioMargins,3),0)-IFERROR(INDEX(Products!$AI$5:$AI$304,14)*1,0))),1),IF(RoundingRule="Up to whole 5",CEILING(((C21+IFERROR(INDEX(Products!$AK$5:$AK$304,14)*1,0))/(1-IFERROR(INDEX(ScenarioMargins,3),0)-IFERROR(INDEX(Products!$AI$5:$AI$304,14)*1,0))),5),ROUND(((C21+IFERROR(INDEX(Products!$AK$5:$AK$304,14)*1,0))/(1-IFERROR(INDEX(ScenarioMargins,3),0)-IFERROR(INDEX(Products!$AI$5:$AI$304,14)*1,0))),2))))))))),2)))</f>
        <v>0</v>
      </c>
      <c r="H21" s="20">
        <f>IF(C21="","",IF((1-IFERROR(INDEX(ScenarioMargins,4),0)-IFERROR(INDEX(Products!$AI$5:$AI$304,14)*1,0))&lt;=0,"",ROUND(IF(RoundingRule="None",((C21+IFERROR(INDEX(Products!$AK$5:$AK$304,14)*1,0))/(1-IFERROR(INDEX(ScenarioMargins,4),0)-IFERROR(INDEX(Products!$AI$5:$AI$304,14)*1,0))),IF(RoundingRule="Nearest 0.99",MAX(0.99,CEILING(((C21+IFERROR(INDEX(Products!$AK$5:$AK$304,14)*1,0))/(1-IFERROR(INDEX(ScenarioMargins,4),0)-IFERROR(INDEX(Products!$AI$5:$AI$304,14)*1,0))),1)-0.01),IF(RoundingRule="Nearest 0.95",MAX(0.95,CEILING(((C21+IFERROR(INDEX(Products!$AK$5:$AK$304,14)*1,0))/(1-IFERROR(INDEX(ScenarioMargins,4),0)-IFERROR(INDEX(Products!$AI$5:$AI$304,14)*1,0))),1)-0.05),IF(RoundingRule="Nearest 0.50",CEILING(((C21+IFERROR(INDEX(Products!$AK$5:$AK$304,14)*1,0))/(1-IFERROR(INDEX(ScenarioMargins,4),0)-IFERROR(INDEX(Products!$AI$5:$AI$304,14)*1,0))),0.5),IF(RoundingRule="Nearest 1",CEILING(((C21+IFERROR(INDEX(Products!$AK$5:$AK$304,14)*1,0))/(1-IFERROR(INDEX(ScenarioMargins,4),0)-IFERROR(INDEX(Products!$AI$5:$AI$304,14)*1,0))),1),IF(RoundingRule="Nearest 5",CEILING(((C21+IFERROR(INDEX(Products!$AK$5:$AK$304,14)*1,0))/(1-IFERROR(INDEX(ScenarioMargins,4),0)-IFERROR(INDEX(Products!$AI$5:$AI$304,14)*1,0))),5),IF(RoundingRule="Up to whole 1",CEILING(((C21+IFERROR(INDEX(Products!$AK$5:$AK$304,14)*1,0))/(1-IFERROR(INDEX(ScenarioMargins,4),0)-IFERROR(INDEX(Products!$AI$5:$AI$304,14)*1,0))),1),IF(RoundingRule="Up to whole 5",CEILING(((C21+IFERROR(INDEX(Products!$AK$5:$AK$304,14)*1,0))/(1-IFERROR(INDEX(ScenarioMargins,4),0)-IFERROR(INDEX(Products!$AI$5:$AI$304,14)*1,0))),5),ROUND(((C21+IFERROR(INDEX(Products!$AK$5:$AK$304,14)*1,0))/(1-IFERROR(INDEX(ScenarioMargins,4),0)-IFERROR(INDEX(Products!$AI$5:$AI$304,14)*1,0))),2))))))))),2)))</f>
        <v>0</v>
      </c>
      <c r="I21" s="20">
        <f>IF(C21="","",IF((1-IFERROR(INDEX(ScenarioMargins,5),0)-IFERROR(INDEX(Products!$AI$5:$AI$304,14)*1,0))&lt;=0,"",ROUND(IF(RoundingRule="None",((C21+IFERROR(INDEX(Products!$AK$5:$AK$304,14)*1,0))/(1-IFERROR(INDEX(ScenarioMargins,5),0)-IFERROR(INDEX(Products!$AI$5:$AI$304,14)*1,0))),IF(RoundingRule="Nearest 0.99",MAX(0.99,CEILING(((C21+IFERROR(INDEX(Products!$AK$5:$AK$304,14)*1,0))/(1-IFERROR(INDEX(ScenarioMargins,5),0)-IFERROR(INDEX(Products!$AI$5:$AI$304,14)*1,0))),1)-0.01),IF(RoundingRule="Nearest 0.95",MAX(0.95,CEILING(((C21+IFERROR(INDEX(Products!$AK$5:$AK$304,14)*1,0))/(1-IFERROR(INDEX(ScenarioMargins,5),0)-IFERROR(INDEX(Products!$AI$5:$AI$304,14)*1,0))),1)-0.05),IF(RoundingRule="Nearest 0.50",CEILING(((C21+IFERROR(INDEX(Products!$AK$5:$AK$304,14)*1,0))/(1-IFERROR(INDEX(ScenarioMargins,5),0)-IFERROR(INDEX(Products!$AI$5:$AI$304,14)*1,0))),0.5),IF(RoundingRule="Nearest 1",CEILING(((C21+IFERROR(INDEX(Products!$AK$5:$AK$304,14)*1,0))/(1-IFERROR(INDEX(ScenarioMargins,5),0)-IFERROR(INDEX(Products!$AI$5:$AI$304,14)*1,0))),1),IF(RoundingRule="Nearest 5",CEILING(((C21+IFERROR(INDEX(Products!$AK$5:$AK$304,14)*1,0))/(1-IFERROR(INDEX(ScenarioMargins,5),0)-IFERROR(INDEX(Products!$AI$5:$AI$304,14)*1,0))),5),IF(RoundingRule="Up to whole 1",CEILING(((C21+IFERROR(INDEX(Products!$AK$5:$AK$304,14)*1,0))/(1-IFERROR(INDEX(ScenarioMargins,5),0)-IFERROR(INDEX(Products!$AI$5:$AI$304,14)*1,0))),1),IF(RoundingRule="Up to whole 5",CEILING(((C21+IFERROR(INDEX(Products!$AK$5:$AK$304,14)*1,0))/(1-IFERROR(INDEX(ScenarioMargins,5),0)-IFERROR(INDEX(Products!$AI$5:$AI$304,14)*1,0))),5),ROUND(((C21+IFERROR(INDEX(Products!$AK$5:$AK$304,14)*1,0))/(1-IFERROR(INDEX(ScenarioMargins,5),0)-IFERROR(INDEX(Products!$AI$5:$AI$304,14)*1,0))),2))))))))),2)))</f>
        <v>0</v>
      </c>
      <c r="J21" s="13">
        <f>IF(D21="","",IF(D21&lt;E21,"Below the lowest",IF(D21&lt;F21,"Budget",IF(D21&lt;G21,"Conservative",IF(D21&lt;H21,"Standard",IF(D21&lt;I21,"Premium","Luxury"))))))</f>
        <v>0</v>
      </c>
    </row>
    <row r="22" spans="1:12">
      <c r="B22" s="13">
        <f>IFERROR(INDEX(Products!$B$5:$B$304,15)&amp;"","")</f>
        <v>0</v>
      </c>
      <c r="C22" s="20">
        <f>IF(IFERROR(INDEX(Products!$B$5:$B$304,15)&amp;"","")="","",IFERROR(INDEX(Products!$AT$5:$AT$304,15),""))</f>
        <v>0</v>
      </c>
      <c r="D22" s="20">
        <f>IF(IFERROR(INDEX(Products!$B$5:$B$304,15)&amp;"","")="","",IFERROR(INDEX(Products!$AR$5:$AR$304,15),""))</f>
        <v>0</v>
      </c>
      <c r="E22" s="20">
        <f>IF(C22="","",IF((1-IFERROR(INDEX(ScenarioMargins,1),0)-IFERROR(INDEX(Products!$AI$5:$AI$304,15)*1,0))&lt;=0,"",ROUND(IF(RoundingRule="None",((C22+IFERROR(INDEX(Products!$AK$5:$AK$304,15)*1,0))/(1-IFERROR(INDEX(ScenarioMargins,1),0)-IFERROR(INDEX(Products!$AI$5:$AI$304,15)*1,0))),IF(RoundingRule="Nearest 0.99",MAX(0.99,CEILING(((C22+IFERROR(INDEX(Products!$AK$5:$AK$304,15)*1,0))/(1-IFERROR(INDEX(ScenarioMargins,1),0)-IFERROR(INDEX(Products!$AI$5:$AI$304,15)*1,0))),1)-0.01),IF(RoundingRule="Nearest 0.95",MAX(0.95,CEILING(((C22+IFERROR(INDEX(Products!$AK$5:$AK$304,15)*1,0))/(1-IFERROR(INDEX(ScenarioMargins,1),0)-IFERROR(INDEX(Products!$AI$5:$AI$304,15)*1,0))),1)-0.05),IF(RoundingRule="Nearest 0.50",CEILING(((C22+IFERROR(INDEX(Products!$AK$5:$AK$304,15)*1,0))/(1-IFERROR(INDEX(ScenarioMargins,1),0)-IFERROR(INDEX(Products!$AI$5:$AI$304,15)*1,0))),0.5),IF(RoundingRule="Nearest 1",CEILING(((C22+IFERROR(INDEX(Products!$AK$5:$AK$304,15)*1,0))/(1-IFERROR(INDEX(ScenarioMargins,1),0)-IFERROR(INDEX(Products!$AI$5:$AI$304,15)*1,0))),1),IF(RoundingRule="Nearest 5",CEILING(((C22+IFERROR(INDEX(Products!$AK$5:$AK$304,15)*1,0))/(1-IFERROR(INDEX(ScenarioMargins,1),0)-IFERROR(INDEX(Products!$AI$5:$AI$304,15)*1,0))),5),IF(RoundingRule="Up to whole 1",CEILING(((C22+IFERROR(INDEX(Products!$AK$5:$AK$304,15)*1,0))/(1-IFERROR(INDEX(ScenarioMargins,1),0)-IFERROR(INDEX(Products!$AI$5:$AI$304,15)*1,0))),1),IF(RoundingRule="Up to whole 5",CEILING(((C22+IFERROR(INDEX(Products!$AK$5:$AK$304,15)*1,0))/(1-IFERROR(INDEX(ScenarioMargins,1),0)-IFERROR(INDEX(Products!$AI$5:$AI$304,15)*1,0))),5),ROUND(((C22+IFERROR(INDEX(Products!$AK$5:$AK$304,15)*1,0))/(1-IFERROR(INDEX(ScenarioMargins,1),0)-IFERROR(INDEX(Products!$AI$5:$AI$304,15)*1,0))),2))))))))),2)))</f>
        <v>0</v>
      </c>
      <c r="F22" s="20">
        <f>IF(C22="","",IF((1-IFERROR(INDEX(ScenarioMargins,2),0)-IFERROR(INDEX(Products!$AI$5:$AI$304,15)*1,0))&lt;=0,"",ROUND(IF(RoundingRule="None",((C22+IFERROR(INDEX(Products!$AK$5:$AK$304,15)*1,0))/(1-IFERROR(INDEX(ScenarioMargins,2),0)-IFERROR(INDEX(Products!$AI$5:$AI$304,15)*1,0))),IF(RoundingRule="Nearest 0.99",MAX(0.99,CEILING(((C22+IFERROR(INDEX(Products!$AK$5:$AK$304,15)*1,0))/(1-IFERROR(INDEX(ScenarioMargins,2),0)-IFERROR(INDEX(Products!$AI$5:$AI$304,15)*1,0))),1)-0.01),IF(RoundingRule="Nearest 0.95",MAX(0.95,CEILING(((C22+IFERROR(INDEX(Products!$AK$5:$AK$304,15)*1,0))/(1-IFERROR(INDEX(ScenarioMargins,2),0)-IFERROR(INDEX(Products!$AI$5:$AI$304,15)*1,0))),1)-0.05),IF(RoundingRule="Nearest 0.50",CEILING(((C22+IFERROR(INDEX(Products!$AK$5:$AK$304,15)*1,0))/(1-IFERROR(INDEX(ScenarioMargins,2),0)-IFERROR(INDEX(Products!$AI$5:$AI$304,15)*1,0))),0.5),IF(RoundingRule="Nearest 1",CEILING(((C22+IFERROR(INDEX(Products!$AK$5:$AK$304,15)*1,0))/(1-IFERROR(INDEX(ScenarioMargins,2),0)-IFERROR(INDEX(Products!$AI$5:$AI$304,15)*1,0))),1),IF(RoundingRule="Nearest 5",CEILING(((C22+IFERROR(INDEX(Products!$AK$5:$AK$304,15)*1,0))/(1-IFERROR(INDEX(ScenarioMargins,2),0)-IFERROR(INDEX(Products!$AI$5:$AI$304,15)*1,0))),5),IF(RoundingRule="Up to whole 1",CEILING(((C22+IFERROR(INDEX(Products!$AK$5:$AK$304,15)*1,0))/(1-IFERROR(INDEX(ScenarioMargins,2),0)-IFERROR(INDEX(Products!$AI$5:$AI$304,15)*1,0))),1),IF(RoundingRule="Up to whole 5",CEILING(((C22+IFERROR(INDEX(Products!$AK$5:$AK$304,15)*1,0))/(1-IFERROR(INDEX(ScenarioMargins,2),0)-IFERROR(INDEX(Products!$AI$5:$AI$304,15)*1,0))),5),ROUND(((C22+IFERROR(INDEX(Products!$AK$5:$AK$304,15)*1,0))/(1-IFERROR(INDEX(ScenarioMargins,2),0)-IFERROR(INDEX(Products!$AI$5:$AI$304,15)*1,0))),2))))))))),2)))</f>
        <v>0</v>
      </c>
      <c r="G22" s="20">
        <f>IF(C22="","",IF((1-IFERROR(INDEX(ScenarioMargins,3),0)-IFERROR(INDEX(Products!$AI$5:$AI$304,15)*1,0))&lt;=0,"",ROUND(IF(RoundingRule="None",((C22+IFERROR(INDEX(Products!$AK$5:$AK$304,15)*1,0))/(1-IFERROR(INDEX(ScenarioMargins,3),0)-IFERROR(INDEX(Products!$AI$5:$AI$304,15)*1,0))),IF(RoundingRule="Nearest 0.99",MAX(0.99,CEILING(((C22+IFERROR(INDEX(Products!$AK$5:$AK$304,15)*1,0))/(1-IFERROR(INDEX(ScenarioMargins,3),0)-IFERROR(INDEX(Products!$AI$5:$AI$304,15)*1,0))),1)-0.01),IF(RoundingRule="Nearest 0.95",MAX(0.95,CEILING(((C22+IFERROR(INDEX(Products!$AK$5:$AK$304,15)*1,0))/(1-IFERROR(INDEX(ScenarioMargins,3),0)-IFERROR(INDEX(Products!$AI$5:$AI$304,15)*1,0))),1)-0.05),IF(RoundingRule="Nearest 0.50",CEILING(((C22+IFERROR(INDEX(Products!$AK$5:$AK$304,15)*1,0))/(1-IFERROR(INDEX(ScenarioMargins,3),0)-IFERROR(INDEX(Products!$AI$5:$AI$304,15)*1,0))),0.5),IF(RoundingRule="Nearest 1",CEILING(((C22+IFERROR(INDEX(Products!$AK$5:$AK$304,15)*1,0))/(1-IFERROR(INDEX(ScenarioMargins,3),0)-IFERROR(INDEX(Products!$AI$5:$AI$304,15)*1,0))),1),IF(RoundingRule="Nearest 5",CEILING(((C22+IFERROR(INDEX(Products!$AK$5:$AK$304,15)*1,0))/(1-IFERROR(INDEX(ScenarioMargins,3),0)-IFERROR(INDEX(Products!$AI$5:$AI$304,15)*1,0))),5),IF(RoundingRule="Up to whole 1",CEILING(((C22+IFERROR(INDEX(Products!$AK$5:$AK$304,15)*1,0))/(1-IFERROR(INDEX(ScenarioMargins,3),0)-IFERROR(INDEX(Products!$AI$5:$AI$304,15)*1,0))),1),IF(RoundingRule="Up to whole 5",CEILING(((C22+IFERROR(INDEX(Products!$AK$5:$AK$304,15)*1,0))/(1-IFERROR(INDEX(ScenarioMargins,3),0)-IFERROR(INDEX(Products!$AI$5:$AI$304,15)*1,0))),5),ROUND(((C22+IFERROR(INDEX(Products!$AK$5:$AK$304,15)*1,0))/(1-IFERROR(INDEX(ScenarioMargins,3),0)-IFERROR(INDEX(Products!$AI$5:$AI$304,15)*1,0))),2))))))))),2)))</f>
        <v>0</v>
      </c>
      <c r="H22" s="20">
        <f>IF(C22="","",IF((1-IFERROR(INDEX(ScenarioMargins,4),0)-IFERROR(INDEX(Products!$AI$5:$AI$304,15)*1,0))&lt;=0,"",ROUND(IF(RoundingRule="None",((C22+IFERROR(INDEX(Products!$AK$5:$AK$304,15)*1,0))/(1-IFERROR(INDEX(ScenarioMargins,4),0)-IFERROR(INDEX(Products!$AI$5:$AI$304,15)*1,0))),IF(RoundingRule="Nearest 0.99",MAX(0.99,CEILING(((C22+IFERROR(INDEX(Products!$AK$5:$AK$304,15)*1,0))/(1-IFERROR(INDEX(ScenarioMargins,4),0)-IFERROR(INDEX(Products!$AI$5:$AI$304,15)*1,0))),1)-0.01),IF(RoundingRule="Nearest 0.95",MAX(0.95,CEILING(((C22+IFERROR(INDEX(Products!$AK$5:$AK$304,15)*1,0))/(1-IFERROR(INDEX(ScenarioMargins,4),0)-IFERROR(INDEX(Products!$AI$5:$AI$304,15)*1,0))),1)-0.05),IF(RoundingRule="Nearest 0.50",CEILING(((C22+IFERROR(INDEX(Products!$AK$5:$AK$304,15)*1,0))/(1-IFERROR(INDEX(ScenarioMargins,4),0)-IFERROR(INDEX(Products!$AI$5:$AI$304,15)*1,0))),0.5),IF(RoundingRule="Nearest 1",CEILING(((C22+IFERROR(INDEX(Products!$AK$5:$AK$304,15)*1,0))/(1-IFERROR(INDEX(ScenarioMargins,4),0)-IFERROR(INDEX(Products!$AI$5:$AI$304,15)*1,0))),1),IF(RoundingRule="Nearest 5",CEILING(((C22+IFERROR(INDEX(Products!$AK$5:$AK$304,15)*1,0))/(1-IFERROR(INDEX(ScenarioMargins,4),0)-IFERROR(INDEX(Products!$AI$5:$AI$304,15)*1,0))),5),IF(RoundingRule="Up to whole 1",CEILING(((C22+IFERROR(INDEX(Products!$AK$5:$AK$304,15)*1,0))/(1-IFERROR(INDEX(ScenarioMargins,4),0)-IFERROR(INDEX(Products!$AI$5:$AI$304,15)*1,0))),1),IF(RoundingRule="Up to whole 5",CEILING(((C22+IFERROR(INDEX(Products!$AK$5:$AK$304,15)*1,0))/(1-IFERROR(INDEX(ScenarioMargins,4),0)-IFERROR(INDEX(Products!$AI$5:$AI$304,15)*1,0))),5),ROUND(((C22+IFERROR(INDEX(Products!$AK$5:$AK$304,15)*1,0))/(1-IFERROR(INDEX(ScenarioMargins,4),0)-IFERROR(INDEX(Products!$AI$5:$AI$304,15)*1,0))),2))))))))),2)))</f>
        <v>0</v>
      </c>
      <c r="I22" s="20">
        <f>IF(C22="","",IF((1-IFERROR(INDEX(ScenarioMargins,5),0)-IFERROR(INDEX(Products!$AI$5:$AI$304,15)*1,0))&lt;=0,"",ROUND(IF(RoundingRule="None",((C22+IFERROR(INDEX(Products!$AK$5:$AK$304,15)*1,0))/(1-IFERROR(INDEX(ScenarioMargins,5),0)-IFERROR(INDEX(Products!$AI$5:$AI$304,15)*1,0))),IF(RoundingRule="Nearest 0.99",MAX(0.99,CEILING(((C22+IFERROR(INDEX(Products!$AK$5:$AK$304,15)*1,0))/(1-IFERROR(INDEX(ScenarioMargins,5),0)-IFERROR(INDEX(Products!$AI$5:$AI$304,15)*1,0))),1)-0.01),IF(RoundingRule="Nearest 0.95",MAX(0.95,CEILING(((C22+IFERROR(INDEX(Products!$AK$5:$AK$304,15)*1,0))/(1-IFERROR(INDEX(ScenarioMargins,5),0)-IFERROR(INDEX(Products!$AI$5:$AI$304,15)*1,0))),1)-0.05),IF(RoundingRule="Nearest 0.50",CEILING(((C22+IFERROR(INDEX(Products!$AK$5:$AK$304,15)*1,0))/(1-IFERROR(INDEX(ScenarioMargins,5),0)-IFERROR(INDEX(Products!$AI$5:$AI$304,15)*1,0))),0.5),IF(RoundingRule="Nearest 1",CEILING(((C22+IFERROR(INDEX(Products!$AK$5:$AK$304,15)*1,0))/(1-IFERROR(INDEX(ScenarioMargins,5),0)-IFERROR(INDEX(Products!$AI$5:$AI$304,15)*1,0))),1),IF(RoundingRule="Nearest 5",CEILING(((C22+IFERROR(INDEX(Products!$AK$5:$AK$304,15)*1,0))/(1-IFERROR(INDEX(ScenarioMargins,5),0)-IFERROR(INDEX(Products!$AI$5:$AI$304,15)*1,0))),5),IF(RoundingRule="Up to whole 1",CEILING(((C22+IFERROR(INDEX(Products!$AK$5:$AK$304,15)*1,0))/(1-IFERROR(INDEX(ScenarioMargins,5),0)-IFERROR(INDEX(Products!$AI$5:$AI$304,15)*1,0))),1),IF(RoundingRule="Up to whole 5",CEILING(((C22+IFERROR(INDEX(Products!$AK$5:$AK$304,15)*1,0))/(1-IFERROR(INDEX(ScenarioMargins,5),0)-IFERROR(INDEX(Products!$AI$5:$AI$304,15)*1,0))),5),ROUND(((C22+IFERROR(INDEX(Products!$AK$5:$AK$304,15)*1,0))/(1-IFERROR(INDEX(ScenarioMargins,5),0)-IFERROR(INDEX(Products!$AI$5:$AI$304,15)*1,0))),2))))))))),2)))</f>
        <v>0</v>
      </c>
      <c r="J22" s="13">
        <f>IF(D22="","",IF(D22&lt;E22,"Below the lowest",IF(D22&lt;F22,"Budget",IF(D22&lt;G22,"Conservative",IF(D22&lt;H22,"Standard",IF(D22&lt;I22,"Premium","Luxury"))))))</f>
        <v>0</v>
      </c>
    </row>
    <row r="24" spans="1:12">
      <c r="B24" s="12" t="s">
        <v>1953</v>
      </c>
      <c r="C24" s="12"/>
      <c r="D24" s="12"/>
      <c r="E24" s="12"/>
      <c r="F24" s="12"/>
      <c r="G24" s="12"/>
      <c r="H24" s="12"/>
      <c r="I24" s="12"/>
      <c r="J24" s="12"/>
      <c r="K24" s="12"/>
      <c r="L24" s="12"/>
    </row>
    <row r="26" spans="1:12" ht="20" customHeight="1">
      <c r="A26" s="7" t="s">
        <v>1954</v>
      </c>
      <c r="B26" s="7"/>
      <c r="C26" s="7"/>
      <c r="D26" s="7"/>
      <c r="E26" s="7"/>
      <c r="F26" s="7"/>
      <c r="G26" s="7"/>
      <c r="H26" s="7"/>
      <c r="I26" s="7"/>
      <c r="J26" s="7"/>
      <c r="K26" s="7"/>
      <c r="L26" s="7"/>
    </row>
    <row r="27" spans="1:12">
      <c r="B27" s="10" t="s">
        <v>354</v>
      </c>
      <c r="C27" s="10"/>
      <c r="D27" s="15" t="s">
        <v>511</v>
      </c>
      <c r="E27" s="15"/>
      <c r="F27" s="15"/>
      <c r="G27" s="12" t="s">
        <v>1955</v>
      </c>
      <c r="H27" s="12"/>
      <c r="I27" s="12"/>
      <c r="J27" s="12"/>
    </row>
    <row r="28" spans="1:12">
      <c r="B28" s="10" t="s">
        <v>462</v>
      </c>
      <c r="C28" s="10"/>
      <c r="D28" s="19">
        <f>TargetRetailMargin</f>
        <v>0</v>
      </c>
    </row>
    <row r="30" spans="1:12" ht="30" customHeight="1">
      <c r="B30" s="6" t="s">
        <v>1956</v>
      </c>
      <c r="C30" s="6"/>
      <c r="D30" s="6"/>
      <c r="E30" s="6"/>
      <c r="F30" s="6"/>
      <c r="G30" s="6"/>
      <c r="H30" s="6"/>
      <c r="I30" s="6"/>
      <c r="J30" s="6"/>
      <c r="K30" s="6"/>
      <c r="L30" s="6"/>
    </row>
    <row r="31" spans="1:12" ht="26" customHeight="1">
      <c r="B31" s="8" t="s">
        <v>441</v>
      </c>
      <c r="C31" s="9" t="s">
        <v>982</v>
      </c>
      <c r="D31" s="9" t="s">
        <v>481</v>
      </c>
      <c r="E31" s="9" t="s">
        <v>1957</v>
      </c>
      <c r="F31" s="9" t="s">
        <v>1958</v>
      </c>
      <c r="G31" s="9" t="s">
        <v>879</v>
      </c>
      <c r="H31" s="9" t="s">
        <v>1959</v>
      </c>
      <c r="I31" s="9" t="s">
        <v>1960</v>
      </c>
    </row>
    <row r="32" spans="1:12">
      <c r="B32" s="13">
        <f>IFERROR(INDEX(Channels!$A$5:$A$18,1)&amp;"","")</f>
        <v>0</v>
      </c>
      <c r="C32" s="33">
        <f>IF(IFERROR(INDEX(Channels!$A$5:$A$18,1)&amp;"","")="","",IFERROR(INDEX(Channels!$S$5:$S$18,1)*1,0))</f>
        <v>0</v>
      </c>
      <c r="D32" s="20">
        <f>IF(IFERROR(INDEX(Channels!$A$5:$A$18,1)&amp;"","")="","",IFERROR(INDEX(Channels!$T$5:$T$18,1)*1,0))</f>
        <v>0</v>
      </c>
      <c r="E32" s="20">
        <f>IF(B32="","",IF(1-ScTarget-C32&lt;=0,"",ROUND((IFERROR(INDEX(Products!$AT$5:$AT$304,MATCH(ScProduct,Products!$B$5:$B$304,0)),0)+D32)/(1-ScTarget-C32),2)))</f>
        <v>0</v>
      </c>
      <c r="F32" s="20">
        <f>IF(E32="","",ROUND(E32*C32+D32,2))</f>
        <v>0</v>
      </c>
      <c r="G32" s="20">
        <f>IF(E32="","",ROUND(E32-F32-IFERROR(INDEX(Products!$AT$5:$AT$304,MATCH(ScProduct,Products!$B$5:$B$304,0)),0),2))</f>
        <v>0</v>
      </c>
      <c r="H32" s="20">
        <f>IF(OR(B32="",IFERROR(INDEX(Products!$AR$5:$AR$304,MATCH(ScProduct,Products!$B$5:$B$304,0)),"")=""),"",ROUND(IFERROR(INDEX(Products!$AR$5:$AR$304,MATCH(ScProduct,Products!$B$5:$B$304,0)),"")-(IFERROR(INDEX(Products!$AR$5:$AR$304,MATCH(ScProduct,Products!$B$5:$B$304,0)),"")*C32+D32)-IFERROR(INDEX(Products!$AT$5:$AT$304,MATCH(ScProduct,Products!$B$5:$B$304,0)),0),2))</f>
        <v>0</v>
      </c>
      <c r="I32" s="33">
        <f>IF(OR(H32="",IFERROR(INDEX(Products!$AR$5:$AR$304,MATCH(ScProduct,Products!$B$5:$B$304,0)),"")=""),"",H32/IFERROR(INDEX(Products!$AR$5:$AR$304,MATCH(ScProduct,Products!$B$5:$B$304,0)),""))</f>
        <v>0</v>
      </c>
    </row>
    <row r="33" spans="1:12">
      <c r="B33" s="13">
        <f>IFERROR(INDEX(Channels!$A$5:$A$18,2)&amp;"","")</f>
        <v>0</v>
      </c>
      <c r="C33" s="33">
        <f>IF(IFERROR(INDEX(Channels!$A$5:$A$18,2)&amp;"","")="","",IFERROR(INDEX(Channels!$S$5:$S$18,2)*1,0))</f>
        <v>0</v>
      </c>
      <c r="D33" s="20">
        <f>IF(IFERROR(INDEX(Channels!$A$5:$A$18,2)&amp;"","")="","",IFERROR(INDEX(Channels!$T$5:$T$18,2)*1,0))</f>
        <v>0</v>
      </c>
      <c r="E33" s="20">
        <f>IF(B33="","",IF(1-ScTarget-C33&lt;=0,"",ROUND((IFERROR(INDEX(Products!$AT$5:$AT$304,MATCH(ScProduct,Products!$B$5:$B$304,0)),0)+D33)/(1-ScTarget-C33),2)))</f>
        <v>0</v>
      </c>
      <c r="F33" s="20">
        <f>IF(E33="","",ROUND(E33*C33+D33,2))</f>
        <v>0</v>
      </c>
      <c r="G33" s="20">
        <f>IF(E33="","",ROUND(E33-F33-IFERROR(INDEX(Products!$AT$5:$AT$304,MATCH(ScProduct,Products!$B$5:$B$304,0)),0),2))</f>
        <v>0</v>
      </c>
      <c r="H33" s="20">
        <f>IF(OR(B33="",IFERROR(INDEX(Products!$AR$5:$AR$304,MATCH(ScProduct,Products!$B$5:$B$304,0)),"")=""),"",ROUND(IFERROR(INDEX(Products!$AR$5:$AR$304,MATCH(ScProduct,Products!$B$5:$B$304,0)),"")-(IFERROR(INDEX(Products!$AR$5:$AR$304,MATCH(ScProduct,Products!$B$5:$B$304,0)),"")*C33+D33)-IFERROR(INDEX(Products!$AT$5:$AT$304,MATCH(ScProduct,Products!$B$5:$B$304,0)),0),2))</f>
        <v>0</v>
      </c>
      <c r="I33" s="33">
        <f>IF(OR(H33="",IFERROR(INDEX(Products!$AR$5:$AR$304,MATCH(ScProduct,Products!$B$5:$B$304,0)),"")=""),"",H33/IFERROR(INDEX(Products!$AR$5:$AR$304,MATCH(ScProduct,Products!$B$5:$B$304,0)),""))</f>
        <v>0</v>
      </c>
    </row>
    <row r="34" spans="1:12">
      <c r="B34" s="13">
        <f>IFERROR(INDEX(Channels!$A$5:$A$18,3)&amp;"","")</f>
        <v>0</v>
      </c>
      <c r="C34" s="33">
        <f>IF(IFERROR(INDEX(Channels!$A$5:$A$18,3)&amp;"","")="","",IFERROR(INDEX(Channels!$S$5:$S$18,3)*1,0))</f>
        <v>0</v>
      </c>
      <c r="D34" s="20">
        <f>IF(IFERROR(INDEX(Channels!$A$5:$A$18,3)&amp;"","")="","",IFERROR(INDEX(Channels!$T$5:$T$18,3)*1,0))</f>
        <v>0</v>
      </c>
      <c r="E34" s="20">
        <f>IF(B34="","",IF(1-ScTarget-C34&lt;=0,"",ROUND((IFERROR(INDEX(Products!$AT$5:$AT$304,MATCH(ScProduct,Products!$B$5:$B$304,0)),0)+D34)/(1-ScTarget-C34),2)))</f>
        <v>0</v>
      </c>
      <c r="F34" s="20">
        <f>IF(E34="","",ROUND(E34*C34+D34,2))</f>
        <v>0</v>
      </c>
      <c r="G34" s="20">
        <f>IF(E34="","",ROUND(E34-F34-IFERROR(INDEX(Products!$AT$5:$AT$304,MATCH(ScProduct,Products!$B$5:$B$304,0)),0),2))</f>
        <v>0</v>
      </c>
      <c r="H34" s="20">
        <f>IF(OR(B34="",IFERROR(INDEX(Products!$AR$5:$AR$304,MATCH(ScProduct,Products!$B$5:$B$304,0)),"")=""),"",ROUND(IFERROR(INDEX(Products!$AR$5:$AR$304,MATCH(ScProduct,Products!$B$5:$B$304,0)),"")-(IFERROR(INDEX(Products!$AR$5:$AR$304,MATCH(ScProduct,Products!$B$5:$B$304,0)),"")*C34+D34)-IFERROR(INDEX(Products!$AT$5:$AT$304,MATCH(ScProduct,Products!$B$5:$B$304,0)),0),2))</f>
        <v>0</v>
      </c>
      <c r="I34" s="33">
        <f>IF(OR(H34="",IFERROR(INDEX(Products!$AR$5:$AR$304,MATCH(ScProduct,Products!$B$5:$B$304,0)),"")=""),"",H34/IFERROR(INDEX(Products!$AR$5:$AR$304,MATCH(ScProduct,Products!$B$5:$B$304,0)),""))</f>
        <v>0</v>
      </c>
    </row>
    <row r="35" spans="1:12">
      <c r="B35" s="13">
        <f>IFERROR(INDEX(Channels!$A$5:$A$18,4)&amp;"","")</f>
        <v>0</v>
      </c>
      <c r="C35" s="33">
        <f>IF(IFERROR(INDEX(Channels!$A$5:$A$18,4)&amp;"","")="","",IFERROR(INDEX(Channels!$S$5:$S$18,4)*1,0))</f>
        <v>0</v>
      </c>
      <c r="D35" s="20">
        <f>IF(IFERROR(INDEX(Channels!$A$5:$A$18,4)&amp;"","")="","",IFERROR(INDEX(Channels!$T$5:$T$18,4)*1,0))</f>
        <v>0</v>
      </c>
      <c r="E35" s="20">
        <f>IF(B35="","",IF(1-ScTarget-C35&lt;=0,"",ROUND((IFERROR(INDEX(Products!$AT$5:$AT$304,MATCH(ScProduct,Products!$B$5:$B$304,0)),0)+D35)/(1-ScTarget-C35),2)))</f>
        <v>0</v>
      </c>
      <c r="F35" s="20">
        <f>IF(E35="","",ROUND(E35*C35+D35,2))</f>
        <v>0</v>
      </c>
      <c r="G35" s="20">
        <f>IF(E35="","",ROUND(E35-F35-IFERROR(INDEX(Products!$AT$5:$AT$304,MATCH(ScProduct,Products!$B$5:$B$304,0)),0),2))</f>
        <v>0</v>
      </c>
      <c r="H35" s="20">
        <f>IF(OR(B35="",IFERROR(INDEX(Products!$AR$5:$AR$304,MATCH(ScProduct,Products!$B$5:$B$304,0)),"")=""),"",ROUND(IFERROR(INDEX(Products!$AR$5:$AR$304,MATCH(ScProduct,Products!$B$5:$B$304,0)),"")-(IFERROR(INDEX(Products!$AR$5:$AR$304,MATCH(ScProduct,Products!$B$5:$B$304,0)),"")*C35+D35)-IFERROR(INDEX(Products!$AT$5:$AT$304,MATCH(ScProduct,Products!$B$5:$B$304,0)),0),2))</f>
        <v>0</v>
      </c>
      <c r="I35" s="33">
        <f>IF(OR(H35="",IFERROR(INDEX(Products!$AR$5:$AR$304,MATCH(ScProduct,Products!$B$5:$B$304,0)),"")=""),"",H35/IFERROR(INDEX(Products!$AR$5:$AR$304,MATCH(ScProduct,Products!$B$5:$B$304,0)),""))</f>
        <v>0</v>
      </c>
    </row>
    <row r="36" spans="1:12">
      <c r="B36" s="13">
        <f>IFERROR(INDEX(Channels!$A$5:$A$18,5)&amp;"","")</f>
        <v>0</v>
      </c>
      <c r="C36" s="33">
        <f>IF(IFERROR(INDEX(Channels!$A$5:$A$18,5)&amp;"","")="","",IFERROR(INDEX(Channels!$S$5:$S$18,5)*1,0))</f>
        <v>0</v>
      </c>
      <c r="D36" s="20">
        <f>IF(IFERROR(INDEX(Channels!$A$5:$A$18,5)&amp;"","")="","",IFERROR(INDEX(Channels!$T$5:$T$18,5)*1,0))</f>
        <v>0</v>
      </c>
      <c r="E36" s="20">
        <f>IF(B36="","",IF(1-ScTarget-C36&lt;=0,"",ROUND((IFERROR(INDEX(Products!$AT$5:$AT$304,MATCH(ScProduct,Products!$B$5:$B$304,0)),0)+D36)/(1-ScTarget-C36),2)))</f>
        <v>0</v>
      </c>
      <c r="F36" s="20">
        <f>IF(E36="","",ROUND(E36*C36+D36,2))</f>
        <v>0</v>
      </c>
      <c r="G36" s="20">
        <f>IF(E36="","",ROUND(E36-F36-IFERROR(INDEX(Products!$AT$5:$AT$304,MATCH(ScProduct,Products!$B$5:$B$304,0)),0),2))</f>
        <v>0</v>
      </c>
      <c r="H36" s="20">
        <f>IF(OR(B36="",IFERROR(INDEX(Products!$AR$5:$AR$304,MATCH(ScProduct,Products!$B$5:$B$304,0)),"")=""),"",ROUND(IFERROR(INDEX(Products!$AR$5:$AR$304,MATCH(ScProduct,Products!$B$5:$B$304,0)),"")-(IFERROR(INDEX(Products!$AR$5:$AR$304,MATCH(ScProduct,Products!$B$5:$B$304,0)),"")*C36+D36)-IFERROR(INDEX(Products!$AT$5:$AT$304,MATCH(ScProduct,Products!$B$5:$B$304,0)),0),2))</f>
        <v>0</v>
      </c>
      <c r="I36" s="33">
        <f>IF(OR(H36="",IFERROR(INDEX(Products!$AR$5:$AR$304,MATCH(ScProduct,Products!$B$5:$B$304,0)),"")=""),"",H36/IFERROR(INDEX(Products!$AR$5:$AR$304,MATCH(ScProduct,Products!$B$5:$B$304,0)),""))</f>
        <v>0</v>
      </c>
    </row>
    <row r="37" spans="1:12">
      <c r="B37" s="13">
        <f>IFERROR(INDEX(Channels!$A$5:$A$18,6)&amp;"","")</f>
        <v>0</v>
      </c>
      <c r="C37" s="33">
        <f>IF(IFERROR(INDEX(Channels!$A$5:$A$18,6)&amp;"","")="","",IFERROR(INDEX(Channels!$S$5:$S$18,6)*1,0))</f>
        <v>0</v>
      </c>
      <c r="D37" s="20">
        <f>IF(IFERROR(INDEX(Channels!$A$5:$A$18,6)&amp;"","")="","",IFERROR(INDEX(Channels!$T$5:$T$18,6)*1,0))</f>
        <v>0</v>
      </c>
      <c r="E37" s="20">
        <f>IF(B37="","",IF(1-ScTarget-C37&lt;=0,"",ROUND((IFERROR(INDEX(Products!$AT$5:$AT$304,MATCH(ScProduct,Products!$B$5:$B$304,0)),0)+D37)/(1-ScTarget-C37),2)))</f>
        <v>0</v>
      </c>
      <c r="F37" s="20">
        <f>IF(E37="","",ROUND(E37*C37+D37,2))</f>
        <v>0</v>
      </c>
      <c r="G37" s="20">
        <f>IF(E37="","",ROUND(E37-F37-IFERROR(INDEX(Products!$AT$5:$AT$304,MATCH(ScProduct,Products!$B$5:$B$304,0)),0),2))</f>
        <v>0</v>
      </c>
      <c r="H37" s="20">
        <f>IF(OR(B37="",IFERROR(INDEX(Products!$AR$5:$AR$304,MATCH(ScProduct,Products!$B$5:$B$304,0)),"")=""),"",ROUND(IFERROR(INDEX(Products!$AR$5:$AR$304,MATCH(ScProduct,Products!$B$5:$B$304,0)),"")-(IFERROR(INDEX(Products!$AR$5:$AR$304,MATCH(ScProduct,Products!$B$5:$B$304,0)),"")*C37+D37)-IFERROR(INDEX(Products!$AT$5:$AT$304,MATCH(ScProduct,Products!$B$5:$B$304,0)),0),2))</f>
        <v>0</v>
      </c>
      <c r="I37" s="33">
        <f>IF(OR(H37="",IFERROR(INDEX(Products!$AR$5:$AR$304,MATCH(ScProduct,Products!$B$5:$B$304,0)),"")=""),"",H37/IFERROR(INDEX(Products!$AR$5:$AR$304,MATCH(ScProduct,Products!$B$5:$B$304,0)),""))</f>
        <v>0</v>
      </c>
    </row>
    <row r="38" spans="1:12">
      <c r="B38" s="13">
        <f>IFERROR(INDEX(Channels!$A$5:$A$18,7)&amp;"","")</f>
        <v>0</v>
      </c>
      <c r="C38" s="33">
        <f>IF(IFERROR(INDEX(Channels!$A$5:$A$18,7)&amp;"","")="","",IFERROR(INDEX(Channels!$S$5:$S$18,7)*1,0))</f>
        <v>0</v>
      </c>
      <c r="D38" s="20">
        <f>IF(IFERROR(INDEX(Channels!$A$5:$A$18,7)&amp;"","")="","",IFERROR(INDEX(Channels!$T$5:$T$18,7)*1,0))</f>
        <v>0</v>
      </c>
      <c r="E38" s="20">
        <f>IF(B38="","",IF(1-ScTarget-C38&lt;=0,"",ROUND((IFERROR(INDEX(Products!$AT$5:$AT$304,MATCH(ScProduct,Products!$B$5:$B$304,0)),0)+D38)/(1-ScTarget-C38),2)))</f>
        <v>0</v>
      </c>
      <c r="F38" s="20">
        <f>IF(E38="","",ROUND(E38*C38+D38,2))</f>
        <v>0</v>
      </c>
      <c r="G38" s="20">
        <f>IF(E38="","",ROUND(E38-F38-IFERROR(INDEX(Products!$AT$5:$AT$304,MATCH(ScProduct,Products!$B$5:$B$304,0)),0),2))</f>
        <v>0</v>
      </c>
      <c r="H38" s="20">
        <f>IF(OR(B38="",IFERROR(INDEX(Products!$AR$5:$AR$304,MATCH(ScProduct,Products!$B$5:$B$304,0)),"")=""),"",ROUND(IFERROR(INDEX(Products!$AR$5:$AR$304,MATCH(ScProduct,Products!$B$5:$B$304,0)),"")-(IFERROR(INDEX(Products!$AR$5:$AR$304,MATCH(ScProduct,Products!$B$5:$B$304,0)),"")*C38+D38)-IFERROR(INDEX(Products!$AT$5:$AT$304,MATCH(ScProduct,Products!$B$5:$B$304,0)),0),2))</f>
        <v>0</v>
      </c>
      <c r="I38" s="33">
        <f>IF(OR(H38="",IFERROR(INDEX(Products!$AR$5:$AR$304,MATCH(ScProduct,Products!$B$5:$B$304,0)),"")=""),"",H38/IFERROR(INDEX(Products!$AR$5:$AR$304,MATCH(ScProduct,Products!$B$5:$B$304,0)),""))</f>
        <v>0</v>
      </c>
    </row>
    <row r="39" spans="1:12">
      <c r="B39" s="13">
        <f>IFERROR(INDEX(Channels!$A$5:$A$18,8)&amp;"","")</f>
        <v>0</v>
      </c>
      <c r="C39" s="33">
        <f>IF(IFERROR(INDEX(Channels!$A$5:$A$18,8)&amp;"","")="","",IFERROR(INDEX(Channels!$S$5:$S$18,8)*1,0))</f>
        <v>0</v>
      </c>
      <c r="D39" s="20">
        <f>IF(IFERROR(INDEX(Channels!$A$5:$A$18,8)&amp;"","")="","",IFERROR(INDEX(Channels!$T$5:$T$18,8)*1,0))</f>
        <v>0</v>
      </c>
      <c r="E39" s="20">
        <f>IF(B39="","",IF(1-ScTarget-C39&lt;=0,"",ROUND((IFERROR(INDEX(Products!$AT$5:$AT$304,MATCH(ScProduct,Products!$B$5:$B$304,0)),0)+D39)/(1-ScTarget-C39),2)))</f>
        <v>0</v>
      </c>
      <c r="F39" s="20">
        <f>IF(E39="","",ROUND(E39*C39+D39,2))</f>
        <v>0</v>
      </c>
      <c r="G39" s="20">
        <f>IF(E39="","",ROUND(E39-F39-IFERROR(INDEX(Products!$AT$5:$AT$304,MATCH(ScProduct,Products!$B$5:$B$304,0)),0),2))</f>
        <v>0</v>
      </c>
      <c r="H39" s="20">
        <f>IF(OR(B39="",IFERROR(INDEX(Products!$AR$5:$AR$304,MATCH(ScProduct,Products!$B$5:$B$304,0)),"")=""),"",ROUND(IFERROR(INDEX(Products!$AR$5:$AR$304,MATCH(ScProduct,Products!$B$5:$B$304,0)),"")-(IFERROR(INDEX(Products!$AR$5:$AR$304,MATCH(ScProduct,Products!$B$5:$B$304,0)),"")*C39+D39)-IFERROR(INDEX(Products!$AT$5:$AT$304,MATCH(ScProduct,Products!$B$5:$B$304,0)),0),2))</f>
        <v>0</v>
      </c>
      <c r="I39" s="33">
        <f>IF(OR(H39="",IFERROR(INDEX(Products!$AR$5:$AR$304,MATCH(ScProduct,Products!$B$5:$B$304,0)),"")=""),"",H39/IFERROR(INDEX(Products!$AR$5:$AR$304,MATCH(ScProduct,Products!$B$5:$B$304,0)),""))</f>
        <v>0</v>
      </c>
    </row>
    <row r="40" spans="1:12">
      <c r="B40" s="13">
        <f>IFERROR(INDEX(Channels!$A$5:$A$18,9)&amp;"","")</f>
        <v>0</v>
      </c>
      <c r="C40" s="33">
        <f>IF(IFERROR(INDEX(Channels!$A$5:$A$18,9)&amp;"","")="","",IFERROR(INDEX(Channels!$S$5:$S$18,9)*1,0))</f>
        <v>0</v>
      </c>
      <c r="D40" s="20">
        <f>IF(IFERROR(INDEX(Channels!$A$5:$A$18,9)&amp;"","")="","",IFERROR(INDEX(Channels!$T$5:$T$18,9)*1,0))</f>
        <v>0</v>
      </c>
      <c r="E40" s="20">
        <f>IF(B40="","",IF(1-ScTarget-C40&lt;=0,"",ROUND((IFERROR(INDEX(Products!$AT$5:$AT$304,MATCH(ScProduct,Products!$B$5:$B$304,0)),0)+D40)/(1-ScTarget-C40),2)))</f>
        <v>0</v>
      </c>
      <c r="F40" s="20">
        <f>IF(E40="","",ROUND(E40*C40+D40,2))</f>
        <v>0</v>
      </c>
      <c r="G40" s="20">
        <f>IF(E40="","",ROUND(E40-F40-IFERROR(INDEX(Products!$AT$5:$AT$304,MATCH(ScProduct,Products!$B$5:$B$304,0)),0),2))</f>
        <v>0</v>
      </c>
      <c r="H40" s="20">
        <f>IF(OR(B40="",IFERROR(INDEX(Products!$AR$5:$AR$304,MATCH(ScProduct,Products!$B$5:$B$304,0)),"")=""),"",ROUND(IFERROR(INDEX(Products!$AR$5:$AR$304,MATCH(ScProduct,Products!$B$5:$B$304,0)),"")-(IFERROR(INDEX(Products!$AR$5:$AR$304,MATCH(ScProduct,Products!$B$5:$B$304,0)),"")*C40+D40)-IFERROR(INDEX(Products!$AT$5:$AT$304,MATCH(ScProduct,Products!$B$5:$B$304,0)),0),2))</f>
        <v>0</v>
      </c>
      <c r="I40" s="33">
        <f>IF(OR(H40="",IFERROR(INDEX(Products!$AR$5:$AR$304,MATCH(ScProduct,Products!$B$5:$B$304,0)),"")=""),"",H40/IFERROR(INDEX(Products!$AR$5:$AR$304,MATCH(ScProduct,Products!$B$5:$B$304,0)),""))</f>
        <v>0</v>
      </c>
    </row>
    <row r="41" spans="1:12">
      <c r="B41" s="13">
        <f>IFERROR(INDEX(Channels!$A$5:$A$18,10)&amp;"","")</f>
        <v>0</v>
      </c>
      <c r="C41" s="33">
        <f>IF(IFERROR(INDEX(Channels!$A$5:$A$18,10)&amp;"","")="","",IFERROR(INDEX(Channels!$S$5:$S$18,10)*1,0))</f>
        <v>0</v>
      </c>
      <c r="D41" s="20">
        <f>IF(IFERROR(INDEX(Channels!$A$5:$A$18,10)&amp;"","")="","",IFERROR(INDEX(Channels!$T$5:$T$18,10)*1,0))</f>
        <v>0</v>
      </c>
      <c r="E41" s="20">
        <f>IF(B41="","",IF(1-ScTarget-C41&lt;=0,"",ROUND((IFERROR(INDEX(Products!$AT$5:$AT$304,MATCH(ScProduct,Products!$B$5:$B$304,0)),0)+D41)/(1-ScTarget-C41),2)))</f>
        <v>0</v>
      </c>
      <c r="F41" s="20">
        <f>IF(E41="","",ROUND(E41*C41+D41,2))</f>
        <v>0</v>
      </c>
      <c r="G41" s="20">
        <f>IF(E41="","",ROUND(E41-F41-IFERROR(INDEX(Products!$AT$5:$AT$304,MATCH(ScProduct,Products!$B$5:$B$304,0)),0),2))</f>
        <v>0</v>
      </c>
      <c r="H41" s="20">
        <f>IF(OR(B41="",IFERROR(INDEX(Products!$AR$5:$AR$304,MATCH(ScProduct,Products!$B$5:$B$304,0)),"")=""),"",ROUND(IFERROR(INDEX(Products!$AR$5:$AR$304,MATCH(ScProduct,Products!$B$5:$B$304,0)),"")-(IFERROR(INDEX(Products!$AR$5:$AR$304,MATCH(ScProduct,Products!$B$5:$B$304,0)),"")*C41+D41)-IFERROR(INDEX(Products!$AT$5:$AT$304,MATCH(ScProduct,Products!$B$5:$B$304,0)),0),2))</f>
        <v>0</v>
      </c>
      <c r="I41" s="33">
        <f>IF(OR(H41="",IFERROR(INDEX(Products!$AR$5:$AR$304,MATCH(ScProduct,Products!$B$5:$B$304,0)),"")=""),"",H41/IFERROR(INDEX(Products!$AR$5:$AR$304,MATCH(ScProduct,Products!$B$5:$B$304,0)),""))</f>
        <v>0</v>
      </c>
    </row>
    <row r="44" spans="1:12" ht="20" customHeight="1">
      <c r="A44" s="7" t="s">
        <v>1961</v>
      </c>
      <c r="B44" s="7"/>
      <c r="C44" s="7"/>
      <c r="D44" s="7"/>
      <c r="E44" s="7"/>
      <c r="F44" s="7"/>
      <c r="G44" s="7"/>
      <c r="H44" s="7"/>
      <c r="I44" s="7"/>
      <c r="J44" s="7"/>
      <c r="K44" s="7"/>
      <c r="L44" s="7"/>
    </row>
    <row r="45" spans="1:12" ht="30" customHeight="1">
      <c r="B45" s="6" t="s">
        <v>1962</v>
      </c>
      <c r="C45" s="6"/>
      <c r="D45" s="6"/>
      <c r="E45" s="6"/>
      <c r="F45" s="6"/>
      <c r="G45" s="6"/>
      <c r="H45" s="6"/>
      <c r="I45" s="6"/>
      <c r="J45" s="6"/>
      <c r="K45" s="6"/>
      <c r="L45" s="6"/>
    </row>
    <row r="46" spans="1:12" ht="26" customHeight="1">
      <c r="B46" s="8" t="s">
        <v>1963</v>
      </c>
      <c r="C46" s="9" t="s">
        <v>1964</v>
      </c>
      <c r="D46" s="9" t="s">
        <v>1965</v>
      </c>
      <c r="E46" s="9" t="s">
        <v>1966</v>
      </c>
      <c r="F46" s="9" t="s">
        <v>1967</v>
      </c>
      <c r="G46" s="9" t="s">
        <v>1968</v>
      </c>
      <c r="H46" s="9" t="s">
        <v>1096</v>
      </c>
    </row>
    <row r="47" spans="1:12">
      <c r="B47" s="37">
        <v>0</v>
      </c>
      <c r="C47" s="20">
        <f>ROUND(IFERROR(INDEX(Products!$T$5:$T$304,MATCH(ScProduct,Products!$B$5:$B$304,0)),0)*1.0,2)</f>
        <v>0</v>
      </c>
      <c r="D47" s="20">
        <f>ROUND(IFERROR(INDEX(Products!$AT$5:$AT$304,MATCH(ScProduct,Products!$B$5:$B$304,0)),0)+IFERROR(INDEX(Products!$T$5:$T$304,MATCH(ScProduct,Products!$B$5:$B$304,0)),0)*0.0,2)</f>
        <v>0</v>
      </c>
      <c r="E47" s="33">
        <f>IF(OR(IFERROR(INDEX(Products!$AR$5:$AR$304,MATCH(ScProduct,Products!$B$5:$B$304,0)),"")="",IFERROR(INDEX(Products!$AR$5:$AR$304,MATCH(ScProduct,Products!$B$5:$B$304,0)),"")=0),"",(IFERROR(INDEX(Products!$AR$5:$AR$304,MATCH(ScProduct,Products!$B$5:$B$304,0)),"")-D47-(IFERROR(INDEX(Products!$AR$5:$AR$304,MATCH(ScProduct,Products!$B$5:$B$304,0)),"")*IFERROR(INDEX(Products!$AI$5:$AI$304,MATCH(ScProduct,Products!$B$5:$B$304,0)),0)+IFERROR(INDEX(Products!$AK$5:$AK$304,MATCH(ScProduct,Products!$B$5:$B$304,0)),0)))/IFERROR(INDEX(Products!$AR$5:$AR$304,MATCH(ScProduct,Products!$B$5:$B$304,0)),""))</f>
        <v>0</v>
      </c>
      <c r="F47" s="20">
        <f>IF(1-ScTarget-IFERROR(INDEX(Products!$AI$5:$AI$304,MATCH(ScProduct,Products!$B$5:$B$304,0)),0)&lt;=0,"",ROUND((D47+IFERROR(INDEX(Products!$AK$5:$AK$304,MATCH(ScProduct,Products!$B$5:$B$304,0)),0))/(1-ScTarget-IFERROR(INDEX(Products!$AI$5:$AI$304,MATCH(ScProduct,Products!$B$5:$B$304,0)),0)),2))</f>
        <v>0</v>
      </c>
      <c r="G47" s="33">
        <f>IF(OR(IFERROR(INDEX(Products!$AR$5:$AR$304,MATCH(ScProduct,Products!$B$5:$B$304,0)),"")="",IFERROR(INDEX(Products!$AR$5:$AR$304,MATCH(ScProduct,Products!$B$5:$B$304,0)),"")=0,F47=""),"",F47/IFERROR(INDEX(Products!$AR$5:$AR$304,MATCH(ScProduct,Products!$B$5:$B$304,0)),"")-1)</f>
        <v>0</v>
      </c>
      <c r="H47" s="13">
        <f>IF(E47="","",IF(E47&lt;0,"You would be losing money",IF(E47&lt;MarginWarning,"Margin gone - must re-price",IF(G47&gt;0.1,"Needs a real price rise","Absorbable"))))</f>
        <v>0</v>
      </c>
    </row>
    <row r="48" spans="1:12">
      <c r="B48" s="37">
        <v>0.05</v>
      </c>
      <c r="C48" s="20">
        <f>ROUND(IFERROR(INDEX(Products!$T$5:$T$304,MATCH(ScProduct,Products!$B$5:$B$304,0)),0)*1.05,2)</f>
        <v>0</v>
      </c>
      <c r="D48" s="20">
        <f>ROUND(IFERROR(INDEX(Products!$AT$5:$AT$304,MATCH(ScProduct,Products!$B$5:$B$304,0)),0)+IFERROR(INDEX(Products!$T$5:$T$304,MATCH(ScProduct,Products!$B$5:$B$304,0)),0)*0.05,2)</f>
        <v>0</v>
      </c>
      <c r="E48" s="33">
        <f>IF(OR(IFERROR(INDEX(Products!$AR$5:$AR$304,MATCH(ScProduct,Products!$B$5:$B$304,0)),"")="",IFERROR(INDEX(Products!$AR$5:$AR$304,MATCH(ScProduct,Products!$B$5:$B$304,0)),"")=0),"",(IFERROR(INDEX(Products!$AR$5:$AR$304,MATCH(ScProduct,Products!$B$5:$B$304,0)),"")-D48-(IFERROR(INDEX(Products!$AR$5:$AR$304,MATCH(ScProduct,Products!$B$5:$B$304,0)),"")*IFERROR(INDEX(Products!$AI$5:$AI$304,MATCH(ScProduct,Products!$B$5:$B$304,0)),0)+IFERROR(INDEX(Products!$AK$5:$AK$304,MATCH(ScProduct,Products!$B$5:$B$304,0)),0)))/IFERROR(INDEX(Products!$AR$5:$AR$304,MATCH(ScProduct,Products!$B$5:$B$304,0)),""))</f>
        <v>0</v>
      </c>
      <c r="F48" s="20">
        <f>IF(1-ScTarget-IFERROR(INDEX(Products!$AI$5:$AI$304,MATCH(ScProduct,Products!$B$5:$B$304,0)),0)&lt;=0,"",ROUND((D48+IFERROR(INDEX(Products!$AK$5:$AK$304,MATCH(ScProduct,Products!$B$5:$B$304,0)),0))/(1-ScTarget-IFERROR(INDEX(Products!$AI$5:$AI$304,MATCH(ScProduct,Products!$B$5:$B$304,0)),0)),2))</f>
        <v>0</v>
      </c>
      <c r="G48" s="33">
        <f>IF(OR(IFERROR(INDEX(Products!$AR$5:$AR$304,MATCH(ScProduct,Products!$B$5:$B$304,0)),"")="",IFERROR(INDEX(Products!$AR$5:$AR$304,MATCH(ScProduct,Products!$B$5:$B$304,0)),"")=0,F48=""),"",F48/IFERROR(INDEX(Products!$AR$5:$AR$304,MATCH(ScProduct,Products!$B$5:$B$304,0)),"")-1)</f>
        <v>0</v>
      </c>
      <c r="H48" s="13">
        <f>IF(E48="","",IF(E48&lt;0,"You would be losing money",IF(E48&lt;MarginWarning,"Margin gone - must re-price",IF(G48&gt;0.1,"Needs a real price rise","Absorbable"))))</f>
        <v>0</v>
      </c>
    </row>
    <row r="49" spans="1:12">
      <c r="B49" s="37">
        <v>0.1</v>
      </c>
      <c r="C49" s="20">
        <f>ROUND(IFERROR(INDEX(Products!$T$5:$T$304,MATCH(ScProduct,Products!$B$5:$B$304,0)),0)*1.1,2)</f>
        <v>0</v>
      </c>
      <c r="D49" s="20">
        <f>ROUND(IFERROR(INDEX(Products!$AT$5:$AT$304,MATCH(ScProduct,Products!$B$5:$B$304,0)),0)+IFERROR(INDEX(Products!$T$5:$T$304,MATCH(ScProduct,Products!$B$5:$B$304,0)),0)*0.1,2)</f>
        <v>0</v>
      </c>
      <c r="E49" s="33">
        <f>IF(OR(IFERROR(INDEX(Products!$AR$5:$AR$304,MATCH(ScProduct,Products!$B$5:$B$304,0)),"")="",IFERROR(INDEX(Products!$AR$5:$AR$304,MATCH(ScProduct,Products!$B$5:$B$304,0)),"")=0),"",(IFERROR(INDEX(Products!$AR$5:$AR$304,MATCH(ScProduct,Products!$B$5:$B$304,0)),"")-D49-(IFERROR(INDEX(Products!$AR$5:$AR$304,MATCH(ScProduct,Products!$B$5:$B$304,0)),"")*IFERROR(INDEX(Products!$AI$5:$AI$304,MATCH(ScProduct,Products!$B$5:$B$304,0)),0)+IFERROR(INDEX(Products!$AK$5:$AK$304,MATCH(ScProduct,Products!$B$5:$B$304,0)),0)))/IFERROR(INDEX(Products!$AR$5:$AR$304,MATCH(ScProduct,Products!$B$5:$B$304,0)),""))</f>
        <v>0</v>
      </c>
      <c r="F49" s="20">
        <f>IF(1-ScTarget-IFERROR(INDEX(Products!$AI$5:$AI$304,MATCH(ScProduct,Products!$B$5:$B$304,0)),0)&lt;=0,"",ROUND((D49+IFERROR(INDEX(Products!$AK$5:$AK$304,MATCH(ScProduct,Products!$B$5:$B$304,0)),0))/(1-ScTarget-IFERROR(INDEX(Products!$AI$5:$AI$304,MATCH(ScProduct,Products!$B$5:$B$304,0)),0)),2))</f>
        <v>0</v>
      </c>
      <c r="G49" s="33">
        <f>IF(OR(IFERROR(INDEX(Products!$AR$5:$AR$304,MATCH(ScProduct,Products!$B$5:$B$304,0)),"")="",IFERROR(INDEX(Products!$AR$5:$AR$304,MATCH(ScProduct,Products!$B$5:$B$304,0)),"")=0,F49=""),"",F49/IFERROR(INDEX(Products!$AR$5:$AR$304,MATCH(ScProduct,Products!$B$5:$B$304,0)),"")-1)</f>
        <v>0</v>
      </c>
      <c r="H49" s="13">
        <f>IF(E49="","",IF(E49&lt;0,"You would be losing money",IF(E49&lt;MarginWarning,"Margin gone - must re-price",IF(G49&gt;0.1,"Needs a real price rise","Absorbable"))))</f>
        <v>0</v>
      </c>
    </row>
    <row r="50" spans="1:12">
      <c r="B50" s="37">
        <v>0.15</v>
      </c>
      <c r="C50" s="20">
        <f>ROUND(IFERROR(INDEX(Products!$T$5:$T$304,MATCH(ScProduct,Products!$B$5:$B$304,0)),0)*1.15,2)</f>
        <v>0</v>
      </c>
      <c r="D50" s="20">
        <f>ROUND(IFERROR(INDEX(Products!$AT$5:$AT$304,MATCH(ScProduct,Products!$B$5:$B$304,0)),0)+IFERROR(INDEX(Products!$T$5:$T$304,MATCH(ScProduct,Products!$B$5:$B$304,0)),0)*0.15,2)</f>
        <v>0</v>
      </c>
      <c r="E50" s="33">
        <f>IF(OR(IFERROR(INDEX(Products!$AR$5:$AR$304,MATCH(ScProduct,Products!$B$5:$B$304,0)),"")="",IFERROR(INDEX(Products!$AR$5:$AR$304,MATCH(ScProduct,Products!$B$5:$B$304,0)),"")=0),"",(IFERROR(INDEX(Products!$AR$5:$AR$304,MATCH(ScProduct,Products!$B$5:$B$304,0)),"")-D50-(IFERROR(INDEX(Products!$AR$5:$AR$304,MATCH(ScProduct,Products!$B$5:$B$304,0)),"")*IFERROR(INDEX(Products!$AI$5:$AI$304,MATCH(ScProduct,Products!$B$5:$B$304,0)),0)+IFERROR(INDEX(Products!$AK$5:$AK$304,MATCH(ScProduct,Products!$B$5:$B$304,0)),0)))/IFERROR(INDEX(Products!$AR$5:$AR$304,MATCH(ScProduct,Products!$B$5:$B$304,0)),""))</f>
        <v>0</v>
      </c>
      <c r="F50" s="20">
        <f>IF(1-ScTarget-IFERROR(INDEX(Products!$AI$5:$AI$304,MATCH(ScProduct,Products!$B$5:$B$304,0)),0)&lt;=0,"",ROUND((D50+IFERROR(INDEX(Products!$AK$5:$AK$304,MATCH(ScProduct,Products!$B$5:$B$304,0)),0))/(1-ScTarget-IFERROR(INDEX(Products!$AI$5:$AI$304,MATCH(ScProduct,Products!$B$5:$B$304,0)),0)),2))</f>
        <v>0</v>
      </c>
      <c r="G50" s="33">
        <f>IF(OR(IFERROR(INDEX(Products!$AR$5:$AR$304,MATCH(ScProduct,Products!$B$5:$B$304,0)),"")="",IFERROR(INDEX(Products!$AR$5:$AR$304,MATCH(ScProduct,Products!$B$5:$B$304,0)),"")=0,F50=""),"",F50/IFERROR(INDEX(Products!$AR$5:$AR$304,MATCH(ScProduct,Products!$B$5:$B$304,0)),"")-1)</f>
        <v>0</v>
      </c>
      <c r="H50" s="13">
        <f>IF(E50="","",IF(E50&lt;0,"You would be losing money",IF(E50&lt;MarginWarning,"Margin gone - must re-price",IF(G50&gt;0.1,"Needs a real price rise","Absorbable"))))</f>
        <v>0</v>
      </c>
    </row>
    <row r="51" spans="1:12">
      <c r="B51" s="37">
        <v>0.25</v>
      </c>
      <c r="C51" s="20">
        <f>ROUND(IFERROR(INDEX(Products!$T$5:$T$304,MATCH(ScProduct,Products!$B$5:$B$304,0)),0)*1.25,2)</f>
        <v>0</v>
      </c>
      <c r="D51" s="20">
        <f>ROUND(IFERROR(INDEX(Products!$AT$5:$AT$304,MATCH(ScProduct,Products!$B$5:$B$304,0)),0)+IFERROR(INDEX(Products!$T$5:$T$304,MATCH(ScProduct,Products!$B$5:$B$304,0)),0)*0.25,2)</f>
        <v>0</v>
      </c>
      <c r="E51" s="33">
        <f>IF(OR(IFERROR(INDEX(Products!$AR$5:$AR$304,MATCH(ScProduct,Products!$B$5:$B$304,0)),"")="",IFERROR(INDEX(Products!$AR$5:$AR$304,MATCH(ScProduct,Products!$B$5:$B$304,0)),"")=0),"",(IFERROR(INDEX(Products!$AR$5:$AR$304,MATCH(ScProduct,Products!$B$5:$B$304,0)),"")-D51-(IFERROR(INDEX(Products!$AR$5:$AR$304,MATCH(ScProduct,Products!$B$5:$B$304,0)),"")*IFERROR(INDEX(Products!$AI$5:$AI$304,MATCH(ScProduct,Products!$B$5:$B$304,0)),0)+IFERROR(INDEX(Products!$AK$5:$AK$304,MATCH(ScProduct,Products!$B$5:$B$304,0)),0)))/IFERROR(INDEX(Products!$AR$5:$AR$304,MATCH(ScProduct,Products!$B$5:$B$304,0)),""))</f>
        <v>0</v>
      </c>
      <c r="F51" s="20">
        <f>IF(1-ScTarget-IFERROR(INDEX(Products!$AI$5:$AI$304,MATCH(ScProduct,Products!$B$5:$B$304,0)),0)&lt;=0,"",ROUND((D51+IFERROR(INDEX(Products!$AK$5:$AK$304,MATCH(ScProduct,Products!$B$5:$B$304,0)),0))/(1-ScTarget-IFERROR(INDEX(Products!$AI$5:$AI$304,MATCH(ScProduct,Products!$B$5:$B$304,0)),0)),2))</f>
        <v>0</v>
      </c>
      <c r="G51" s="33">
        <f>IF(OR(IFERROR(INDEX(Products!$AR$5:$AR$304,MATCH(ScProduct,Products!$B$5:$B$304,0)),"")="",IFERROR(INDEX(Products!$AR$5:$AR$304,MATCH(ScProduct,Products!$B$5:$B$304,0)),"")=0,F51=""),"",F51/IFERROR(INDEX(Products!$AR$5:$AR$304,MATCH(ScProduct,Products!$B$5:$B$304,0)),"")-1)</f>
        <v>0</v>
      </c>
      <c r="H51" s="13">
        <f>IF(E51="","",IF(E51&lt;0,"You would be losing money",IF(E51&lt;MarginWarning,"Margin gone - must re-price",IF(G51&gt;0.1,"Needs a real price rise","Absorbable"))))</f>
        <v>0</v>
      </c>
    </row>
    <row r="52" spans="1:12">
      <c r="B52" s="37">
        <v>0.4</v>
      </c>
      <c r="C52" s="20">
        <f>ROUND(IFERROR(INDEX(Products!$T$5:$T$304,MATCH(ScProduct,Products!$B$5:$B$304,0)),0)*1.4,2)</f>
        <v>0</v>
      </c>
      <c r="D52" s="20">
        <f>ROUND(IFERROR(INDEX(Products!$AT$5:$AT$304,MATCH(ScProduct,Products!$B$5:$B$304,0)),0)+IFERROR(INDEX(Products!$T$5:$T$304,MATCH(ScProduct,Products!$B$5:$B$304,0)),0)*0.4,2)</f>
        <v>0</v>
      </c>
      <c r="E52" s="33">
        <f>IF(OR(IFERROR(INDEX(Products!$AR$5:$AR$304,MATCH(ScProduct,Products!$B$5:$B$304,0)),"")="",IFERROR(INDEX(Products!$AR$5:$AR$304,MATCH(ScProduct,Products!$B$5:$B$304,0)),"")=0),"",(IFERROR(INDEX(Products!$AR$5:$AR$304,MATCH(ScProduct,Products!$B$5:$B$304,0)),"")-D52-(IFERROR(INDEX(Products!$AR$5:$AR$304,MATCH(ScProduct,Products!$B$5:$B$304,0)),"")*IFERROR(INDEX(Products!$AI$5:$AI$304,MATCH(ScProduct,Products!$B$5:$B$304,0)),0)+IFERROR(INDEX(Products!$AK$5:$AK$304,MATCH(ScProduct,Products!$B$5:$B$304,0)),0)))/IFERROR(INDEX(Products!$AR$5:$AR$304,MATCH(ScProduct,Products!$B$5:$B$304,0)),""))</f>
        <v>0</v>
      </c>
      <c r="F52" s="20">
        <f>IF(1-ScTarget-IFERROR(INDEX(Products!$AI$5:$AI$304,MATCH(ScProduct,Products!$B$5:$B$304,0)),0)&lt;=0,"",ROUND((D52+IFERROR(INDEX(Products!$AK$5:$AK$304,MATCH(ScProduct,Products!$B$5:$B$304,0)),0))/(1-ScTarget-IFERROR(INDEX(Products!$AI$5:$AI$304,MATCH(ScProduct,Products!$B$5:$B$304,0)),0)),2))</f>
        <v>0</v>
      </c>
      <c r="G52" s="33">
        <f>IF(OR(IFERROR(INDEX(Products!$AR$5:$AR$304,MATCH(ScProduct,Products!$B$5:$B$304,0)),"")="",IFERROR(INDEX(Products!$AR$5:$AR$304,MATCH(ScProduct,Products!$B$5:$B$304,0)),"")=0,F52=""),"",F52/IFERROR(INDEX(Products!$AR$5:$AR$304,MATCH(ScProduct,Products!$B$5:$B$304,0)),"")-1)</f>
        <v>0</v>
      </c>
      <c r="H52" s="13">
        <f>IF(E52="","",IF(E52&lt;0,"You would be losing money",IF(E52&lt;MarginWarning,"Margin gone - must re-price",IF(G52&gt;0.1,"Needs a real price rise","Absorbable"))))</f>
        <v>0</v>
      </c>
    </row>
    <row r="55" spans="1:12" ht="20" customHeight="1">
      <c r="A55" s="7" t="s">
        <v>1969</v>
      </c>
      <c r="B55" s="7"/>
      <c r="C55" s="7"/>
      <c r="D55" s="7"/>
      <c r="E55" s="7"/>
      <c r="F55" s="7"/>
      <c r="G55" s="7"/>
      <c r="H55" s="7"/>
      <c r="I55" s="7"/>
      <c r="J55" s="7"/>
      <c r="K55" s="7"/>
      <c r="L55" s="7"/>
    </row>
    <row r="56" spans="1:12" ht="28" customHeight="1">
      <c r="B56" s="6" t="s">
        <v>1970</v>
      </c>
      <c r="C56" s="6"/>
      <c r="D56" s="6"/>
      <c r="E56" s="6"/>
      <c r="F56" s="6"/>
      <c r="G56" s="6"/>
      <c r="H56" s="6"/>
      <c r="I56" s="6"/>
      <c r="J56" s="6"/>
      <c r="K56" s="6"/>
      <c r="L56" s="6"/>
    </row>
    <row r="57" spans="1:12" ht="26" customHeight="1">
      <c r="B57" s="8" t="s">
        <v>1971</v>
      </c>
      <c r="C57" s="9" t="s">
        <v>1972</v>
      </c>
      <c r="D57" s="9" t="s">
        <v>1973</v>
      </c>
      <c r="E57" s="9" t="s">
        <v>815</v>
      </c>
      <c r="F57" s="9" t="s">
        <v>1974</v>
      </c>
      <c r="G57" s="9" t="s">
        <v>42</v>
      </c>
      <c r="H57" s="9" t="s">
        <v>492</v>
      </c>
    </row>
    <row r="58" spans="1:12">
      <c r="B58" s="32">
        <v>1</v>
      </c>
      <c r="C58" s="36">
        <f>ROUND(IFERROR(INDEX(Products!$X$5:$X$304,MATCH(ScProduct,Products!$B$5:$B$304,0)),0)*1.0,1)</f>
        <v>0</v>
      </c>
      <c r="D58" s="20">
        <f>ROUND(IFERROR(INDEX(Products!$Z$5:$Z$304,MATCH(ScProduct,Products!$B$5:$B$304,0)),0)*1.0,2)</f>
        <v>0</v>
      </c>
      <c r="E58" s="20">
        <f>ROUND(IFERROR(INDEX(Products!$AT$5:$AT$304,MATCH(ScProduct,Products!$B$5:$B$304,0)),0)-IFERROR(INDEX(Products!$Z$5:$Z$304,MATCH(ScProduct,Products!$B$5:$B$304,0)),0)+D58,2)</f>
        <v>0</v>
      </c>
      <c r="F58" s="20">
        <f>IF(IFERROR(INDEX(Products!$AR$5:$AR$304,MATCH(ScProduct,Products!$B$5:$B$304,0)),"")="","",ROUND(IFERROR(INDEX(Products!$AR$5:$AR$304,MATCH(ScProduct,Products!$B$5:$B$304,0)),"")-E58-(IFERROR(INDEX(Products!$AR$5:$AR$304,MATCH(ScProduct,Products!$B$5:$B$304,0)),"")*IFERROR(INDEX(Products!$AI$5:$AI$304,MATCH(ScProduct,Products!$B$5:$B$304,0)),0)+IFERROR(INDEX(Products!$AK$5:$AK$304,MATCH(ScProduct,Products!$B$5:$B$304,0)),0)),2))</f>
        <v>0</v>
      </c>
      <c r="G58" s="33">
        <f>IF(OR(IFERROR(INDEX(Products!$AR$5:$AR$304,MATCH(ScProduct,Products!$B$5:$B$304,0)),"")="",IFERROR(INDEX(Products!$AR$5:$AR$304,MATCH(ScProduct,Products!$B$5:$B$304,0)),"")=0),"",F58/IFERROR(INDEX(Products!$AR$5:$AR$304,MATCH(ScProduct,Products!$B$5:$B$304,0)),""))</f>
        <v>0</v>
      </c>
      <c r="H58" s="20">
        <f>IF(OR(C58=0,F58=""),"",ROUND((F58+D58)/(C58/60),2))</f>
        <v>0</v>
      </c>
    </row>
    <row r="59" spans="1:12">
      <c r="B59" s="32">
        <v>3</v>
      </c>
      <c r="C59" s="36">
        <f>ROUND(IFERROR(INDEX(Products!$X$5:$X$304,MATCH(ScProduct,Products!$B$5:$B$304,0)),0)*0.88,1)</f>
        <v>0</v>
      </c>
      <c r="D59" s="20">
        <f>ROUND(IFERROR(INDEX(Products!$Z$5:$Z$304,MATCH(ScProduct,Products!$B$5:$B$304,0)),0)*0.88,2)</f>
        <v>0</v>
      </c>
      <c r="E59" s="20">
        <f>ROUND(IFERROR(INDEX(Products!$AT$5:$AT$304,MATCH(ScProduct,Products!$B$5:$B$304,0)),0)-IFERROR(INDEX(Products!$Z$5:$Z$304,MATCH(ScProduct,Products!$B$5:$B$304,0)),0)+D59,2)</f>
        <v>0</v>
      </c>
      <c r="F59" s="20">
        <f>IF(IFERROR(INDEX(Products!$AR$5:$AR$304,MATCH(ScProduct,Products!$B$5:$B$304,0)),"")="","",ROUND(IFERROR(INDEX(Products!$AR$5:$AR$304,MATCH(ScProduct,Products!$B$5:$B$304,0)),"")-E59-(IFERROR(INDEX(Products!$AR$5:$AR$304,MATCH(ScProduct,Products!$B$5:$B$304,0)),"")*IFERROR(INDEX(Products!$AI$5:$AI$304,MATCH(ScProduct,Products!$B$5:$B$304,0)),0)+IFERROR(INDEX(Products!$AK$5:$AK$304,MATCH(ScProduct,Products!$B$5:$B$304,0)),0)),2))</f>
        <v>0</v>
      </c>
      <c r="G59" s="33">
        <f>IF(OR(IFERROR(INDEX(Products!$AR$5:$AR$304,MATCH(ScProduct,Products!$B$5:$B$304,0)),"")="",IFERROR(INDEX(Products!$AR$5:$AR$304,MATCH(ScProduct,Products!$B$5:$B$304,0)),"")=0),"",F59/IFERROR(INDEX(Products!$AR$5:$AR$304,MATCH(ScProduct,Products!$B$5:$B$304,0)),""))</f>
        <v>0</v>
      </c>
      <c r="H59" s="20">
        <f>IF(OR(C59=0,F59=""),"",ROUND((F59+D59)/(C59/60),2))</f>
        <v>0</v>
      </c>
    </row>
    <row r="60" spans="1:12">
      <c r="B60" s="32">
        <v>6</v>
      </c>
      <c r="C60" s="36">
        <f>ROUND(IFERROR(INDEX(Products!$X$5:$X$304,MATCH(ScProduct,Products!$B$5:$B$304,0)),0)*0.8,1)</f>
        <v>0</v>
      </c>
      <c r="D60" s="20">
        <f>ROUND(IFERROR(INDEX(Products!$Z$5:$Z$304,MATCH(ScProduct,Products!$B$5:$B$304,0)),0)*0.8,2)</f>
        <v>0</v>
      </c>
      <c r="E60" s="20">
        <f>ROUND(IFERROR(INDEX(Products!$AT$5:$AT$304,MATCH(ScProduct,Products!$B$5:$B$304,0)),0)-IFERROR(INDEX(Products!$Z$5:$Z$304,MATCH(ScProduct,Products!$B$5:$B$304,0)),0)+D60,2)</f>
        <v>0</v>
      </c>
      <c r="F60" s="20">
        <f>IF(IFERROR(INDEX(Products!$AR$5:$AR$304,MATCH(ScProduct,Products!$B$5:$B$304,0)),"")="","",ROUND(IFERROR(INDEX(Products!$AR$5:$AR$304,MATCH(ScProduct,Products!$B$5:$B$304,0)),"")-E60-(IFERROR(INDEX(Products!$AR$5:$AR$304,MATCH(ScProduct,Products!$B$5:$B$304,0)),"")*IFERROR(INDEX(Products!$AI$5:$AI$304,MATCH(ScProduct,Products!$B$5:$B$304,0)),0)+IFERROR(INDEX(Products!$AK$5:$AK$304,MATCH(ScProduct,Products!$B$5:$B$304,0)),0)),2))</f>
        <v>0</v>
      </c>
      <c r="G60" s="33">
        <f>IF(OR(IFERROR(INDEX(Products!$AR$5:$AR$304,MATCH(ScProduct,Products!$B$5:$B$304,0)),"")="",IFERROR(INDEX(Products!$AR$5:$AR$304,MATCH(ScProduct,Products!$B$5:$B$304,0)),"")=0),"",F60/IFERROR(INDEX(Products!$AR$5:$AR$304,MATCH(ScProduct,Products!$B$5:$B$304,0)),""))</f>
        <v>0</v>
      </c>
      <c r="H60" s="20">
        <f>IF(OR(C60=0,F60=""),"",ROUND((F60+D60)/(C60/60),2))</f>
        <v>0</v>
      </c>
    </row>
    <row r="61" spans="1:12">
      <c r="B61" s="32">
        <v>12</v>
      </c>
      <c r="C61" s="36">
        <f>ROUND(IFERROR(INDEX(Products!$X$5:$X$304,MATCH(ScProduct,Products!$B$5:$B$304,0)),0)*0.72,1)</f>
        <v>0</v>
      </c>
      <c r="D61" s="20">
        <f>ROUND(IFERROR(INDEX(Products!$Z$5:$Z$304,MATCH(ScProduct,Products!$B$5:$B$304,0)),0)*0.72,2)</f>
        <v>0</v>
      </c>
      <c r="E61" s="20">
        <f>ROUND(IFERROR(INDEX(Products!$AT$5:$AT$304,MATCH(ScProduct,Products!$B$5:$B$304,0)),0)-IFERROR(INDEX(Products!$Z$5:$Z$304,MATCH(ScProduct,Products!$B$5:$B$304,0)),0)+D61,2)</f>
        <v>0</v>
      </c>
      <c r="F61" s="20">
        <f>IF(IFERROR(INDEX(Products!$AR$5:$AR$304,MATCH(ScProduct,Products!$B$5:$B$304,0)),"")="","",ROUND(IFERROR(INDEX(Products!$AR$5:$AR$304,MATCH(ScProduct,Products!$B$5:$B$304,0)),"")-E61-(IFERROR(INDEX(Products!$AR$5:$AR$304,MATCH(ScProduct,Products!$B$5:$B$304,0)),"")*IFERROR(INDEX(Products!$AI$5:$AI$304,MATCH(ScProduct,Products!$B$5:$B$304,0)),0)+IFERROR(INDEX(Products!$AK$5:$AK$304,MATCH(ScProduct,Products!$B$5:$B$304,0)),0)),2))</f>
        <v>0</v>
      </c>
      <c r="G61" s="33">
        <f>IF(OR(IFERROR(INDEX(Products!$AR$5:$AR$304,MATCH(ScProduct,Products!$B$5:$B$304,0)),"")="",IFERROR(INDEX(Products!$AR$5:$AR$304,MATCH(ScProduct,Products!$B$5:$B$304,0)),"")=0),"",F61/IFERROR(INDEX(Products!$AR$5:$AR$304,MATCH(ScProduct,Products!$B$5:$B$304,0)),""))</f>
        <v>0</v>
      </c>
      <c r="H61" s="20">
        <f>IF(OR(C61=0,F61=""),"",ROUND((F61+D61)/(C61/60),2))</f>
        <v>0</v>
      </c>
    </row>
    <row r="62" spans="1:12">
      <c r="B62" s="32">
        <v>24</v>
      </c>
      <c r="C62" s="36">
        <f>ROUND(IFERROR(INDEX(Products!$X$5:$X$304,MATCH(ScProduct,Products!$B$5:$B$304,0)),0)*0.66,1)</f>
        <v>0</v>
      </c>
      <c r="D62" s="20">
        <f>ROUND(IFERROR(INDEX(Products!$Z$5:$Z$304,MATCH(ScProduct,Products!$B$5:$B$304,0)),0)*0.66,2)</f>
        <v>0</v>
      </c>
      <c r="E62" s="20">
        <f>ROUND(IFERROR(INDEX(Products!$AT$5:$AT$304,MATCH(ScProduct,Products!$B$5:$B$304,0)),0)-IFERROR(INDEX(Products!$Z$5:$Z$304,MATCH(ScProduct,Products!$B$5:$B$304,0)),0)+D62,2)</f>
        <v>0</v>
      </c>
      <c r="F62" s="20">
        <f>IF(IFERROR(INDEX(Products!$AR$5:$AR$304,MATCH(ScProduct,Products!$B$5:$B$304,0)),"")="","",ROUND(IFERROR(INDEX(Products!$AR$5:$AR$304,MATCH(ScProduct,Products!$B$5:$B$304,0)),"")-E62-(IFERROR(INDEX(Products!$AR$5:$AR$304,MATCH(ScProduct,Products!$B$5:$B$304,0)),"")*IFERROR(INDEX(Products!$AI$5:$AI$304,MATCH(ScProduct,Products!$B$5:$B$304,0)),0)+IFERROR(INDEX(Products!$AK$5:$AK$304,MATCH(ScProduct,Products!$B$5:$B$304,0)),0)),2))</f>
        <v>0</v>
      </c>
      <c r="G62" s="33">
        <f>IF(OR(IFERROR(INDEX(Products!$AR$5:$AR$304,MATCH(ScProduct,Products!$B$5:$B$304,0)),"")="",IFERROR(INDEX(Products!$AR$5:$AR$304,MATCH(ScProduct,Products!$B$5:$B$304,0)),"")=0),"",F62/IFERROR(INDEX(Products!$AR$5:$AR$304,MATCH(ScProduct,Products!$B$5:$B$304,0)),""))</f>
        <v>0</v>
      </c>
      <c r="H62" s="20">
        <f>IF(OR(C62=0,F62=""),"",ROUND((F62+D62)/(C62/60),2))</f>
        <v>0</v>
      </c>
    </row>
    <row r="63" spans="1:12">
      <c r="B63" s="32">
        <v>48</v>
      </c>
      <c r="C63" s="36">
        <f>ROUND(IFERROR(INDEX(Products!$X$5:$X$304,MATCH(ScProduct,Products!$B$5:$B$304,0)),0)*0.6,1)</f>
        <v>0</v>
      </c>
      <c r="D63" s="20">
        <f>ROUND(IFERROR(INDEX(Products!$Z$5:$Z$304,MATCH(ScProduct,Products!$B$5:$B$304,0)),0)*0.6,2)</f>
        <v>0</v>
      </c>
      <c r="E63" s="20">
        <f>ROUND(IFERROR(INDEX(Products!$AT$5:$AT$304,MATCH(ScProduct,Products!$B$5:$B$304,0)),0)-IFERROR(INDEX(Products!$Z$5:$Z$304,MATCH(ScProduct,Products!$B$5:$B$304,0)),0)+D63,2)</f>
        <v>0</v>
      </c>
      <c r="F63" s="20">
        <f>IF(IFERROR(INDEX(Products!$AR$5:$AR$304,MATCH(ScProduct,Products!$B$5:$B$304,0)),"")="","",ROUND(IFERROR(INDEX(Products!$AR$5:$AR$304,MATCH(ScProduct,Products!$B$5:$B$304,0)),"")-E63-(IFERROR(INDEX(Products!$AR$5:$AR$304,MATCH(ScProduct,Products!$B$5:$B$304,0)),"")*IFERROR(INDEX(Products!$AI$5:$AI$304,MATCH(ScProduct,Products!$B$5:$B$304,0)),0)+IFERROR(INDEX(Products!$AK$5:$AK$304,MATCH(ScProduct,Products!$B$5:$B$304,0)),0)),2))</f>
        <v>0</v>
      </c>
      <c r="G63" s="33">
        <f>IF(OR(IFERROR(INDEX(Products!$AR$5:$AR$304,MATCH(ScProduct,Products!$B$5:$B$304,0)),"")="",IFERROR(INDEX(Products!$AR$5:$AR$304,MATCH(ScProduct,Products!$B$5:$B$304,0)),"")=0),"",F63/IFERROR(INDEX(Products!$AR$5:$AR$304,MATCH(ScProduct,Products!$B$5:$B$304,0)),""))</f>
        <v>0</v>
      </c>
      <c r="H63" s="20">
        <f>IF(OR(C63=0,F63=""),"",ROUND((F63+D63)/(C63/60),2))</f>
        <v>0</v>
      </c>
    </row>
    <row r="65" spans="2:12">
      <c r="B65" s="12" t="s">
        <v>1975</v>
      </c>
      <c r="C65" s="12"/>
      <c r="D65" s="12"/>
      <c r="E65" s="12"/>
      <c r="F65" s="12"/>
      <c r="G65" s="12"/>
      <c r="H65" s="12"/>
      <c r="I65" s="12"/>
      <c r="J65" s="12"/>
      <c r="K65" s="12"/>
      <c r="L65" s="12"/>
    </row>
    <row r="67" spans="2:12" ht="28" customHeight="1">
      <c r="B67" s="6" t="s">
        <v>1976</v>
      </c>
      <c r="C67" s="6"/>
      <c r="D67" s="6"/>
      <c r="E67" s="6"/>
      <c r="F67" s="6"/>
      <c r="G67" s="6"/>
      <c r="H67" s="6"/>
      <c r="I67" s="6"/>
      <c r="J67" s="6"/>
      <c r="K67" s="6"/>
      <c r="L67" s="6"/>
    </row>
  </sheetData>
  <sheetProtection password="EC7C" sheet="1" objects="1" scenarios="1" formatCells="0" formatColumns="0" formatRows="0" insertRows="0" insertHyperlinks="0" deleteRows="0" autoFilter="0"/>
  <mergeCells count="24">
    <mergeCell ref="A1:I1"/>
    <mergeCell ref="J1:L1"/>
    <mergeCell ref="A2:L2"/>
    <mergeCell ref="A3:B3"/>
    <mergeCell ref="C3:D3"/>
    <mergeCell ref="E3:F3"/>
    <mergeCell ref="G3:H3"/>
    <mergeCell ref="I3:J3"/>
    <mergeCell ref="K3:L3"/>
    <mergeCell ref="A5:L5"/>
    <mergeCell ref="B6:L6"/>
    <mergeCell ref="B24:L24"/>
    <mergeCell ref="A26:L26"/>
    <mergeCell ref="B27:C27"/>
    <mergeCell ref="D27:F27"/>
    <mergeCell ref="G27:J27"/>
    <mergeCell ref="B28:C28"/>
    <mergeCell ref="B30:L30"/>
    <mergeCell ref="A44:L44"/>
    <mergeCell ref="B45:L45"/>
    <mergeCell ref="A55:L55"/>
    <mergeCell ref="B56:L56"/>
    <mergeCell ref="B65:L65"/>
    <mergeCell ref="B67:L67"/>
  </mergeCells>
  <conditionalFormatting sqref="E32:E41">
    <cfRule type="dataBar" priority="5">
      <dataBar>
        <cfvo type="min" val="0"/>
        <cfvo type="max" val="0"/>
        <color rgb="FF8C4A32"/>
      </dataBar>
    </cfRule>
  </conditionalFormatting>
  <conditionalFormatting sqref="E47:E52">
    <cfRule type="cellIs" dxfId="2" priority="6" operator="lessThan">
      <formula>MarginWarning</formula>
    </cfRule>
  </conditionalFormatting>
  <conditionalFormatting sqref="H32:H41">
    <cfRule type="cellIs" dxfId="2" priority="3" operator="lessThan">
      <formula>0</formula>
    </cfRule>
  </conditionalFormatting>
  <conditionalFormatting sqref="H47:H52">
    <cfRule type="containsText" dxfId="1" priority="7" operator="containsText" text="Absorbable">
      <formula>NOT(ISERROR(SEARCH("Absorbable",H47)))</formula>
    </cfRule>
  </conditionalFormatting>
  <conditionalFormatting sqref="H58:H63">
    <cfRule type="dataBar" priority="8">
      <dataBar>
        <cfvo type="min" val="0"/>
        <cfvo type="max" val="0"/>
        <color rgb="FF8C9E6E"/>
      </dataBar>
    </cfRule>
  </conditionalFormatting>
  <conditionalFormatting sqref="I32:I41">
    <cfRule type="cellIs" dxfId="0" priority="4" operator="lessThan">
      <formula>MarginWarning</formula>
    </cfRule>
  </conditionalFormatting>
  <conditionalFormatting sqref="J8:J22">
    <cfRule type="containsText" dxfId="2" priority="1" operator="containsText" text="Below the lowest">
      <formula>NOT(ISERROR(SEARCH("Below the lowest",J8)))</formula>
    </cfRule>
    <cfRule type="containsText" dxfId="0" priority="2" operator="containsText" text="Budget">
      <formula>NOT(ISERROR(SEARCH("Budget",J8)))</formula>
    </cfRule>
  </conditionalFormatting>
  <dataValidations count="2">
    <dataValidation type="list" allowBlank="1" showInputMessage="1" showErrorMessage="1" sqref="D27">
      <formula1>ProductNames</formula1>
    </dataValidation>
    <dataValidation type="decimal" allowBlank="1" showInputMessage="1" showErrorMessage="1" errorTitle="Check the value" error="Enter a number between 0 and 0.95." sqref="D28">
      <formula1>0</formula1>
      <formula2>0.95</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&amp;L&amp;"Calibri,Bold"&amp;12&amp;C&amp;"Calibri,Bold"&amp;11Scenarios&amp;R&amp;"Calibri,Italic"&amp;9Handmade Product Pricing &amp; Profit Calculator</oddHeader>
    <oddFooter>&amp;L&amp;"Calibri,Italic"&amp;8Novality Store - v1.0.0&amp;C&amp;"Calibri,Italic"&amp;8Page &amp;P of &amp;N&amp;R&amp;"Calibri,Italic"&amp;8&amp;D</oddFooter>
  </headerFooter>
</worksheet>
</file>

<file path=xl/worksheets/sheet35.xml><?xml version="1.0" encoding="utf-8"?>
<worksheet xmlns="http://schemas.openxmlformats.org/spreadsheetml/2006/main" xmlns:r="http://schemas.openxmlformats.org/officeDocument/2006/relationships">
  <sheetPr>
    <tabColor rgb="FF5E7B5A"/>
    <pageSetUpPr fitToPage="1"/>
  </sheetPr>
  <dimension ref="A1:M87"/>
  <sheetViews>
    <sheetView showGridLines="0" workbookViewId="0">
      <pane ySplit="4" topLeftCell="A5" activePane="bottomLeft" state="frozen"/>
      <selection pane="bottomLeft"/>
    </sheetView>
  </sheetViews>
  <sheetFormatPr defaultRowHeight="15"/>
  <cols>
    <col min="1" max="1" width="30.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 max="1" width="30.7109375" customWidth="1"/>
    <col min="2" max="2" width="16.7109375" customWidth="1"/>
    <col min="3" max="3" width="11.7109375" customWidth="1"/>
    <col min="4" max="4" width="11.7109375" customWidth="1"/>
    <col min="5" max="5" width="11.7109375" customWidth="1"/>
    <col min="6" max="6" width="10.7109375" customWidth="1"/>
    <col min="7" max="7" width="10.7109375" customWidth="1"/>
    <col min="8" max="8" width="9.7109375" customWidth="1"/>
    <col min="9" max="9" width="11.7109375" customWidth="1"/>
    <col min="10" max="10" width="9.7109375" customWidth="1"/>
    <col min="11" max="11" width="13.7109375" customWidth="1"/>
    <col min="12" max="12" width="13.7109375" customWidth="1"/>
    <col min="1" max="1" width="30.7109375" customWidth="1"/>
    <col min="2" max="2" width="18.7109375" customWidth="1"/>
    <col min="3" max="3" width="11.7109375" customWidth="1"/>
    <col min="4" max="4" width="13.7109375" customWidth="1"/>
    <col min="5" max="5" width="13.7109375" customWidth="1"/>
    <col min="6" max="6" width="13.7109375" customWidth="1"/>
    <col min="7" max="7" width="11.7109375" customWidth="1"/>
    <col min="8" max="8" width="20.7109375" customWidth="1"/>
    <col min="1" max="1" width="30.7109375" customWidth="1"/>
    <col min="2" max="2" width="15.7109375" customWidth="1"/>
    <col min="3" max="3" width="60.7109375" customWidth="1"/>
    <col min="14" max="14" width="12.7109375" customWidth="1"/>
    <col min="1" max="1" width="30.7109375" customWidth="1"/>
    <col min="2" max="2" width="12.7109375" customWidth="1"/>
    <col min="3" max="3" width="15.7109375" customWidth="1"/>
    <col min="4" max="4" width="12.7109375" customWidth="1"/>
    <col min="5" max="5" width="14.7109375" customWidth="1"/>
    <col min="6" max="6" width="34.7109375" customWidth="1"/>
    <col min="1" max="1" width="30.7109375" customWidth="1"/>
    <col min="2" max="2" width="16.7109375" customWidth="1"/>
    <col min="3" max="3" width="14.7109375" customWidth="1"/>
    <col min="4" max="4" width="14.7109375" customWidth="1"/>
    <col min="5" max="5" width="30.7109375" customWidth="1"/>
  </cols>
  <sheetData>
    <row r="1" spans="1:12" ht="34" customHeight="1">
      <c r="A1" s="2" t="s">
        <v>1977</v>
      </c>
      <c r="B1" s="2"/>
      <c r="C1" s="2"/>
      <c r="D1" s="2"/>
      <c r="E1" s="2"/>
      <c r="F1" s="2"/>
      <c r="G1" s="2"/>
      <c r="H1" s="2"/>
      <c r="I1" s="2"/>
      <c r="J1" s="3" t="s">
        <v>1</v>
      </c>
      <c r="K1" s="3"/>
      <c r="L1" s="3"/>
    </row>
    <row r="2" spans="1:12" ht="18" customHeight="1">
      <c r="A2" s="4" t="s">
        <v>1978</v>
      </c>
      <c r="B2" s="4"/>
      <c r="C2" s="4"/>
      <c r="D2" s="4"/>
      <c r="E2" s="4"/>
      <c r="F2" s="4"/>
      <c r="G2" s="4"/>
      <c r="H2" s="4"/>
      <c r="I2" s="4"/>
      <c r="J2" s="4"/>
      <c r="K2" s="4"/>
      <c r="L2" s="4"/>
    </row>
    <row r="3" spans="1:12" ht="16" customHeight="1">
      <c r="A3" s="5" t="s">
        <v>3</v>
      </c>
      <c r="B3" s="5"/>
      <c r="C3" s="5" t="s">
        <v>4</v>
      </c>
      <c r="D3" s="5"/>
      <c r="E3" s="5" t="s">
        <v>5</v>
      </c>
      <c r="F3" s="5"/>
      <c r="G3" s="5" t="s">
        <v>6</v>
      </c>
      <c r="H3" s="5"/>
      <c r="I3" s="5" t="s">
        <v>7</v>
      </c>
      <c r="J3" s="5"/>
      <c r="K3" s="5" t="s">
        <v>367</v>
      </c>
      <c r="L3" s="5"/>
    </row>
    <row r="5" spans="1:12" ht="20" customHeight="1">
      <c r="A5" s="7" t="s">
        <v>1979</v>
      </c>
      <c r="B5" s="7"/>
      <c r="C5" s="7"/>
      <c r="D5" s="7"/>
      <c r="E5" s="7"/>
      <c r="F5" s="7"/>
      <c r="G5" s="7"/>
      <c r="H5" s="7"/>
      <c r="I5" s="7"/>
      <c r="J5" s="7"/>
      <c r="K5" s="7"/>
      <c r="L5" s="7"/>
    </row>
    <row r="6" spans="1:12" ht="26" customHeight="1">
      <c r="A6" s="6" t="s">
        <v>1980</v>
      </c>
      <c r="B6" s="6"/>
      <c r="C6" s="6"/>
      <c r="D6" s="6"/>
      <c r="E6" s="6"/>
      <c r="F6" s="6"/>
      <c r="G6" s="6"/>
      <c r="H6" s="6"/>
      <c r="I6" s="6"/>
      <c r="J6" s="6"/>
      <c r="K6" s="6"/>
      <c r="L6" s="6"/>
    </row>
    <row r="7" spans="1:12" ht="26" customHeight="1">
      <c r="A7" s="8" t="s">
        <v>354</v>
      </c>
      <c r="B7" s="9" t="s">
        <v>429</v>
      </c>
      <c r="C7" s="9" t="s">
        <v>33</v>
      </c>
      <c r="D7" s="9" t="s">
        <v>39</v>
      </c>
      <c r="E7" s="9" t="s">
        <v>421</v>
      </c>
      <c r="F7" s="9" t="s">
        <v>42</v>
      </c>
      <c r="G7" s="9" t="s">
        <v>45</v>
      </c>
      <c r="H7" s="9" t="s">
        <v>471</v>
      </c>
      <c r="I7" s="9" t="s">
        <v>424</v>
      </c>
      <c r="J7" s="9" t="s">
        <v>426</v>
      </c>
      <c r="K7" s="9" t="s">
        <v>432</v>
      </c>
      <c r="L7" s="9" t="s">
        <v>1675</v>
      </c>
    </row>
    <row r="8" spans="1:12">
      <c r="A8" s="13">
        <f>IFERROR(INDEX(Products!$B$5:$B$304,MATCH(1,Products!$BO$5:$BO$304,0)),"")</f>
        <v>0</v>
      </c>
      <c r="B8" s="13">
        <f>IFERROR(INDEX(Products!$D$5:$D$304,MATCH(1,Products!$BO$5:$BO$304,0)),"")</f>
        <v>0</v>
      </c>
      <c r="C8" s="20">
        <f>IFERROR(INDEX(Products!$AT$5:$AT$304,MATCH(1,Products!$BO$5:$BO$304,0)),"")</f>
        <v>0</v>
      </c>
      <c r="D8" s="20">
        <f>IFERROR(INDEX(Products!$AR$5:$AR$304,MATCH(1,Products!$BO$5:$BO$304,0)),"")</f>
        <v>0</v>
      </c>
      <c r="E8" s="20">
        <f>IFERROR(INDEX(Products!$AV$5:$AV$304,MATCH(1,Products!$BO$5:$BO$304,0)),"")</f>
        <v>0</v>
      </c>
      <c r="F8" s="33">
        <f>IFERROR(INDEX(Products!$AW$5:$AW$304,MATCH(1,Products!$BO$5:$BO$304,0)),"")</f>
        <v>0</v>
      </c>
      <c r="G8" s="33">
        <f>IFERROR(INDEX(Products!$AX$5:$AX$304,MATCH(1,Products!$BO$5:$BO$304,0)),"")</f>
        <v>0</v>
      </c>
      <c r="H8" s="36">
        <f>IFERROR(INDEX(Products!$Y$5:$Y$304,MATCH(1,Products!$BO$5:$BO$304,0)),"")</f>
        <v>0</v>
      </c>
      <c r="I8" s="20">
        <f>IFERROR(INDEX(Products!$AY$5:$AY$304,MATCH(1,Products!$BO$5:$BO$304,0)),"")</f>
        <v>0</v>
      </c>
      <c r="J8" s="32">
        <f>IFERROR(INDEX(Products!$BH$5:$BH$304,MATCH(1,Products!$BO$5:$BO$304,0)),"")</f>
        <v>0</v>
      </c>
      <c r="K8" s="34">
        <f>IFERROR(INDEX(Products!$BI$5:$BI$304,MATCH(1,Products!$BO$5:$BO$304,0)),"")</f>
        <v>0</v>
      </c>
      <c r="L8" s="34">
        <f>IFERROR(INDEX(Products!$BJ$5:$BJ$304,MATCH(1,Products!$BO$5:$BO$304,0)),"")</f>
        <v>0</v>
      </c>
    </row>
    <row r="9" spans="1:12">
      <c r="A9" s="13">
        <f>IFERROR(INDEX(Products!$B$5:$B$304,MATCH(2,Products!$BO$5:$BO$304,0)),"")</f>
        <v>0</v>
      </c>
      <c r="B9" s="13">
        <f>IFERROR(INDEX(Products!$D$5:$D$304,MATCH(2,Products!$BO$5:$BO$304,0)),"")</f>
        <v>0</v>
      </c>
      <c r="C9" s="20">
        <f>IFERROR(INDEX(Products!$AT$5:$AT$304,MATCH(2,Products!$BO$5:$BO$304,0)),"")</f>
        <v>0</v>
      </c>
      <c r="D9" s="20">
        <f>IFERROR(INDEX(Products!$AR$5:$AR$304,MATCH(2,Products!$BO$5:$BO$304,0)),"")</f>
        <v>0</v>
      </c>
      <c r="E9" s="20">
        <f>IFERROR(INDEX(Products!$AV$5:$AV$304,MATCH(2,Products!$BO$5:$BO$304,0)),"")</f>
        <v>0</v>
      </c>
      <c r="F9" s="33">
        <f>IFERROR(INDEX(Products!$AW$5:$AW$304,MATCH(2,Products!$BO$5:$BO$304,0)),"")</f>
        <v>0</v>
      </c>
      <c r="G9" s="33">
        <f>IFERROR(INDEX(Products!$AX$5:$AX$304,MATCH(2,Products!$BO$5:$BO$304,0)),"")</f>
        <v>0</v>
      </c>
      <c r="H9" s="36">
        <f>IFERROR(INDEX(Products!$Y$5:$Y$304,MATCH(2,Products!$BO$5:$BO$304,0)),"")</f>
        <v>0</v>
      </c>
      <c r="I9" s="20">
        <f>IFERROR(INDEX(Products!$AY$5:$AY$304,MATCH(2,Products!$BO$5:$BO$304,0)),"")</f>
        <v>0</v>
      </c>
      <c r="J9" s="32">
        <f>IFERROR(INDEX(Products!$BH$5:$BH$304,MATCH(2,Products!$BO$5:$BO$304,0)),"")</f>
        <v>0</v>
      </c>
      <c r="K9" s="34">
        <f>IFERROR(INDEX(Products!$BI$5:$BI$304,MATCH(2,Products!$BO$5:$BO$304,0)),"")</f>
        <v>0</v>
      </c>
      <c r="L9" s="34">
        <f>IFERROR(INDEX(Products!$BJ$5:$BJ$304,MATCH(2,Products!$BO$5:$BO$304,0)),"")</f>
        <v>0</v>
      </c>
    </row>
    <row r="10" spans="1:12">
      <c r="A10" s="13">
        <f>IFERROR(INDEX(Products!$B$5:$B$304,MATCH(3,Products!$BO$5:$BO$304,0)),"")</f>
        <v>0</v>
      </c>
      <c r="B10" s="13">
        <f>IFERROR(INDEX(Products!$D$5:$D$304,MATCH(3,Products!$BO$5:$BO$304,0)),"")</f>
        <v>0</v>
      </c>
      <c r="C10" s="20">
        <f>IFERROR(INDEX(Products!$AT$5:$AT$304,MATCH(3,Products!$BO$5:$BO$304,0)),"")</f>
        <v>0</v>
      </c>
      <c r="D10" s="20">
        <f>IFERROR(INDEX(Products!$AR$5:$AR$304,MATCH(3,Products!$BO$5:$BO$304,0)),"")</f>
        <v>0</v>
      </c>
      <c r="E10" s="20">
        <f>IFERROR(INDEX(Products!$AV$5:$AV$304,MATCH(3,Products!$BO$5:$BO$304,0)),"")</f>
        <v>0</v>
      </c>
      <c r="F10" s="33">
        <f>IFERROR(INDEX(Products!$AW$5:$AW$304,MATCH(3,Products!$BO$5:$BO$304,0)),"")</f>
        <v>0</v>
      </c>
      <c r="G10" s="33">
        <f>IFERROR(INDEX(Products!$AX$5:$AX$304,MATCH(3,Products!$BO$5:$BO$304,0)),"")</f>
        <v>0</v>
      </c>
      <c r="H10" s="36">
        <f>IFERROR(INDEX(Products!$Y$5:$Y$304,MATCH(3,Products!$BO$5:$BO$304,0)),"")</f>
        <v>0</v>
      </c>
      <c r="I10" s="20">
        <f>IFERROR(INDEX(Products!$AY$5:$AY$304,MATCH(3,Products!$BO$5:$BO$304,0)),"")</f>
        <v>0</v>
      </c>
      <c r="J10" s="32">
        <f>IFERROR(INDEX(Products!$BH$5:$BH$304,MATCH(3,Products!$BO$5:$BO$304,0)),"")</f>
        <v>0</v>
      </c>
      <c r="K10" s="34">
        <f>IFERROR(INDEX(Products!$BI$5:$BI$304,MATCH(3,Products!$BO$5:$BO$304,0)),"")</f>
        <v>0</v>
      </c>
      <c r="L10" s="34">
        <f>IFERROR(INDEX(Products!$BJ$5:$BJ$304,MATCH(3,Products!$BO$5:$BO$304,0)),"")</f>
        <v>0</v>
      </c>
    </row>
    <row r="11" spans="1:12">
      <c r="A11" s="13">
        <f>IFERROR(INDEX(Products!$B$5:$B$304,MATCH(4,Products!$BO$5:$BO$304,0)),"")</f>
        <v>0</v>
      </c>
      <c r="B11" s="13">
        <f>IFERROR(INDEX(Products!$D$5:$D$304,MATCH(4,Products!$BO$5:$BO$304,0)),"")</f>
        <v>0</v>
      </c>
      <c r="C11" s="20">
        <f>IFERROR(INDEX(Products!$AT$5:$AT$304,MATCH(4,Products!$BO$5:$BO$304,0)),"")</f>
        <v>0</v>
      </c>
      <c r="D11" s="20">
        <f>IFERROR(INDEX(Products!$AR$5:$AR$304,MATCH(4,Products!$BO$5:$BO$304,0)),"")</f>
        <v>0</v>
      </c>
      <c r="E11" s="20">
        <f>IFERROR(INDEX(Products!$AV$5:$AV$304,MATCH(4,Products!$BO$5:$BO$304,0)),"")</f>
        <v>0</v>
      </c>
      <c r="F11" s="33">
        <f>IFERROR(INDEX(Products!$AW$5:$AW$304,MATCH(4,Products!$BO$5:$BO$304,0)),"")</f>
        <v>0</v>
      </c>
      <c r="G11" s="33">
        <f>IFERROR(INDEX(Products!$AX$5:$AX$304,MATCH(4,Products!$BO$5:$BO$304,0)),"")</f>
        <v>0</v>
      </c>
      <c r="H11" s="36">
        <f>IFERROR(INDEX(Products!$Y$5:$Y$304,MATCH(4,Products!$BO$5:$BO$304,0)),"")</f>
        <v>0</v>
      </c>
      <c r="I11" s="20">
        <f>IFERROR(INDEX(Products!$AY$5:$AY$304,MATCH(4,Products!$BO$5:$BO$304,0)),"")</f>
        <v>0</v>
      </c>
      <c r="J11" s="32">
        <f>IFERROR(INDEX(Products!$BH$5:$BH$304,MATCH(4,Products!$BO$5:$BO$304,0)),"")</f>
        <v>0</v>
      </c>
      <c r="K11" s="34">
        <f>IFERROR(INDEX(Products!$BI$5:$BI$304,MATCH(4,Products!$BO$5:$BO$304,0)),"")</f>
        <v>0</v>
      </c>
      <c r="L11" s="34">
        <f>IFERROR(INDEX(Products!$BJ$5:$BJ$304,MATCH(4,Products!$BO$5:$BO$304,0)),"")</f>
        <v>0</v>
      </c>
    </row>
    <row r="12" spans="1:12">
      <c r="A12" s="13">
        <f>IFERROR(INDEX(Products!$B$5:$B$304,MATCH(5,Products!$BO$5:$BO$304,0)),"")</f>
        <v>0</v>
      </c>
      <c r="B12" s="13">
        <f>IFERROR(INDEX(Products!$D$5:$D$304,MATCH(5,Products!$BO$5:$BO$304,0)),"")</f>
        <v>0</v>
      </c>
      <c r="C12" s="20">
        <f>IFERROR(INDEX(Products!$AT$5:$AT$304,MATCH(5,Products!$BO$5:$BO$304,0)),"")</f>
        <v>0</v>
      </c>
      <c r="D12" s="20">
        <f>IFERROR(INDEX(Products!$AR$5:$AR$304,MATCH(5,Products!$BO$5:$BO$304,0)),"")</f>
        <v>0</v>
      </c>
      <c r="E12" s="20">
        <f>IFERROR(INDEX(Products!$AV$5:$AV$304,MATCH(5,Products!$BO$5:$BO$304,0)),"")</f>
        <v>0</v>
      </c>
      <c r="F12" s="33">
        <f>IFERROR(INDEX(Products!$AW$5:$AW$304,MATCH(5,Products!$BO$5:$BO$304,0)),"")</f>
        <v>0</v>
      </c>
      <c r="G12" s="33">
        <f>IFERROR(INDEX(Products!$AX$5:$AX$304,MATCH(5,Products!$BO$5:$BO$304,0)),"")</f>
        <v>0</v>
      </c>
      <c r="H12" s="36">
        <f>IFERROR(INDEX(Products!$Y$5:$Y$304,MATCH(5,Products!$BO$5:$BO$304,0)),"")</f>
        <v>0</v>
      </c>
      <c r="I12" s="20">
        <f>IFERROR(INDEX(Products!$AY$5:$AY$304,MATCH(5,Products!$BO$5:$BO$304,0)),"")</f>
        <v>0</v>
      </c>
      <c r="J12" s="32">
        <f>IFERROR(INDEX(Products!$BH$5:$BH$304,MATCH(5,Products!$BO$5:$BO$304,0)),"")</f>
        <v>0</v>
      </c>
      <c r="K12" s="34">
        <f>IFERROR(INDEX(Products!$BI$5:$BI$304,MATCH(5,Products!$BO$5:$BO$304,0)),"")</f>
        <v>0</v>
      </c>
      <c r="L12" s="34">
        <f>IFERROR(INDEX(Products!$BJ$5:$BJ$304,MATCH(5,Products!$BO$5:$BO$304,0)),"")</f>
        <v>0</v>
      </c>
    </row>
    <row r="13" spans="1:12">
      <c r="A13" s="13">
        <f>IFERROR(INDEX(Products!$B$5:$B$304,MATCH(6,Products!$BO$5:$BO$304,0)),"")</f>
        <v>0</v>
      </c>
      <c r="B13" s="13">
        <f>IFERROR(INDEX(Products!$D$5:$D$304,MATCH(6,Products!$BO$5:$BO$304,0)),"")</f>
        <v>0</v>
      </c>
      <c r="C13" s="20">
        <f>IFERROR(INDEX(Products!$AT$5:$AT$304,MATCH(6,Products!$BO$5:$BO$304,0)),"")</f>
        <v>0</v>
      </c>
      <c r="D13" s="20">
        <f>IFERROR(INDEX(Products!$AR$5:$AR$304,MATCH(6,Products!$BO$5:$BO$304,0)),"")</f>
        <v>0</v>
      </c>
      <c r="E13" s="20">
        <f>IFERROR(INDEX(Products!$AV$5:$AV$304,MATCH(6,Products!$BO$5:$BO$304,0)),"")</f>
        <v>0</v>
      </c>
      <c r="F13" s="33">
        <f>IFERROR(INDEX(Products!$AW$5:$AW$304,MATCH(6,Products!$BO$5:$BO$304,0)),"")</f>
        <v>0</v>
      </c>
      <c r="G13" s="33">
        <f>IFERROR(INDEX(Products!$AX$5:$AX$304,MATCH(6,Products!$BO$5:$BO$304,0)),"")</f>
        <v>0</v>
      </c>
      <c r="H13" s="36">
        <f>IFERROR(INDEX(Products!$Y$5:$Y$304,MATCH(6,Products!$BO$5:$BO$304,0)),"")</f>
        <v>0</v>
      </c>
      <c r="I13" s="20">
        <f>IFERROR(INDEX(Products!$AY$5:$AY$304,MATCH(6,Products!$BO$5:$BO$304,0)),"")</f>
        <v>0</v>
      </c>
      <c r="J13" s="32">
        <f>IFERROR(INDEX(Products!$BH$5:$BH$304,MATCH(6,Products!$BO$5:$BO$304,0)),"")</f>
        <v>0</v>
      </c>
      <c r="K13" s="34">
        <f>IFERROR(INDEX(Products!$BI$5:$BI$304,MATCH(6,Products!$BO$5:$BO$304,0)),"")</f>
        <v>0</v>
      </c>
      <c r="L13" s="34">
        <f>IFERROR(INDEX(Products!$BJ$5:$BJ$304,MATCH(6,Products!$BO$5:$BO$304,0)),"")</f>
        <v>0</v>
      </c>
    </row>
    <row r="14" spans="1:12">
      <c r="A14" s="13">
        <f>IFERROR(INDEX(Products!$B$5:$B$304,MATCH(7,Products!$BO$5:$BO$304,0)),"")</f>
        <v>0</v>
      </c>
      <c r="B14" s="13">
        <f>IFERROR(INDEX(Products!$D$5:$D$304,MATCH(7,Products!$BO$5:$BO$304,0)),"")</f>
        <v>0</v>
      </c>
      <c r="C14" s="20">
        <f>IFERROR(INDEX(Products!$AT$5:$AT$304,MATCH(7,Products!$BO$5:$BO$304,0)),"")</f>
        <v>0</v>
      </c>
      <c r="D14" s="20">
        <f>IFERROR(INDEX(Products!$AR$5:$AR$304,MATCH(7,Products!$BO$5:$BO$304,0)),"")</f>
        <v>0</v>
      </c>
      <c r="E14" s="20">
        <f>IFERROR(INDEX(Products!$AV$5:$AV$304,MATCH(7,Products!$BO$5:$BO$304,0)),"")</f>
        <v>0</v>
      </c>
      <c r="F14" s="33">
        <f>IFERROR(INDEX(Products!$AW$5:$AW$304,MATCH(7,Products!$BO$5:$BO$304,0)),"")</f>
        <v>0</v>
      </c>
      <c r="G14" s="33">
        <f>IFERROR(INDEX(Products!$AX$5:$AX$304,MATCH(7,Products!$BO$5:$BO$304,0)),"")</f>
        <v>0</v>
      </c>
      <c r="H14" s="36">
        <f>IFERROR(INDEX(Products!$Y$5:$Y$304,MATCH(7,Products!$BO$5:$BO$304,0)),"")</f>
        <v>0</v>
      </c>
      <c r="I14" s="20">
        <f>IFERROR(INDEX(Products!$AY$5:$AY$304,MATCH(7,Products!$BO$5:$BO$304,0)),"")</f>
        <v>0</v>
      </c>
      <c r="J14" s="32">
        <f>IFERROR(INDEX(Products!$BH$5:$BH$304,MATCH(7,Products!$BO$5:$BO$304,0)),"")</f>
        <v>0</v>
      </c>
      <c r="K14" s="34">
        <f>IFERROR(INDEX(Products!$BI$5:$BI$304,MATCH(7,Products!$BO$5:$BO$304,0)),"")</f>
        <v>0</v>
      </c>
      <c r="L14" s="34">
        <f>IFERROR(INDEX(Products!$BJ$5:$BJ$304,MATCH(7,Products!$BO$5:$BO$304,0)),"")</f>
        <v>0</v>
      </c>
    </row>
    <row r="15" spans="1:12">
      <c r="A15" s="13">
        <f>IFERROR(INDEX(Products!$B$5:$B$304,MATCH(8,Products!$BO$5:$BO$304,0)),"")</f>
        <v>0</v>
      </c>
      <c r="B15" s="13">
        <f>IFERROR(INDEX(Products!$D$5:$D$304,MATCH(8,Products!$BO$5:$BO$304,0)),"")</f>
        <v>0</v>
      </c>
      <c r="C15" s="20">
        <f>IFERROR(INDEX(Products!$AT$5:$AT$304,MATCH(8,Products!$BO$5:$BO$304,0)),"")</f>
        <v>0</v>
      </c>
      <c r="D15" s="20">
        <f>IFERROR(INDEX(Products!$AR$5:$AR$304,MATCH(8,Products!$BO$5:$BO$304,0)),"")</f>
        <v>0</v>
      </c>
      <c r="E15" s="20">
        <f>IFERROR(INDEX(Products!$AV$5:$AV$304,MATCH(8,Products!$BO$5:$BO$304,0)),"")</f>
        <v>0</v>
      </c>
      <c r="F15" s="33">
        <f>IFERROR(INDEX(Products!$AW$5:$AW$304,MATCH(8,Products!$BO$5:$BO$304,0)),"")</f>
        <v>0</v>
      </c>
      <c r="G15" s="33">
        <f>IFERROR(INDEX(Products!$AX$5:$AX$304,MATCH(8,Products!$BO$5:$BO$304,0)),"")</f>
        <v>0</v>
      </c>
      <c r="H15" s="36">
        <f>IFERROR(INDEX(Products!$Y$5:$Y$304,MATCH(8,Products!$BO$5:$BO$304,0)),"")</f>
        <v>0</v>
      </c>
      <c r="I15" s="20">
        <f>IFERROR(INDEX(Products!$AY$5:$AY$304,MATCH(8,Products!$BO$5:$BO$304,0)),"")</f>
        <v>0</v>
      </c>
      <c r="J15" s="32">
        <f>IFERROR(INDEX(Products!$BH$5:$BH$304,MATCH(8,Products!$BO$5:$BO$304,0)),"")</f>
        <v>0</v>
      </c>
      <c r="K15" s="34">
        <f>IFERROR(INDEX(Products!$BI$5:$BI$304,MATCH(8,Products!$BO$5:$BO$304,0)),"")</f>
        <v>0</v>
      </c>
      <c r="L15" s="34">
        <f>IFERROR(INDEX(Products!$BJ$5:$BJ$304,MATCH(8,Products!$BO$5:$BO$304,0)),"")</f>
        <v>0</v>
      </c>
    </row>
    <row r="16" spans="1:12">
      <c r="A16" s="13">
        <f>IFERROR(INDEX(Products!$B$5:$B$304,MATCH(9,Products!$BO$5:$BO$304,0)),"")</f>
        <v>0</v>
      </c>
      <c r="B16" s="13">
        <f>IFERROR(INDEX(Products!$D$5:$D$304,MATCH(9,Products!$BO$5:$BO$304,0)),"")</f>
        <v>0</v>
      </c>
      <c r="C16" s="20">
        <f>IFERROR(INDEX(Products!$AT$5:$AT$304,MATCH(9,Products!$BO$5:$BO$304,0)),"")</f>
        <v>0</v>
      </c>
      <c r="D16" s="20">
        <f>IFERROR(INDEX(Products!$AR$5:$AR$304,MATCH(9,Products!$BO$5:$BO$304,0)),"")</f>
        <v>0</v>
      </c>
      <c r="E16" s="20">
        <f>IFERROR(INDEX(Products!$AV$5:$AV$304,MATCH(9,Products!$BO$5:$BO$304,0)),"")</f>
        <v>0</v>
      </c>
      <c r="F16" s="33">
        <f>IFERROR(INDEX(Products!$AW$5:$AW$304,MATCH(9,Products!$BO$5:$BO$304,0)),"")</f>
        <v>0</v>
      </c>
      <c r="G16" s="33">
        <f>IFERROR(INDEX(Products!$AX$5:$AX$304,MATCH(9,Products!$BO$5:$BO$304,0)),"")</f>
        <v>0</v>
      </c>
      <c r="H16" s="36">
        <f>IFERROR(INDEX(Products!$Y$5:$Y$304,MATCH(9,Products!$BO$5:$BO$304,0)),"")</f>
        <v>0</v>
      </c>
      <c r="I16" s="20">
        <f>IFERROR(INDEX(Products!$AY$5:$AY$304,MATCH(9,Products!$BO$5:$BO$304,0)),"")</f>
        <v>0</v>
      </c>
      <c r="J16" s="32">
        <f>IFERROR(INDEX(Products!$BH$5:$BH$304,MATCH(9,Products!$BO$5:$BO$304,0)),"")</f>
        <v>0</v>
      </c>
      <c r="K16" s="34">
        <f>IFERROR(INDEX(Products!$BI$5:$BI$304,MATCH(9,Products!$BO$5:$BO$304,0)),"")</f>
        <v>0</v>
      </c>
      <c r="L16" s="34">
        <f>IFERROR(INDEX(Products!$BJ$5:$BJ$304,MATCH(9,Products!$BO$5:$BO$304,0)),"")</f>
        <v>0</v>
      </c>
    </row>
    <row r="17" spans="1:12">
      <c r="A17" s="13">
        <f>IFERROR(INDEX(Products!$B$5:$B$304,MATCH(10,Products!$BO$5:$BO$304,0)),"")</f>
        <v>0</v>
      </c>
      <c r="B17" s="13">
        <f>IFERROR(INDEX(Products!$D$5:$D$304,MATCH(10,Products!$BO$5:$BO$304,0)),"")</f>
        <v>0</v>
      </c>
      <c r="C17" s="20">
        <f>IFERROR(INDEX(Products!$AT$5:$AT$304,MATCH(10,Products!$BO$5:$BO$304,0)),"")</f>
        <v>0</v>
      </c>
      <c r="D17" s="20">
        <f>IFERROR(INDEX(Products!$AR$5:$AR$304,MATCH(10,Products!$BO$5:$BO$304,0)),"")</f>
        <v>0</v>
      </c>
      <c r="E17" s="20">
        <f>IFERROR(INDEX(Products!$AV$5:$AV$304,MATCH(10,Products!$BO$5:$BO$304,0)),"")</f>
        <v>0</v>
      </c>
      <c r="F17" s="33">
        <f>IFERROR(INDEX(Products!$AW$5:$AW$304,MATCH(10,Products!$BO$5:$BO$304,0)),"")</f>
        <v>0</v>
      </c>
      <c r="G17" s="33">
        <f>IFERROR(INDEX(Products!$AX$5:$AX$304,MATCH(10,Products!$BO$5:$BO$304,0)),"")</f>
        <v>0</v>
      </c>
      <c r="H17" s="36">
        <f>IFERROR(INDEX(Products!$Y$5:$Y$304,MATCH(10,Products!$BO$5:$BO$304,0)),"")</f>
        <v>0</v>
      </c>
      <c r="I17" s="20">
        <f>IFERROR(INDEX(Products!$AY$5:$AY$304,MATCH(10,Products!$BO$5:$BO$304,0)),"")</f>
        <v>0</v>
      </c>
      <c r="J17" s="32">
        <f>IFERROR(INDEX(Products!$BH$5:$BH$304,MATCH(10,Products!$BO$5:$BO$304,0)),"")</f>
        <v>0</v>
      </c>
      <c r="K17" s="34">
        <f>IFERROR(INDEX(Products!$BI$5:$BI$304,MATCH(10,Products!$BO$5:$BO$304,0)),"")</f>
        <v>0</v>
      </c>
      <c r="L17" s="34">
        <f>IFERROR(INDEX(Products!$BJ$5:$BJ$304,MATCH(10,Products!$BO$5:$BO$304,0)),"")</f>
        <v>0</v>
      </c>
    </row>
    <row r="18" spans="1:12">
      <c r="A18" s="13">
        <f>IFERROR(INDEX(Products!$B$5:$B$304,MATCH(11,Products!$BO$5:$BO$304,0)),"")</f>
        <v>0</v>
      </c>
      <c r="B18" s="13">
        <f>IFERROR(INDEX(Products!$D$5:$D$304,MATCH(11,Products!$BO$5:$BO$304,0)),"")</f>
        <v>0</v>
      </c>
      <c r="C18" s="20">
        <f>IFERROR(INDEX(Products!$AT$5:$AT$304,MATCH(11,Products!$BO$5:$BO$304,0)),"")</f>
        <v>0</v>
      </c>
      <c r="D18" s="20">
        <f>IFERROR(INDEX(Products!$AR$5:$AR$304,MATCH(11,Products!$BO$5:$BO$304,0)),"")</f>
        <v>0</v>
      </c>
      <c r="E18" s="20">
        <f>IFERROR(INDEX(Products!$AV$5:$AV$304,MATCH(11,Products!$BO$5:$BO$304,0)),"")</f>
        <v>0</v>
      </c>
      <c r="F18" s="33">
        <f>IFERROR(INDEX(Products!$AW$5:$AW$304,MATCH(11,Products!$BO$5:$BO$304,0)),"")</f>
        <v>0</v>
      </c>
      <c r="G18" s="33">
        <f>IFERROR(INDEX(Products!$AX$5:$AX$304,MATCH(11,Products!$BO$5:$BO$304,0)),"")</f>
        <v>0</v>
      </c>
      <c r="H18" s="36">
        <f>IFERROR(INDEX(Products!$Y$5:$Y$304,MATCH(11,Products!$BO$5:$BO$304,0)),"")</f>
        <v>0</v>
      </c>
      <c r="I18" s="20">
        <f>IFERROR(INDEX(Products!$AY$5:$AY$304,MATCH(11,Products!$BO$5:$BO$304,0)),"")</f>
        <v>0</v>
      </c>
      <c r="J18" s="32">
        <f>IFERROR(INDEX(Products!$BH$5:$BH$304,MATCH(11,Products!$BO$5:$BO$304,0)),"")</f>
        <v>0</v>
      </c>
      <c r="K18" s="34">
        <f>IFERROR(INDEX(Products!$BI$5:$BI$304,MATCH(11,Products!$BO$5:$BO$304,0)),"")</f>
        <v>0</v>
      </c>
      <c r="L18" s="34">
        <f>IFERROR(INDEX(Products!$BJ$5:$BJ$304,MATCH(11,Products!$BO$5:$BO$304,0)),"")</f>
        <v>0</v>
      </c>
    </row>
    <row r="19" spans="1:12">
      <c r="A19" s="13">
        <f>IFERROR(INDEX(Products!$B$5:$B$304,MATCH(12,Products!$BO$5:$BO$304,0)),"")</f>
        <v>0</v>
      </c>
      <c r="B19" s="13">
        <f>IFERROR(INDEX(Products!$D$5:$D$304,MATCH(12,Products!$BO$5:$BO$304,0)),"")</f>
        <v>0</v>
      </c>
      <c r="C19" s="20">
        <f>IFERROR(INDEX(Products!$AT$5:$AT$304,MATCH(12,Products!$BO$5:$BO$304,0)),"")</f>
        <v>0</v>
      </c>
      <c r="D19" s="20">
        <f>IFERROR(INDEX(Products!$AR$5:$AR$304,MATCH(12,Products!$BO$5:$BO$304,0)),"")</f>
        <v>0</v>
      </c>
      <c r="E19" s="20">
        <f>IFERROR(INDEX(Products!$AV$5:$AV$304,MATCH(12,Products!$BO$5:$BO$304,0)),"")</f>
        <v>0</v>
      </c>
      <c r="F19" s="33">
        <f>IFERROR(INDEX(Products!$AW$5:$AW$304,MATCH(12,Products!$BO$5:$BO$304,0)),"")</f>
        <v>0</v>
      </c>
      <c r="G19" s="33">
        <f>IFERROR(INDEX(Products!$AX$5:$AX$304,MATCH(12,Products!$BO$5:$BO$304,0)),"")</f>
        <v>0</v>
      </c>
      <c r="H19" s="36">
        <f>IFERROR(INDEX(Products!$Y$5:$Y$304,MATCH(12,Products!$BO$5:$BO$304,0)),"")</f>
        <v>0</v>
      </c>
      <c r="I19" s="20">
        <f>IFERROR(INDEX(Products!$AY$5:$AY$304,MATCH(12,Products!$BO$5:$BO$304,0)),"")</f>
        <v>0</v>
      </c>
      <c r="J19" s="32">
        <f>IFERROR(INDEX(Products!$BH$5:$BH$304,MATCH(12,Products!$BO$5:$BO$304,0)),"")</f>
        <v>0</v>
      </c>
      <c r="K19" s="34">
        <f>IFERROR(INDEX(Products!$BI$5:$BI$304,MATCH(12,Products!$BO$5:$BO$304,0)),"")</f>
        <v>0</v>
      </c>
      <c r="L19" s="34">
        <f>IFERROR(INDEX(Products!$BJ$5:$BJ$304,MATCH(12,Products!$BO$5:$BO$304,0)),"")</f>
        <v>0</v>
      </c>
    </row>
    <row r="22" spans="1:12" ht="20" customHeight="1">
      <c r="A22" s="7" t="s">
        <v>1981</v>
      </c>
      <c r="B22" s="7"/>
      <c r="C22" s="7"/>
      <c r="D22" s="7"/>
      <c r="E22" s="7"/>
      <c r="F22" s="7"/>
      <c r="G22" s="7"/>
      <c r="H22" s="7"/>
      <c r="I22" s="7"/>
      <c r="J22" s="7"/>
      <c r="K22" s="7"/>
      <c r="L22" s="7"/>
    </row>
    <row r="23" spans="1:12" ht="26" customHeight="1">
      <c r="A23" s="8" t="s">
        <v>568</v>
      </c>
      <c r="B23" s="9" t="s">
        <v>569</v>
      </c>
      <c r="C23" s="9" t="s">
        <v>591</v>
      </c>
      <c r="D23" s="9" t="s">
        <v>1982</v>
      </c>
      <c r="E23" s="9" t="s">
        <v>1700</v>
      </c>
      <c r="F23" s="9" t="s">
        <v>590</v>
      </c>
      <c r="G23" s="9" t="s">
        <v>1983</v>
      </c>
      <c r="H23" s="9" t="s">
        <v>1984</v>
      </c>
    </row>
    <row r="24" spans="1:12">
      <c r="A24" s="13">
        <f>IFERROR(INDEX(Materials!$B$5:$B$254,MATCH(1,Materials!$AF$5:$AF$254,0)),"")</f>
        <v>0</v>
      </c>
      <c r="B24" s="13">
        <f>IFERROR(INDEX(Materials!$C$5:$C$254,MATCH(1,Materials!$AF$5:$AF$254,0)),"")</f>
        <v>0</v>
      </c>
      <c r="C24" s="32">
        <f>IFERROR(INDEX(Materials!$Z$5:$Z$254,MATCH(1,Materials!$AF$5:$AF$254,0)),"")</f>
        <v>0</v>
      </c>
      <c r="D24" s="45">
        <f>IFERROR(INDEX(Materials!$S$5:$S$254,MATCH(1,Materials!$AF$5:$AF$254,0)),"")</f>
        <v>0</v>
      </c>
      <c r="E24" s="20">
        <f>IFERROR(INDEX(Materials!$AB$5:$AB$254,MATCH(1,Materials!$AF$5:$AF$254,0)),"")</f>
        <v>0</v>
      </c>
      <c r="F24" s="20">
        <f>IFERROR(INDEX(Materials!$Y$5:$Y$254,MATCH(1,Materials!$AF$5:$AF$254,0)),"")</f>
        <v>0</v>
      </c>
      <c r="G24" s="20">
        <f>IF(IFERROR(INDEX(Materials!$A$5:$A$254,MATCH(1,Materials!$AF$5:$AF$254,0)),"")="","",ROUND(SUMIFS('Waste Log'!$L$5:$L$204,'Waste Log'!$B$5:$B$204,IFERROR(INDEX(Materials!$A$5:$A$254,MATCH(1,Materials!$AF$5:$AF$254,0)),"")),2))</f>
        <v>0</v>
      </c>
      <c r="H24" s="33">
        <f>IFERROR(E24/SUM(Materials!$AB$5:$AB$254),"")</f>
        <v>0</v>
      </c>
    </row>
    <row r="25" spans="1:12">
      <c r="A25" s="13">
        <f>IFERROR(INDEX(Materials!$B$5:$B$254,MATCH(2,Materials!$AF$5:$AF$254,0)),"")</f>
        <v>0</v>
      </c>
      <c r="B25" s="13">
        <f>IFERROR(INDEX(Materials!$C$5:$C$254,MATCH(2,Materials!$AF$5:$AF$254,0)),"")</f>
        <v>0</v>
      </c>
      <c r="C25" s="32">
        <f>IFERROR(INDEX(Materials!$Z$5:$Z$254,MATCH(2,Materials!$AF$5:$AF$254,0)),"")</f>
        <v>0</v>
      </c>
      <c r="D25" s="45">
        <f>IFERROR(INDEX(Materials!$S$5:$S$254,MATCH(2,Materials!$AF$5:$AF$254,0)),"")</f>
        <v>0</v>
      </c>
      <c r="E25" s="20">
        <f>IFERROR(INDEX(Materials!$AB$5:$AB$254,MATCH(2,Materials!$AF$5:$AF$254,0)),"")</f>
        <v>0</v>
      </c>
      <c r="F25" s="20">
        <f>IFERROR(INDEX(Materials!$Y$5:$Y$254,MATCH(2,Materials!$AF$5:$AF$254,0)),"")</f>
        <v>0</v>
      </c>
      <c r="G25" s="20">
        <f>IF(IFERROR(INDEX(Materials!$A$5:$A$254,MATCH(2,Materials!$AF$5:$AF$254,0)),"")="","",ROUND(SUMIFS('Waste Log'!$L$5:$L$204,'Waste Log'!$B$5:$B$204,IFERROR(INDEX(Materials!$A$5:$A$254,MATCH(2,Materials!$AF$5:$AF$254,0)),"")),2))</f>
        <v>0</v>
      </c>
      <c r="H25" s="33">
        <f>IFERROR(E25/SUM(Materials!$AB$5:$AB$254),"")</f>
        <v>0</v>
      </c>
    </row>
    <row r="26" spans="1:12">
      <c r="A26" s="13">
        <f>IFERROR(INDEX(Materials!$B$5:$B$254,MATCH(3,Materials!$AF$5:$AF$254,0)),"")</f>
        <v>0</v>
      </c>
      <c r="B26" s="13">
        <f>IFERROR(INDEX(Materials!$C$5:$C$254,MATCH(3,Materials!$AF$5:$AF$254,0)),"")</f>
        <v>0</v>
      </c>
      <c r="C26" s="32">
        <f>IFERROR(INDEX(Materials!$Z$5:$Z$254,MATCH(3,Materials!$AF$5:$AF$254,0)),"")</f>
        <v>0</v>
      </c>
      <c r="D26" s="45">
        <f>IFERROR(INDEX(Materials!$S$5:$S$254,MATCH(3,Materials!$AF$5:$AF$254,0)),"")</f>
        <v>0</v>
      </c>
      <c r="E26" s="20">
        <f>IFERROR(INDEX(Materials!$AB$5:$AB$254,MATCH(3,Materials!$AF$5:$AF$254,0)),"")</f>
        <v>0</v>
      </c>
      <c r="F26" s="20">
        <f>IFERROR(INDEX(Materials!$Y$5:$Y$254,MATCH(3,Materials!$AF$5:$AF$254,0)),"")</f>
        <v>0</v>
      </c>
      <c r="G26" s="20">
        <f>IF(IFERROR(INDEX(Materials!$A$5:$A$254,MATCH(3,Materials!$AF$5:$AF$254,0)),"")="","",ROUND(SUMIFS('Waste Log'!$L$5:$L$204,'Waste Log'!$B$5:$B$204,IFERROR(INDEX(Materials!$A$5:$A$254,MATCH(3,Materials!$AF$5:$AF$254,0)),"")),2))</f>
        <v>0</v>
      </c>
      <c r="H26" s="33">
        <f>IFERROR(E26/SUM(Materials!$AB$5:$AB$254),"")</f>
        <v>0</v>
      </c>
    </row>
    <row r="27" spans="1:12">
      <c r="A27" s="13">
        <f>IFERROR(INDEX(Materials!$B$5:$B$254,MATCH(4,Materials!$AF$5:$AF$254,0)),"")</f>
        <v>0</v>
      </c>
      <c r="B27" s="13">
        <f>IFERROR(INDEX(Materials!$C$5:$C$254,MATCH(4,Materials!$AF$5:$AF$254,0)),"")</f>
        <v>0</v>
      </c>
      <c r="C27" s="32">
        <f>IFERROR(INDEX(Materials!$Z$5:$Z$254,MATCH(4,Materials!$AF$5:$AF$254,0)),"")</f>
        <v>0</v>
      </c>
      <c r="D27" s="45">
        <f>IFERROR(INDEX(Materials!$S$5:$S$254,MATCH(4,Materials!$AF$5:$AF$254,0)),"")</f>
        <v>0</v>
      </c>
      <c r="E27" s="20">
        <f>IFERROR(INDEX(Materials!$AB$5:$AB$254,MATCH(4,Materials!$AF$5:$AF$254,0)),"")</f>
        <v>0</v>
      </c>
      <c r="F27" s="20">
        <f>IFERROR(INDEX(Materials!$Y$5:$Y$254,MATCH(4,Materials!$AF$5:$AF$254,0)),"")</f>
        <v>0</v>
      </c>
      <c r="G27" s="20">
        <f>IF(IFERROR(INDEX(Materials!$A$5:$A$254,MATCH(4,Materials!$AF$5:$AF$254,0)),"")="","",ROUND(SUMIFS('Waste Log'!$L$5:$L$204,'Waste Log'!$B$5:$B$204,IFERROR(INDEX(Materials!$A$5:$A$254,MATCH(4,Materials!$AF$5:$AF$254,0)),"")),2))</f>
        <v>0</v>
      </c>
      <c r="H27" s="33">
        <f>IFERROR(E27/SUM(Materials!$AB$5:$AB$254),"")</f>
        <v>0</v>
      </c>
    </row>
    <row r="28" spans="1:12">
      <c r="A28" s="13">
        <f>IFERROR(INDEX(Materials!$B$5:$B$254,MATCH(5,Materials!$AF$5:$AF$254,0)),"")</f>
        <v>0</v>
      </c>
      <c r="B28" s="13">
        <f>IFERROR(INDEX(Materials!$C$5:$C$254,MATCH(5,Materials!$AF$5:$AF$254,0)),"")</f>
        <v>0</v>
      </c>
      <c r="C28" s="32">
        <f>IFERROR(INDEX(Materials!$Z$5:$Z$254,MATCH(5,Materials!$AF$5:$AF$254,0)),"")</f>
        <v>0</v>
      </c>
      <c r="D28" s="45">
        <f>IFERROR(INDEX(Materials!$S$5:$S$254,MATCH(5,Materials!$AF$5:$AF$254,0)),"")</f>
        <v>0</v>
      </c>
      <c r="E28" s="20">
        <f>IFERROR(INDEX(Materials!$AB$5:$AB$254,MATCH(5,Materials!$AF$5:$AF$254,0)),"")</f>
        <v>0</v>
      </c>
      <c r="F28" s="20">
        <f>IFERROR(INDEX(Materials!$Y$5:$Y$254,MATCH(5,Materials!$AF$5:$AF$254,0)),"")</f>
        <v>0</v>
      </c>
      <c r="G28" s="20">
        <f>IF(IFERROR(INDEX(Materials!$A$5:$A$254,MATCH(5,Materials!$AF$5:$AF$254,0)),"")="","",ROUND(SUMIFS('Waste Log'!$L$5:$L$204,'Waste Log'!$B$5:$B$204,IFERROR(INDEX(Materials!$A$5:$A$254,MATCH(5,Materials!$AF$5:$AF$254,0)),"")),2))</f>
        <v>0</v>
      </c>
      <c r="H28" s="33">
        <f>IFERROR(E28/SUM(Materials!$AB$5:$AB$254),"")</f>
        <v>0</v>
      </c>
    </row>
    <row r="29" spans="1:12">
      <c r="A29" s="13">
        <f>IFERROR(INDEX(Materials!$B$5:$B$254,MATCH(6,Materials!$AF$5:$AF$254,0)),"")</f>
        <v>0</v>
      </c>
      <c r="B29" s="13">
        <f>IFERROR(INDEX(Materials!$C$5:$C$254,MATCH(6,Materials!$AF$5:$AF$254,0)),"")</f>
        <v>0</v>
      </c>
      <c r="C29" s="32">
        <f>IFERROR(INDEX(Materials!$Z$5:$Z$254,MATCH(6,Materials!$AF$5:$AF$254,0)),"")</f>
        <v>0</v>
      </c>
      <c r="D29" s="45">
        <f>IFERROR(INDEX(Materials!$S$5:$S$254,MATCH(6,Materials!$AF$5:$AF$254,0)),"")</f>
        <v>0</v>
      </c>
      <c r="E29" s="20">
        <f>IFERROR(INDEX(Materials!$AB$5:$AB$254,MATCH(6,Materials!$AF$5:$AF$254,0)),"")</f>
        <v>0</v>
      </c>
      <c r="F29" s="20">
        <f>IFERROR(INDEX(Materials!$Y$5:$Y$254,MATCH(6,Materials!$AF$5:$AF$254,0)),"")</f>
        <v>0</v>
      </c>
      <c r="G29" s="20">
        <f>IF(IFERROR(INDEX(Materials!$A$5:$A$254,MATCH(6,Materials!$AF$5:$AF$254,0)),"")="","",ROUND(SUMIFS('Waste Log'!$L$5:$L$204,'Waste Log'!$B$5:$B$204,IFERROR(INDEX(Materials!$A$5:$A$254,MATCH(6,Materials!$AF$5:$AF$254,0)),"")),2))</f>
        <v>0</v>
      </c>
      <c r="H29" s="33">
        <f>IFERROR(E29/SUM(Materials!$AB$5:$AB$254),"")</f>
        <v>0</v>
      </c>
    </row>
    <row r="30" spans="1:12">
      <c r="A30" s="13">
        <f>IFERROR(INDEX(Materials!$B$5:$B$254,MATCH(7,Materials!$AF$5:$AF$254,0)),"")</f>
        <v>0</v>
      </c>
      <c r="B30" s="13">
        <f>IFERROR(INDEX(Materials!$C$5:$C$254,MATCH(7,Materials!$AF$5:$AF$254,0)),"")</f>
        <v>0</v>
      </c>
      <c r="C30" s="32">
        <f>IFERROR(INDEX(Materials!$Z$5:$Z$254,MATCH(7,Materials!$AF$5:$AF$254,0)),"")</f>
        <v>0</v>
      </c>
      <c r="D30" s="45">
        <f>IFERROR(INDEX(Materials!$S$5:$S$254,MATCH(7,Materials!$AF$5:$AF$254,0)),"")</f>
        <v>0</v>
      </c>
      <c r="E30" s="20">
        <f>IFERROR(INDEX(Materials!$AB$5:$AB$254,MATCH(7,Materials!$AF$5:$AF$254,0)),"")</f>
        <v>0</v>
      </c>
      <c r="F30" s="20">
        <f>IFERROR(INDEX(Materials!$Y$5:$Y$254,MATCH(7,Materials!$AF$5:$AF$254,0)),"")</f>
        <v>0</v>
      </c>
      <c r="G30" s="20">
        <f>IF(IFERROR(INDEX(Materials!$A$5:$A$254,MATCH(7,Materials!$AF$5:$AF$254,0)),"")="","",ROUND(SUMIFS('Waste Log'!$L$5:$L$204,'Waste Log'!$B$5:$B$204,IFERROR(INDEX(Materials!$A$5:$A$254,MATCH(7,Materials!$AF$5:$AF$254,0)),"")),2))</f>
        <v>0</v>
      </c>
      <c r="H30" s="33">
        <f>IFERROR(E30/SUM(Materials!$AB$5:$AB$254),"")</f>
        <v>0</v>
      </c>
    </row>
    <row r="31" spans="1:12">
      <c r="A31" s="13">
        <f>IFERROR(INDEX(Materials!$B$5:$B$254,MATCH(8,Materials!$AF$5:$AF$254,0)),"")</f>
        <v>0</v>
      </c>
      <c r="B31" s="13">
        <f>IFERROR(INDEX(Materials!$C$5:$C$254,MATCH(8,Materials!$AF$5:$AF$254,0)),"")</f>
        <v>0</v>
      </c>
      <c r="C31" s="32">
        <f>IFERROR(INDEX(Materials!$Z$5:$Z$254,MATCH(8,Materials!$AF$5:$AF$254,0)),"")</f>
        <v>0</v>
      </c>
      <c r="D31" s="45">
        <f>IFERROR(INDEX(Materials!$S$5:$S$254,MATCH(8,Materials!$AF$5:$AF$254,0)),"")</f>
        <v>0</v>
      </c>
      <c r="E31" s="20">
        <f>IFERROR(INDEX(Materials!$AB$5:$AB$254,MATCH(8,Materials!$AF$5:$AF$254,0)),"")</f>
        <v>0</v>
      </c>
      <c r="F31" s="20">
        <f>IFERROR(INDEX(Materials!$Y$5:$Y$254,MATCH(8,Materials!$AF$5:$AF$254,0)),"")</f>
        <v>0</v>
      </c>
      <c r="G31" s="20">
        <f>IF(IFERROR(INDEX(Materials!$A$5:$A$254,MATCH(8,Materials!$AF$5:$AF$254,0)),"")="","",ROUND(SUMIFS('Waste Log'!$L$5:$L$204,'Waste Log'!$B$5:$B$204,IFERROR(INDEX(Materials!$A$5:$A$254,MATCH(8,Materials!$AF$5:$AF$254,0)),"")),2))</f>
        <v>0</v>
      </c>
      <c r="H31" s="33">
        <f>IFERROR(E31/SUM(Materials!$AB$5:$AB$254),"")</f>
        <v>0</v>
      </c>
    </row>
    <row r="32" spans="1:12">
      <c r="A32" s="13">
        <f>IFERROR(INDEX(Materials!$B$5:$B$254,MATCH(9,Materials!$AF$5:$AF$254,0)),"")</f>
        <v>0</v>
      </c>
      <c r="B32" s="13">
        <f>IFERROR(INDEX(Materials!$C$5:$C$254,MATCH(9,Materials!$AF$5:$AF$254,0)),"")</f>
        <v>0</v>
      </c>
      <c r="C32" s="32">
        <f>IFERROR(INDEX(Materials!$Z$5:$Z$254,MATCH(9,Materials!$AF$5:$AF$254,0)),"")</f>
        <v>0</v>
      </c>
      <c r="D32" s="45">
        <f>IFERROR(INDEX(Materials!$S$5:$S$254,MATCH(9,Materials!$AF$5:$AF$254,0)),"")</f>
        <v>0</v>
      </c>
      <c r="E32" s="20">
        <f>IFERROR(INDEX(Materials!$AB$5:$AB$254,MATCH(9,Materials!$AF$5:$AF$254,0)),"")</f>
        <v>0</v>
      </c>
      <c r="F32" s="20">
        <f>IFERROR(INDEX(Materials!$Y$5:$Y$254,MATCH(9,Materials!$AF$5:$AF$254,0)),"")</f>
        <v>0</v>
      </c>
      <c r="G32" s="20">
        <f>IF(IFERROR(INDEX(Materials!$A$5:$A$254,MATCH(9,Materials!$AF$5:$AF$254,0)),"")="","",ROUND(SUMIFS('Waste Log'!$L$5:$L$204,'Waste Log'!$B$5:$B$204,IFERROR(INDEX(Materials!$A$5:$A$254,MATCH(9,Materials!$AF$5:$AF$254,0)),"")),2))</f>
        <v>0</v>
      </c>
      <c r="H32" s="33">
        <f>IFERROR(E32/SUM(Materials!$AB$5:$AB$254),"")</f>
        <v>0</v>
      </c>
    </row>
    <row r="33" spans="1:12">
      <c r="A33" s="13">
        <f>IFERROR(INDEX(Materials!$B$5:$B$254,MATCH(10,Materials!$AF$5:$AF$254,0)),"")</f>
        <v>0</v>
      </c>
      <c r="B33" s="13">
        <f>IFERROR(INDEX(Materials!$C$5:$C$254,MATCH(10,Materials!$AF$5:$AF$254,0)),"")</f>
        <v>0</v>
      </c>
      <c r="C33" s="32">
        <f>IFERROR(INDEX(Materials!$Z$5:$Z$254,MATCH(10,Materials!$AF$5:$AF$254,0)),"")</f>
        <v>0</v>
      </c>
      <c r="D33" s="45">
        <f>IFERROR(INDEX(Materials!$S$5:$S$254,MATCH(10,Materials!$AF$5:$AF$254,0)),"")</f>
        <v>0</v>
      </c>
      <c r="E33" s="20">
        <f>IFERROR(INDEX(Materials!$AB$5:$AB$254,MATCH(10,Materials!$AF$5:$AF$254,0)),"")</f>
        <v>0</v>
      </c>
      <c r="F33" s="20">
        <f>IFERROR(INDEX(Materials!$Y$5:$Y$254,MATCH(10,Materials!$AF$5:$AF$254,0)),"")</f>
        <v>0</v>
      </c>
      <c r="G33" s="20">
        <f>IF(IFERROR(INDEX(Materials!$A$5:$A$254,MATCH(10,Materials!$AF$5:$AF$254,0)),"")="","",ROUND(SUMIFS('Waste Log'!$L$5:$L$204,'Waste Log'!$B$5:$B$204,IFERROR(INDEX(Materials!$A$5:$A$254,MATCH(10,Materials!$AF$5:$AF$254,0)),"")),2))</f>
        <v>0</v>
      </c>
      <c r="H33" s="33">
        <f>IFERROR(E33/SUM(Materials!$AB$5:$AB$254),"")</f>
        <v>0</v>
      </c>
    </row>
    <row r="34" spans="1:12">
      <c r="A34" s="13">
        <f>IFERROR(INDEX(Materials!$B$5:$B$254,MATCH(11,Materials!$AF$5:$AF$254,0)),"")</f>
        <v>0</v>
      </c>
      <c r="B34" s="13">
        <f>IFERROR(INDEX(Materials!$C$5:$C$254,MATCH(11,Materials!$AF$5:$AF$254,0)),"")</f>
        <v>0</v>
      </c>
      <c r="C34" s="32">
        <f>IFERROR(INDEX(Materials!$Z$5:$Z$254,MATCH(11,Materials!$AF$5:$AF$254,0)),"")</f>
        <v>0</v>
      </c>
      <c r="D34" s="45">
        <f>IFERROR(INDEX(Materials!$S$5:$S$254,MATCH(11,Materials!$AF$5:$AF$254,0)),"")</f>
        <v>0</v>
      </c>
      <c r="E34" s="20">
        <f>IFERROR(INDEX(Materials!$AB$5:$AB$254,MATCH(11,Materials!$AF$5:$AF$254,0)),"")</f>
        <v>0</v>
      </c>
      <c r="F34" s="20">
        <f>IFERROR(INDEX(Materials!$Y$5:$Y$254,MATCH(11,Materials!$AF$5:$AF$254,0)),"")</f>
        <v>0</v>
      </c>
      <c r="G34" s="20">
        <f>IF(IFERROR(INDEX(Materials!$A$5:$A$254,MATCH(11,Materials!$AF$5:$AF$254,0)),"")="","",ROUND(SUMIFS('Waste Log'!$L$5:$L$204,'Waste Log'!$B$5:$B$204,IFERROR(INDEX(Materials!$A$5:$A$254,MATCH(11,Materials!$AF$5:$AF$254,0)),"")),2))</f>
        <v>0</v>
      </c>
      <c r="H34" s="33">
        <f>IFERROR(E34/SUM(Materials!$AB$5:$AB$254),"")</f>
        <v>0</v>
      </c>
    </row>
    <row r="35" spans="1:12">
      <c r="A35" s="13">
        <f>IFERROR(INDEX(Materials!$B$5:$B$254,MATCH(12,Materials!$AF$5:$AF$254,0)),"")</f>
        <v>0</v>
      </c>
      <c r="B35" s="13">
        <f>IFERROR(INDEX(Materials!$C$5:$C$254,MATCH(12,Materials!$AF$5:$AF$254,0)),"")</f>
        <v>0</v>
      </c>
      <c r="C35" s="32">
        <f>IFERROR(INDEX(Materials!$Z$5:$Z$254,MATCH(12,Materials!$AF$5:$AF$254,0)),"")</f>
        <v>0</v>
      </c>
      <c r="D35" s="45">
        <f>IFERROR(INDEX(Materials!$S$5:$S$254,MATCH(12,Materials!$AF$5:$AF$254,0)),"")</f>
        <v>0</v>
      </c>
      <c r="E35" s="20">
        <f>IFERROR(INDEX(Materials!$AB$5:$AB$254,MATCH(12,Materials!$AF$5:$AF$254,0)),"")</f>
        <v>0</v>
      </c>
      <c r="F35" s="20">
        <f>IFERROR(INDEX(Materials!$Y$5:$Y$254,MATCH(12,Materials!$AF$5:$AF$254,0)),"")</f>
        <v>0</v>
      </c>
      <c r="G35" s="20">
        <f>IF(IFERROR(INDEX(Materials!$A$5:$A$254,MATCH(12,Materials!$AF$5:$AF$254,0)),"")="","",ROUND(SUMIFS('Waste Log'!$L$5:$L$204,'Waste Log'!$B$5:$B$204,IFERROR(INDEX(Materials!$A$5:$A$254,MATCH(12,Materials!$AF$5:$AF$254,0)),"")),2))</f>
        <v>0</v>
      </c>
      <c r="H35" s="33">
        <f>IFERROR(E35/SUM(Materials!$AB$5:$AB$254),"")</f>
        <v>0</v>
      </c>
    </row>
    <row r="37" spans="1:12">
      <c r="A37" s="12" t="s">
        <v>1985</v>
      </c>
      <c r="B37" s="12"/>
      <c r="C37" s="12"/>
      <c r="D37" s="12"/>
      <c r="E37" s="12"/>
      <c r="F37" s="12"/>
      <c r="G37" s="12"/>
      <c r="H37" s="12"/>
      <c r="I37" s="12"/>
      <c r="J37" s="12"/>
      <c r="K37" s="12"/>
      <c r="L37" s="12"/>
    </row>
    <row r="39" spans="1:12" ht="20" customHeight="1">
      <c r="A39" s="7" t="s">
        <v>1986</v>
      </c>
      <c r="B39" s="7"/>
      <c r="C39" s="7"/>
      <c r="D39" s="7"/>
      <c r="E39" s="7"/>
      <c r="F39" s="7"/>
      <c r="G39" s="7"/>
      <c r="H39" s="7"/>
      <c r="I39" s="7"/>
      <c r="J39" s="7"/>
      <c r="K39" s="7"/>
      <c r="L39" s="7"/>
    </row>
    <row r="40" spans="1:12" ht="26" customHeight="1">
      <c r="A40" s="8" t="s">
        <v>1987</v>
      </c>
      <c r="B40" s="9" t="s">
        <v>1072</v>
      </c>
      <c r="C40" s="9" t="s">
        <v>399</v>
      </c>
    </row>
    <row r="41" spans="1:12">
      <c r="A41" s="10" t="s">
        <v>1988</v>
      </c>
      <c r="B41" s="20">
        <f>HourlyRate</f>
        <v>0</v>
      </c>
      <c r="C41" s="12" t="s">
        <v>1989</v>
      </c>
      <c r="D41" s="12"/>
      <c r="E41" s="12"/>
      <c r="F41" s="12"/>
      <c r="G41" s="12"/>
      <c r="H41" s="12"/>
      <c r="I41" s="12"/>
      <c r="J41" s="12"/>
      <c r="K41" s="12"/>
      <c r="L41" s="12"/>
    </row>
    <row r="42" spans="1:12">
      <c r="A42" s="10" t="s">
        <v>1990</v>
      </c>
      <c r="B42" s="20">
        <f>IFERROR(AVERAGE(Products!$AZ$5:$AZ$304),"")</f>
        <v>0</v>
      </c>
      <c r="C42" s="12" t="s">
        <v>1991</v>
      </c>
      <c r="D42" s="12"/>
      <c r="E42" s="12"/>
      <c r="F42" s="12"/>
      <c r="G42" s="12"/>
      <c r="H42" s="12"/>
      <c r="I42" s="12"/>
      <c r="J42" s="12"/>
      <c r="K42" s="12"/>
      <c r="L42" s="12"/>
    </row>
    <row r="43" spans="1:12">
      <c r="A43" s="10" t="s">
        <v>1992</v>
      </c>
      <c r="B43" s="20">
        <f>IFERROR(MAX(Products!$AZ$5:$AZ$304),"")</f>
        <v>0</v>
      </c>
      <c r="C43" s="12" t="s">
        <v>1993</v>
      </c>
      <c r="D43" s="12"/>
      <c r="E43" s="12"/>
      <c r="F43" s="12"/>
      <c r="G43" s="12"/>
      <c r="H43" s="12"/>
      <c r="I43" s="12"/>
      <c r="J43" s="12"/>
      <c r="K43" s="12"/>
      <c r="L43" s="12"/>
    </row>
    <row r="44" spans="1:12">
      <c r="A44" s="10" t="s">
        <v>1994</v>
      </c>
      <c r="B44" s="20">
        <f>IFERROR(MIN(Products!$AZ$5:$AZ$304),"")</f>
        <v>0</v>
      </c>
      <c r="C44" s="12" t="s">
        <v>1995</v>
      </c>
      <c r="D44" s="12"/>
      <c r="E44" s="12"/>
      <c r="F44" s="12"/>
      <c r="G44" s="12"/>
      <c r="H44" s="12"/>
      <c r="I44" s="12"/>
      <c r="J44" s="12"/>
      <c r="K44" s="12"/>
      <c r="L44" s="12"/>
    </row>
    <row r="45" spans="1:12">
      <c r="A45" s="10" t="s">
        <v>1996</v>
      </c>
      <c r="B45" s="32">
        <f>COUNTIFS(Products!$AZ$5:$AZ$304,"&lt;"&amp;MinimumWage,Products!$B$5:$B$304,"&lt;&gt;")</f>
        <v>0</v>
      </c>
      <c r="C45" s="12" t="s">
        <v>1997</v>
      </c>
      <c r="D45" s="12"/>
      <c r="E45" s="12"/>
      <c r="F45" s="12"/>
      <c r="G45" s="12"/>
      <c r="H45" s="12"/>
      <c r="I45" s="12"/>
      <c r="J45" s="12"/>
      <c r="K45" s="12"/>
      <c r="L45" s="12"/>
    </row>
    <row r="46" spans="1:12">
      <c r="A46" s="10" t="s">
        <v>1998</v>
      </c>
      <c r="B46" s="36">
        <f>ROUND(SUM(Sales!$AK$5:$AK$804),1)</f>
        <v>0</v>
      </c>
      <c r="C46" s="12" t="s">
        <v>1999</v>
      </c>
      <c r="D46" s="12"/>
      <c r="E46" s="12"/>
      <c r="F46" s="12"/>
      <c r="G46" s="12"/>
      <c r="H46" s="12"/>
      <c r="I46" s="12"/>
      <c r="J46" s="12"/>
      <c r="K46" s="12"/>
      <c r="L46" s="12"/>
    </row>
    <row r="47" spans="1:12">
      <c r="A47" s="10" t="s">
        <v>2000</v>
      </c>
      <c r="B47" s="20">
        <f>IFERROR(ROUND(SUM(Sales!$AG$5:$AG$804)/SUM(Sales!$AK$5:$AK$804),2),"")</f>
        <v>0</v>
      </c>
      <c r="C47" s="12" t="s">
        <v>2001</v>
      </c>
      <c r="D47" s="12"/>
      <c r="E47" s="12"/>
      <c r="F47" s="12"/>
      <c r="G47" s="12"/>
      <c r="H47" s="12"/>
      <c r="I47" s="12"/>
      <c r="J47" s="12"/>
      <c r="K47" s="12"/>
      <c r="L47" s="12"/>
    </row>
    <row r="48" spans="1:12">
      <c r="A48" s="10" t="s">
        <v>2002</v>
      </c>
      <c r="B48" s="41">
        <f>ProductiveHours</f>
        <v>0</v>
      </c>
      <c r="C48" s="12" t="s">
        <v>2003</v>
      </c>
      <c r="D48" s="12"/>
      <c r="E48" s="12"/>
      <c r="F48" s="12"/>
      <c r="G48" s="12"/>
      <c r="H48" s="12"/>
      <c r="I48" s="12"/>
      <c r="J48" s="12"/>
      <c r="K48" s="12"/>
      <c r="L48" s="12"/>
    </row>
    <row r="51" spans="1:13" ht="20" customHeight="1">
      <c r="A51" s="7" t="s">
        <v>2004</v>
      </c>
      <c r="B51" s="7"/>
      <c r="C51" s="7"/>
      <c r="D51" s="7"/>
      <c r="E51" s="7"/>
      <c r="F51" s="7"/>
      <c r="G51" s="7"/>
      <c r="H51" s="7"/>
      <c r="I51" s="7"/>
      <c r="J51" s="7"/>
      <c r="K51" s="7"/>
      <c r="L51" s="7"/>
    </row>
    <row r="52" spans="1:13">
      <c r="A52" s="8" t="s">
        <v>370</v>
      </c>
      <c r="B52" s="9">
        <f>TEXT(DATE(YEAR(TodayDate),MONTH(TodayDate)-11,1),"mmm yy")</f>
        <v>0</v>
      </c>
      <c r="C52" s="9">
        <f>TEXT(DATE(YEAR(TodayDate),MONTH(TodayDate)-10,1),"mmm yy")</f>
        <v>0</v>
      </c>
      <c r="D52" s="9">
        <f>TEXT(DATE(YEAR(TodayDate),MONTH(TodayDate)-9,1),"mmm yy")</f>
        <v>0</v>
      </c>
      <c r="E52" s="9">
        <f>TEXT(DATE(YEAR(TodayDate),MONTH(TodayDate)-8,1),"mmm yy")</f>
        <v>0</v>
      </c>
      <c r="F52" s="9">
        <f>TEXT(DATE(YEAR(TodayDate),MONTH(TodayDate)-7,1),"mmm yy")</f>
        <v>0</v>
      </c>
      <c r="G52" s="9">
        <f>TEXT(DATE(YEAR(TodayDate),MONTH(TodayDate)-6,1),"mmm yy")</f>
        <v>0</v>
      </c>
      <c r="H52" s="9">
        <f>TEXT(DATE(YEAR(TodayDate),MONTH(TodayDate)-5,1),"mmm yy")</f>
        <v>0</v>
      </c>
      <c r="I52" s="9">
        <f>TEXT(DATE(YEAR(TodayDate),MONTH(TodayDate)-4,1),"mmm yy")</f>
        <v>0</v>
      </c>
      <c r="J52" s="9">
        <f>TEXT(DATE(YEAR(TodayDate),MONTH(TodayDate)-3,1),"mmm yy")</f>
        <v>0</v>
      </c>
      <c r="K52" s="9">
        <f>TEXT(DATE(YEAR(TodayDate),MONTH(TodayDate)-2,1),"mmm yy")</f>
        <v>0</v>
      </c>
      <c r="L52" s="9">
        <f>TEXT(DATE(YEAR(TodayDate),MONTH(TodayDate)-1,1),"mmm yy")</f>
        <v>0</v>
      </c>
      <c r="M52" s="9">
        <f>TEXT(DATE(YEAR(TodayDate),MONTH(TodayDate)-0,1),"mmm yy")</f>
        <v>0</v>
      </c>
    </row>
    <row r="53" spans="1:13">
      <c r="A53" s="11" t="s">
        <v>434</v>
      </c>
      <c r="B53" s="35">
        <f>TEXT(DATE(YEAR(TodayDate),MONTH(TodayDate)-11,1),"yyyy-mm")</f>
        <v>0</v>
      </c>
      <c r="C53" s="35">
        <f>TEXT(DATE(YEAR(TodayDate),MONTH(TodayDate)-10,1),"yyyy-mm")</f>
        <v>0</v>
      </c>
      <c r="D53" s="35">
        <f>TEXT(DATE(YEAR(TodayDate),MONTH(TodayDate)-9,1),"yyyy-mm")</f>
        <v>0</v>
      </c>
      <c r="E53" s="35">
        <f>TEXT(DATE(YEAR(TodayDate),MONTH(TodayDate)-8,1),"yyyy-mm")</f>
        <v>0</v>
      </c>
      <c r="F53" s="35">
        <f>TEXT(DATE(YEAR(TodayDate),MONTH(TodayDate)-7,1),"yyyy-mm")</f>
        <v>0</v>
      </c>
      <c r="G53" s="35">
        <f>TEXT(DATE(YEAR(TodayDate),MONTH(TodayDate)-6,1),"yyyy-mm")</f>
        <v>0</v>
      </c>
      <c r="H53" s="35">
        <f>TEXT(DATE(YEAR(TodayDate),MONTH(TodayDate)-5,1),"yyyy-mm")</f>
        <v>0</v>
      </c>
      <c r="I53" s="35">
        <f>TEXT(DATE(YEAR(TodayDate),MONTH(TodayDate)-4,1),"yyyy-mm")</f>
        <v>0</v>
      </c>
      <c r="J53" s="35">
        <f>TEXT(DATE(YEAR(TodayDate),MONTH(TodayDate)-3,1),"yyyy-mm")</f>
        <v>0</v>
      </c>
      <c r="K53" s="35">
        <f>TEXT(DATE(YEAR(TodayDate),MONTH(TodayDate)-2,1),"yyyy-mm")</f>
        <v>0</v>
      </c>
      <c r="L53" s="35">
        <f>TEXT(DATE(YEAR(TodayDate),MONTH(TodayDate)-1,1),"yyyy-mm")</f>
        <v>0</v>
      </c>
      <c r="M53" s="35">
        <f>TEXT(DATE(YEAR(TodayDate),MONTH(TodayDate)-0,1),"yyyy-mm")</f>
        <v>0</v>
      </c>
    </row>
    <row r="54" spans="1:13">
      <c r="A54" s="10" t="s">
        <v>432</v>
      </c>
      <c r="B54" s="34">
        <f>ROUND(SUMIFS(Sales!$V$5:$V$804,Sales!$R$5:$R$804,B$53),2)</f>
        <v>0</v>
      </c>
      <c r="C54" s="34">
        <f>ROUND(SUMIFS(Sales!$V$5:$V$804,Sales!$R$5:$R$804,C$53),2)</f>
        <v>0</v>
      </c>
      <c r="D54" s="34">
        <f>ROUND(SUMIFS(Sales!$V$5:$V$804,Sales!$R$5:$R$804,D$53),2)</f>
        <v>0</v>
      </c>
      <c r="E54" s="34">
        <f>ROUND(SUMIFS(Sales!$V$5:$V$804,Sales!$R$5:$R$804,E$53),2)</f>
        <v>0</v>
      </c>
      <c r="F54" s="34">
        <f>ROUND(SUMIFS(Sales!$V$5:$V$804,Sales!$R$5:$R$804,F$53),2)</f>
        <v>0</v>
      </c>
      <c r="G54" s="34">
        <f>ROUND(SUMIFS(Sales!$V$5:$V$804,Sales!$R$5:$R$804,G$53),2)</f>
        <v>0</v>
      </c>
      <c r="H54" s="34">
        <f>ROUND(SUMIFS(Sales!$V$5:$V$804,Sales!$R$5:$R$804,H$53),2)</f>
        <v>0</v>
      </c>
      <c r="I54" s="34">
        <f>ROUND(SUMIFS(Sales!$V$5:$V$804,Sales!$R$5:$R$804,I$53),2)</f>
        <v>0</v>
      </c>
      <c r="J54" s="34">
        <f>ROUND(SUMIFS(Sales!$V$5:$V$804,Sales!$R$5:$R$804,J$53),2)</f>
        <v>0</v>
      </c>
      <c r="K54" s="34">
        <f>ROUND(SUMIFS(Sales!$V$5:$V$804,Sales!$R$5:$R$804,K$53),2)</f>
        <v>0</v>
      </c>
      <c r="L54" s="34">
        <f>ROUND(SUMIFS(Sales!$V$5:$V$804,Sales!$R$5:$R$804,L$53),2)</f>
        <v>0</v>
      </c>
      <c r="M54" s="34">
        <f>ROUND(SUMIFS(Sales!$V$5:$V$804,Sales!$R$5:$R$804,M$53),2)</f>
        <v>0</v>
      </c>
    </row>
    <row r="55" spans="1:13">
      <c r="A55" s="10" t="s">
        <v>2005</v>
      </c>
      <c r="B55" s="34">
        <f>ROUND(SUMIFS(Sales!$Y$5:$Y$804,Sales!$R$5:$R$804,B$53),2)</f>
        <v>0</v>
      </c>
      <c r="C55" s="34">
        <f>ROUND(SUMIFS(Sales!$Y$5:$Y$804,Sales!$R$5:$R$804,C$53),2)</f>
        <v>0</v>
      </c>
      <c r="D55" s="34">
        <f>ROUND(SUMIFS(Sales!$Y$5:$Y$804,Sales!$R$5:$R$804,D$53),2)</f>
        <v>0</v>
      </c>
      <c r="E55" s="34">
        <f>ROUND(SUMIFS(Sales!$Y$5:$Y$804,Sales!$R$5:$R$804,E$53),2)</f>
        <v>0</v>
      </c>
      <c r="F55" s="34">
        <f>ROUND(SUMIFS(Sales!$Y$5:$Y$804,Sales!$R$5:$R$804,F$53),2)</f>
        <v>0</v>
      </c>
      <c r="G55" s="34">
        <f>ROUND(SUMIFS(Sales!$Y$5:$Y$804,Sales!$R$5:$R$804,G$53),2)</f>
        <v>0</v>
      </c>
      <c r="H55" s="34">
        <f>ROUND(SUMIFS(Sales!$Y$5:$Y$804,Sales!$R$5:$R$804,H$53),2)</f>
        <v>0</v>
      </c>
      <c r="I55" s="34">
        <f>ROUND(SUMIFS(Sales!$Y$5:$Y$804,Sales!$R$5:$R$804,I$53),2)</f>
        <v>0</v>
      </c>
      <c r="J55" s="34">
        <f>ROUND(SUMIFS(Sales!$Y$5:$Y$804,Sales!$R$5:$R$804,J$53),2)</f>
        <v>0</v>
      </c>
      <c r="K55" s="34">
        <f>ROUND(SUMIFS(Sales!$Y$5:$Y$804,Sales!$R$5:$R$804,K$53),2)</f>
        <v>0</v>
      </c>
      <c r="L55" s="34">
        <f>ROUND(SUMIFS(Sales!$Y$5:$Y$804,Sales!$R$5:$R$804,L$53),2)</f>
        <v>0</v>
      </c>
      <c r="M55" s="34">
        <f>ROUND(SUMIFS(Sales!$Y$5:$Y$804,Sales!$R$5:$R$804,M$53),2)</f>
        <v>0</v>
      </c>
    </row>
    <row r="56" spans="1:13">
      <c r="A56" s="10" t="s">
        <v>2006</v>
      </c>
      <c r="B56" s="34">
        <f>ROUND(SUMIFS(Sales!$AE$5:$AE$804,Sales!$R$5:$R$804,B$53),2)</f>
        <v>0</v>
      </c>
      <c r="C56" s="34">
        <f>ROUND(SUMIFS(Sales!$AE$5:$AE$804,Sales!$R$5:$R$804,C$53),2)</f>
        <v>0</v>
      </c>
      <c r="D56" s="34">
        <f>ROUND(SUMIFS(Sales!$AE$5:$AE$804,Sales!$R$5:$R$804,D$53),2)</f>
        <v>0</v>
      </c>
      <c r="E56" s="34">
        <f>ROUND(SUMIFS(Sales!$AE$5:$AE$804,Sales!$R$5:$R$804,E$53),2)</f>
        <v>0</v>
      </c>
      <c r="F56" s="34">
        <f>ROUND(SUMIFS(Sales!$AE$5:$AE$804,Sales!$R$5:$R$804,F$53),2)</f>
        <v>0</v>
      </c>
      <c r="G56" s="34">
        <f>ROUND(SUMIFS(Sales!$AE$5:$AE$804,Sales!$R$5:$R$804,G$53),2)</f>
        <v>0</v>
      </c>
      <c r="H56" s="34">
        <f>ROUND(SUMIFS(Sales!$AE$5:$AE$804,Sales!$R$5:$R$804,H$53),2)</f>
        <v>0</v>
      </c>
      <c r="I56" s="34">
        <f>ROUND(SUMIFS(Sales!$AE$5:$AE$804,Sales!$R$5:$R$804,I$53),2)</f>
        <v>0</v>
      </c>
      <c r="J56" s="34">
        <f>ROUND(SUMIFS(Sales!$AE$5:$AE$804,Sales!$R$5:$R$804,J$53),2)</f>
        <v>0</v>
      </c>
      <c r="K56" s="34">
        <f>ROUND(SUMIFS(Sales!$AE$5:$AE$804,Sales!$R$5:$R$804,K$53),2)</f>
        <v>0</v>
      </c>
      <c r="L56" s="34">
        <f>ROUND(SUMIFS(Sales!$AE$5:$AE$804,Sales!$R$5:$R$804,L$53),2)</f>
        <v>0</v>
      </c>
      <c r="M56" s="34">
        <f>ROUND(SUMIFS(Sales!$AE$5:$AE$804,Sales!$R$5:$R$804,M$53),2)</f>
        <v>0</v>
      </c>
    </row>
    <row r="57" spans="1:13">
      <c r="A57" s="10" t="s">
        <v>1659</v>
      </c>
      <c r="B57" s="34">
        <f>ROUND(SUMIFS(Sales!$Z$5:$Z$804,Sales!$R$5:$R$804,B$53),2)</f>
        <v>0</v>
      </c>
      <c r="C57" s="34">
        <f>ROUND(SUMIFS(Sales!$Z$5:$Z$804,Sales!$R$5:$R$804,C$53),2)</f>
        <v>0</v>
      </c>
      <c r="D57" s="34">
        <f>ROUND(SUMIFS(Sales!$Z$5:$Z$804,Sales!$R$5:$R$804,D$53),2)</f>
        <v>0</v>
      </c>
      <c r="E57" s="34">
        <f>ROUND(SUMIFS(Sales!$Z$5:$Z$804,Sales!$R$5:$R$804,E$53),2)</f>
        <v>0</v>
      </c>
      <c r="F57" s="34">
        <f>ROUND(SUMIFS(Sales!$Z$5:$Z$804,Sales!$R$5:$R$804,F$53),2)</f>
        <v>0</v>
      </c>
      <c r="G57" s="34">
        <f>ROUND(SUMIFS(Sales!$Z$5:$Z$804,Sales!$R$5:$R$804,G$53),2)</f>
        <v>0</v>
      </c>
      <c r="H57" s="34">
        <f>ROUND(SUMIFS(Sales!$Z$5:$Z$804,Sales!$R$5:$R$804,H$53),2)</f>
        <v>0</v>
      </c>
      <c r="I57" s="34">
        <f>ROUND(SUMIFS(Sales!$Z$5:$Z$804,Sales!$R$5:$R$804,I$53),2)</f>
        <v>0</v>
      </c>
      <c r="J57" s="34">
        <f>ROUND(SUMIFS(Sales!$Z$5:$Z$804,Sales!$R$5:$R$804,J$53),2)</f>
        <v>0</v>
      </c>
      <c r="K57" s="34">
        <f>ROUND(SUMIFS(Sales!$Z$5:$Z$804,Sales!$R$5:$R$804,K$53),2)</f>
        <v>0</v>
      </c>
      <c r="L57" s="34">
        <f>ROUND(SUMIFS(Sales!$Z$5:$Z$804,Sales!$R$5:$R$804,L$53),2)</f>
        <v>0</v>
      </c>
      <c r="M57" s="34">
        <f>ROUND(SUMIFS(Sales!$Z$5:$Z$804,Sales!$R$5:$R$804,M$53),2)</f>
        <v>0</v>
      </c>
    </row>
    <row r="58" spans="1:13">
      <c r="A58" s="10" t="s">
        <v>72</v>
      </c>
      <c r="B58" s="34">
        <f>ROUND(OverheadMonthly,2)</f>
        <v>0</v>
      </c>
      <c r="C58" s="34">
        <f>ROUND(OverheadMonthly,2)</f>
        <v>0</v>
      </c>
      <c r="D58" s="34">
        <f>ROUND(OverheadMonthly,2)</f>
        <v>0</v>
      </c>
      <c r="E58" s="34">
        <f>ROUND(OverheadMonthly,2)</f>
        <v>0</v>
      </c>
      <c r="F58" s="34">
        <f>ROUND(OverheadMonthly,2)</f>
        <v>0</v>
      </c>
      <c r="G58" s="34">
        <f>ROUND(OverheadMonthly,2)</f>
        <v>0</v>
      </c>
      <c r="H58" s="34">
        <f>ROUND(OverheadMonthly,2)</f>
        <v>0</v>
      </c>
      <c r="I58" s="34">
        <f>ROUND(OverheadMonthly,2)</f>
        <v>0</v>
      </c>
      <c r="J58" s="34">
        <f>ROUND(OverheadMonthly,2)</f>
        <v>0</v>
      </c>
      <c r="K58" s="34">
        <f>ROUND(OverheadMonthly,2)</f>
        <v>0</v>
      </c>
      <c r="L58" s="34">
        <f>ROUND(OverheadMonthly,2)</f>
        <v>0</v>
      </c>
      <c r="M58" s="34">
        <f>ROUND(OverheadMonthly,2)</f>
        <v>0</v>
      </c>
    </row>
    <row r="59" spans="1:13">
      <c r="A59" s="48" t="s">
        <v>2007</v>
      </c>
      <c r="B59" s="54">
        <f>ROUND(B54-B55-B56-B57-B58,2)</f>
        <v>0</v>
      </c>
      <c r="C59" s="54">
        <f>ROUND(C54-C55-C56-C57-C58,2)</f>
        <v>0</v>
      </c>
      <c r="D59" s="54">
        <f>ROUND(D54-D55-D56-D57-D58,2)</f>
        <v>0</v>
      </c>
      <c r="E59" s="54">
        <f>ROUND(E54-E55-E56-E57-E58,2)</f>
        <v>0</v>
      </c>
      <c r="F59" s="54">
        <f>ROUND(F54-F55-F56-F57-F58,2)</f>
        <v>0</v>
      </c>
      <c r="G59" s="54">
        <f>ROUND(G54-G55-G56-G57-G58,2)</f>
        <v>0</v>
      </c>
      <c r="H59" s="54">
        <f>ROUND(H54-H55-H56-H57-H58,2)</f>
        <v>0</v>
      </c>
      <c r="I59" s="54">
        <f>ROUND(I54-I55-I56-I57-I58,2)</f>
        <v>0</v>
      </c>
      <c r="J59" s="54">
        <f>ROUND(J54-J55-J56-J57-J58,2)</f>
        <v>0</v>
      </c>
      <c r="K59" s="54">
        <f>ROUND(K54-K55-K56-K57-K58,2)</f>
        <v>0</v>
      </c>
      <c r="L59" s="54">
        <f>ROUND(L54-L55-L56-L57-L58,2)</f>
        <v>0</v>
      </c>
      <c r="M59" s="54">
        <f>ROUND(M54-M55-M56-M57-M58,2)</f>
        <v>0</v>
      </c>
    </row>
    <row r="60" spans="1:13">
      <c r="A60" s="10" t="s">
        <v>2008</v>
      </c>
      <c r="B60" s="37">
        <f>IFERROR(B59/B54,"")</f>
        <v>0</v>
      </c>
      <c r="C60" s="37">
        <f>IFERROR(C59/C54,"")</f>
        <v>0</v>
      </c>
      <c r="D60" s="37">
        <f>IFERROR(D59/D54,"")</f>
        <v>0</v>
      </c>
      <c r="E60" s="37">
        <f>IFERROR(E59/E54,"")</f>
        <v>0</v>
      </c>
      <c r="F60" s="37">
        <f>IFERROR(F59/F54,"")</f>
        <v>0</v>
      </c>
      <c r="G60" s="37">
        <f>IFERROR(G59/G54,"")</f>
        <v>0</v>
      </c>
      <c r="H60" s="37">
        <f>IFERROR(H59/H54,"")</f>
        <v>0</v>
      </c>
      <c r="I60" s="37">
        <f>IFERROR(I59/I54,"")</f>
        <v>0</v>
      </c>
      <c r="J60" s="37">
        <f>IFERROR(J59/J54,"")</f>
        <v>0</v>
      </c>
      <c r="K60" s="37">
        <f>IFERROR(K59/K54,"")</f>
        <v>0</v>
      </c>
      <c r="L60" s="37">
        <f>IFERROR(L59/L54,"")</f>
        <v>0</v>
      </c>
      <c r="M60" s="37">
        <f>IFERROR(M59/M54,"")</f>
        <v>0</v>
      </c>
    </row>
    <row r="62" spans="1:13">
      <c r="A62" s="12" t="s">
        <v>2009</v>
      </c>
      <c r="B62" s="12"/>
      <c r="C62" s="12"/>
      <c r="D62" s="12"/>
      <c r="E62" s="12"/>
      <c r="F62" s="12"/>
      <c r="G62" s="12"/>
      <c r="H62" s="12"/>
      <c r="I62" s="12"/>
      <c r="J62" s="12"/>
      <c r="K62" s="12"/>
      <c r="L62" s="12"/>
    </row>
    <row r="64" spans="1:13" ht="20" customHeight="1">
      <c r="A64" s="7" t="s">
        <v>2010</v>
      </c>
      <c r="B64" s="7"/>
      <c r="C64" s="7"/>
      <c r="D64" s="7"/>
      <c r="E64" s="7"/>
      <c r="F64" s="7"/>
      <c r="G64" s="7"/>
      <c r="H64" s="7"/>
      <c r="I64" s="7"/>
      <c r="J64" s="7"/>
      <c r="K64" s="7"/>
      <c r="L64" s="7"/>
    </row>
    <row r="65" spans="1:12" ht="26" customHeight="1">
      <c r="A65" s="8" t="s">
        <v>354</v>
      </c>
      <c r="B65" s="9" t="s">
        <v>461</v>
      </c>
      <c r="C65" s="9" t="s">
        <v>2011</v>
      </c>
      <c r="D65" s="9" t="s">
        <v>1743</v>
      </c>
      <c r="E65" s="9" t="s">
        <v>1744</v>
      </c>
      <c r="F65" s="9" t="s">
        <v>2012</v>
      </c>
    </row>
    <row r="66" spans="1:12">
      <c r="A66" s="13">
        <f>IFERROR(INDEX(Products!$B$5:$B$304,MATCH(1,Products!$BP$5:$BP$304,0)),"")</f>
        <v>0</v>
      </c>
      <c r="B66" s="20">
        <f>IFERROR(INDEX(Products!$AR$5:$AR$304,MATCH(1,Products!$BP$5:$BP$304,0)),"")</f>
        <v>0</v>
      </c>
      <c r="C66" s="20">
        <f>IFERROR(INDEX(Products!$BF$5:$BF$304,MATCH(1,Products!$BP$5:$BP$304,0)),"")</f>
        <v>0</v>
      </c>
      <c r="D66" s="20">
        <f>IF(OR(B66="",C66="",C66=0),"",ROUND(B66-C66,2))</f>
        <v>0</v>
      </c>
      <c r="E66" s="13">
        <f>IF(D66="","No research yet",IF(D66&gt;C66*0.15,"Dearer",IF(D66&lt;-C66*0.15,"Cheaper","In line")))</f>
        <v>0</v>
      </c>
      <c r="F66" s="13">
        <f>IF(A66="","",IF(E66="Cheaper","Worth testing a rise",IF(E66="Dearer","Make sure the listing shows why","")))</f>
        <v>0</v>
      </c>
    </row>
    <row r="67" spans="1:12">
      <c r="A67" s="13">
        <f>IFERROR(INDEX(Products!$B$5:$B$304,MATCH(2,Products!$BP$5:$BP$304,0)),"")</f>
        <v>0</v>
      </c>
      <c r="B67" s="20">
        <f>IFERROR(INDEX(Products!$AR$5:$AR$304,MATCH(2,Products!$BP$5:$BP$304,0)),"")</f>
        <v>0</v>
      </c>
      <c r="C67" s="20">
        <f>IFERROR(INDEX(Products!$BF$5:$BF$304,MATCH(2,Products!$BP$5:$BP$304,0)),"")</f>
        <v>0</v>
      </c>
      <c r="D67" s="20">
        <f>IF(OR(B67="",C67="",C67=0),"",ROUND(B67-C67,2))</f>
        <v>0</v>
      </c>
      <c r="E67" s="13">
        <f>IF(D67="","No research yet",IF(D67&gt;C67*0.15,"Dearer",IF(D67&lt;-C67*0.15,"Cheaper","In line")))</f>
        <v>0</v>
      </c>
      <c r="F67" s="13">
        <f>IF(A67="","",IF(E67="Cheaper","Worth testing a rise",IF(E67="Dearer","Make sure the listing shows why","")))</f>
        <v>0</v>
      </c>
    </row>
    <row r="68" spans="1:12">
      <c r="A68" s="13">
        <f>IFERROR(INDEX(Products!$B$5:$B$304,MATCH(3,Products!$BP$5:$BP$304,0)),"")</f>
        <v>0</v>
      </c>
      <c r="B68" s="20">
        <f>IFERROR(INDEX(Products!$AR$5:$AR$304,MATCH(3,Products!$BP$5:$BP$304,0)),"")</f>
        <v>0</v>
      </c>
      <c r="C68" s="20">
        <f>IFERROR(INDEX(Products!$BF$5:$BF$304,MATCH(3,Products!$BP$5:$BP$304,0)),"")</f>
        <v>0</v>
      </c>
      <c r="D68" s="20">
        <f>IF(OR(B68="",C68="",C68=0),"",ROUND(B68-C68,2))</f>
        <v>0</v>
      </c>
      <c r="E68" s="13">
        <f>IF(D68="","No research yet",IF(D68&gt;C68*0.15,"Dearer",IF(D68&lt;-C68*0.15,"Cheaper","In line")))</f>
        <v>0</v>
      </c>
      <c r="F68" s="13">
        <f>IF(A68="","",IF(E68="Cheaper","Worth testing a rise",IF(E68="Dearer","Make sure the listing shows why","")))</f>
        <v>0</v>
      </c>
    </row>
    <row r="69" spans="1:12">
      <c r="A69" s="13">
        <f>IFERROR(INDEX(Products!$B$5:$B$304,MATCH(4,Products!$BP$5:$BP$304,0)),"")</f>
        <v>0</v>
      </c>
      <c r="B69" s="20">
        <f>IFERROR(INDEX(Products!$AR$5:$AR$304,MATCH(4,Products!$BP$5:$BP$304,0)),"")</f>
        <v>0</v>
      </c>
      <c r="C69" s="20">
        <f>IFERROR(INDEX(Products!$BF$5:$BF$304,MATCH(4,Products!$BP$5:$BP$304,0)),"")</f>
        <v>0</v>
      </c>
      <c r="D69" s="20">
        <f>IF(OR(B69="",C69="",C69=0),"",ROUND(B69-C69,2))</f>
        <v>0</v>
      </c>
      <c r="E69" s="13">
        <f>IF(D69="","No research yet",IF(D69&gt;C69*0.15,"Dearer",IF(D69&lt;-C69*0.15,"Cheaper","In line")))</f>
        <v>0</v>
      </c>
      <c r="F69" s="13">
        <f>IF(A69="","",IF(E69="Cheaper","Worth testing a rise",IF(E69="Dearer","Make sure the listing shows why","")))</f>
        <v>0</v>
      </c>
    </row>
    <row r="70" spans="1:12">
      <c r="A70" s="13">
        <f>IFERROR(INDEX(Products!$B$5:$B$304,MATCH(5,Products!$BP$5:$BP$304,0)),"")</f>
        <v>0</v>
      </c>
      <c r="B70" s="20">
        <f>IFERROR(INDEX(Products!$AR$5:$AR$304,MATCH(5,Products!$BP$5:$BP$304,0)),"")</f>
        <v>0</v>
      </c>
      <c r="C70" s="20">
        <f>IFERROR(INDEX(Products!$BF$5:$BF$304,MATCH(5,Products!$BP$5:$BP$304,0)),"")</f>
        <v>0</v>
      </c>
      <c r="D70" s="20">
        <f>IF(OR(B70="",C70="",C70=0),"",ROUND(B70-C70,2))</f>
        <v>0</v>
      </c>
      <c r="E70" s="13">
        <f>IF(D70="","No research yet",IF(D70&gt;C70*0.15,"Dearer",IF(D70&lt;-C70*0.15,"Cheaper","In line")))</f>
        <v>0</v>
      </c>
      <c r="F70" s="13">
        <f>IF(A70="","",IF(E70="Cheaper","Worth testing a rise",IF(E70="Dearer","Make sure the listing shows why","")))</f>
        <v>0</v>
      </c>
    </row>
    <row r="71" spans="1:12">
      <c r="A71" s="13">
        <f>IFERROR(INDEX(Products!$B$5:$B$304,MATCH(6,Products!$BP$5:$BP$304,0)),"")</f>
        <v>0</v>
      </c>
      <c r="B71" s="20">
        <f>IFERROR(INDEX(Products!$AR$5:$AR$304,MATCH(6,Products!$BP$5:$BP$304,0)),"")</f>
        <v>0</v>
      </c>
      <c r="C71" s="20">
        <f>IFERROR(INDEX(Products!$BF$5:$BF$304,MATCH(6,Products!$BP$5:$BP$304,0)),"")</f>
        <v>0</v>
      </c>
      <c r="D71" s="20">
        <f>IF(OR(B71="",C71="",C71=0),"",ROUND(B71-C71,2))</f>
        <v>0</v>
      </c>
      <c r="E71" s="13">
        <f>IF(D71="","No research yet",IF(D71&gt;C71*0.15,"Dearer",IF(D71&lt;-C71*0.15,"Cheaper","In line")))</f>
        <v>0</v>
      </c>
      <c r="F71" s="13">
        <f>IF(A71="","",IF(E71="Cheaper","Worth testing a rise",IF(E71="Dearer","Make sure the listing shows why","")))</f>
        <v>0</v>
      </c>
    </row>
    <row r="72" spans="1:12">
      <c r="A72" s="13">
        <f>IFERROR(INDEX(Products!$B$5:$B$304,MATCH(7,Products!$BP$5:$BP$304,0)),"")</f>
        <v>0</v>
      </c>
      <c r="B72" s="20">
        <f>IFERROR(INDEX(Products!$AR$5:$AR$304,MATCH(7,Products!$BP$5:$BP$304,0)),"")</f>
        <v>0</v>
      </c>
      <c r="C72" s="20">
        <f>IFERROR(INDEX(Products!$BF$5:$BF$304,MATCH(7,Products!$BP$5:$BP$304,0)),"")</f>
        <v>0</v>
      </c>
      <c r="D72" s="20">
        <f>IF(OR(B72="",C72="",C72=0),"",ROUND(B72-C72,2))</f>
        <v>0</v>
      </c>
      <c r="E72" s="13">
        <f>IF(D72="","No research yet",IF(D72&gt;C72*0.15,"Dearer",IF(D72&lt;-C72*0.15,"Cheaper","In line")))</f>
        <v>0</v>
      </c>
      <c r="F72" s="13">
        <f>IF(A72="","",IF(E72="Cheaper","Worth testing a rise",IF(E72="Dearer","Make sure the listing shows why","")))</f>
        <v>0</v>
      </c>
    </row>
    <row r="73" spans="1:12">
      <c r="A73" s="13">
        <f>IFERROR(INDEX(Products!$B$5:$B$304,MATCH(8,Products!$BP$5:$BP$304,0)),"")</f>
        <v>0</v>
      </c>
      <c r="B73" s="20">
        <f>IFERROR(INDEX(Products!$AR$5:$AR$304,MATCH(8,Products!$BP$5:$BP$304,0)),"")</f>
        <v>0</v>
      </c>
      <c r="C73" s="20">
        <f>IFERROR(INDEX(Products!$BF$5:$BF$304,MATCH(8,Products!$BP$5:$BP$304,0)),"")</f>
        <v>0</v>
      </c>
      <c r="D73" s="20">
        <f>IF(OR(B73="",C73="",C73=0),"",ROUND(B73-C73,2))</f>
        <v>0</v>
      </c>
      <c r="E73" s="13">
        <f>IF(D73="","No research yet",IF(D73&gt;C73*0.15,"Dearer",IF(D73&lt;-C73*0.15,"Cheaper","In line")))</f>
        <v>0</v>
      </c>
      <c r="F73" s="13">
        <f>IF(A73="","",IF(E73="Cheaper","Worth testing a rise",IF(E73="Dearer","Make sure the listing shows why","")))</f>
        <v>0</v>
      </c>
    </row>
    <row r="74" spans="1:12">
      <c r="A74" s="13">
        <f>IFERROR(INDEX(Products!$B$5:$B$304,MATCH(9,Products!$BP$5:$BP$304,0)),"")</f>
        <v>0</v>
      </c>
      <c r="B74" s="20">
        <f>IFERROR(INDEX(Products!$AR$5:$AR$304,MATCH(9,Products!$BP$5:$BP$304,0)),"")</f>
        <v>0</v>
      </c>
      <c r="C74" s="20">
        <f>IFERROR(INDEX(Products!$BF$5:$BF$304,MATCH(9,Products!$BP$5:$BP$304,0)),"")</f>
        <v>0</v>
      </c>
      <c r="D74" s="20">
        <f>IF(OR(B74="",C74="",C74=0),"",ROUND(B74-C74,2))</f>
        <v>0</v>
      </c>
      <c r="E74" s="13">
        <f>IF(D74="","No research yet",IF(D74&gt;C74*0.15,"Dearer",IF(D74&lt;-C74*0.15,"Cheaper","In line")))</f>
        <v>0</v>
      </c>
      <c r="F74" s="13">
        <f>IF(A74="","",IF(E74="Cheaper","Worth testing a rise",IF(E74="Dearer","Make sure the listing shows why","")))</f>
        <v>0</v>
      </c>
    </row>
    <row r="75" spans="1:12">
      <c r="A75" s="13">
        <f>IFERROR(INDEX(Products!$B$5:$B$304,MATCH(10,Products!$BP$5:$BP$304,0)),"")</f>
        <v>0</v>
      </c>
      <c r="B75" s="20">
        <f>IFERROR(INDEX(Products!$AR$5:$AR$304,MATCH(10,Products!$BP$5:$BP$304,0)),"")</f>
        <v>0</v>
      </c>
      <c r="C75" s="20">
        <f>IFERROR(INDEX(Products!$BF$5:$BF$304,MATCH(10,Products!$BP$5:$BP$304,0)),"")</f>
        <v>0</v>
      </c>
      <c r="D75" s="20">
        <f>IF(OR(B75="",C75="",C75=0),"",ROUND(B75-C75,2))</f>
        <v>0</v>
      </c>
      <c r="E75" s="13">
        <f>IF(D75="","No research yet",IF(D75&gt;C75*0.15,"Dearer",IF(D75&lt;-C75*0.15,"Cheaper","In line")))</f>
        <v>0</v>
      </c>
      <c r="F75" s="13">
        <f>IF(A75="","",IF(E75="Cheaper","Worth testing a rise",IF(E75="Dearer","Make sure the listing shows why","")))</f>
        <v>0</v>
      </c>
    </row>
    <row r="76" spans="1:12">
      <c r="A76" s="13">
        <f>IFERROR(INDEX(Products!$B$5:$B$304,MATCH(11,Products!$BP$5:$BP$304,0)),"")</f>
        <v>0</v>
      </c>
      <c r="B76" s="20">
        <f>IFERROR(INDEX(Products!$AR$5:$AR$304,MATCH(11,Products!$BP$5:$BP$304,0)),"")</f>
        <v>0</v>
      </c>
      <c r="C76" s="20">
        <f>IFERROR(INDEX(Products!$BF$5:$BF$304,MATCH(11,Products!$BP$5:$BP$304,0)),"")</f>
        <v>0</v>
      </c>
      <c r="D76" s="20">
        <f>IF(OR(B76="",C76="",C76=0),"",ROUND(B76-C76,2))</f>
        <v>0</v>
      </c>
      <c r="E76" s="13">
        <f>IF(D76="","No research yet",IF(D76&gt;C76*0.15,"Dearer",IF(D76&lt;-C76*0.15,"Cheaper","In line")))</f>
        <v>0</v>
      </c>
      <c r="F76" s="13">
        <f>IF(A76="","",IF(E76="Cheaper","Worth testing a rise",IF(E76="Dearer","Make sure the listing shows why","")))</f>
        <v>0</v>
      </c>
    </row>
    <row r="77" spans="1:12">
      <c r="A77" s="13">
        <f>IFERROR(INDEX(Products!$B$5:$B$304,MATCH(12,Products!$BP$5:$BP$304,0)),"")</f>
        <v>0</v>
      </c>
      <c r="B77" s="20">
        <f>IFERROR(INDEX(Products!$AR$5:$AR$304,MATCH(12,Products!$BP$5:$BP$304,0)),"")</f>
        <v>0</v>
      </c>
      <c r="C77" s="20">
        <f>IFERROR(INDEX(Products!$BF$5:$BF$304,MATCH(12,Products!$BP$5:$BP$304,0)),"")</f>
        <v>0</v>
      </c>
      <c r="D77" s="20">
        <f>IF(OR(B77="",C77="",C77=0),"",ROUND(B77-C77,2))</f>
        <v>0</v>
      </c>
      <c r="E77" s="13">
        <f>IF(D77="","No research yet",IF(D77&gt;C77*0.15,"Dearer",IF(D77&lt;-C77*0.15,"Cheaper","In line")))</f>
        <v>0</v>
      </c>
      <c r="F77" s="13">
        <f>IF(A77="","",IF(E77="Cheaper","Worth testing a rise",IF(E77="Dearer","Make sure the listing shows why","")))</f>
        <v>0</v>
      </c>
    </row>
    <row r="80" spans="1:12" ht="20" customHeight="1">
      <c r="A80" s="7" t="s">
        <v>2013</v>
      </c>
      <c r="B80" s="7"/>
      <c r="C80" s="7"/>
      <c r="D80" s="7"/>
      <c r="E80" s="7"/>
      <c r="F80" s="7"/>
      <c r="G80" s="7"/>
      <c r="H80" s="7"/>
      <c r="I80" s="7"/>
      <c r="J80" s="7"/>
      <c r="K80" s="7"/>
      <c r="L80" s="7"/>
    </row>
    <row r="81" spans="1:12" ht="26" customHeight="1">
      <c r="A81" s="8" t="s">
        <v>1987</v>
      </c>
      <c r="B81" s="9" t="s">
        <v>2014</v>
      </c>
      <c r="C81" s="9" t="s">
        <v>2015</v>
      </c>
      <c r="D81" s="9" t="s">
        <v>1743</v>
      </c>
      <c r="E81" s="9" t="s">
        <v>2016</v>
      </c>
    </row>
    <row r="82" spans="1:12">
      <c r="A82" s="10" t="s">
        <v>432</v>
      </c>
      <c r="B82" s="34">
        <f>ROUND(SUMIFS(Sales!$V$5:$V$804,Sales!$B$5:$B$804,"&gt;="&amp;YearStart),2)</f>
        <v>0</v>
      </c>
      <c r="C82" s="34">
        <f>RevenueTargetYear</f>
        <v>0</v>
      </c>
      <c r="D82" s="34">
        <f>IF(B82="","",ROUND(B82-C82,2))</f>
        <v>0</v>
      </c>
      <c r="E82" s="13">
        <f>IF(OR(B82="",C82=0),"",TEXT(B82/C82,"0%")&amp;" of the year's target")</f>
        <v>0</v>
      </c>
      <c r="F82" s="13"/>
      <c r="G82" s="13"/>
      <c r="H82" s="13"/>
      <c r="I82" s="13"/>
      <c r="J82" s="13"/>
      <c r="K82" s="13"/>
      <c r="L82" s="13"/>
    </row>
    <row r="83" spans="1:12">
      <c r="A83" s="10" t="s">
        <v>421</v>
      </c>
      <c r="B83" s="34">
        <f>ROUND(SUMIFS(Sales!$AG$5:$AG$804,Sales!$B$5:$B$804,"&gt;="&amp;YearStart),2)</f>
        <v>0</v>
      </c>
      <c r="C83" s="34">
        <f>ProfitTargetMonth*12</f>
        <v>0</v>
      </c>
      <c r="D83" s="34">
        <f>IF(B83="","",ROUND(B83-C83,2))</f>
        <v>0</v>
      </c>
      <c r="E83" s="13">
        <f>IF(OR(B83="",C83=0),"",TEXT(B83/C83,"0%")&amp;" of the year's target")</f>
        <v>0</v>
      </c>
      <c r="F83" s="13"/>
      <c r="G83" s="13"/>
      <c r="H83" s="13"/>
      <c r="I83" s="13"/>
      <c r="J83" s="13"/>
      <c r="K83" s="13"/>
      <c r="L83" s="13"/>
    </row>
    <row r="84" spans="1:12">
      <c r="A84" s="10" t="s">
        <v>2017</v>
      </c>
      <c r="B84" s="32">
        <f>SUMIFS(Sales!$D$5:$D$804,Sales!$B$5:$B$804,"&gt;="&amp;YearStart)</f>
        <v>0</v>
      </c>
      <c r="C84" s="32">
        <f>UnitsPerMonth*12</f>
        <v>0</v>
      </c>
      <c r="D84" s="32">
        <f>IF(B84="","",ROUND(B84-C84,2))</f>
        <v>0</v>
      </c>
      <c r="E84" s="13">
        <f>IF(OR(B84="",C84=0),"",TEXT(B84/C84,"0%")&amp;" of the year's target")</f>
        <v>0</v>
      </c>
      <c r="F84" s="13"/>
      <c r="G84" s="13"/>
      <c r="H84" s="13"/>
      <c r="I84" s="13"/>
      <c r="J84" s="13"/>
      <c r="K84" s="13"/>
      <c r="L84" s="13"/>
    </row>
    <row r="85" spans="1:12">
      <c r="A85" s="10" t="s">
        <v>1847</v>
      </c>
      <c r="B85" s="20">
        <f>IFERROR(ROUND(SUMIFS(Sales!$AG$5:$AG$804,Sales!$B$5:$B$804,"&gt;="&amp;YearStart)/MAX(0.1,SUMIFS(Sales!$AK$5:$AK$804,Sales!$B$5:$B$804,"&gt;="&amp;YearStart)),2),"")</f>
        <v>0</v>
      </c>
      <c r="C85" s="20">
        <f>TargetHourly</f>
        <v>0</v>
      </c>
      <c r="D85" s="20">
        <f>IF(B85="","",ROUND(B85-C85,2))</f>
        <v>0</v>
      </c>
      <c r="E85" s="13">
        <f>IF(OR(B85="",C85=0),"",TEXT(B85/C85,"0%")&amp;" of the year's target")</f>
        <v>0</v>
      </c>
      <c r="F85" s="13"/>
      <c r="G85" s="13"/>
      <c r="H85" s="13"/>
      <c r="I85" s="13"/>
      <c r="J85" s="13"/>
      <c r="K85" s="13"/>
      <c r="L85" s="13"/>
    </row>
    <row r="87" spans="1:12" ht="28" customHeight="1">
      <c r="A87" s="6" t="s">
        <v>2018</v>
      </c>
      <c r="B87" s="6"/>
      <c r="C87" s="6"/>
      <c r="D87" s="6"/>
      <c r="E87" s="6"/>
      <c r="F87" s="6"/>
      <c r="G87" s="6"/>
      <c r="H87" s="6"/>
      <c r="I87" s="6"/>
      <c r="J87" s="6"/>
      <c r="K87" s="6"/>
      <c r="L87" s="6"/>
    </row>
  </sheetData>
  <sheetProtection password="EC7C" sheet="1" objects="1" scenarios="1" formatCells="0" formatColumns="0" formatRows="0" insertRows="0" insertHyperlinks="0" deleteRows="0" autoFilter="0"/>
  <mergeCells count="31">
    <mergeCell ref="A1:I1"/>
    <mergeCell ref="J1:L1"/>
    <mergeCell ref="A2:L2"/>
    <mergeCell ref="A3:B3"/>
    <mergeCell ref="C3:D3"/>
    <mergeCell ref="E3:F3"/>
    <mergeCell ref="G3:H3"/>
    <mergeCell ref="I3:J3"/>
    <mergeCell ref="K3:L3"/>
    <mergeCell ref="A5:L5"/>
    <mergeCell ref="A6:L6"/>
    <mergeCell ref="A22:L22"/>
    <mergeCell ref="A37:L37"/>
    <mergeCell ref="A39:L39"/>
    <mergeCell ref="C41:L41"/>
    <mergeCell ref="C42:L42"/>
    <mergeCell ref="C43:L43"/>
    <mergeCell ref="C44:L44"/>
    <mergeCell ref="C45:L45"/>
    <mergeCell ref="C46:L46"/>
    <mergeCell ref="C47:L47"/>
    <mergeCell ref="C48:L48"/>
    <mergeCell ref="A51:L51"/>
    <mergeCell ref="A62:L62"/>
    <mergeCell ref="A64:L64"/>
    <mergeCell ref="A80:L80"/>
    <mergeCell ref="E82:L82"/>
    <mergeCell ref="E83:L83"/>
    <mergeCell ref="E84:L84"/>
    <mergeCell ref="E85:L85"/>
    <mergeCell ref="A87:L87"/>
  </mergeCells>
  <conditionalFormatting sqref="B42:B44">
    <cfRule type="cellIs" dxfId="2" priority="5" operator="lessThan">
      <formula>MinimumWage</formula>
    </cfRule>
  </conditionalFormatting>
  <conditionalFormatting sqref="B59:M59">
    <cfRule type="cellIs" dxfId="2" priority="6" operator="lessThan">
      <formula>0</formula>
    </cfRule>
  </conditionalFormatting>
  <conditionalFormatting sqref="B60:M60">
    <cfRule type="cellIs" dxfId="1" priority="7" operator="greaterThanOrEqual">
      <formula>TargetRetailMargin</formula>
    </cfRule>
  </conditionalFormatting>
  <conditionalFormatting sqref="E66:E77">
    <cfRule type="containsText" dxfId="0" priority="8" operator="containsText" text="Cheaper">
      <formula>NOT(ISERROR(SEARCH("Cheaper",E66)))</formula>
    </cfRule>
    <cfRule type="containsText" dxfId="1" priority="9" operator="containsText" text="In line">
      <formula>NOT(ISERROR(SEARCH("In line",E66)))</formula>
    </cfRule>
  </conditionalFormatting>
  <conditionalFormatting sqref="E8:E19">
    <cfRule type="dataBar" priority="1">
      <dataBar>
        <cfvo type="min" val="0"/>
        <cfvo type="max" val="0"/>
        <color rgb="FF8C9E6E"/>
      </dataBar>
    </cfRule>
  </conditionalFormatting>
  <conditionalFormatting sqref="F8:F19">
    <cfRule type="cellIs" dxfId="0" priority="2" operator="lessThan">
      <formula>MarginWarning</formula>
    </cfRule>
  </conditionalFormatting>
  <conditionalFormatting sqref="H24:H35">
    <cfRule type="dataBar" priority="4">
      <dataBar>
        <cfvo type="min" val="0"/>
        <cfvo type="max" val="0"/>
        <color rgb="FFB5704F"/>
      </dataBar>
    </cfRule>
  </conditionalFormatting>
  <conditionalFormatting sqref="I8:I19">
    <cfRule type="cellIs" dxfId="2" priority="3" operator="lessThan">
      <formula>MinimumWage</formula>
    </cfRule>
  </conditionalFormatting>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 ref="K3" location="'Retail Calculator'!A1" display="&gt; Retail Price"/>
  </hyperlinks>
  <pageMargins left="0.4" right="0.4" top="0.6" bottom="0.5" header="0.3" footer="0.3"/>
  <pageSetup paperSize="9" fitToHeight="0" orientation="landscape"/>
  <headerFooter>
    <oddHeader>&amp;L&amp;"Calibri,Bold"&amp;12&amp;C&amp;"Calibri,Bold"&amp;11Reports&amp;R&amp;"Calibri,Italic"&amp;9Handmade Product Pricing &amp; Profit Calculator</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negative="1">
          <x14:colorSeries rgb="FF5E7B5A"/>
          <x14:colorNegative rgb="FFB3261E"/>
          <x14:colorAxis rgb="FF000000"/>
          <x14:colorMarkers theme="4" tint="-0.499984740745262"/>
          <x14:colorFirst theme="4" tint="0.39997558519241921"/>
          <x14:colorLast theme="4" tint="0.39997558519241921"/>
          <x14:colorHigh theme="4"/>
          <x14:colorLow theme="4"/>
          <x14:sparklines>
            <x14:sparkline>
              <xm:f>Reports!B59:M59</xm:f>
              <xm:sqref>N59</xm:sqref>
            </x14:sparkline>
          </x14:sparklines>
        </x14:sparklineGroup>
      </x14:sparklineGroups>
    </ext>
  </extLst>
</worksheet>
</file>

<file path=xl/worksheets/sheet36.xml><?xml version="1.0" encoding="utf-8"?>
<worksheet xmlns="http://schemas.openxmlformats.org/spreadsheetml/2006/main" xmlns:r="http://schemas.openxmlformats.org/officeDocument/2006/relationships">
  <sheetPr>
    <tabColor rgb="FFF6E4D7"/>
    <pageSetUpPr fitToPage="1"/>
  </sheetPr>
  <dimension ref="A1:H63"/>
  <sheetViews>
    <sheetView showGridLines="0" workbookViewId="0"/>
  </sheetViews>
  <sheetFormatPr defaultRowHeight="15"/>
  <cols>
    <col min="1" max="1" width="18.7109375" customWidth="1"/>
    <col min="2" max="2" width="28.7109375" customWidth="1"/>
    <col min="3" max="3" width="14.7109375" customWidth="1"/>
    <col min="4" max="4" width="11.7109375" customWidth="1"/>
    <col min="5" max="5" width="12.7109375" customWidth="1"/>
    <col min="6" max="6" width="12.7109375" customWidth="1"/>
    <col min="7" max="7" width="13.7109375" customWidth="1"/>
    <col min="8" max="8" width="15.7109375" customWidth="1"/>
    <col min="1" max="1" width="18.7109375" customWidth="1"/>
    <col min="2" max="2" width="28.7109375" customWidth="1"/>
    <col min="3" max="3" width="14.7109375" customWidth="1"/>
    <col min="4" max="4" width="11.7109375" customWidth="1"/>
    <col min="5" max="5" width="10.7109375" customWidth="1"/>
    <col min="6" max="6" width="12.7109375" customWidth="1"/>
    <col min="7" max="7" width="13.7109375" customWidth="1"/>
    <col min="1" max="1" width="18.7109375" customWidth="1"/>
    <col min="2" max="2" width="28.7109375" customWidth="1"/>
    <col min="3" max="3" width="14.7109375" customWidth="1"/>
    <col min="4" max="4" width="11.7109375" customWidth="1"/>
    <col min="5" max="5" width="10.7109375" customWidth="1"/>
    <col min="6" max="6" width="12.7109375" customWidth="1"/>
    <col min="7" max="7" width="13.7109375" customWidth="1"/>
    <col min="1" max="1" width="18.7109375" customWidth="1"/>
    <col min="2" max="2" width="28.7109375" customWidth="1"/>
    <col min="3" max="3" width="14.7109375" customWidth="1"/>
    <col min="4" max="4" width="11.7109375" customWidth="1"/>
    <col min="5" max="5" width="10.7109375" customWidth="1"/>
    <col min="6" max="6" width="12.7109375" customWidth="1"/>
    <col min="7" max="7" width="13.7109375" customWidth="1"/>
  </cols>
  <sheetData>
    <row r="1" spans="1:8" ht="34" customHeight="1">
      <c r="A1" s="2" t="s">
        <v>2019</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354</v>
      </c>
      <c r="B5" s="46" t="s">
        <v>1256</v>
      </c>
      <c r="C5" s="12" t="s">
        <v>2020</v>
      </c>
      <c r="D5" s="12"/>
      <c r="E5" s="12"/>
      <c r="F5" s="12"/>
      <c r="G5" s="12"/>
      <c r="H5" s="12"/>
    </row>
    <row r="7" spans="1:8">
      <c r="A7" s="55">
        <f>ShopName</f>
        <v>0</v>
      </c>
      <c r="B7" s="55"/>
      <c r="C7" s="55"/>
      <c r="D7" s="55"/>
      <c r="E7" s="55" t="s">
        <v>2021</v>
      </c>
      <c r="F7" s="55"/>
      <c r="G7" s="55"/>
      <c r="H7" s="55"/>
    </row>
    <row r="8" spans="1:8">
      <c r="A8" s="56">
        <f>ShopAddress</f>
        <v>0</v>
      </c>
      <c r="B8" s="56"/>
      <c r="C8" s="56"/>
      <c r="D8" s="56"/>
      <c r="E8" s="56">
        <f>ShopEmail&amp;IF(ShopPhone="",""," - "&amp;ShopPhone)&amp;IF(ShopWebsite="",""," - "&amp;ShopWebsite)</f>
        <v>0</v>
      </c>
      <c r="F8" s="56"/>
      <c r="G8" s="56"/>
      <c r="H8" s="56"/>
    </row>
    <row r="10" spans="1:8">
      <c r="A10" s="10" t="s">
        <v>354</v>
      </c>
      <c r="B10" s="57">
        <f>IFERROR(INDEX(Products!$B$5:$B$304,MATCH(PrintProduct,Products!$A$5:$A$304,0)),"")</f>
        <v>0</v>
      </c>
      <c r="C10" s="57"/>
      <c r="E10" s="10" t="s">
        <v>467</v>
      </c>
      <c r="F10" s="57">
        <f>IFERROR(INDEX(Products!$S$5:$S$304,MATCH(PrintProduct,Products!$A$5:$A$304,0)),"")</f>
        <v>0</v>
      </c>
      <c r="G10" s="57"/>
      <c r="H10" s="57"/>
    </row>
    <row r="11" spans="1:8">
      <c r="A11" s="10" t="s">
        <v>429</v>
      </c>
      <c r="B11" s="57">
        <f>IFERROR(INDEX(Products!$D$5:$D$304,MATCH(PrintProduct,Products!$A$5:$A$304,0)),"")</f>
        <v>0</v>
      </c>
      <c r="C11" s="57"/>
      <c r="E11" s="10" t="s">
        <v>453</v>
      </c>
      <c r="F11" s="57">
        <f>IFERROR(INDEX(Products!$E$5:$E$304,MATCH(PrintProduct,Products!$A$5:$A$304,0)),"")</f>
        <v>0</v>
      </c>
      <c r="G11" s="57"/>
      <c r="H11" s="57"/>
    </row>
    <row r="12" spans="1:8">
      <c r="A12" s="10" t="s">
        <v>441</v>
      </c>
      <c r="B12" s="57">
        <f>IFERROR(INDEX(Products!$H$5:$H$304,MATCH(PrintProduct,Products!$A$5:$A$304,0)),"")</f>
        <v>0</v>
      </c>
      <c r="C12" s="57"/>
      <c r="E12" s="10" t="s">
        <v>455</v>
      </c>
      <c r="F12" s="57">
        <f>IFERROR(INDEX(Products!$G$5:$G$304,MATCH(PrintProduct,Products!$A$5:$A$304,0)),"")</f>
        <v>0</v>
      </c>
      <c r="G12" s="57"/>
      <c r="H12" s="57"/>
    </row>
    <row r="13" spans="1:8">
      <c r="A13" s="10" t="s">
        <v>457</v>
      </c>
      <c r="B13" s="57">
        <f>IFERROR(INDEX(Products!$I$5:$I$304,MATCH(PrintProduct,Products!$A$5:$A$304,0)),"")</f>
        <v>0</v>
      </c>
      <c r="C13" s="57"/>
      <c r="E13" s="10" t="s">
        <v>2022</v>
      </c>
      <c r="F13" s="57">
        <f>IFERROR(INDEX(Products!$J$5:$J$304,MATCH(PrintProduct,Products!$A$5:$A$304,0)),"")</f>
        <v>0</v>
      </c>
      <c r="G13" s="57"/>
      <c r="H13" s="57"/>
    </row>
    <row r="15" spans="1:8" ht="20" customHeight="1">
      <c r="A15" s="7" t="s">
        <v>17</v>
      </c>
      <c r="B15" s="7"/>
      <c r="C15" s="7"/>
      <c r="D15" s="7"/>
      <c r="E15" s="7"/>
      <c r="F15" s="7"/>
      <c r="G15" s="7"/>
      <c r="H15" s="7"/>
    </row>
    <row r="16" spans="1:8" ht="26" customHeight="1">
      <c r="A16" s="8" t="s">
        <v>568</v>
      </c>
      <c r="B16" s="9" t="s">
        <v>2023</v>
      </c>
      <c r="C16" s="9" t="s">
        <v>574</v>
      </c>
      <c r="D16" s="9" t="s">
        <v>1484</v>
      </c>
      <c r="E16" s="9" t="s">
        <v>1983</v>
      </c>
      <c r="F16" s="9" t="s">
        <v>1982</v>
      </c>
      <c r="G16" s="9" t="s">
        <v>725</v>
      </c>
    </row>
    <row r="17" spans="1:8">
      <c r="A17" s="57">
        <f>IFERROR(INDEX('Material Usage'!$D$5:$D$904,MATCH(PrintProduct&amp;"|1",'Material Usage'!$Q$5:$Q$904,0)),"")</f>
        <v>0</v>
      </c>
      <c r="B17" s="57">
        <f>IFERROR(INDEX('Material Usage'!$I$5:$I$904,MATCH(PrintProduct&amp;"|1",'Material Usage'!$Q$5:$Q$904,0)),"")</f>
        <v>0</v>
      </c>
      <c r="C17" s="57">
        <f>IFERROR(INDEX('Material Usage'!$E$5:$E$904,MATCH(PrintProduct&amp;"|1",'Material Usage'!$Q$5:$Q$904,0)),"")</f>
        <v>0</v>
      </c>
      <c r="D17" s="58">
        <f>IFERROR(INDEX('Material Usage'!$F$5:$F$904,MATCH(PrintProduct&amp;"|1",'Material Usage'!$Q$5:$Q$904,0)),"")</f>
        <v>0</v>
      </c>
      <c r="E17" s="59">
        <f>IFERROR(INDEX('Material Usage'!$J$5:$J$904,MATCH(PrintProduct&amp;"|1",'Material Usage'!$Q$5:$Q$904,0)),"")</f>
        <v>0</v>
      </c>
      <c r="F17" s="60">
        <f>IFERROR(INDEX('Material Usage'!$L$5:$L$904,MATCH(PrintProduct&amp;"|1",'Material Usage'!$Q$5:$Q$904,0)),"")</f>
        <v>0</v>
      </c>
      <c r="G17" s="61">
        <f>IFERROR(INDEX('Material Usage'!$M$5:$M$904,MATCH(PrintProduct&amp;"|1",'Material Usage'!$Q$5:$Q$904,0)),"")</f>
        <v>0</v>
      </c>
    </row>
    <row r="18" spans="1:8">
      <c r="A18" s="57">
        <f>IFERROR(INDEX('Material Usage'!$D$5:$D$904,MATCH(PrintProduct&amp;"|2",'Material Usage'!$Q$5:$Q$904,0)),"")</f>
        <v>0</v>
      </c>
      <c r="B18" s="57">
        <f>IFERROR(INDEX('Material Usage'!$I$5:$I$904,MATCH(PrintProduct&amp;"|2",'Material Usage'!$Q$5:$Q$904,0)),"")</f>
        <v>0</v>
      </c>
      <c r="C18" s="57">
        <f>IFERROR(INDEX('Material Usage'!$E$5:$E$904,MATCH(PrintProduct&amp;"|2",'Material Usage'!$Q$5:$Q$904,0)),"")</f>
        <v>0</v>
      </c>
      <c r="D18" s="58">
        <f>IFERROR(INDEX('Material Usage'!$F$5:$F$904,MATCH(PrintProduct&amp;"|2",'Material Usage'!$Q$5:$Q$904,0)),"")</f>
        <v>0</v>
      </c>
      <c r="E18" s="59">
        <f>IFERROR(INDEX('Material Usage'!$J$5:$J$904,MATCH(PrintProduct&amp;"|2",'Material Usage'!$Q$5:$Q$904,0)),"")</f>
        <v>0</v>
      </c>
      <c r="F18" s="60">
        <f>IFERROR(INDEX('Material Usage'!$L$5:$L$904,MATCH(PrintProduct&amp;"|2",'Material Usage'!$Q$5:$Q$904,0)),"")</f>
        <v>0</v>
      </c>
      <c r="G18" s="61">
        <f>IFERROR(INDEX('Material Usage'!$M$5:$M$904,MATCH(PrintProduct&amp;"|2",'Material Usage'!$Q$5:$Q$904,0)),"")</f>
        <v>0</v>
      </c>
    </row>
    <row r="19" spans="1:8">
      <c r="A19" s="57">
        <f>IFERROR(INDEX('Material Usage'!$D$5:$D$904,MATCH(PrintProduct&amp;"|3",'Material Usage'!$Q$5:$Q$904,0)),"")</f>
        <v>0</v>
      </c>
      <c r="B19" s="57">
        <f>IFERROR(INDEX('Material Usage'!$I$5:$I$904,MATCH(PrintProduct&amp;"|3",'Material Usage'!$Q$5:$Q$904,0)),"")</f>
        <v>0</v>
      </c>
      <c r="C19" s="57">
        <f>IFERROR(INDEX('Material Usage'!$E$5:$E$904,MATCH(PrintProduct&amp;"|3",'Material Usage'!$Q$5:$Q$904,0)),"")</f>
        <v>0</v>
      </c>
      <c r="D19" s="58">
        <f>IFERROR(INDEX('Material Usage'!$F$5:$F$904,MATCH(PrintProduct&amp;"|3",'Material Usage'!$Q$5:$Q$904,0)),"")</f>
        <v>0</v>
      </c>
      <c r="E19" s="59">
        <f>IFERROR(INDEX('Material Usage'!$J$5:$J$904,MATCH(PrintProduct&amp;"|3",'Material Usage'!$Q$5:$Q$904,0)),"")</f>
        <v>0</v>
      </c>
      <c r="F19" s="60">
        <f>IFERROR(INDEX('Material Usage'!$L$5:$L$904,MATCH(PrintProduct&amp;"|3",'Material Usage'!$Q$5:$Q$904,0)),"")</f>
        <v>0</v>
      </c>
      <c r="G19" s="61">
        <f>IFERROR(INDEX('Material Usage'!$M$5:$M$904,MATCH(PrintProduct&amp;"|3",'Material Usage'!$Q$5:$Q$904,0)),"")</f>
        <v>0</v>
      </c>
    </row>
    <row r="20" spans="1:8">
      <c r="A20" s="57">
        <f>IFERROR(INDEX('Material Usage'!$D$5:$D$904,MATCH(PrintProduct&amp;"|4",'Material Usage'!$Q$5:$Q$904,0)),"")</f>
        <v>0</v>
      </c>
      <c r="B20" s="57">
        <f>IFERROR(INDEX('Material Usage'!$I$5:$I$904,MATCH(PrintProduct&amp;"|4",'Material Usage'!$Q$5:$Q$904,0)),"")</f>
        <v>0</v>
      </c>
      <c r="C20" s="57">
        <f>IFERROR(INDEX('Material Usage'!$E$5:$E$904,MATCH(PrintProduct&amp;"|4",'Material Usage'!$Q$5:$Q$904,0)),"")</f>
        <v>0</v>
      </c>
      <c r="D20" s="58">
        <f>IFERROR(INDEX('Material Usage'!$F$5:$F$904,MATCH(PrintProduct&amp;"|4",'Material Usage'!$Q$5:$Q$904,0)),"")</f>
        <v>0</v>
      </c>
      <c r="E20" s="59">
        <f>IFERROR(INDEX('Material Usage'!$J$5:$J$904,MATCH(PrintProduct&amp;"|4",'Material Usage'!$Q$5:$Q$904,0)),"")</f>
        <v>0</v>
      </c>
      <c r="F20" s="60">
        <f>IFERROR(INDEX('Material Usage'!$L$5:$L$904,MATCH(PrintProduct&amp;"|4",'Material Usage'!$Q$5:$Q$904,0)),"")</f>
        <v>0</v>
      </c>
      <c r="G20" s="61">
        <f>IFERROR(INDEX('Material Usage'!$M$5:$M$904,MATCH(PrintProduct&amp;"|4",'Material Usage'!$Q$5:$Q$904,0)),"")</f>
        <v>0</v>
      </c>
    </row>
    <row r="21" spans="1:8">
      <c r="A21" s="57">
        <f>IFERROR(INDEX('Material Usage'!$D$5:$D$904,MATCH(PrintProduct&amp;"|5",'Material Usage'!$Q$5:$Q$904,0)),"")</f>
        <v>0</v>
      </c>
      <c r="B21" s="57">
        <f>IFERROR(INDEX('Material Usage'!$I$5:$I$904,MATCH(PrintProduct&amp;"|5",'Material Usage'!$Q$5:$Q$904,0)),"")</f>
        <v>0</v>
      </c>
      <c r="C21" s="57">
        <f>IFERROR(INDEX('Material Usage'!$E$5:$E$904,MATCH(PrintProduct&amp;"|5",'Material Usage'!$Q$5:$Q$904,0)),"")</f>
        <v>0</v>
      </c>
      <c r="D21" s="58">
        <f>IFERROR(INDEX('Material Usage'!$F$5:$F$904,MATCH(PrintProduct&amp;"|5",'Material Usage'!$Q$5:$Q$904,0)),"")</f>
        <v>0</v>
      </c>
      <c r="E21" s="59">
        <f>IFERROR(INDEX('Material Usage'!$J$5:$J$904,MATCH(PrintProduct&amp;"|5",'Material Usage'!$Q$5:$Q$904,0)),"")</f>
        <v>0</v>
      </c>
      <c r="F21" s="60">
        <f>IFERROR(INDEX('Material Usage'!$L$5:$L$904,MATCH(PrintProduct&amp;"|5",'Material Usage'!$Q$5:$Q$904,0)),"")</f>
        <v>0</v>
      </c>
      <c r="G21" s="61">
        <f>IFERROR(INDEX('Material Usage'!$M$5:$M$904,MATCH(PrintProduct&amp;"|5",'Material Usage'!$Q$5:$Q$904,0)),"")</f>
        <v>0</v>
      </c>
    </row>
    <row r="22" spans="1:8">
      <c r="A22" s="57">
        <f>IFERROR(INDEX('Material Usage'!$D$5:$D$904,MATCH(PrintProduct&amp;"|6",'Material Usage'!$Q$5:$Q$904,0)),"")</f>
        <v>0</v>
      </c>
      <c r="B22" s="57">
        <f>IFERROR(INDEX('Material Usage'!$I$5:$I$904,MATCH(PrintProduct&amp;"|6",'Material Usage'!$Q$5:$Q$904,0)),"")</f>
        <v>0</v>
      </c>
      <c r="C22" s="57">
        <f>IFERROR(INDEX('Material Usage'!$E$5:$E$904,MATCH(PrintProduct&amp;"|6",'Material Usage'!$Q$5:$Q$904,0)),"")</f>
        <v>0</v>
      </c>
      <c r="D22" s="58">
        <f>IFERROR(INDEX('Material Usage'!$F$5:$F$904,MATCH(PrintProduct&amp;"|6",'Material Usage'!$Q$5:$Q$904,0)),"")</f>
        <v>0</v>
      </c>
      <c r="E22" s="59">
        <f>IFERROR(INDEX('Material Usage'!$J$5:$J$904,MATCH(PrintProduct&amp;"|6",'Material Usage'!$Q$5:$Q$904,0)),"")</f>
        <v>0</v>
      </c>
      <c r="F22" s="60">
        <f>IFERROR(INDEX('Material Usage'!$L$5:$L$904,MATCH(PrintProduct&amp;"|6",'Material Usage'!$Q$5:$Q$904,0)),"")</f>
        <v>0</v>
      </c>
      <c r="G22" s="61">
        <f>IFERROR(INDEX('Material Usage'!$M$5:$M$904,MATCH(PrintProduct&amp;"|6",'Material Usage'!$Q$5:$Q$904,0)),"")</f>
        <v>0</v>
      </c>
    </row>
    <row r="23" spans="1:8">
      <c r="A23" s="57">
        <f>IFERROR(INDEX('Material Usage'!$D$5:$D$904,MATCH(PrintProduct&amp;"|7",'Material Usage'!$Q$5:$Q$904,0)),"")</f>
        <v>0</v>
      </c>
      <c r="B23" s="57">
        <f>IFERROR(INDEX('Material Usage'!$I$5:$I$904,MATCH(PrintProduct&amp;"|7",'Material Usage'!$Q$5:$Q$904,0)),"")</f>
        <v>0</v>
      </c>
      <c r="C23" s="57">
        <f>IFERROR(INDEX('Material Usage'!$E$5:$E$904,MATCH(PrintProduct&amp;"|7",'Material Usage'!$Q$5:$Q$904,0)),"")</f>
        <v>0</v>
      </c>
      <c r="D23" s="58">
        <f>IFERROR(INDEX('Material Usage'!$F$5:$F$904,MATCH(PrintProduct&amp;"|7",'Material Usage'!$Q$5:$Q$904,0)),"")</f>
        <v>0</v>
      </c>
      <c r="E23" s="59">
        <f>IFERROR(INDEX('Material Usage'!$J$5:$J$904,MATCH(PrintProduct&amp;"|7",'Material Usage'!$Q$5:$Q$904,0)),"")</f>
        <v>0</v>
      </c>
      <c r="F23" s="60">
        <f>IFERROR(INDEX('Material Usage'!$L$5:$L$904,MATCH(PrintProduct&amp;"|7",'Material Usage'!$Q$5:$Q$904,0)),"")</f>
        <v>0</v>
      </c>
      <c r="G23" s="61">
        <f>IFERROR(INDEX('Material Usage'!$M$5:$M$904,MATCH(PrintProduct&amp;"|7",'Material Usage'!$Q$5:$Q$904,0)),"")</f>
        <v>0</v>
      </c>
    </row>
    <row r="24" spans="1:8">
      <c r="A24" s="57">
        <f>IFERROR(INDEX('Material Usage'!$D$5:$D$904,MATCH(PrintProduct&amp;"|8",'Material Usage'!$Q$5:$Q$904,0)),"")</f>
        <v>0</v>
      </c>
      <c r="B24" s="57">
        <f>IFERROR(INDEX('Material Usage'!$I$5:$I$904,MATCH(PrintProduct&amp;"|8",'Material Usage'!$Q$5:$Q$904,0)),"")</f>
        <v>0</v>
      </c>
      <c r="C24" s="57">
        <f>IFERROR(INDEX('Material Usage'!$E$5:$E$904,MATCH(PrintProduct&amp;"|8",'Material Usage'!$Q$5:$Q$904,0)),"")</f>
        <v>0</v>
      </c>
      <c r="D24" s="58">
        <f>IFERROR(INDEX('Material Usage'!$F$5:$F$904,MATCH(PrintProduct&amp;"|8",'Material Usage'!$Q$5:$Q$904,0)),"")</f>
        <v>0</v>
      </c>
      <c r="E24" s="59">
        <f>IFERROR(INDEX('Material Usage'!$J$5:$J$904,MATCH(PrintProduct&amp;"|8",'Material Usage'!$Q$5:$Q$904,0)),"")</f>
        <v>0</v>
      </c>
      <c r="F24" s="60">
        <f>IFERROR(INDEX('Material Usage'!$L$5:$L$904,MATCH(PrintProduct&amp;"|8",'Material Usage'!$Q$5:$Q$904,0)),"")</f>
        <v>0</v>
      </c>
      <c r="G24" s="61">
        <f>IFERROR(INDEX('Material Usage'!$M$5:$M$904,MATCH(PrintProduct&amp;"|8",'Material Usage'!$Q$5:$Q$904,0)),"")</f>
        <v>0</v>
      </c>
    </row>
    <row r="25" spans="1:8">
      <c r="A25" s="57">
        <f>IFERROR(INDEX('Material Usage'!$D$5:$D$904,MATCH(PrintProduct&amp;"|9",'Material Usage'!$Q$5:$Q$904,0)),"")</f>
        <v>0</v>
      </c>
      <c r="B25" s="57">
        <f>IFERROR(INDEX('Material Usage'!$I$5:$I$904,MATCH(PrintProduct&amp;"|9",'Material Usage'!$Q$5:$Q$904,0)),"")</f>
        <v>0</v>
      </c>
      <c r="C25" s="57">
        <f>IFERROR(INDEX('Material Usage'!$E$5:$E$904,MATCH(PrintProduct&amp;"|9",'Material Usage'!$Q$5:$Q$904,0)),"")</f>
        <v>0</v>
      </c>
      <c r="D25" s="58">
        <f>IFERROR(INDEX('Material Usage'!$F$5:$F$904,MATCH(PrintProduct&amp;"|9",'Material Usage'!$Q$5:$Q$904,0)),"")</f>
        <v>0</v>
      </c>
      <c r="E25" s="59">
        <f>IFERROR(INDEX('Material Usage'!$J$5:$J$904,MATCH(PrintProduct&amp;"|9",'Material Usage'!$Q$5:$Q$904,0)),"")</f>
        <v>0</v>
      </c>
      <c r="F25" s="60">
        <f>IFERROR(INDEX('Material Usage'!$L$5:$L$904,MATCH(PrintProduct&amp;"|9",'Material Usage'!$Q$5:$Q$904,0)),"")</f>
        <v>0</v>
      </c>
      <c r="G25" s="61">
        <f>IFERROR(INDEX('Material Usage'!$M$5:$M$904,MATCH(PrintProduct&amp;"|9",'Material Usage'!$Q$5:$Q$904,0)),"")</f>
        <v>0</v>
      </c>
    </row>
    <row r="26" spans="1:8">
      <c r="A26" s="57">
        <f>IFERROR(INDEX('Material Usage'!$D$5:$D$904,MATCH(PrintProduct&amp;"|10",'Material Usage'!$Q$5:$Q$904,0)),"")</f>
        <v>0</v>
      </c>
      <c r="B26" s="57">
        <f>IFERROR(INDEX('Material Usage'!$I$5:$I$904,MATCH(PrintProduct&amp;"|10",'Material Usage'!$Q$5:$Q$904,0)),"")</f>
        <v>0</v>
      </c>
      <c r="C26" s="57">
        <f>IFERROR(INDEX('Material Usage'!$E$5:$E$904,MATCH(PrintProduct&amp;"|10",'Material Usage'!$Q$5:$Q$904,0)),"")</f>
        <v>0</v>
      </c>
      <c r="D26" s="58">
        <f>IFERROR(INDEX('Material Usage'!$F$5:$F$904,MATCH(PrintProduct&amp;"|10",'Material Usage'!$Q$5:$Q$904,0)),"")</f>
        <v>0</v>
      </c>
      <c r="E26" s="59">
        <f>IFERROR(INDEX('Material Usage'!$J$5:$J$904,MATCH(PrintProduct&amp;"|10",'Material Usage'!$Q$5:$Q$904,0)),"")</f>
        <v>0</v>
      </c>
      <c r="F26" s="60">
        <f>IFERROR(INDEX('Material Usage'!$L$5:$L$904,MATCH(PrintProduct&amp;"|10",'Material Usage'!$Q$5:$Q$904,0)),"")</f>
        <v>0</v>
      </c>
      <c r="G26" s="61">
        <f>IFERROR(INDEX('Material Usage'!$M$5:$M$904,MATCH(PrintProduct&amp;"|10",'Material Usage'!$Q$5:$Q$904,0)),"")</f>
        <v>0</v>
      </c>
    </row>
    <row r="27" spans="1:8">
      <c r="A27" s="57">
        <f>IFERROR(INDEX('Material Usage'!$D$5:$D$904,MATCH(PrintProduct&amp;"|11",'Material Usage'!$Q$5:$Q$904,0)),"")</f>
        <v>0</v>
      </c>
      <c r="B27" s="57">
        <f>IFERROR(INDEX('Material Usage'!$I$5:$I$904,MATCH(PrintProduct&amp;"|11",'Material Usage'!$Q$5:$Q$904,0)),"")</f>
        <v>0</v>
      </c>
      <c r="C27" s="57">
        <f>IFERROR(INDEX('Material Usage'!$E$5:$E$904,MATCH(PrintProduct&amp;"|11",'Material Usage'!$Q$5:$Q$904,0)),"")</f>
        <v>0</v>
      </c>
      <c r="D27" s="58">
        <f>IFERROR(INDEX('Material Usage'!$F$5:$F$904,MATCH(PrintProduct&amp;"|11",'Material Usage'!$Q$5:$Q$904,0)),"")</f>
        <v>0</v>
      </c>
      <c r="E27" s="59">
        <f>IFERROR(INDEX('Material Usage'!$J$5:$J$904,MATCH(PrintProduct&amp;"|11",'Material Usage'!$Q$5:$Q$904,0)),"")</f>
        <v>0</v>
      </c>
      <c r="F27" s="60">
        <f>IFERROR(INDEX('Material Usage'!$L$5:$L$904,MATCH(PrintProduct&amp;"|11",'Material Usage'!$Q$5:$Q$904,0)),"")</f>
        <v>0</v>
      </c>
      <c r="G27" s="61">
        <f>IFERROR(INDEX('Material Usage'!$M$5:$M$904,MATCH(PrintProduct&amp;"|11",'Material Usage'!$Q$5:$Q$904,0)),"")</f>
        <v>0</v>
      </c>
    </row>
    <row r="28" spans="1:8">
      <c r="A28" s="57">
        <f>IFERROR(INDEX('Material Usage'!$D$5:$D$904,MATCH(PrintProduct&amp;"|12",'Material Usage'!$Q$5:$Q$904,0)),"")</f>
        <v>0</v>
      </c>
      <c r="B28" s="57">
        <f>IFERROR(INDEX('Material Usage'!$I$5:$I$904,MATCH(PrintProduct&amp;"|12",'Material Usage'!$Q$5:$Q$904,0)),"")</f>
        <v>0</v>
      </c>
      <c r="C28" s="57">
        <f>IFERROR(INDEX('Material Usage'!$E$5:$E$904,MATCH(PrintProduct&amp;"|12",'Material Usage'!$Q$5:$Q$904,0)),"")</f>
        <v>0</v>
      </c>
      <c r="D28" s="58">
        <f>IFERROR(INDEX('Material Usage'!$F$5:$F$904,MATCH(PrintProduct&amp;"|12",'Material Usage'!$Q$5:$Q$904,0)),"")</f>
        <v>0</v>
      </c>
      <c r="E28" s="59">
        <f>IFERROR(INDEX('Material Usage'!$J$5:$J$904,MATCH(PrintProduct&amp;"|12",'Material Usage'!$Q$5:$Q$904,0)),"")</f>
        <v>0</v>
      </c>
      <c r="F28" s="60">
        <f>IFERROR(INDEX('Material Usage'!$L$5:$L$904,MATCH(PrintProduct&amp;"|12",'Material Usage'!$Q$5:$Q$904,0)),"")</f>
        <v>0</v>
      </c>
      <c r="G28" s="61">
        <f>IFERROR(INDEX('Material Usage'!$M$5:$M$904,MATCH(PrintProduct&amp;"|12",'Material Usage'!$Q$5:$Q$904,0)),"")</f>
        <v>0</v>
      </c>
    </row>
    <row r="29" spans="1:8">
      <c r="A29" s="48" t="s">
        <v>2024</v>
      </c>
      <c r="B29" s="48"/>
      <c r="C29" s="48"/>
      <c r="D29" s="48"/>
      <c r="E29" s="48"/>
      <c r="F29" s="48"/>
      <c r="G29" s="49">
        <f>ROUND(SUM(G17:G28),2)</f>
        <v>0</v>
      </c>
    </row>
    <row r="31" spans="1:8" ht="20" customHeight="1">
      <c r="A31" s="7" t="s">
        <v>36</v>
      </c>
      <c r="B31" s="7"/>
      <c r="C31" s="7"/>
      <c r="D31" s="7"/>
      <c r="E31" s="7"/>
      <c r="F31" s="7"/>
      <c r="G31" s="7"/>
      <c r="H31" s="7"/>
    </row>
    <row r="32" spans="1:8" ht="26" customHeight="1">
      <c r="A32" s="8" t="s">
        <v>765</v>
      </c>
      <c r="B32" s="9" t="s">
        <v>2025</v>
      </c>
      <c r="C32" s="9" t="s">
        <v>2026</v>
      </c>
      <c r="D32" s="9" t="s">
        <v>470</v>
      </c>
      <c r="E32" s="9" t="s">
        <v>780</v>
      </c>
      <c r="F32" s="9" t="s">
        <v>2027</v>
      </c>
      <c r="G32" s="9" t="s">
        <v>33</v>
      </c>
    </row>
    <row r="33" spans="1:8">
      <c r="A33" s="57">
        <f>IFERROR(INDEX(Labor!$C$5:$C$304,MATCH(PrintProduct&amp;"|1",Labor!$U$5:$U$304,0)),"")</f>
        <v>0</v>
      </c>
      <c r="B33" s="57">
        <f>IFERROR(INDEX(Labor!$D$5:$D$304,MATCH(PrintProduct&amp;"|1",Labor!$U$5:$U$304,0)),"")</f>
        <v>0</v>
      </c>
      <c r="C33" s="57">
        <f>IFERROR(INDEX(Labor!$G$5:$G$304,MATCH(PrintProduct&amp;"|1",Labor!$U$5:$U$304,0)),"")</f>
        <v>0</v>
      </c>
      <c r="D33" s="58">
        <f>IFERROR(INDEX(Labor!$F$5:$F$304,MATCH(PrintProduct&amp;"|1",Labor!$U$5:$U$304,0)),"")</f>
        <v>0</v>
      </c>
      <c r="E33" s="58">
        <f>IFERROR(INDEX(Labor!$P$5:$P$304,MATCH(PrintProduct&amp;"|1",Labor!$U$5:$U$304,0)),"")</f>
        <v>0</v>
      </c>
      <c r="F33" s="61">
        <f>IFERROR(INDEX(Labor!$K$5:$K$304,MATCH(PrintProduct&amp;"|1",Labor!$U$5:$U$304,0)),"")</f>
        <v>0</v>
      </c>
      <c r="G33" s="61">
        <f>IFERROR(INDEX(Labor!$O$5:$O$304,MATCH(PrintProduct&amp;"|1",Labor!$U$5:$U$304,0)),"")</f>
        <v>0</v>
      </c>
    </row>
    <row r="34" spans="1:8">
      <c r="A34" s="57">
        <f>IFERROR(INDEX(Labor!$C$5:$C$304,MATCH(PrintProduct&amp;"|2",Labor!$U$5:$U$304,0)),"")</f>
        <v>0</v>
      </c>
      <c r="B34" s="57">
        <f>IFERROR(INDEX(Labor!$D$5:$D$304,MATCH(PrintProduct&amp;"|2",Labor!$U$5:$U$304,0)),"")</f>
        <v>0</v>
      </c>
      <c r="C34" s="57">
        <f>IFERROR(INDEX(Labor!$G$5:$G$304,MATCH(PrintProduct&amp;"|2",Labor!$U$5:$U$304,0)),"")</f>
        <v>0</v>
      </c>
      <c r="D34" s="58">
        <f>IFERROR(INDEX(Labor!$F$5:$F$304,MATCH(PrintProduct&amp;"|2",Labor!$U$5:$U$304,0)),"")</f>
        <v>0</v>
      </c>
      <c r="E34" s="58">
        <f>IFERROR(INDEX(Labor!$P$5:$P$304,MATCH(PrintProduct&amp;"|2",Labor!$U$5:$U$304,0)),"")</f>
        <v>0</v>
      </c>
      <c r="F34" s="61">
        <f>IFERROR(INDEX(Labor!$K$5:$K$304,MATCH(PrintProduct&amp;"|2",Labor!$U$5:$U$304,0)),"")</f>
        <v>0</v>
      </c>
      <c r="G34" s="61">
        <f>IFERROR(INDEX(Labor!$O$5:$O$304,MATCH(PrintProduct&amp;"|2",Labor!$U$5:$U$304,0)),"")</f>
        <v>0</v>
      </c>
    </row>
    <row r="35" spans="1:8">
      <c r="A35" s="57">
        <f>IFERROR(INDEX(Labor!$C$5:$C$304,MATCH(PrintProduct&amp;"|3",Labor!$U$5:$U$304,0)),"")</f>
        <v>0</v>
      </c>
      <c r="B35" s="57">
        <f>IFERROR(INDEX(Labor!$D$5:$D$304,MATCH(PrintProduct&amp;"|3",Labor!$U$5:$U$304,0)),"")</f>
        <v>0</v>
      </c>
      <c r="C35" s="57">
        <f>IFERROR(INDEX(Labor!$G$5:$G$304,MATCH(PrintProduct&amp;"|3",Labor!$U$5:$U$304,0)),"")</f>
        <v>0</v>
      </c>
      <c r="D35" s="58">
        <f>IFERROR(INDEX(Labor!$F$5:$F$304,MATCH(PrintProduct&amp;"|3",Labor!$U$5:$U$304,0)),"")</f>
        <v>0</v>
      </c>
      <c r="E35" s="58">
        <f>IFERROR(INDEX(Labor!$P$5:$P$304,MATCH(PrintProduct&amp;"|3",Labor!$U$5:$U$304,0)),"")</f>
        <v>0</v>
      </c>
      <c r="F35" s="61">
        <f>IFERROR(INDEX(Labor!$K$5:$K$304,MATCH(PrintProduct&amp;"|3",Labor!$U$5:$U$304,0)),"")</f>
        <v>0</v>
      </c>
      <c r="G35" s="61">
        <f>IFERROR(INDEX(Labor!$O$5:$O$304,MATCH(PrintProduct&amp;"|3",Labor!$U$5:$U$304,0)),"")</f>
        <v>0</v>
      </c>
    </row>
    <row r="36" spans="1:8">
      <c r="A36" s="57">
        <f>IFERROR(INDEX(Labor!$C$5:$C$304,MATCH(PrintProduct&amp;"|4",Labor!$U$5:$U$304,0)),"")</f>
        <v>0</v>
      </c>
      <c r="B36" s="57">
        <f>IFERROR(INDEX(Labor!$D$5:$D$304,MATCH(PrintProduct&amp;"|4",Labor!$U$5:$U$304,0)),"")</f>
        <v>0</v>
      </c>
      <c r="C36" s="57">
        <f>IFERROR(INDEX(Labor!$G$5:$G$304,MATCH(PrintProduct&amp;"|4",Labor!$U$5:$U$304,0)),"")</f>
        <v>0</v>
      </c>
      <c r="D36" s="58">
        <f>IFERROR(INDEX(Labor!$F$5:$F$304,MATCH(PrintProduct&amp;"|4",Labor!$U$5:$U$304,0)),"")</f>
        <v>0</v>
      </c>
      <c r="E36" s="58">
        <f>IFERROR(INDEX(Labor!$P$5:$P$304,MATCH(PrintProduct&amp;"|4",Labor!$U$5:$U$304,0)),"")</f>
        <v>0</v>
      </c>
      <c r="F36" s="61">
        <f>IFERROR(INDEX(Labor!$K$5:$K$304,MATCH(PrintProduct&amp;"|4",Labor!$U$5:$U$304,0)),"")</f>
        <v>0</v>
      </c>
      <c r="G36" s="61">
        <f>IFERROR(INDEX(Labor!$O$5:$O$304,MATCH(PrintProduct&amp;"|4",Labor!$U$5:$U$304,0)),"")</f>
        <v>0</v>
      </c>
    </row>
    <row r="37" spans="1:8">
      <c r="A37" s="57">
        <f>IFERROR(INDEX(Labor!$C$5:$C$304,MATCH(PrintProduct&amp;"|5",Labor!$U$5:$U$304,0)),"")</f>
        <v>0</v>
      </c>
      <c r="B37" s="57">
        <f>IFERROR(INDEX(Labor!$D$5:$D$304,MATCH(PrintProduct&amp;"|5",Labor!$U$5:$U$304,0)),"")</f>
        <v>0</v>
      </c>
      <c r="C37" s="57">
        <f>IFERROR(INDEX(Labor!$G$5:$G$304,MATCH(PrintProduct&amp;"|5",Labor!$U$5:$U$304,0)),"")</f>
        <v>0</v>
      </c>
      <c r="D37" s="58">
        <f>IFERROR(INDEX(Labor!$F$5:$F$304,MATCH(PrintProduct&amp;"|5",Labor!$U$5:$U$304,0)),"")</f>
        <v>0</v>
      </c>
      <c r="E37" s="58">
        <f>IFERROR(INDEX(Labor!$P$5:$P$304,MATCH(PrintProduct&amp;"|5",Labor!$U$5:$U$304,0)),"")</f>
        <v>0</v>
      </c>
      <c r="F37" s="61">
        <f>IFERROR(INDEX(Labor!$K$5:$K$304,MATCH(PrintProduct&amp;"|5",Labor!$U$5:$U$304,0)),"")</f>
        <v>0</v>
      </c>
      <c r="G37" s="61">
        <f>IFERROR(INDEX(Labor!$O$5:$O$304,MATCH(PrintProduct&amp;"|5",Labor!$U$5:$U$304,0)),"")</f>
        <v>0</v>
      </c>
    </row>
    <row r="38" spans="1:8">
      <c r="A38" s="57">
        <f>IFERROR(INDEX(Labor!$C$5:$C$304,MATCH(PrintProduct&amp;"|6",Labor!$U$5:$U$304,0)),"")</f>
        <v>0</v>
      </c>
      <c r="B38" s="57">
        <f>IFERROR(INDEX(Labor!$D$5:$D$304,MATCH(PrintProduct&amp;"|6",Labor!$U$5:$U$304,0)),"")</f>
        <v>0</v>
      </c>
      <c r="C38" s="57">
        <f>IFERROR(INDEX(Labor!$G$5:$G$304,MATCH(PrintProduct&amp;"|6",Labor!$U$5:$U$304,0)),"")</f>
        <v>0</v>
      </c>
      <c r="D38" s="58">
        <f>IFERROR(INDEX(Labor!$F$5:$F$304,MATCH(PrintProduct&amp;"|6",Labor!$U$5:$U$304,0)),"")</f>
        <v>0</v>
      </c>
      <c r="E38" s="58">
        <f>IFERROR(INDEX(Labor!$P$5:$P$304,MATCH(PrintProduct&amp;"|6",Labor!$U$5:$U$304,0)),"")</f>
        <v>0</v>
      </c>
      <c r="F38" s="61">
        <f>IFERROR(INDEX(Labor!$K$5:$K$304,MATCH(PrintProduct&amp;"|6",Labor!$U$5:$U$304,0)),"")</f>
        <v>0</v>
      </c>
      <c r="G38" s="61">
        <f>IFERROR(INDEX(Labor!$O$5:$O$304,MATCH(PrintProduct&amp;"|6",Labor!$U$5:$U$304,0)),"")</f>
        <v>0</v>
      </c>
    </row>
    <row r="39" spans="1:8">
      <c r="A39" s="57">
        <f>IFERROR(INDEX(Labor!$C$5:$C$304,MATCH(PrintProduct&amp;"|7",Labor!$U$5:$U$304,0)),"")</f>
        <v>0</v>
      </c>
      <c r="B39" s="57">
        <f>IFERROR(INDEX(Labor!$D$5:$D$304,MATCH(PrintProduct&amp;"|7",Labor!$U$5:$U$304,0)),"")</f>
        <v>0</v>
      </c>
      <c r="C39" s="57">
        <f>IFERROR(INDEX(Labor!$G$5:$G$304,MATCH(PrintProduct&amp;"|7",Labor!$U$5:$U$304,0)),"")</f>
        <v>0</v>
      </c>
      <c r="D39" s="58">
        <f>IFERROR(INDEX(Labor!$F$5:$F$304,MATCH(PrintProduct&amp;"|7",Labor!$U$5:$U$304,0)),"")</f>
        <v>0</v>
      </c>
      <c r="E39" s="58">
        <f>IFERROR(INDEX(Labor!$P$5:$P$304,MATCH(PrintProduct&amp;"|7",Labor!$U$5:$U$304,0)),"")</f>
        <v>0</v>
      </c>
      <c r="F39" s="61">
        <f>IFERROR(INDEX(Labor!$K$5:$K$304,MATCH(PrintProduct&amp;"|7",Labor!$U$5:$U$304,0)),"")</f>
        <v>0</v>
      </c>
      <c r="G39" s="61">
        <f>IFERROR(INDEX(Labor!$O$5:$O$304,MATCH(PrintProduct&amp;"|7",Labor!$U$5:$U$304,0)),"")</f>
        <v>0</v>
      </c>
    </row>
    <row r="40" spans="1:8">
      <c r="A40" s="48" t="s">
        <v>2028</v>
      </c>
      <c r="B40" s="48"/>
      <c r="C40" s="48"/>
      <c r="D40" s="48"/>
      <c r="E40" s="48"/>
      <c r="F40" s="48"/>
      <c r="G40" s="49">
        <f>ROUND(SUM(G33:G39),2)</f>
        <v>0</v>
      </c>
    </row>
    <row r="42" spans="1:8" ht="20" customHeight="1">
      <c r="A42" s="7" t="s">
        <v>2029</v>
      </c>
      <c r="B42" s="7"/>
      <c r="C42" s="7"/>
      <c r="D42" s="7"/>
      <c r="E42" s="7"/>
      <c r="F42" s="7"/>
      <c r="G42" s="7"/>
      <c r="H42" s="7"/>
    </row>
    <row r="43" spans="1:8" ht="26" customHeight="1">
      <c r="A43" s="8" t="s">
        <v>33</v>
      </c>
      <c r="B43" s="9" t="s">
        <v>2030</v>
      </c>
      <c r="C43" s="9" t="s">
        <v>181</v>
      </c>
      <c r="D43" s="9" t="s">
        <v>181</v>
      </c>
      <c r="E43" s="9" t="s">
        <v>181</v>
      </c>
      <c r="F43" s="9" t="s">
        <v>181</v>
      </c>
      <c r="G43" s="9" t="s">
        <v>912</v>
      </c>
    </row>
    <row r="44" spans="1:8">
      <c r="A44" s="10" t="s">
        <v>17</v>
      </c>
      <c r="B44" s="12" t="s">
        <v>2031</v>
      </c>
      <c r="C44" s="12"/>
      <c r="D44" s="12"/>
      <c r="E44" s="12"/>
      <c r="F44" s="12"/>
      <c r="G44" s="61">
        <f>IFERROR(INDEX(Products!$T$5:$T$304,MATCH(PrintProduct,Products!$A$5:$A$304,0)),"")</f>
        <v>0</v>
      </c>
    </row>
    <row r="45" spans="1:8">
      <c r="A45" s="10" t="s">
        <v>36</v>
      </c>
      <c r="B45" s="12" t="s">
        <v>2032</v>
      </c>
      <c r="C45" s="12"/>
      <c r="D45" s="12"/>
      <c r="E45" s="12"/>
      <c r="F45" s="12"/>
      <c r="G45" s="61">
        <f>IFERROR(INDEX(Products!$Z$5:$Z$304,MATCH(PrintProduct,Products!$A$5:$A$304,0)),"")</f>
        <v>0</v>
      </c>
    </row>
    <row r="46" spans="1:8">
      <c r="A46" s="10" t="s">
        <v>473</v>
      </c>
      <c r="B46" s="12" t="s">
        <v>2033</v>
      </c>
      <c r="C46" s="12"/>
      <c r="D46" s="12"/>
      <c r="E46" s="12"/>
      <c r="F46" s="12"/>
      <c r="G46" s="61">
        <f>IFERROR(INDEX(Products!$AA$5:$AA$304,MATCH(PrintProduct,Products!$A$5:$A$304,0)),"")</f>
        <v>0</v>
      </c>
    </row>
    <row r="47" spans="1:8">
      <c r="A47" s="10" t="s">
        <v>457</v>
      </c>
      <c r="B47" s="12" t="s">
        <v>2034</v>
      </c>
      <c r="C47" s="12"/>
      <c r="D47" s="12"/>
      <c r="E47" s="12"/>
      <c r="F47" s="12"/>
      <c r="G47" s="61">
        <f>IFERROR(INDEX(Products!$AB$5:$AB$304,MATCH(PrintProduct,Products!$A$5:$A$304,0)),"")</f>
        <v>0</v>
      </c>
    </row>
    <row r="48" spans="1:8">
      <c r="A48" s="10" t="s">
        <v>1659</v>
      </c>
      <c r="B48" s="12" t="s">
        <v>2035</v>
      </c>
      <c r="C48" s="12"/>
      <c r="D48" s="12"/>
      <c r="E48" s="12"/>
      <c r="F48" s="12"/>
      <c r="G48" s="61">
        <f>IFERROR(INDEX(Products!$AG$5:$AG$304,MATCH(PrintProduct,Products!$A$5:$A$304,0)),"")</f>
        <v>0</v>
      </c>
    </row>
    <row r="49" spans="1:8">
      <c r="A49" s="10" t="s">
        <v>72</v>
      </c>
      <c r="B49" s="12" t="s">
        <v>2036</v>
      </c>
      <c r="C49" s="12"/>
      <c r="D49" s="12"/>
      <c r="E49" s="12"/>
      <c r="F49" s="12"/>
      <c r="G49" s="61">
        <f>IFERROR(INDEX(Products!$AS$5:$AS$304,MATCH(PrintProduct,Products!$A$5:$A$304,0)),"")</f>
        <v>0</v>
      </c>
    </row>
    <row r="50" spans="1:8">
      <c r="A50" s="48" t="s">
        <v>489</v>
      </c>
      <c r="B50" s="48"/>
      <c r="C50" s="48"/>
      <c r="D50" s="48"/>
      <c r="E50" s="48"/>
      <c r="F50" s="48"/>
      <c r="G50" s="49">
        <f>ROUND(SUM(G44:G49),2)</f>
        <v>0</v>
      </c>
    </row>
    <row r="52" spans="1:8" ht="20" customHeight="1">
      <c r="A52" s="7" t="s">
        <v>2037</v>
      </c>
      <c r="B52" s="7"/>
      <c r="C52" s="7"/>
      <c r="D52" s="7"/>
      <c r="E52" s="7"/>
      <c r="F52" s="7"/>
      <c r="G52" s="7"/>
      <c r="H52" s="7"/>
    </row>
    <row r="53" spans="1:8">
      <c r="A53" s="10" t="s">
        <v>39</v>
      </c>
      <c r="B53" s="12" t="s">
        <v>2038</v>
      </c>
      <c r="C53" s="12"/>
      <c r="D53" s="12"/>
      <c r="E53" s="12"/>
      <c r="F53" s="12"/>
      <c r="G53" s="61">
        <f>IFERROR(INDEX(Products!$AR$5:$AR$304,MATCH(PrintProduct,Products!$A$5:$A$304,0)),"")</f>
        <v>0</v>
      </c>
    </row>
    <row r="54" spans="1:8">
      <c r="A54" s="10" t="s">
        <v>490</v>
      </c>
      <c r="B54" s="12" t="s">
        <v>2039</v>
      </c>
      <c r="C54" s="12"/>
      <c r="D54" s="12"/>
      <c r="E54" s="12"/>
      <c r="F54" s="12"/>
      <c r="G54" s="61">
        <f>IFERROR(INDEX(Products!$AU$5:$AU$304,MATCH(PrintProduct,Products!$A$5:$A$304,0)),"")</f>
        <v>0</v>
      </c>
    </row>
    <row r="55" spans="1:8">
      <c r="A55" s="10" t="s">
        <v>421</v>
      </c>
      <c r="B55" s="12" t="s">
        <v>2040</v>
      </c>
      <c r="C55" s="12"/>
      <c r="D55" s="12"/>
      <c r="E55" s="12"/>
      <c r="F55" s="12"/>
      <c r="G55" s="61">
        <f>IFERROR(INDEX(Products!$AV$5:$AV$304,MATCH(PrintProduct,Products!$A$5:$A$304,0)),"")</f>
        <v>0</v>
      </c>
    </row>
    <row r="56" spans="1:8">
      <c r="A56" s="10" t="s">
        <v>42</v>
      </c>
      <c r="B56" s="12" t="s">
        <v>2041</v>
      </c>
      <c r="C56" s="12"/>
      <c r="D56" s="12"/>
      <c r="E56" s="12"/>
      <c r="F56" s="12"/>
      <c r="G56" s="59">
        <f>IFERROR(INDEX(Products!$AW$5:$AW$304,MATCH(PrintProduct,Products!$A$5:$A$304,0)),"")</f>
        <v>0</v>
      </c>
    </row>
    <row r="57" spans="1:8">
      <c r="A57" s="10" t="s">
        <v>45</v>
      </c>
      <c r="B57" s="12" t="s">
        <v>2042</v>
      </c>
      <c r="C57" s="12"/>
      <c r="D57" s="12"/>
      <c r="E57" s="12"/>
      <c r="F57" s="12"/>
      <c r="G57" s="59">
        <f>IFERROR(INDEX(Products!$AX$5:$AX$304,MATCH(PrintProduct,Products!$A$5:$A$304,0)),"")</f>
        <v>0</v>
      </c>
    </row>
    <row r="58" spans="1:8">
      <c r="A58" s="10" t="s">
        <v>2043</v>
      </c>
      <c r="B58" s="12" t="s">
        <v>2044</v>
      </c>
      <c r="C58" s="12"/>
      <c r="D58" s="12"/>
      <c r="E58" s="12"/>
      <c r="F58" s="12"/>
      <c r="G58" s="58">
        <f>IFERROR(INDEX(Products!$X$5:$X$304,MATCH(PrintProduct,Products!$A$5:$A$304,0)),"")</f>
        <v>0</v>
      </c>
    </row>
    <row r="59" spans="1:8">
      <c r="A59" s="10" t="s">
        <v>492</v>
      </c>
      <c r="B59" s="12" t="s">
        <v>2045</v>
      </c>
      <c r="C59" s="12"/>
      <c r="D59" s="12"/>
      <c r="E59" s="12"/>
      <c r="F59" s="12"/>
      <c r="G59" s="61">
        <f>IFERROR(INDEX(Products!$AZ$5:$AZ$304,MATCH(PrintProduct,Products!$A$5:$A$304,0)),"")</f>
        <v>0</v>
      </c>
    </row>
    <row r="60" spans="1:8">
      <c r="A60" s="10" t="s">
        <v>495</v>
      </c>
      <c r="B60" s="12" t="s">
        <v>2046</v>
      </c>
      <c r="C60" s="12"/>
      <c r="D60" s="12"/>
      <c r="E60" s="12"/>
      <c r="F60" s="12"/>
      <c r="G60" s="61">
        <f>IFERROR(INDEX(Products!$BC$5:$BC$304,MATCH(PrintProduct,Products!$A$5:$A$304,0)),"")</f>
        <v>0</v>
      </c>
    </row>
    <row r="61" spans="1:8">
      <c r="A61" s="10" t="s">
        <v>487</v>
      </c>
      <c r="B61" s="12" t="s">
        <v>2047</v>
      </c>
      <c r="C61" s="12"/>
      <c r="D61" s="12"/>
      <c r="E61" s="12"/>
      <c r="F61" s="12"/>
      <c r="G61" s="61">
        <f>IFERROR(INDEX(Products!$AQ$5:$AQ$304,MATCH(PrintProduct,Products!$A$5:$A$304,0)),"")</f>
        <v>0</v>
      </c>
    </row>
    <row r="63" spans="1:8">
      <c r="A63" s="12">
        <f>"Costed by "&amp;ShopName&amp;" on "&amp;TEXT(TodayDate,"d mmmm yyyy")&amp;". Labour at "&amp;TEXT(LaborCostHour,"0.00")&amp;" an hour. Marketplace fee rates last reviewed "&amp;TEXT(FeesReviewed,"d mmm yyyy")&amp;"."</f>
        <v>0</v>
      </c>
      <c r="B63" s="12"/>
      <c r="C63" s="12"/>
      <c r="D63" s="12"/>
      <c r="E63" s="12"/>
      <c r="F63" s="12"/>
      <c r="G63" s="12"/>
      <c r="H63" s="12"/>
    </row>
  </sheetData>
  <sheetProtection password="EC7C" sheet="1" objects="1" scenarios="1" formatCells="0" formatColumns="0" formatRows="0" insertRows="0" insertHyperlinks="0" deleteRows="0" autoFilter="0"/>
  <mergeCells count="43">
    <mergeCell ref="A1:E1"/>
    <mergeCell ref="F1:H1"/>
    <mergeCell ref="A2:H2"/>
    <mergeCell ref="A3:B3"/>
    <mergeCell ref="C3:D3"/>
    <mergeCell ref="E3:F3"/>
    <mergeCell ref="G3:H3"/>
    <mergeCell ref="C5:H5"/>
    <mergeCell ref="A7:D7"/>
    <mergeCell ref="E7:H7"/>
    <mergeCell ref="A8:D8"/>
    <mergeCell ref="E8:H8"/>
    <mergeCell ref="B10:C10"/>
    <mergeCell ref="F10:H10"/>
    <mergeCell ref="B11:C11"/>
    <mergeCell ref="F11:H11"/>
    <mergeCell ref="B12:C12"/>
    <mergeCell ref="F12:H12"/>
    <mergeCell ref="B13:C13"/>
    <mergeCell ref="F13:H13"/>
    <mergeCell ref="A15:H15"/>
    <mergeCell ref="A29:F29"/>
    <mergeCell ref="A31:H31"/>
    <mergeCell ref="A40:F40"/>
    <mergeCell ref="A42:H42"/>
    <mergeCell ref="B44:F44"/>
    <mergeCell ref="B45:F45"/>
    <mergeCell ref="B46:F46"/>
    <mergeCell ref="B47:F47"/>
    <mergeCell ref="B48:F48"/>
    <mergeCell ref="B49:F49"/>
    <mergeCell ref="A50:F50"/>
    <mergeCell ref="A52:H52"/>
    <mergeCell ref="B53:F53"/>
    <mergeCell ref="B54:F54"/>
    <mergeCell ref="B55:F55"/>
    <mergeCell ref="B56:F56"/>
    <mergeCell ref="B57:F57"/>
    <mergeCell ref="B58:F58"/>
    <mergeCell ref="B59:F59"/>
    <mergeCell ref="B60:F60"/>
    <mergeCell ref="B61:F61"/>
    <mergeCell ref="A63:H63"/>
  </mergeCells>
  <dataValidations count="1">
    <dataValidation type="list" allowBlank="1" showInputMessage="1" showErrorMessage="1" sqref="B5">
      <formula1>ProductIDs</formula1>
    </dataValidation>
  </dataValidations>
  <hyperlinks>
    <hyperlink ref="A3" location="'Start Here'!A1" display="&gt; Start Here"/>
    <hyperlink ref="C3" location="Dashboard!A1" display="&gt; Dashboard"/>
    <hyperlink ref="E3" location="Products!A1" display="&gt; Products"/>
    <hyperlink ref="G3" location="Materials!A1" display="&gt; Materials"/>
  </hyperlinks>
  <pageMargins left="0.4" right="0.4" top="0.6" bottom="0.5" header="0.3" footer="0.3"/>
  <pageSetup paperSize="9" fitToHeight="0" orientation="landscape"/>
  <headerFooter>
    <oddHeader>&amp;L&amp;"Calibri,Bold"&amp;12&amp;C&amp;"Calibri,Bold"&amp;11Print Costing&amp;R&amp;"Calibri,Italic"&amp;9Handmade Product Pricing &amp; Profit Calculator</oddHeader>
    <oddFooter>&amp;L&amp;"Calibri,Italic"&amp;8Novality Store - v1.0.0&amp;C&amp;"Calibri,Italic"&amp;8Page &amp;P of &amp;N&amp;R&amp;"Calibri,Italic"&amp;8&amp;D</oddFooter>
  </headerFooter>
</worksheet>
</file>

<file path=xl/worksheets/sheet37.xml><?xml version="1.0" encoding="utf-8"?>
<worksheet xmlns="http://schemas.openxmlformats.org/spreadsheetml/2006/main" xmlns:r="http://schemas.openxmlformats.org/officeDocument/2006/relationships">
  <sheetPr>
    <tabColor rgb="FFF6E4D7"/>
    <pageSetUpPr fitToPage="1"/>
  </sheetPr>
  <dimension ref="A1:H38"/>
  <sheetViews>
    <sheetView showGridLines="0" workbookViewId="0"/>
  </sheetViews>
  <sheetFormatPr defaultRowHeight="15"/>
  <cols>
    <col min="1" max="1" width="18.7109375" customWidth="1"/>
    <col min="2" max="2" width="30.7109375" customWidth="1"/>
    <col min="3" max="3" width="16.7109375" customWidth="1"/>
    <col min="4" max="4" width="9.7109375" customWidth="1"/>
    <col min="5" max="5" width="12.7109375" customWidth="1"/>
    <col min="6" max="6" width="12.7109375" customWidth="1"/>
    <col min="7" max="7" width="13.7109375" customWidth="1"/>
    <col min="8" max="8" width="14.7109375" customWidth="1"/>
    <col min="1" max="1" width="18.7109375" customWidth="1"/>
    <col min="2" max="2" width="30.7109375" customWidth="1"/>
    <col min="3" max="3" width="16.7109375" customWidth="1"/>
    <col min="4" max="4" width="9.7109375" customWidth="1"/>
    <col min="5" max="5" width="12.7109375" customWidth="1"/>
    <col min="6" max="6" width="13.7109375" customWidth="1"/>
  </cols>
  <sheetData>
    <row r="1" spans="1:8" ht="34" customHeight="1">
      <c r="A1" s="2" t="s">
        <v>2048</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6" t="s">
        <v>2049</v>
      </c>
      <c r="B5" s="6"/>
      <c r="C5" s="6"/>
      <c r="D5" s="6"/>
      <c r="E5" s="6"/>
      <c r="F5" s="6"/>
      <c r="G5" s="6"/>
      <c r="H5" s="6"/>
    </row>
    <row r="7" spans="1:8">
      <c r="A7" s="55">
        <f>ShopName</f>
        <v>0</v>
      </c>
      <c r="B7" s="55"/>
      <c r="C7" s="55"/>
      <c r="D7" s="55"/>
      <c r="E7" s="55" t="s">
        <v>2050</v>
      </c>
      <c r="F7" s="55"/>
      <c r="G7" s="55"/>
      <c r="H7" s="55"/>
    </row>
    <row r="8" spans="1:8">
      <c r="A8" s="56">
        <f>ShopAddress</f>
        <v>0</v>
      </c>
      <c r="B8" s="56"/>
      <c r="C8" s="56"/>
      <c r="D8" s="56"/>
      <c r="E8" s="56">
        <f>ShopEmail&amp;IF(ShopPhone="",""," - "&amp;ShopPhone)&amp;IF(ShopWebsite="",""," - "&amp;ShopWebsite)</f>
        <v>0</v>
      </c>
      <c r="F8" s="56"/>
      <c r="G8" s="56"/>
      <c r="H8" s="56"/>
    </row>
    <row r="10" spans="1:8">
      <c r="A10" s="10" t="s">
        <v>2051</v>
      </c>
      <c r="B10" s="15"/>
      <c r="C10" s="15"/>
      <c r="D10" s="15"/>
      <c r="E10" s="10" t="s">
        <v>2052</v>
      </c>
      <c r="F10" s="15"/>
    </row>
    <row r="11" spans="1:8">
      <c r="A11" s="10" t="s">
        <v>191</v>
      </c>
      <c r="B11" s="15"/>
      <c r="C11" s="15"/>
      <c r="D11" s="15"/>
      <c r="E11" s="10" t="s">
        <v>1565</v>
      </c>
      <c r="F11" s="62">
        <f>TodayDate</f>
        <v>0</v>
      </c>
    </row>
    <row r="12" spans="1:8" ht="32" customHeight="1">
      <c r="A12" s="10" t="s">
        <v>2053</v>
      </c>
      <c r="B12" s="40"/>
      <c r="C12" s="40"/>
      <c r="D12" s="40"/>
      <c r="E12" s="10" t="s">
        <v>2054</v>
      </c>
      <c r="F12" s="15" t="s">
        <v>2055</v>
      </c>
      <c r="G12" s="15"/>
      <c r="H12" s="15"/>
    </row>
    <row r="14" spans="1:8" ht="26" customHeight="1">
      <c r="A14" s="8" t="s">
        <v>354</v>
      </c>
      <c r="B14" s="9" t="s">
        <v>2056</v>
      </c>
      <c r="C14" s="9" t="s">
        <v>1497</v>
      </c>
      <c r="D14" s="9" t="s">
        <v>1566</v>
      </c>
      <c r="E14" s="9" t="s">
        <v>1567</v>
      </c>
      <c r="F14" s="9" t="s">
        <v>2057</v>
      </c>
    </row>
    <row r="15" spans="1:8">
      <c r="A15" s="15"/>
      <c r="B15" s="15"/>
      <c r="C15" s="15"/>
      <c r="D15" s="15"/>
      <c r="E15" s="16"/>
      <c r="F15" s="61">
        <f>IF(A15="","",IFERROR(INDEX(Products!$AR$5:$AR$304,MATCH(A15,Products!$B$5:$B$304,0)),""))</f>
        <v>0</v>
      </c>
      <c r="G15" s="61">
        <f>IF(OR(E15="",F15=""),"",ROUND(E15*F15,2))</f>
        <v>0</v>
      </c>
    </row>
    <row r="16" spans="1:8">
      <c r="A16" s="15"/>
      <c r="B16" s="15"/>
      <c r="C16" s="15"/>
      <c r="D16" s="15"/>
      <c r="E16" s="16"/>
      <c r="F16" s="61">
        <f>IF(A16="","",IFERROR(INDEX(Products!$AR$5:$AR$304,MATCH(A16,Products!$B$5:$B$304,0)),""))</f>
        <v>0</v>
      </c>
      <c r="G16" s="61">
        <f>IF(OR(E16="",F16=""),"",ROUND(E16*F16,2))</f>
        <v>0</v>
      </c>
    </row>
    <row r="17" spans="1:8">
      <c r="A17" s="15"/>
      <c r="B17" s="15"/>
      <c r="C17" s="15"/>
      <c r="D17" s="15"/>
      <c r="E17" s="16"/>
      <c r="F17" s="61">
        <f>IF(A17="","",IFERROR(INDEX(Products!$AR$5:$AR$304,MATCH(A17,Products!$B$5:$B$304,0)),""))</f>
        <v>0</v>
      </c>
      <c r="G17" s="61">
        <f>IF(OR(E17="",F17=""),"",ROUND(E17*F17,2))</f>
        <v>0</v>
      </c>
    </row>
    <row r="18" spans="1:8">
      <c r="A18" s="15"/>
      <c r="B18" s="15"/>
      <c r="C18" s="15"/>
      <c r="D18" s="15"/>
      <c r="E18" s="16"/>
      <c r="F18" s="61">
        <f>IF(A18="","",IFERROR(INDEX(Products!$AR$5:$AR$304,MATCH(A18,Products!$B$5:$B$304,0)),""))</f>
        <v>0</v>
      </c>
      <c r="G18" s="61">
        <f>IF(OR(E18="",F18=""),"",ROUND(E18*F18,2))</f>
        <v>0</v>
      </c>
    </row>
    <row r="19" spans="1:8">
      <c r="A19" s="15"/>
      <c r="B19" s="15"/>
      <c r="C19" s="15"/>
      <c r="D19" s="15"/>
      <c r="E19" s="16"/>
      <c r="F19" s="61">
        <f>IF(A19="","",IFERROR(INDEX(Products!$AR$5:$AR$304,MATCH(A19,Products!$B$5:$B$304,0)),""))</f>
        <v>0</v>
      </c>
      <c r="G19" s="61">
        <f>IF(OR(E19="",F19=""),"",ROUND(E19*F19,2))</f>
        <v>0</v>
      </c>
    </row>
    <row r="20" spans="1:8">
      <c r="A20" s="15"/>
      <c r="B20" s="15"/>
      <c r="C20" s="15"/>
      <c r="D20" s="15"/>
      <c r="E20" s="16"/>
      <c r="F20" s="61">
        <f>IF(A20="","",IFERROR(INDEX(Products!$AR$5:$AR$304,MATCH(A20,Products!$B$5:$B$304,0)),""))</f>
        <v>0</v>
      </c>
      <c r="G20" s="61">
        <f>IF(OR(E20="",F20=""),"",ROUND(E20*F20,2))</f>
        <v>0</v>
      </c>
    </row>
    <row r="21" spans="1:8">
      <c r="A21" s="15"/>
      <c r="B21" s="15"/>
      <c r="C21" s="15"/>
      <c r="D21" s="15"/>
      <c r="E21" s="16"/>
      <c r="F21" s="61">
        <f>IF(A21="","",IFERROR(INDEX(Products!$AR$5:$AR$304,MATCH(A21,Products!$B$5:$B$304,0)),""))</f>
        <v>0</v>
      </c>
      <c r="G21" s="61">
        <f>IF(OR(E21="",F21=""),"",ROUND(E21*F21,2))</f>
        <v>0</v>
      </c>
    </row>
    <row r="22" spans="1:8">
      <c r="A22" s="15"/>
      <c r="B22" s="15"/>
      <c r="C22" s="15"/>
      <c r="D22" s="15"/>
      <c r="E22" s="16"/>
      <c r="F22" s="61">
        <f>IF(A22="","",IFERROR(INDEX(Products!$AR$5:$AR$304,MATCH(A22,Products!$B$5:$B$304,0)),""))</f>
        <v>0</v>
      </c>
      <c r="G22" s="61">
        <f>IF(OR(E22="",F22=""),"",ROUND(E22*F22,2))</f>
        <v>0</v>
      </c>
    </row>
    <row r="24" spans="1:8">
      <c r="A24" s="12" t="s">
        <v>2058</v>
      </c>
      <c r="B24" s="12"/>
      <c r="C24" s="12"/>
      <c r="D24" s="23" t="s">
        <v>2059</v>
      </c>
      <c r="E24" s="23"/>
      <c r="F24" s="23"/>
      <c r="G24" s="61">
        <f>ROUND(SUM(G15:G22),2)</f>
        <v>0</v>
      </c>
    </row>
    <row r="25" spans="1:8">
      <c r="A25" s="12" t="s">
        <v>2060</v>
      </c>
      <c r="B25" s="12"/>
      <c r="C25" s="12"/>
      <c r="D25" s="23" t="s">
        <v>2061</v>
      </c>
      <c r="E25" s="23"/>
      <c r="F25" s="23"/>
      <c r="G25" s="18"/>
    </row>
    <row r="26" spans="1:8">
      <c r="A26" s="12" t="s">
        <v>2062</v>
      </c>
      <c r="B26" s="12"/>
      <c r="C26" s="12"/>
      <c r="D26" s="23" t="s">
        <v>2022</v>
      </c>
      <c r="E26" s="23"/>
      <c r="F26" s="23"/>
      <c r="G26" s="18"/>
    </row>
    <row r="27" spans="1:8">
      <c r="A27" s="12" t="s">
        <v>2063</v>
      </c>
      <c r="B27" s="12"/>
      <c r="C27" s="12"/>
      <c r="D27" s="23" t="s">
        <v>1151</v>
      </c>
      <c r="E27" s="23"/>
      <c r="F27" s="23"/>
      <c r="G27" s="18"/>
    </row>
    <row r="28" spans="1:8">
      <c r="D28" s="48" t="s">
        <v>2064</v>
      </c>
      <c r="E28" s="48"/>
      <c r="F28" s="48"/>
      <c r="G28" s="49">
        <f>ROUND(G24+IF(G25="",0,G25)+IF(G26="",0,G26)-IF(G27="",0,G27),2)</f>
        <v>0</v>
      </c>
    </row>
    <row r="29" spans="1:8">
      <c r="A29" s="12" t="s">
        <v>2066</v>
      </c>
      <c r="B29" s="12"/>
      <c r="C29" s="12"/>
      <c r="D29" s="23" t="s">
        <v>2065</v>
      </c>
      <c r="E29" s="23"/>
      <c r="F29" s="23"/>
      <c r="G29" s="61">
        <f>ROUND(G28*0.5,2)</f>
        <v>0</v>
      </c>
    </row>
    <row r="31" spans="1:8" ht="20" customHeight="1">
      <c r="A31" s="7" t="s">
        <v>2067</v>
      </c>
      <c r="B31" s="7"/>
      <c r="C31" s="7"/>
      <c r="D31" s="7"/>
      <c r="E31" s="7"/>
      <c r="F31" s="7"/>
      <c r="G31" s="7"/>
      <c r="H31" s="7"/>
    </row>
    <row r="32" spans="1:8" ht="56" customHeight="1">
      <c r="A32" s="63">
        <f>"Custom work begins once the deposit is received. The balance is due before despatch. Handmade pieces vary slightly - colour, grain and texture will not be identical to the photographs. Custom and personalised orders cannot be returned unless faulty. Prices hold for 30 days from the date above. "&amp;ShopName&amp;" - "&amp;ShopEmail</f>
        <v>0</v>
      </c>
      <c r="B32" s="63"/>
      <c r="C32" s="63"/>
      <c r="D32" s="63"/>
      <c r="E32" s="63"/>
      <c r="F32" s="63"/>
      <c r="G32" s="63"/>
      <c r="H32" s="63"/>
    </row>
    <row r="34" spans="1:8" ht="20" customHeight="1">
      <c r="A34" s="7" t="s">
        <v>2068</v>
      </c>
      <c r="B34" s="7"/>
      <c r="C34" s="7"/>
      <c r="D34" s="7"/>
      <c r="E34" s="7"/>
      <c r="F34" s="7"/>
      <c r="G34" s="7"/>
      <c r="H34" s="7"/>
    </row>
    <row r="35" spans="1:8" ht="26" customHeight="1">
      <c r="A35" s="10" t="s">
        <v>2069</v>
      </c>
      <c r="B35" s="64"/>
      <c r="C35" s="64"/>
      <c r="D35" s="64"/>
      <c r="E35" s="10" t="s">
        <v>1565</v>
      </c>
      <c r="F35" s="64"/>
      <c r="G35" s="64"/>
      <c r="H35" s="64"/>
    </row>
    <row r="36" spans="1:8" ht="26" customHeight="1">
      <c r="A36" s="10" t="s">
        <v>2070</v>
      </c>
      <c r="B36" s="64"/>
      <c r="C36" s="64"/>
      <c r="D36" s="64"/>
      <c r="E36" s="10" t="s">
        <v>1565</v>
      </c>
      <c r="F36" s="64"/>
      <c r="G36" s="64"/>
      <c r="H36" s="64"/>
    </row>
    <row r="38" spans="1:8">
      <c r="A38" s="12">
        <f>"Quote prepared by "&amp;ShopName&amp;" on "&amp;TEXT(TodayDate,"d mmmm yyyy")</f>
        <v>0</v>
      </c>
      <c r="B38" s="12"/>
      <c r="C38" s="12"/>
      <c r="D38" s="12"/>
      <c r="E38" s="12"/>
      <c r="F38" s="12"/>
      <c r="G38" s="12"/>
      <c r="H38" s="12"/>
    </row>
  </sheetData>
  <sheetProtection password="EC7C" sheet="1" objects="1" scenarios="1" formatCells="0" formatColumns="0" formatRows="0" insertRows="0" insertHyperlinks="0" deleteRows="0" autoFilter="0"/>
  <mergeCells count="43">
    <mergeCell ref="A1:E1"/>
    <mergeCell ref="F1:H1"/>
    <mergeCell ref="A2:H2"/>
    <mergeCell ref="A3:B3"/>
    <mergeCell ref="C3:D3"/>
    <mergeCell ref="E3:F3"/>
    <mergeCell ref="G3:H3"/>
    <mergeCell ref="A5:H5"/>
    <mergeCell ref="A7:D7"/>
    <mergeCell ref="E7:H7"/>
    <mergeCell ref="A8:D8"/>
    <mergeCell ref="E8:H8"/>
    <mergeCell ref="B10:D10"/>
    <mergeCell ref="B11:D11"/>
    <mergeCell ref="B12:D12"/>
    <mergeCell ref="F12:H12"/>
    <mergeCell ref="B15:C15"/>
    <mergeCell ref="B16:C16"/>
    <mergeCell ref="B17:C17"/>
    <mergeCell ref="B18:C18"/>
    <mergeCell ref="B19:C19"/>
    <mergeCell ref="B20:C20"/>
    <mergeCell ref="B21:C21"/>
    <mergeCell ref="B22:C22"/>
    <mergeCell ref="A24:C24"/>
    <mergeCell ref="D24:F24"/>
    <mergeCell ref="A25:C25"/>
    <mergeCell ref="D25:F25"/>
    <mergeCell ref="A26:C26"/>
    <mergeCell ref="D26:F26"/>
    <mergeCell ref="A27:C27"/>
    <mergeCell ref="D27:F27"/>
    <mergeCell ref="D28:F28"/>
    <mergeCell ref="D29:F29"/>
    <mergeCell ref="A29:C29"/>
    <mergeCell ref="A31:H31"/>
    <mergeCell ref="A32:H32"/>
    <mergeCell ref="A34:H34"/>
    <mergeCell ref="B35:D35"/>
    <mergeCell ref="F35:H35"/>
    <mergeCell ref="B36:D36"/>
    <mergeCell ref="F36:H36"/>
    <mergeCell ref="A38:H38"/>
  </mergeCells>
  <dataValidations count="16">
    <dataValidation type="list" allowBlank="1" showInputMessage="1" showErrorMessage="1" sqref="A15">
      <formula1>ProductNames</formula1>
    </dataValidation>
    <dataValidation type="whole" allowBlank="1" showInputMessage="1" showErrorMessage="1" errorTitle="Check the value" error="Enter a number between 0 and 10000." sqref="E15">
      <formula1>0</formula1>
      <formula2>10000</formula2>
    </dataValidation>
    <dataValidation type="list" allowBlank="1" showInputMessage="1" showErrorMessage="1" sqref="A16">
      <formula1>ProductNames</formula1>
    </dataValidation>
    <dataValidation type="whole" allowBlank="1" showInputMessage="1" showErrorMessage="1" errorTitle="Check the value" error="Enter a number between 0 and 10000." sqref="E16">
      <formula1>0</formula1>
      <formula2>10000</formula2>
    </dataValidation>
    <dataValidation type="list" allowBlank="1" showInputMessage="1" showErrorMessage="1" sqref="A17">
      <formula1>ProductNames</formula1>
    </dataValidation>
    <dataValidation type="whole" allowBlank="1" showInputMessage="1" showErrorMessage="1" errorTitle="Check the value" error="Enter a number between 0 and 10000." sqref="E17">
      <formula1>0</formula1>
      <formula2>10000</formula2>
    </dataValidation>
    <dataValidation type="list" allowBlank="1" showInputMessage="1" showErrorMessage="1" sqref="A18">
      <formula1>ProductNames</formula1>
    </dataValidation>
    <dataValidation type="whole" allowBlank="1" showInputMessage="1" showErrorMessage="1" errorTitle="Check the value" error="Enter a number between 0 and 10000." sqref="E18">
      <formula1>0</formula1>
      <formula2>10000</formula2>
    </dataValidation>
    <dataValidation type="list" allowBlank="1" showInputMessage="1" showErrorMessage="1" sqref="A19">
      <formula1>ProductNames</formula1>
    </dataValidation>
    <dataValidation type="whole" allowBlank="1" showInputMessage="1" showErrorMessage="1" errorTitle="Check the value" error="Enter a number between 0 and 10000." sqref="E19">
      <formula1>0</formula1>
      <formula2>10000</formula2>
    </dataValidation>
    <dataValidation type="list" allowBlank="1" showInputMessage="1" showErrorMessage="1" sqref="A20">
      <formula1>ProductNames</formula1>
    </dataValidation>
    <dataValidation type="whole" allowBlank="1" showInputMessage="1" showErrorMessage="1" errorTitle="Check the value" error="Enter a number between 0 and 10000." sqref="E20">
      <formula1>0</formula1>
      <formula2>10000</formula2>
    </dataValidation>
    <dataValidation type="list" allowBlank="1" showInputMessage="1" showErrorMessage="1" sqref="A21">
      <formula1>ProductNames</formula1>
    </dataValidation>
    <dataValidation type="whole" allowBlank="1" showInputMessage="1" showErrorMessage="1" errorTitle="Check the value" error="Enter a number between 0 and 10000." sqref="E21">
      <formula1>0</formula1>
      <formula2>10000</formula2>
    </dataValidation>
    <dataValidation type="list" allowBlank="1" showInputMessage="1" showErrorMessage="1" sqref="A22">
      <formula1>ProductNames</formula1>
    </dataValidation>
    <dataValidation type="whole" allowBlank="1" showInputMessage="1" showErrorMessage="1" errorTitle="Check the value" error="Enter a number between 0 and 10000." sqref="E22">
      <formula1>0</formula1>
      <formula2>10000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s>
  <pageMargins left="0.4" right="0.4" top="0.6" bottom="0.5" header="0.3" footer="0.3"/>
  <pageSetup paperSize="9" fitToHeight="0" orientation="landscape"/>
  <headerFooter>
    <oddHeader>&amp;L&amp;"Calibri,Bold"&amp;12&amp;C&amp;"Calibri,Bold"&amp;11Print Quote&amp;R&amp;"Calibri,Italic"&amp;9Handmade Product Pricing &amp; Profit Calculator</oddHeader>
    <oddFooter>&amp;L&amp;"Calibri,Italic"&amp;8Novality Store - v1.0.0&amp;C&amp;"Calibri,Italic"&amp;8Page &amp;P of &amp;N&amp;R&amp;"Calibri,Italic"&amp;8&amp;D</oddFooter>
  </headerFooter>
</worksheet>
</file>

<file path=xl/worksheets/sheet38.xml><?xml version="1.0" encoding="utf-8"?>
<worksheet xmlns="http://schemas.openxmlformats.org/spreadsheetml/2006/main" xmlns:r="http://schemas.openxmlformats.org/officeDocument/2006/relationships">
  <sheetPr>
    <tabColor rgb="FFF6E4D7"/>
    <pageSetUpPr fitToPage="1"/>
  </sheetPr>
  <dimension ref="A1:H41"/>
  <sheetViews>
    <sheetView showGridLines="0" workbookViewId="0"/>
  </sheetViews>
  <sheetFormatPr defaultRowHeight="15"/>
  <cols>
    <col min="1" max="1" width="18.7109375" customWidth="1"/>
    <col min="2" max="2" width="30.7109375" customWidth="1"/>
    <col min="3" max="3" width="16.7109375" customWidth="1"/>
    <col min="4" max="4" width="11.7109375" customWidth="1"/>
    <col min="5" max="5" width="12.7109375" customWidth="1"/>
    <col min="6" max="6" width="10.7109375" customWidth="1"/>
    <col min="7" max="7" width="13.7109375" customWidth="1"/>
    <col min="8" max="8" width="14.7109375" customWidth="1"/>
    <col min="1" max="1" width="18.7109375" customWidth="1"/>
    <col min="2" max="2" width="30.7109375" customWidth="1"/>
    <col min="3" max="3" width="16.7109375" customWidth="1"/>
    <col min="4" max="4" width="11.7109375" customWidth="1"/>
    <col min="5" max="5" width="12.7109375" customWidth="1"/>
    <col min="6" max="6" width="10.7109375" customWidth="1"/>
    <col min="7" max="7" width="13.7109375" customWidth="1"/>
  </cols>
  <sheetData>
    <row r="1" spans="1:8" ht="34" customHeight="1">
      <c r="A1" s="2" t="s">
        <v>2071</v>
      </c>
      <c r="B1" s="2"/>
      <c r="C1" s="2"/>
      <c r="D1" s="2"/>
      <c r="E1" s="2"/>
      <c r="F1" s="3" t="s">
        <v>1</v>
      </c>
      <c r="G1" s="3"/>
      <c r="H1" s="3"/>
    </row>
    <row r="2" spans="1:8" ht="18" customHeight="1">
      <c r="A2" s="4"/>
      <c r="B2" s="4"/>
      <c r="C2" s="4"/>
      <c r="D2" s="4"/>
      <c r="E2" s="4"/>
      <c r="F2" s="4"/>
      <c r="G2" s="4"/>
      <c r="H2" s="4"/>
    </row>
    <row r="3" spans="1:8" ht="16" customHeight="1">
      <c r="A3" s="5" t="s">
        <v>3</v>
      </c>
      <c r="B3" s="5"/>
      <c r="C3" s="5" t="s">
        <v>4</v>
      </c>
      <c r="D3" s="5"/>
      <c r="E3" s="5" t="s">
        <v>5</v>
      </c>
      <c r="F3" s="5"/>
      <c r="G3" s="5" t="s">
        <v>6</v>
      </c>
      <c r="H3" s="5"/>
    </row>
    <row r="5" spans="1:8">
      <c r="A5" s="10" t="s">
        <v>1573</v>
      </c>
      <c r="B5" s="46" t="s">
        <v>1923</v>
      </c>
      <c r="C5" s="12" t="s">
        <v>2072</v>
      </c>
      <c r="D5" s="12"/>
      <c r="E5" s="12"/>
      <c r="F5" s="12"/>
      <c r="G5" s="12"/>
      <c r="H5" s="12"/>
    </row>
    <row r="7" spans="1:8">
      <c r="A7" s="55">
        <f>ShopName</f>
        <v>0</v>
      </c>
      <c r="B7" s="55"/>
      <c r="C7" s="55"/>
      <c r="D7" s="55"/>
      <c r="E7" s="55" t="s">
        <v>2073</v>
      </c>
      <c r="F7" s="55"/>
      <c r="G7" s="55"/>
      <c r="H7" s="55"/>
    </row>
    <row r="8" spans="1:8">
      <c r="A8" s="56">
        <f>ShopAddress</f>
        <v>0</v>
      </c>
      <c r="B8" s="56"/>
      <c r="C8" s="56"/>
      <c r="D8" s="56"/>
      <c r="E8" s="56">
        <f>ShopEmail&amp;IF(ShopPhone="",""," - "&amp;ShopPhone)&amp;IF(ShopWebsite="",""," - "&amp;ShopWebsite)</f>
        <v>0</v>
      </c>
      <c r="F8" s="56"/>
      <c r="G8" s="56"/>
      <c r="H8" s="56"/>
    </row>
    <row r="10" spans="1:8">
      <c r="A10" s="10" t="s">
        <v>369</v>
      </c>
      <c r="B10" s="57">
        <f>IFERROR(INDEX('Wholesale Customers'!$B$5:$B$64,MATCH(PrintCustomer,'Wholesale Customers'!$A$5:$A$64,0)),"")</f>
        <v>0</v>
      </c>
      <c r="C10" s="57"/>
      <c r="D10" s="57"/>
      <c r="E10" s="10" t="s">
        <v>1151</v>
      </c>
      <c r="F10" s="59">
        <f>IFERROR(INDEX('Wholesale Customers'!$P$5:$P$64,MATCH(PrintCustomer,'Wholesale Customers'!$A$5:$A$64,0)),"")</f>
        <v>0</v>
      </c>
    </row>
    <row r="11" spans="1:8">
      <c r="A11" s="10" t="s">
        <v>1859</v>
      </c>
      <c r="B11" s="57">
        <f>IFERROR(INDEX('Wholesale Customers'!$D$5:$D$64,MATCH(PrintCustomer,'Wholesale Customers'!$A$5:$A$64,0)),"")</f>
        <v>0</v>
      </c>
      <c r="C11" s="57"/>
      <c r="D11" s="57"/>
      <c r="E11" s="10" t="s">
        <v>2074</v>
      </c>
      <c r="F11" s="57">
        <f>IFERROR(INDEX('Wholesale Customers'!$H$5:$H$64,MATCH(PrintCustomer,'Wholesale Customers'!$A$5:$A$64,0)),"")</f>
        <v>0</v>
      </c>
      <c r="G11" s="57"/>
      <c r="H11" s="57"/>
    </row>
    <row r="12" spans="1:8">
      <c r="A12" s="10" t="s">
        <v>1565</v>
      </c>
      <c r="B12" s="62">
        <f>TodayDate</f>
        <v>0</v>
      </c>
      <c r="E12" s="10" t="s">
        <v>2075</v>
      </c>
      <c r="F12" s="15"/>
      <c r="G12" s="15"/>
      <c r="H12" s="15"/>
    </row>
    <row r="14" spans="1:8" ht="26" customHeight="1">
      <c r="A14" s="8" t="s">
        <v>467</v>
      </c>
      <c r="B14" s="9" t="s">
        <v>354</v>
      </c>
      <c r="C14" s="9" t="s">
        <v>429</v>
      </c>
      <c r="D14" s="9" t="s">
        <v>2076</v>
      </c>
      <c r="E14" s="9" t="s">
        <v>2077</v>
      </c>
      <c r="F14" s="9" t="s">
        <v>1566</v>
      </c>
      <c r="G14" s="9" t="s">
        <v>2057</v>
      </c>
    </row>
    <row r="15" spans="1:8">
      <c r="A15" s="57">
        <f>IFERROR(INDEX(Products!$S$5:$S$304,1)&amp;"","")</f>
        <v>0</v>
      </c>
      <c r="B15" s="57">
        <f>IFERROR(INDEX(Products!$B$5:$B$304,1)&amp;"","")</f>
        <v>0</v>
      </c>
      <c r="C15" s="57">
        <f>IFERROR(INDEX(Products!$D$5:$D$304,1)&amp;"","")</f>
        <v>0</v>
      </c>
      <c r="D15" s="61">
        <f>IF(B15="","",IFERROR(INDEX(Products!$AR$5:$AR$304,1),""))</f>
        <v>0</v>
      </c>
      <c r="E15" s="61">
        <f>IF(D15="","",ROUND(D15*(1-IFERROR(INDEX('Wholesale Customers'!$P$5:$P$64,MATCH(PrintCustomer,'Wholesale Customers'!$A$5:$A$64,0)),WholesaleDiscount)),2))</f>
        <v>0</v>
      </c>
      <c r="F15" s="16"/>
      <c r="G15" s="61">
        <f>IF(OR(E15="",F15=""),"",ROUND(E15*F15,2))</f>
        <v>0</v>
      </c>
    </row>
    <row r="16" spans="1:8">
      <c r="A16" s="57">
        <f>IFERROR(INDEX(Products!$S$5:$S$304,2)&amp;"","")</f>
        <v>0</v>
      </c>
      <c r="B16" s="57">
        <f>IFERROR(INDEX(Products!$B$5:$B$304,2)&amp;"","")</f>
        <v>0</v>
      </c>
      <c r="C16" s="57">
        <f>IFERROR(INDEX(Products!$D$5:$D$304,2)&amp;"","")</f>
        <v>0</v>
      </c>
      <c r="D16" s="61">
        <f>IF(B16="","",IFERROR(INDEX(Products!$AR$5:$AR$304,2),""))</f>
        <v>0</v>
      </c>
      <c r="E16" s="61">
        <f>IF(D16="","",ROUND(D16*(1-IFERROR(INDEX('Wholesale Customers'!$P$5:$P$64,MATCH(PrintCustomer,'Wholesale Customers'!$A$5:$A$64,0)),WholesaleDiscount)),2))</f>
        <v>0</v>
      </c>
      <c r="F16" s="16"/>
      <c r="G16" s="61">
        <f>IF(OR(E16="",F16=""),"",ROUND(E16*F16,2))</f>
        <v>0</v>
      </c>
    </row>
    <row r="17" spans="1:7">
      <c r="A17" s="57">
        <f>IFERROR(INDEX(Products!$S$5:$S$304,3)&amp;"","")</f>
        <v>0</v>
      </c>
      <c r="B17" s="57">
        <f>IFERROR(INDEX(Products!$B$5:$B$304,3)&amp;"","")</f>
        <v>0</v>
      </c>
      <c r="C17" s="57">
        <f>IFERROR(INDEX(Products!$D$5:$D$304,3)&amp;"","")</f>
        <v>0</v>
      </c>
      <c r="D17" s="61">
        <f>IF(B17="","",IFERROR(INDEX(Products!$AR$5:$AR$304,3),""))</f>
        <v>0</v>
      </c>
      <c r="E17" s="61">
        <f>IF(D17="","",ROUND(D17*(1-IFERROR(INDEX('Wholesale Customers'!$P$5:$P$64,MATCH(PrintCustomer,'Wholesale Customers'!$A$5:$A$64,0)),WholesaleDiscount)),2))</f>
        <v>0</v>
      </c>
      <c r="F17" s="16"/>
      <c r="G17" s="61">
        <f>IF(OR(E17="",F17=""),"",ROUND(E17*F17,2))</f>
        <v>0</v>
      </c>
    </row>
    <row r="18" spans="1:7">
      <c r="A18" s="57">
        <f>IFERROR(INDEX(Products!$S$5:$S$304,4)&amp;"","")</f>
        <v>0</v>
      </c>
      <c r="B18" s="57">
        <f>IFERROR(INDEX(Products!$B$5:$B$304,4)&amp;"","")</f>
        <v>0</v>
      </c>
      <c r="C18" s="57">
        <f>IFERROR(INDEX(Products!$D$5:$D$304,4)&amp;"","")</f>
        <v>0</v>
      </c>
      <c r="D18" s="61">
        <f>IF(B18="","",IFERROR(INDEX(Products!$AR$5:$AR$304,4),""))</f>
        <v>0</v>
      </c>
      <c r="E18" s="61">
        <f>IF(D18="","",ROUND(D18*(1-IFERROR(INDEX('Wholesale Customers'!$P$5:$P$64,MATCH(PrintCustomer,'Wholesale Customers'!$A$5:$A$64,0)),WholesaleDiscount)),2))</f>
        <v>0</v>
      </c>
      <c r="F18" s="16"/>
      <c r="G18" s="61">
        <f>IF(OR(E18="",F18=""),"",ROUND(E18*F18,2))</f>
        <v>0</v>
      </c>
    </row>
    <row r="19" spans="1:7">
      <c r="A19" s="57">
        <f>IFERROR(INDEX(Products!$S$5:$S$304,5)&amp;"","")</f>
        <v>0</v>
      </c>
      <c r="B19" s="57">
        <f>IFERROR(INDEX(Products!$B$5:$B$304,5)&amp;"","")</f>
        <v>0</v>
      </c>
      <c r="C19" s="57">
        <f>IFERROR(INDEX(Products!$D$5:$D$304,5)&amp;"","")</f>
        <v>0</v>
      </c>
      <c r="D19" s="61">
        <f>IF(B19="","",IFERROR(INDEX(Products!$AR$5:$AR$304,5),""))</f>
        <v>0</v>
      </c>
      <c r="E19" s="61">
        <f>IF(D19="","",ROUND(D19*(1-IFERROR(INDEX('Wholesale Customers'!$P$5:$P$64,MATCH(PrintCustomer,'Wholesale Customers'!$A$5:$A$64,0)),WholesaleDiscount)),2))</f>
        <v>0</v>
      </c>
      <c r="F19" s="16"/>
      <c r="G19" s="61">
        <f>IF(OR(E19="",F19=""),"",ROUND(E19*F19,2))</f>
        <v>0</v>
      </c>
    </row>
    <row r="20" spans="1:7">
      <c r="A20" s="57">
        <f>IFERROR(INDEX(Products!$S$5:$S$304,6)&amp;"","")</f>
        <v>0</v>
      </c>
      <c r="B20" s="57">
        <f>IFERROR(INDEX(Products!$B$5:$B$304,6)&amp;"","")</f>
        <v>0</v>
      </c>
      <c r="C20" s="57">
        <f>IFERROR(INDEX(Products!$D$5:$D$304,6)&amp;"","")</f>
        <v>0</v>
      </c>
      <c r="D20" s="61">
        <f>IF(B20="","",IFERROR(INDEX(Products!$AR$5:$AR$304,6),""))</f>
        <v>0</v>
      </c>
      <c r="E20" s="61">
        <f>IF(D20="","",ROUND(D20*(1-IFERROR(INDEX('Wholesale Customers'!$P$5:$P$64,MATCH(PrintCustomer,'Wholesale Customers'!$A$5:$A$64,0)),WholesaleDiscount)),2))</f>
        <v>0</v>
      </c>
      <c r="F20" s="16"/>
      <c r="G20" s="61">
        <f>IF(OR(E20="",F20=""),"",ROUND(E20*F20,2))</f>
        <v>0</v>
      </c>
    </row>
    <row r="21" spans="1:7">
      <c r="A21" s="57">
        <f>IFERROR(INDEX(Products!$S$5:$S$304,7)&amp;"","")</f>
        <v>0</v>
      </c>
      <c r="B21" s="57">
        <f>IFERROR(INDEX(Products!$B$5:$B$304,7)&amp;"","")</f>
        <v>0</v>
      </c>
      <c r="C21" s="57">
        <f>IFERROR(INDEX(Products!$D$5:$D$304,7)&amp;"","")</f>
        <v>0</v>
      </c>
      <c r="D21" s="61">
        <f>IF(B21="","",IFERROR(INDEX(Products!$AR$5:$AR$304,7),""))</f>
        <v>0</v>
      </c>
      <c r="E21" s="61">
        <f>IF(D21="","",ROUND(D21*(1-IFERROR(INDEX('Wholesale Customers'!$P$5:$P$64,MATCH(PrintCustomer,'Wholesale Customers'!$A$5:$A$64,0)),WholesaleDiscount)),2))</f>
        <v>0</v>
      </c>
      <c r="F21" s="16"/>
      <c r="G21" s="61">
        <f>IF(OR(E21="",F21=""),"",ROUND(E21*F21,2))</f>
        <v>0</v>
      </c>
    </row>
    <row r="22" spans="1:7">
      <c r="A22" s="57">
        <f>IFERROR(INDEX(Products!$S$5:$S$304,8)&amp;"","")</f>
        <v>0</v>
      </c>
      <c r="B22" s="57">
        <f>IFERROR(INDEX(Products!$B$5:$B$304,8)&amp;"","")</f>
        <v>0</v>
      </c>
      <c r="C22" s="57">
        <f>IFERROR(INDEX(Products!$D$5:$D$304,8)&amp;"","")</f>
        <v>0</v>
      </c>
      <c r="D22" s="61">
        <f>IF(B22="","",IFERROR(INDEX(Products!$AR$5:$AR$304,8),""))</f>
        <v>0</v>
      </c>
      <c r="E22" s="61">
        <f>IF(D22="","",ROUND(D22*(1-IFERROR(INDEX('Wholesale Customers'!$P$5:$P$64,MATCH(PrintCustomer,'Wholesale Customers'!$A$5:$A$64,0)),WholesaleDiscount)),2))</f>
        <v>0</v>
      </c>
      <c r="F22" s="16"/>
      <c r="G22" s="61">
        <f>IF(OR(E22="",F22=""),"",ROUND(E22*F22,2))</f>
        <v>0</v>
      </c>
    </row>
    <row r="23" spans="1:7">
      <c r="A23" s="57">
        <f>IFERROR(INDEX(Products!$S$5:$S$304,9)&amp;"","")</f>
        <v>0</v>
      </c>
      <c r="B23" s="57">
        <f>IFERROR(INDEX(Products!$B$5:$B$304,9)&amp;"","")</f>
        <v>0</v>
      </c>
      <c r="C23" s="57">
        <f>IFERROR(INDEX(Products!$D$5:$D$304,9)&amp;"","")</f>
        <v>0</v>
      </c>
      <c r="D23" s="61">
        <f>IF(B23="","",IFERROR(INDEX(Products!$AR$5:$AR$304,9),""))</f>
        <v>0</v>
      </c>
      <c r="E23" s="61">
        <f>IF(D23="","",ROUND(D23*(1-IFERROR(INDEX('Wholesale Customers'!$P$5:$P$64,MATCH(PrintCustomer,'Wholesale Customers'!$A$5:$A$64,0)),WholesaleDiscount)),2))</f>
        <v>0</v>
      </c>
      <c r="F23" s="16"/>
      <c r="G23" s="61">
        <f>IF(OR(E23="",F23=""),"",ROUND(E23*F23,2))</f>
        <v>0</v>
      </c>
    </row>
    <row r="24" spans="1:7">
      <c r="A24" s="57">
        <f>IFERROR(INDEX(Products!$S$5:$S$304,10)&amp;"","")</f>
        <v>0</v>
      </c>
      <c r="B24" s="57">
        <f>IFERROR(INDEX(Products!$B$5:$B$304,10)&amp;"","")</f>
        <v>0</v>
      </c>
      <c r="C24" s="57">
        <f>IFERROR(INDEX(Products!$D$5:$D$304,10)&amp;"","")</f>
        <v>0</v>
      </c>
      <c r="D24" s="61">
        <f>IF(B24="","",IFERROR(INDEX(Products!$AR$5:$AR$304,10),""))</f>
        <v>0</v>
      </c>
      <c r="E24" s="61">
        <f>IF(D24="","",ROUND(D24*(1-IFERROR(INDEX('Wholesale Customers'!$P$5:$P$64,MATCH(PrintCustomer,'Wholesale Customers'!$A$5:$A$64,0)),WholesaleDiscount)),2))</f>
        <v>0</v>
      </c>
      <c r="F24" s="16"/>
      <c r="G24" s="61">
        <f>IF(OR(E24="",F24=""),"",ROUND(E24*F24,2))</f>
        <v>0</v>
      </c>
    </row>
    <row r="25" spans="1:7">
      <c r="A25" s="57">
        <f>IFERROR(INDEX(Products!$S$5:$S$304,11)&amp;"","")</f>
        <v>0</v>
      </c>
      <c r="B25" s="57">
        <f>IFERROR(INDEX(Products!$B$5:$B$304,11)&amp;"","")</f>
        <v>0</v>
      </c>
      <c r="C25" s="57">
        <f>IFERROR(INDEX(Products!$D$5:$D$304,11)&amp;"","")</f>
        <v>0</v>
      </c>
      <c r="D25" s="61">
        <f>IF(B25="","",IFERROR(INDEX(Products!$AR$5:$AR$304,11),""))</f>
        <v>0</v>
      </c>
      <c r="E25" s="61">
        <f>IF(D25="","",ROUND(D25*(1-IFERROR(INDEX('Wholesale Customers'!$P$5:$P$64,MATCH(PrintCustomer,'Wholesale Customers'!$A$5:$A$64,0)),WholesaleDiscount)),2))</f>
        <v>0</v>
      </c>
      <c r="F25" s="16"/>
      <c r="G25" s="61">
        <f>IF(OR(E25="",F25=""),"",ROUND(E25*F25,2))</f>
        <v>0</v>
      </c>
    </row>
    <row r="26" spans="1:7">
      <c r="A26" s="57">
        <f>IFERROR(INDEX(Products!$S$5:$S$304,12)&amp;"","")</f>
        <v>0</v>
      </c>
      <c r="B26" s="57">
        <f>IFERROR(INDEX(Products!$B$5:$B$304,12)&amp;"","")</f>
        <v>0</v>
      </c>
      <c r="C26" s="57">
        <f>IFERROR(INDEX(Products!$D$5:$D$304,12)&amp;"","")</f>
        <v>0</v>
      </c>
      <c r="D26" s="61">
        <f>IF(B26="","",IFERROR(INDEX(Products!$AR$5:$AR$304,12),""))</f>
        <v>0</v>
      </c>
      <c r="E26" s="61">
        <f>IF(D26="","",ROUND(D26*(1-IFERROR(INDEX('Wholesale Customers'!$P$5:$P$64,MATCH(PrintCustomer,'Wholesale Customers'!$A$5:$A$64,0)),WholesaleDiscount)),2))</f>
        <v>0</v>
      </c>
      <c r="F26" s="16"/>
      <c r="G26" s="61">
        <f>IF(OR(E26="",F26=""),"",ROUND(E26*F26,2))</f>
        <v>0</v>
      </c>
    </row>
    <row r="27" spans="1:7">
      <c r="A27" s="57">
        <f>IFERROR(INDEX(Products!$S$5:$S$304,13)&amp;"","")</f>
        <v>0</v>
      </c>
      <c r="B27" s="57">
        <f>IFERROR(INDEX(Products!$B$5:$B$304,13)&amp;"","")</f>
        <v>0</v>
      </c>
      <c r="C27" s="57">
        <f>IFERROR(INDEX(Products!$D$5:$D$304,13)&amp;"","")</f>
        <v>0</v>
      </c>
      <c r="D27" s="61">
        <f>IF(B27="","",IFERROR(INDEX(Products!$AR$5:$AR$304,13),""))</f>
        <v>0</v>
      </c>
      <c r="E27" s="61">
        <f>IF(D27="","",ROUND(D27*(1-IFERROR(INDEX('Wholesale Customers'!$P$5:$P$64,MATCH(PrintCustomer,'Wholesale Customers'!$A$5:$A$64,0)),WholesaleDiscount)),2))</f>
        <v>0</v>
      </c>
      <c r="F27" s="16"/>
      <c r="G27" s="61">
        <f>IF(OR(E27="",F27=""),"",ROUND(E27*F27,2))</f>
        <v>0</v>
      </c>
    </row>
    <row r="28" spans="1:7">
      <c r="A28" s="57">
        <f>IFERROR(INDEX(Products!$S$5:$S$304,14)&amp;"","")</f>
        <v>0</v>
      </c>
      <c r="B28" s="57">
        <f>IFERROR(INDEX(Products!$B$5:$B$304,14)&amp;"","")</f>
        <v>0</v>
      </c>
      <c r="C28" s="57">
        <f>IFERROR(INDEX(Products!$D$5:$D$304,14)&amp;"","")</f>
        <v>0</v>
      </c>
      <c r="D28" s="61">
        <f>IF(B28="","",IFERROR(INDEX(Products!$AR$5:$AR$304,14),""))</f>
        <v>0</v>
      </c>
      <c r="E28" s="61">
        <f>IF(D28="","",ROUND(D28*(1-IFERROR(INDEX('Wholesale Customers'!$P$5:$P$64,MATCH(PrintCustomer,'Wholesale Customers'!$A$5:$A$64,0)),WholesaleDiscount)),2))</f>
        <v>0</v>
      </c>
      <c r="F28" s="16"/>
      <c r="G28" s="61">
        <f>IF(OR(E28="",F28=""),"",ROUND(E28*F28,2))</f>
        <v>0</v>
      </c>
    </row>
    <row r="29" spans="1:7">
      <c r="A29" s="57">
        <f>IFERROR(INDEX(Products!$S$5:$S$304,15)&amp;"","")</f>
        <v>0</v>
      </c>
      <c r="B29" s="57">
        <f>IFERROR(INDEX(Products!$B$5:$B$304,15)&amp;"","")</f>
        <v>0</v>
      </c>
      <c r="C29" s="57">
        <f>IFERROR(INDEX(Products!$D$5:$D$304,15)&amp;"","")</f>
        <v>0</v>
      </c>
      <c r="D29" s="61">
        <f>IF(B29="","",IFERROR(INDEX(Products!$AR$5:$AR$304,15),""))</f>
        <v>0</v>
      </c>
      <c r="E29" s="61">
        <f>IF(D29="","",ROUND(D29*(1-IFERROR(INDEX('Wholesale Customers'!$P$5:$P$64,MATCH(PrintCustomer,'Wholesale Customers'!$A$5:$A$64,0)),WholesaleDiscount)),2))</f>
        <v>0</v>
      </c>
      <c r="F29" s="16"/>
      <c r="G29" s="61">
        <f>IF(OR(E29="",F29=""),"",ROUND(E29*F29,2))</f>
        <v>0</v>
      </c>
    </row>
    <row r="30" spans="1:7">
      <c r="A30" s="57">
        <f>IFERROR(INDEX(Products!$S$5:$S$304,16)&amp;"","")</f>
        <v>0</v>
      </c>
      <c r="B30" s="57">
        <f>IFERROR(INDEX(Products!$B$5:$B$304,16)&amp;"","")</f>
        <v>0</v>
      </c>
      <c r="C30" s="57">
        <f>IFERROR(INDEX(Products!$D$5:$D$304,16)&amp;"","")</f>
        <v>0</v>
      </c>
      <c r="D30" s="61">
        <f>IF(B30="","",IFERROR(INDEX(Products!$AR$5:$AR$304,16),""))</f>
        <v>0</v>
      </c>
      <c r="E30" s="61">
        <f>IF(D30="","",ROUND(D30*(1-IFERROR(INDEX('Wholesale Customers'!$P$5:$P$64,MATCH(PrintCustomer,'Wholesale Customers'!$A$5:$A$64,0)),WholesaleDiscount)),2))</f>
        <v>0</v>
      </c>
      <c r="F30" s="16"/>
      <c r="G30" s="61">
        <f>IF(OR(E30="",F30=""),"",ROUND(E30*F30,2))</f>
        <v>0</v>
      </c>
    </row>
    <row r="32" spans="1:7">
      <c r="A32" s="23" t="s">
        <v>2078</v>
      </c>
      <c r="B32" s="23"/>
      <c r="C32" s="23"/>
      <c r="D32" s="23"/>
      <c r="E32" s="65">
        <f>SUM(F15:F30)</f>
        <v>0</v>
      </c>
      <c r="F32" s="48" t="s">
        <v>2064</v>
      </c>
      <c r="G32" s="49">
        <f>ROUND(SUM(G15:G30),2)</f>
        <v>0</v>
      </c>
    </row>
    <row r="33" spans="1:8">
      <c r="A33" s="57">
        <f>IF(G32=0,"Add quantities in the Qty column.",IF(G32&lt;MinOrderValue,"This order is under the minimum of "&amp;TEXT(MinOrderValue,"0.00")&amp;".","Order accepted - thank you."))</f>
        <v>0</v>
      </c>
      <c r="B33" s="57"/>
      <c r="C33" s="57"/>
      <c r="D33" s="57"/>
      <c r="E33" s="57"/>
      <c r="F33" s="57"/>
    </row>
    <row r="35" spans="1:8" ht="20" customHeight="1">
      <c r="A35" s="7" t="s">
        <v>2079</v>
      </c>
      <c r="B35" s="7"/>
      <c r="C35" s="7"/>
      <c r="D35" s="7"/>
      <c r="E35" s="7"/>
      <c r="F35" s="7"/>
      <c r="G35" s="7"/>
      <c r="H35" s="7"/>
    </row>
    <row r="36" spans="1:8" ht="56" customHeight="1">
      <c r="A36" s="63">
        <f>"Minimum order "&amp;TEXT(MinOrderValue,"0.00")&amp;" or "&amp;TEXT(MinOrderQty,"0")&amp;" pieces. Lead time 2-4 weeks depending on the season. Carriage charged at cost unless agreed otherwise. Everything is made by hand, so small variations in colour and texture are part of the product rather than a fault. Payment terms as agreed above. "&amp;ShopName&amp;" - "&amp;ShopEmail</f>
        <v>0</v>
      </c>
      <c r="B36" s="63"/>
      <c r="C36" s="63"/>
      <c r="D36" s="63"/>
      <c r="E36" s="63"/>
      <c r="F36" s="63"/>
      <c r="G36" s="63"/>
      <c r="H36" s="63"/>
    </row>
    <row r="38" spans="1:8" ht="26" customHeight="1">
      <c r="A38" s="10" t="s">
        <v>2080</v>
      </c>
      <c r="B38" s="64"/>
      <c r="C38" s="64"/>
      <c r="D38" s="64"/>
      <c r="E38" s="10" t="s">
        <v>1565</v>
      </c>
      <c r="F38" s="64"/>
      <c r="G38" s="64"/>
      <c r="H38" s="64"/>
    </row>
    <row r="39" spans="1:8" ht="26" customHeight="1">
      <c r="A39" s="10" t="s">
        <v>2070</v>
      </c>
      <c r="B39" s="64"/>
      <c r="C39" s="64"/>
      <c r="D39" s="64"/>
      <c r="E39" s="10" t="s">
        <v>1565</v>
      </c>
      <c r="F39" s="64"/>
      <c r="G39" s="64"/>
      <c r="H39" s="64"/>
    </row>
    <row r="41" spans="1:8">
      <c r="A41" s="12">
        <f>"Line sheet produced by "&amp;ShopName&amp;" on "&amp;TEXT(TodayDate,"d mmmm yyyy")&amp;". Prices hold for 60 days."</f>
        <v>0</v>
      </c>
      <c r="B41" s="12"/>
      <c r="C41" s="12"/>
      <c r="D41" s="12"/>
      <c r="E41" s="12"/>
      <c r="F41" s="12"/>
      <c r="G41" s="12"/>
      <c r="H41" s="12"/>
    </row>
  </sheetData>
  <sheetProtection password="EC7C" sheet="1" objects="1" scenarios="1" formatCells="0" formatColumns="0" formatRows="0" insertRows="0" insertHyperlinks="0" deleteRows="0" autoFilter="0"/>
  <mergeCells count="25">
    <mergeCell ref="A1:E1"/>
    <mergeCell ref="F1:H1"/>
    <mergeCell ref="A2:H2"/>
    <mergeCell ref="A3:B3"/>
    <mergeCell ref="C3:D3"/>
    <mergeCell ref="E3:F3"/>
    <mergeCell ref="G3:H3"/>
    <mergeCell ref="C5:H5"/>
    <mergeCell ref="A7:D7"/>
    <mergeCell ref="E7:H7"/>
    <mergeCell ref="A8:D8"/>
    <mergeCell ref="E8:H8"/>
    <mergeCell ref="B10:D10"/>
    <mergeCell ref="B11:D11"/>
    <mergeCell ref="F11:H11"/>
    <mergeCell ref="F12:H12"/>
    <mergeCell ref="A32:D32"/>
    <mergeCell ref="A33:F33"/>
    <mergeCell ref="A35:H35"/>
    <mergeCell ref="A36:H36"/>
    <mergeCell ref="B38:D38"/>
    <mergeCell ref="F38:H38"/>
    <mergeCell ref="B39:D39"/>
    <mergeCell ref="F39:H39"/>
    <mergeCell ref="A41:H41"/>
  </mergeCells>
  <conditionalFormatting sqref="A33:F33">
    <cfRule type="containsText" dxfId="0" priority="1" operator="containsText" text="under the minimum">
      <formula>NOT(ISERROR(SEARCH("under the minimum",A33)))</formula>
    </cfRule>
  </conditionalFormatting>
  <dataValidations count="17">
    <dataValidation type="list" allowBlank="1" showInputMessage="1" showErrorMessage="1" sqref="B5">
      <formula1>CustomerIDs</formula1>
    </dataValidation>
    <dataValidation type="whole" allowBlank="1" showInputMessage="1" showErrorMessage="1" errorTitle="Check the value" error="Enter a number between 0 and 100000." sqref="F15">
      <formula1>0</formula1>
      <formula2>100000</formula2>
    </dataValidation>
    <dataValidation type="whole" allowBlank="1" showInputMessage="1" showErrorMessage="1" errorTitle="Check the value" error="Enter a number between 0 and 100000." sqref="F16">
      <formula1>0</formula1>
      <formula2>100000</formula2>
    </dataValidation>
    <dataValidation type="whole" allowBlank="1" showInputMessage="1" showErrorMessage="1" errorTitle="Check the value" error="Enter a number between 0 and 100000." sqref="F17">
      <formula1>0</formula1>
      <formula2>100000</formula2>
    </dataValidation>
    <dataValidation type="whole" allowBlank="1" showInputMessage="1" showErrorMessage="1" errorTitle="Check the value" error="Enter a number between 0 and 100000." sqref="F18">
      <formula1>0</formula1>
      <formula2>100000</formula2>
    </dataValidation>
    <dataValidation type="whole" allowBlank="1" showInputMessage="1" showErrorMessage="1" errorTitle="Check the value" error="Enter a number between 0 and 100000." sqref="F19">
      <formula1>0</formula1>
      <formula2>100000</formula2>
    </dataValidation>
    <dataValidation type="whole" allowBlank="1" showInputMessage="1" showErrorMessage="1" errorTitle="Check the value" error="Enter a number between 0 and 100000." sqref="F20">
      <formula1>0</formula1>
      <formula2>100000</formula2>
    </dataValidation>
    <dataValidation type="whole" allowBlank="1" showInputMessage="1" showErrorMessage="1" errorTitle="Check the value" error="Enter a number between 0 and 100000." sqref="F21">
      <formula1>0</formula1>
      <formula2>100000</formula2>
    </dataValidation>
    <dataValidation type="whole" allowBlank="1" showInputMessage="1" showErrorMessage="1" errorTitle="Check the value" error="Enter a number between 0 and 100000." sqref="F22">
      <formula1>0</formula1>
      <formula2>100000</formula2>
    </dataValidation>
    <dataValidation type="whole" allowBlank="1" showInputMessage="1" showErrorMessage="1" errorTitle="Check the value" error="Enter a number between 0 and 100000." sqref="F23">
      <formula1>0</formula1>
      <formula2>100000</formula2>
    </dataValidation>
    <dataValidation type="whole" allowBlank="1" showInputMessage="1" showErrorMessage="1" errorTitle="Check the value" error="Enter a number between 0 and 100000." sqref="F24">
      <formula1>0</formula1>
      <formula2>100000</formula2>
    </dataValidation>
    <dataValidation type="whole" allowBlank="1" showInputMessage="1" showErrorMessage="1" errorTitle="Check the value" error="Enter a number between 0 and 100000." sqref="F25">
      <formula1>0</formula1>
      <formula2>100000</formula2>
    </dataValidation>
    <dataValidation type="whole" allowBlank="1" showInputMessage="1" showErrorMessage="1" errorTitle="Check the value" error="Enter a number between 0 and 100000." sqref="F26">
      <formula1>0</formula1>
      <formula2>100000</formula2>
    </dataValidation>
    <dataValidation type="whole" allowBlank="1" showInputMessage="1" showErrorMessage="1" errorTitle="Check the value" error="Enter a number between 0 and 100000." sqref="F27">
      <formula1>0</formula1>
      <formula2>100000</formula2>
    </dataValidation>
    <dataValidation type="whole" allowBlank="1" showInputMessage="1" showErrorMessage="1" errorTitle="Check the value" error="Enter a number between 0 and 100000." sqref="F28">
      <formula1>0</formula1>
      <formula2>100000</formula2>
    </dataValidation>
    <dataValidation type="whole" allowBlank="1" showInputMessage="1" showErrorMessage="1" errorTitle="Check the value" error="Enter a number between 0 and 100000." sqref="F29">
      <formula1>0</formula1>
      <formula2>100000</formula2>
    </dataValidation>
    <dataValidation type="whole" allowBlank="1" showInputMessage="1" showErrorMessage="1" errorTitle="Check the value" error="Enter a number between 0 and 100000." sqref="F30">
      <formula1>0</formula1>
      <formula2>100000</formula2>
    </dataValidation>
  </dataValidations>
  <hyperlinks>
    <hyperlink ref="A3" location="'Start Here'!A1" display="&gt; Start Here"/>
    <hyperlink ref="C3" location="Dashboard!A1" display="&gt; Dashboard"/>
    <hyperlink ref="E3" location="Products!A1" display="&gt; Products"/>
    <hyperlink ref="G3" location="Materials!A1" display="&gt; Materials"/>
  </hyperlinks>
  <pageMargins left="0.4" right="0.4" top="0.6" bottom="0.5" header="0.3" footer="0.3"/>
  <pageSetup paperSize="9" fitToHeight="0" orientation="landscape"/>
  <headerFooter>
    <oddHeader>&amp;L&amp;"Calibri,Bold"&amp;12&amp;C&amp;"Calibri,Bold"&amp;11Print Order&amp;R&amp;"Calibri,Italic"&amp;9Handmade Product Pricing &amp; Profit Calculator</oddHeader>
    <oddFooter>&amp;L&amp;"Calibri,Italic"&amp;8Novality Store - v1.0.0&amp;C&amp;"Calibri,Italic"&amp;8Page &amp;P of &amp;N&amp;R&amp;"Calibri,Italic"&amp;8&amp;D</oddFooter>
  </headerFooter>
</worksheet>
</file>

<file path=xl/worksheets/sheet39.xml><?xml version="1.0" encoding="utf-8"?>
<worksheet xmlns="http://schemas.openxmlformats.org/spreadsheetml/2006/main" xmlns:r="http://schemas.openxmlformats.org/officeDocument/2006/relationships">
  <sheetPr>
    <tabColor rgb="FF6E5C55"/>
    <pageSetUpPr fitToPage="1"/>
  </sheetPr>
  <dimension ref="A1:J372"/>
  <sheetViews>
    <sheetView showGridLines="0" workbookViewId="0">
      <pane ySplit="4" topLeftCell="A5" activePane="bottomLeft" state="frozen"/>
      <selection pane="bottomLeft"/>
    </sheetView>
  </sheetViews>
  <sheetFormatPr defaultRowHeight="15"/>
  <cols>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7" max="7" width="24.7109375" customWidth="1"/>
    <col min="9" max="9" width="24.7109375" customWidth="1"/>
    <col min="1" max="1" width="24.7109375" customWidth="1"/>
    <col min="3" max="3" width="24.7109375" customWidth="1"/>
    <col min="5" max="5" width="24.7109375" customWidth="1"/>
    <col min="1" max="1" width="18.7109375" customWidth="1"/>
    <col min="2" max="2" width="16.7109375" customWidth="1"/>
    <col min="3" max="3" width="16.7109375" customWidth="1"/>
    <col min="1" max="1" width="20.7109375" customWidth="1"/>
    <col min="2" max="2" width="14.7109375" customWidth="1"/>
    <col min="3" max="3" width="14.7109375" customWidth="1"/>
    <col min="4" max="4" width="54.7109375" customWidth="1"/>
    <col min="1" max="1" width="20.7109375" customWidth="1"/>
    <col min="2" max="2" width="14.7109375" customWidth="1"/>
    <col min="3" max="3" width="62.7109375" customWidth="1"/>
    <col min="1" max="1" width="20.7109375" customWidth="1"/>
    <col min="2" max="2" width="16.7109375" customWidth="1"/>
    <col min="3" max="3" width="62.7109375" customWidth="1"/>
    <col min="1" max="1" width="20.7109375" customWidth="1"/>
    <col min="2" max="2" width="18.7109375" customWidth="1"/>
    <col min="3" max="3" width="16.7109375" customWidth="1"/>
  </cols>
  <sheetData>
    <row r="1" spans="1:10" ht="34" customHeight="1">
      <c r="A1" s="2" t="s">
        <v>2081</v>
      </c>
      <c r="B1" s="2"/>
      <c r="C1" s="2"/>
      <c r="D1" s="2"/>
      <c r="E1" s="2"/>
      <c r="F1" s="2"/>
      <c r="G1" s="2"/>
      <c r="H1" s="3" t="s">
        <v>1</v>
      </c>
      <c r="I1" s="3"/>
      <c r="J1" s="3"/>
    </row>
    <row r="2" spans="1:10" ht="18" customHeight="1">
      <c r="A2" s="4" t="s">
        <v>2082</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30" customHeight="1">
      <c r="A5" s="6" t="s">
        <v>2083</v>
      </c>
      <c r="B5" s="6"/>
      <c r="C5" s="6"/>
      <c r="D5" s="6"/>
      <c r="E5" s="6"/>
      <c r="F5" s="6"/>
      <c r="G5" s="6"/>
      <c r="H5" s="6"/>
      <c r="I5" s="6"/>
      <c r="J5" s="6"/>
    </row>
    <row r="7" spans="1:10" ht="20" customHeight="1">
      <c r="A7" s="7" t="s">
        <v>2084</v>
      </c>
      <c r="B7" s="7"/>
      <c r="C7" s="7"/>
      <c r="D7" s="7"/>
      <c r="E7" s="7"/>
      <c r="F7" s="7"/>
      <c r="G7" s="7"/>
      <c r="H7" s="7"/>
      <c r="I7" s="7"/>
      <c r="J7" s="7"/>
    </row>
    <row r="8" spans="1:10">
      <c r="A8" s="9" t="s">
        <v>2085</v>
      </c>
      <c r="C8" s="9" t="s">
        <v>2086</v>
      </c>
      <c r="E8" s="9" t="s">
        <v>429</v>
      </c>
      <c r="G8" s="9" t="s">
        <v>453</v>
      </c>
      <c r="I8" s="9" t="s">
        <v>441</v>
      </c>
    </row>
    <row r="9" spans="1:10">
      <c r="A9" s="15" t="s">
        <v>278</v>
      </c>
      <c r="C9" s="15" t="s">
        <v>278</v>
      </c>
      <c r="E9" s="15" t="s">
        <v>512</v>
      </c>
      <c r="G9" s="15" t="s">
        <v>2093</v>
      </c>
      <c r="I9" s="15" t="s">
        <v>287</v>
      </c>
    </row>
    <row r="10" spans="1:10">
      <c r="A10" s="15" t="s">
        <v>281</v>
      </c>
      <c r="C10" s="15" t="s">
        <v>281</v>
      </c>
      <c r="E10" s="15" t="s">
        <v>531</v>
      </c>
      <c r="G10" s="15" t="s">
        <v>558</v>
      </c>
      <c r="I10" s="15" t="s">
        <v>545</v>
      </c>
    </row>
    <row r="11" spans="1:10">
      <c r="A11" s="15"/>
      <c r="C11" s="15" t="s">
        <v>1769</v>
      </c>
      <c r="E11" s="15" t="s">
        <v>536</v>
      </c>
      <c r="G11" s="15" t="s">
        <v>2094</v>
      </c>
      <c r="I11" s="15" t="s">
        <v>995</v>
      </c>
    </row>
    <row r="12" spans="1:10">
      <c r="A12" s="15"/>
      <c r="C12" s="15"/>
      <c r="E12" s="15" t="s">
        <v>544</v>
      </c>
      <c r="G12" s="15" t="s">
        <v>513</v>
      </c>
      <c r="I12" s="15" t="s">
        <v>998</v>
      </c>
    </row>
    <row r="13" spans="1:10">
      <c r="A13" s="15"/>
      <c r="C13" s="15"/>
      <c r="E13" s="15" t="s">
        <v>547</v>
      </c>
      <c r="G13" s="15" t="s">
        <v>550</v>
      </c>
      <c r="I13" s="15" t="s">
        <v>1001</v>
      </c>
    </row>
    <row r="14" spans="1:10">
      <c r="A14" s="15"/>
      <c r="C14" s="15"/>
      <c r="E14" s="15" t="s">
        <v>553</v>
      </c>
      <c r="G14" s="15" t="s">
        <v>2095</v>
      </c>
      <c r="I14" s="15" t="s">
        <v>1003</v>
      </c>
    </row>
    <row r="15" spans="1:10">
      <c r="A15" s="15"/>
      <c r="C15" s="15"/>
      <c r="E15" s="15" t="s">
        <v>2087</v>
      </c>
      <c r="G15" s="15" t="s">
        <v>2096</v>
      </c>
      <c r="I15" s="15" t="s">
        <v>1007</v>
      </c>
    </row>
    <row r="16" spans="1:10">
      <c r="A16" s="15"/>
      <c r="C16" s="15"/>
      <c r="E16" s="15" t="s">
        <v>2088</v>
      </c>
      <c r="G16" s="15" t="s">
        <v>2097</v>
      </c>
      <c r="I16" s="15"/>
    </row>
    <row r="17" spans="1:9">
      <c r="A17" s="15"/>
      <c r="C17" s="15"/>
      <c r="E17" s="15" t="s">
        <v>2089</v>
      </c>
      <c r="G17" s="15"/>
      <c r="I17" s="15"/>
    </row>
    <row r="18" spans="1:9">
      <c r="A18" s="15"/>
      <c r="C18" s="15"/>
      <c r="E18" s="15" t="s">
        <v>2090</v>
      </c>
      <c r="G18" s="15"/>
      <c r="I18" s="15"/>
    </row>
    <row r="19" spans="1:9">
      <c r="C19" s="15"/>
      <c r="E19" s="15" t="s">
        <v>521</v>
      </c>
      <c r="G19" s="15"/>
      <c r="I19" s="15"/>
    </row>
    <row r="20" spans="1:9">
      <c r="E20" s="15" t="s">
        <v>527</v>
      </c>
      <c r="G20" s="15"/>
      <c r="I20" s="15"/>
    </row>
    <row r="21" spans="1:9">
      <c r="E21" s="15" t="s">
        <v>2091</v>
      </c>
      <c r="G21" s="15"/>
      <c r="I21" s="15"/>
    </row>
    <row r="22" spans="1:9">
      <c r="E22" s="15" t="s">
        <v>2092</v>
      </c>
      <c r="G22" s="15"/>
      <c r="I22" s="15"/>
    </row>
    <row r="23" spans="1:9">
      <c r="E23" s="15" t="s">
        <v>557</v>
      </c>
      <c r="G23" s="15"/>
      <c r="I23" s="15"/>
    </row>
    <row r="24" spans="1:9">
      <c r="E24" s="15"/>
      <c r="G24" s="15"/>
    </row>
    <row r="25" spans="1:9">
      <c r="E25" s="15"/>
    </row>
    <row r="26" spans="1:9">
      <c r="E26" s="15"/>
    </row>
    <row r="27" spans="1:9">
      <c r="E27" s="15"/>
    </row>
    <row r="28" spans="1:9">
      <c r="E28" s="15"/>
    </row>
    <row r="29" spans="1:9">
      <c r="E29" s="15"/>
    </row>
    <row r="30" spans="1:9">
      <c r="E30" s="15"/>
    </row>
    <row r="31" spans="1:9">
      <c r="E31" s="15"/>
    </row>
    <row r="33" spans="1:9">
      <c r="A33" s="9" t="s">
        <v>2098</v>
      </c>
      <c r="C33" s="9" t="s">
        <v>574</v>
      </c>
      <c r="E33" s="9" t="s">
        <v>2117</v>
      </c>
      <c r="G33" s="9" t="s">
        <v>2123</v>
      </c>
      <c r="I33" s="9" t="s">
        <v>454</v>
      </c>
    </row>
    <row r="34" spans="1:9">
      <c r="A34" s="15" t="s">
        <v>2099</v>
      </c>
      <c r="C34" s="15" t="s">
        <v>603</v>
      </c>
      <c r="E34" s="15" t="s">
        <v>599</v>
      </c>
      <c r="G34" s="15" t="s">
        <v>460</v>
      </c>
      <c r="I34" s="15" t="s">
        <v>522</v>
      </c>
    </row>
    <row r="35" spans="1:9">
      <c r="A35" s="15" t="s">
        <v>2100</v>
      </c>
      <c r="C35" s="15" t="s">
        <v>651</v>
      </c>
      <c r="E35" s="15" t="s">
        <v>675</v>
      </c>
      <c r="G35" s="15" t="s">
        <v>2124</v>
      </c>
      <c r="I35" s="15" t="s">
        <v>2127</v>
      </c>
    </row>
    <row r="36" spans="1:9">
      <c r="A36" s="15" t="s">
        <v>2101</v>
      </c>
      <c r="C36" s="15" t="s">
        <v>2106</v>
      </c>
      <c r="E36" s="15" t="s">
        <v>643</v>
      </c>
      <c r="G36" s="15" t="s">
        <v>2096</v>
      </c>
      <c r="I36" s="15" t="s">
        <v>534</v>
      </c>
    </row>
    <row r="37" spans="1:9">
      <c r="A37" s="15" t="s">
        <v>494</v>
      </c>
      <c r="C37" s="15" t="s">
        <v>2107</v>
      </c>
      <c r="E37" s="15" t="s">
        <v>627</v>
      </c>
      <c r="G37" s="15" t="s">
        <v>2125</v>
      </c>
      <c r="I37" s="15" t="s">
        <v>514</v>
      </c>
    </row>
    <row r="38" spans="1:9">
      <c r="A38" s="15" t="s">
        <v>2102</v>
      </c>
      <c r="C38" s="15" t="s">
        <v>657</v>
      </c>
      <c r="E38" s="15" t="s">
        <v>637</v>
      </c>
      <c r="G38" s="15" t="s">
        <v>2097</v>
      </c>
      <c r="I38" s="15" t="s">
        <v>537</v>
      </c>
    </row>
    <row r="39" spans="1:9">
      <c r="A39" s="15" t="s">
        <v>2103</v>
      </c>
      <c r="C39" s="15" t="s">
        <v>2108</v>
      </c>
      <c r="E39" s="15" t="s">
        <v>647</v>
      </c>
      <c r="G39" s="15" t="s">
        <v>2126</v>
      </c>
      <c r="I39" s="15" t="s">
        <v>528</v>
      </c>
    </row>
    <row r="40" spans="1:9">
      <c r="A40" s="15" t="s">
        <v>2104</v>
      </c>
      <c r="C40" s="15" t="s">
        <v>2109</v>
      </c>
      <c r="E40" s="15" t="s">
        <v>654</v>
      </c>
      <c r="G40" s="15"/>
      <c r="I40" s="15" t="s">
        <v>2128</v>
      </c>
    </row>
    <row r="41" spans="1:9">
      <c r="A41" s="15" t="s">
        <v>2105</v>
      </c>
      <c r="C41" s="15" t="s">
        <v>635</v>
      </c>
      <c r="E41" s="15" t="s">
        <v>662</v>
      </c>
      <c r="G41" s="15"/>
      <c r="I41" s="15" t="s">
        <v>2129</v>
      </c>
    </row>
    <row r="42" spans="1:9">
      <c r="A42" s="15"/>
      <c r="C42" s="15" t="s">
        <v>2110</v>
      </c>
      <c r="E42" s="15" t="s">
        <v>666</v>
      </c>
      <c r="G42" s="15"/>
      <c r="I42" s="15" t="s">
        <v>2130</v>
      </c>
    </row>
    <row r="43" spans="1:9">
      <c r="A43" s="15"/>
      <c r="C43" s="15" t="s">
        <v>2111</v>
      </c>
      <c r="E43" s="15" t="s">
        <v>693</v>
      </c>
      <c r="G43" s="15"/>
      <c r="I43" s="15" t="s">
        <v>2131</v>
      </c>
    </row>
    <row r="44" spans="1:9">
      <c r="A44" s="15"/>
      <c r="C44" s="15" t="s">
        <v>2112</v>
      </c>
      <c r="E44" s="15" t="s">
        <v>702</v>
      </c>
      <c r="G44" s="15"/>
      <c r="I44" s="15" t="s">
        <v>2132</v>
      </c>
    </row>
    <row r="45" spans="1:9">
      <c r="A45" s="15"/>
      <c r="C45" s="15" t="s">
        <v>2113</v>
      </c>
      <c r="E45" s="15" t="s">
        <v>684</v>
      </c>
      <c r="G45" s="15"/>
      <c r="I45" s="15"/>
    </row>
    <row r="46" spans="1:9">
      <c r="A46" s="15"/>
      <c r="C46" s="15" t="s">
        <v>641</v>
      </c>
      <c r="E46" s="15" t="s">
        <v>2118</v>
      </c>
      <c r="G46" s="15"/>
      <c r="I46" s="15"/>
    </row>
    <row r="47" spans="1:9">
      <c r="A47" s="15"/>
      <c r="C47" s="15" t="s">
        <v>625</v>
      </c>
      <c r="E47" s="15" t="s">
        <v>2119</v>
      </c>
      <c r="G47" s="15"/>
      <c r="I47" s="15"/>
    </row>
    <row r="48" spans="1:9">
      <c r="A48" s="15"/>
      <c r="C48" s="15" t="s">
        <v>2114</v>
      </c>
      <c r="E48" s="15" t="s">
        <v>2120</v>
      </c>
      <c r="I48" s="15"/>
    </row>
    <row r="49" spans="1:9">
      <c r="A49" s="15"/>
      <c r="C49" s="15" t="s">
        <v>2115</v>
      </c>
      <c r="E49" s="15" t="s">
        <v>2121</v>
      </c>
      <c r="I49" s="15"/>
    </row>
    <row r="50" spans="1:9">
      <c r="C50" s="15" t="s">
        <v>2116</v>
      </c>
      <c r="E50" s="15" t="s">
        <v>622</v>
      </c>
      <c r="I50" s="15"/>
    </row>
    <row r="51" spans="1:9">
      <c r="C51" s="15"/>
      <c r="E51" s="15" t="s">
        <v>689</v>
      </c>
      <c r="I51" s="15"/>
    </row>
    <row r="52" spans="1:9">
      <c r="C52" s="15"/>
      <c r="E52" s="15" t="s">
        <v>2122</v>
      </c>
      <c r="I52" s="15"/>
    </row>
    <row r="53" spans="1:9">
      <c r="C53" s="15"/>
      <c r="E53" s="15" t="s">
        <v>706</v>
      </c>
    </row>
    <row r="54" spans="1:9">
      <c r="C54" s="15"/>
      <c r="E54" s="15" t="s">
        <v>617</v>
      </c>
    </row>
    <row r="55" spans="1:9">
      <c r="C55" s="15"/>
      <c r="E55" s="15"/>
    </row>
    <row r="56" spans="1:9">
      <c r="C56" s="15"/>
      <c r="E56" s="15"/>
    </row>
    <row r="57" spans="1:9">
      <c r="C57" s="15"/>
      <c r="E57" s="15"/>
    </row>
    <row r="58" spans="1:9">
      <c r="C58" s="15"/>
      <c r="E58" s="15"/>
    </row>
    <row r="59" spans="1:9">
      <c r="E59" s="15"/>
    </row>
    <row r="60" spans="1:9">
      <c r="E60" s="15"/>
    </row>
    <row r="61" spans="1:9">
      <c r="E61" s="15"/>
    </row>
    <row r="62" spans="1:9">
      <c r="E62" s="15"/>
    </row>
    <row r="64" spans="1:9">
      <c r="A64" s="9" t="s">
        <v>455</v>
      </c>
      <c r="C64" s="9" t="s">
        <v>2134</v>
      </c>
      <c r="E64" s="9" t="s">
        <v>2142</v>
      </c>
      <c r="G64" s="9" t="s">
        <v>2149</v>
      </c>
      <c r="I64" s="9" t="s">
        <v>2150</v>
      </c>
    </row>
    <row r="65" spans="1:9">
      <c r="A65" s="15" t="s">
        <v>540</v>
      </c>
      <c r="C65" s="15" t="s">
        <v>1804</v>
      </c>
      <c r="E65" s="15" t="s">
        <v>779</v>
      </c>
      <c r="G65" s="15" t="s">
        <v>780</v>
      </c>
      <c r="I65" s="15" t="s">
        <v>524</v>
      </c>
    </row>
    <row r="66" spans="1:9">
      <c r="A66" s="15" t="s">
        <v>523</v>
      </c>
      <c r="C66" s="15" t="s">
        <v>2135</v>
      </c>
      <c r="E66" s="15" t="s">
        <v>2143</v>
      </c>
      <c r="G66" s="15" t="s">
        <v>785</v>
      </c>
      <c r="I66" s="15" t="s">
        <v>516</v>
      </c>
    </row>
    <row r="67" spans="1:9">
      <c r="A67" s="15" t="s">
        <v>515</v>
      </c>
      <c r="C67" s="15" t="s">
        <v>791</v>
      </c>
      <c r="E67" s="15" t="s">
        <v>2144</v>
      </c>
      <c r="G67" s="15"/>
      <c r="I67" s="15" t="s">
        <v>529</v>
      </c>
    </row>
    <row r="68" spans="1:9">
      <c r="A68" s="15" t="s">
        <v>542</v>
      </c>
      <c r="C68" s="15" t="s">
        <v>778</v>
      </c>
      <c r="E68" s="15" t="s">
        <v>2145</v>
      </c>
      <c r="G68" s="15"/>
      <c r="I68" s="15" t="s">
        <v>813</v>
      </c>
    </row>
    <row r="69" spans="1:9">
      <c r="A69" s="15" t="s">
        <v>2133</v>
      </c>
      <c r="C69" s="15" t="s">
        <v>788</v>
      </c>
      <c r="E69" s="15" t="s">
        <v>2146</v>
      </c>
      <c r="G69" s="15"/>
      <c r="I69" s="15"/>
    </row>
    <row r="70" spans="1:9">
      <c r="A70" s="15"/>
      <c r="C70" s="15" t="s">
        <v>792</v>
      </c>
      <c r="E70" s="15" t="s">
        <v>2147</v>
      </c>
      <c r="G70" s="15"/>
      <c r="I70" s="15"/>
    </row>
    <row r="71" spans="1:9">
      <c r="A71" s="15"/>
      <c r="C71" s="15" t="s">
        <v>790</v>
      </c>
      <c r="E71" s="15" t="s">
        <v>2148</v>
      </c>
      <c r="G71" s="15"/>
      <c r="I71" s="15"/>
    </row>
    <row r="72" spans="1:9">
      <c r="A72" s="15"/>
      <c r="C72" s="15" t="s">
        <v>795</v>
      </c>
      <c r="E72" s="15"/>
      <c r="G72" s="15"/>
      <c r="I72" s="15"/>
    </row>
    <row r="73" spans="1:9">
      <c r="A73" s="15"/>
      <c r="C73" s="15" t="s">
        <v>797</v>
      </c>
      <c r="E73" s="15"/>
      <c r="G73" s="15"/>
      <c r="I73" s="15"/>
    </row>
    <row r="74" spans="1:9">
      <c r="A74" s="15"/>
      <c r="C74" s="15" t="s">
        <v>2136</v>
      </c>
      <c r="E74" s="15"/>
      <c r="G74" s="15"/>
      <c r="I74" s="15"/>
    </row>
    <row r="75" spans="1:9">
      <c r="A75" s="15"/>
      <c r="C75" s="15" t="s">
        <v>2137</v>
      </c>
      <c r="E75" s="15"/>
      <c r="I75" s="15"/>
    </row>
    <row r="76" spans="1:9">
      <c r="A76" s="15"/>
      <c r="C76" s="15" t="s">
        <v>782</v>
      </c>
      <c r="E76" s="15"/>
      <c r="I76" s="15"/>
    </row>
    <row r="77" spans="1:9">
      <c r="A77" s="15"/>
      <c r="C77" s="15" t="s">
        <v>2138</v>
      </c>
      <c r="E77" s="15"/>
    </row>
    <row r="78" spans="1:9">
      <c r="C78" s="15" t="s">
        <v>784</v>
      </c>
      <c r="E78" s="15"/>
    </row>
    <row r="79" spans="1:9">
      <c r="C79" s="15" t="s">
        <v>2139</v>
      </c>
      <c r="E79" s="15"/>
    </row>
    <row r="80" spans="1:9">
      <c r="C80" s="15" t="s">
        <v>783</v>
      </c>
    </row>
    <row r="81" spans="1:9">
      <c r="C81" s="15" t="s">
        <v>2140</v>
      </c>
    </row>
    <row r="82" spans="1:9">
      <c r="C82" s="15" t="s">
        <v>2141</v>
      </c>
    </row>
    <row r="83" spans="1:9">
      <c r="C83" s="15"/>
    </row>
    <row r="84" spans="1:9">
      <c r="C84" s="15"/>
    </row>
    <row r="85" spans="1:9">
      <c r="C85" s="15"/>
    </row>
    <row r="86" spans="1:9">
      <c r="C86" s="15"/>
    </row>
    <row r="87" spans="1:9">
      <c r="C87" s="15"/>
    </row>
    <row r="88" spans="1:9">
      <c r="C88" s="15"/>
    </row>
    <row r="89" spans="1:9">
      <c r="C89" s="15"/>
    </row>
    <row r="90" spans="1:9">
      <c r="C90" s="15"/>
    </row>
    <row r="92" spans="1:9">
      <c r="A92" s="9" t="s">
        <v>2151</v>
      </c>
      <c r="C92" s="9" t="s">
        <v>2155</v>
      </c>
      <c r="E92" s="9" t="s">
        <v>2163</v>
      </c>
      <c r="G92" s="9" t="s">
        <v>2167</v>
      </c>
      <c r="I92" s="9" t="s">
        <v>2171</v>
      </c>
    </row>
    <row r="93" spans="1:9">
      <c r="A93" s="15" t="s">
        <v>828</v>
      </c>
      <c r="C93" s="15" t="s">
        <v>882</v>
      </c>
      <c r="E93" s="15" t="s">
        <v>898</v>
      </c>
      <c r="G93" s="15" t="s">
        <v>884</v>
      </c>
      <c r="I93" s="15" t="s">
        <v>922</v>
      </c>
    </row>
    <row r="94" spans="1:9">
      <c r="A94" s="15" t="s">
        <v>834</v>
      </c>
      <c r="C94" s="15" t="s">
        <v>888</v>
      </c>
      <c r="E94" s="15" t="s">
        <v>883</v>
      </c>
      <c r="G94" s="15" t="s">
        <v>2168</v>
      </c>
      <c r="I94" s="15" t="s">
        <v>926</v>
      </c>
    </row>
    <row r="95" spans="1:9">
      <c r="A95" s="15" t="s">
        <v>2152</v>
      </c>
      <c r="C95" s="15" t="s">
        <v>2156</v>
      </c>
      <c r="E95" s="15" t="s">
        <v>2164</v>
      </c>
      <c r="G95" s="15" t="s">
        <v>2169</v>
      </c>
      <c r="I95" s="15" t="s">
        <v>930</v>
      </c>
    </row>
    <row r="96" spans="1:9">
      <c r="A96" s="15" t="s">
        <v>2153</v>
      </c>
      <c r="C96" s="15" t="s">
        <v>2157</v>
      </c>
      <c r="E96" s="15" t="s">
        <v>2165</v>
      </c>
      <c r="G96" s="15" t="s">
        <v>891</v>
      </c>
      <c r="I96" s="15" t="s">
        <v>935</v>
      </c>
    </row>
    <row r="97" spans="1:9">
      <c r="A97" s="15" t="s">
        <v>837</v>
      </c>
      <c r="C97" s="15" t="s">
        <v>2158</v>
      </c>
      <c r="E97" s="15" t="s">
        <v>2166</v>
      </c>
      <c r="G97" s="15" t="s">
        <v>2170</v>
      </c>
      <c r="I97" s="15" t="s">
        <v>936</v>
      </c>
    </row>
    <row r="98" spans="1:9">
      <c r="A98" s="15" t="s">
        <v>838</v>
      </c>
      <c r="C98" s="15" t="s">
        <v>2159</v>
      </c>
      <c r="E98" s="15" t="s">
        <v>895</v>
      </c>
      <c r="G98" s="15" t="s">
        <v>899</v>
      </c>
      <c r="I98" s="15" t="s">
        <v>939</v>
      </c>
    </row>
    <row r="99" spans="1:9">
      <c r="A99" s="15" t="s">
        <v>841</v>
      </c>
      <c r="C99" s="15" t="s">
        <v>2160</v>
      </c>
      <c r="E99" s="15"/>
      <c r="G99" s="15"/>
      <c r="I99" s="15" t="s">
        <v>943</v>
      </c>
    </row>
    <row r="100" spans="1:9">
      <c r="A100" s="15" t="s">
        <v>844</v>
      </c>
      <c r="C100" s="15" t="s">
        <v>890</v>
      </c>
      <c r="E100" s="15"/>
      <c r="G100" s="15"/>
      <c r="I100" s="15" t="s">
        <v>2172</v>
      </c>
    </row>
    <row r="101" spans="1:9">
      <c r="A101" s="15" t="s">
        <v>846</v>
      </c>
      <c r="C101" s="15" t="s">
        <v>2161</v>
      </c>
      <c r="E101" s="15"/>
      <c r="G101" s="15"/>
      <c r="I101" s="15" t="s">
        <v>2173</v>
      </c>
    </row>
    <row r="102" spans="1:9">
      <c r="A102" s="15" t="s">
        <v>831</v>
      </c>
      <c r="C102" s="15" t="s">
        <v>894</v>
      </c>
      <c r="E102" s="15"/>
      <c r="G102" s="15"/>
      <c r="I102" s="15" t="s">
        <v>954</v>
      </c>
    </row>
    <row r="103" spans="1:9">
      <c r="A103" s="15" t="s">
        <v>2154</v>
      </c>
      <c r="C103" s="15" t="s">
        <v>2162</v>
      </c>
      <c r="E103" s="15"/>
      <c r="G103" s="15"/>
      <c r="I103" s="15" t="s">
        <v>950</v>
      </c>
    </row>
    <row r="104" spans="1:9">
      <c r="A104" s="15" t="s">
        <v>849</v>
      </c>
      <c r="C104" s="15" t="s">
        <v>897</v>
      </c>
      <c r="E104" s="15"/>
      <c r="G104" s="15"/>
      <c r="I104" s="15" t="s">
        <v>2174</v>
      </c>
    </row>
    <row r="105" spans="1:9">
      <c r="A105" s="15"/>
      <c r="C105" s="15"/>
      <c r="E105" s="15"/>
      <c r="G105" s="15"/>
      <c r="I105" s="15" t="s">
        <v>2175</v>
      </c>
    </row>
    <row r="106" spans="1:9">
      <c r="A106" s="15"/>
      <c r="C106" s="15"/>
      <c r="E106" s="15"/>
      <c r="G106" s="15"/>
      <c r="I106" s="15" t="s">
        <v>957</v>
      </c>
    </row>
    <row r="107" spans="1:9">
      <c r="A107" s="15"/>
      <c r="C107" s="15"/>
      <c r="I107" s="15" t="s">
        <v>946</v>
      </c>
    </row>
    <row r="108" spans="1:9">
      <c r="A108" s="15"/>
      <c r="C108" s="15"/>
      <c r="I108" s="15" t="s">
        <v>2176</v>
      </c>
    </row>
    <row r="109" spans="1:9">
      <c r="A109" s="15"/>
      <c r="C109" s="15"/>
      <c r="I109" s="15" t="s">
        <v>2177</v>
      </c>
    </row>
    <row r="110" spans="1:9">
      <c r="A110" s="15"/>
      <c r="C110" s="15"/>
      <c r="I110" s="15" t="s">
        <v>2178</v>
      </c>
    </row>
    <row r="111" spans="1:9">
      <c r="A111" s="15"/>
      <c r="C111" s="15"/>
      <c r="I111" s="15" t="s">
        <v>1007</v>
      </c>
    </row>
    <row r="112" spans="1:9">
      <c r="A112" s="15"/>
      <c r="C112" s="15"/>
      <c r="I112" s="15"/>
    </row>
    <row r="113" spans="1:9">
      <c r="I113" s="15"/>
    </row>
    <row r="114" spans="1:9">
      <c r="I114" s="15"/>
    </row>
    <row r="115" spans="1:9">
      <c r="I115" s="15"/>
    </row>
    <row r="116" spans="1:9">
      <c r="I116" s="15"/>
    </row>
    <row r="117" spans="1:9">
      <c r="I117" s="15"/>
    </row>
    <row r="118" spans="1:9">
      <c r="I118" s="15"/>
    </row>
    <row r="119" spans="1:9">
      <c r="I119" s="15"/>
    </row>
    <row r="121" spans="1:9">
      <c r="A121" s="9" t="s">
        <v>2179</v>
      </c>
      <c r="C121" s="9" t="s">
        <v>2183</v>
      </c>
      <c r="E121" s="9" t="s">
        <v>2186</v>
      </c>
      <c r="G121" s="9" t="s">
        <v>2190</v>
      </c>
      <c r="I121" s="9" t="s">
        <v>2198</v>
      </c>
    </row>
    <row r="122" spans="1:9">
      <c r="A122" s="15" t="s">
        <v>111</v>
      </c>
      <c r="C122" s="15" t="s">
        <v>255</v>
      </c>
      <c r="E122" s="15" t="s">
        <v>1004</v>
      </c>
      <c r="G122" s="15" t="s">
        <v>1678</v>
      </c>
      <c r="I122" s="15" t="s">
        <v>1232</v>
      </c>
    </row>
    <row r="123" spans="1:9">
      <c r="A123" s="15" t="s">
        <v>2180</v>
      </c>
      <c r="C123" s="15" t="s">
        <v>2184</v>
      </c>
      <c r="E123" s="15" t="s">
        <v>2187</v>
      </c>
      <c r="G123" s="15" t="s">
        <v>1690</v>
      </c>
      <c r="I123" s="15" t="s">
        <v>2199</v>
      </c>
    </row>
    <row r="124" spans="1:9">
      <c r="A124" s="15" t="s">
        <v>134</v>
      </c>
      <c r="C124" s="15" t="s">
        <v>2182</v>
      </c>
      <c r="E124" s="15" t="s">
        <v>2188</v>
      </c>
      <c r="G124" s="15" t="s">
        <v>1685</v>
      </c>
      <c r="I124" s="15" t="s">
        <v>2200</v>
      </c>
    </row>
    <row r="125" spans="1:9">
      <c r="A125" s="15" t="s">
        <v>932</v>
      </c>
      <c r="C125" s="15" t="s">
        <v>444</v>
      </c>
      <c r="E125" s="15" t="s">
        <v>970</v>
      </c>
      <c r="G125" s="15" t="s">
        <v>2191</v>
      </c>
      <c r="I125" s="15" t="s">
        <v>1527</v>
      </c>
    </row>
    <row r="126" spans="1:9">
      <c r="A126" s="15" t="s">
        <v>2181</v>
      </c>
      <c r="C126" s="15" t="s">
        <v>2185</v>
      </c>
      <c r="E126" s="15" t="s">
        <v>990</v>
      </c>
      <c r="G126" s="15" t="s">
        <v>2192</v>
      </c>
      <c r="I126" s="15" t="s">
        <v>2201</v>
      </c>
    </row>
    <row r="127" spans="1:9">
      <c r="A127" s="15" t="s">
        <v>2182</v>
      </c>
      <c r="C127" s="15"/>
      <c r="E127" s="15" t="s">
        <v>2189</v>
      </c>
      <c r="G127" s="15" t="s">
        <v>2193</v>
      </c>
      <c r="I127" s="15" t="s">
        <v>2202</v>
      </c>
    </row>
    <row r="128" spans="1:9">
      <c r="A128" s="15"/>
      <c r="C128" s="15"/>
      <c r="E128" s="15" t="s">
        <v>999</v>
      </c>
      <c r="G128" s="15" t="s">
        <v>2194</v>
      </c>
      <c r="I128" s="15" t="s">
        <v>2203</v>
      </c>
    </row>
    <row r="129" spans="1:9">
      <c r="A129" s="15"/>
      <c r="C129" s="15"/>
      <c r="E129" s="15"/>
      <c r="G129" s="15" t="s">
        <v>2195</v>
      </c>
      <c r="I129" s="15" t="s">
        <v>2204</v>
      </c>
    </row>
    <row r="130" spans="1:9">
      <c r="A130" s="15"/>
      <c r="C130" s="15"/>
      <c r="E130" s="15"/>
      <c r="G130" s="15" t="s">
        <v>2196</v>
      </c>
      <c r="I130" s="15" t="s">
        <v>1515</v>
      </c>
    </row>
    <row r="131" spans="1:9">
      <c r="A131" s="15"/>
      <c r="C131" s="15"/>
      <c r="E131" s="15"/>
      <c r="G131" s="15" t="s">
        <v>2197</v>
      </c>
      <c r="I131" s="15" t="s">
        <v>1517</v>
      </c>
    </row>
    <row r="132" spans="1:9">
      <c r="A132" s="15"/>
      <c r="C132" s="15"/>
      <c r="E132" s="15"/>
      <c r="G132" s="15"/>
      <c r="I132" s="15" t="s">
        <v>2205</v>
      </c>
    </row>
    <row r="133" spans="1:9">
      <c r="A133" s="15"/>
      <c r="C133" s="15"/>
      <c r="E133" s="15"/>
      <c r="G133" s="15"/>
      <c r="I133" s="15" t="s">
        <v>1520</v>
      </c>
    </row>
    <row r="134" spans="1:9">
      <c r="A134" s="15"/>
      <c r="C134" s="15"/>
      <c r="E134" s="15"/>
      <c r="G134" s="15"/>
      <c r="I134" s="15" t="s">
        <v>2206</v>
      </c>
    </row>
    <row r="135" spans="1:9">
      <c r="A135" s="15"/>
      <c r="E135" s="15"/>
      <c r="G135" s="15"/>
      <c r="I135" s="15" t="s">
        <v>2207</v>
      </c>
    </row>
    <row r="136" spans="1:9">
      <c r="E136" s="15"/>
      <c r="G136" s="15"/>
      <c r="I136" s="15"/>
    </row>
    <row r="137" spans="1:9">
      <c r="G137" s="15"/>
      <c r="I137" s="15"/>
    </row>
    <row r="138" spans="1:9">
      <c r="G138" s="15"/>
      <c r="I138" s="15"/>
    </row>
    <row r="139" spans="1:9">
      <c r="G139" s="15"/>
      <c r="I139" s="15"/>
    </row>
    <row r="140" spans="1:9">
      <c r="I140" s="15"/>
    </row>
    <row r="141" spans="1:9">
      <c r="I141" s="15"/>
    </row>
    <row r="142" spans="1:9">
      <c r="I142" s="15"/>
    </row>
    <row r="143" spans="1:9">
      <c r="I143" s="15"/>
    </row>
    <row r="145" spans="1:9">
      <c r="A145" s="9" t="s">
        <v>2208</v>
      </c>
      <c r="C145" s="9" t="s">
        <v>2213</v>
      </c>
      <c r="E145" s="9" t="s">
        <v>2217</v>
      </c>
      <c r="G145" s="9" t="s">
        <v>2222</v>
      </c>
      <c r="I145" s="9" t="s">
        <v>2229</v>
      </c>
    </row>
    <row r="146" spans="1:9">
      <c r="A146" s="15" t="s">
        <v>1533</v>
      </c>
      <c r="C146" s="15" t="s">
        <v>1589</v>
      </c>
      <c r="E146" s="15" t="s">
        <v>1778</v>
      </c>
      <c r="G146" s="15" t="s">
        <v>995</v>
      </c>
      <c r="I146" s="15" t="s">
        <v>1875</v>
      </c>
    </row>
    <row r="147" spans="1:9">
      <c r="A147" s="15" t="s">
        <v>2209</v>
      </c>
      <c r="C147" s="15" t="s">
        <v>1586</v>
      </c>
      <c r="E147" s="15" t="s">
        <v>1780</v>
      </c>
      <c r="G147" s="15" t="s">
        <v>1851</v>
      </c>
      <c r="I147" s="15" t="s">
        <v>1891</v>
      </c>
    </row>
    <row r="148" spans="1:9">
      <c r="A148" s="15" t="s">
        <v>1560</v>
      </c>
      <c r="C148" s="15" t="s">
        <v>1534</v>
      </c>
      <c r="E148" s="15" t="s">
        <v>1788</v>
      </c>
      <c r="G148" s="15" t="s">
        <v>1855</v>
      </c>
      <c r="I148" s="15" t="s">
        <v>1897</v>
      </c>
    </row>
    <row r="149" spans="1:9">
      <c r="A149" s="15" t="s">
        <v>2210</v>
      </c>
      <c r="C149" s="15" t="s">
        <v>2214</v>
      </c>
      <c r="E149" s="15" t="s">
        <v>1782</v>
      </c>
      <c r="G149" s="15" t="s">
        <v>1853</v>
      </c>
      <c r="I149" s="15" t="s">
        <v>1883</v>
      </c>
    </row>
    <row r="150" spans="1:9">
      <c r="A150" s="15" t="s">
        <v>790</v>
      </c>
      <c r="C150" s="15" t="s">
        <v>1591</v>
      </c>
      <c r="E150" s="15" t="s">
        <v>1796</v>
      </c>
      <c r="G150" s="15" t="s">
        <v>2223</v>
      </c>
      <c r="I150" s="15" t="s">
        <v>2230</v>
      </c>
    </row>
    <row r="151" spans="1:9">
      <c r="A151" s="15" t="s">
        <v>1555</v>
      </c>
      <c r="C151" s="15" t="s">
        <v>1572</v>
      </c>
      <c r="E151" s="15" t="s">
        <v>1792</v>
      </c>
      <c r="G151" s="15" t="s">
        <v>2224</v>
      </c>
      <c r="I151" s="15" t="s">
        <v>2231</v>
      </c>
    </row>
    <row r="152" spans="1:9">
      <c r="A152" s="15" t="s">
        <v>1818</v>
      </c>
      <c r="C152" s="15" t="s">
        <v>1634</v>
      </c>
      <c r="E152" s="15" t="s">
        <v>1794</v>
      </c>
      <c r="G152" s="15" t="s">
        <v>2225</v>
      </c>
      <c r="I152" s="15" t="s">
        <v>1904</v>
      </c>
    </row>
    <row r="153" spans="1:9">
      <c r="A153" s="15" t="s">
        <v>2211</v>
      </c>
      <c r="C153" s="15" t="s">
        <v>2215</v>
      </c>
      <c r="E153" s="15" t="s">
        <v>1790</v>
      </c>
      <c r="G153" s="15" t="s">
        <v>2226</v>
      </c>
      <c r="I153" s="15" t="s">
        <v>2232</v>
      </c>
    </row>
    <row r="154" spans="1:9">
      <c r="A154" s="15" t="s">
        <v>2212</v>
      </c>
      <c r="C154" s="15" t="s">
        <v>2216</v>
      </c>
      <c r="E154" s="15" t="s">
        <v>2218</v>
      </c>
      <c r="G154" s="15" t="s">
        <v>2227</v>
      </c>
      <c r="I154" s="15" t="s">
        <v>2233</v>
      </c>
    </row>
    <row r="155" spans="1:9">
      <c r="A155" s="15"/>
      <c r="C155" s="15" t="s">
        <v>529</v>
      </c>
      <c r="E155" s="15" t="s">
        <v>2219</v>
      </c>
      <c r="G155" s="15" t="s">
        <v>2228</v>
      </c>
      <c r="I155" s="15" t="s">
        <v>2234</v>
      </c>
    </row>
    <row r="156" spans="1:9">
      <c r="A156" s="15"/>
      <c r="C156" s="15"/>
      <c r="E156" s="15" t="s">
        <v>2220</v>
      </c>
      <c r="G156" s="15"/>
      <c r="I156" s="15" t="s">
        <v>2235</v>
      </c>
    </row>
    <row r="157" spans="1:9">
      <c r="A157" s="15"/>
      <c r="C157" s="15"/>
      <c r="E157" s="15" t="s">
        <v>1785</v>
      </c>
      <c r="G157" s="15"/>
      <c r="I157" s="15"/>
    </row>
    <row r="158" spans="1:9">
      <c r="A158" s="15"/>
      <c r="C158" s="15"/>
      <c r="E158" s="15" t="s">
        <v>2221</v>
      </c>
      <c r="G158" s="15"/>
      <c r="I158" s="15"/>
    </row>
    <row r="159" spans="1:9">
      <c r="A159" s="15"/>
      <c r="C159" s="15"/>
      <c r="E159" s="15" t="s">
        <v>1787</v>
      </c>
      <c r="G159" s="15"/>
      <c r="I159" s="15"/>
    </row>
    <row r="160" spans="1:9">
      <c r="A160" s="15"/>
      <c r="C160" s="15"/>
      <c r="E160" s="15"/>
      <c r="G160" s="15"/>
      <c r="I160" s="15"/>
    </row>
    <row r="161" spans="1:9">
      <c r="A161" s="15"/>
      <c r="C161" s="15"/>
      <c r="E161" s="15"/>
      <c r="G161" s="15"/>
      <c r="I161" s="15"/>
    </row>
    <row r="162" spans="1:9">
      <c r="A162" s="15"/>
      <c r="C162" s="15"/>
      <c r="E162" s="15"/>
      <c r="G162" s="15"/>
      <c r="I162" s="15"/>
    </row>
    <row r="163" spans="1:9">
      <c r="C163" s="15"/>
      <c r="E163" s="15"/>
      <c r="G163" s="15"/>
      <c r="I163" s="15"/>
    </row>
    <row r="164" spans="1:9">
      <c r="E164" s="15"/>
      <c r="I164" s="15"/>
    </row>
    <row r="165" spans="1:9">
      <c r="E165" s="15"/>
    </row>
    <row r="166" spans="1:9">
      <c r="E166" s="15"/>
    </row>
    <row r="167" spans="1:9">
      <c r="E167" s="15"/>
    </row>
    <row r="169" spans="1:9">
      <c r="A169" s="9" t="s">
        <v>2074</v>
      </c>
      <c r="C169" s="9" t="s">
        <v>2239</v>
      </c>
      <c r="E169" s="9" t="s">
        <v>2243</v>
      </c>
      <c r="G169" s="9" t="s">
        <v>2250</v>
      </c>
      <c r="I169" s="9" t="s">
        <v>1735</v>
      </c>
    </row>
    <row r="170" spans="1:9">
      <c r="A170" s="15" t="s">
        <v>1909</v>
      </c>
      <c r="C170" s="15" t="s">
        <v>1946</v>
      </c>
      <c r="E170" s="15" t="s">
        <v>999</v>
      </c>
      <c r="G170" s="15" t="s">
        <v>1708</v>
      </c>
      <c r="I170" s="15" t="s">
        <v>1766</v>
      </c>
    </row>
    <row r="171" spans="1:9">
      <c r="A171" s="15" t="s">
        <v>1888</v>
      </c>
      <c r="C171" s="15" t="s">
        <v>2240</v>
      </c>
      <c r="E171" s="15" t="s">
        <v>301</v>
      </c>
      <c r="G171" s="15" t="s">
        <v>1710</v>
      </c>
      <c r="I171" s="15" t="s">
        <v>1749</v>
      </c>
    </row>
    <row r="172" spans="1:9">
      <c r="A172" s="15" t="s">
        <v>2236</v>
      </c>
      <c r="C172" s="15" t="s">
        <v>1942</v>
      </c>
      <c r="E172" s="15" t="s">
        <v>2244</v>
      </c>
      <c r="G172" s="15" t="s">
        <v>2251</v>
      </c>
      <c r="I172" s="15" t="s">
        <v>1756</v>
      </c>
    </row>
    <row r="173" spans="1:9">
      <c r="A173" s="15" t="s">
        <v>1895</v>
      </c>
      <c r="C173" s="15" t="s">
        <v>1939</v>
      </c>
      <c r="E173" s="15" t="s">
        <v>2245</v>
      </c>
      <c r="G173" s="15" t="s">
        <v>1721</v>
      </c>
      <c r="I173" s="15" t="s">
        <v>1753</v>
      </c>
    </row>
    <row r="174" spans="1:9">
      <c r="A174" s="15" t="s">
        <v>1880</v>
      </c>
      <c r="C174" s="15" t="s">
        <v>2241</v>
      </c>
      <c r="E174" s="15" t="s">
        <v>2246</v>
      </c>
      <c r="G174" s="15" t="s">
        <v>2252</v>
      </c>
      <c r="I174" s="15" t="s">
        <v>2255</v>
      </c>
    </row>
    <row r="175" spans="1:9">
      <c r="A175" s="15" t="s">
        <v>2237</v>
      </c>
      <c r="C175" s="15" t="s">
        <v>1916</v>
      </c>
      <c r="E175" s="15" t="s">
        <v>2247</v>
      </c>
      <c r="G175" s="15" t="s">
        <v>1712</v>
      </c>
      <c r="I175" s="15" t="s">
        <v>2256</v>
      </c>
    </row>
    <row r="176" spans="1:9">
      <c r="A176" s="15" t="s">
        <v>1901</v>
      </c>
      <c r="C176" s="15" t="s">
        <v>1935</v>
      </c>
      <c r="E176" s="15" t="s">
        <v>2248</v>
      </c>
      <c r="G176" s="15" t="s">
        <v>2194</v>
      </c>
      <c r="I176" s="15"/>
    </row>
    <row r="177" spans="1:9">
      <c r="A177" s="15" t="s">
        <v>2238</v>
      </c>
      <c r="C177" s="15" t="s">
        <v>1589</v>
      </c>
      <c r="E177" s="15" t="s">
        <v>2249</v>
      </c>
      <c r="G177" s="15" t="s">
        <v>2253</v>
      </c>
      <c r="I177" s="15"/>
    </row>
    <row r="178" spans="1:9">
      <c r="A178" s="15"/>
      <c r="C178" s="15" t="s">
        <v>2215</v>
      </c>
      <c r="E178" s="15"/>
      <c r="G178" s="15" t="s">
        <v>1718</v>
      </c>
      <c r="I178" s="15"/>
    </row>
    <row r="179" spans="1:9">
      <c r="A179" s="15"/>
      <c r="C179" s="15" t="s">
        <v>2242</v>
      </c>
      <c r="E179" s="15"/>
      <c r="G179" s="15" t="s">
        <v>1720</v>
      </c>
      <c r="I179" s="15"/>
    </row>
    <row r="180" spans="1:9">
      <c r="A180" s="15"/>
      <c r="C180" s="15"/>
      <c r="E180" s="15"/>
      <c r="G180" s="15" t="s">
        <v>2254</v>
      </c>
      <c r="I180" s="15"/>
    </row>
    <row r="181" spans="1:9">
      <c r="A181" s="15"/>
      <c r="C181" s="15"/>
      <c r="E181" s="15"/>
      <c r="G181" s="15" t="s">
        <v>1725</v>
      </c>
      <c r="I181" s="15"/>
    </row>
    <row r="182" spans="1:9">
      <c r="A182" s="15"/>
      <c r="C182" s="15"/>
      <c r="E182" s="15"/>
      <c r="G182" s="15"/>
      <c r="I182" s="15"/>
    </row>
    <row r="183" spans="1:9">
      <c r="A183" s="15"/>
      <c r="C183" s="15"/>
      <c r="E183" s="15"/>
      <c r="G183" s="15"/>
      <c r="I183" s="15"/>
    </row>
    <row r="184" spans="1:9">
      <c r="A184" s="15"/>
      <c r="C184" s="15"/>
      <c r="E184" s="15"/>
      <c r="G184" s="15"/>
    </row>
    <row r="185" spans="1:9">
      <c r="A185" s="15"/>
      <c r="C185" s="15"/>
      <c r="E185" s="15"/>
      <c r="G185" s="15"/>
    </row>
    <row r="186" spans="1:9">
      <c r="C186" s="15"/>
      <c r="G186" s="15"/>
    </row>
    <row r="187" spans="1:9">
      <c r="C187" s="15"/>
      <c r="G187" s="15"/>
    </row>
    <row r="188" spans="1:9">
      <c r="G188" s="15"/>
    </row>
    <row r="189" spans="1:9">
      <c r="G189" s="15"/>
    </row>
    <row r="191" spans="1:9">
      <c r="A191" s="9" t="s">
        <v>2257</v>
      </c>
      <c r="C191" s="9" t="s">
        <v>2259</v>
      </c>
      <c r="E191" s="9" t="s">
        <v>2265</v>
      </c>
      <c r="G191" s="9" t="s">
        <v>2272</v>
      </c>
      <c r="I191" s="9" t="s">
        <v>1277</v>
      </c>
    </row>
    <row r="192" spans="1:9">
      <c r="A192" s="15" t="s">
        <v>2093</v>
      </c>
      <c r="C192" s="15" t="s">
        <v>2260</v>
      </c>
      <c r="E192" s="15" t="s">
        <v>2266</v>
      </c>
      <c r="G192" s="15" t="s">
        <v>2273</v>
      </c>
      <c r="I192" s="15" t="s">
        <v>1305</v>
      </c>
    </row>
    <row r="193" spans="1:9">
      <c r="A193" s="15" t="s">
        <v>2258</v>
      </c>
      <c r="C193" s="15" t="s">
        <v>2261</v>
      </c>
      <c r="E193" s="15" t="s">
        <v>2267</v>
      </c>
      <c r="G193" s="15" t="s">
        <v>2274</v>
      </c>
      <c r="I193" s="15" t="s">
        <v>2283</v>
      </c>
    </row>
    <row r="194" spans="1:9">
      <c r="A194" s="15" t="s">
        <v>1823</v>
      </c>
      <c r="C194" s="15" t="s">
        <v>2262</v>
      </c>
      <c r="E194" s="15" t="s">
        <v>2268</v>
      </c>
      <c r="G194" s="15" t="s">
        <v>2275</v>
      </c>
      <c r="I194" s="15" t="s">
        <v>2284</v>
      </c>
    </row>
    <row r="195" spans="1:9">
      <c r="A195" s="15" t="s">
        <v>1828</v>
      </c>
      <c r="C195" s="15" t="s">
        <v>2263</v>
      </c>
      <c r="E195" s="15" t="s">
        <v>2269</v>
      </c>
      <c r="G195" s="15" t="s">
        <v>2276</v>
      </c>
      <c r="I195" s="15" t="s">
        <v>2285</v>
      </c>
    </row>
    <row r="196" spans="1:9">
      <c r="A196" s="15" t="s">
        <v>784</v>
      </c>
      <c r="C196" s="15" t="s">
        <v>2264</v>
      </c>
      <c r="E196" s="15" t="s">
        <v>1271</v>
      </c>
      <c r="G196" s="15" t="s">
        <v>1272</v>
      </c>
      <c r="I196" s="15" t="s">
        <v>2286</v>
      </c>
    </row>
    <row r="197" spans="1:9">
      <c r="A197" s="15" t="s">
        <v>1818</v>
      </c>
      <c r="C197" s="15"/>
      <c r="E197" s="15" t="s">
        <v>1258</v>
      </c>
      <c r="G197" s="15" t="s">
        <v>2277</v>
      </c>
      <c r="I197" s="15" t="s">
        <v>2287</v>
      </c>
    </row>
    <row r="198" spans="1:9">
      <c r="A198" s="15" t="s">
        <v>1826</v>
      </c>
      <c r="C198" s="15"/>
      <c r="E198" s="15" t="s">
        <v>1264</v>
      </c>
      <c r="G198" s="15" t="s">
        <v>1259</v>
      </c>
      <c r="I198" s="15" t="s">
        <v>2288</v>
      </c>
    </row>
    <row r="199" spans="1:9">
      <c r="A199" s="15" t="s">
        <v>1816</v>
      </c>
      <c r="C199" s="15"/>
      <c r="E199" s="15" t="s">
        <v>2270</v>
      </c>
      <c r="G199" s="15" t="s">
        <v>2278</v>
      </c>
      <c r="I199" s="15" t="s">
        <v>2289</v>
      </c>
    </row>
    <row r="200" spans="1:9">
      <c r="A200" s="15"/>
      <c r="C200" s="15"/>
      <c r="E200" s="15" t="s">
        <v>2271</v>
      </c>
      <c r="G200" s="15" t="s">
        <v>2279</v>
      </c>
      <c r="I200" s="15" t="s">
        <v>1313</v>
      </c>
    </row>
    <row r="201" spans="1:9">
      <c r="A201" s="15"/>
      <c r="C201" s="15"/>
      <c r="E201" s="15" t="s">
        <v>1368</v>
      </c>
      <c r="G201" s="15" t="s">
        <v>2280</v>
      </c>
      <c r="I201" s="15" t="s">
        <v>2290</v>
      </c>
    </row>
    <row r="202" spans="1:9">
      <c r="A202" s="15"/>
      <c r="C202" s="15"/>
      <c r="E202" s="15"/>
      <c r="G202" s="15" t="s">
        <v>1265</v>
      </c>
      <c r="I202" s="15" t="s">
        <v>2291</v>
      </c>
    </row>
    <row r="203" spans="1:9">
      <c r="A203" s="15"/>
      <c r="C203" s="15"/>
      <c r="E203" s="15"/>
      <c r="G203" s="15" t="s">
        <v>2281</v>
      </c>
      <c r="I203" s="15" t="s">
        <v>2292</v>
      </c>
    </row>
    <row r="204" spans="1:9">
      <c r="A204" s="15"/>
      <c r="C204" s="15"/>
      <c r="E204" s="15"/>
      <c r="G204" s="15" t="s">
        <v>2282</v>
      </c>
      <c r="I204" s="15" t="s">
        <v>2293</v>
      </c>
    </row>
    <row r="205" spans="1:9">
      <c r="A205" s="15"/>
      <c r="E205" s="15"/>
      <c r="G205" s="15"/>
      <c r="I205" s="15"/>
    </row>
    <row r="206" spans="1:9">
      <c r="A206" s="15"/>
      <c r="E206" s="15"/>
      <c r="G206" s="15"/>
      <c r="I206" s="15"/>
    </row>
    <row r="207" spans="1:9">
      <c r="A207" s="15"/>
      <c r="E207" s="15"/>
      <c r="G207" s="15"/>
      <c r="I207" s="15"/>
    </row>
    <row r="208" spans="1:9">
      <c r="E208" s="15"/>
      <c r="G208" s="15"/>
      <c r="I208" s="15"/>
    </row>
    <row r="209" spans="1:9">
      <c r="E209" s="15"/>
      <c r="G209" s="15"/>
      <c r="I209" s="15"/>
    </row>
    <row r="210" spans="1:9">
      <c r="G210" s="15"/>
      <c r="I210" s="15"/>
    </row>
    <row r="211" spans="1:9">
      <c r="G211" s="15"/>
      <c r="I211" s="15"/>
    </row>
    <row r="212" spans="1:9">
      <c r="G212" s="15"/>
      <c r="I212" s="15"/>
    </row>
    <row r="214" spans="1:9">
      <c r="A214" s="9" t="s">
        <v>1283</v>
      </c>
      <c r="C214" s="9" t="s">
        <v>647</v>
      </c>
      <c r="E214" s="9" t="s">
        <v>1328</v>
      </c>
      <c r="G214" s="9" t="s">
        <v>1320</v>
      </c>
      <c r="I214" s="9" t="s">
        <v>675</v>
      </c>
    </row>
    <row r="215" spans="1:9">
      <c r="A215" s="15" t="s">
        <v>999</v>
      </c>
      <c r="C215" s="15" t="s">
        <v>2306</v>
      </c>
      <c r="E215" s="15" t="s">
        <v>1349</v>
      </c>
      <c r="G215" s="15" t="s">
        <v>2320</v>
      </c>
      <c r="I215" s="15" t="s">
        <v>1349</v>
      </c>
    </row>
    <row r="216" spans="1:9">
      <c r="A216" s="15" t="s">
        <v>2294</v>
      </c>
      <c r="C216" s="15" t="s">
        <v>1345</v>
      </c>
      <c r="E216" s="15" t="s">
        <v>2314</v>
      </c>
      <c r="G216" s="15" t="s">
        <v>1347</v>
      </c>
      <c r="I216" s="15" t="s">
        <v>2327</v>
      </c>
    </row>
    <row r="217" spans="1:9">
      <c r="A217" s="15" t="s">
        <v>2295</v>
      </c>
      <c r="C217" s="15" t="s">
        <v>2307</v>
      </c>
      <c r="E217" s="15" t="s">
        <v>2315</v>
      </c>
      <c r="G217" s="15" t="s">
        <v>1352</v>
      </c>
      <c r="I217" s="15" t="s">
        <v>2328</v>
      </c>
    </row>
    <row r="218" spans="1:9">
      <c r="A218" s="15" t="s">
        <v>2296</v>
      </c>
      <c r="C218" s="15" t="s">
        <v>2308</v>
      </c>
      <c r="E218" s="15" t="s">
        <v>2316</v>
      </c>
      <c r="G218" s="15" t="s">
        <v>2321</v>
      </c>
      <c r="I218" s="15" t="s">
        <v>2329</v>
      </c>
    </row>
    <row r="219" spans="1:9">
      <c r="A219" s="15" t="s">
        <v>2297</v>
      </c>
      <c r="C219" s="15" t="s">
        <v>2309</v>
      </c>
      <c r="E219" s="15" t="s">
        <v>2317</v>
      </c>
      <c r="G219" s="15" t="s">
        <v>2322</v>
      </c>
      <c r="I219" s="15" t="s">
        <v>2330</v>
      </c>
    </row>
    <row r="220" spans="1:9">
      <c r="A220" s="15" t="s">
        <v>2298</v>
      </c>
      <c r="C220" s="15" t="s">
        <v>2310</v>
      </c>
      <c r="E220" s="15" t="s">
        <v>2318</v>
      </c>
      <c r="G220" s="15" t="s">
        <v>2323</v>
      </c>
      <c r="I220" s="15" t="s">
        <v>2331</v>
      </c>
    </row>
    <row r="221" spans="1:9">
      <c r="A221" s="15" t="s">
        <v>2299</v>
      </c>
      <c r="C221" s="15" t="s">
        <v>2311</v>
      </c>
      <c r="E221" s="15" t="s">
        <v>2319</v>
      </c>
      <c r="G221" s="15" t="s">
        <v>2324</v>
      </c>
      <c r="I221" s="15" t="s">
        <v>2332</v>
      </c>
    </row>
    <row r="222" spans="1:9">
      <c r="A222" s="15" t="s">
        <v>2300</v>
      </c>
      <c r="C222" s="15" t="s">
        <v>2312</v>
      </c>
      <c r="E222" s="15"/>
      <c r="G222" s="15" t="s">
        <v>1356</v>
      </c>
      <c r="I222" s="15" t="s">
        <v>2333</v>
      </c>
    </row>
    <row r="223" spans="1:9">
      <c r="A223" s="15" t="s">
        <v>2301</v>
      </c>
      <c r="C223" s="15" t="s">
        <v>2313</v>
      </c>
      <c r="E223" s="15"/>
      <c r="G223" s="15" t="s">
        <v>2325</v>
      </c>
      <c r="I223" s="15" t="s">
        <v>2334</v>
      </c>
    </row>
    <row r="224" spans="1:9">
      <c r="A224" s="15" t="s">
        <v>2302</v>
      </c>
      <c r="C224" s="15"/>
      <c r="E224" s="15"/>
      <c r="G224" s="15" t="s">
        <v>2326</v>
      </c>
      <c r="I224" s="15" t="s">
        <v>2335</v>
      </c>
    </row>
    <row r="225" spans="1:9">
      <c r="A225" s="15" t="s">
        <v>2303</v>
      </c>
      <c r="C225" s="15"/>
      <c r="E225" s="15"/>
      <c r="G225" s="15"/>
      <c r="I225" s="15" t="s">
        <v>2336</v>
      </c>
    </row>
    <row r="226" spans="1:9">
      <c r="A226" s="15" t="s">
        <v>2304</v>
      </c>
      <c r="C226" s="15"/>
      <c r="E226" s="15"/>
      <c r="G226" s="15"/>
      <c r="I226" s="15" t="s">
        <v>2337</v>
      </c>
    </row>
    <row r="227" spans="1:9">
      <c r="A227" s="15" t="s">
        <v>1309</v>
      </c>
      <c r="C227" s="15"/>
      <c r="E227" s="15"/>
      <c r="G227" s="15"/>
      <c r="I227" s="15" t="s">
        <v>2338</v>
      </c>
    </row>
    <row r="228" spans="1:9">
      <c r="A228" s="15" t="s">
        <v>2305</v>
      </c>
      <c r="C228" s="15"/>
      <c r="E228" s="15"/>
      <c r="G228" s="15"/>
      <c r="I228" s="15" t="s">
        <v>2339</v>
      </c>
    </row>
    <row r="229" spans="1:9">
      <c r="A229" s="15"/>
      <c r="C229" s="15"/>
      <c r="E229" s="15"/>
      <c r="G229" s="15"/>
      <c r="I229" s="15" t="s">
        <v>2340</v>
      </c>
    </row>
    <row r="230" spans="1:9">
      <c r="A230" s="15"/>
      <c r="C230" s="15"/>
      <c r="G230" s="15"/>
      <c r="I230" s="15" t="s">
        <v>2341</v>
      </c>
    </row>
    <row r="231" spans="1:9">
      <c r="A231" s="15"/>
      <c r="C231" s="15"/>
      <c r="G231" s="15"/>
      <c r="I231" s="15"/>
    </row>
    <row r="232" spans="1:9">
      <c r="A232" s="15"/>
      <c r="G232" s="15"/>
      <c r="I232" s="15"/>
    </row>
    <row r="233" spans="1:9">
      <c r="A233" s="15"/>
      <c r="I233" s="15"/>
    </row>
    <row r="234" spans="1:9">
      <c r="A234" s="15"/>
      <c r="I234" s="15"/>
    </row>
    <row r="235" spans="1:9">
      <c r="A235" s="15"/>
      <c r="I235" s="15"/>
    </row>
    <row r="236" spans="1:9">
      <c r="A236" s="15"/>
      <c r="I236" s="15"/>
    </row>
    <row r="237" spans="1:9">
      <c r="I237" s="15"/>
    </row>
    <row r="238" spans="1:9">
      <c r="I238" s="15"/>
    </row>
    <row r="240" spans="1:9">
      <c r="A240" s="9" t="s">
        <v>2342</v>
      </c>
      <c r="C240" s="9" t="s">
        <v>2314</v>
      </c>
      <c r="E240" s="9" t="s">
        <v>1399</v>
      </c>
      <c r="G240" s="9" t="s">
        <v>2375</v>
      </c>
      <c r="I240" s="9" t="s">
        <v>2386</v>
      </c>
    </row>
    <row r="241" spans="1:9">
      <c r="A241" s="15" t="s">
        <v>2343</v>
      </c>
      <c r="C241" s="15" t="s">
        <v>2353</v>
      </c>
      <c r="E241" s="15" t="s">
        <v>2365</v>
      </c>
      <c r="G241" s="15" t="s">
        <v>1448</v>
      </c>
      <c r="I241" s="15" t="s">
        <v>1449</v>
      </c>
    </row>
    <row r="242" spans="1:9">
      <c r="A242" s="15" t="s">
        <v>1386</v>
      </c>
      <c r="C242" s="15" t="s">
        <v>1415</v>
      </c>
      <c r="E242" s="15" t="s">
        <v>1417</v>
      </c>
      <c r="G242" s="15" t="s">
        <v>2376</v>
      </c>
      <c r="I242" s="15" t="s">
        <v>2387</v>
      </c>
    </row>
    <row r="243" spans="1:9">
      <c r="A243" s="15" t="s">
        <v>2344</v>
      </c>
      <c r="C243" s="15" t="s">
        <v>2354</v>
      </c>
      <c r="E243" s="15" t="s">
        <v>2366</v>
      </c>
      <c r="G243" s="15" t="s">
        <v>2377</v>
      </c>
      <c r="I243" s="15" t="s">
        <v>2388</v>
      </c>
    </row>
    <row r="244" spans="1:9">
      <c r="A244" s="15" t="s">
        <v>2345</v>
      </c>
      <c r="C244" s="15" t="s">
        <v>2355</v>
      </c>
      <c r="E244" s="15" t="s">
        <v>2367</v>
      </c>
      <c r="G244" s="15" t="s">
        <v>1457</v>
      </c>
      <c r="I244" s="15" t="s">
        <v>2389</v>
      </c>
    </row>
    <row r="245" spans="1:9">
      <c r="A245" s="15" t="s">
        <v>2346</v>
      </c>
      <c r="C245" s="15" t="s">
        <v>2356</v>
      </c>
      <c r="E245" s="15" t="s">
        <v>2368</v>
      </c>
      <c r="G245" s="15" t="s">
        <v>2378</v>
      </c>
      <c r="I245" s="15" t="s">
        <v>2390</v>
      </c>
    </row>
    <row r="246" spans="1:9">
      <c r="A246" s="15" t="s">
        <v>1382</v>
      </c>
      <c r="C246" s="15" t="s">
        <v>1420</v>
      </c>
      <c r="E246" s="15" t="s">
        <v>2369</v>
      </c>
      <c r="G246" s="15" t="s">
        <v>2379</v>
      </c>
      <c r="I246" s="15" t="s">
        <v>2391</v>
      </c>
    </row>
    <row r="247" spans="1:9">
      <c r="A247" s="15" t="s">
        <v>2347</v>
      </c>
      <c r="C247" s="15" t="s">
        <v>2357</v>
      </c>
      <c r="E247" s="15" t="s">
        <v>2370</v>
      </c>
      <c r="G247" s="15" t="s">
        <v>2380</v>
      </c>
      <c r="I247" s="15" t="s">
        <v>2392</v>
      </c>
    </row>
    <row r="248" spans="1:9">
      <c r="A248" s="15" t="s">
        <v>2348</v>
      </c>
      <c r="C248" s="15" t="s">
        <v>2358</v>
      </c>
      <c r="E248" s="15" t="s">
        <v>2371</v>
      </c>
      <c r="G248" s="15" t="s">
        <v>2381</v>
      </c>
      <c r="I248" s="15" t="s">
        <v>2393</v>
      </c>
    </row>
    <row r="249" spans="1:9">
      <c r="A249" s="15" t="s">
        <v>2349</v>
      </c>
      <c r="C249" s="15" t="s">
        <v>2359</v>
      </c>
      <c r="E249" s="15" t="s">
        <v>2372</v>
      </c>
      <c r="G249" s="15" t="s">
        <v>2382</v>
      </c>
      <c r="I249" s="15" t="s">
        <v>2394</v>
      </c>
    </row>
    <row r="250" spans="1:9">
      <c r="A250" s="15" t="s">
        <v>2350</v>
      </c>
      <c r="C250" s="15" t="s">
        <v>2360</v>
      </c>
      <c r="E250" s="15" t="s">
        <v>2373</v>
      </c>
      <c r="G250" s="15" t="s">
        <v>2383</v>
      </c>
      <c r="I250" s="15" t="s">
        <v>2395</v>
      </c>
    </row>
    <row r="251" spans="1:9">
      <c r="A251" s="15" t="s">
        <v>2351</v>
      </c>
      <c r="C251" s="15" t="s">
        <v>2361</v>
      </c>
      <c r="E251" s="15" t="s">
        <v>2374</v>
      </c>
      <c r="G251" s="15" t="s">
        <v>2384</v>
      </c>
      <c r="I251" s="15"/>
    </row>
    <row r="252" spans="1:9">
      <c r="A252" s="15" t="s">
        <v>2352</v>
      </c>
      <c r="C252" s="15" t="s">
        <v>2362</v>
      </c>
      <c r="E252" s="15"/>
      <c r="G252" s="15" t="s">
        <v>2385</v>
      </c>
      <c r="I252" s="15"/>
    </row>
    <row r="253" spans="1:9">
      <c r="A253" s="15"/>
      <c r="C253" s="15" t="s">
        <v>2363</v>
      </c>
      <c r="E253" s="15"/>
      <c r="G253" s="15"/>
      <c r="I253" s="15"/>
    </row>
    <row r="254" spans="1:9">
      <c r="A254" s="15"/>
      <c r="C254" s="15" t="s">
        <v>2364</v>
      </c>
      <c r="E254" s="15"/>
      <c r="G254" s="15"/>
      <c r="I254" s="15"/>
    </row>
    <row r="255" spans="1:9">
      <c r="A255" s="15"/>
      <c r="C255" s="15"/>
      <c r="E255" s="15"/>
      <c r="G255" s="15"/>
      <c r="I255" s="15"/>
    </row>
    <row r="256" spans="1:9">
      <c r="A256" s="15"/>
      <c r="C256" s="15"/>
      <c r="E256" s="15"/>
      <c r="G256" s="15"/>
      <c r="I256" s="15"/>
    </row>
    <row r="257" spans="1:9">
      <c r="A257" s="15"/>
      <c r="C257" s="15"/>
      <c r="E257" s="15"/>
      <c r="G257" s="15"/>
      <c r="I257" s="15"/>
    </row>
    <row r="258" spans="1:9">
      <c r="A258" s="15"/>
      <c r="C258" s="15"/>
      <c r="E258" s="15"/>
      <c r="G258" s="15"/>
      <c r="I258" s="15"/>
    </row>
    <row r="259" spans="1:9">
      <c r="A259" s="15"/>
      <c r="C259" s="15"/>
      <c r="E259" s="15"/>
      <c r="G259" s="15"/>
    </row>
    <row r="260" spans="1:9">
      <c r="A260" s="15"/>
      <c r="C260" s="15"/>
      <c r="G260" s="15"/>
    </row>
    <row r="261" spans="1:9">
      <c r="C261" s="15"/>
    </row>
    <row r="262" spans="1:9">
      <c r="C262" s="15"/>
    </row>
    <row r="264" spans="1:9">
      <c r="A264" s="9" t="s">
        <v>1427</v>
      </c>
      <c r="C264" s="9" t="s">
        <v>2400</v>
      </c>
      <c r="E264" s="9" t="s">
        <v>370</v>
      </c>
    </row>
    <row r="265" spans="1:9">
      <c r="A265" s="15" t="s">
        <v>1450</v>
      </c>
      <c r="C265" s="15" t="s">
        <v>1474</v>
      </c>
      <c r="E265" s="15" t="s">
        <v>2406</v>
      </c>
    </row>
    <row r="266" spans="1:9">
      <c r="A266" s="15" t="s">
        <v>1454</v>
      </c>
      <c r="C266" s="15" t="s">
        <v>2401</v>
      </c>
      <c r="E266" s="15" t="s">
        <v>2407</v>
      </c>
    </row>
    <row r="267" spans="1:9">
      <c r="A267" s="15" t="s">
        <v>2396</v>
      </c>
      <c r="C267" s="15" t="s">
        <v>2402</v>
      </c>
      <c r="E267" s="15" t="s">
        <v>2408</v>
      </c>
    </row>
    <row r="268" spans="1:9">
      <c r="A268" s="15" t="s">
        <v>2397</v>
      </c>
      <c r="C268" s="15" t="s">
        <v>2403</v>
      </c>
      <c r="E268" s="15" t="s">
        <v>2409</v>
      </c>
    </row>
    <row r="269" spans="1:9">
      <c r="A269" s="15" t="s">
        <v>2398</v>
      </c>
      <c r="C269" s="15" t="s">
        <v>1477</v>
      </c>
      <c r="E269" s="15" t="s">
        <v>2410</v>
      </c>
    </row>
    <row r="270" spans="1:9">
      <c r="A270" s="15" t="s">
        <v>2399</v>
      </c>
      <c r="C270" s="15" t="s">
        <v>2404</v>
      </c>
      <c r="E270" s="15" t="s">
        <v>2411</v>
      </c>
    </row>
    <row r="271" spans="1:9">
      <c r="A271" s="15"/>
      <c r="C271" s="15" t="s">
        <v>1904</v>
      </c>
      <c r="E271" s="15" t="s">
        <v>2412</v>
      </c>
    </row>
    <row r="272" spans="1:9">
      <c r="A272" s="15"/>
      <c r="C272" s="15" t="s">
        <v>2405</v>
      </c>
      <c r="E272" s="15" t="s">
        <v>2413</v>
      </c>
    </row>
    <row r="273" spans="1:10">
      <c r="A273" s="15"/>
      <c r="C273" s="15"/>
      <c r="E273" s="15" t="s">
        <v>2414</v>
      </c>
    </row>
    <row r="274" spans="1:10">
      <c r="A274" s="15"/>
      <c r="C274" s="15"/>
      <c r="E274" s="15" t="s">
        <v>2415</v>
      </c>
    </row>
    <row r="275" spans="1:10">
      <c r="A275" s="15"/>
      <c r="C275" s="15"/>
      <c r="E275" s="15" t="s">
        <v>2416</v>
      </c>
    </row>
    <row r="276" spans="1:10">
      <c r="A276" s="15"/>
      <c r="C276" s="15"/>
      <c r="E276" s="15" t="s">
        <v>2417</v>
      </c>
    </row>
    <row r="277" spans="1:10">
      <c r="A277" s="15"/>
      <c r="C277" s="15"/>
      <c r="E277" s="15"/>
    </row>
    <row r="278" spans="1:10">
      <c r="A278" s="15"/>
      <c r="C278" s="15"/>
      <c r="E278" s="15"/>
    </row>
    <row r="279" spans="1:10">
      <c r="C279" s="15"/>
      <c r="E279" s="15"/>
    </row>
    <row r="280" spans="1:10">
      <c r="C280" s="15"/>
      <c r="E280" s="15"/>
    </row>
    <row r="281" spans="1:10">
      <c r="E281" s="15"/>
    </row>
    <row r="282" spans="1:10">
      <c r="E282" s="15"/>
    </row>
    <row r="283" spans="1:10">
      <c r="E283" s="15"/>
    </row>
    <row r="284" spans="1:10">
      <c r="E284" s="15"/>
    </row>
    <row r="287" spans="1:10" ht="20" customHeight="1">
      <c r="A287" s="7" t="s">
        <v>2418</v>
      </c>
      <c r="B287" s="7"/>
      <c r="C287" s="7"/>
      <c r="D287" s="7"/>
      <c r="E287" s="7"/>
      <c r="F287" s="7"/>
      <c r="G287" s="7"/>
      <c r="H287" s="7"/>
      <c r="I287" s="7"/>
      <c r="J287" s="7"/>
    </row>
    <row r="288" spans="1:10" ht="44" customHeight="1">
      <c r="A288" s="6" t="s">
        <v>2419</v>
      </c>
      <c r="B288" s="6"/>
      <c r="C288" s="6"/>
      <c r="D288" s="6"/>
      <c r="E288" s="6"/>
      <c r="F288" s="6"/>
      <c r="G288" s="6"/>
      <c r="H288" s="6"/>
      <c r="I288" s="6"/>
      <c r="J288" s="6"/>
    </row>
    <row r="290" spans="1:3" ht="26" customHeight="1">
      <c r="A290" s="8" t="s">
        <v>574</v>
      </c>
      <c r="B290" s="9" t="s">
        <v>2420</v>
      </c>
      <c r="C290" s="9" t="s">
        <v>2421</v>
      </c>
    </row>
    <row r="291" spans="1:3">
      <c r="A291" s="15" t="s">
        <v>603</v>
      </c>
      <c r="B291" s="15" t="s">
        <v>603</v>
      </c>
      <c r="C291" s="52">
        <v>1</v>
      </c>
    </row>
    <row r="292" spans="1:3">
      <c r="A292" s="15" t="s">
        <v>651</v>
      </c>
      <c r="B292" s="15" t="s">
        <v>603</v>
      </c>
      <c r="C292" s="52">
        <v>1000</v>
      </c>
    </row>
    <row r="293" spans="1:3">
      <c r="A293" s="15" t="s">
        <v>2106</v>
      </c>
      <c r="B293" s="15" t="s">
        <v>603</v>
      </c>
      <c r="C293" s="52">
        <v>28.3495</v>
      </c>
    </row>
    <row r="294" spans="1:3">
      <c r="A294" s="15" t="s">
        <v>2107</v>
      </c>
      <c r="B294" s="15" t="s">
        <v>603</v>
      </c>
      <c r="C294" s="52">
        <v>453.592</v>
      </c>
    </row>
    <row r="295" spans="1:3">
      <c r="A295" s="15" t="s">
        <v>657</v>
      </c>
      <c r="B295" s="15" t="s">
        <v>657</v>
      </c>
      <c r="C295" s="52">
        <v>1</v>
      </c>
    </row>
    <row r="296" spans="1:3">
      <c r="A296" s="15" t="s">
        <v>2108</v>
      </c>
      <c r="B296" s="15" t="s">
        <v>657</v>
      </c>
      <c r="C296" s="52">
        <v>1000</v>
      </c>
    </row>
    <row r="297" spans="1:3">
      <c r="A297" s="15" t="s">
        <v>2109</v>
      </c>
      <c r="B297" s="15" t="s">
        <v>657</v>
      </c>
      <c r="C297" s="52">
        <v>29.5735</v>
      </c>
    </row>
    <row r="298" spans="1:3">
      <c r="A298" s="15" t="s">
        <v>635</v>
      </c>
      <c r="B298" s="15" t="s">
        <v>635</v>
      </c>
      <c r="C298" s="52">
        <v>1</v>
      </c>
    </row>
    <row r="299" spans="1:3">
      <c r="A299" s="15" t="s">
        <v>2110</v>
      </c>
      <c r="B299" s="15" t="s">
        <v>635</v>
      </c>
      <c r="C299" s="52">
        <v>100</v>
      </c>
    </row>
    <row r="300" spans="1:3">
      <c r="A300" s="15" t="s">
        <v>2111</v>
      </c>
      <c r="B300" s="15" t="s">
        <v>635</v>
      </c>
      <c r="C300" s="52">
        <v>2.54</v>
      </c>
    </row>
    <row r="301" spans="1:3">
      <c r="A301" s="15" t="s">
        <v>2112</v>
      </c>
      <c r="B301" s="15" t="s">
        <v>635</v>
      </c>
      <c r="C301" s="52">
        <v>30.48</v>
      </c>
    </row>
    <row r="302" spans="1:3">
      <c r="A302" s="15" t="s">
        <v>2113</v>
      </c>
      <c r="B302" s="15" t="s">
        <v>635</v>
      </c>
      <c r="C302" s="52">
        <v>91.44</v>
      </c>
    </row>
    <row r="303" spans="1:3">
      <c r="A303" s="15" t="s">
        <v>641</v>
      </c>
      <c r="B303" s="15" t="s">
        <v>641</v>
      </c>
      <c r="C303" s="52">
        <v>1</v>
      </c>
    </row>
    <row r="304" spans="1:3">
      <c r="A304" s="15" t="s">
        <v>625</v>
      </c>
      <c r="B304" s="15" t="s">
        <v>641</v>
      </c>
      <c r="C304" s="52">
        <v>2</v>
      </c>
    </row>
    <row r="305" spans="1:10">
      <c r="A305" s="15" t="s">
        <v>2114</v>
      </c>
      <c r="B305" s="15" t="s">
        <v>641</v>
      </c>
      <c r="C305" s="52">
        <v>1</v>
      </c>
    </row>
    <row r="306" spans="1:10">
      <c r="A306" s="15" t="s">
        <v>2115</v>
      </c>
      <c r="B306" s="15" t="s">
        <v>641</v>
      </c>
      <c r="C306" s="52">
        <v>1</v>
      </c>
    </row>
    <row r="307" spans="1:10">
      <c r="A307" s="15" t="s">
        <v>2116</v>
      </c>
      <c r="B307" s="15" t="s">
        <v>635</v>
      </c>
      <c r="C307" s="52">
        <v>100</v>
      </c>
    </row>
    <row r="308" spans="1:10">
      <c r="A308" s="15"/>
      <c r="B308" s="15"/>
      <c r="C308" s="52"/>
    </row>
    <row r="309" spans="1:10">
      <c r="A309" s="15"/>
      <c r="B309" s="15"/>
      <c r="C309" s="52"/>
    </row>
    <row r="310" spans="1:10">
      <c r="A310" s="15"/>
      <c r="B310" s="15"/>
      <c r="C310" s="52"/>
    </row>
    <row r="311" spans="1:10">
      <c r="A311" s="15"/>
      <c r="B311" s="15"/>
      <c r="C311" s="52"/>
    </row>
    <row r="312" spans="1:10">
      <c r="A312" s="15"/>
      <c r="B312" s="15"/>
      <c r="C312" s="52"/>
    </row>
    <row r="313" spans="1:10">
      <c r="A313" s="15"/>
      <c r="B313" s="15"/>
      <c r="C313" s="52"/>
    </row>
    <row r="316" spans="1:10" ht="20" customHeight="1">
      <c r="A316" s="7" t="s">
        <v>2422</v>
      </c>
      <c r="B316" s="7"/>
      <c r="C316" s="7"/>
      <c r="D316" s="7"/>
      <c r="E316" s="7"/>
      <c r="F316" s="7"/>
      <c r="G316" s="7"/>
      <c r="H316" s="7"/>
      <c r="I316" s="7"/>
      <c r="J316" s="7"/>
    </row>
    <row r="317" spans="1:10" ht="44" customHeight="1">
      <c r="A317" s="6" t="s">
        <v>2423</v>
      </c>
      <c r="B317" s="6"/>
      <c r="C317" s="6"/>
      <c r="D317" s="6"/>
      <c r="E317" s="6"/>
      <c r="F317" s="6"/>
      <c r="G317" s="6"/>
      <c r="H317" s="6"/>
      <c r="I317" s="6"/>
      <c r="J317" s="6"/>
    </row>
    <row r="319" spans="1:10" ht="26" customHeight="1">
      <c r="A319" s="8" t="s">
        <v>455</v>
      </c>
      <c r="B319" s="9" t="s">
        <v>1246</v>
      </c>
      <c r="C319" s="9" t="s">
        <v>2424</v>
      </c>
      <c r="D319" s="9" t="s">
        <v>399</v>
      </c>
    </row>
    <row r="320" spans="1:10">
      <c r="A320" s="15" t="s">
        <v>540</v>
      </c>
      <c r="B320" s="52">
        <v>0.85</v>
      </c>
      <c r="C320" s="52">
        <v>1</v>
      </c>
      <c r="D320" s="15" t="s">
        <v>2425</v>
      </c>
    </row>
    <row r="321" spans="1:10">
      <c r="A321" s="15" t="s">
        <v>523</v>
      </c>
      <c r="B321" s="52">
        <v>1</v>
      </c>
      <c r="C321" s="52">
        <v>1</v>
      </c>
      <c r="D321" s="15" t="s">
        <v>2426</v>
      </c>
    </row>
    <row r="322" spans="1:10">
      <c r="A322" s="15" t="s">
        <v>515</v>
      </c>
      <c r="B322" s="52">
        <v>1.15</v>
      </c>
      <c r="C322" s="52">
        <v>1.05</v>
      </c>
      <c r="D322" s="15" t="s">
        <v>2427</v>
      </c>
    </row>
    <row r="323" spans="1:10">
      <c r="A323" s="15" t="s">
        <v>542</v>
      </c>
      <c r="B323" s="52">
        <v>1.35</v>
      </c>
      <c r="C323" s="52">
        <v>1.12</v>
      </c>
      <c r="D323" s="15" t="s">
        <v>2428</v>
      </c>
    </row>
    <row r="324" spans="1:10">
      <c r="A324" s="15" t="s">
        <v>2133</v>
      </c>
      <c r="B324" s="52">
        <v>1.6</v>
      </c>
      <c r="C324" s="52">
        <v>1.25</v>
      </c>
      <c r="D324" s="15" t="s">
        <v>2429</v>
      </c>
    </row>
    <row r="325" spans="1:10">
      <c r="A325" s="15"/>
      <c r="B325" s="52"/>
      <c r="C325" s="52"/>
      <c r="D325" s="15"/>
    </row>
    <row r="326" spans="1:10">
      <c r="A326" s="15"/>
      <c r="B326" s="52"/>
      <c r="C326" s="52"/>
      <c r="D326" s="15"/>
    </row>
    <row r="327" spans="1:10">
      <c r="A327" s="15"/>
      <c r="B327" s="52"/>
      <c r="C327" s="52"/>
      <c r="D327" s="15"/>
    </row>
    <row r="328" spans="1:10">
      <c r="A328" s="15"/>
      <c r="B328" s="52"/>
      <c r="C328" s="52"/>
      <c r="D328" s="15"/>
    </row>
    <row r="331" spans="1:10" ht="20" customHeight="1">
      <c r="A331" s="7" t="s">
        <v>2430</v>
      </c>
      <c r="B331" s="7"/>
      <c r="C331" s="7"/>
      <c r="D331" s="7"/>
      <c r="E331" s="7"/>
      <c r="F331" s="7"/>
      <c r="G331" s="7"/>
      <c r="H331" s="7"/>
      <c r="I331" s="7"/>
      <c r="J331" s="7"/>
    </row>
    <row r="332" spans="1:10" ht="38" customHeight="1">
      <c r="A332" s="6" t="s">
        <v>2431</v>
      </c>
      <c r="B332" s="6"/>
      <c r="C332" s="6"/>
      <c r="D332" s="6"/>
      <c r="E332" s="6"/>
      <c r="F332" s="6"/>
      <c r="G332" s="6"/>
      <c r="H332" s="6"/>
      <c r="I332" s="6"/>
      <c r="J332" s="6"/>
    </row>
    <row r="334" spans="1:10" ht="26" customHeight="1">
      <c r="A334" s="8" t="s">
        <v>1501</v>
      </c>
      <c r="B334" s="9" t="s">
        <v>2432</v>
      </c>
      <c r="C334" s="9" t="s">
        <v>2433</v>
      </c>
    </row>
    <row r="335" spans="1:10">
      <c r="A335" s="15" t="s">
        <v>516</v>
      </c>
      <c r="B335" s="19">
        <v>0</v>
      </c>
      <c r="C335" s="15" t="s">
        <v>2434</v>
      </c>
    </row>
    <row r="336" spans="1:10">
      <c r="A336" s="15" t="s">
        <v>888</v>
      </c>
      <c r="B336" s="19">
        <v>0.15</v>
      </c>
      <c r="C336" s="15" t="s">
        <v>2435</v>
      </c>
    </row>
    <row r="337" spans="1:10">
      <c r="A337" s="15" t="s">
        <v>2436</v>
      </c>
      <c r="B337" s="19">
        <v>0.3</v>
      </c>
      <c r="C337" s="15" t="s">
        <v>2437</v>
      </c>
    </row>
    <row r="338" spans="1:10">
      <c r="A338" s="15" t="s">
        <v>1521</v>
      </c>
      <c r="B338" s="19">
        <v>0.5</v>
      </c>
      <c r="C338" s="15" t="s">
        <v>2438</v>
      </c>
    </row>
    <row r="339" spans="1:10">
      <c r="A339" s="15" t="s">
        <v>2439</v>
      </c>
      <c r="B339" s="19">
        <v>0.75</v>
      </c>
      <c r="C339" s="15" t="s">
        <v>2440</v>
      </c>
    </row>
    <row r="340" spans="1:10">
      <c r="A340" s="15"/>
      <c r="B340" s="19"/>
      <c r="C340" s="15"/>
    </row>
    <row r="341" spans="1:10">
      <c r="A341" s="15"/>
      <c r="B341" s="19"/>
      <c r="C341" s="15"/>
    </row>
    <row r="342" spans="1:10">
      <c r="A342" s="15"/>
      <c r="B342" s="19"/>
      <c r="C342" s="15"/>
    </row>
    <row r="345" spans="1:10" ht="20" customHeight="1">
      <c r="A345" s="7" t="s">
        <v>2441</v>
      </c>
      <c r="B345" s="7"/>
      <c r="C345" s="7"/>
      <c r="D345" s="7"/>
      <c r="E345" s="7"/>
      <c r="F345" s="7"/>
      <c r="G345" s="7"/>
      <c r="H345" s="7"/>
      <c r="I345" s="7"/>
      <c r="J345" s="7"/>
    </row>
    <row r="346" spans="1:10" ht="38" customHeight="1">
      <c r="A346" s="6" t="s">
        <v>2442</v>
      </c>
      <c r="B346" s="6"/>
      <c r="C346" s="6"/>
      <c r="D346" s="6"/>
      <c r="E346" s="6"/>
      <c r="F346" s="6"/>
      <c r="G346" s="6"/>
      <c r="H346" s="6"/>
      <c r="I346" s="6"/>
      <c r="J346" s="6"/>
    </row>
    <row r="348" spans="1:10" ht="26" customHeight="1">
      <c r="A348" s="8" t="s">
        <v>2443</v>
      </c>
      <c r="B348" s="9" t="s">
        <v>462</v>
      </c>
      <c r="C348" s="9" t="s">
        <v>2444</v>
      </c>
    </row>
    <row r="349" spans="1:10">
      <c r="A349" s="15" t="s">
        <v>2445</v>
      </c>
      <c r="B349" s="19">
        <v>0.15</v>
      </c>
      <c r="C349" s="15" t="s">
        <v>2446</v>
      </c>
    </row>
    <row r="350" spans="1:10">
      <c r="A350" s="15" t="s">
        <v>2447</v>
      </c>
      <c r="B350" s="19">
        <v>0.22</v>
      </c>
      <c r="C350" s="15" t="s">
        <v>2448</v>
      </c>
    </row>
    <row r="351" spans="1:10">
      <c r="A351" s="15" t="s">
        <v>516</v>
      </c>
      <c r="B351" s="19">
        <v>0.3</v>
      </c>
      <c r="C351" s="15" t="s">
        <v>2449</v>
      </c>
    </row>
    <row r="352" spans="1:10">
      <c r="A352" s="15" t="s">
        <v>813</v>
      </c>
      <c r="B352" s="19">
        <v>0.4</v>
      </c>
      <c r="C352" s="15" t="s">
        <v>2450</v>
      </c>
    </row>
    <row r="353" spans="1:10">
      <c r="A353" s="15" t="s">
        <v>2451</v>
      </c>
      <c r="B353" s="19">
        <v>0.5</v>
      </c>
      <c r="C353" s="15" t="s">
        <v>2452</v>
      </c>
    </row>
    <row r="356" spans="1:10" ht="20" customHeight="1">
      <c r="A356" s="7" t="s">
        <v>2453</v>
      </c>
      <c r="B356" s="7"/>
      <c r="C356" s="7"/>
      <c r="D356" s="7"/>
      <c r="E356" s="7"/>
      <c r="F356" s="7"/>
      <c r="G356" s="7"/>
      <c r="H356" s="7"/>
      <c r="I356" s="7"/>
      <c r="J356" s="7"/>
    </row>
    <row r="357" spans="1:10" ht="38" customHeight="1">
      <c r="A357" s="6" t="s">
        <v>2454</v>
      </c>
      <c r="B357" s="6"/>
      <c r="C357" s="6"/>
      <c r="D357" s="6"/>
      <c r="E357" s="6"/>
      <c r="F357" s="6"/>
      <c r="G357" s="6"/>
      <c r="H357" s="6"/>
      <c r="I357" s="6"/>
      <c r="J357" s="6"/>
    </row>
    <row r="359" spans="1:10" ht="26" customHeight="1">
      <c r="A359" s="8" t="s">
        <v>1232</v>
      </c>
      <c r="B359" s="9" t="s">
        <v>2455</v>
      </c>
      <c r="C359" s="9" t="s">
        <v>1246</v>
      </c>
    </row>
    <row r="360" spans="1:10">
      <c r="A360" s="15" t="s">
        <v>2456</v>
      </c>
      <c r="B360" s="52">
        <v>0.45</v>
      </c>
      <c r="C360" s="52">
        <v>0.5</v>
      </c>
    </row>
    <row r="361" spans="1:10">
      <c r="A361" s="15" t="s">
        <v>2457</v>
      </c>
      <c r="B361" s="52">
        <v>0.75</v>
      </c>
      <c r="C361" s="52">
        <v>0.8</v>
      </c>
    </row>
    <row r="362" spans="1:10">
      <c r="A362" s="15" t="s">
        <v>516</v>
      </c>
      <c r="B362" s="52">
        <v>1</v>
      </c>
      <c r="C362" s="52">
        <v>1</v>
      </c>
    </row>
    <row r="363" spans="1:10">
      <c r="A363" s="15" t="s">
        <v>1270</v>
      </c>
      <c r="B363" s="52">
        <v>1.35</v>
      </c>
      <c r="C363" s="52">
        <v>1.25</v>
      </c>
    </row>
    <row r="364" spans="1:10">
      <c r="A364" s="15" t="s">
        <v>2458</v>
      </c>
      <c r="B364" s="52">
        <v>1.75</v>
      </c>
      <c r="C364" s="52">
        <v>1.55</v>
      </c>
    </row>
    <row r="365" spans="1:10">
      <c r="A365" s="15" t="s">
        <v>1524</v>
      </c>
      <c r="B365" s="52">
        <v>1</v>
      </c>
      <c r="C365" s="52">
        <v>1</v>
      </c>
    </row>
    <row r="366" spans="1:10">
      <c r="A366" s="15"/>
      <c r="B366" s="52"/>
      <c r="C366" s="52"/>
    </row>
    <row r="367" spans="1:10">
      <c r="A367" s="15"/>
      <c r="B367" s="52"/>
      <c r="C367" s="52"/>
    </row>
    <row r="368" spans="1:10">
      <c r="A368" s="15"/>
      <c r="B368" s="52"/>
      <c r="C368" s="52"/>
    </row>
    <row r="369" spans="1:10">
      <c r="A369" s="15"/>
      <c r="B369" s="52"/>
      <c r="C369" s="52"/>
    </row>
    <row r="372" spans="1:10" ht="38" customHeight="1">
      <c r="A372" s="6" t="s">
        <v>2459</v>
      </c>
      <c r="B372" s="6"/>
      <c r="C372" s="6"/>
      <c r="D372" s="6"/>
      <c r="E372" s="6"/>
      <c r="F372" s="6"/>
      <c r="G372" s="6"/>
      <c r="H372" s="6"/>
      <c r="I372" s="6"/>
      <c r="J372" s="6"/>
    </row>
  </sheetData>
  <sheetProtection password="EC7C" sheet="1" objects="1" scenarios="1" formatCells="0" formatColumns="0" formatRows="0" insertRows="0" insertHyperlinks="0" deleteRows="0" autoFilter="0"/>
  <mergeCells count="21">
    <mergeCell ref="A1:G1"/>
    <mergeCell ref="H1:J1"/>
    <mergeCell ref="A2:J2"/>
    <mergeCell ref="A3:B3"/>
    <mergeCell ref="C3:D3"/>
    <mergeCell ref="E3:F3"/>
    <mergeCell ref="G3:H3"/>
    <mergeCell ref="I3:J3"/>
    <mergeCell ref="A5:J5"/>
    <mergeCell ref="A7:J7"/>
    <mergeCell ref="A287:J287"/>
    <mergeCell ref="A288:J288"/>
    <mergeCell ref="A316:J316"/>
    <mergeCell ref="A317:J317"/>
    <mergeCell ref="A331:J331"/>
    <mergeCell ref="A332:J332"/>
    <mergeCell ref="A345:J345"/>
    <mergeCell ref="A346:J346"/>
    <mergeCell ref="A356:J356"/>
    <mergeCell ref="A357:J357"/>
    <mergeCell ref="A372:J372"/>
  </mergeCell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s>
  <pageMargins left="0.4" right="0.4" top="0.6" bottom="0.5" header="0.3" footer="0.3"/>
  <pageSetup paperSize="9" fitToHeight="0" orientation="landscape"/>
  <headerFooter>
    <oddHeader>&amp;L&amp;"Calibri,Bold"&amp;12&amp;C&amp;"Calibri,Bold"&amp;11Lists&amp;R&amp;"Calibri,Italic"&amp;9Handmade Product Pricing &amp; Profit Calculator</oddHeader>
    <oddFooter>&amp;L&amp;"Calibri,Italic"&amp;8Novality Store - v1.0.0&amp;C&amp;"Calibri,Italic"&amp;8Page &amp;P of &amp;N&amp;R&amp;"Calibri,Italic"&amp;8&amp;D</oddFooter>
  </headerFooter>
</worksheet>
</file>

<file path=xl/worksheets/sheet40.xml><?xml version="1.0" encoding="utf-8"?>
<worksheet xmlns="http://schemas.openxmlformats.org/spreadsheetml/2006/main" xmlns:r="http://schemas.openxmlformats.org/officeDocument/2006/relationships">
  <sheetPr>
    <tabColor rgb="FF3B2A26"/>
    <pageSetUpPr fitToPage="1"/>
  </sheetPr>
  <dimension ref="A1:J89"/>
  <sheetViews>
    <sheetView showGridLines="0" workbookViewId="0">
      <pane ySplit="4" topLeftCell="A5" activePane="bottomLeft" state="frozen"/>
      <selection pane="bottomLeft"/>
    </sheetView>
  </sheetViews>
  <sheetFormatPr defaultRowHeight="15"/>
  <cols>
    <col min="1" max="1" width="4.7109375" customWidth="1"/>
    <col min="2" max="2" width="30.7109375" customWidth="1"/>
    <col min="3" max="10" width="14.7109375" customWidth="1"/>
    <col min="2" max="2" width="30.7109375" customWidth="1"/>
    <col min="3" max="3" width="68.7109375" customWidth="1"/>
    <col min="2" max="2" width="26.7109375" customWidth="1"/>
    <col min="3" max="3" width="36.7109375" customWidth="1"/>
    <col min="4" max="4" width="36.7109375" customWidth="1"/>
    <col min="2" max="2" width="26.7109375" customWidth="1"/>
    <col min="3" max="3" width="72.7109375" customWidth="1"/>
    <col min="2" max="2" width="30.7109375" customWidth="1"/>
    <col min="3" max="3" width="68.7109375" customWidth="1"/>
    <col min="2" max="2" width="46.7109375" customWidth="1"/>
    <col min="3" max="3" width="52.7109375" customWidth="1"/>
  </cols>
  <sheetData>
    <row r="1" spans="1:10" ht="34" customHeight="1">
      <c r="A1" s="2" t="s">
        <v>2460</v>
      </c>
      <c r="B1" s="2"/>
      <c r="C1" s="2"/>
      <c r="D1" s="2"/>
      <c r="E1" s="2"/>
      <c r="F1" s="2"/>
      <c r="G1" s="2"/>
      <c r="H1" s="3" t="s">
        <v>1</v>
      </c>
      <c r="I1" s="3"/>
      <c r="J1" s="3"/>
    </row>
    <row r="2" spans="1:10" ht="18" customHeight="1">
      <c r="A2" s="4" t="s">
        <v>2461</v>
      </c>
      <c r="B2" s="4"/>
      <c r="C2" s="4"/>
      <c r="D2" s="4"/>
      <c r="E2" s="4"/>
      <c r="F2" s="4"/>
      <c r="G2" s="4"/>
      <c r="H2" s="4"/>
      <c r="I2" s="4"/>
      <c r="J2" s="4"/>
    </row>
    <row r="3" spans="1:10" ht="16" customHeight="1">
      <c r="A3" s="5" t="s">
        <v>3</v>
      </c>
      <c r="B3" s="5"/>
      <c r="C3" s="5" t="s">
        <v>4</v>
      </c>
      <c r="D3" s="5"/>
      <c r="E3" s="5" t="s">
        <v>5</v>
      </c>
      <c r="F3" s="5"/>
      <c r="G3" s="5" t="s">
        <v>6</v>
      </c>
      <c r="H3" s="5"/>
      <c r="I3" s="5" t="s">
        <v>7</v>
      </c>
      <c r="J3" s="5"/>
    </row>
    <row r="5" spans="1:10" ht="20" customHeight="1">
      <c r="A5" s="7" t="s">
        <v>2462</v>
      </c>
      <c r="B5" s="7"/>
      <c r="C5" s="7"/>
      <c r="D5" s="7"/>
      <c r="E5" s="7"/>
      <c r="F5" s="7"/>
      <c r="G5" s="7"/>
      <c r="H5" s="7"/>
      <c r="I5" s="7"/>
      <c r="J5" s="7"/>
    </row>
    <row r="6" spans="1:10" ht="26" customHeight="1">
      <c r="B6" s="8" t="s">
        <v>2463</v>
      </c>
      <c r="C6" s="9" t="s">
        <v>2464</v>
      </c>
    </row>
    <row r="7" spans="1:10" ht="22" customHeight="1">
      <c r="B7" s="10" t="s">
        <v>2465</v>
      </c>
      <c r="C7" s="11" t="s">
        <v>2466</v>
      </c>
      <c r="D7" s="11"/>
      <c r="E7" s="11"/>
      <c r="F7" s="11"/>
      <c r="G7" s="11"/>
      <c r="H7" s="11"/>
      <c r="I7" s="11"/>
      <c r="J7" s="11"/>
    </row>
    <row r="8" spans="1:10" ht="22" customHeight="1">
      <c r="B8" s="10" t="s">
        <v>2467</v>
      </c>
      <c r="C8" s="11" t="s">
        <v>2468</v>
      </c>
      <c r="D8" s="11"/>
      <c r="E8" s="11"/>
      <c r="F8" s="11"/>
      <c r="G8" s="11"/>
      <c r="H8" s="11"/>
      <c r="I8" s="11"/>
      <c r="J8" s="11"/>
    </row>
    <row r="9" spans="1:10" ht="22" customHeight="1">
      <c r="B9" s="10" t="s">
        <v>2469</v>
      </c>
      <c r="C9" s="11" t="s">
        <v>2470</v>
      </c>
      <c r="D9" s="11"/>
      <c r="E9" s="11"/>
      <c r="F9" s="11"/>
      <c r="G9" s="11"/>
      <c r="H9" s="11"/>
      <c r="I9" s="11"/>
      <c r="J9" s="11"/>
    </row>
    <row r="10" spans="1:10" ht="22" customHeight="1">
      <c r="B10" s="10" t="s">
        <v>2471</v>
      </c>
      <c r="C10" s="11" t="s">
        <v>2472</v>
      </c>
      <c r="D10" s="11"/>
      <c r="E10" s="11"/>
      <c r="F10" s="11"/>
      <c r="G10" s="11"/>
      <c r="H10" s="11"/>
      <c r="I10" s="11"/>
      <c r="J10" s="11"/>
    </row>
    <row r="11" spans="1:10" ht="22" customHeight="1">
      <c r="B11" s="10" t="s">
        <v>2473</v>
      </c>
      <c r="C11" s="11" t="s">
        <v>2474</v>
      </c>
      <c r="D11" s="11"/>
      <c r="E11" s="11"/>
      <c r="F11" s="11"/>
      <c r="G11" s="11"/>
      <c r="H11" s="11"/>
      <c r="I11" s="11"/>
      <c r="J11" s="11"/>
    </row>
    <row r="12" spans="1:10" ht="22" customHeight="1">
      <c r="B12" s="10" t="s">
        <v>2475</v>
      </c>
      <c r="C12" s="11" t="s">
        <v>2476</v>
      </c>
      <c r="D12" s="11"/>
      <c r="E12" s="11"/>
      <c r="F12" s="11"/>
      <c r="G12" s="11"/>
      <c r="H12" s="11"/>
      <c r="I12" s="11"/>
      <c r="J12" s="11"/>
    </row>
    <row r="13" spans="1:10" ht="22" customHeight="1">
      <c r="B13" s="10" t="s">
        <v>2477</v>
      </c>
      <c r="C13" s="11" t="s">
        <v>2478</v>
      </c>
      <c r="D13" s="11"/>
      <c r="E13" s="11"/>
      <c r="F13" s="11"/>
      <c r="G13" s="11"/>
      <c r="H13" s="11"/>
      <c r="I13" s="11"/>
      <c r="J13" s="11"/>
    </row>
    <row r="14" spans="1:10" ht="22" customHeight="1">
      <c r="B14" s="10" t="s">
        <v>2479</v>
      </c>
      <c r="C14" s="11" t="s">
        <v>2480</v>
      </c>
      <c r="D14" s="11"/>
      <c r="E14" s="11"/>
      <c r="F14" s="11"/>
      <c r="G14" s="11"/>
      <c r="H14" s="11"/>
      <c r="I14" s="11"/>
      <c r="J14" s="11"/>
    </row>
    <row r="16" spans="1:10" ht="20" customHeight="1">
      <c r="A16" s="7" t="s">
        <v>2481</v>
      </c>
      <c r="B16" s="7"/>
      <c r="C16" s="7"/>
      <c r="D16" s="7"/>
      <c r="E16" s="7"/>
      <c r="F16" s="7"/>
      <c r="G16" s="7"/>
      <c r="H16" s="7"/>
      <c r="I16" s="7"/>
      <c r="J16" s="7"/>
    </row>
    <row r="17" spans="2:10" ht="26" customHeight="1">
      <c r="B17" s="8" t="s">
        <v>2482</v>
      </c>
      <c r="C17" s="9" t="s">
        <v>2483</v>
      </c>
      <c r="D17" s="9" t="s">
        <v>2484</v>
      </c>
    </row>
    <row r="18" spans="2:10" ht="26" customHeight="1">
      <c r="B18" s="10" t="s">
        <v>2485</v>
      </c>
      <c r="C18" s="11" t="s">
        <v>2486</v>
      </c>
      <c r="D18" s="11"/>
      <c r="E18" s="11"/>
      <c r="F18" s="11"/>
      <c r="G18" s="12" t="s">
        <v>2487</v>
      </c>
      <c r="H18" s="12"/>
      <c r="I18" s="12"/>
      <c r="J18" s="12"/>
    </row>
    <row r="19" spans="2:10" ht="26" customHeight="1">
      <c r="B19" s="10" t="s">
        <v>2488</v>
      </c>
      <c r="C19" s="11" t="s">
        <v>2489</v>
      </c>
      <c r="D19" s="11"/>
      <c r="E19" s="11"/>
      <c r="F19" s="11"/>
      <c r="G19" s="12" t="s">
        <v>2490</v>
      </c>
      <c r="H19" s="12"/>
      <c r="I19" s="12"/>
      <c r="J19" s="12"/>
    </row>
    <row r="20" spans="2:10" ht="26" customHeight="1">
      <c r="B20" s="10" t="s">
        <v>2491</v>
      </c>
      <c r="C20" s="11" t="s">
        <v>2492</v>
      </c>
      <c r="D20" s="11"/>
      <c r="E20" s="11"/>
      <c r="F20" s="11"/>
      <c r="G20" s="12" t="s">
        <v>2493</v>
      </c>
      <c r="H20" s="12"/>
      <c r="I20" s="12"/>
      <c r="J20" s="12"/>
    </row>
    <row r="21" spans="2:10" ht="26" customHeight="1">
      <c r="B21" s="10" t="s">
        <v>2494</v>
      </c>
      <c r="C21" s="11" t="s">
        <v>2495</v>
      </c>
      <c r="D21" s="11"/>
      <c r="E21" s="11"/>
      <c r="F21" s="11"/>
      <c r="G21" s="12" t="s">
        <v>2496</v>
      </c>
      <c r="H21" s="12"/>
      <c r="I21" s="12"/>
      <c r="J21" s="12"/>
    </row>
    <row r="22" spans="2:10" ht="26" customHeight="1">
      <c r="B22" s="10" t="s">
        <v>2497</v>
      </c>
      <c r="C22" s="11" t="s">
        <v>2498</v>
      </c>
      <c r="D22" s="11"/>
      <c r="E22" s="11"/>
      <c r="F22" s="11"/>
      <c r="G22" s="12" t="s">
        <v>2499</v>
      </c>
      <c r="H22" s="12"/>
      <c r="I22" s="12"/>
      <c r="J22" s="12"/>
    </row>
    <row r="23" spans="2:10" ht="26" customHeight="1">
      <c r="B23" s="10" t="s">
        <v>2500</v>
      </c>
      <c r="C23" s="11" t="s">
        <v>2501</v>
      </c>
      <c r="D23" s="11"/>
      <c r="E23" s="11"/>
      <c r="F23" s="11"/>
      <c r="G23" s="12" t="s">
        <v>2502</v>
      </c>
      <c r="H23" s="12"/>
      <c r="I23" s="12"/>
      <c r="J23" s="12"/>
    </row>
    <row r="24" spans="2:10" ht="26" customHeight="1">
      <c r="B24" s="10" t="s">
        <v>2503</v>
      </c>
      <c r="C24" s="11" t="s">
        <v>2504</v>
      </c>
      <c r="D24" s="11"/>
      <c r="E24" s="11"/>
      <c r="F24" s="11"/>
      <c r="G24" s="12" t="s">
        <v>2505</v>
      </c>
      <c r="H24" s="12"/>
      <c r="I24" s="12"/>
      <c r="J24" s="12"/>
    </row>
    <row r="25" spans="2:10" ht="26" customHeight="1">
      <c r="B25" s="10" t="s">
        <v>2506</v>
      </c>
      <c r="C25" s="11" t="s">
        <v>2507</v>
      </c>
      <c r="D25" s="11"/>
      <c r="E25" s="11"/>
      <c r="F25" s="11"/>
      <c r="G25" s="12" t="s">
        <v>2508</v>
      </c>
      <c r="H25" s="12"/>
      <c r="I25" s="12"/>
      <c r="J25" s="12"/>
    </row>
    <row r="26" spans="2:10" ht="26" customHeight="1">
      <c r="B26" s="10" t="s">
        <v>2509</v>
      </c>
      <c r="C26" s="11" t="s">
        <v>2510</v>
      </c>
      <c r="D26" s="11"/>
      <c r="E26" s="11"/>
      <c r="F26" s="11"/>
      <c r="G26" s="12" t="s">
        <v>2511</v>
      </c>
      <c r="H26" s="12"/>
      <c r="I26" s="12"/>
      <c r="J26" s="12"/>
    </row>
    <row r="27" spans="2:10" ht="26" customHeight="1">
      <c r="B27" s="10" t="s">
        <v>2512</v>
      </c>
      <c r="C27" s="11" t="s">
        <v>2513</v>
      </c>
      <c r="D27" s="11"/>
      <c r="E27" s="11"/>
      <c r="F27" s="11"/>
      <c r="G27" s="12" t="s">
        <v>2514</v>
      </c>
      <c r="H27" s="12"/>
      <c r="I27" s="12"/>
      <c r="J27" s="12"/>
    </row>
    <row r="28" spans="2:10" ht="26" customHeight="1">
      <c r="B28" s="10" t="s">
        <v>2515</v>
      </c>
      <c r="C28" s="11" t="s">
        <v>2516</v>
      </c>
      <c r="D28" s="11"/>
      <c r="E28" s="11"/>
      <c r="F28" s="11"/>
      <c r="G28" s="12" t="s">
        <v>2517</v>
      </c>
      <c r="H28" s="12"/>
      <c r="I28" s="12"/>
      <c r="J28" s="12"/>
    </row>
    <row r="29" spans="2:10" ht="26" customHeight="1">
      <c r="B29" s="10" t="s">
        <v>2518</v>
      </c>
      <c r="C29" s="11" t="s">
        <v>2519</v>
      </c>
      <c r="D29" s="11"/>
      <c r="E29" s="11"/>
      <c r="F29" s="11"/>
      <c r="G29" s="12" t="s">
        <v>2520</v>
      </c>
      <c r="H29" s="12"/>
      <c r="I29" s="12"/>
      <c r="J29" s="12"/>
    </row>
    <row r="30" spans="2:10" ht="26" customHeight="1">
      <c r="B30" s="10" t="s">
        <v>2521</v>
      </c>
      <c r="C30" s="11" t="s">
        <v>2522</v>
      </c>
      <c r="D30" s="11"/>
      <c r="E30" s="11"/>
      <c r="F30" s="11"/>
      <c r="G30" s="12" t="s">
        <v>2523</v>
      </c>
      <c r="H30" s="12"/>
      <c r="I30" s="12"/>
      <c r="J30" s="12"/>
    </row>
    <row r="31" spans="2:10" ht="26" customHeight="1">
      <c r="B31" s="10" t="s">
        <v>2524</v>
      </c>
      <c r="C31" s="11" t="s">
        <v>2525</v>
      </c>
      <c r="D31" s="11"/>
      <c r="E31" s="11"/>
      <c r="F31" s="11"/>
      <c r="G31" s="12" t="s">
        <v>2526</v>
      </c>
      <c r="H31" s="12"/>
      <c r="I31" s="12"/>
      <c r="J31" s="12"/>
    </row>
    <row r="33" spans="1:10" ht="20" customHeight="1">
      <c r="A33" s="7" t="s">
        <v>2527</v>
      </c>
      <c r="B33" s="7"/>
      <c r="C33" s="7"/>
      <c r="D33" s="7"/>
      <c r="E33" s="7"/>
      <c r="F33" s="7"/>
      <c r="G33" s="7"/>
      <c r="H33" s="7"/>
      <c r="I33" s="7"/>
      <c r="J33" s="7"/>
    </row>
    <row r="34" spans="1:10" ht="26" customHeight="1">
      <c r="B34" s="8" t="s">
        <v>2528</v>
      </c>
      <c r="C34" s="9" t="s">
        <v>2529</v>
      </c>
    </row>
    <row r="35" spans="1:10" ht="24" customHeight="1">
      <c r="B35" s="10" t="s">
        <v>33</v>
      </c>
      <c r="C35" s="11" t="s">
        <v>2530</v>
      </c>
      <c r="D35" s="11"/>
      <c r="E35" s="11"/>
      <c r="F35" s="11"/>
      <c r="G35" s="11"/>
      <c r="H35" s="11"/>
      <c r="I35" s="11"/>
      <c r="J35" s="11"/>
    </row>
    <row r="36" spans="1:10" ht="24" customHeight="1">
      <c r="B36" s="10" t="s">
        <v>42</v>
      </c>
      <c r="C36" s="11" t="s">
        <v>2531</v>
      </c>
      <c r="D36" s="11"/>
      <c r="E36" s="11"/>
      <c r="F36" s="11"/>
      <c r="G36" s="11"/>
      <c r="H36" s="11"/>
      <c r="I36" s="11"/>
      <c r="J36" s="11"/>
    </row>
    <row r="37" spans="1:10" ht="24" customHeight="1">
      <c r="B37" s="10" t="s">
        <v>45</v>
      </c>
      <c r="C37" s="11" t="s">
        <v>2532</v>
      </c>
      <c r="D37" s="11"/>
      <c r="E37" s="11"/>
      <c r="F37" s="11"/>
      <c r="G37" s="11"/>
      <c r="H37" s="11"/>
      <c r="I37" s="11"/>
      <c r="J37" s="11"/>
    </row>
    <row r="38" spans="1:10" ht="24" customHeight="1">
      <c r="B38" s="10" t="s">
        <v>1206</v>
      </c>
      <c r="C38" s="11" t="s">
        <v>2533</v>
      </c>
      <c r="D38" s="11"/>
      <c r="E38" s="11"/>
      <c r="F38" s="11"/>
      <c r="G38" s="11"/>
      <c r="H38" s="11"/>
      <c r="I38" s="11"/>
      <c r="J38" s="11"/>
    </row>
    <row r="39" spans="1:10" ht="24" customHeight="1">
      <c r="B39" s="10" t="s">
        <v>48</v>
      </c>
      <c r="C39" s="11" t="s">
        <v>2534</v>
      </c>
      <c r="D39" s="11"/>
      <c r="E39" s="11"/>
      <c r="F39" s="11"/>
      <c r="G39" s="11"/>
      <c r="H39" s="11"/>
      <c r="I39" s="11"/>
      <c r="J39" s="11"/>
    </row>
    <row r="40" spans="1:10" ht="24" customHeight="1">
      <c r="B40" s="10" t="s">
        <v>72</v>
      </c>
      <c r="C40" s="11" t="s">
        <v>2535</v>
      </c>
      <c r="D40" s="11"/>
      <c r="E40" s="11"/>
      <c r="F40" s="11"/>
      <c r="G40" s="11"/>
      <c r="H40" s="11"/>
      <c r="I40" s="11"/>
      <c r="J40" s="11"/>
    </row>
    <row r="41" spans="1:10" ht="24" customHeight="1">
      <c r="B41" s="10" t="s">
        <v>2420</v>
      </c>
      <c r="C41" s="11" t="s">
        <v>2536</v>
      </c>
      <c r="D41" s="11"/>
      <c r="E41" s="11"/>
      <c r="F41" s="11"/>
      <c r="G41" s="11"/>
      <c r="H41" s="11"/>
      <c r="I41" s="11"/>
      <c r="J41" s="11"/>
    </row>
    <row r="42" spans="1:10" ht="24" customHeight="1">
      <c r="B42" s="10" t="s">
        <v>578</v>
      </c>
      <c r="C42" s="11" t="s">
        <v>2537</v>
      </c>
      <c r="D42" s="11"/>
      <c r="E42" s="11"/>
      <c r="F42" s="11"/>
      <c r="G42" s="11"/>
      <c r="H42" s="11"/>
      <c r="I42" s="11"/>
      <c r="J42" s="11"/>
    </row>
    <row r="43" spans="1:10" ht="24" customHeight="1">
      <c r="B43" s="10" t="s">
        <v>982</v>
      </c>
      <c r="C43" s="11" t="s">
        <v>2538</v>
      </c>
      <c r="D43" s="11"/>
      <c r="E43" s="11"/>
      <c r="F43" s="11"/>
      <c r="G43" s="11"/>
      <c r="H43" s="11"/>
      <c r="I43" s="11"/>
      <c r="J43" s="11"/>
    </row>
    <row r="44" spans="1:10" ht="24" customHeight="1">
      <c r="B44" s="10" t="s">
        <v>481</v>
      </c>
      <c r="C44" s="11" t="s">
        <v>2539</v>
      </c>
      <c r="D44" s="11"/>
      <c r="E44" s="11"/>
      <c r="F44" s="11"/>
      <c r="G44" s="11"/>
      <c r="H44" s="11"/>
      <c r="I44" s="11"/>
      <c r="J44" s="11"/>
    </row>
    <row r="45" spans="1:10" ht="24" customHeight="1">
      <c r="B45" s="10" t="s">
        <v>2540</v>
      </c>
      <c r="C45" s="11" t="s">
        <v>2541</v>
      </c>
      <c r="D45" s="11"/>
      <c r="E45" s="11"/>
      <c r="F45" s="11"/>
      <c r="G45" s="11"/>
      <c r="H45" s="11"/>
      <c r="I45" s="11"/>
      <c r="J45" s="11"/>
    </row>
    <row r="46" spans="1:10" ht="24" customHeight="1">
      <c r="B46" s="10" t="s">
        <v>2542</v>
      </c>
      <c r="C46" s="11" t="s">
        <v>2543</v>
      </c>
      <c r="D46" s="11"/>
      <c r="E46" s="11"/>
      <c r="F46" s="11"/>
      <c r="G46" s="11"/>
      <c r="H46" s="11"/>
      <c r="I46" s="11"/>
      <c r="J46" s="11"/>
    </row>
    <row r="47" spans="1:10" ht="24" customHeight="1">
      <c r="B47" s="10" t="s">
        <v>2544</v>
      </c>
      <c r="C47" s="11" t="s">
        <v>2545</v>
      </c>
      <c r="D47" s="11"/>
      <c r="E47" s="11"/>
      <c r="F47" s="11"/>
      <c r="G47" s="11"/>
      <c r="H47" s="11"/>
      <c r="I47" s="11"/>
      <c r="J47" s="11"/>
    </row>
    <row r="48" spans="1:10" ht="24" customHeight="1">
      <c r="B48" s="10" t="s">
        <v>469</v>
      </c>
      <c r="C48" s="11" t="s">
        <v>2546</v>
      </c>
      <c r="D48" s="11"/>
      <c r="E48" s="11"/>
      <c r="F48" s="11"/>
      <c r="G48" s="11"/>
      <c r="H48" s="11"/>
      <c r="I48" s="11"/>
      <c r="J48" s="11"/>
    </row>
    <row r="50" spans="1:10" ht="20" customHeight="1">
      <c r="A50" s="7" t="s">
        <v>2547</v>
      </c>
      <c r="B50" s="7"/>
      <c r="C50" s="7"/>
      <c r="D50" s="7"/>
      <c r="E50" s="7"/>
      <c r="F50" s="7"/>
      <c r="G50" s="7"/>
      <c r="H50" s="7"/>
      <c r="I50" s="7"/>
      <c r="J50" s="7"/>
    </row>
    <row r="51" spans="1:10" ht="26" customHeight="1">
      <c r="B51" s="8" t="s">
        <v>158</v>
      </c>
      <c r="C51" s="9" t="s">
        <v>159</v>
      </c>
    </row>
    <row r="52" spans="1:10" ht="32" customHeight="1">
      <c r="B52" s="10" t="s">
        <v>2548</v>
      </c>
      <c r="C52" s="11" t="s">
        <v>2549</v>
      </c>
      <c r="D52" s="11"/>
      <c r="E52" s="11"/>
      <c r="F52" s="11"/>
      <c r="G52" s="11"/>
      <c r="H52" s="11"/>
      <c r="I52" s="11"/>
      <c r="J52" s="11"/>
    </row>
    <row r="53" spans="1:10" ht="32" customHeight="1">
      <c r="B53" s="10" t="s">
        <v>2550</v>
      </c>
      <c r="C53" s="11" t="s">
        <v>2551</v>
      </c>
      <c r="D53" s="11"/>
      <c r="E53" s="11"/>
      <c r="F53" s="11"/>
      <c r="G53" s="11"/>
      <c r="H53" s="11"/>
      <c r="I53" s="11"/>
      <c r="J53" s="11"/>
    </row>
    <row r="54" spans="1:10" ht="32" customHeight="1">
      <c r="B54" s="10" t="s">
        <v>2552</v>
      </c>
      <c r="C54" s="11" t="s">
        <v>2553</v>
      </c>
      <c r="D54" s="11"/>
      <c r="E54" s="11"/>
      <c r="F54" s="11"/>
      <c r="G54" s="11"/>
      <c r="H54" s="11"/>
      <c r="I54" s="11"/>
      <c r="J54" s="11"/>
    </row>
    <row r="55" spans="1:10" ht="32" customHeight="1">
      <c r="B55" s="10" t="s">
        <v>2554</v>
      </c>
      <c r="C55" s="11" t="s">
        <v>2555</v>
      </c>
      <c r="D55" s="11"/>
      <c r="E55" s="11"/>
      <c r="F55" s="11"/>
      <c r="G55" s="11"/>
      <c r="H55" s="11"/>
      <c r="I55" s="11"/>
      <c r="J55" s="11"/>
    </row>
    <row r="56" spans="1:10" ht="32" customHeight="1">
      <c r="B56" s="10" t="s">
        <v>2556</v>
      </c>
      <c r="C56" s="11" t="s">
        <v>2557</v>
      </c>
      <c r="D56" s="11"/>
      <c r="E56" s="11"/>
      <c r="F56" s="11"/>
      <c r="G56" s="11"/>
      <c r="H56" s="11"/>
      <c r="I56" s="11"/>
      <c r="J56" s="11"/>
    </row>
    <row r="57" spans="1:10" ht="32" customHeight="1">
      <c r="B57" s="10" t="s">
        <v>2558</v>
      </c>
      <c r="C57" s="11" t="s">
        <v>2559</v>
      </c>
      <c r="D57" s="11"/>
      <c r="E57" s="11"/>
      <c r="F57" s="11"/>
      <c r="G57" s="11"/>
      <c r="H57" s="11"/>
      <c r="I57" s="11"/>
      <c r="J57" s="11"/>
    </row>
    <row r="58" spans="1:10" ht="32" customHeight="1">
      <c r="B58" s="10" t="s">
        <v>2560</v>
      </c>
      <c r="C58" s="11" t="s">
        <v>2561</v>
      </c>
      <c r="D58" s="11"/>
      <c r="E58" s="11"/>
      <c r="F58" s="11"/>
      <c r="G58" s="11"/>
      <c r="H58" s="11"/>
      <c r="I58" s="11"/>
      <c r="J58" s="11"/>
    </row>
    <row r="59" spans="1:10" ht="32" customHeight="1">
      <c r="B59" s="10" t="s">
        <v>2562</v>
      </c>
      <c r="C59" s="11" t="s">
        <v>2563</v>
      </c>
      <c r="D59" s="11"/>
      <c r="E59" s="11"/>
      <c r="F59" s="11"/>
      <c r="G59" s="11"/>
      <c r="H59" s="11"/>
      <c r="I59" s="11"/>
      <c r="J59" s="11"/>
    </row>
    <row r="60" spans="1:10" ht="32" customHeight="1">
      <c r="B60" s="10" t="s">
        <v>2564</v>
      </c>
      <c r="C60" s="11" t="s">
        <v>2565</v>
      </c>
      <c r="D60" s="11"/>
      <c r="E60" s="11"/>
      <c r="F60" s="11"/>
      <c r="G60" s="11"/>
      <c r="H60" s="11"/>
      <c r="I60" s="11"/>
      <c r="J60" s="11"/>
    </row>
    <row r="62" spans="1:10" ht="20" customHeight="1">
      <c r="A62" s="7" t="s">
        <v>2566</v>
      </c>
      <c r="B62" s="7"/>
      <c r="C62" s="7"/>
      <c r="D62" s="7"/>
      <c r="E62" s="7"/>
      <c r="F62" s="7"/>
      <c r="G62" s="7"/>
      <c r="H62" s="7"/>
      <c r="I62" s="7"/>
      <c r="J62" s="7"/>
    </row>
    <row r="63" spans="1:10" ht="26" customHeight="1">
      <c r="B63" s="8" t="s">
        <v>2567</v>
      </c>
      <c r="C63" s="9" t="s">
        <v>2568</v>
      </c>
    </row>
    <row r="64" spans="1:10" ht="20" customHeight="1">
      <c r="B64" s="11" t="s">
        <v>2569</v>
      </c>
      <c r="C64" s="11"/>
      <c r="D64" s="11"/>
      <c r="E64" s="11"/>
      <c r="F64" s="11"/>
      <c r="G64" s="10" t="s">
        <v>29</v>
      </c>
      <c r="H64" s="10"/>
      <c r="I64" s="10"/>
      <c r="J64" s="10"/>
    </row>
    <row r="65" spans="2:10" ht="20" customHeight="1">
      <c r="B65" s="11" t="s">
        <v>2570</v>
      </c>
      <c r="C65" s="11"/>
      <c r="D65" s="11"/>
      <c r="E65" s="11"/>
      <c r="F65" s="11"/>
      <c r="G65" s="10" t="s">
        <v>26</v>
      </c>
      <c r="H65" s="10"/>
      <c r="I65" s="10"/>
      <c r="J65" s="10"/>
    </row>
    <row r="66" spans="2:10" ht="20" customHeight="1">
      <c r="B66" s="11" t="s">
        <v>2571</v>
      </c>
      <c r="C66" s="11"/>
      <c r="D66" s="11"/>
      <c r="E66" s="11"/>
      <c r="F66" s="11"/>
      <c r="G66" s="10" t="s">
        <v>17</v>
      </c>
      <c r="H66" s="10"/>
      <c r="I66" s="10"/>
      <c r="J66" s="10"/>
    </row>
    <row r="67" spans="2:10" ht="20" customHeight="1">
      <c r="B67" s="11" t="s">
        <v>2572</v>
      </c>
      <c r="C67" s="11"/>
      <c r="D67" s="11"/>
      <c r="E67" s="11"/>
      <c r="F67" s="11"/>
      <c r="G67" s="10" t="s">
        <v>14</v>
      </c>
      <c r="H67" s="10"/>
      <c r="I67" s="10"/>
      <c r="J67" s="10"/>
    </row>
    <row r="68" spans="2:10" ht="20" customHeight="1">
      <c r="B68" s="11" t="s">
        <v>2573</v>
      </c>
      <c r="C68" s="11"/>
      <c r="D68" s="11"/>
      <c r="E68" s="11"/>
      <c r="F68" s="11"/>
      <c r="G68" s="10" t="s">
        <v>75</v>
      </c>
      <c r="H68" s="10"/>
      <c r="I68" s="10"/>
      <c r="J68" s="10"/>
    </row>
    <row r="69" spans="2:10" ht="20" customHeight="1">
      <c r="B69" s="11" t="s">
        <v>2574</v>
      </c>
      <c r="C69" s="11"/>
      <c r="D69" s="11"/>
      <c r="E69" s="11"/>
      <c r="F69" s="11"/>
      <c r="G69" s="10" t="s">
        <v>80</v>
      </c>
      <c r="H69" s="10"/>
      <c r="I69" s="10"/>
      <c r="J69" s="10"/>
    </row>
    <row r="70" spans="2:10" ht="20" customHeight="1">
      <c r="B70" s="11" t="s">
        <v>2575</v>
      </c>
      <c r="C70" s="11"/>
      <c r="D70" s="11"/>
      <c r="E70" s="11"/>
      <c r="F70" s="11"/>
      <c r="G70" s="10" t="s">
        <v>83</v>
      </c>
      <c r="H70" s="10"/>
      <c r="I70" s="10"/>
      <c r="J70" s="10"/>
    </row>
    <row r="71" spans="2:10" ht="20" customHeight="1">
      <c r="B71" s="11" t="s">
        <v>2576</v>
      </c>
      <c r="C71" s="11"/>
      <c r="D71" s="11"/>
      <c r="E71" s="11"/>
      <c r="F71" s="11"/>
      <c r="G71" s="10" t="s">
        <v>2577</v>
      </c>
      <c r="H71" s="10"/>
      <c r="I71" s="10"/>
      <c r="J71" s="10"/>
    </row>
    <row r="72" spans="2:10" ht="20" customHeight="1">
      <c r="B72" s="11" t="s">
        <v>2578</v>
      </c>
      <c r="C72" s="11"/>
      <c r="D72" s="11"/>
      <c r="E72" s="11"/>
      <c r="F72" s="11"/>
      <c r="G72" s="10" t="s">
        <v>531</v>
      </c>
      <c r="H72" s="10"/>
      <c r="I72" s="10"/>
      <c r="J72" s="10"/>
    </row>
    <row r="73" spans="2:10" ht="20" customHeight="1">
      <c r="B73" s="11" t="s">
        <v>2579</v>
      </c>
      <c r="C73" s="11"/>
      <c r="D73" s="11"/>
      <c r="E73" s="11"/>
      <c r="F73" s="11"/>
      <c r="G73" s="10" t="s">
        <v>2580</v>
      </c>
      <c r="H73" s="10"/>
      <c r="I73" s="10"/>
      <c r="J73" s="10"/>
    </row>
    <row r="74" spans="2:10" ht="20" customHeight="1">
      <c r="B74" s="11" t="s">
        <v>2581</v>
      </c>
      <c r="C74" s="11"/>
      <c r="D74" s="11"/>
      <c r="E74" s="11"/>
      <c r="F74" s="11"/>
      <c r="G74" s="10" t="s">
        <v>2582</v>
      </c>
      <c r="H74" s="10"/>
      <c r="I74" s="10"/>
      <c r="J74" s="10"/>
    </row>
    <row r="75" spans="2:10" ht="20" customHeight="1">
      <c r="B75" s="11" t="s">
        <v>2583</v>
      </c>
      <c r="C75" s="11"/>
      <c r="D75" s="11"/>
      <c r="E75" s="11"/>
      <c r="F75" s="11"/>
      <c r="G75" s="10" t="s">
        <v>547</v>
      </c>
      <c r="H75" s="10"/>
      <c r="I75" s="10"/>
      <c r="J75" s="10"/>
    </row>
    <row r="76" spans="2:10" ht="20" customHeight="1">
      <c r="B76" s="11" t="s">
        <v>2584</v>
      </c>
      <c r="C76" s="11"/>
      <c r="D76" s="11"/>
      <c r="E76" s="11"/>
      <c r="F76" s="11"/>
      <c r="G76" s="10" t="s">
        <v>2585</v>
      </c>
      <c r="H76" s="10"/>
      <c r="I76" s="10"/>
      <c r="J76" s="10"/>
    </row>
    <row r="77" spans="2:10" ht="20" customHeight="1">
      <c r="B77" s="11" t="s">
        <v>2586</v>
      </c>
      <c r="C77" s="11"/>
      <c r="D77" s="11"/>
      <c r="E77" s="11"/>
      <c r="F77" s="11"/>
      <c r="G77" s="10" t="s">
        <v>2587</v>
      </c>
      <c r="H77" s="10"/>
      <c r="I77" s="10"/>
      <c r="J77" s="10"/>
    </row>
    <row r="78" spans="2:10" ht="20" customHeight="1">
      <c r="B78" s="11" t="s">
        <v>2588</v>
      </c>
      <c r="C78" s="11"/>
      <c r="D78" s="11"/>
      <c r="E78" s="11"/>
      <c r="F78" s="11"/>
      <c r="G78" s="10" t="s">
        <v>94</v>
      </c>
      <c r="H78" s="10"/>
      <c r="I78" s="10"/>
      <c r="J78" s="10"/>
    </row>
    <row r="79" spans="2:10" ht="20" customHeight="1">
      <c r="B79" s="11" t="s">
        <v>2589</v>
      </c>
      <c r="C79" s="11"/>
      <c r="D79" s="11"/>
      <c r="E79" s="11"/>
      <c r="F79" s="11"/>
      <c r="G79" s="10" t="s">
        <v>2590</v>
      </c>
      <c r="H79" s="10"/>
      <c r="I79" s="10"/>
      <c r="J79" s="10"/>
    </row>
    <row r="80" spans="2:10" ht="20" customHeight="1">
      <c r="B80" s="11" t="s">
        <v>2591</v>
      </c>
      <c r="C80" s="11"/>
      <c r="D80" s="11"/>
      <c r="E80" s="11"/>
      <c r="F80" s="11"/>
      <c r="G80" s="10" t="s">
        <v>2592</v>
      </c>
      <c r="H80" s="10"/>
      <c r="I80" s="10"/>
      <c r="J80" s="10"/>
    </row>
    <row r="81" spans="1:10" ht="20" customHeight="1">
      <c r="B81" s="11" t="s">
        <v>2593</v>
      </c>
      <c r="C81" s="11"/>
      <c r="D81" s="11"/>
      <c r="E81" s="11"/>
      <c r="F81" s="11"/>
      <c r="G81" s="10" t="s">
        <v>2594</v>
      </c>
      <c r="H81" s="10"/>
      <c r="I81" s="10"/>
      <c r="J81" s="10"/>
    </row>
    <row r="82" spans="1:10" ht="20" customHeight="1">
      <c r="B82" s="11" t="s">
        <v>2595</v>
      </c>
      <c r="C82" s="11"/>
      <c r="D82" s="11"/>
      <c r="E82" s="11"/>
      <c r="F82" s="11"/>
      <c r="G82" s="10" t="s">
        <v>2596</v>
      </c>
      <c r="H82" s="10"/>
      <c r="I82" s="10"/>
      <c r="J82" s="10"/>
    </row>
    <row r="83" spans="1:10" ht="20" customHeight="1">
      <c r="B83" s="11" t="s">
        <v>2597</v>
      </c>
      <c r="C83" s="11"/>
      <c r="D83" s="11"/>
      <c r="E83" s="11"/>
      <c r="F83" s="11"/>
      <c r="G83" s="10" t="s">
        <v>2598</v>
      </c>
      <c r="H83" s="10"/>
      <c r="I83" s="10"/>
      <c r="J83" s="10"/>
    </row>
    <row r="84" spans="1:10" ht="20" customHeight="1">
      <c r="B84" s="11" t="s">
        <v>2599</v>
      </c>
      <c r="C84" s="11"/>
      <c r="D84" s="11"/>
      <c r="E84" s="11"/>
      <c r="F84" s="11"/>
      <c r="G84" s="10" t="s">
        <v>2600</v>
      </c>
      <c r="H84" s="10"/>
      <c r="I84" s="10"/>
      <c r="J84" s="10"/>
    </row>
    <row r="86" spans="1:10" ht="20" customHeight="1">
      <c r="A86" s="7" t="s">
        <v>2601</v>
      </c>
      <c r="B86" s="7"/>
      <c r="C86" s="7"/>
      <c r="D86" s="7"/>
      <c r="E86" s="7"/>
      <c r="F86" s="7"/>
      <c r="G86" s="7"/>
      <c r="H86" s="7"/>
      <c r="I86" s="7"/>
      <c r="J86" s="7"/>
    </row>
    <row r="87" spans="1:10" ht="56" customHeight="1">
      <c r="B87" s="6" t="s">
        <v>2602</v>
      </c>
      <c r="C87" s="6"/>
      <c r="D87" s="6"/>
      <c r="E87" s="6"/>
      <c r="F87" s="6"/>
      <c r="G87" s="6"/>
      <c r="H87" s="6"/>
      <c r="I87" s="6"/>
      <c r="J87" s="6"/>
    </row>
    <row r="89" spans="1:10" ht="30" customHeight="1">
      <c r="B89" s="6" t="s">
        <v>2603</v>
      </c>
      <c r="C89" s="6"/>
      <c r="D89" s="6"/>
      <c r="E89" s="6"/>
      <c r="F89" s="6"/>
      <c r="G89" s="6"/>
      <c r="H89" s="6"/>
      <c r="I89" s="6"/>
      <c r="J89" s="6"/>
    </row>
  </sheetData>
  <sheetProtection password="EC7C" sheet="1" objects="1" scenarios="1" formatCells="0" formatColumns="0" formatRows="0" insertRows="0" insertHyperlinks="0" deleteRows="0" autoFilter="0"/>
  <mergeCells count="117">
    <mergeCell ref="A1:G1"/>
    <mergeCell ref="H1:J1"/>
    <mergeCell ref="A2:J2"/>
    <mergeCell ref="A3:B3"/>
    <mergeCell ref="C3:D3"/>
    <mergeCell ref="E3:F3"/>
    <mergeCell ref="G3:H3"/>
    <mergeCell ref="I3:J3"/>
    <mergeCell ref="A5:J5"/>
    <mergeCell ref="C7:J7"/>
    <mergeCell ref="C8:J8"/>
    <mergeCell ref="C9:J9"/>
    <mergeCell ref="C10:J10"/>
    <mergeCell ref="C11:J11"/>
    <mergeCell ref="C12:J12"/>
    <mergeCell ref="C13:J13"/>
    <mergeCell ref="C14:J14"/>
    <mergeCell ref="A16:J16"/>
    <mergeCell ref="C18:F18"/>
    <mergeCell ref="G18:J18"/>
    <mergeCell ref="C19:F19"/>
    <mergeCell ref="G19:J19"/>
    <mergeCell ref="C20:F20"/>
    <mergeCell ref="G20:J20"/>
    <mergeCell ref="C21:F21"/>
    <mergeCell ref="G21:J21"/>
    <mergeCell ref="C22:F22"/>
    <mergeCell ref="G22:J22"/>
    <mergeCell ref="C23:F23"/>
    <mergeCell ref="G23:J23"/>
    <mergeCell ref="C24:F24"/>
    <mergeCell ref="G24:J24"/>
    <mergeCell ref="C25:F25"/>
    <mergeCell ref="G25:J25"/>
    <mergeCell ref="C26:F26"/>
    <mergeCell ref="G26:J26"/>
    <mergeCell ref="C27:F27"/>
    <mergeCell ref="G27:J27"/>
    <mergeCell ref="C28:F28"/>
    <mergeCell ref="G28:J28"/>
    <mergeCell ref="C29:F29"/>
    <mergeCell ref="G29:J29"/>
    <mergeCell ref="C30:F30"/>
    <mergeCell ref="G30:J30"/>
    <mergeCell ref="C31:F31"/>
    <mergeCell ref="G31:J31"/>
    <mergeCell ref="A33:J33"/>
    <mergeCell ref="C35:J35"/>
    <mergeCell ref="C36:J36"/>
    <mergeCell ref="C37:J37"/>
    <mergeCell ref="C38:J38"/>
    <mergeCell ref="C39:J39"/>
    <mergeCell ref="C40:J40"/>
    <mergeCell ref="C41:J41"/>
    <mergeCell ref="C42:J42"/>
    <mergeCell ref="C43:J43"/>
    <mergeCell ref="C44:J44"/>
    <mergeCell ref="C45:J45"/>
    <mergeCell ref="C46:J46"/>
    <mergeCell ref="C47:J47"/>
    <mergeCell ref="C48:J48"/>
    <mergeCell ref="A50:J50"/>
    <mergeCell ref="C52:J52"/>
    <mergeCell ref="C53:J53"/>
    <mergeCell ref="C54:J54"/>
    <mergeCell ref="C55:J55"/>
    <mergeCell ref="C56:J56"/>
    <mergeCell ref="C57:J57"/>
    <mergeCell ref="C58:J58"/>
    <mergeCell ref="C59:J59"/>
    <mergeCell ref="C60:J60"/>
    <mergeCell ref="A62:J62"/>
    <mergeCell ref="B64:F64"/>
    <mergeCell ref="G64:J64"/>
    <mergeCell ref="B65:F65"/>
    <mergeCell ref="G65:J65"/>
    <mergeCell ref="B66:F66"/>
    <mergeCell ref="G66:J66"/>
    <mergeCell ref="B67:F67"/>
    <mergeCell ref="G67:J67"/>
    <mergeCell ref="B68:F68"/>
    <mergeCell ref="G68:J68"/>
    <mergeCell ref="B69:F69"/>
    <mergeCell ref="G69:J69"/>
    <mergeCell ref="B70:F70"/>
    <mergeCell ref="G70:J70"/>
    <mergeCell ref="B71:F71"/>
    <mergeCell ref="G71:J71"/>
    <mergeCell ref="B72:F72"/>
    <mergeCell ref="G72:J72"/>
    <mergeCell ref="B73:F73"/>
    <mergeCell ref="G73:J73"/>
    <mergeCell ref="B74:F74"/>
    <mergeCell ref="G74:J74"/>
    <mergeCell ref="B75:F75"/>
    <mergeCell ref="G75:J75"/>
    <mergeCell ref="B76:F76"/>
    <mergeCell ref="G76:J76"/>
    <mergeCell ref="B77:F77"/>
    <mergeCell ref="G77:J77"/>
    <mergeCell ref="B78:F78"/>
    <mergeCell ref="G78:J78"/>
    <mergeCell ref="B79:F79"/>
    <mergeCell ref="G79:J79"/>
    <mergeCell ref="B80:F80"/>
    <mergeCell ref="G80:J80"/>
    <mergeCell ref="B81:F81"/>
    <mergeCell ref="G81:J81"/>
    <mergeCell ref="B82:F82"/>
    <mergeCell ref="G82:J82"/>
    <mergeCell ref="B83:F83"/>
    <mergeCell ref="G83:J83"/>
    <mergeCell ref="B84:F84"/>
    <mergeCell ref="G84:J84"/>
    <mergeCell ref="A86:J86"/>
    <mergeCell ref="B87:J87"/>
    <mergeCell ref="B89:J89"/>
  </mergeCells>
  <hyperlinks>
    <hyperlink ref="A3" location="'Start Here'!A1" display="&gt; Start Here"/>
    <hyperlink ref="C3" location="Dashboard!A1" display="&gt; Dashboard"/>
    <hyperlink ref="E3" location="Products!A1" display="&gt; Products"/>
    <hyperlink ref="G3" location="Materials!A1" display="&gt; Materials"/>
    <hyperlink ref="I3" location="Labor!A1" display="&gt; Labour"/>
  </hyperlinks>
  <pageMargins left="0.4" right="0.4" top="0.6" bottom="0.5" header="0.3" footer="0.3"/>
  <pageSetup paperSize="9" fitToHeight="0" orientation="landscape"/>
  <headerFooter>
    <oddHeader>&amp;L&amp;"Calibri,Bold"&amp;12&amp;C&amp;"Calibri,Bold"&amp;11Help&amp;R&amp;"Calibri,Italic"&amp;9Handmade Product Pricing &amp; Profit Calculator</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304</vt:i4>
      </vt:variant>
    </vt:vector>
  </HeadingPairs>
  <TitlesOfParts>
    <vt:vector size="344" baseType="lpstr">
      <vt:lpstr>Start Here</vt:lpstr>
      <vt:lpstr>Settings</vt:lpstr>
      <vt:lpstr>Dashboard</vt:lpstr>
      <vt:lpstr>Products</vt:lpstr>
      <vt:lpstr>Materials</vt:lpstr>
      <vt:lpstr>Material Usage</vt:lpstr>
      <vt:lpstr>Labor</vt:lpstr>
      <vt:lpstr>Packaging</vt:lpstr>
      <vt:lpstr>Shipping</vt:lpstr>
      <vt:lpstr>Overhead</vt:lpstr>
      <vt:lpstr>Channels</vt:lpstr>
      <vt:lpstr>Retail Calculator</vt:lpstr>
      <vt:lpstr>Wholesale Calculator</vt:lpstr>
      <vt:lpstr>Profit &amp; Break-Even</vt:lpstr>
      <vt:lpstr>Crochet</vt:lpstr>
      <vt:lpstr>Jewelry</vt:lpstr>
      <vt:lpstr>Candles</vt:lpstr>
      <vt:lpstr>Clothing</vt:lpstr>
      <vt:lpstr>Woodworking</vt:lpstr>
      <vt:lpstr>Digital</vt:lpstr>
      <vt:lpstr>Bundles</vt:lpstr>
      <vt:lpstr>Bundle Lines</vt:lpstr>
      <vt:lpstr>Variations</vt:lpstr>
      <vt:lpstr>Batches</vt:lpstr>
      <vt:lpstr>Sales</vt:lpstr>
      <vt:lpstr>Promotions</vt:lpstr>
      <vt:lpstr>Price History</vt:lpstr>
      <vt:lpstr>Competitors</vt:lpstr>
      <vt:lpstr>Waste Log</vt:lpstr>
      <vt:lpstr>Development</vt:lpstr>
      <vt:lpstr>Events</vt:lpstr>
      <vt:lpstr>Wholesale Customers</vt:lpstr>
      <vt:lpstr>Wholesale Orders</vt:lpstr>
      <vt:lpstr>Scenarios</vt:lpstr>
      <vt:lpstr>Reports</vt:lpstr>
      <vt:lpstr>Print Costing</vt:lpstr>
      <vt:lpstr>Print Quote</vt:lpstr>
      <vt:lpstr>Print Order</vt:lpstr>
      <vt:lpstr>Lists</vt:lpstr>
      <vt:lpstr>Help</vt:lpstr>
      <vt:lpstr>AllocationList</vt:lpstr>
      <vt:lpstr>BatchIDs</vt:lpstr>
      <vt:lpstr>BatchPrefix</vt:lpstr>
      <vt:lpstr>BatchStatusList</vt:lpstr>
      <vt:lpstr>BeCm</vt:lpstr>
      <vt:lpstr>BeContribution</vt:lpstr>
      <vt:lpstr>BeFeeFixed</vt:lpstr>
      <vt:lpstr>BeFeePct</vt:lpstr>
      <vt:lpstr>BeFees</vt:lpstr>
      <vt:lpstr>BeFixed</vt:lpstr>
      <vt:lpstr>BeFixedTotal</vt:lpstr>
      <vt:lpstr>BeP</vt:lpstr>
      <vt:lpstr>BePrice</vt:lpstr>
      <vt:lpstr>BeProduct</vt:lpstr>
      <vt:lpstr>BeVar</vt:lpstr>
      <vt:lpstr>BeVariable</vt:lpstr>
      <vt:lpstr>BeWage</vt:lpstr>
      <vt:lpstr>BundleIDs</vt:lpstr>
      <vt:lpstr>BundlePrefix</vt:lpstr>
      <vt:lpstr>BundleTypeList</vt:lpstr>
      <vt:lpstr>CandlePrefix</vt:lpstr>
      <vt:lpstr>CategoryList</vt:lpstr>
      <vt:lpstr>ChannelList</vt:lpstr>
      <vt:lpstr>ChannelNames</vt:lpstr>
      <vt:lpstr>ClothingPrefix</vt:lpstr>
      <vt:lpstr>ContractorRate</vt:lpstr>
      <vt:lpstr>CrochetPrefix</vt:lpstr>
      <vt:lpstr>CurrencyFee</vt:lpstr>
      <vt:lpstr>CustomerIDs</vt:lpstr>
      <vt:lpstr>CustomerNames</vt:lpstr>
      <vt:lpstr>CustomerPrefix</vt:lpstr>
      <vt:lpstr>CustomerTypeList</vt:lpstr>
      <vt:lpstr>DashKey</vt:lpstr>
      <vt:lpstr>DefaultBatchSize</vt:lpstr>
      <vt:lpstr>DefaultChannel</vt:lpstr>
      <vt:lpstr>DefaultDefect</vt:lpstr>
      <vt:lpstr>DefaultDiscount</vt:lpstr>
      <vt:lpstr>DefaultMarkup</vt:lpstr>
      <vt:lpstr>DefaultPackaging</vt:lpstr>
      <vt:lpstr>DefaultShipping</vt:lpstr>
      <vt:lpstr>DefaultWaste</vt:lpstr>
      <vt:lpstr>DevPrefix</vt:lpstr>
      <vt:lpstr>DevStageList</vt:lpstr>
      <vt:lpstr>DifficultyList</vt:lpstr>
      <vt:lpstr>DiffNames</vt:lpstr>
      <vt:lpstr>DiffPriceFactors</vt:lpstr>
      <vt:lpstr>DiffTimeFactors</vt:lpstr>
      <vt:lpstr>DigitalPrefix</vt:lpstr>
      <vt:lpstr>DigitalTypeList</vt:lpstr>
      <vt:lpstr>EmployeeRate</vt:lpstr>
      <vt:lpstr>EventNames</vt:lpstr>
      <vt:lpstr>EventPrefix</vt:lpstr>
      <vt:lpstr>EventTypeList</vt:lpstr>
      <vt:lpstr>FabricList</vt:lpstr>
      <vt:lpstr>FeeReviewDays</vt:lpstr>
      <vt:lpstr>FeesOnShipping</vt:lpstr>
      <vt:lpstr>FeesOnTax</vt:lpstr>
      <vt:lpstr>FeesReviewed</vt:lpstr>
      <vt:lpstr>FeesStale</vt:lpstr>
      <vt:lpstr>FeeTypeList</vt:lpstr>
      <vt:lpstr>FileFormatList</vt:lpstr>
      <vt:lpstr>FinishList</vt:lpstr>
      <vt:lpstr>FreeShipThreshold</vt:lpstr>
      <vt:lpstr>FrequencyList</vt:lpstr>
      <vt:lpstr>GarmentSizeList</vt:lpstr>
      <vt:lpstr>HookSizeList</vt:lpstr>
      <vt:lpstr>HourlyRate</vt:lpstr>
      <vt:lpstr>JewelryPrefix</vt:lpstr>
      <vt:lpstr>LaborCostHour</vt:lpstr>
      <vt:lpstr>LaborStageList</vt:lpstr>
      <vt:lpstr>LaborWhoList</vt:lpstr>
      <vt:lpstr>LicenceList</vt:lpstr>
      <vt:lpstr>ListingFee</vt:lpstr>
      <vt:lpstr>LowStockDays</vt:lpstr>
      <vt:lpstr>MarginWarning</vt:lpstr>
      <vt:lpstr>MaterialIDs</vt:lpstr>
      <vt:lpstr>MaterialNames</vt:lpstr>
      <vt:lpstr>MaterialPrefix</vt:lpstr>
      <vt:lpstr>MaterialTypeList</vt:lpstr>
      <vt:lpstr>MeasureSystem</vt:lpstr>
      <vt:lpstr>MetalList</vt:lpstr>
      <vt:lpstr>MinimumWage</vt:lpstr>
      <vt:lpstr>MinOrderQty</vt:lpstr>
      <vt:lpstr>MinOrderValue</vt:lpstr>
      <vt:lpstr>MonthEnd</vt:lpstr>
      <vt:lpstr>MonthList</vt:lpstr>
      <vt:lpstr>MonthStart</vt:lpstr>
      <vt:lpstr>OffsiteAdsFee</vt:lpstr>
      <vt:lpstr>OffsiteAdsShare</vt:lpstr>
      <vt:lpstr>OrderIDs</vt:lpstr>
      <vt:lpstr>OrderPrefix</vt:lpstr>
      <vt:lpstr>OrderStatusList</vt:lpstr>
      <vt:lpstr>OverheadMethod</vt:lpstr>
      <vt:lpstr>OverheadMonthly</vt:lpstr>
      <vt:lpstr>OverheadPerHour</vt:lpstr>
      <vt:lpstr>OverheadPerUnit</vt:lpstr>
      <vt:lpstr>OverheadTypeList</vt:lpstr>
      <vt:lpstr>PackBudget</vt:lpstr>
      <vt:lpstr>PackComponents</vt:lpstr>
      <vt:lpstr>PackGift</vt:lpstr>
      <vt:lpstr>PackPremium</vt:lpstr>
      <vt:lpstr>PackProfileList</vt:lpstr>
      <vt:lpstr>PackStandard</vt:lpstr>
      <vt:lpstr>PackTypeList</vt:lpstr>
      <vt:lpstr>PackWeightBudget</vt:lpstr>
      <vt:lpstr>PackWeightGift</vt:lpstr>
      <vt:lpstr>PackWeightPremium</vt:lpstr>
      <vt:lpstr>PackWeightStandard</vt:lpstr>
      <vt:lpstr>PayrollBurden</vt:lpstr>
      <vt:lpstr>PerBasisList</vt:lpstr>
      <vt:lpstr>PlanYear</vt:lpstr>
      <vt:lpstr>PriceReasonList</vt:lpstr>
      <vt:lpstr>PriceReviewDays</vt:lpstr>
      <vt:lpstr>PricingMethodList</vt:lpstr>
      <vt:lpstr>'Batches'!Print_Area</vt:lpstr>
      <vt:lpstr>'Bundle Lines'!Print_Area</vt:lpstr>
      <vt:lpstr>'Bundles'!Print_Area</vt:lpstr>
      <vt:lpstr>'Candles'!Print_Area</vt:lpstr>
      <vt:lpstr>'Channels'!Print_Area</vt:lpstr>
      <vt:lpstr>'Clothing'!Print_Area</vt:lpstr>
      <vt:lpstr>'Competitors'!Print_Area</vt:lpstr>
      <vt:lpstr>'Crochet'!Print_Area</vt:lpstr>
      <vt:lpstr>'Development'!Print_Area</vt:lpstr>
      <vt:lpstr>'Digital'!Print_Area</vt:lpstr>
      <vt:lpstr>'Events'!Print_Area</vt:lpstr>
      <vt:lpstr>'Jewelry'!Print_Area</vt:lpstr>
      <vt:lpstr>'Labor'!Print_Area</vt:lpstr>
      <vt:lpstr>'Material Usage'!Print_Area</vt:lpstr>
      <vt:lpstr>'Materials'!Print_Area</vt:lpstr>
      <vt:lpstr>'Overhead'!Print_Area</vt:lpstr>
      <vt:lpstr>'Packaging'!Print_Area</vt:lpstr>
      <vt:lpstr>'Price History'!Print_Area</vt:lpstr>
      <vt:lpstr>'Print Costing'!Print_Area</vt:lpstr>
      <vt:lpstr>'Print Order'!Print_Area</vt:lpstr>
      <vt:lpstr>'Print Quote'!Print_Area</vt:lpstr>
      <vt:lpstr>'Products'!Print_Area</vt:lpstr>
      <vt:lpstr>'Promotions'!Print_Area</vt:lpstr>
      <vt:lpstr>'Sales'!Print_Area</vt:lpstr>
      <vt:lpstr>'Shipping'!Print_Area</vt:lpstr>
      <vt:lpstr>'Variations'!Print_Area</vt:lpstr>
      <vt:lpstr>'Waste Log'!Print_Area</vt:lpstr>
      <vt:lpstr>'Wholesale Customers'!Print_Area</vt:lpstr>
      <vt:lpstr>'Wholesale Orders'!Print_Area</vt:lpstr>
      <vt:lpstr>'Woodworking'!Print_Area</vt:lpstr>
      <vt:lpstr>'Batches'!Print_Titles</vt:lpstr>
      <vt:lpstr>'Bundle Lines'!Print_Titles</vt:lpstr>
      <vt:lpstr>'Bundles'!Print_Titles</vt:lpstr>
      <vt:lpstr>'Candles'!Print_Titles</vt:lpstr>
      <vt:lpstr>'Channels'!Print_Titles</vt:lpstr>
      <vt:lpstr>'Clothing'!Print_Titles</vt:lpstr>
      <vt:lpstr>'Competitors'!Print_Titles</vt:lpstr>
      <vt:lpstr>'Crochet'!Print_Titles</vt:lpstr>
      <vt:lpstr>'Development'!Print_Titles</vt:lpstr>
      <vt:lpstr>'Digital'!Print_Titles</vt:lpstr>
      <vt:lpstr>'Events'!Print_Titles</vt:lpstr>
      <vt:lpstr>'Jewelry'!Print_Titles</vt:lpstr>
      <vt:lpstr>'Labor'!Print_Titles</vt:lpstr>
      <vt:lpstr>'Material Usage'!Print_Titles</vt:lpstr>
      <vt:lpstr>'Materials'!Print_Titles</vt:lpstr>
      <vt:lpstr>'Overhead'!Print_Titles</vt:lpstr>
      <vt:lpstr>'Packaging'!Print_Titles</vt:lpstr>
      <vt:lpstr>'Price History'!Print_Titles</vt:lpstr>
      <vt:lpstr>'Products'!Print_Titles</vt:lpstr>
      <vt:lpstr>'Promotions'!Print_Titles</vt:lpstr>
      <vt:lpstr>'Sales'!Print_Titles</vt:lpstr>
      <vt:lpstr>'Shipping'!Print_Titles</vt:lpstr>
      <vt:lpstr>'Variations'!Print_Titles</vt:lpstr>
      <vt:lpstr>'Waste Log'!Print_Titles</vt:lpstr>
      <vt:lpstr>'Wholesale Customers'!Print_Titles</vt:lpstr>
      <vt:lpstr>'Wholesale Orders'!Print_Titles</vt:lpstr>
      <vt:lpstr>'Woodworking'!Print_Titles</vt:lpstr>
      <vt:lpstr>PrintCustomer</vt:lpstr>
      <vt:lpstr>PrintProduct</vt:lpstr>
      <vt:lpstr>ProcessingFixed</vt:lpstr>
      <vt:lpstr>ProcessingPercent</vt:lpstr>
      <vt:lpstr>ProductCategories</vt:lpstr>
      <vt:lpstr>ProductIDs</vt:lpstr>
      <vt:lpstr>ProductiveHours</vt:lpstr>
      <vt:lpstr>ProductMargins</vt:lpstr>
      <vt:lpstr>ProductNames</vt:lpstr>
      <vt:lpstr>ProductPrefix</vt:lpstr>
      <vt:lpstr>ProductSKUs</vt:lpstr>
      <vt:lpstr>ProfitTargetMonth</vt:lpstr>
      <vt:lpstr>PromoCodes</vt:lpstr>
      <vt:lpstr>PromoTypeList</vt:lpstr>
      <vt:lpstr>QualityList</vt:lpstr>
      <vt:lpstr>QuoteCustomer</vt:lpstr>
      <vt:lpstr>RatingList</vt:lpstr>
      <vt:lpstr>RcBatch</vt:lpstr>
      <vt:lpstr>RcChannel</vt:lpstr>
      <vt:lpstr>RcCons</vt:lpstr>
      <vt:lpstr>RcConsUsed</vt:lpstr>
      <vt:lpstr>RcCost</vt:lpstr>
      <vt:lpstr>RcDenom</vt:lpstr>
      <vt:lpstr>RcDirect</vt:lpstr>
      <vt:lpstr>RcFeeFixed</vt:lpstr>
      <vt:lpstr>RcFeePct</vt:lpstr>
      <vt:lpstr>RcLab</vt:lpstr>
      <vt:lpstr>RcLabUsed</vt:lpstr>
      <vt:lpstr>RcMat</vt:lpstr>
      <vt:lpstr>RcMatUsed</vt:lpstr>
      <vt:lpstr>RcOhRate</vt:lpstr>
      <vt:lpstr>RcOther</vt:lpstr>
      <vt:lpstr>RcOtherUsed</vt:lpstr>
      <vt:lpstr>RcOverhead</vt:lpstr>
      <vt:lpstr>RcPack</vt:lpstr>
      <vt:lpstr>RcPackUsed</vt:lpstr>
      <vt:lpstr>RcPrice</vt:lpstr>
      <vt:lpstr>RcProduct</vt:lpstr>
      <vt:lpstr>RcRaw</vt:lpstr>
      <vt:lpstr>RcShip</vt:lpstr>
      <vt:lpstr>RcShipUsed</vt:lpstr>
      <vt:lpstr>RcTarget</vt:lpstr>
      <vt:lpstr>RegulatoryFee</vt:lpstr>
      <vt:lpstr>RevenueTargetMonth</vt:lpstr>
      <vt:lpstr>RevenueTargetYear</vt:lpstr>
      <vt:lpstr>RoundingList</vt:lpstr>
      <vt:lpstr>RoundingRule</vt:lpstr>
      <vt:lpstr>RushFactors</vt:lpstr>
      <vt:lpstr>RushNames</vt:lpstr>
      <vt:lpstr>SaleChannels</vt:lpstr>
      <vt:lpstr>SaleDates</vt:lpstr>
      <vt:lpstr>SaleMonths</vt:lpstr>
      <vt:lpstr>SalePrefix</vt:lpstr>
      <vt:lpstr>SaleProducts</vt:lpstr>
      <vt:lpstr>SaleStatusList</vt:lpstr>
      <vt:lpstr>ScenarioMargins</vt:lpstr>
      <vt:lpstr>ScenarioNames</vt:lpstr>
      <vt:lpstr>ScProduct</vt:lpstr>
      <vt:lpstr>ScTarget</vt:lpstr>
      <vt:lpstr>SeasonList</vt:lpstr>
      <vt:lpstr>ShipOptions</vt:lpstr>
      <vt:lpstr>ShipPayerList</vt:lpstr>
      <vt:lpstr>ShipServiceList</vt:lpstr>
      <vt:lpstr>ShipZoneList</vt:lpstr>
      <vt:lpstr>ShopAddress</vt:lpstr>
      <vt:lpstr>ShopBrand</vt:lpstr>
      <vt:lpstr>ShopEmail</vt:lpstr>
      <vt:lpstr>ShopEtsy</vt:lpstr>
      <vt:lpstr>ShopName</vt:lpstr>
      <vt:lpstr>ShopOwner</vt:lpstr>
      <vt:lpstr>ShopPhone</vt:lpstr>
      <vt:lpstr>ShopSocial</vt:lpstr>
      <vt:lpstr>ShopTagline</vt:lpstr>
      <vt:lpstr>ShopTaxId</vt:lpstr>
      <vt:lpstr>ShopWebsite</vt:lpstr>
      <vt:lpstr>SizeMaterialFactors</vt:lpstr>
      <vt:lpstr>SizeNames</vt:lpstr>
      <vt:lpstr>SizeTimeFactors</vt:lpstr>
      <vt:lpstr>StatusList</vt:lpstr>
      <vt:lpstr>StockStatusList</vt:lpstr>
      <vt:lpstr>StoneList</vt:lpstr>
      <vt:lpstr>SuppliesPerHour</vt:lpstr>
      <vt:lpstr>TargetHourly</vt:lpstr>
      <vt:lpstr>TargetRetailMargin</vt:lpstr>
      <vt:lpstr>TargetWholesaleMargin</vt:lpstr>
      <vt:lpstr>TaxRate</vt:lpstr>
      <vt:lpstr>TermsList</vt:lpstr>
      <vt:lpstr>TodayDate</vt:lpstr>
      <vt:lpstr>TransactionFee</vt:lpstr>
      <vt:lpstr>UnitBases</vt:lpstr>
      <vt:lpstr>UnitFactors</vt:lpstr>
      <vt:lpstr>UnitList</vt:lpstr>
      <vt:lpstr>UnitNames</vt:lpstr>
      <vt:lpstr>UnitsPerMonth</vt:lpstr>
      <vt:lpstr>VariationPrefix</vt:lpstr>
      <vt:lpstr>VariationTypeList</vt:lpstr>
      <vt:lpstr>VesselList</vt:lpstr>
      <vt:lpstr>WastePrefix</vt:lpstr>
      <vt:lpstr>WasteReasonList</vt:lpstr>
      <vt:lpstr>WaxList</vt:lpstr>
      <vt:lpstr>WcCarriage</vt:lpstr>
      <vt:lpstr>WcCons</vt:lpstr>
      <vt:lpstr>WcConsUsed</vt:lpstr>
      <vt:lpstr>WcCost</vt:lpstr>
      <vt:lpstr>WcDiscount</vt:lpstr>
      <vt:lpstr>WcGap</vt:lpstr>
      <vt:lpstr>WcKeystone</vt:lpstr>
      <vt:lpstr>WcLab</vt:lpstr>
      <vt:lpstr>WcLabUsed</vt:lpstr>
      <vt:lpstr>WcMargin</vt:lpstr>
      <vt:lpstr>WcMat</vt:lpstr>
      <vt:lpstr>WcMatUsed</vt:lpstr>
      <vt:lpstr>WcNeedRetail</vt:lpstr>
      <vt:lpstr>WcNeedWholesale</vt:lpstr>
      <vt:lpstr>WcOh</vt:lpstr>
      <vt:lpstr>WcOhUsed</vt:lpstr>
      <vt:lpstr>WcPack</vt:lpstr>
      <vt:lpstr>WcPackUsed</vt:lpstr>
      <vt:lpstr>WcPrice</vt:lpstr>
      <vt:lpstr>WcProduct</vt:lpstr>
      <vt:lpstr>WcProfit</vt:lpstr>
      <vt:lpstr>WcQty</vt:lpstr>
      <vt:lpstr>WcRetail</vt:lpstr>
      <vt:lpstr>WcTarget</vt:lpstr>
      <vt:lpstr>WcWage</vt:lpstr>
      <vt:lpstr>WholesaleDiscount</vt:lpstr>
      <vt:lpstr>WickList</vt:lpstr>
      <vt:lpstr>WoodList</vt:lpstr>
      <vt:lpstr>WoodPrefix</vt:lpstr>
      <vt:lpstr>YarnWeightList</vt:lpstr>
      <vt:lpstr>YearStart</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Handmade Product Pricing &amp; Profit Calculator</dc:title>
  <dc:subject>Handmade product pricing, material and labour costing, margins and wholesale prices</dc:subject>
  <dc:creator>Novality Store</dc:creator>
  <cp:keywords>handmade pricing calculator, Etsy pricing spreadsheet, craft pricing, material cost tracker, labor cost calculator, profit margin calculator, wholesale price calculator, break-even calculator, craft business, spreadsheet template</cp:keywords>
  <dc:description>Handmade Product Pricing &amp; Profit Calculator. Created by Novality Store. Version 1.0.0. Formula cells are locked and every sheet is protected with the password 'premium'.</dc:description>
  <cp:lastModifiedBy>Novality Store</cp:lastModifiedBy>
  <dcterms:created xsi:type="dcterms:W3CDTF">2026-10-22T00:00:00Z</dcterms:created>
  <dcterms:modified xsi:type="dcterms:W3CDTF">2026-10-22T00:00:00Z</dcterms:modified>
  <cp:category>Small business spreadsheet template</cp:category>
  <cp:contentStatus>Final</cp:contentStatus>
</cp:coreProperties>
</file>